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_rels/sheet52.xml.rels" ContentType="application/vnd.openxmlformats-package.relationships+xml"/>
  <Override PartName="/xl/worksheets/_rels/sheet1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41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5.vml" ContentType="application/vnd.openxmlformats-officedocument.vmlDrawing"/>
  <Override PartName="/xl/drawings/vmlDrawing1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PAVIMENTAÇÃO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Torre Catharina - Medição Financeira - Prep Set.26 (PAINEL D98/D100). O ajuste (coluna G) entra no mês da medição (08/2026)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em 08/2026 (mês da medição).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<sst xmlns="http://schemas.openxmlformats.org/spreadsheetml/2006/main" count="20000" uniqueCount="3940">
  <si>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</si>
  <si>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</si>
  <si>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</si>
  <si>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</si>
  <si>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</si>
  <si>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</si>
  <si>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</si>
  <si>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</si>
  <si>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</si>
  <si>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</si>
  <si>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</si>
  <si>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</si>
  <si>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</si>
  <si>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</si>
  <si>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</si>
  <si>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</si>
  <si>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</si>
  <si>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</si>
  <si>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</si>
  <si>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</si>
  <si>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</si>
  <si>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</si>
  <si>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</si>
  <si>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</si>
  <si>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</si>
  <si>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</si>
  <si>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</si>
  <si>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</si>
  <si>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</si>
  <si>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</si>
  <si>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</si>
  <si>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</si>
  <si>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</si>
  <si>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</si>
  <si>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</si>
  <si>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</si>
  <si>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</si>
  <si>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</si>
  <si>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</si>
  <si>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</si>
  <si>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</si>
  <si>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</si>
  <si>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</si>
  <si>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</si>
  <si>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</si>
  <si>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</si>
  <si>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</si>
  <si>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</si>
  <si>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</si>
  <si>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</si>
  <si>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</si>
  <si>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</si>
  <si>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</si>
  <si>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</si>
  <si>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</si>
  <si>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</si>
  <si>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</si>
  <si>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</si>
  <si>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</si>
  <si>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</si>
  <si>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</si>
  <si>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</si>
  <si>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</si>
  <si>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</si>
  <si>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</si>
  <si>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</si>
  <si>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</si>
  <si>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</si>
  <si>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</si>
  <si>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</si>
  <si>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</si>
  <si>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</si>
  <si>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</si>
  <si>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</si>
  <si>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</si>
  <si>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</si>
  <si>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</si>
  <si>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</si>
  <si>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</si>
  <si>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</si>
  <si>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</si>
  <si>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</si>
  <si>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</si>
  <si>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</si>
  <si>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</si>
  <si>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</si>
  <si>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</si>
  <si>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</si>
  <si>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</si>
  <si>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MAIO/25 - TORRE CATHARINA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</si>
  <si>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</si>
  <si>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</si>
  <si>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</si>
  <si>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</si>
  <si>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</si>
  <si>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</si>
  <si>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</si>
  <si>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</si>
  <si>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</si>
  <si>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</si>
  <si>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</si>
  <si>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</si>
  <si>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</si>
  <si>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PREVISION</t>
  </si>
  <si>
    <t xml:space="preserve">Último mês do horizonte</t>
  </si>
  <si>
    <t xml:space="preserve">Obra</t>
  </si>
  <si>
    <t xml:space="preserve">TORRE CATHARINA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</si>
  <si>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</si>
  <si>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</si>
  <si>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</si>
  <si>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</si>
  <si>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</si>
  <si>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</si>
  <si>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</si>
  <si>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</si>
  <si>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</si>
  <si>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</si>
  <si>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</si>
  <si>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</si>
  <si>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</si>
  <si>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</si>
  <si>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</si>
  <si>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</si>
  <si>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</si>
  <si>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</si>
  <si>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</si>
  <si>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</si>
  <si>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</si>
  <si>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</si>
  <si>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</si>
  <si>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</si>
  <si>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</si>
  <si>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</si>
  <si>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</si>
  <si>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</si>
  <si>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</si>
  <si>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PL020.005</t>
  </si>
  <si>
    <t xml:space="preserve">06</t>
  </si>
  <si>
    <t xml:space="preserve">PL310.007</t>
  </si>
  <si>
    <t xml:space="preserve">07</t>
  </si>
  <si>
    <t xml:space="preserve">PL570.001</t>
  </si>
  <si>
    <t xml:space="preserve">08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</si>
  <si>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</si>
  <si>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</si>
  <si>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</si>
  <si>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</si>
  <si>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</si>
  <si>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</si>
  <si>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</si>
  <si>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</si>
  <si>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</si>
  <si>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</si>
  <si>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</si>
  <si>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</si>
  <si>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</si>
  <si>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</si>
  <si>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</si>
  <si>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</si>
  <si>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</si>
  <si>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</si>
  <si>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</si>
  <si>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PL120.001</t>
  </si>
  <si>
    <t xml:space="preserve">18</t>
  </si>
  <si>
    <t xml:space="preserve">ALVENARIA</t>
  </si>
  <si>
    <t xml:space="preserve">PL140.004</t>
  </si>
  <si>
    <t xml:space="preserve">19</t>
  </si>
  <si>
    <t xml:space="preserve">IMPERMEABILIZAÇÃO</t>
  </si>
  <si>
    <t xml:space="preserve">PL110.018</t>
  </si>
  <si>
    <t xml:space="preserve">20</t>
  </si>
  <si>
    <t xml:space="preserve">PL110.007</t>
  </si>
  <si>
    <t xml:space="preserve">21</t>
  </si>
  <si>
    <t xml:space="preserve">INSTALAÇÕES HIDROSANITÁRIAS</t>
  </si>
  <si>
    <t xml:space="preserve">PL110.017</t>
  </si>
  <si>
    <t xml:space="preserve">22</t>
  </si>
  <si>
    <t xml:space="preserve">INSTALAÇÕES COMBATE INCÊNDIO</t>
  </si>
  <si>
    <t xml:space="preserve">PL110.027</t>
  </si>
  <si>
    <t xml:space="preserve">23</t>
  </si>
  <si>
    <t xml:space="preserve">INSTALAÇÕES ESPECIAIS</t>
  </si>
  <si>
    <t xml:space="preserve">PL220.002</t>
  </si>
  <si>
    <t xml:space="preserve">24</t>
  </si>
  <si>
    <t xml:space="preserve">ELEVADORES</t>
  </si>
  <si>
    <t xml:space="preserve">PL250.001</t>
  </si>
  <si>
    <t xml:space="preserve">25</t>
  </si>
  <si>
    <t xml:space="preserve">ESQUADRIAS</t>
  </si>
  <si>
    <t xml:space="preserve">PL240.000</t>
  </si>
  <si>
    <t xml:space="preserve">26</t>
  </si>
  <si>
    <t xml:space="preserve">SERRALHERIA</t>
  </si>
  <si>
    <t xml:space="preserve">PL240.020</t>
  </si>
  <si>
    <t xml:space="preserve">27</t>
  </si>
  <si>
    <t xml:space="preserve">MARCENARIA</t>
  </si>
  <si>
    <t xml:space="preserve">PL160.001</t>
  </si>
  <si>
    <t xml:space="preserve">28</t>
  </si>
  <si>
    <t xml:space="preserve">REVESTIMENTOS DE MASSA EM PISOS</t>
  </si>
  <si>
    <t xml:space="preserve">PL150.001</t>
  </si>
  <si>
    <t xml:space="preserve">29</t>
  </si>
  <si>
    <t xml:space="preserve">REVESTIMENTOS DE MASSA EM PAREDES</t>
  </si>
  <si>
    <t xml:space="preserve">REVESTIMENTOS DIVERSOS-PAREDE</t>
  </si>
  <si>
    <t xml:space="preserve">PL170.004</t>
  </si>
  <si>
    <t xml:space="preserve">30</t>
  </si>
  <si>
    <t xml:space="preserve">REVESTIMENTOS DE ACABAMENTO</t>
  </si>
  <si>
    <t xml:space="preserve">PL320.001</t>
  </si>
  <si>
    <t xml:space="preserve">31</t>
  </si>
  <si>
    <t xml:space="preserve">PAVIMENTAÇÃO</t>
  </si>
  <si>
    <t xml:space="preserve">PL190.003</t>
  </si>
  <si>
    <t xml:space="preserve">32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</si>
  <si>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</si>
  <si>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</si>
  <si>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</si>
  <si>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</si>
  <si>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PL290.002</t>
  </si>
  <si>
    <t xml:space="preserve">34</t>
  </si>
  <si>
    <t xml:space="preserve">LOUÇAS SANITÁRIAS</t>
  </si>
  <si>
    <t xml:space="preserve">PL280.003</t>
  </si>
  <si>
    <t xml:space="preserve">35</t>
  </si>
  <si>
    <t xml:space="preserve">PINTURA</t>
  </si>
  <si>
    <t xml:space="preserve">PL330.002</t>
  </si>
  <si>
    <t xml:space="preserve">36</t>
  </si>
  <si>
    <t xml:space="preserve">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</si>
  <si>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</si>
  <si>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</si>
  <si>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</si>
  <si>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</si>
  <si>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</si>
  <si>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</si>
  <si>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</si>
  <si>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</si>
  <si>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</si>
  <si>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</si>
  <si>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</si>
  <si>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</si>
  <si>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</si>
  <si>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</si>
  <si>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</si>
  <si>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</si>
  <si>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08/2026)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</si>
  <si>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</si>
  <si>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</si>
  <si>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</si>
  <si>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</si>
  <si>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</si>
  <si>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</si>
  <si>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</si>
  <si>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</si>
  <si>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</si>
  <si>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</si>
  <si>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</si>
  <si>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</si>
  <si>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</si>
  <si>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</si>
  <si>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</si>
  <si>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</si>
  <si>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</si>
  <si>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</si>
  <si>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</si>
  <si>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</si>
  <si>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</si>
  <si>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</si>
  <si>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</si>
  <si>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</si>
  <si>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</si>
  <si>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</si>
  <si>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</si>
  <si>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</si>
  <si>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</si>
  <si>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</si>
  <si>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</si>
  <si>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</si>
  <si>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</si>
  <si>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</si>
  <si>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</si>
  <si>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</si>
  <si>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</si>
  <si>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</si>
  <si>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</si>
  <si>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</si>
  <si>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</si>
  <si>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</si>
  <si>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</si>
  <si>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</si>
  <si>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</si>
  <si>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</si>
  <si>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1030-1070-280</t>
  </si>
  <si>
    <t xml:space="preserve">1030-1070-140</t>
  </si>
  <si>
    <t xml:space="preserve">1030-1070-160</t>
  </si>
  <si>
    <t xml:space="preserve">1030-1070-170</t>
  </si>
  <si>
    <t xml:space="preserve">1030-1070-190</t>
  </si>
  <si>
    <t xml:space="preserve">1030-1070-510</t>
  </si>
  <si>
    <t xml:space="preserve">DEMOLIÇÃO</t>
  </si>
  <si>
    <t xml:space="preserve">1030-1070-550</t>
  </si>
  <si>
    <t xml:space="preserve">DEVOLUÇÃO DE CAIXA DE OBRA</t>
  </si>
  <si>
    <t xml:space="preserve">1030-1070-560</t>
  </si>
  <si>
    <t xml:space="preserve">DIVERSOS (Ajuste feito por Eduardo Camargos)</t>
  </si>
  <si>
    <t xml:space="preserve">1030-1070-400</t>
  </si>
  <si>
    <t xml:space="preserve">ELEVADORES </t>
  </si>
  <si>
    <t xml:space="preserve">1030-1070-450</t>
  </si>
  <si>
    <t xml:space="preserve">1030-1070-370</t>
  </si>
  <si>
    <t xml:space="preserve">1030-1070-230</t>
  </si>
  <si>
    <t xml:space="preserve">1030-1070-350</t>
  </si>
  <si>
    <t xml:space="preserve">1030-1070-200</t>
  </si>
  <si>
    <t xml:space="preserve">1030-1070-210</t>
  </si>
  <si>
    <t xml:space="preserve">1030-1070-290</t>
  </si>
  <si>
    <t xml:space="preserve">1030-1070-260</t>
  </si>
  <si>
    <t xml:space="preserve">1030-1070-240</t>
  </si>
  <si>
    <t xml:space="preserve">1030-1070-270</t>
  </si>
  <si>
    <t xml:space="preserve">1030-1070-250</t>
  </si>
  <si>
    <t xml:space="preserve">1030-1070-130</t>
  </si>
  <si>
    <t xml:space="preserve">LEVANTAMENTO TOPOGRÁFICO</t>
  </si>
  <si>
    <t xml:space="preserve">1030-1070-410</t>
  </si>
  <si>
    <t xml:space="preserve">1030-1070-440</t>
  </si>
  <si>
    <t xml:space="preserve">1030-1070-540</t>
  </si>
  <si>
    <t xml:space="preserve">1030-1070-430</t>
  </si>
  <si>
    <t xml:space="preserve">1030-1070-420</t>
  </si>
  <si>
    <t xml:space="preserve">1030-1070-390</t>
  </si>
  <si>
    <t xml:space="preserve">1030-1070-100</t>
  </si>
  <si>
    <t xml:space="preserve">1030-1070-570</t>
  </si>
  <si>
    <t xml:space="preserve">1030-1070-360</t>
  </si>
  <si>
    <t xml:space="preserve">1030-1070-490</t>
  </si>
  <si>
    <t xml:space="preserve">1030-1070-320</t>
  </si>
  <si>
    <t xml:space="preserve">1030-1070-300</t>
  </si>
  <si>
    <t xml:space="preserve">1030-1070-580</t>
  </si>
  <si>
    <t xml:space="preserve">REVESTIMENTOS DIVERSOS-FACHADA</t>
  </si>
  <si>
    <t xml:space="preserve">1030-1070-310</t>
  </si>
  <si>
    <t xml:space="preserve">1030-1070-330</t>
  </si>
  <si>
    <t xml:space="preserve">REVESTIMENTOS DIVERSOS-PISOS</t>
  </si>
  <si>
    <t xml:space="preserve">1030-1070-340</t>
  </si>
  <si>
    <t xml:space="preserve">RODAPÉS/SOLEIRAS/PEITORIL/ADUELAS</t>
  </si>
  <si>
    <t xml:space="preserve">1030-1070-220</t>
  </si>
  <si>
    <t xml:space="preserve">1030-1070-110</t>
  </si>
  <si>
    <t xml:space="preserve">1030-1070-380</t>
  </si>
  <si>
    <t xml:space="preserve">1030-1070-150</t>
  </si>
  <si>
    <t xml:space="preserve">1030-1070-470</t>
  </si>
  <si>
    <t xml:space="preserve">1030-1070-180</t>
  </si>
  <si>
    <t xml:space="preserve">1030-1070-600</t>
  </si>
  <si>
    <t xml:space="preserve">1030-1070-460</t>
  </si>
  <si>
    <t xml:space="preserve">1030-1070-480</t>
  </si>
  <si>
    <t xml:space="preserve">ESTRUTURA EM COBERTURA METÁLICA</t>
  </si>
  <si>
    <t xml:space="preserve">1030-1070-500</t>
  </si>
  <si>
    <t xml:space="preserve">REFORÇO ESTRUTURAL</t>
  </si>
  <si>
    <t xml:space="preserve">1030-1070-530</t>
  </si>
  <si>
    <t xml:space="preserve">1030-1070-120</t>
  </si>
  <si>
    <t xml:space="preserve">1030-1070-590</t>
  </si>
  <si>
    <t xml:space="preserve">1030-1070-520</t>
  </si>
  <si>
    <t xml:space="preserve">1040-1110-115</t>
  </si>
  <si>
    <t xml:space="preserve">COMERCIAIS</t>
  </si>
  <si>
    <t xml:space="preserve">1040-1130-110</t>
  </si>
  <si>
    <t xml:space="preserve">INCORPORAÇÃO / LEGALIZAÇÃO</t>
  </si>
  <si>
    <t xml:space="preserve">1030-1090-100</t>
  </si>
  <si>
    <t xml:space="preserve">MEDIDAS COMPENSATÓRIAS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</si>
  <si>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</si>
  <si>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</si>
  <si>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</si>
  <si>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</si>
  <si>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</si>
  <si>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</si>
  <si>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</si>
  <si>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</si>
  <si>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</si>
  <si>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</si>
  <si>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</si>
  <si>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</si>
  <si>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</si>
  <si>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</si>
  <si>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</si>
  <si>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</si>
  <si>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</si>
  <si>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</si>
  <si>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</si>
  <si>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</si>
  <si>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</si>
  <si>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</si>
  <si>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</si>
  <si>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</si>
  <si>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</si>
  <si>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</si>
  <si>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</si>
  <si>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Torre Catharina exportado em 23/07/2026</t>
  </si>
  <si>
    <t xml:space="preserve">31/03/2025</t>
  </si>
  <si>
    <t xml:space="preserve">30/04/2025</t>
  </si>
  <si>
    <t xml:space="preserve">31/05/2025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</si>
  <si>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</si>
  <si>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</si>
  <si>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</si>
  <si>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</si>
  <si>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</si>
  <si>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</si>
  <si>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</si>
  <si>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</si>
  <si>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</si>
  <si>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</si>
  <si>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</si>
  <si>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</si>
  <si>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</si>
  <si>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</si>
  <si>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</si>
  <si>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</si>
  <si>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</si>
  <si>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</si>
  <si>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</si>
  <si>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</si>
  <si>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</si>
  <si>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</si>
  <si>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</si>
  <si>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</si>
  <si>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</si>
  <si>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</si>
  <si>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</si>
  <si>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</si>
  <si>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</si>
  <si>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</si>
  <si>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</si>
  <si>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</si>
  <si>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</si>
  <si>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</si>
  <si>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</si>
  <si>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</si>
  <si>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</si>
  <si>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</si>
  <si>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</si>
  <si>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</si>
  <si>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</si>
  <si>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</si>
  <si>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</si>
  <si>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</si>
  <si>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</si>
  <si>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</si>
  <si>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</si>
  <si>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</si>
  <si>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</si>
  <si>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</si>
  <si>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</si>
  <si>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</si>
  <si>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</si>
  <si>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</si>
  <si>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</si>
  <si>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</si>
  <si>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Projetos Básicos e Executivos</t>
  </si>
  <si>
    <t xml:space="preserve">01.01.01</t>
  </si>
  <si>
    <t xml:space="preserve">Estimativa de valores</t>
  </si>
  <si>
    <t xml:space="preserve">01.01.01.01</t>
  </si>
  <si>
    <t xml:space="preserve">Elaboração de projetos e consultorias - estimativa %</t>
  </si>
  <si>
    <t xml:space="preserve">02.01</t>
  </si>
  <si>
    <t xml:space="preserve">Despesas adminstrativas</t>
  </si>
  <si>
    <t xml:space="preserve">02.01.01</t>
  </si>
  <si>
    <t xml:space="preserve">Seguro de obra - estimativa %</t>
  </si>
  <si>
    <t xml:space="preserve">02.01.02</t>
  </si>
  <si>
    <t xml:space="preserve">Custos com vizinhos proveniente de danos causados pela execução da obra</t>
  </si>
  <si>
    <t xml:space="preserve">03.01</t>
  </si>
  <si>
    <t xml:space="preserve">Despesas Legais</t>
  </si>
  <si>
    <t xml:space="preserve">03.01.01</t>
  </si>
  <si>
    <t xml:space="preserve">Despesas legais - estimativa %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</si>
  <si>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</si>
  <si>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</si>
  <si>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</si>
  <si>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</si>
  <si>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</si>
  <si>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Concertina para tapume de obras</t>
  </si>
  <si>
    <t xml:space="preserve">04.01.03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</si>
  <si>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</si>
  <si>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</si>
  <si>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</si>
  <si>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</si>
  <si>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Canteiro de madeira</t>
  </si>
  <si>
    <t xml:space="preserve">04.02.01.01</t>
  </si>
  <si>
    <t xml:space="preserve">Escritórios</t>
  </si>
  <si>
    <t xml:space="preserve">04.02.01.02</t>
  </si>
  <si>
    <t xml:space="preserve">Banheiro/vestiário</t>
  </si>
  <si>
    <t xml:space="preserve">04.02.01.03</t>
  </si>
  <si>
    <t xml:space="preserve">Portaria / Chapeira de ponto</t>
  </si>
  <si>
    <t xml:space="preserve">04.02.01.04</t>
  </si>
  <si>
    <t xml:space="preserve">Refeitório / Cozinha</t>
  </si>
  <si>
    <t xml:space="preserve">04.02.01.05</t>
  </si>
  <si>
    <t xml:space="preserve">Almoxarifado (depósito)</t>
  </si>
  <si>
    <t xml:space="preserve">04.02.01.06</t>
  </si>
  <si>
    <t xml:space="preserve">Almoxarifado (área coberta externa)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</si>
  <si>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</si>
  <si>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</si>
  <si>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</si>
  <si>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04.03.01.01</t>
  </si>
  <si>
    <t xml:space="preserve">04.03.01.02</t>
  </si>
  <si>
    <t xml:space="preserve">04.03.01.03</t>
  </si>
  <si>
    <t xml:space="preserve">04.03.01.04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</si>
  <si>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</si>
  <si>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</si>
  <si>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</si>
  <si>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</si>
  <si>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</si>
  <si>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</si>
  <si>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</si>
  <si>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</si>
  <si>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</si>
  <si>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</si>
  <si>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</si>
  <si>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</si>
  <si>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</si>
  <si>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</si>
  <si>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</si>
  <si>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</si>
  <si>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</si>
  <si>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</si>
  <si>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</si>
  <si>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</si>
  <si>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</si>
  <si>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</si>
  <si>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</si>
  <si>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</si>
  <si>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</si>
  <si>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</si>
  <si>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</si>
  <si>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</si>
  <si>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</si>
  <si>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</si>
  <si>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</si>
  <si>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</si>
  <si>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</si>
  <si>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</si>
  <si>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</si>
  <si>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</si>
  <si>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</si>
  <si>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</si>
  <si>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</si>
  <si>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</si>
  <si>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</si>
  <si>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catraca - controle de acesso</t>
  </si>
  <si>
    <t xml:space="preserve">04.05.03.05</t>
  </si>
  <si>
    <t xml:space="preserve">Catraca controle de acesso - manutenção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</si>
  <si>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</si>
  <si>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</si>
  <si>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</si>
  <si>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</si>
  <si>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</si>
  <si>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</si>
  <si>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</si>
  <si>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Fogao</t>
  </si>
  <si>
    <t xml:space="preserve">04.05.04.04</t>
  </si>
  <si>
    <t xml:space="preserve">Geladeira</t>
  </si>
  <si>
    <t xml:space="preserve">04.05.04.05</t>
  </si>
  <si>
    <t xml:space="preserve">Botijão de Gás</t>
  </si>
  <si>
    <t xml:space="preserve">04.05.04.06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</si>
  <si>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</si>
  <si>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</si>
  <si>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</si>
  <si>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</si>
  <si>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</si>
  <si>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</si>
  <si>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</si>
  <si>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04.05.05.05</t>
  </si>
  <si>
    <t xml:space="preserve">04.05.05.06</t>
  </si>
  <si>
    <t xml:space="preserve">Alguel de TABLET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</si>
  <si>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</si>
  <si>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</si>
  <si>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</si>
  <si>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</si>
  <si>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04.07</t>
  </si>
  <si>
    <t xml:space="preserve">Manutenção do canteiro de obras</t>
  </si>
  <si>
    <t xml:space="preserve">04.07.01</t>
  </si>
  <si>
    <t xml:space="preserve">Placas de Sinalização</t>
  </si>
  <si>
    <t xml:space="preserve">04.07.02</t>
  </si>
  <si>
    <t xml:space="preserve">Repintura periodica de canteiro e tapumes</t>
  </si>
  <si>
    <t xml:space="preserve">05.01</t>
  </si>
  <si>
    <t xml:space="preserve">Instalacoes para canteiro de obras</t>
  </si>
  <si>
    <t xml:space="preserve">05.01.01</t>
  </si>
  <si>
    <t xml:space="preserve">Ligação provisória de água</t>
  </si>
  <si>
    <t xml:space="preserve">05.01.02</t>
  </si>
  <si>
    <t xml:space="preserve">Ligação provisória de energia elétrica</t>
  </si>
  <si>
    <t xml:space="preserve">05.01.03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</si>
  <si>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</si>
  <si>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</si>
  <si>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</si>
  <si>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</si>
  <si>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</si>
  <si>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</si>
  <si>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</si>
  <si>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</si>
  <si>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</si>
  <si>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</si>
  <si>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</si>
  <si>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</si>
  <si>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</si>
  <si>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</si>
  <si>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</si>
  <si>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</si>
  <si>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</si>
  <si>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</si>
  <si>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</si>
  <si>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</si>
  <si>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</si>
  <si>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</si>
  <si>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</si>
  <si>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</si>
  <si>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</si>
  <si>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</si>
  <si>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</si>
  <si>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</si>
  <si>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Controle Tecnológico</t>
  </si>
  <si>
    <t xml:space="preserve">09.01.01</t>
  </si>
  <si>
    <t xml:space="preserve">Controle Tecnológico de Concreto</t>
  </si>
  <si>
    <t xml:space="preserve">09.01.02</t>
  </si>
  <si>
    <t xml:space="preserve">Norma de desempenho - certificação de fachadas, revestimentos, desempenho termo-acústico do empreendimento</t>
  </si>
  <si>
    <t xml:space="preserve">09.02</t>
  </si>
  <si>
    <t xml:space="preserve">Controle Tecnológico de fundações</t>
  </si>
  <si>
    <t xml:space="preserve">09.02.01</t>
  </si>
  <si>
    <t xml:space="preserve">Prova de carga dinâmica - Arcos</t>
  </si>
  <si>
    <t xml:space="preserve">09.03</t>
  </si>
  <si>
    <t xml:space="preserve">Consultorias diversas</t>
  </si>
  <si>
    <t xml:space="preserve">09.03.01</t>
  </si>
  <si>
    <t xml:space="preserve">Acompanhamento técnico - Planejamento e Controle - PREVISION</t>
  </si>
  <si>
    <t xml:space="preserve">09.03.02</t>
  </si>
  <si>
    <t xml:space="preserve">Orçamento executivo - REALTÁ</t>
  </si>
  <si>
    <t xml:space="preserve">09.03.03</t>
  </si>
  <si>
    <t xml:space="preserve">Conferência quantitativos Executivos  - REALTÁ</t>
  </si>
  <si>
    <t xml:space="preserve">09.03.04</t>
  </si>
  <si>
    <t xml:space="preserve">Consultoria Lean Construction - FALCONI</t>
  </si>
  <si>
    <t xml:space="preserve">09.03.05</t>
  </si>
  <si>
    <t xml:space="preserve">Elaboração módulo planejamento  de engenharia</t>
  </si>
  <si>
    <t xml:space="preserve">09.03.06</t>
  </si>
  <si>
    <t xml:space="preserve">Consultoria de instalações elétricas e hidráulicas</t>
  </si>
  <si>
    <t xml:space="preserve">09.03.07</t>
  </si>
  <si>
    <t xml:space="preserve">Consultoria acompanhamento vizinhos</t>
  </si>
  <si>
    <t xml:space="preserve">09.03.08</t>
  </si>
  <si>
    <t xml:space="preserve">Medição de ruídos e vibração</t>
  </si>
  <si>
    <t xml:space="preserve">09.03.09</t>
  </si>
  <si>
    <t xml:space="preserve">Acompanhamento ambiental</t>
  </si>
  <si>
    <t xml:space="preserve">09.03.10</t>
  </si>
  <si>
    <t xml:space="preserve">Acompanhamento ambiental - Due diligence</t>
  </si>
  <si>
    <t xml:space="preserve">09.03.11</t>
  </si>
  <si>
    <t xml:space="preserve">Projetos de proteção coletivas</t>
  </si>
  <si>
    <t xml:space="preserve">10.01</t>
  </si>
  <si>
    <t xml:space="preserve">Segurança do trabalho</t>
  </si>
  <si>
    <t xml:space="preserve">10.01.01</t>
  </si>
  <si>
    <t xml:space="preserve">PCMAT</t>
  </si>
  <si>
    <t xml:space="preserve">10.01.02</t>
  </si>
  <si>
    <t xml:space="preserve">PCMSO</t>
  </si>
  <si>
    <t xml:space="preserve">10.01.03</t>
  </si>
  <si>
    <t xml:space="preserve">SIPAT</t>
  </si>
  <si>
    <t xml:space="preserve">10.02</t>
  </si>
  <si>
    <t xml:space="preserve">Equipe técnica</t>
  </si>
  <si>
    <t xml:space="preserve">10.02.01</t>
  </si>
  <si>
    <t xml:space="preserve">Gerente de contrato</t>
  </si>
  <si>
    <t xml:space="preserve">10.02.02</t>
  </si>
  <si>
    <t xml:space="preserve">Engenheiro de produção PL</t>
  </si>
  <si>
    <t xml:space="preserve">10.02.03</t>
  </si>
  <si>
    <t xml:space="preserve">Engenheiro de produção JR</t>
  </si>
  <si>
    <t xml:space="preserve">10.02.04</t>
  </si>
  <si>
    <t xml:space="preserve">Apoio do escritório central - planejamento e orçamento, projetos, modificações, diretora de engenharia</t>
  </si>
  <si>
    <t xml:space="preserve">10.02.05</t>
  </si>
  <si>
    <t xml:space="preserve">Rateio de qualidade e segurança</t>
  </si>
  <si>
    <t xml:space="preserve">10.02.06</t>
  </si>
  <si>
    <t xml:space="preserve">Auxiliar de Engenharia</t>
  </si>
  <si>
    <t xml:space="preserve">10.02.07</t>
  </si>
  <si>
    <t xml:space="preserve">Distribuição plataforma Alvo (PPLR)</t>
  </si>
  <si>
    <t xml:space="preserve">10.02.08</t>
  </si>
  <si>
    <t xml:space="preserve">Estagiário</t>
  </si>
  <si>
    <t xml:space="preserve">10.02.09</t>
  </si>
  <si>
    <t xml:space="preserve">Equipe de topografia terceirizada</t>
  </si>
  <si>
    <t xml:space="preserve">10.03</t>
  </si>
  <si>
    <t xml:space="preserve">Equipe de segurança e medicina do trabalho</t>
  </si>
  <si>
    <t xml:space="preserve">10.03.01</t>
  </si>
  <si>
    <t xml:space="preserve">Técnico de Segurança do Trabalho</t>
  </si>
  <si>
    <t xml:space="preserve">10.03.02</t>
  </si>
  <si>
    <t xml:space="preserve">Estagiário segurança do trabalho</t>
  </si>
  <si>
    <t xml:space="preserve">10.03.03</t>
  </si>
  <si>
    <t xml:space="preserve">Carpinteiro de apoio</t>
  </si>
  <si>
    <t xml:space="preserve">10.04</t>
  </si>
  <si>
    <t xml:space="preserve">Equipe administrativa</t>
  </si>
  <si>
    <t xml:space="preserve">10.04.01</t>
  </si>
  <si>
    <t xml:space="preserve">Encarregado Administrativo</t>
  </si>
  <si>
    <t xml:space="preserve">10.04.02</t>
  </si>
  <si>
    <t xml:space="preserve">Almoxarife</t>
  </si>
  <si>
    <t xml:space="preserve">10.04.03</t>
  </si>
  <si>
    <t xml:space="preserve">Auxiliar de Almoxarife</t>
  </si>
  <si>
    <t xml:space="preserve">10.04.04</t>
  </si>
  <si>
    <t xml:space="preserve">Porteiro</t>
  </si>
  <si>
    <t xml:space="preserve">10.04.05</t>
  </si>
  <si>
    <t xml:space="preserve">Vigilancia terceirizada</t>
  </si>
  <si>
    <t xml:space="preserve">10.04.06</t>
  </si>
  <si>
    <t xml:space="preserve">Vigilancia contratada</t>
  </si>
  <si>
    <t xml:space="preserve">10.05</t>
  </si>
  <si>
    <t xml:space="preserve">Equipe produtiva</t>
  </si>
  <si>
    <t xml:space="preserve">10.05.01</t>
  </si>
  <si>
    <t xml:space="preserve">Mestre de Obra</t>
  </si>
  <si>
    <t xml:space="preserve">10.05.02</t>
  </si>
  <si>
    <t xml:space="preserve">Encarregado logistica</t>
  </si>
  <si>
    <t xml:space="preserve">10.05.03</t>
  </si>
  <si>
    <t xml:space="preserve">Encarregado de estrutura/areia</t>
  </si>
  <si>
    <t xml:space="preserve">10.05.04</t>
  </si>
  <si>
    <t xml:space="preserve">Encarregado de acabamento/branca</t>
  </si>
  <si>
    <t xml:space="preserve">10.05.05</t>
  </si>
  <si>
    <t xml:space="preserve">Encarregado de fachada</t>
  </si>
  <si>
    <t xml:space="preserve">10.05.06</t>
  </si>
  <si>
    <t xml:space="preserve">Encarregado de instalações</t>
  </si>
  <si>
    <t xml:space="preserve">10.05.07</t>
  </si>
  <si>
    <t xml:space="preserve">Oficial superior - Bombeiro</t>
  </si>
  <si>
    <t xml:space="preserve">10.05.08</t>
  </si>
  <si>
    <t xml:space="preserve">Oficial superior - Eletricista</t>
  </si>
  <si>
    <t xml:space="preserve">10.05.09</t>
  </si>
  <si>
    <t xml:space="preserve">Oficial - Pedreiro</t>
  </si>
  <si>
    <t xml:space="preserve">10.05.10</t>
  </si>
  <si>
    <t xml:space="preserve">Meio-oficial - Ajudante</t>
  </si>
  <si>
    <t xml:space="preserve">10.05.11</t>
  </si>
  <si>
    <t xml:space="preserve">Servente carga e descarga</t>
  </si>
  <si>
    <t xml:space="preserve">10.05.12</t>
  </si>
  <si>
    <t xml:space="preserve">Servente separador de entulho</t>
  </si>
  <si>
    <t xml:space="preserve">10.05.13</t>
  </si>
  <si>
    <t xml:space="preserve">Servente serviços gerais</t>
  </si>
  <si>
    <t xml:space="preserve">10.06</t>
  </si>
  <si>
    <t xml:space="preserve">Operadores</t>
  </si>
  <si>
    <t xml:space="preserve">10.06.01</t>
  </si>
  <si>
    <t xml:space="preserve">Operador de Betoneira</t>
  </si>
  <si>
    <t xml:space="preserve">10.06.02</t>
  </si>
  <si>
    <t xml:space="preserve">Operador de elevador de obra</t>
  </si>
  <si>
    <t xml:space="preserve">10.06.03</t>
  </si>
  <si>
    <t xml:space="preserve">Operador de Grua</t>
  </si>
  <si>
    <t xml:space="preserve">10.06.04</t>
  </si>
  <si>
    <t xml:space="preserve">Sinaleiro para operações com Grua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</si>
  <si>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</si>
  <si>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</si>
  <si>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</si>
  <si>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</si>
  <si>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</si>
  <si>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</si>
  <si>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</si>
  <si>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</si>
  <si>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</si>
  <si>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</si>
  <si>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</si>
  <si>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Retroescavadeira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</si>
  <si>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</si>
  <si>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</si>
  <si>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</si>
  <si>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</si>
  <si>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</si>
  <si>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</si>
  <si>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</si>
  <si>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</si>
  <si>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</si>
  <si>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</si>
  <si>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</si>
  <si>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</si>
  <si>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</si>
  <si>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</si>
  <si>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</si>
  <si>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</si>
  <si>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</si>
  <si>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40Kg</t>
  </si>
  <si>
    <t xml:space="preserve">11.03.02.02</t>
  </si>
  <si>
    <t xml:space="preserve">Martelete comum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</si>
  <si>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</si>
  <si>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</si>
  <si>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</si>
  <si>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</si>
  <si>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</si>
  <si>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320 L</t>
  </si>
  <si>
    <t xml:space="preserve">11.03.03.03</t>
  </si>
  <si>
    <t xml:space="preserve">Betoneira elétrica cap. 580L com carregador</t>
  </si>
  <si>
    <t xml:space="preserve">11.03.03.04</t>
  </si>
  <si>
    <t xml:space="preserve">Pistola Wlasilva, Hilt ou similar</t>
  </si>
  <si>
    <t xml:space="preserve">11.03.03.05</t>
  </si>
  <si>
    <t xml:space="preserve">Lixadeira manual</t>
  </si>
  <si>
    <t xml:space="preserve">11.03.03.06</t>
  </si>
  <si>
    <t xml:space="preserve">Furadeira  de impacto 550W/110v com mandril Ø1/2" Makita, Bosh ou similar</t>
  </si>
  <si>
    <t xml:space="preserve">11.03.03.07</t>
  </si>
  <si>
    <t xml:space="preserve">Serra mármore 1400w/220v Makita, Bosh ou similar</t>
  </si>
  <si>
    <t xml:space="preserve">11.03.04</t>
  </si>
  <si>
    <t xml:space="preserve">Bandeja primária largura 330cm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</si>
  <si>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</si>
  <si>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</si>
  <si>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</si>
  <si>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</si>
  <si>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</si>
  <si>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</si>
  <si>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</si>
  <si>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</si>
  <si>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11.03.05</t>
  </si>
  <si>
    <t xml:space="preserve">Bandeja secundária largura 330 cm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</si>
  <si>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</si>
  <si>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</si>
  <si>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</si>
  <si>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</si>
  <si>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</si>
  <si>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</si>
  <si>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</si>
  <si>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</si>
  <si>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</si>
  <si>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</si>
  <si>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</si>
  <si>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</si>
  <si>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</si>
  <si>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</si>
  <si>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 com cancelas - 36 paradas(Elevador rápido)</t>
  </si>
  <si>
    <t xml:space="preserve">11.04.01.02</t>
  </si>
  <si>
    <t xml:space="preserve">Locacao de cancelas</t>
  </si>
  <si>
    <t xml:space="preserve">11.04.01.03</t>
  </si>
  <si>
    <t xml:space="preserve">11.04.01.04</t>
  </si>
  <si>
    <t xml:space="preserve">Ascenção elevador - 6º ATÉ 36º parada</t>
  </si>
  <si>
    <t xml:space="preserve">11.04.01.05</t>
  </si>
  <si>
    <t xml:space="preserve">11.04.01.06</t>
  </si>
  <si>
    <t xml:space="preserve">Protecao do fosso do elevador e varandas</t>
  </si>
  <si>
    <t xml:space="preserve">11.04.01.07</t>
  </si>
  <si>
    <t xml:space="preserve">Bases de concreto para instalação da torre e motor</t>
  </si>
  <si>
    <t xml:space="preserve">11.04.01.08</t>
  </si>
  <si>
    <t xml:space="preserve">Taxa de entrega - incluso munk</t>
  </si>
  <si>
    <t xml:space="preserve">11.04.01.09</t>
  </si>
  <si>
    <t xml:space="preserve">Manutenção preventiva/Corretiva - 1 x por mês</t>
  </si>
  <si>
    <t xml:space="preserve">11.04.01.10</t>
  </si>
  <si>
    <t xml:space="preserve">Projeto com laudo de aterramento dos elevadores</t>
  </si>
  <si>
    <t xml:space="preserve">11.04.01.11</t>
  </si>
  <si>
    <t xml:space="preserve">Treinamento operador com certificado</t>
  </si>
  <si>
    <t xml:space="preserve">11.04.01.12</t>
  </si>
  <si>
    <t xml:space="preserve">Taxa de limpeza para devolução</t>
  </si>
  <si>
    <t xml:space="preserve">11.04.02</t>
  </si>
  <si>
    <t xml:space="preserve">Mini grua</t>
  </si>
  <si>
    <t xml:space="preserve">11.04.02.01</t>
  </si>
  <si>
    <t xml:space="preserve">Locação mensal</t>
  </si>
  <si>
    <t xml:space="preserve">11.04.03</t>
  </si>
  <si>
    <t xml:space="preserve">Grua</t>
  </si>
  <si>
    <t xml:space="preserve">11.04.03.01</t>
  </si>
  <si>
    <t xml:space="preserve">Plano de cargas - consultoria calculista</t>
  </si>
  <si>
    <t xml:space="preserve">11.04.03.02</t>
  </si>
  <si>
    <t xml:space="preserve">Montagem - Grua</t>
  </si>
  <si>
    <t xml:space="preserve">11.04.03.03</t>
  </si>
  <si>
    <t xml:space="preserve">Desmontagem - Grua</t>
  </si>
  <si>
    <t xml:space="preserve">11.04.03.04</t>
  </si>
  <si>
    <t xml:space="preserve">Telescopagem  - a cada 3 andares (36 andares)</t>
  </si>
  <si>
    <t xml:space="preserve">11.04.03.05</t>
  </si>
  <si>
    <t xml:space="preserve">Manutenção preventiva - mensal</t>
  </si>
  <si>
    <t xml:space="preserve">11.04.03.06</t>
  </si>
  <si>
    <t xml:space="preserve">Manutenção corretiva - 2 X no mês (03 horas)</t>
  </si>
  <si>
    <t xml:space="preserve">11.04.03.07</t>
  </si>
  <si>
    <t xml:space="preserve">Manutenção corretiva excedente as 3 horas</t>
  </si>
  <si>
    <t xml:space="preserve">11.04.03.08</t>
  </si>
  <si>
    <t xml:space="preserve">Operador da grua - mensal (44 horas semanais)</t>
  </si>
  <si>
    <t xml:space="preserve">11.04.03.09</t>
  </si>
  <si>
    <t xml:space="preserve">Operador da grua (hora extra - 100%) - 9 horas extras por semana durante 21 meses</t>
  </si>
  <si>
    <t xml:space="preserve">11.04.03.10</t>
  </si>
  <si>
    <t xml:space="preserve">Locação de equipamento</t>
  </si>
  <si>
    <t xml:space="preserve">11.04.03.11</t>
  </si>
  <si>
    <t xml:space="preserve">Chumbador grua (somente se for utilizar nas primeiras lajes)</t>
  </si>
  <si>
    <t xml:space="preserve">11.04.03.12</t>
  </si>
  <si>
    <t xml:space="preserve">Treinamento de sinaleiros/amarradores de carga (por grupo)</t>
  </si>
  <si>
    <t xml:space="preserve">11.04.03.13</t>
  </si>
  <si>
    <t xml:space="preserve">Frete para mobilização e desmobilização</t>
  </si>
  <si>
    <t xml:space="preserve">11.04.03.14</t>
  </si>
  <si>
    <t xml:space="preserve">Quadro eletrico com proteção de 60A, cabos de alimentação e cabo móvel de Ø 25 mm quadripolar (Tecsu)</t>
  </si>
  <si>
    <t xml:space="preserve">11.04.03.15</t>
  </si>
  <si>
    <t xml:space="preserve">Execução de aterramento com ART</t>
  </si>
  <si>
    <t xml:space="preserve">11.04.03.16</t>
  </si>
  <si>
    <t xml:space="preserve">Caminhão Munk de 20 toneladas com 5 lanças, pre montagem e desmontagem (Tecsu)</t>
  </si>
  <si>
    <t xml:space="preserve">11.04.03.17</t>
  </si>
  <si>
    <t xml:space="preserve">Guindaste de 70 toneladas na montagem inicial (Ascensional)</t>
  </si>
  <si>
    <t xml:space="preserve">11.04.03.18</t>
  </si>
  <si>
    <t xml:space="preserve">Miscelâneas (barra roscada, lubrificantes, graxas, placas de sinalização, etc)</t>
  </si>
  <si>
    <t xml:space="preserve">11.04.03.19</t>
  </si>
  <si>
    <t xml:space="preserve">Materiais para içamento de cargas</t>
  </si>
  <si>
    <t xml:space="preserve">11.04.03.20</t>
  </si>
  <si>
    <t xml:space="preserve">Indenização na entrega (limpeza geral, pintura pontual, ensaios não destrutivo no motor)</t>
  </si>
  <si>
    <t xml:space="preserve">11.04.03.21</t>
  </si>
  <si>
    <t xml:space="preserve">Plataforma de descarga 2000 Kg</t>
  </si>
  <si>
    <t xml:space="preserve">11.04.03.22</t>
  </si>
  <si>
    <t xml:space="preserve">Porta paletes 2500 Kg</t>
  </si>
  <si>
    <t xml:space="preserve">11.04.03.23</t>
  </si>
  <si>
    <t xml:space="preserve">Caçamba de concreto 500 litros</t>
  </si>
  <si>
    <t xml:space="preserve">11.04.03.24</t>
  </si>
  <si>
    <t xml:space="preserve">Passagem no pilar para ancoragens (Ascensional) - Retrabalho</t>
  </si>
  <si>
    <t xml:space="preserve">11.04.03.25</t>
  </si>
  <si>
    <t xml:space="preserve">Custos travamento de gravatas</t>
  </si>
  <si>
    <t xml:space="preserve">11.05</t>
  </si>
  <si>
    <t xml:space="preserve">Equipamentos para execução de fachadas</t>
  </si>
  <si>
    <t xml:space="preserve">11.05.01</t>
  </si>
  <si>
    <t xml:space="preserve">Diversos</t>
  </si>
  <si>
    <t xml:space="preserve">11.05.01.01</t>
  </si>
  <si>
    <t xml:space="preserve">Serra para corte de juntas em fachadas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</si>
  <si>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</si>
  <si>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</si>
  <si>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</si>
  <si>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</si>
  <si>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</si>
  <si>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</si>
  <si>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</si>
  <si>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</si>
  <si>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</si>
  <si>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 - balancinho</t>
  </si>
  <si>
    <t xml:space="preserve">11.05.03.01</t>
  </si>
  <si>
    <t xml:space="preserve">Locação mensal manual  - cabo 50 metros (metade torre)</t>
  </si>
  <si>
    <t xml:space="preserve">11.05.03.02</t>
  </si>
  <si>
    <t xml:space="preserve">Locação mensal elétrico - cabo 50 metros  (metade torre)</t>
  </si>
  <si>
    <t xml:space="preserve">11.05.03.03</t>
  </si>
  <si>
    <t xml:space="preserve">Locação mensal manual cabo 130 metros (torre inteira)</t>
  </si>
  <si>
    <t xml:space="preserve">11.05.03.04</t>
  </si>
  <si>
    <t xml:space="preserve">Locação mensal elétrico - cabo 130 metros (torre inteira)</t>
  </si>
  <si>
    <t xml:space="preserve">11.05.03.05</t>
  </si>
  <si>
    <t xml:space="preserve">11.05.03.06</t>
  </si>
  <si>
    <t xml:space="preserve">11.05.03.07</t>
  </si>
  <si>
    <t xml:space="preserve">Acessórios para montagem</t>
  </si>
  <si>
    <t xml:space="preserve">11.05.03.08</t>
  </si>
  <si>
    <t xml:space="preserve">Entelamento de fachada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</si>
  <si>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</si>
  <si>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</si>
  <si>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</si>
  <si>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</si>
  <si>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</si>
  <si>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</si>
  <si>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</si>
  <si>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Guarda-corpo de madeira H=120cm para proteção provisória de escadarias - após alvenaria</t>
  </si>
  <si>
    <t xml:space="preserve">11.06.04</t>
  </si>
  <si>
    <t xml:space="preserve">Linha de vida - cabo de aço</t>
  </si>
  <si>
    <t xml:space="preserve">11.06.05</t>
  </si>
  <si>
    <t xml:space="preserve">Madeiramento para EPCs diversos não explicitados.</t>
  </si>
  <si>
    <t xml:space="preserve">11.06.06</t>
  </si>
  <si>
    <t xml:space="preserve">Sistema de proteção SLQA e Rede piso a piso</t>
  </si>
  <si>
    <t xml:space="preserve">11.06.07</t>
  </si>
  <si>
    <t xml:space="preserve">Pontos de ancoragem - varandas</t>
  </si>
  <si>
    <t xml:space="preserve">12/05/2025</t>
  </si>
  <si>
    <t xml:space="preserve">30/05/2025</t>
  </si>
  <si>
    <t xml:space="preserve">12.01</t>
  </si>
  <si>
    <t xml:space="preserve">Locação da obra</t>
  </si>
  <si>
    <t xml:space="preserve">12.01.01</t>
  </si>
  <si>
    <t xml:space="preserve">10/12/2025</t>
  </si>
  <si>
    <t xml:space="preserve">13.01</t>
  </si>
  <si>
    <t xml:space="preserve">Contenções</t>
  </si>
  <si>
    <t xml:space="preserve">13.01.01</t>
  </si>
  <si>
    <t xml:space="preserve">Tubulões escavados manualmente</t>
  </si>
  <si>
    <t xml:space="preserve">13.01.01.01</t>
  </si>
  <si>
    <t xml:space="preserve">Escavação manual de fuste</t>
  </si>
  <si>
    <t xml:space="preserve">13.01.01.02</t>
  </si>
  <si>
    <t xml:space="preserve">Embocamento de tubulão com até 0,40cm de profundidade (fuste 0,90m)</t>
  </si>
  <si>
    <t xml:space="preserve">13.01.01.03</t>
  </si>
  <si>
    <t xml:space="preserve">Execução de plataforma de trabalho</t>
  </si>
  <si>
    <t xml:space="preserve">13.01.01.04</t>
  </si>
  <si>
    <t xml:space="preserve">Locação de camisas para tubulão</t>
  </si>
  <si>
    <t xml:space="preserve">13.01.01.05</t>
  </si>
  <si>
    <t xml:space="preserve">Transporte de camisas nos tubulões</t>
  </si>
  <si>
    <t xml:space="preserve">13.01.01.06</t>
  </si>
  <si>
    <t xml:space="preserve">Lançamento e Retirada Camisa Metálica</t>
  </si>
  <si>
    <t xml:space="preserve">13.01.01.07</t>
  </si>
  <si>
    <t xml:space="preserve">Locação de detector de Gás</t>
  </si>
  <si>
    <t xml:space="preserve">13.01.01.08</t>
  </si>
  <si>
    <t xml:space="preserve">Locação de Insuflador</t>
  </si>
  <si>
    <t xml:space="preserve">13.01.01.09</t>
  </si>
  <si>
    <t xml:space="preserve">Concreto bombeável fck=25Mpa com alto Slump com brita 0, sobreconsumo de 20% incluído na cpu.</t>
  </si>
  <si>
    <t xml:space="preserve">13.01.01.10</t>
  </si>
  <si>
    <t xml:space="preserve">Locação de bomba de concreto estacionária para concretagens de estaca</t>
  </si>
  <si>
    <t xml:space="preserve">13.01.01.11</t>
  </si>
  <si>
    <t xml:space="preserve">Bucha de argamassa de cimento e areia para limpeza e lubrificação de bomba</t>
  </si>
  <si>
    <t xml:space="preserve">13.01.01.12</t>
  </si>
  <si>
    <t xml:space="preserve">Armadura Ca-50 adquirido cortado e dobrado, montagem e posicionamento no canteiro</t>
  </si>
  <si>
    <t xml:space="preserve">13.01.01.13</t>
  </si>
  <si>
    <t xml:space="preserve">Arrasamento de cabeça de estacas com martelete</t>
  </si>
  <si>
    <t xml:space="preserve">13.01.01.14</t>
  </si>
  <si>
    <t xml:space="preserve">Retirada de Terra e material demolido com caçamba</t>
  </si>
  <si>
    <t xml:space="preserve">13.01.01.15</t>
  </si>
  <si>
    <t xml:space="preserve">Equipe de apoio</t>
  </si>
  <si>
    <t xml:space="preserve">13.01.02</t>
  </si>
  <si>
    <t xml:space="preserve">Estacas Escavadas com trado mecanizado</t>
  </si>
  <si>
    <t xml:space="preserve">13.01.02.01</t>
  </si>
  <si>
    <t xml:space="preserve">Taxa de mobilização do empreiteiro</t>
  </si>
  <si>
    <t xml:space="preserve">13.01.02.02</t>
  </si>
  <si>
    <t xml:space="preserve">Perfuração com Ø 0,50m</t>
  </si>
  <si>
    <t xml:space="preserve">13.01.02.03</t>
  </si>
  <si>
    <t xml:space="preserve">Perfuração com Ø 0,60m</t>
  </si>
  <si>
    <t xml:space="preserve">13.01.02.04</t>
  </si>
  <si>
    <t xml:space="preserve">Perfuração com Ø 0,80m</t>
  </si>
  <si>
    <t xml:space="preserve">13.01.02.05</t>
  </si>
  <si>
    <t xml:space="preserve">13.01.02.06</t>
  </si>
  <si>
    <t xml:space="preserve">13.01.02.07</t>
  </si>
  <si>
    <t xml:space="preserve">13.01.02.08</t>
  </si>
  <si>
    <t xml:space="preserve">13.01.02.09</t>
  </si>
  <si>
    <t xml:space="preserve">13.01.02.10</t>
  </si>
  <si>
    <t xml:space="preserve">13.01.03</t>
  </si>
  <si>
    <t xml:space="preserve">Viga de equalização de movimentos</t>
  </si>
  <si>
    <t xml:space="preserve">13.01.03.01</t>
  </si>
  <si>
    <t xml:space="preserve">Formas para vigas</t>
  </si>
  <si>
    <t xml:space="preserve">13.01.03.02</t>
  </si>
  <si>
    <t xml:space="preserve">Cimbramento pé-direito até 350cm</t>
  </si>
  <si>
    <t xml:space="preserve">13.01.03.03</t>
  </si>
  <si>
    <t xml:space="preserve">Cimbramento pé-direito entre 350 e 500cm</t>
  </si>
  <si>
    <t xml:space="preserve">13.01.03.04</t>
  </si>
  <si>
    <t xml:space="preserve">Armadura Ca-60 adquirido cortado e dobrado, montagem e posicionamento no canteiro</t>
  </si>
  <si>
    <t xml:space="preserve">13.01.03.05</t>
  </si>
  <si>
    <t xml:space="preserve">Concreto bombeado Fck=30Mpa para superestrutura</t>
  </si>
  <si>
    <t xml:space="preserve">13.01.04</t>
  </si>
  <si>
    <t xml:space="preserve">Tirantes e viga de suporte</t>
  </si>
  <si>
    <t xml:space="preserve">13.01.04.01</t>
  </si>
  <si>
    <t xml:space="preserve">Taxa de mobilização e desmobilização do empreiteiro de tirantes</t>
  </si>
  <si>
    <t xml:space="preserve">13.01.04.02</t>
  </si>
  <si>
    <t xml:space="preserve">Perfuração rotativa em solo diâmetro de três polegadas.</t>
  </si>
  <si>
    <t xml:space="preserve">13.01.04.03</t>
  </si>
  <si>
    <t xml:space="preserve">Montagem e instalação tirante FIO CP-150-RB (10 fios)</t>
  </si>
  <si>
    <t xml:space="preserve">13.01.04.04</t>
  </si>
  <si>
    <t xml:space="preserve">Preparação e injeção de calda de cimento</t>
  </si>
  <si>
    <t xml:space="preserve">13.01.04.05</t>
  </si>
  <si>
    <t xml:space="preserve">Instalação dos dispositivos de ancoragem dos tirantes CORDOALHA</t>
  </si>
  <si>
    <t xml:space="preserve">13.01.04.06</t>
  </si>
  <si>
    <t xml:space="preserve">Calda de cimento para tirantes</t>
  </si>
  <si>
    <t xml:space="preserve">13.01.04.07</t>
  </si>
  <si>
    <t xml:space="preserve">Protenção e ensaio de influência</t>
  </si>
  <si>
    <t xml:space="preserve">13.01.04.08</t>
  </si>
  <si>
    <t xml:space="preserve">Compressor 900 pcm x 8bar</t>
  </si>
  <si>
    <t xml:space="preserve">13.01.04.09</t>
  </si>
  <si>
    <t xml:space="preserve">Diesel para Compressor 900 pcm x 8bar</t>
  </si>
  <si>
    <t xml:space="preserve">13.01.05</t>
  </si>
  <si>
    <t xml:space="preserve">Fechamento de cortinas entre tubulões - Parede de concreto projetada</t>
  </si>
  <si>
    <t xml:space="preserve">13.01.05.01</t>
  </si>
  <si>
    <t xml:space="preserve">Formas para superestrutura</t>
  </si>
  <si>
    <t xml:space="preserve">13.01.05.02</t>
  </si>
  <si>
    <t xml:space="preserve">13.01.05.03</t>
  </si>
  <si>
    <t xml:space="preserve">13.01.05.04</t>
  </si>
  <si>
    <t xml:space="preserve">13.01.05.05</t>
  </si>
  <si>
    <t xml:space="preserve">13.01.06</t>
  </si>
  <si>
    <t xml:space="preserve">Tratamento de contenções</t>
  </si>
  <si>
    <t xml:space="preserve">13.01.06.01</t>
  </si>
  <si>
    <t xml:space="preserve">Impermeabilização de contenções</t>
  </si>
  <si>
    <t xml:space="preserve">13.01.06.02</t>
  </si>
  <si>
    <t xml:space="preserve">Drenagem para contenções</t>
  </si>
  <si>
    <t xml:space="preserve">13.01.07</t>
  </si>
  <si>
    <t xml:space="preserve">Alvenaria de blocos cerâmicos para isolamento de contenções</t>
  </si>
  <si>
    <t xml:space="preserve">13.01.07.01</t>
  </si>
  <si>
    <t xml:space="preserve">Demarcação de alvenaria de vedação com blocos cerâmicos esp.9cm</t>
  </si>
  <si>
    <t xml:space="preserve">13.01.07.02</t>
  </si>
  <si>
    <t xml:space="preserve">Alvenaria de vedação com blocos cerâmicos esp. 9cm</t>
  </si>
  <si>
    <t xml:space="preserve">13.01.07.03</t>
  </si>
  <si>
    <t xml:space="preserve">Encunhamento com espuma expansiva de poliuretano</t>
  </si>
  <si>
    <t xml:space="preserve">07/07/2025</t>
  </si>
  <si>
    <t xml:space="preserve">03/08/2026</t>
  </si>
  <si>
    <t xml:space="preserve">14.01</t>
  </si>
  <si>
    <t xml:space="preserve">Terraplenagem</t>
  </si>
  <si>
    <t xml:space="preserve">14.01.01</t>
  </si>
  <si>
    <t xml:space="preserve">Corte de terreno com equipamento de grande porte</t>
  </si>
  <si>
    <t xml:space="preserve">14.01.02</t>
  </si>
  <si>
    <t xml:space="preserve">Corte de terreno com equipamento de pequeno porte</t>
  </si>
  <si>
    <t xml:space="preserve">14.01.03</t>
  </si>
  <si>
    <t xml:space="preserve">Acerto manual de terreno</t>
  </si>
  <si>
    <t xml:space="preserve">14.01.04</t>
  </si>
  <si>
    <t xml:space="preserve">Retirada de terra com caminhão basculante</t>
  </si>
  <si>
    <t xml:space="preserve">14.01.05</t>
  </si>
  <si>
    <t xml:space="preserve">Construção de lava-rodas no portão da obra</t>
  </si>
  <si>
    <t xml:space="preserve">24/04/2025</t>
  </si>
  <si>
    <t xml:space="preserve">12/09/2025</t>
  </si>
  <si>
    <t xml:space="preserve">15.01</t>
  </si>
  <si>
    <t xml:space="preserve">Fundação Profunda</t>
  </si>
  <si>
    <t xml:space="preserve">15.01.01</t>
  </si>
  <si>
    <t xml:space="preserve">Estacas escavadas em solo e rocha com utilização de trado especial com "bits" de carboneto de tungstênio</t>
  </si>
  <si>
    <t xml:space="preserve">15.01.01.01</t>
  </si>
  <si>
    <t xml:space="preserve">Mobilização,  transporte,  instalação  de  equipe  e  equipamentos, retorno incluso, por conjunto de equipamentos.</t>
  </si>
  <si>
    <t xml:space="preserve">15.01.01.02</t>
  </si>
  <si>
    <t xml:space="preserve">Acréscimo  ao  item  "1.2"  acima,  para  a  opção  de  utilização  de polímero</t>
  </si>
  <si>
    <t xml:space="preserve">15.01.02</t>
  </si>
  <si>
    <t xml:space="preserve">Escavaçaõ de estaca em solo com SPT ≤ 50 golpes</t>
  </si>
  <si>
    <t xml:space="preserve">15.01.02.01</t>
  </si>
  <si>
    <t xml:space="preserve">Ø 80cm - sem lama</t>
  </si>
  <si>
    <t xml:space="preserve">15.01.02.02</t>
  </si>
  <si>
    <t xml:space="preserve">Ø 80cm - com lama</t>
  </si>
  <si>
    <t xml:space="preserve">15.01.02.03</t>
  </si>
  <si>
    <t xml:space="preserve">Ø 90cm sem lama</t>
  </si>
  <si>
    <t xml:space="preserve">15.01.02.04</t>
  </si>
  <si>
    <t xml:space="preserve">Ø 90cm com  lama</t>
  </si>
  <si>
    <t xml:space="preserve">15.01.02.05</t>
  </si>
  <si>
    <t xml:space="preserve">Ø 100cm sem lama</t>
  </si>
  <si>
    <t xml:space="preserve">15.01.02.06</t>
  </si>
  <si>
    <t xml:space="preserve">Ø 100cm com lama</t>
  </si>
  <si>
    <t xml:space="preserve">15.01.02.07</t>
  </si>
  <si>
    <t xml:space="preserve">Ø 110cm sem lama</t>
  </si>
  <si>
    <t xml:space="preserve">15.01.02.08</t>
  </si>
  <si>
    <t xml:space="preserve">Ø 110cm com lama</t>
  </si>
  <si>
    <t xml:space="preserve">15.01.02.09</t>
  </si>
  <si>
    <t xml:space="preserve">Ø 120cm sem lama</t>
  </si>
  <si>
    <t xml:space="preserve">15.01.02.10</t>
  </si>
  <si>
    <t xml:space="preserve">Ø 120cm com lama</t>
  </si>
  <si>
    <t xml:space="preserve">15.01.02.11</t>
  </si>
  <si>
    <t xml:space="preserve">Ø 130cm sem lama</t>
  </si>
  <si>
    <t xml:space="preserve">15.01.02.12</t>
  </si>
  <si>
    <t xml:space="preserve">Ø 130cm com lama</t>
  </si>
  <si>
    <t xml:space="preserve">15.01.02.13</t>
  </si>
  <si>
    <t xml:space="preserve">Ø 140cm com lama</t>
  </si>
  <si>
    <t xml:space="preserve">15.01.02.14</t>
  </si>
  <si>
    <t xml:space="preserve">Ø 150cm com lama</t>
  </si>
  <si>
    <t xml:space="preserve">15.01.02.15</t>
  </si>
  <si>
    <t xml:space="preserve">Ø 160cm com lama</t>
  </si>
  <si>
    <t xml:space="preserve">15.01.03</t>
  </si>
  <si>
    <t xml:space="preserve">Escavaçaõ de estaca em solo com SPT &gt; 50 golpes e até o limite da ferramenta de escavação, EXCETO ROCHA.</t>
  </si>
  <si>
    <t xml:space="preserve">15.01.03.01</t>
  </si>
  <si>
    <t xml:space="preserve">Ø 80cm sem lama</t>
  </si>
  <si>
    <t xml:space="preserve">15.01.03.02</t>
  </si>
  <si>
    <t xml:space="preserve">Ø 80cm com lama</t>
  </si>
  <si>
    <t xml:space="preserve">15.01.03.03</t>
  </si>
  <si>
    <t xml:space="preserve">15.01.03.04</t>
  </si>
  <si>
    <t xml:space="preserve">Ø 90cm com lama</t>
  </si>
  <si>
    <t xml:space="preserve">15.01.03.05</t>
  </si>
  <si>
    <t xml:space="preserve">15.01.03.06</t>
  </si>
  <si>
    <t xml:space="preserve">15.01.03.07</t>
  </si>
  <si>
    <t xml:space="preserve">15.01.03.08</t>
  </si>
  <si>
    <t xml:space="preserve">15.01.03.09</t>
  </si>
  <si>
    <t xml:space="preserve">15.01.03.10</t>
  </si>
  <si>
    <t xml:space="preserve">15.01.03.11</t>
  </si>
  <si>
    <t xml:space="preserve">15.01.03.12</t>
  </si>
  <si>
    <t xml:space="preserve">15.01.03.13</t>
  </si>
  <si>
    <t xml:space="preserve">15.01.03.14</t>
  </si>
  <si>
    <t xml:space="preserve">15.01.03.15</t>
  </si>
  <si>
    <t xml:space="preserve">15.01.04</t>
  </si>
  <si>
    <t xml:space="preserve">Escavaçaõ de estaca em solo com  ROCHA.</t>
  </si>
  <si>
    <t xml:space="preserve">15.01.04.01</t>
  </si>
  <si>
    <t xml:space="preserve">Ø 120cm</t>
  </si>
  <si>
    <t xml:space="preserve">15.01.04.02</t>
  </si>
  <si>
    <t xml:space="preserve">Ø 130cm</t>
  </si>
  <si>
    <t xml:space="preserve">15.01.04.03</t>
  </si>
  <si>
    <t xml:space="preserve">Ø 140cm</t>
  </si>
  <si>
    <t xml:space="preserve">15.01.04.04</t>
  </si>
  <si>
    <t xml:space="preserve">Ø 150cm</t>
  </si>
  <si>
    <t xml:space="preserve">15.01.04.05</t>
  </si>
  <si>
    <t xml:space="preserve">Ø 160cm</t>
  </si>
  <si>
    <t xml:space="preserve">15.01.05</t>
  </si>
  <si>
    <t xml:space="preserve">Itens complementares</t>
  </si>
  <si>
    <t xml:space="preserve">15.01.05.01</t>
  </si>
  <si>
    <t xml:space="preserve">&lt;html&gt;Aluguel de escavadeira - &lt;b&gt;consideramos dentro de equipamentos&lt;/b&gt;&lt;/html&gt;</t>
  </si>
  <si>
    <t xml:space="preserve">15.01.05.02</t>
  </si>
  <si>
    <t xml:space="preserve">Descarte lama bentonitica tanque 10% volume =230m3</t>
  </si>
  <si>
    <t xml:space="preserve">15.01.05.03</t>
  </si>
  <si>
    <t xml:space="preserve">Caminhao Pipa (Metade do volume de concreto + 10% , cada caminhão possue 10m³ de água)</t>
  </si>
  <si>
    <t xml:space="preserve">15.01.05.04</t>
  </si>
  <si>
    <t xml:space="preserve">Descarte material de escavação - (Volume de concreto + 30% de empolamento)</t>
  </si>
  <si>
    <t xml:space="preserve">15.01.05.05</t>
  </si>
  <si>
    <t xml:space="preserve">Embocamento</t>
  </si>
  <si>
    <t xml:space="preserve">15.01.05.06</t>
  </si>
  <si>
    <t xml:space="preserve">&lt;html&gt;Topografia  (2 diaria por semana de trabalho) - &lt;b&gt;consideramos dentro de M.O&lt;/b&gt;&lt;/html&gt;</t>
  </si>
  <si>
    <t xml:space="preserve">15.01.05.07</t>
  </si>
  <si>
    <t xml:space="preserve">Concreto 25 Mpa (escavação + 20% na CPU)</t>
  </si>
  <si>
    <t xml:space="preserve">15.01.05.08</t>
  </si>
  <si>
    <t xml:space="preserve">Bombeamento</t>
  </si>
  <si>
    <t xml:space="preserve">15.01.05.09</t>
  </si>
  <si>
    <t xml:space="preserve">Aço</t>
  </si>
  <si>
    <t xml:space="preserve">15.01.05.10</t>
  </si>
  <si>
    <t xml:space="preserve">Arrasamento de estacas</t>
  </si>
  <si>
    <t xml:space="preserve">16/05/2025</t>
  </si>
  <si>
    <t xml:space="preserve">06/08/2026</t>
  </si>
  <si>
    <t xml:space="preserve">16.01</t>
  </si>
  <si>
    <t xml:space="preserve">Fundações Superficiais</t>
  </si>
  <si>
    <t xml:space="preserve">16.01.01</t>
  </si>
  <si>
    <t xml:space="preserve">Blocos e cintas</t>
  </si>
  <si>
    <t xml:space="preserve">12/05/2026</t>
  </si>
  <si>
    <t xml:space="preserve">16.01.01.01</t>
  </si>
  <si>
    <t xml:space="preserve">Escavação manual</t>
  </si>
  <si>
    <t xml:space="preserve">16.01.01.02</t>
  </si>
  <si>
    <t xml:space="preserve">Apiloamento</t>
  </si>
  <si>
    <t xml:space="preserve">16.01.01.03</t>
  </si>
  <si>
    <t xml:space="preserve">Formas para infra estrutura, compensado resinado 12mm, reaproveitamento 1,5x.</t>
  </si>
  <si>
    <t xml:space="preserve">16.01.01.04</t>
  </si>
  <si>
    <t xml:space="preserve">16.01.01.05</t>
  </si>
  <si>
    <t xml:space="preserve">16.01.01.06</t>
  </si>
  <si>
    <t xml:space="preserve">Lastro de concreto magro rodado em betoneira</t>
  </si>
  <si>
    <t xml:space="preserve">16.01.01.07</t>
  </si>
  <si>
    <t xml:space="preserve">Concreto bombeado Fck=35Mpa para superestrutura</t>
  </si>
  <si>
    <t xml:space="preserve">16.01.01.08</t>
  </si>
  <si>
    <t xml:space="preserve">Aterro manual</t>
  </si>
  <si>
    <t xml:space="preserve">16.01.01.09</t>
  </si>
  <si>
    <t xml:space="preserve">Retirada de Terra com caçamba</t>
  </si>
  <si>
    <t xml:space="preserve">16.01.01.10</t>
  </si>
  <si>
    <t xml:space="preserve">Impermeabilização de cintas e blocos com pintura asfáltica tipo neutrol ou similar</t>
  </si>
  <si>
    <t xml:space="preserve">16.01.02</t>
  </si>
  <si>
    <t xml:space="preserve">Lajes de contrapiso</t>
  </si>
  <si>
    <t xml:space="preserve">25/05/2026</t>
  </si>
  <si>
    <t xml:space="preserve">16.01.02.01</t>
  </si>
  <si>
    <t xml:space="preserve">16.01.02.02</t>
  </si>
  <si>
    <t xml:space="preserve">Armadura com tela soldada</t>
  </si>
  <si>
    <t xml:space="preserve">16.01.02.03</t>
  </si>
  <si>
    <t xml:space="preserve">Lastro de brita</t>
  </si>
  <si>
    <t xml:space="preserve">16.01.02.04</t>
  </si>
  <si>
    <t xml:space="preserve">Lona preta para isolamento da laje</t>
  </si>
  <si>
    <t xml:space="preserve">16.01.02.05</t>
  </si>
  <si>
    <t xml:space="preserve">Concreto bombeado Fck=30Mpa para infraestrutura</t>
  </si>
  <si>
    <t xml:space="preserve">16.01.02.06</t>
  </si>
  <si>
    <t xml:space="preserve">Polimento de pisos de concreto, acabamento sarrafeado</t>
  </si>
  <si>
    <t xml:space="preserve">16.01.03</t>
  </si>
  <si>
    <t xml:space="preserve">Obra civil câmara</t>
  </si>
  <si>
    <t xml:space="preserve">05/01/2026</t>
  </si>
  <si>
    <t xml:space="preserve">16.01.03.01</t>
  </si>
  <si>
    <t xml:space="preserve">Obra civil para câmara transforadaora</t>
  </si>
  <si>
    <t xml:space="preserve">04/06/2025</t>
  </si>
  <si>
    <t xml:space="preserve">05/07/2027</t>
  </si>
  <si>
    <t xml:space="preserve">17.01</t>
  </si>
  <si>
    <t xml:space="preserve">Execução com efetivo próprio ou empreiteiro de formas</t>
  </si>
  <si>
    <t xml:space="preserve">17.01.01</t>
  </si>
  <si>
    <t xml:space="preserve">Pilares, vigas e lajes</t>
  </si>
  <si>
    <t xml:space="preserve">17.01.01.01</t>
  </si>
  <si>
    <t xml:space="preserve">Formas planas para pilares, vigas e lajes convencionais</t>
  </si>
  <si>
    <t xml:space="preserve">17.01.01.02</t>
  </si>
  <si>
    <t xml:space="preserve">Formas planas para pilares, vigas e lajes nervurada</t>
  </si>
  <si>
    <t xml:space="preserve">17.01.01.03</t>
  </si>
  <si>
    <t xml:space="preserve">Formas planas para pilares, vigas e lajes nervurada 3,50 até 5,99 - 1º subsolo,1º e  3º pavto</t>
  </si>
  <si>
    <t xml:space="preserve">17.01.01.04</t>
  </si>
  <si>
    <t xml:space="preserve">Formas planas para pilares, vigas e lajes convencional 3,50 até 5,99 -  4º pavto</t>
  </si>
  <si>
    <t xml:space="preserve">17.01.01.05</t>
  </si>
  <si>
    <t xml:space="preserve">Formas planas para pilares, vigas e lajes nervurada acima de 6 m  - 6º subsolo e 2º pavto</t>
  </si>
  <si>
    <t xml:space="preserve">17.01.01.06</t>
  </si>
  <si>
    <t xml:space="preserve">17.01.01.07</t>
  </si>
  <si>
    <t xml:space="preserve">17.01.01.08</t>
  </si>
  <si>
    <t xml:space="preserve">Cimbramento pé-direito acima de 500cm</t>
  </si>
  <si>
    <t xml:space="preserve">17.01.01.09</t>
  </si>
  <si>
    <t xml:space="preserve">17.01.01.10</t>
  </si>
  <si>
    <t xml:space="preserve">17.01.01.11</t>
  </si>
  <si>
    <t xml:space="preserve">Concreto bombeado Fck=40Mpa para superestrutura</t>
  </si>
  <si>
    <t xml:space="preserve">17.01.01.12</t>
  </si>
  <si>
    <t xml:space="preserve">17.01.01.13</t>
  </si>
  <si>
    <t xml:space="preserve">17.01.02</t>
  </si>
  <si>
    <t xml:space="preserve">Complementos</t>
  </si>
  <si>
    <t xml:space="preserve">17.01.02.01</t>
  </si>
  <si>
    <t xml:space="preserve">Juntas de dilatação de isopor esp. 20mm</t>
  </si>
  <si>
    <t xml:space="preserve">17.01.02.02</t>
  </si>
  <si>
    <t xml:space="preserve">Tratamento de juntas de dilatação com sikaflex 1A ou similar</t>
  </si>
  <si>
    <t xml:space="preserve">17.01.02.03</t>
  </si>
  <si>
    <t xml:space="preserve">Serviços imponderáveis, complementares à estrutura</t>
  </si>
  <si>
    <t xml:space="preserve">17.01.02.04</t>
  </si>
  <si>
    <t xml:space="preserve">Execução de Mezanino</t>
  </si>
  <si>
    <t xml:space="preserve">27/04/2026</t>
  </si>
  <si>
    <t xml:space="preserve">20/04/2028</t>
  </si>
  <si>
    <t xml:space="preserve">18.01</t>
  </si>
  <si>
    <t xml:space="preserve">Alvenaria de vedação  com blocos cerâmicos</t>
  </si>
  <si>
    <t xml:space="preserve">24/11/2027</t>
  </si>
  <si>
    <t xml:space="preserve">18.01.01</t>
  </si>
  <si>
    <t xml:space="preserve">Esp. 9cm</t>
  </si>
  <si>
    <t xml:space="preserve">18.01.01.01</t>
  </si>
  <si>
    <t xml:space="preserve">18.01.01.02</t>
  </si>
  <si>
    <t xml:space="preserve">18.01.01.03</t>
  </si>
  <si>
    <t xml:space="preserve">18.01.01.04</t>
  </si>
  <si>
    <t xml:space="preserve">Amarração de Alvenaria</t>
  </si>
  <si>
    <t xml:space="preserve">18.01.02</t>
  </si>
  <si>
    <t xml:space="preserve">Esp. 14cm</t>
  </si>
  <si>
    <t xml:space="preserve">18.01.02.01</t>
  </si>
  <si>
    <t xml:space="preserve">Demarcação de alvenaria de vedação com blocos cerâmicos  esp. 14cm</t>
  </si>
  <si>
    <t xml:space="preserve">18.01.02.02</t>
  </si>
  <si>
    <t xml:space="preserve">Alvenaria de vedação com blocos cerâmicos esp. 14m</t>
  </si>
  <si>
    <t xml:space="preserve">18.01.02.03</t>
  </si>
  <si>
    <t xml:space="preserve">18.01.02.04</t>
  </si>
  <si>
    <t xml:space="preserve">18.01.03</t>
  </si>
  <si>
    <t xml:space="preserve">Esp. 19cm</t>
  </si>
  <si>
    <t xml:space="preserve">18.01.03.01</t>
  </si>
  <si>
    <t xml:space="preserve">Demarcação de alvenaria de vedação com blocos cerâmicos esp.19cm</t>
  </si>
  <si>
    <t xml:space="preserve">18.01.03.02</t>
  </si>
  <si>
    <t xml:space="preserve">Alvenaria de vedação com blocos cerâmicos  esp. 19m</t>
  </si>
  <si>
    <t xml:space="preserve">18.01.03.03</t>
  </si>
  <si>
    <t xml:space="preserve">18.01.03.04</t>
  </si>
  <si>
    <t xml:space="preserve">18.02</t>
  </si>
  <si>
    <t xml:space="preserve">Gesso acartonado (Dry-wall)</t>
  </si>
  <si>
    <t xml:space="preserve">04/12/2026</t>
  </si>
  <si>
    <t xml:space="preserve">18.02.01</t>
  </si>
  <si>
    <t xml:space="preserve">Gesso acartonado - S (Chapa Standard)</t>
  </si>
  <si>
    <t xml:space="preserve">18.02.02</t>
  </si>
  <si>
    <t xml:space="preserve">Gesso acartonado - RU (Chapa resistente à umidade)</t>
  </si>
  <si>
    <t xml:space="preserve">18.02.03</t>
  </si>
  <si>
    <t xml:space="preserve">Gesso acartonado - S-A-S - Vedação interna dos apartamentos</t>
  </si>
  <si>
    <t xml:space="preserve">18.02.04</t>
  </si>
  <si>
    <t xml:space="preserve">Gesso acartonado - S-A-RU - Vedação interna dos apartametnos</t>
  </si>
  <si>
    <t xml:space="preserve">18.02.05</t>
  </si>
  <si>
    <t xml:space="preserve">Gesso acartonado - RU-A-RU - Vedação interna dos apartametnos</t>
  </si>
  <si>
    <t xml:space="preserve">18.03</t>
  </si>
  <si>
    <t xml:space="preserve">Verga e Contra-verga</t>
  </si>
  <si>
    <t xml:space="preserve">18.03.01</t>
  </si>
  <si>
    <t xml:space="preserve">Vergas e contravergas</t>
  </si>
  <si>
    <t xml:space="preserve">05/10/2026</t>
  </si>
  <si>
    <t xml:space="preserve">14/06/2028</t>
  </si>
  <si>
    <t xml:space="preserve">19.01</t>
  </si>
  <si>
    <t xml:space="preserve">Impermeabilização com argamassa flexível com consumo de 4,0kg/m2, estruturada com tela poliéster resinada malha de 3x3mm</t>
  </si>
  <si>
    <t xml:space="preserve">01/02/2027</t>
  </si>
  <si>
    <t xml:space="preserve">08/05/2028</t>
  </si>
  <si>
    <t xml:space="preserve">19.01.01</t>
  </si>
  <si>
    <t xml:space="preserve">Camada de regularização com argamassa de cimento e areia</t>
  </si>
  <si>
    <t xml:space="preserve">19.01.02</t>
  </si>
  <si>
    <t xml:space="preserve">AF07 - Cantoneira de alumínio/ galvanizada 2x2 fixada com parafuso bucha S6 a cada 30cm</t>
  </si>
  <si>
    <t xml:space="preserve">19.01.03</t>
  </si>
  <si>
    <t xml:space="preserve">Cozinhas, gourmet, copa</t>
  </si>
  <si>
    <t xml:space="preserve">19.01.04</t>
  </si>
  <si>
    <t xml:space="preserve">Dml, ARS</t>
  </si>
  <si>
    <t xml:space="preserve">19.01.05</t>
  </si>
  <si>
    <t xml:space="preserve">Banheiros</t>
  </si>
  <si>
    <t xml:space="preserve">19.01.06</t>
  </si>
  <si>
    <t xml:space="preserve">Circ. Área técnica</t>
  </si>
  <si>
    <t xml:space="preserve">19.01.07</t>
  </si>
  <si>
    <t xml:space="preserve">Sauna</t>
  </si>
  <si>
    <t xml:space="preserve">19.01.08</t>
  </si>
  <si>
    <t xml:space="preserve">Pet care</t>
  </si>
  <si>
    <t xml:space="preserve">19.01.09</t>
  </si>
  <si>
    <t xml:space="preserve">Casa de máquinas| casa de bombas</t>
  </si>
  <si>
    <t xml:space="preserve">19.01.10</t>
  </si>
  <si>
    <t xml:space="preserve">Reservatório lojas</t>
  </si>
  <si>
    <t xml:space="preserve">19.01.11</t>
  </si>
  <si>
    <t xml:space="preserve">Impermabilização de ralos</t>
  </si>
  <si>
    <t xml:space="preserve">19.02</t>
  </si>
  <si>
    <t xml:space="preserve"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</si>
  <si>
    <t xml:space="preserve">19.02.01</t>
  </si>
  <si>
    <t xml:space="preserve">19.02.02</t>
  </si>
  <si>
    <t xml:space="preserve">Reforço de canto com adesivo epóxi e argamassa epoxídica (apicoar para aderência). Se aplica apenas quando há brocas</t>
  </si>
  <si>
    <t xml:space="preserve">19.02.03</t>
  </si>
  <si>
    <t xml:space="preserve">Fundo dos poços de elevadores</t>
  </si>
  <si>
    <t xml:space="preserve">19.02.04</t>
  </si>
  <si>
    <t xml:space="preserve">Gerador</t>
  </si>
  <si>
    <t xml:space="preserve">19.02.05</t>
  </si>
  <si>
    <t xml:space="preserve">19.03</t>
  </si>
  <si>
    <t xml:space="preserve">Impermeabilização com dupla manta asfáltica tipo III, 4mm e 4mm de esp., classe B acabamento AA, ambas coladas com asfalto oxidado a quente com consumo de 3,0kg/m2 por camada, sobre manta</t>
  </si>
  <si>
    <t xml:space="preserve">19.03.01</t>
  </si>
  <si>
    <t xml:space="preserve">19.03.02</t>
  </si>
  <si>
    <t xml:space="preserve">Proteção mecânica armadaco tela galvanizada, fio 22, malha 1"</t>
  </si>
  <si>
    <t xml:space="preserve">19.03.03</t>
  </si>
  <si>
    <t xml:space="preserve">Camada de transição com geotextil 200g/m2</t>
  </si>
  <si>
    <t xml:space="preserve">19.03.04</t>
  </si>
  <si>
    <t xml:space="preserve">Cantoneira de alumínio/ galvanizada 2x2" fixada com parafuso e bucha S6 a cada 30cm</t>
  </si>
  <si>
    <t xml:space="preserve">19.03.05</t>
  </si>
  <si>
    <t xml:space="preserve">Junta perimetral preenchida com material flexível (mastique de poliuretano ou pasta asfáltica sobre EPS ou equivalente (usado para preenchimento da área e criação da junta)</t>
  </si>
  <si>
    <t xml:space="preserve">19.03.06</t>
  </si>
  <si>
    <t xml:space="preserve">LPI Cobertura</t>
  </si>
  <si>
    <t xml:space="preserve">19.03.07</t>
  </si>
  <si>
    <t xml:space="preserve">Varanda| Terraço descoberto| Varanda privativa lojas</t>
  </si>
  <si>
    <t xml:space="preserve">19.03.08</t>
  </si>
  <si>
    <t xml:space="preserve">Área técnica apto</t>
  </si>
  <si>
    <t xml:space="preserve">19.03.09</t>
  </si>
  <si>
    <t xml:space="preserve">Varanda</t>
  </si>
  <si>
    <t xml:space="preserve">19.03.10</t>
  </si>
  <si>
    <t xml:space="preserve">Pilotis - Playground, estar, deck, pet place, braseiro</t>
  </si>
  <si>
    <t xml:space="preserve">19.03.11</t>
  </si>
  <si>
    <t xml:space="preserve">Quadra de beach tennis</t>
  </si>
  <si>
    <t xml:space="preserve">19.03.12</t>
  </si>
  <si>
    <t xml:space="preserve">19.04</t>
  </si>
  <si>
    <t xml:space="preserve">Sobre o concreto com caimento mínimo de 2,0% e curado, aplicaçao de demão de verniz acrílico a base água, com consumo de 0,1L/m2/demão - Totalizando 0,3L/m2</t>
  </si>
  <si>
    <t xml:space="preserve">19.04.01</t>
  </si>
  <si>
    <t xml:space="preserve">Aba| beiral</t>
  </si>
  <si>
    <t xml:space="preserve">19.05</t>
  </si>
  <si>
    <t xml:space="preserve"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</si>
  <si>
    <t xml:space="preserve">19.05.01</t>
  </si>
  <si>
    <t xml:space="preserve">Recuperação estrutural: Eliminar falhas, rebarbas e brocas em caso de fissuras, deverá ser feito um estudo específico para determinar sua origem e causa</t>
  </si>
  <si>
    <t xml:space="preserve">19.05.02</t>
  </si>
  <si>
    <t xml:space="preserve">Proteção mecânica armada com tela galvanizada, fio 22, malha 1"</t>
  </si>
  <si>
    <t xml:space="preserve">19.05.03</t>
  </si>
  <si>
    <t xml:space="preserve">Meia cana 5x5/ Reforço de canto com argamassa epoxídica (mistura de 1 traço de epósi com 2 de areia seca)</t>
  </si>
  <si>
    <t xml:space="preserve">19.05.04</t>
  </si>
  <si>
    <t xml:space="preserve">Reservatórios</t>
  </si>
  <si>
    <t xml:space="preserve">19.05.05</t>
  </si>
  <si>
    <t xml:space="preserve">19.06</t>
  </si>
  <si>
    <t xml:space="preserve"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</si>
  <si>
    <t xml:space="preserve">19.06.01</t>
  </si>
  <si>
    <t xml:space="preserve">19.06.02</t>
  </si>
  <si>
    <t xml:space="preserve">LPI - Terraço descoberto</t>
  </si>
  <si>
    <t xml:space="preserve">19.06.03</t>
  </si>
  <si>
    <t xml:space="preserve">Marquise pilotis</t>
  </si>
  <si>
    <t xml:space="preserve">19.06.04</t>
  </si>
  <si>
    <t xml:space="preserve">19.07</t>
  </si>
  <si>
    <t xml:space="preserve">Impermeabilização com membrana de poliuretano moldado in loco com espessura mínima de 2mm. Nos cantos, reforço com tela em faixa de 40cm (20cm no piso e 20cm nas paredes). Na última demão ainda fresca, espagir areia para criar camada de aderência e abrasão.</t>
  </si>
  <si>
    <t xml:space="preserve">19.07.01</t>
  </si>
  <si>
    <t xml:space="preserve">19.07.02</t>
  </si>
  <si>
    <t xml:space="preserve">Proteção mecânica</t>
  </si>
  <si>
    <t xml:space="preserve">19.07.03</t>
  </si>
  <si>
    <t xml:space="preserve">Camada drenante com geomanta do tipo Macdrain 2L. * Essa especificação é uma recomendação e deverá ser avaliada ou repensada por profissionaisespecialistas na disciplina de paisagismo  e drenagem, com projeto específicos</t>
  </si>
  <si>
    <t xml:space="preserve">19.07.04</t>
  </si>
  <si>
    <t xml:space="preserve">19.07.05</t>
  </si>
  <si>
    <t xml:space="preserve">Rampa de veículos</t>
  </si>
  <si>
    <t xml:space="preserve">19.07.06</t>
  </si>
  <si>
    <t xml:space="preserve">Jardineira</t>
  </si>
  <si>
    <t xml:space="preserve">19.08</t>
  </si>
  <si>
    <t xml:space="preserve"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</si>
  <si>
    <t xml:space="preserve">19.08.01</t>
  </si>
  <si>
    <t xml:space="preserve">Regularização das superfícies com argamassa CA 1:4 aditivada com fibras de polipropileno (Consumo de 100g por saco de cimento) com acabamento desempenado e feltrado</t>
  </si>
  <si>
    <t xml:space="preserve">19.08.02</t>
  </si>
  <si>
    <t xml:space="preserve">Proteção mecânica armada estruturada com tela galvanizada fio 22 malha 1" (Ancoradas em barras de aço e pinos de aço chumbados no concreto)</t>
  </si>
  <si>
    <t xml:space="preserve">19.08.03</t>
  </si>
  <si>
    <t xml:space="preserve">Camada de transição com geotêxtil 200g/m2</t>
  </si>
  <si>
    <t xml:space="preserve">19.08.04</t>
  </si>
  <si>
    <t xml:space="preserve">Cantoneira de alumínio/ Galvanizada 2x2" fixada com parafuso e bucha S6 a cada 30cm</t>
  </si>
  <si>
    <t xml:space="preserve">19.08.05</t>
  </si>
  <si>
    <t xml:space="preserve">Junta perimetral e rejuntamento preenchidos com mastique de poliuretano</t>
  </si>
  <si>
    <t xml:space="preserve">19.08.06</t>
  </si>
  <si>
    <t xml:space="preserve">Espelho d'agua| Piscina| Raia coberta</t>
  </si>
  <si>
    <t xml:space="preserve">19.08.07</t>
  </si>
  <si>
    <t xml:space="preserve">19.09</t>
  </si>
  <si>
    <t xml:space="preserve"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</si>
  <si>
    <t xml:space="preserve">19.09.01</t>
  </si>
  <si>
    <t xml:space="preserve">19.09.02</t>
  </si>
  <si>
    <t xml:space="preserve">Proteção mecânica armada estruturada com tela galvanizada fio 22 malha 1"</t>
  </si>
  <si>
    <t xml:space="preserve">19.09.03</t>
  </si>
  <si>
    <t xml:space="preserve">19.09.04</t>
  </si>
  <si>
    <t xml:space="preserve">Camada drenante com britas 1 e 2. * Essa especificação é uma recomendação e deverá ser avaliada ou repensada por profissionaisespecialistas na disciplina de paisagismo  e drenagem, com projeto específicos</t>
  </si>
  <si>
    <t xml:space="preserve">19.09.05</t>
  </si>
  <si>
    <t xml:space="preserve">19.09.06</t>
  </si>
  <si>
    <t xml:space="preserve">19.09.07</t>
  </si>
  <si>
    <t xml:space="preserve">19.09.08</t>
  </si>
  <si>
    <t xml:space="preserve">24/08/2026</t>
  </si>
  <si>
    <t xml:space="preserve">16/11/2028</t>
  </si>
  <si>
    <t xml:space="preserve">20.01</t>
  </si>
  <si>
    <t xml:space="preserve">Entrada e geração de energia</t>
  </si>
  <si>
    <t xml:space="preserve">27/06/2028</t>
  </si>
  <si>
    <t xml:space="preserve">29/08/2028</t>
  </si>
  <si>
    <t xml:space="preserve">20.01.01</t>
  </si>
  <si>
    <t xml:space="preserve">Subestação</t>
  </si>
  <si>
    <t xml:space="preserve">20.01.02</t>
  </si>
  <si>
    <t xml:space="preserve">Geradores</t>
  </si>
  <si>
    <t xml:space="preserve">20.02</t>
  </si>
  <si>
    <t xml:space="preserve">Instalações Elétricas Prediais de Baixa Tensão</t>
  </si>
  <si>
    <t xml:space="preserve">20.02.01</t>
  </si>
  <si>
    <t xml:space="preserve">Ramal De Entrada</t>
  </si>
  <si>
    <t xml:space="preserve">18/09/2028</t>
  </si>
  <si>
    <t xml:space="preserve">20.02.02</t>
  </si>
  <si>
    <t xml:space="preserve">Prumadas E Caixas De Distribuição</t>
  </si>
  <si>
    <t xml:space="preserve">20.02.03</t>
  </si>
  <si>
    <t xml:space="preserve">Cabeamento de alimentação</t>
  </si>
  <si>
    <t xml:space="preserve">20.02.04</t>
  </si>
  <si>
    <t xml:space="preserve">Quadros De Circuitos</t>
  </si>
  <si>
    <t xml:space="preserve">08/01/2027</t>
  </si>
  <si>
    <t xml:space="preserve">26/11/2027</t>
  </si>
  <si>
    <t xml:space="preserve">20.02.05</t>
  </si>
  <si>
    <t xml:space="preserve">Fiação de distribuição</t>
  </si>
  <si>
    <t xml:space="preserve">22/04/2027</t>
  </si>
  <si>
    <t xml:space="preserve">24/08/2028</t>
  </si>
  <si>
    <t xml:space="preserve">20.02.06</t>
  </si>
  <si>
    <t xml:space="preserve">Tubulação E Caixas em Lajes</t>
  </si>
  <si>
    <t xml:space="preserve">09/10/2026</t>
  </si>
  <si>
    <t xml:space="preserve">14/09/2027</t>
  </si>
  <si>
    <t xml:space="preserve">20.02.07</t>
  </si>
  <si>
    <t xml:space="preserve">Tubulação E Caixas em Paredes</t>
  </si>
  <si>
    <t xml:space="preserve">20.02.08</t>
  </si>
  <si>
    <t xml:space="preserve">Tomadas, Interruptores e Sensores</t>
  </si>
  <si>
    <t xml:space="preserve">03/02/2027</t>
  </si>
  <si>
    <t xml:space="preserve">20.02.09</t>
  </si>
  <si>
    <t xml:space="preserve">Placas e acabamentos</t>
  </si>
  <si>
    <t xml:space="preserve">20.02.10</t>
  </si>
  <si>
    <t xml:space="preserve">Luminotécnico</t>
  </si>
  <si>
    <t xml:space="preserve">20.03</t>
  </si>
  <si>
    <t xml:space="preserve">Instalações elétricas complementares</t>
  </si>
  <si>
    <t xml:space="preserve">20.03.01</t>
  </si>
  <si>
    <t xml:space="preserve">SPDA</t>
  </si>
  <si>
    <t xml:space="preserve">20.03.02</t>
  </si>
  <si>
    <t xml:space="preserve">Automação</t>
  </si>
  <si>
    <t xml:space="preserve">20.03.03</t>
  </si>
  <si>
    <t xml:space="preserve">Telefonia</t>
  </si>
  <si>
    <t xml:space="preserve">20.03.04</t>
  </si>
  <si>
    <t xml:space="preserve">Interfones</t>
  </si>
  <si>
    <t xml:space="preserve">20.03.05</t>
  </si>
  <si>
    <t xml:space="preserve">Cabeamento lógico</t>
  </si>
  <si>
    <t xml:space="preserve">20.03.06</t>
  </si>
  <si>
    <t xml:space="preserve">Antena coletiva de TV</t>
  </si>
  <si>
    <t xml:space="preserve">20.03.07</t>
  </si>
  <si>
    <t xml:space="preserve">CFTV</t>
  </si>
  <si>
    <t xml:space="preserve">17/07/2026</t>
  </si>
  <si>
    <t xml:space="preserve">25/08/2028</t>
  </si>
  <si>
    <t xml:space="preserve">21.01</t>
  </si>
  <si>
    <t xml:space="preserve">Instalações Prediais de Água fria</t>
  </si>
  <si>
    <t xml:space="preserve">21.01.01</t>
  </si>
  <si>
    <t xml:space="preserve">Rede Concescionária</t>
  </si>
  <si>
    <t xml:space="preserve">11/11/2027</t>
  </si>
  <si>
    <t xml:space="preserve">16/05/2028</t>
  </si>
  <si>
    <t xml:space="preserve">21.01.02</t>
  </si>
  <si>
    <t xml:space="preserve">Barrilete</t>
  </si>
  <si>
    <t xml:space="preserve">11/08/2028</t>
  </si>
  <si>
    <t xml:space="preserve">21.01.03</t>
  </si>
  <si>
    <t xml:space="preserve">Casa De Bombas</t>
  </si>
  <si>
    <t xml:space="preserve">21.01.04</t>
  </si>
  <si>
    <t xml:space="preserve">Furação Nas Lajes</t>
  </si>
  <si>
    <t xml:space="preserve">21.01.05</t>
  </si>
  <si>
    <t xml:space="preserve">Prumadas De Água Fria</t>
  </si>
  <si>
    <t xml:space="preserve">29/09/2026</t>
  </si>
  <si>
    <t xml:space="preserve">21.01.06</t>
  </si>
  <si>
    <t xml:space="preserve">Distribuição</t>
  </si>
  <si>
    <t xml:space="preserve">21.01.07</t>
  </si>
  <si>
    <t xml:space="preserve">Registros e Válvulas</t>
  </si>
  <si>
    <t xml:space="preserve">21.01.08</t>
  </si>
  <si>
    <t xml:space="preserve">Caixas de passagem</t>
  </si>
  <si>
    <t xml:space="preserve">21.01.09</t>
  </si>
  <si>
    <t xml:space="preserve">28/07/2028</t>
  </si>
  <si>
    <t xml:space="preserve">21.02</t>
  </si>
  <si>
    <t xml:space="preserve">Instalações Prediais de Água Quente</t>
  </si>
  <si>
    <t xml:space="preserve">21.02.01</t>
  </si>
  <si>
    <t xml:space="preserve">21.02.02</t>
  </si>
  <si>
    <t xml:space="preserve">Prumadas De Água quente</t>
  </si>
  <si>
    <t xml:space="preserve">21.02.03</t>
  </si>
  <si>
    <t xml:space="preserve">21.02.04</t>
  </si>
  <si>
    <t xml:space="preserve">21.02.05</t>
  </si>
  <si>
    <t xml:space="preserve">21.03</t>
  </si>
  <si>
    <t xml:space="preserve">Instalações Sanitárias Prediais</t>
  </si>
  <si>
    <t xml:space="preserve">21.03.01</t>
  </si>
  <si>
    <t xml:space="preserve">Prumadas  De Esgoto e Ventilação</t>
  </si>
  <si>
    <t xml:space="preserve">21.03.02</t>
  </si>
  <si>
    <t xml:space="preserve">Distribuição Interna De Esgoto</t>
  </si>
  <si>
    <t xml:space="preserve">21.03.03</t>
  </si>
  <si>
    <t xml:space="preserve">Redes Coletoras De Esgoto</t>
  </si>
  <si>
    <t xml:space="preserve">21.03.04</t>
  </si>
  <si>
    <t xml:space="preserve">21.04</t>
  </si>
  <si>
    <t xml:space="preserve">Instalações pluviais Prediais</t>
  </si>
  <si>
    <t xml:space="preserve">21.04.01</t>
  </si>
  <si>
    <t xml:space="preserve">Prumadas  pluviais</t>
  </si>
  <si>
    <t xml:space="preserve">21.04.02</t>
  </si>
  <si>
    <t xml:space="preserve">Redes Coletoras de água pluvial</t>
  </si>
  <si>
    <t xml:space="preserve">21.04.03</t>
  </si>
  <si>
    <t xml:space="preserve">08/09/2026</t>
  </si>
  <si>
    <t xml:space="preserve">30/10/2028</t>
  </si>
  <si>
    <t xml:space="preserve">22.01</t>
  </si>
  <si>
    <t xml:space="preserve">Combate à Incêndio e Sinalização</t>
  </si>
  <si>
    <t xml:space="preserve">22.01.01</t>
  </si>
  <si>
    <t xml:space="preserve">Prumadas de incendio</t>
  </si>
  <si>
    <t xml:space="preserve">23/09/2026</t>
  </si>
  <si>
    <t xml:space="preserve">05/11/2027</t>
  </si>
  <si>
    <t xml:space="preserve">22.01.02</t>
  </si>
  <si>
    <t xml:space="preserve">17/02/2028</t>
  </si>
  <si>
    <t xml:space="preserve">22.01.03</t>
  </si>
  <si>
    <t xml:space="preserve">Hidrantes, mangueiras, registros e caixas</t>
  </si>
  <si>
    <t xml:space="preserve">20/05/2027</t>
  </si>
  <si>
    <t xml:space="preserve">22.01.04</t>
  </si>
  <si>
    <t xml:space="preserve">Extintores de incêndio</t>
  </si>
  <si>
    <t xml:space="preserve">22.01.05</t>
  </si>
  <si>
    <t xml:space="preserve">Comunicação visual</t>
  </si>
  <si>
    <t xml:space="preserve">09/11/2028</t>
  </si>
  <si>
    <t xml:space="preserve">23.01</t>
  </si>
  <si>
    <t xml:space="preserve">19/10/2027</t>
  </si>
  <si>
    <t xml:space="preserve">23.01.01</t>
  </si>
  <si>
    <t xml:space="preserve">Abertura automática de portões de garagem (vaga-box)</t>
  </si>
  <si>
    <t xml:space="preserve">23.01.02</t>
  </si>
  <si>
    <t xml:space="preserve">Estação de carga para carro elétrico - 2 estações por andar de estacionamento</t>
  </si>
  <si>
    <t xml:space="preserve">23.02</t>
  </si>
  <si>
    <t xml:space="preserve">Ar condicionado,  exaustão e pressurização</t>
  </si>
  <si>
    <t xml:space="preserve">23.02.01</t>
  </si>
  <si>
    <t xml:space="preserve">Ar condicionado - Sistema completo para pilotis</t>
  </si>
  <si>
    <t xml:space="preserve">23.02.02</t>
  </si>
  <si>
    <t xml:space="preserve">Ar condicionado - Infraestrutura para instalação de Splits</t>
  </si>
  <si>
    <t xml:space="preserve">23.02.03</t>
  </si>
  <si>
    <t xml:space="preserve">Sistema de exaustão tipo ventokit</t>
  </si>
  <si>
    <t xml:space="preserve">23.02.04</t>
  </si>
  <si>
    <t xml:space="preserve">Sistema de Pressurização</t>
  </si>
  <si>
    <t xml:space="preserve">23.03</t>
  </si>
  <si>
    <t xml:space="preserve">Serviços Complementares diversos</t>
  </si>
  <si>
    <t xml:space="preserve">23.03.01</t>
  </si>
  <si>
    <t xml:space="preserve">Braseiro descoberto</t>
  </si>
  <si>
    <t xml:space="preserve">23.03.02</t>
  </si>
  <si>
    <t xml:space="preserve">Maquinário para Raia coberta - Pilotis</t>
  </si>
  <si>
    <t xml:space="preserve">23.03.03</t>
  </si>
  <si>
    <t xml:space="preserve">Maquinário para Piscina adulto| infantil - Pilotis</t>
  </si>
  <si>
    <t xml:space="preserve">23.03.04</t>
  </si>
  <si>
    <t xml:space="preserve">Maquinário para sauna</t>
  </si>
  <si>
    <t xml:space="preserve">23.03.05</t>
  </si>
  <si>
    <t xml:space="preserve">Protecao Anti-Impacto Nas Garagens</t>
  </si>
  <si>
    <t xml:space="preserve">23.03.06</t>
  </si>
  <si>
    <t xml:space="preserve">Tratamento definitivo de Taludes</t>
  </si>
  <si>
    <t xml:space="preserve">23.03.07</t>
  </si>
  <si>
    <t xml:space="preserve">ME04 - Estruturas de concreto armado moldado in loco, com alturas e dimensões variadas</t>
  </si>
  <si>
    <t xml:space="preserve">23.03.08</t>
  </si>
  <si>
    <t xml:space="preserve">PQ01 - Escorregador em madeira maciça de alta densidade instalado sobre o plano inclinado vegetado</t>
  </si>
  <si>
    <t xml:space="preserve">23.03.09</t>
  </si>
  <si>
    <t xml:space="preserve">PQ02 - Esquipamento de escalada em aço carbono com tratamento em antiferrugem e pintura em poliuretano. Ref.: Escalada horizonte urbano Erê lab.</t>
  </si>
  <si>
    <t xml:space="preserve">23.03.10</t>
  </si>
  <si>
    <t xml:space="preserve">PQ03 - Tronco de eucalipto com acabamento em verniz stain e/ou tinta atóxica. Aço carbono com tratamento antiferrugem e pintura de poliuretano. Cordas de alta resistência com alma de aço. Ref.: Pirâmide de cordas do Erê lab.</t>
  </si>
  <si>
    <t xml:space="preserve">23.03.11</t>
  </si>
  <si>
    <t xml:space="preserve">PQ04 - Conjunto de 5 unidades de pedras de corracha de pneu reciclado + EPDM com dimensões variadas. Ref.: Pedras de borracha do Erê Lab</t>
  </si>
  <si>
    <t xml:space="preserve">23.03.12</t>
  </si>
  <si>
    <t xml:space="preserve">PQ05 - Equipamento giratório com volante central em aço carbono com tratamento antiferrugem e pintura em poiuretano. Ref.: Vitória Régia do Erê Lab.</t>
  </si>
  <si>
    <t xml:space="preserve">23.03.13</t>
  </si>
  <si>
    <t xml:space="preserve">PQ06 - Escalada em aço carbono com tratamento antiferrugem e pintura em poliuretano. Ref.: Mangue do Erê Lab</t>
  </si>
  <si>
    <t xml:space="preserve">23.04</t>
  </si>
  <si>
    <t xml:space="preserve">Comunicação visual definitiva</t>
  </si>
  <si>
    <t xml:space="preserve">23.04.01</t>
  </si>
  <si>
    <t xml:space="preserve">Numeracao dos apartamentos</t>
  </si>
  <si>
    <t xml:space="preserve">23.04.02</t>
  </si>
  <si>
    <t xml:space="preserve">Logomarca da Construtora</t>
  </si>
  <si>
    <t xml:space="preserve">23.04.03</t>
  </si>
  <si>
    <t xml:space="preserve">Letreiro com nome do predio</t>
  </si>
  <si>
    <t xml:space="preserve">23.04.04</t>
  </si>
  <si>
    <t xml:space="preserve">Placas de indicação de ambientes</t>
  </si>
  <si>
    <t xml:space="preserve">23.05</t>
  </si>
  <si>
    <t xml:space="preserve">Quadras</t>
  </si>
  <si>
    <t xml:space="preserve">04/08/2028</t>
  </si>
  <si>
    <t xml:space="preserve">23.05.01</t>
  </si>
  <si>
    <t xml:space="preserve">(Quadra beach tennis A=179,78m2) Camada em areia tratada, de finos grãos, sobre piso drenante. Marcações com kit para quadra de Beach tennis</t>
  </si>
  <si>
    <t xml:space="preserve">23.06</t>
  </si>
  <si>
    <t xml:space="preserve">Tratamento acústico</t>
  </si>
  <si>
    <t xml:space="preserve">26/11/2026</t>
  </si>
  <si>
    <t xml:space="preserve">02/08/2028</t>
  </si>
  <si>
    <t xml:space="preserve">23.06.01</t>
  </si>
  <si>
    <t xml:space="preserve">PI01 - Contrapiso flutuante: Contrapiso sobre Manta acústica aderida, 3mm - Fornecedor: Bautech, sobre Laje maciça - Espessura 10cm. Para evitar fissuras, o contrapiso deverá ser armado com tela tipo "Pop" soldada.</t>
  </si>
  <si>
    <t xml:space="preserve">02/12/2027</t>
  </si>
  <si>
    <t xml:space="preserve">23.06.02</t>
  </si>
  <si>
    <t xml:space="preserve">PI02 - Contrapiso flutuante: Contrapiso armado sobre painel de lã de vidro, (sistema OPTIMA PISO, membrana flexível, 15mm de espessura, ref. ISOVER. Para evitar fissuras, o contrapiso deverá ser armado com tela tipo "Pop" soldada.</t>
  </si>
  <si>
    <t xml:space="preserve">23.06.03</t>
  </si>
  <si>
    <t xml:space="preserve">PI03 - Contrapiso flutuante: base de concreto armado, de 10cm, sobre formar perdida de placa cimentícia de 10mm, e painel de lã de PET, 50mm de espessura, E 35KG/M3  de densidade., na projeção das bombas.</t>
  </si>
  <si>
    <t xml:space="preserve">23.06.04</t>
  </si>
  <si>
    <t xml:space="preserve">RE01 - Revestimento parede em manta de Lã de PET com 50mm de espessura e 35kg/m3 de densidade.</t>
  </si>
  <si>
    <t xml:space="preserve">23.06.05</t>
  </si>
  <si>
    <t xml:space="preserve">FO01 - Forro em manta de Lã de PET com 50mm de espessura e 35kg/m3 de densidade.</t>
  </si>
  <si>
    <t xml:space="preserve">23.06.06</t>
  </si>
  <si>
    <t xml:space="preserve">FO02 - Forro de absorção acústica em tecido tensionável, CLIPSO SOUND,  em revestimento tipo 495 D,  com absorvedor em lã de pet branca 35kg/m3, e 50mm de espessura,  NRC&gt; 0,90 - classificação A, Ref. DIARCO ou equivalente</t>
  </si>
  <si>
    <t xml:space="preserve">14/02/2028</t>
  </si>
  <si>
    <t xml:space="preserve">05/06/2028</t>
  </si>
  <si>
    <t xml:space="preserve">23.06.07</t>
  </si>
  <si>
    <t xml:space="preserve">FO03 - Forro de isolamento acústico composto por  2 níveis  de forro FGE ( estruturado) com 2 chapas de gesso  RF (resistente ao fogo) cada um. preenchimento superior  com 2 mantas de lã de pet com 35kg/m³ de densidade e 50mm de espessura.</t>
  </si>
  <si>
    <t xml:space="preserve">23.07</t>
  </si>
  <si>
    <t xml:space="preserve">Instalações hidráulicas complementares</t>
  </si>
  <si>
    <t xml:space="preserve">13/11/2026</t>
  </si>
  <si>
    <t xml:space="preserve">24/10/2028</t>
  </si>
  <si>
    <t xml:space="preserve">23.07.01</t>
  </si>
  <si>
    <t xml:space="preserve">Redes de Irrigação</t>
  </si>
  <si>
    <t xml:space="preserve">03/12/2027</t>
  </si>
  <si>
    <t xml:space="preserve">23/10/2028</t>
  </si>
  <si>
    <t xml:space="preserve">23.07.02</t>
  </si>
  <si>
    <t xml:space="preserve">Instalações de Gás de cozinha</t>
  </si>
  <si>
    <t xml:space="preserve">23.07.03</t>
  </si>
  <si>
    <t xml:space="preserve">Aquecedores Solares</t>
  </si>
  <si>
    <t xml:space="preserve">06/09/2027</t>
  </si>
  <si>
    <t xml:space="preserve">08/11/2028</t>
  </si>
  <si>
    <t xml:space="preserve">24.01</t>
  </si>
  <si>
    <t xml:space="preserve">Elevadores</t>
  </si>
  <si>
    <t xml:space="preserve">24.01.01</t>
  </si>
  <si>
    <t xml:space="preserve">Elevador comercial 1 (9 andares| 5 paradas)</t>
  </si>
  <si>
    <t xml:space="preserve">17/05/2028</t>
  </si>
  <si>
    <t xml:space="preserve">16/06/2028</t>
  </si>
  <si>
    <t xml:space="preserve">24.01.02</t>
  </si>
  <si>
    <t xml:space="preserve">Elevador comercial 2  (5 andares| 4 paradas)</t>
  </si>
  <si>
    <t xml:space="preserve">24.01.03</t>
  </si>
  <si>
    <t xml:space="preserve">Elevador de emergência (37 andares| 34 paradas)</t>
  </si>
  <si>
    <t xml:space="preserve">24.01.04</t>
  </si>
  <si>
    <t xml:space="preserve">Elevador Social (37 andares| 34 paradas)</t>
  </si>
  <si>
    <t xml:space="preserve">24.01.05</t>
  </si>
  <si>
    <t xml:space="preserve">Proteção para fosso dos elevadores</t>
  </si>
  <si>
    <t xml:space="preserve">24.01.06</t>
  </si>
  <si>
    <t xml:space="preserve">Instalação de bomba sapo para drenagem do poço do elevador</t>
  </si>
  <si>
    <t xml:space="preserve">24.01.07</t>
  </si>
  <si>
    <t xml:space="preserve">Proteção de elevadores definitivos com madeira, papelão e plástico durante a utilização pela obra</t>
  </si>
  <si>
    <t xml:space="preserve">24.01.08</t>
  </si>
  <si>
    <t xml:space="preserve">Serviços complementares à instalação e operação dos elevadores (içamento de motor, chumbamento de portas, preparo do poço)</t>
  </si>
  <si>
    <t xml:space="preserve">01/10/2026</t>
  </si>
  <si>
    <t xml:space="preserve">25.01</t>
  </si>
  <si>
    <t xml:space="preserve">Esquadrias de alumínio</t>
  </si>
  <si>
    <t xml:space="preserve">25.01.01</t>
  </si>
  <si>
    <t xml:space="preserve">Contramarcos</t>
  </si>
  <si>
    <t xml:space="preserve">12/01/2028</t>
  </si>
  <si>
    <t xml:space="preserve">25.01.01.01</t>
  </si>
  <si>
    <t xml:space="preserve">Contramarcos para esquadrias de alumínio</t>
  </si>
  <si>
    <t xml:space="preserve">25.01.02</t>
  </si>
  <si>
    <t xml:space="preserve">13/01/2027</t>
  </si>
  <si>
    <t xml:space="preserve">25.01.02.01</t>
  </si>
  <si>
    <t xml:space="preserve">Esquadrias de alumínio - Torre</t>
  </si>
  <si>
    <t xml:space="preserve">25.01.02.02</t>
  </si>
  <si>
    <t xml:space="preserve">Esquadrias de alumínio - Embasamento</t>
  </si>
  <si>
    <t xml:space="preserve">25.01.02.03</t>
  </si>
  <si>
    <t xml:space="preserve">E01 - Porta de alumínio, correr 3fls, 492,3x256cm</t>
  </si>
  <si>
    <t xml:space="preserve">25.01.02.04</t>
  </si>
  <si>
    <t xml:space="preserve">E02 - Porta de alumínio, correr 2fls, 244x256cm</t>
  </si>
  <si>
    <t xml:space="preserve">25.01.02.05</t>
  </si>
  <si>
    <t xml:space="preserve">E03 - Porta de alumínio, correr 2fls, 284,5x256cm</t>
  </si>
  <si>
    <t xml:space="preserve">25.01.02.06</t>
  </si>
  <si>
    <t xml:space="preserve">E04 - Porta de alumínio, correr 2fls, 503,3x256cm</t>
  </si>
  <si>
    <t xml:space="preserve">25.01.02.07</t>
  </si>
  <si>
    <t xml:space="preserve">E05 - Porta de alumínio, correr 6fls, 817,3x256cm</t>
  </si>
  <si>
    <t xml:space="preserve">25.01.02.08</t>
  </si>
  <si>
    <t xml:space="preserve">E06 - Porta de alumínio, correr 6fls, 516x256cm</t>
  </si>
  <si>
    <t xml:space="preserve">25.01.02.09</t>
  </si>
  <si>
    <t xml:space="preserve">E07 - Porta de alumínio, correr 6fls, 616x256cm</t>
  </si>
  <si>
    <t xml:space="preserve">25.01.02.10</t>
  </si>
  <si>
    <t xml:space="preserve">E08 - Porta de alumínio, abrir simples, 120x256cm</t>
  </si>
  <si>
    <t xml:space="preserve">25.01.02.11</t>
  </si>
  <si>
    <t xml:space="preserve">E10 - Porta de alumínio, correr + fixa + veneziana, 763,5x438cm</t>
  </si>
  <si>
    <t xml:space="preserve">25.01.02.12</t>
  </si>
  <si>
    <t xml:space="preserve">E11 - Porta de alumínio, correr + fixa + veneziana, 291x464cm</t>
  </si>
  <si>
    <t xml:space="preserve">25.01.02.13</t>
  </si>
  <si>
    <t xml:space="preserve">E15 - Porta de alumínio, fixa + abrir + veneziana, 476x438cm</t>
  </si>
  <si>
    <t xml:space="preserve">25.01.02.14</t>
  </si>
  <si>
    <t xml:space="preserve">E17 - Porta de alumínio, abrir simples, 120x280cm</t>
  </si>
  <si>
    <t xml:space="preserve">25.01.02.15</t>
  </si>
  <si>
    <t xml:space="preserve">E18 - Porta de alumínio, abrir simples, 116,5x280cm</t>
  </si>
  <si>
    <t xml:space="preserve">25.01.02.16</t>
  </si>
  <si>
    <t xml:space="preserve">E19 - Porta de alumínio, abrir + fixa, 250x256cm</t>
  </si>
  <si>
    <t xml:space="preserve">25.01.02.17</t>
  </si>
  <si>
    <t xml:space="preserve">E20 - Porta de alumínio, abrir + fixa, 250x256cm</t>
  </si>
  <si>
    <t xml:space="preserve">25.01.02.18</t>
  </si>
  <si>
    <t xml:space="preserve">E21 - Porta de alumínio, fixa + veneziana, 1266,4x510cm</t>
  </si>
  <si>
    <t xml:space="preserve">25.01.02.19</t>
  </si>
  <si>
    <t xml:space="preserve">E22 - Porta de alumínio, abrir + fixa + veneziana, 2581x510cm</t>
  </si>
  <si>
    <t xml:space="preserve">25.01.02.20</t>
  </si>
  <si>
    <t xml:space="preserve">E23 - Porta de alumínio, fixa, 618,4x510cm</t>
  </si>
  <si>
    <t xml:space="preserve">25.01.02.21</t>
  </si>
  <si>
    <t xml:space="preserve">E24 - Porta de alumínio, abrir + fixa + veneziana, 6316,4x510cm</t>
  </si>
  <si>
    <t xml:space="preserve">25.01.02.22</t>
  </si>
  <si>
    <t xml:space="preserve">E25 - Porta de alumínio, abrir + fixa + veneziana, 2875,3x510cm</t>
  </si>
  <si>
    <t xml:space="preserve">25.01.02.23</t>
  </si>
  <si>
    <t xml:space="preserve">E26 - Porta de alumínio, abrir + fixa + veneziana, 2263,2x510cm</t>
  </si>
  <si>
    <t xml:space="preserve">25.01.02.24</t>
  </si>
  <si>
    <t xml:space="preserve">E27 - Porta de alumínio, abrir + fixa + veneziana, 1671,3x510cm</t>
  </si>
  <si>
    <t xml:space="preserve">25.01.02.25</t>
  </si>
  <si>
    <t xml:space="preserve">E28 - Porta de alumínio, fixa, 1266,4x520cm</t>
  </si>
  <si>
    <t xml:space="preserve">25.01.02.26</t>
  </si>
  <si>
    <t xml:space="preserve">E29 - Porta de alumínio, abrir + fixa + veneziana, 2581x520cm</t>
  </si>
  <si>
    <t xml:space="preserve">25.01.02.27</t>
  </si>
  <si>
    <t xml:space="preserve">E30 - Porta de alumínio, fixa, 618,4x520cm</t>
  </si>
  <si>
    <t xml:space="preserve">25.01.02.28</t>
  </si>
  <si>
    <t xml:space="preserve">E31 - Porta de alumínio, abrir + fixa + veneziana, 1755,5x520cm</t>
  </si>
  <si>
    <t xml:space="preserve">25.01.02.29</t>
  </si>
  <si>
    <t xml:space="preserve">E32 - Porta de alumínio, abrir + fixa + veneziana, 1797x500cm</t>
  </si>
  <si>
    <t xml:space="preserve">25.01.02.30</t>
  </si>
  <si>
    <t xml:space="preserve">E33 - Porta de alumínio, abrir + fixa + veneziana, 2289x500cm</t>
  </si>
  <si>
    <t xml:space="preserve">25.01.02.31</t>
  </si>
  <si>
    <t xml:space="preserve">E34 - Porta de alumínio, abrir + fixa + veneziana, 3455,8x514cm</t>
  </si>
  <si>
    <t xml:space="preserve">25.01.02.32</t>
  </si>
  <si>
    <t xml:space="preserve">E35 - Porta de alumínio, fixa, 1736,1x500cm</t>
  </si>
  <si>
    <t xml:space="preserve">25.01.02.33</t>
  </si>
  <si>
    <t xml:space="preserve">E36 - Porta de alumínio, fixa, 2263,2x500cm</t>
  </si>
  <si>
    <t xml:space="preserve">25.01.02.34</t>
  </si>
  <si>
    <t xml:space="preserve">E37 - Porta de alumínio, abrir + fixa + veneziana, 1671,5x500cm</t>
  </si>
  <si>
    <t xml:space="preserve">25.01.02.35</t>
  </si>
  <si>
    <t xml:space="preserve">E38 - Porta de alumínio, fixa, 697,5x520cm</t>
  </si>
  <si>
    <t xml:space="preserve">25.01.02.36</t>
  </si>
  <si>
    <t xml:space="preserve">E38 - Porta de alumínio, fixa, 693,5x520cm</t>
  </si>
  <si>
    <t xml:space="preserve">25.01.02.37</t>
  </si>
  <si>
    <t xml:space="preserve">E39 - Porta de alumínio, abrir + fixa, 167x520cm</t>
  </si>
  <si>
    <t xml:space="preserve">25.01.02.38</t>
  </si>
  <si>
    <t xml:space="preserve">E40 - Porta de alumínio, abrir + fixa, 738,1x290cm</t>
  </si>
  <si>
    <t xml:space="preserve">25.01.02.39</t>
  </si>
  <si>
    <t xml:space="preserve">E41 - Porta de alumínio, abrir + fixa veneziana, alumínio e vidro, 2855x639cm</t>
  </si>
  <si>
    <t xml:space="preserve">25.01.02.40</t>
  </si>
  <si>
    <t xml:space="preserve">E42 - Porta de alumínio, abrir + fixa veneziana, alumínio e vidro, 512x639cm</t>
  </si>
  <si>
    <t xml:space="preserve">25.01.02.41</t>
  </si>
  <si>
    <t xml:space="preserve">E43 - Porta de alumínio, abrir + fixa veneziana, alumínio e vidro, 1034,5x469cm</t>
  </si>
  <si>
    <t xml:space="preserve">25.01.02.42</t>
  </si>
  <si>
    <t xml:space="preserve">E44 - Porta de alumínio, abrir + fixa + basculante + veneziana, alumínio e vidro, 1651,7x639cm</t>
  </si>
  <si>
    <t xml:space="preserve">25.01.02.43</t>
  </si>
  <si>
    <t xml:space="preserve">P - Porta de alumínio veneziana, 299x200cm (Abrigo aquecedores)</t>
  </si>
  <si>
    <t xml:space="preserve">25.01.02.44</t>
  </si>
  <si>
    <t xml:space="preserve">P - Porta de alumínio veneziana, 133x200cm (Abrigo aquecedores)</t>
  </si>
  <si>
    <t xml:space="preserve">25.01.02.45</t>
  </si>
  <si>
    <t xml:space="preserve">PA1 - Porta pivotante + fixa, (ver proj. de interiores), 1034,5x419cm</t>
  </si>
  <si>
    <t xml:space="preserve">25.01.02.46</t>
  </si>
  <si>
    <t xml:space="preserve">P3 - Porta de alumínio abrir simples, 80x210cm</t>
  </si>
  <si>
    <t xml:space="preserve">25.01.02.47</t>
  </si>
  <si>
    <t xml:space="preserve">P4 - Porta de alumínio abrir simples, 90x210cm</t>
  </si>
  <si>
    <t xml:space="preserve">25.01.02.48</t>
  </si>
  <si>
    <t xml:space="preserve">J01 - Janela de alumínio pivotante + fixa, 40x186cm</t>
  </si>
  <si>
    <t xml:space="preserve">25.01.02.49</t>
  </si>
  <si>
    <t xml:space="preserve">J02 - Janela de alumínio correr 2fls c/ persiana integrada + fixa, 160x186cm</t>
  </si>
  <si>
    <t xml:space="preserve">25.01.02.50</t>
  </si>
  <si>
    <t xml:space="preserve">J03 - Janela de alumínio pivotante + fixa + veneziana, 40x186cm</t>
  </si>
  <si>
    <t xml:space="preserve">25.01.02.51</t>
  </si>
  <si>
    <t xml:space="preserve">J04 - Janela de alumínio correr 2 fls, 183x146cm</t>
  </si>
  <si>
    <t xml:space="preserve">25.01.02.52</t>
  </si>
  <si>
    <t xml:space="preserve">J05 - Janela de alumínio correr 2 fls + fixo, 160x186cm</t>
  </si>
  <si>
    <t xml:space="preserve">25.01.02.53</t>
  </si>
  <si>
    <t xml:space="preserve">J06 - Janela de alumínio correr 2 fls + fixo, 200x186cm</t>
  </si>
  <si>
    <t xml:space="preserve">25.01.02.54</t>
  </si>
  <si>
    <t xml:space="preserve">J07 - Janela de alumínio pivotante + fixa, 90x186cm</t>
  </si>
  <si>
    <t xml:space="preserve">25.01.02.55</t>
  </si>
  <si>
    <t xml:space="preserve">J08 - Janela de alumínio maxim-ar fixa, 640x100cm</t>
  </si>
  <si>
    <t xml:space="preserve">25.01.02.56</t>
  </si>
  <si>
    <t xml:space="preserve">J09 - Janela de alumínio maxim-ar fixa, 640x100cm</t>
  </si>
  <si>
    <t xml:space="preserve">25.01.02.57</t>
  </si>
  <si>
    <t xml:space="preserve">J10 - Janela de alumínio maxim-ar fixa, 357x100cm</t>
  </si>
  <si>
    <t xml:space="preserve">25.01.02.58</t>
  </si>
  <si>
    <t xml:space="preserve">J11 - Janela de alumínio maxim-ar, 1473x60cm</t>
  </si>
  <si>
    <t xml:space="preserve">25.01.02.59</t>
  </si>
  <si>
    <t xml:space="preserve">J12 - Janela de alumínio veneziana fixa, 360x135cm</t>
  </si>
  <si>
    <t xml:space="preserve">25.01.02.60</t>
  </si>
  <si>
    <t xml:space="preserve">E09 - Esquadria de alumínio, fixa + veneziana, 1668,2x438cm</t>
  </si>
  <si>
    <t xml:space="preserve">25.01.02.61</t>
  </si>
  <si>
    <t xml:space="preserve">E12 - Esquadria de alumínio, fixa, 2263,2x438cm</t>
  </si>
  <si>
    <t xml:space="preserve">25.01.02.62</t>
  </si>
  <si>
    <t xml:space="preserve">E13 - Esquadria de alumínio, fixa, 394,8x438cm</t>
  </si>
  <si>
    <t xml:space="preserve">25.01.02.63</t>
  </si>
  <si>
    <t xml:space="preserve">E14 - Esquadria de alumínio, fixa, 254,5x438cm</t>
  </si>
  <si>
    <t xml:space="preserve">25.01.02.64</t>
  </si>
  <si>
    <t xml:space="preserve">E16 - Janela de alumínio, fixa + maxim-ar + veneziana, 476x438cm</t>
  </si>
  <si>
    <t xml:space="preserve">25.01.02.65</t>
  </si>
  <si>
    <t xml:space="preserve">GC1 - Guarda-corpo alumínio e vidro, 1038,3x40cm</t>
  </si>
  <si>
    <t xml:space="preserve">25.01.02.66</t>
  </si>
  <si>
    <t xml:space="preserve">GC2 - Guarda-corpo alumínio e vidro, 496,2x40cm</t>
  </si>
  <si>
    <t xml:space="preserve">25.01.02.67</t>
  </si>
  <si>
    <t xml:space="preserve">GC3 - Guarda-corpo alumínio e vidro, 1056,5x40cm</t>
  </si>
  <si>
    <t xml:space="preserve">25.01.02.68</t>
  </si>
  <si>
    <t xml:space="preserve">GC4 - Guarda-corpo alumínio e vidro, 2263,1x40cm</t>
  </si>
  <si>
    <t xml:space="preserve">25.01.02.69</t>
  </si>
  <si>
    <t xml:space="preserve">GC5 - Guarda-corpo alumínio e vidro, 49x110cm</t>
  </si>
  <si>
    <t xml:space="preserve">25.01.02.70</t>
  </si>
  <si>
    <t xml:space="preserve">GC6 - Guarda-corpo alumínio e vidro, 1335,5x110cm</t>
  </si>
  <si>
    <t xml:space="preserve">25.01.02.71</t>
  </si>
  <si>
    <t xml:space="preserve">GC7 - Guarda-corpo alumínio e vidro, 2541,5x110cm</t>
  </si>
  <si>
    <t xml:space="preserve">25.01.02.72</t>
  </si>
  <si>
    <t xml:space="preserve">GC8 - Guarda-corpo alumínio e vidro, 1576,1x110cm</t>
  </si>
  <si>
    <t xml:space="preserve">25.01.02.73</t>
  </si>
  <si>
    <t xml:space="preserve">GC9 - Guarda-corpo alumínio e vidro, 2822,9x110cm</t>
  </si>
  <si>
    <t xml:space="preserve">25.01.02.74</t>
  </si>
  <si>
    <t xml:space="preserve">GC10 - Guarda-corpo alumínio e vidro, 793,6x110cm</t>
  </si>
  <si>
    <t xml:space="preserve">25.01.02.75</t>
  </si>
  <si>
    <t xml:space="preserve">GC11 - Guarda-corpo alumínio e vidro, 5138,5x110cm</t>
  </si>
  <si>
    <t xml:space="preserve">25.01.02.76</t>
  </si>
  <si>
    <t xml:space="preserve">GC12 - Guarda-corpo alumínio e vidro, 42x110cm</t>
  </si>
  <si>
    <t xml:space="preserve">25.01.02.77</t>
  </si>
  <si>
    <t xml:space="preserve">GC13 - Guarda-corpo alumínio e vidro, 1361,1x110cm</t>
  </si>
  <si>
    <t xml:space="preserve">25.01.02.78</t>
  </si>
  <si>
    <t xml:space="preserve">GC14 - Guarda-corpo alumínio e vidro, 2285,5x110cm</t>
  </si>
  <si>
    <t xml:space="preserve">25.01.02.79</t>
  </si>
  <si>
    <t xml:space="preserve">GC15 - Guarda-corpo alumínio e vidro, 242,5x110cm</t>
  </si>
  <si>
    <t xml:space="preserve">25.01.02.80</t>
  </si>
  <si>
    <t xml:space="preserve">GC16 - Guarda-corpo alumínio e vidro, 584x110cm</t>
  </si>
  <si>
    <t xml:space="preserve">25.01.02.81</t>
  </si>
  <si>
    <t xml:space="preserve">GC17 - Guarda-corpo alumínio e vidro, 2845x110cm</t>
  </si>
  <si>
    <t xml:space="preserve">25.01.02.82</t>
  </si>
  <si>
    <t xml:space="preserve">GC18 - Guarda-corpo alumínio e vidro, 5214,6x110cm</t>
  </si>
  <si>
    <t xml:space="preserve">25.01.02.83</t>
  </si>
  <si>
    <t xml:space="preserve">GC19 - Guarda-corpo alumínio e vidro, 1357,5x110cm</t>
  </si>
  <si>
    <t xml:space="preserve">25.01.02.84</t>
  </si>
  <si>
    <t xml:space="preserve">GC20 - Guarda-corpo alumínio e vidro, 257x110cm</t>
  </si>
  <si>
    <t xml:space="preserve">25.01.02.85</t>
  </si>
  <si>
    <t xml:space="preserve">GC21 - Guarda-corpo alumínio e vidro, 2283,5x110cm</t>
  </si>
  <si>
    <t xml:space="preserve">25.01.02.86</t>
  </si>
  <si>
    <t xml:space="preserve">GC22 - Guarda-corpo alumínio e vidro, 186,5x110cm</t>
  </si>
  <si>
    <t xml:space="preserve">25.01.02.87</t>
  </si>
  <si>
    <t xml:space="preserve">GC23 - Guarda-corpo alumínio e vidro, 1066,9x110cm</t>
  </si>
  <si>
    <t xml:space="preserve">25.01.02.88</t>
  </si>
  <si>
    <t xml:space="preserve">GC24 - Guarda-corpo alumínio e vidro, 349x110cm</t>
  </si>
  <si>
    <t xml:space="preserve">25.01.02.89</t>
  </si>
  <si>
    <t xml:space="preserve">GC25 - Guarda-corpo alumínio e vidro, 2601x110cm</t>
  </si>
  <si>
    <t xml:space="preserve">25.01.02.90</t>
  </si>
  <si>
    <t xml:space="preserve">GC26 - Guarda-corpo alumínio e vidro, 1465x110cm</t>
  </si>
  <si>
    <t xml:space="preserve">25.01.02.91</t>
  </si>
  <si>
    <t xml:space="preserve">GC27 - Guarda-corpo alumínio e vidro, 660x110cm</t>
  </si>
  <si>
    <t xml:space="preserve">25.01.02.92</t>
  </si>
  <si>
    <t xml:space="preserve">GC28 - Guarda-corpo alumínio e vidro, 2283,5x110cm</t>
  </si>
  <si>
    <t xml:space="preserve">25.01.02.93</t>
  </si>
  <si>
    <t xml:space="preserve">GC29 - Guarda-corpo alumínio e vidro, 186x110cm</t>
  </si>
  <si>
    <t xml:space="preserve">25.01.02.94</t>
  </si>
  <si>
    <t xml:space="preserve">GC30 - Guarda-corpo alumínio e vidro, 583,9x110cm</t>
  </si>
  <si>
    <t xml:space="preserve">25.01.02.95</t>
  </si>
  <si>
    <t xml:space="preserve">GC31 - Guarda-corpo alumínio e vidro, 1066,9x110cm</t>
  </si>
  <si>
    <t xml:space="preserve">25.01.02.96</t>
  </si>
  <si>
    <t xml:space="preserve">GC32 - Guarda-corpo alumínio e vidro, 273x110cm</t>
  </si>
  <si>
    <t xml:space="preserve">25.01.02.97</t>
  </si>
  <si>
    <t xml:space="preserve">Guarda-corpo de alumínio, H=110cm (Escada Hall Comercial)</t>
  </si>
  <si>
    <t xml:space="preserve">25.01.02.98</t>
  </si>
  <si>
    <t xml:space="preserve">Corrimao de alumínio</t>
  </si>
  <si>
    <t xml:space="preserve">25.01.02.99</t>
  </si>
  <si>
    <t xml:space="preserve">PT1 - Portão de alumínio basculante, 500x236cm</t>
  </si>
  <si>
    <t xml:space="preserve">25.01.02.100</t>
  </si>
  <si>
    <t xml:space="preserve">PT2 - Portão de alumínio basculante - 630x236cm</t>
  </si>
  <si>
    <t xml:space="preserve">25.01.02.101</t>
  </si>
  <si>
    <t xml:space="preserve">PT3 - Portão de alumínio correr 1fl - 500x230cm</t>
  </si>
  <si>
    <t xml:space="preserve">25.01.02.102</t>
  </si>
  <si>
    <t xml:space="preserve">PT4 - Portão de alumínio basculante - 624x320cm</t>
  </si>
  <si>
    <t xml:space="preserve">25.01.02.103</t>
  </si>
  <si>
    <t xml:space="preserve">PT5 - Portão de alumínio fixo, 522,5x320cm</t>
  </si>
  <si>
    <t xml:space="preserve">25.02</t>
  </si>
  <si>
    <t xml:space="preserve">Esquadrias de vidro</t>
  </si>
  <si>
    <t xml:space="preserve">25.02.01</t>
  </si>
  <si>
    <t xml:space="preserve">Box de banho</t>
  </si>
  <si>
    <t xml:space="preserve">25.02.01.01</t>
  </si>
  <si>
    <t xml:space="preserve">Box de vidro temperado incolor (IS Zeladoria)</t>
  </si>
  <si>
    <t xml:space="preserve">25.03</t>
  </si>
  <si>
    <t xml:space="preserve">Vidraçaria</t>
  </si>
  <si>
    <t xml:space="preserve">13/03/2028</t>
  </si>
  <si>
    <t xml:space="preserve">25.03.01</t>
  </si>
  <si>
    <t xml:space="preserve">Espelhos</t>
  </si>
  <si>
    <t xml:space="preserve">25.03.02</t>
  </si>
  <si>
    <t xml:space="preserve">INT - Espelho prata 8mm com base em MDF 18mm piso-teto</t>
  </si>
  <si>
    <t xml:space="preserve">06/10/2027</t>
  </si>
  <si>
    <t xml:space="preserve">18/10/2028</t>
  </si>
  <si>
    <t xml:space="preserve">26.01</t>
  </si>
  <si>
    <t xml:space="preserve">Esquadrias de aço</t>
  </si>
  <si>
    <t xml:space="preserve">26.01.01</t>
  </si>
  <si>
    <t xml:space="preserve">Portas corta-fogo</t>
  </si>
  <si>
    <t xml:space="preserve">26.01.01.01</t>
  </si>
  <si>
    <t xml:space="preserve">PCF1 - Porta corta-fogo 90x210cm</t>
  </si>
  <si>
    <t xml:space="preserve">26.01.01.02</t>
  </si>
  <si>
    <t xml:space="preserve">PCF2 - Porta corta-fogo 100x210cm</t>
  </si>
  <si>
    <t xml:space="preserve">26.01.01.03</t>
  </si>
  <si>
    <t xml:space="preserve">Alçapões</t>
  </si>
  <si>
    <t xml:space="preserve">26.01.01.04</t>
  </si>
  <si>
    <t xml:space="preserve">Alçapão de chapa lisa 90x90cm</t>
  </si>
  <si>
    <t xml:space="preserve">26.01.01.05</t>
  </si>
  <si>
    <t xml:space="preserve">Alçapão de chapa lisa 100x100cm</t>
  </si>
  <si>
    <t xml:space="preserve">26.01.01.06</t>
  </si>
  <si>
    <t xml:space="preserve">Alçapão de chapa lisa 80x80cm</t>
  </si>
  <si>
    <t xml:space="preserve">26.01.02</t>
  </si>
  <si>
    <t xml:space="preserve">Corrimaos e guarda corpos</t>
  </si>
  <si>
    <t xml:space="preserve">26.01.02.01</t>
  </si>
  <si>
    <t xml:space="preserve">Corrimãos em aço carbono pintados com tinta esmalte</t>
  </si>
  <si>
    <t xml:space="preserve">26.01.02.02</t>
  </si>
  <si>
    <t xml:space="preserve">Guarda-corpo tubular de aço H=120cm</t>
  </si>
  <si>
    <t xml:space="preserve">26.01.03</t>
  </si>
  <si>
    <t xml:space="preserve">Gradis, portoes e fechamentos</t>
  </si>
  <si>
    <t xml:space="preserve">26.01.03.01</t>
  </si>
  <si>
    <t xml:space="preserve">20 - Fechamento em alambrado a ser definido, tonalidade Bronze Médio 1002 Metálico, BZ002PE</t>
  </si>
  <si>
    <t xml:space="preserve">26.01.03.02</t>
  </si>
  <si>
    <t xml:space="preserve">Reforços de esquadrias - Portas Varandas apartamentos</t>
  </si>
  <si>
    <t xml:space="preserve">26.01.03.03</t>
  </si>
  <si>
    <t xml:space="preserve">Reforços de bancadas - Cozinhas apartamentos Alamenda</t>
  </si>
  <si>
    <t xml:space="preserve">26.01.03.04</t>
  </si>
  <si>
    <t xml:space="preserve">Reforços de fachada  -  2º pavimento</t>
  </si>
  <si>
    <t xml:space="preserve">26.01.04</t>
  </si>
  <si>
    <t xml:space="preserve">Escadas</t>
  </si>
  <si>
    <t xml:space="preserve">26.01.04.01</t>
  </si>
  <si>
    <t xml:space="preserve">Escada de marinheiro - degraus chumbados</t>
  </si>
  <si>
    <t xml:space="preserve">26.01.04.02</t>
  </si>
  <si>
    <t xml:space="preserve">Escada de chapa - sistema completo com guarda-corpo e patamar (acesso à mesa da casa de máquinas de elevadores)</t>
  </si>
  <si>
    <t xml:space="preserve">18/06/2027</t>
  </si>
  <si>
    <t xml:space="preserve">25/09/2028</t>
  </si>
  <si>
    <t xml:space="preserve">27.01</t>
  </si>
  <si>
    <t xml:space="preserve">Esquadrias de madeira</t>
  </si>
  <si>
    <t xml:space="preserve">21/12/2027</t>
  </si>
  <si>
    <t xml:space="preserve">27.01.01</t>
  </si>
  <si>
    <t xml:space="preserve">Preenchimento Lateral</t>
  </si>
  <si>
    <t xml:space="preserve">27.01.01.01</t>
  </si>
  <si>
    <t xml:space="preserve">Preenchimento lateral para portas com espuma expansiva de poliuretano</t>
  </si>
  <si>
    <t xml:space="preserve">27.01.02</t>
  </si>
  <si>
    <t xml:space="preserve">Portas</t>
  </si>
  <si>
    <t xml:space="preserve">27.01.02.01</t>
  </si>
  <si>
    <t xml:space="preserve">P1 - Porta de madeira abrir simples, 60x210cm</t>
  </si>
  <si>
    <t xml:space="preserve">27.01.02.02</t>
  </si>
  <si>
    <t xml:space="preserve">P2 - Porta de madeira abrir simples, 70x210cm</t>
  </si>
  <si>
    <t xml:space="preserve">27.01.02.03</t>
  </si>
  <si>
    <t xml:space="preserve">P3 - Porta de madeira abrir simples, 80x210cm</t>
  </si>
  <si>
    <t xml:space="preserve">27.01.02.04</t>
  </si>
  <si>
    <t xml:space="preserve">P4 - Porta de madeira abrir simples, 90x210cm</t>
  </si>
  <si>
    <t xml:space="preserve">27.01.02.05</t>
  </si>
  <si>
    <t xml:space="preserve">P5 - Porta de madeira correr embutida 1fl, 70x210cm</t>
  </si>
  <si>
    <t xml:space="preserve">27.01.02.06</t>
  </si>
  <si>
    <t xml:space="preserve">P6 - Porta de madeira abrir dupla, 165x210cm</t>
  </si>
  <si>
    <t xml:space="preserve">27.01.02.07</t>
  </si>
  <si>
    <t xml:space="preserve">Portas acusticas - 28º pavimento</t>
  </si>
  <si>
    <t xml:space="preserve">27.01.02.08</t>
  </si>
  <si>
    <t xml:space="preserve">(INT) PA2 - Porta pivotante + fixa, 150x520cm</t>
  </si>
  <si>
    <t xml:space="preserve">27.01.02.09</t>
  </si>
  <si>
    <t xml:space="preserve">(INT) PA3 - Porta pivotante + fixa, 135x260cm</t>
  </si>
  <si>
    <t xml:space="preserve">27.01.02.10</t>
  </si>
  <si>
    <t xml:space="preserve">(INT) PA4 - Porta pivotante + fixa, 150x468cm</t>
  </si>
  <si>
    <t xml:space="preserve">27.01.02.11</t>
  </si>
  <si>
    <t xml:space="preserve">(INT) PA5 - Porta pivotante + fixa, 109x468cm</t>
  </si>
  <si>
    <t xml:space="preserve">27.01.02.12</t>
  </si>
  <si>
    <t xml:space="preserve">Dobradiça cromada 3" - Kit com 3 unidades</t>
  </si>
  <si>
    <t xml:space="preserve">27.01.02.13</t>
  </si>
  <si>
    <t xml:space="preserve">Fechadura multiponto com lingueta (4 bolts em aço maciço no sistema de travamento central e 3 em cada sistema auxiliar (mul-T-lock)| Cilindro perfil euro com chaves  codificadas e cópias controladas mediante autorização (ref.: Mul-T-Lock)</t>
  </si>
  <si>
    <t xml:space="preserve">27.01.02.14</t>
  </si>
  <si>
    <t xml:space="preserve">Fechadura biométrica</t>
  </si>
  <si>
    <t xml:space="preserve">27.01.02.15</t>
  </si>
  <si>
    <t xml:space="preserve">Conjunto de ferragens para porta de correr com montagem por fora da alvenaria</t>
  </si>
  <si>
    <t xml:space="preserve">27.01.03</t>
  </si>
  <si>
    <t xml:space="preserve">27.01.03.01</t>
  </si>
  <si>
    <t xml:space="preserve">Pet place - Gradil em ripado de madeira conforme especificaão brises da FCH</t>
  </si>
  <si>
    <t xml:space="preserve">27.01.04</t>
  </si>
  <si>
    <t xml:space="preserve">Ferragens</t>
  </si>
  <si>
    <t xml:space="preserve">27.01.04.01</t>
  </si>
  <si>
    <t xml:space="preserve">Cadeado PADO para alçapões</t>
  </si>
  <si>
    <t xml:space="preserve">27.02</t>
  </si>
  <si>
    <t xml:space="preserve">Paineis</t>
  </si>
  <si>
    <t xml:space="preserve">23/08/2028</t>
  </si>
  <si>
    <t xml:space="preserve">27.02.01</t>
  </si>
  <si>
    <t xml:space="preserve">Painel de mdf folheado com lâmina natural de madeira nogueira</t>
  </si>
  <si>
    <t xml:space="preserve">27.02.02</t>
  </si>
  <si>
    <t xml:space="preserve">INT - Painel de mdf folheado com lâmina natural de madeira nogueira</t>
  </si>
  <si>
    <t xml:space="preserve">27.02.03</t>
  </si>
  <si>
    <t xml:space="preserve">INT - Painel de mdf folheado com lâmina natural de madeira nogueira; Textura Sto Stonex Freeform acabamento Signature Fine 30, cor a definir</t>
  </si>
  <si>
    <t xml:space="preserve">27.02.04</t>
  </si>
  <si>
    <t xml:space="preserve">Fechamento em paineis de MDF, acabamento em microtextura branca, conforme detalhamento.</t>
  </si>
  <si>
    <t xml:space="preserve">16/07/2026</t>
  </si>
  <si>
    <t xml:space="preserve">10/04/2028</t>
  </si>
  <si>
    <t xml:space="preserve">28.01</t>
  </si>
  <si>
    <t xml:space="preserve">Serviços complentares ao piso</t>
  </si>
  <si>
    <t xml:space="preserve">28.01.01</t>
  </si>
  <si>
    <t xml:space="preserve">Taliscamento de Pisos</t>
  </si>
  <si>
    <t xml:space="preserve">28.01.02</t>
  </si>
  <si>
    <t xml:space="preserve">Camada de regularização com argamassa de cimento e areia - 03 cm</t>
  </si>
  <si>
    <t xml:space="preserve">28.01.03</t>
  </si>
  <si>
    <t xml:space="preserve">&lt;html&gt;(Lojas) Camada de regularização com argamassa de cimento e areia -&lt;b&gt; não terá o contrapiso nas lojas, será entregue no osso&lt;/b&gt;&lt;/html&gt;</t>
  </si>
  <si>
    <t xml:space="preserve">28.01.04</t>
  </si>
  <si>
    <t xml:space="preserve">Proteção de pisos contra tráfego de obra</t>
  </si>
  <si>
    <t xml:space="preserve">28.02</t>
  </si>
  <si>
    <t xml:space="preserve">Serviços complentares ao piso - externos</t>
  </si>
  <si>
    <t xml:space="preserve">28.02.01</t>
  </si>
  <si>
    <t xml:space="preserve">28.02.02</t>
  </si>
  <si>
    <t xml:space="preserve">06/07/2026</t>
  </si>
  <si>
    <t xml:space="preserve">16/03/2028</t>
  </si>
  <si>
    <t xml:space="preserve">29.01</t>
  </si>
  <si>
    <t xml:space="preserve">Revestimentos internos</t>
  </si>
  <si>
    <t xml:space="preserve">29.01.01</t>
  </si>
  <si>
    <t xml:space="preserve">Argamassas</t>
  </si>
  <si>
    <t xml:space="preserve">29.01.01.01</t>
  </si>
  <si>
    <t xml:space="preserve">Taliscamento de Parede</t>
  </si>
  <si>
    <t xml:space="preserve">29.01.01.02</t>
  </si>
  <si>
    <t xml:space="preserve">Chapisco</t>
  </si>
  <si>
    <t xml:space="preserve">29.01.01.03</t>
  </si>
  <si>
    <t xml:space="preserve">Emboço esp. 25mm</t>
  </si>
  <si>
    <t xml:space="preserve">29.01.01.04</t>
  </si>
  <si>
    <t xml:space="preserve">Reboco esp. 25mm</t>
  </si>
  <si>
    <t xml:space="preserve">29.01.01.05</t>
  </si>
  <si>
    <t xml:space="preserve">Espalas para esquadrias (até 40cm)</t>
  </si>
  <si>
    <t xml:space="preserve">09/12/2026</t>
  </si>
  <si>
    <t xml:space="preserve">27/11/2028</t>
  </si>
  <si>
    <t xml:space="preserve">30.01</t>
  </si>
  <si>
    <t xml:space="preserve">Pisos internos</t>
  </si>
  <si>
    <t xml:space="preserve">30.01.01</t>
  </si>
  <si>
    <t xml:space="preserve">Porcelanato</t>
  </si>
  <si>
    <t xml:space="preserve">03/07/2028</t>
  </si>
  <si>
    <t xml:space="preserve">30.01.01.01</t>
  </si>
  <si>
    <t xml:space="preserve">Piso porcelanato bege, 120x120cm, com acabamento acetinado. Ref.: Eliane, Munari Marfim AC, assentado com argamassa colante em pó ACIII</t>
  </si>
  <si>
    <t xml:space="preserve">30.01.01.02</t>
  </si>
  <si>
    <t xml:space="preserve">Piso Porcelanato bege, 90x90cm, com acabamento acetinado. Ref.: Eliane, Munari Marfim AC, assentado com argamassa colante em pó ACIII</t>
  </si>
  <si>
    <t xml:space="preserve">30.01.01.03</t>
  </si>
  <si>
    <t xml:space="preserve">Piso Porcelanato Eliane Munari marfim AC 120x120cm   assentado com argamassa colante em pó ACIII</t>
  </si>
  <si>
    <t xml:space="preserve">30.01.01.04</t>
  </si>
  <si>
    <t xml:space="preserve">Piso Porcelanato cinza 60x60cm com acabamento acetinado, ref.: Eliane,Munari cimento AC, assentado com argamassa colante em pó ACIII</t>
  </si>
  <si>
    <t xml:space="preserve">30.01.02</t>
  </si>
  <si>
    <t xml:space="preserve">Emborrachados</t>
  </si>
  <si>
    <t xml:space="preserve">10/11/2028</t>
  </si>
  <si>
    <t xml:space="preserve">30.01.02.01</t>
  </si>
  <si>
    <t xml:space="preserve">Piso emborrachado Impact Soft Peso livre Aubicon</t>
  </si>
  <si>
    <t xml:space="preserve">30.01.03</t>
  </si>
  <si>
    <t xml:space="preserve">Pedras</t>
  </si>
  <si>
    <t xml:space="preserve">12/04/2027</t>
  </si>
  <si>
    <t xml:space="preserve">06/07/2028</t>
  </si>
  <si>
    <t xml:space="preserve">30.01.03.01</t>
  </si>
  <si>
    <t xml:space="preserve">Piso de granito branco siena escovado, assentado com argamassa colante em pó ACIII</t>
  </si>
  <si>
    <t xml:space="preserve">30.01.03.02</t>
  </si>
  <si>
    <t xml:space="preserve">Piso de granito branco siena acabamento levigado, assentado com argamassa colante em pó ACIII</t>
  </si>
  <si>
    <t xml:space="preserve">30.01.03.03</t>
  </si>
  <si>
    <t xml:space="preserve">Piso de granito branco siena acabamento levigado tamanho máximo de 120x120cm, assentado com argamassa colante em pó ACIII</t>
  </si>
  <si>
    <t xml:space="preserve">30.01.03.04</t>
  </si>
  <si>
    <t xml:space="preserve">Piso de mármore travertino Romano sem estucar, placas com tamanho de 120x120cm, assentado com argamassa colante em pó ACIII</t>
  </si>
  <si>
    <t xml:space="preserve">30.01.03.05</t>
  </si>
  <si>
    <t xml:space="preserve">Piso de granito branco Siena levigado para elevadores, assentado com argamassa colante em pó ACIII</t>
  </si>
  <si>
    <t xml:space="preserve">30.01.04</t>
  </si>
  <si>
    <t xml:space="preserve">Sintéticos e Vinílicos</t>
  </si>
  <si>
    <t xml:space="preserve">10/12/2027</t>
  </si>
  <si>
    <t xml:space="preserve">14/09/2028</t>
  </si>
  <si>
    <t xml:space="preserve">30.01.04.01</t>
  </si>
  <si>
    <t xml:space="preserve">Piso vinílico em réguas, 18,4x121,9cm, padrão madeirado. Ref.: Durafloor, Austin, llinha Urba</t>
  </si>
  <si>
    <t xml:space="preserve">30.01.05</t>
  </si>
  <si>
    <t xml:space="preserve">Concreto e/ou cimentados</t>
  </si>
  <si>
    <t xml:space="preserve">23/11/2027</t>
  </si>
  <si>
    <t xml:space="preserve">26/06/2028</t>
  </si>
  <si>
    <t xml:space="preserve">30.01.05.01</t>
  </si>
  <si>
    <t xml:space="preserve">Piso em concreto mecanizado em acabamento polido - polimento garagens final</t>
  </si>
  <si>
    <t xml:space="preserve">30.01.05.02</t>
  </si>
  <si>
    <t xml:space="preserve">Piso em concreto mecanizado com acabamento antiderrapante, sem camada de regularização - panos amplos</t>
  </si>
  <si>
    <t xml:space="preserve">30.01.05.03</t>
  </si>
  <si>
    <t xml:space="preserve">Piso em concreto mecanizado com acabamento antiderrapante, sem camada de regularização - escadarias</t>
  </si>
  <si>
    <t xml:space="preserve">30.01.06</t>
  </si>
  <si>
    <t xml:space="preserve">Pisos Especiais</t>
  </si>
  <si>
    <t xml:space="preserve">12/05/2028</t>
  </si>
  <si>
    <t xml:space="preserve">30.01.06.01</t>
  </si>
  <si>
    <t xml:space="preserve">Piso em ladrilho hidráulico 20x20cm, modelo rampa, cor cinza</t>
  </si>
  <si>
    <t xml:space="preserve">30.02</t>
  </si>
  <si>
    <t xml:space="preserve">Rodapés internos</t>
  </si>
  <si>
    <t xml:space="preserve">04/10/2028</t>
  </si>
  <si>
    <t xml:space="preserve">30.02.01</t>
  </si>
  <si>
    <t xml:space="preserve">30.02.01.01</t>
  </si>
  <si>
    <t xml:space="preserve">Rodapé para Piso Rodapé em porcelanato bege, com acabamento acetinado. Ref.: Eliane, Munari Marfim AC 10x120cm, h=10cm, assentado com argamassa colante em pó ACIII</t>
  </si>
  <si>
    <t xml:space="preserve">30.02.01.02</t>
  </si>
  <si>
    <t xml:space="preserve">Rodapé para Piso Rodapé em porcelanato bege, com acabamento acetinado. Ref.: Eliane, Munari Marfim AC 10x90cm, assentado com argamassa colante em pó ACIII</t>
  </si>
  <si>
    <t xml:space="preserve">30.02.01.03</t>
  </si>
  <si>
    <t xml:space="preserve">Rodapé para Piso Rodapé em porcelanato Munari marfim AC 10x120cm ou 10x90cm, assentado com argamassa colante em pó ACIII</t>
  </si>
  <si>
    <t xml:space="preserve">30.02.01.04</t>
  </si>
  <si>
    <t xml:space="preserve">Rodapé para Piso Porcelanato cinza 10x60cm, com acabamento acetinado, ref.: Eliane, Munari cimento AC, assentado com argamassa colante em pó ACIII</t>
  </si>
  <si>
    <t xml:space="preserve">30.02.02</t>
  </si>
  <si>
    <t xml:space="preserve">30.02.02.01</t>
  </si>
  <si>
    <t xml:space="preserve">Rodapé para Piso de granito branco siena escovado, h=10cm, assentado com argamassa colante em pó ACIII</t>
  </si>
  <si>
    <t xml:space="preserve">30.02.02.02</t>
  </si>
  <si>
    <t xml:space="preserve">Rodapé para Piso de granito branco siena levigado, h=10cm, assentado com argamassa colante em pó ACIII</t>
  </si>
  <si>
    <t xml:space="preserve">30.02.02.03</t>
  </si>
  <si>
    <t xml:space="preserve">Rodapé para Piso de granito branco siena levigado, h=10cm, tamanho máximo 10x120cm, assentado com argamassa colante em pó ACIII</t>
  </si>
  <si>
    <t xml:space="preserve">30.02.02.04</t>
  </si>
  <si>
    <t xml:space="preserve">Rodapé para Piso de mármore travertino Romano sem estucar, H=10cm, tamanho máximo de 10x120cm, assentado com argamassa colante em pó ACIII</t>
  </si>
  <si>
    <t xml:space="preserve">30.02.03</t>
  </si>
  <si>
    <t xml:space="preserve">Pisos de Madeira</t>
  </si>
  <si>
    <t xml:space="preserve">10/01/2028</t>
  </si>
  <si>
    <t xml:space="preserve">30.02.03.01</t>
  </si>
  <si>
    <t xml:space="preserve">Rodapé em madeira reflorestada, cor branca, h=12cm. Ref.: Durafloor Easy Y-01 120.</t>
  </si>
  <si>
    <t xml:space="preserve">30.02.04</t>
  </si>
  <si>
    <t xml:space="preserve">30.02.04.01</t>
  </si>
  <si>
    <t xml:space="preserve">Rodapé de poliestireno 3547 preto 100mm de altura, Santa Luzia</t>
  </si>
  <si>
    <t xml:space="preserve">30.03</t>
  </si>
  <si>
    <t xml:space="preserve">Pisos externos</t>
  </si>
  <si>
    <t xml:space="preserve">30.03.01</t>
  </si>
  <si>
    <t xml:space="preserve">Emborrachado</t>
  </si>
  <si>
    <t xml:space="preserve">30.03.01.01</t>
  </si>
  <si>
    <t xml:space="preserve">05 - (Piso elevado) - Piso emborrachado moldado in loco, executado sobre contrapiso, cores conforme especificação de projeto</t>
  </si>
  <si>
    <t xml:space="preserve">30.03.02</t>
  </si>
  <si>
    <t xml:space="preserve">15/09/2028</t>
  </si>
  <si>
    <t xml:space="preserve">30.03.02.01</t>
  </si>
  <si>
    <t xml:space="preserve">02 - (Piso elevado) - Piso de granito branco siena, acabamento levigado, placas de 80x90cm</t>
  </si>
  <si>
    <t xml:space="preserve">02/09/2027</t>
  </si>
  <si>
    <t xml:space="preserve">30.03.02.02</t>
  </si>
  <si>
    <t xml:space="preserve">03 - (Piso elevado) - Piso de granito Itaúnas, acabamento levigado, placas 80x90cm</t>
  </si>
  <si>
    <t xml:space="preserve">30.03.02.03</t>
  </si>
  <si>
    <t xml:space="preserve">02 - Piso de granito branco siena, acabamento levigado, placas de 80x90cm</t>
  </si>
  <si>
    <t xml:space="preserve">30.03.02.04</t>
  </si>
  <si>
    <t xml:space="preserve">03 - Piso de granito Itaúnas, acabamento levigado, placas 80x90cm</t>
  </si>
  <si>
    <t xml:space="preserve">30.03.03</t>
  </si>
  <si>
    <t xml:space="preserve">05/10/2027</t>
  </si>
  <si>
    <t xml:space="preserve">04/01/2028</t>
  </si>
  <si>
    <t xml:space="preserve">30.03.03.01</t>
  </si>
  <si>
    <t xml:space="preserve"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</si>
  <si>
    <t xml:space="preserve">30.03.03.02</t>
  </si>
  <si>
    <t xml:space="preserve"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</si>
  <si>
    <t xml:space="preserve">30.03.04</t>
  </si>
  <si>
    <t xml:space="preserve">30.03.04.01</t>
  </si>
  <si>
    <t xml:space="preserve">Sistema piso elevado (Acabamento considerado em seus respectivos itens)</t>
  </si>
  <si>
    <t xml:space="preserve">30.04</t>
  </si>
  <si>
    <t xml:space="preserve">Paredes</t>
  </si>
  <si>
    <t xml:space="preserve">16/12/2026</t>
  </si>
  <si>
    <t xml:space="preserve">22/06/2028</t>
  </si>
  <si>
    <t xml:space="preserve">30.04.01</t>
  </si>
  <si>
    <t xml:space="preserve">Porcelanatos</t>
  </si>
  <si>
    <t xml:space="preserve">30.04.01.01</t>
  </si>
  <si>
    <t xml:space="preserve">Revestimento Porcelanato bege, 90x90cm, com acabamento acetinado. Ref.: Eliane, Munari Marfim AC RET, assentado com argamassa colante em pó ACIII</t>
  </si>
  <si>
    <t xml:space="preserve">30.04.01.02</t>
  </si>
  <si>
    <t xml:space="preserve">(Drywall) Revestimento Porcelanato bege, 90x90cm, com acabamento acetinado. Ref.: Eliane, Munari Marfim AC RET, assentado com argamassa colante em pó ACIII</t>
  </si>
  <si>
    <t xml:space="preserve">30.04.01.03</t>
  </si>
  <si>
    <t xml:space="preserve">Revestimento Porcelanato branco, 32,5x59cm, com acabamento acetinado. Ref.: Eliane, Forma Branco AC RET  assentado com argamassa colante em pó ACIII</t>
  </si>
  <si>
    <t xml:space="preserve">30.04.01.04</t>
  </si>
  <si>
    <t xml:space="preserve">(Drywall) Revestimento Porcelanato branco, 32,5x59cm, com acabamento acetinado. Ref.: Eliane, Forma Branco AC RET  assentado com argamassa colante em pó ACIII</t>
  </si>
  <si>
    <t xml:space="preserve">30.04.01.05</t>
  </si>
  <si>
    <t xml:space="preserve">(Área comum) Revestimento Porcelanato Eliane Munari marfim AC 120x120cm ou 90x90cm, assentado com argamassa colante em pó ACIII</t>
  </si>
  <si>
    <t xml:space="preserve">30.04.01.06</t>
  </si>
  <si>
    <t xml:space="preserve">(Área comum) Revestimento Porcelanato cinza 60x60cm com acabamento acetinado, paginação conforme detalhamento, ref.: Eliane, Munari cimento AC, assentado com argamassa colante em pó ACIII</t>
  </si>
  <si>
    <t xml:space="preserve">30.04.01.07</t>
  </si>
  <si>
    <t xml:space="preserve">(Área comum) Revestimento Porcelanato Sunset Cappadocia 14,5x14,5cm, assentado com argamassa colante em pó ACIII</t>
  </si>
  <si>
    <t xml:space="preserve">30.04.01.08</t>
  </si>
  <si>
    <t xml:space="preserve">(Área comum) Revestimento Porcelanato Posto 12 natural dim.: 120x120cm, Portobello, assentado com argamassa colante em pó ACIII</t>
  </si>
  <si>
    <t xml:space="preserve">30.04.02</t>
  </si>
  <si>
    <t xml:space="preserve">Revestimento com pedras</t>
  </si>
  <si>
    <t xml:space="preserve">19/01/2028</t>
  </si>
  <si>
    <t xml:space="preserve">03/02/2028</t>
  </si>
  <si>
    <t xml:space="preserve">30.04.02.01</t>
  </si>
  <si>
    <t xml:space="preserve">(Drywall) Revestimento de granito Siena escovado, H=100cm, assentado com argamassa colante em pó ACIII</t>
  </si>
  <si>
    <t xml:space="preserve">30.04.02.02</t>
  </si>
  <si>
    <t xml:space="preserve">Revestimento de granito branco siena, acabamento levigado, dimensões e paginação conforme detalhamento,  assentado com argamassa colante em pó ACIII</t>
  </si>
  <si>
    <t xml:space="preserve">30.04.02.03</t>
  </si>
  <si>
    <t xml:space="preserve">Bancos - Revestimento de granito branco siena, assentado com argamassa colante em pó ACIII</t>
  </si>
  <si>
    <t xml:space="preserve">30.04.03</t>
  </si>
  <si>
    <t xml:space="preserve">03/05/2028</t>
  </si>
  <si>
    <t xml:space="preserve">10/05/2028</t>
  </si>
  <si>
    <t xml:space="preserve">30.04.03.01</t>
  </si>
  <si>
    <t xml:space="preserve">Bancos - Assento em madeira</t>
  </si>
  <si>
    <t xml:space="preserve">30.04.03.02</t>
  </si>
  <si>
    <t xml:space="preserve">(Reboco) INT - Painel em chapa de inox 304 1mm com base em MDF 18mm piso-teto</t>
  </si>
  <si>
    <t xml:space="preserve">30.05</t>
  </si>
  <si>
    <t xml:space="preserve">Revestimento de piscinas</t>
  </si>
  <si>
    <t xml:space="preserve">26/01/2028</t>
  </si>
  <si>
    <t xml:space="preserve">29/03/2028</t>
  </si>
  <si>
    <t xml:space="preserve">30.05.01</t>
  </si>
  <si>
    <t xml:space="preserve">30.05.01.01</t>
  </si>
  <si>
    <t xml:space="preserve">30.05.01.02</t>
  </si>
  <si>
    <t xml:space="preserve">30.05.01.03</t>
  </si>
  <si>
    <t xml:space="preserve">Emboço esp. 50mm</t>
  </si>
  <si>
    <t xml:space="preserve">30.05.02</t>
  </si>
  <si>
    <t xml:space="preserve">Revestimentos porcelanato e pedras</t>
  </si>
  <si>
    <t xml:space="preserve">30.05.02.01</t>
  </si>
  <si>
    <t xml:space="preserve">Revestimento com pastilhas 2x2cm Keramika canto reto, superfície fosca, cor MP054, assentado com argamassa colante em pó ACIII</t>
  </si>
  <si>
    <t xml:space="preserve">30.05.02.02</t>
  </si>
  <si>
    <t xml:space="preserve"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</si>
  <si>
    <t xml:space="preserve">30.06</t>
  </si>
  <si>
    <t xml:space="preserve">Bancada em granito Branco Siena escovado - cozinhas e área de serviço</t>
  </si>
  <si>
    <t xml:space="preserve">05/03/2027</t>
  </si>
  <si>
    <t xml:space="preserve">12/07/2028</t>
  </si>
  <si>
    <t xml:space="preserve">30.06.01</t>
  </si>
  <si>
    <t xml:space="preserve">Bancada em granito Branco Siena escovado</t>
  </si>
  <si>
    <t xml:space="preserve">30.06.02</t>
  </si>
  <si>
    <t xml:space="preserve">Fechamento lateral para bancada de granito</t>
  </si>
  <si>
    <t xml:space="preserve">30.06.03</t>
  </si>
  <si>
    <t xml:space="preserve">Testeira de granito Branco Siena escovado h=10cm</t>
  </si>
  <si>
    <t xml:space="preserve">30.06.04</t>
  </si>
  <si>
    <t xml:space="preserve">Rodabanca de granito Branco Siena escovado h=10cm</t>
  </si>
  <si>
    <t xml:space="preserve">30.06.05</t>
  </si>
  <si>
    <t xml:space="preserve">Furo e colagem de bojo</t>
  </si>
  <si>
    <t xml:space="preserve">30.06.06</t>
  </si>
  <si>
    <t xml:space="preserve">Mãos francesas para bancadas</t>
  </si>
  <si>
    <t xml:space="preserve">30.06.07</t>
  </si>
  <si>
    <t xml:space="preserve">Proteção de bancadas contra manuseio de obra</t>
  </si>
  <si>
    <t xml:space="preserve">30.07</t>
  </si>
  <si>
    <t xml:space="preserve">Bancada em granito Branco Siena levigado</t>
  </si>
  <si>
    <t xml:space="preserve">30.07.01</t>
  </si>
  <si>
    <t xml:space="preserve">30.07.02</t>
  </si>
  <si>
    <t xml:space="preserve">Fechamento lateral para bancada de granito branco siena levigado</t>
  </si>
  <si>
    <t xml:space="preserve">30.07.03</t>
  </si>
  <si>
    <t xml:space="preserve">Testeira de granito branco siena levigado h=10cm</t>
  </si>
  <si>
    <t xml:space="preserve">30.07.04</t>
  </si>
  <si>
    <t xml:space="preserve">Rodabanca de granito branco siena levigado h=10cm</t>
  </si>
  <si>
    <t xml:space="preserve">30.07.05</t>
  </si>
  <si>
    <t xml:space="preserve">30.07.06</t>
  </si>
  <si>
    <t xml:space="preserve">30.07.07</t>
  </si>
  <si>
    <t xml:space="preserve">30.08</t>
  </si>
  <si>
    <t xml:space="preserve">Bancada em granito Cinza Andorinha escovado</t>
  </si>
  <si>
    <t xml:space="preserve">30.08.01</t>
  </si>
  <si>
    <t xml:space="preserve">30.08.02</t>
  </si>
  <si>
    <t xml:space="preserve">Testeira de granito Cinza Andorinha escovado h=10cm</t>
  </si>
  <si>
    <t xml:space="preserve">30.08.03</t>
  </si>
  <si>
    <t xml:space="preserve">Rodabanca de granito Cinza Andorinha escovado h=10cm</t>
  </si>
  <si>
    <t xml:space="preserve">30.08.04</t>
  </si>
  <si>
    <t xml:space="preserve">30.08.05</t>
  </si>
  <si>
    <t xml:space="preserve">30.08.06</t>
  </si>
  <si>
    <t xml:space="preserve">30.09</t>
  </si>
  <si>
    <t xml:space="preserve">Bancada em mármore Bege Bahia escovado - Banheiros apartamentos</t>
  </si>
  <si>
    <t xml:space="preserve">30.09.01</t>
  </si>
  <si>
    <t xml:space="preserve">Bancada em mármore Bege Bahia escovado ou outro a ser definid</t>
  </si>
  <si>
    <t xml:space="preserve">30.09.02</t>
  </si>
  <si>
    <t xml:space="preserve">Testeira de mármore bege bahia escovado h=10cm</t>
  </si>
  <si>
    <t xml:space="preserve">30.09.03</t>
  </si>
  <si>
    <t xml:space="preserve">Rodabanca de mármore bege bahia escovado h=10cm</t>
  </si>
  <si>
    <t xml:space="preserve">30.09.04</t>
  </si>
  <si>
    <t xml:space="preserve">30.09.05</t>
  </si>
  <si>
    <t xml:space="preserve">30.09.06</t>
  </si>
  <si>
    <t xml:space="preserve">30.10</t>
  </si>
  <si>
    <t xml:space="preserve">Bancada esculpida em mármore Bege Bahia escovado - lavabos</t>
  </si>
  <si>
    <t xml:space="preserve">30.10.01</t>
  </si>
  <si>
    <t xml:space="preserve">Bancada esculpida em mármore Bege Bahia escovado ou outro a ser definido</t>
  </si>
  <si>
    <t xml:space="preserve">30.10.02</t>
  </si>
  <si>
    <t xml:space="preserve">Cuba esculpida em mármore Bege Bahia escovado</t>
  </si>
  <si>
    <t xml:space="preserve">30.10.03</t>
  </si>
  <si>
    <t xml:space="preserve">30.10.04</t>
  </si>
  <si>
    <t xml:space="preserve">30.11</t>
  </si>
  <si>
    <t xml:space="preserve">Peças  diversas</t>
  </si>
  <si>
    <t xml:space="preserve">30.11.01</t>
  </si>
  <si>
    <t xml:space="preserve">Divisórias em granito cinza andorinah escovado</t>
  </si>
  <si>
    <t xml:space="preserve">30.11.02</t>
  </si>
  <si>
    <t xml:space="preserve">Porta p/ divisória, 80x180cm</t>
  </si>
  <si>
    <t xml:space="preserve">30.11.03</t>
  </si>
  <si>
    <t xml:space="preserve">Peitoril em granito Branco Siena com acabamento levigado</t>
  </si>
  <si>
    <t xml:space="preserve">30.11.04</t>
  </si>
  <si>
    <t xml:space="preserve">Soleira em cantoneira de alumínio anodizado, dimensão 3/4", conforme detalhamento.</t>
  </si>
  <si>
    <t xml:space="preserve">30.11.05</t>
  </si>
  <si>
    <t xml:space="preserve">Soleira em porcelanato bege, com acabamento acetinado. Ref.: Eliane, Munari Marfim AC.</t>
  </si>
  <si>
    <t xml:space="preserve">30.11.06</t>
  </si>
  <si>
    <t xml:space="preserve">Soleira em granito Branco Siena, acabamento levigado</t>
  </si>
  <si>
    <t xml:space="preserve">30.11.07</t>
  </si>
  <si>
    <t xml:space="preserve">Soleira em granito cinza andorinha, acabamento levigado</t>
  </si>
  <si>
    <t xml:space="preserve">30.11.08</t>
  </si>
  <si>
    <t xml:space="preserve">Pingadeiras para platibandas e guarda-corpos de alvenaria de mármore branco</t>
  </si>
  <si>
    <t xml:space="preserve">30.11.09</t>
  </si>
  <si>
    <t xml:space="preserve">Aduelas de granito para porta de elevadores</t>
  </si>
  <si>
    <t xml:space="preserve">30.11.10</t>
  </si>
  <si>
    <t xml:space="preserve">Bit box</t>
  </si>
  <si>
    <t xml:space="preserve">30.11.11</t>
  </si>
  <si>
    <t xml:space="preserve">Borda Piscina adulto| infantil e Raia coberta</t>
  </si>
  <si>
    <t xml:space="preserve">22/12/2027</t>
  </si>
  <si>
    <t xml:space="preserve">31.01</t>
  </si>
  <si>
    <t xml:space="preserve">Passeios</t>
  </si>
  <si>
    <t xml:space="preserve">31.01.01</t>
  </si>
  <si>
    <t xml:space="preserve">Calçada de concreto magro esp. 10cm + cimentado esp. 3cm</t>
  </si>
  <si>
    <t xml:space="preserve">31.01.02</t>
  </si>
  <si>
    <t xml:space="preserve">Meio Fio</t>
  </si>
  <si>
    <t xml:space="preserve">31.01.03</t>
  </si>
  <si>
    <t xml:space="preserve">Rebaixo no meio-fio</t>
  </si>
  <si>
    <t xml:space="preserve">31.01.04</t>
  </si>
  <si>
    <t xml:space="preserve">Sarjeta</t>
  </si>
  <si>
    <t xml:space="preserve">31.01.05</t>
  </si>
  <si>
    <t xml:space="preserve">31.01.06</t>
  </si>
  <si>
    <t xml:space="preserve">31.01.07</t>
  </si>
  <si>
    <t xml:space="preserve">10 - Piso megadreno ouro van landel, tipo levigado, em placas com medidas 50x50cm e esp.:8cm</t>
  </si>
  <si>
    <t xml:space="preserve">31.01.08</t>
  </si>
  <si>
    <t xml:space="preserve">31.01.09</t>
  </si>
  <si>
    <t xml:space="preserve">Piso tatil para Portadores de necessidades especiais</t>
  </si>
  <si>
    <t xml:space="preserve">28/11/2028</t>
  </si>
  <si>
    <t xml:space="preserve">32.01</t>
  </si>
  <si>
    <t xml:space="preserve">Revestimento de fachada</t>
  </si>
  <si>
    <t xml:space="preserve">24/04/2026</t>
  </si>
  <si>
    <t xml:space="preserve">32.01.01</t>
  </si>
  <si>
    <t xml:space="preserve">25/02/2027</t>
  </si>
  <si>
    <t xml:space="preserve">32.01.01.01</t>
  </si>
  <si>
    <t xml:space="preserve">Limpeza de fachadas</t>
  </si>
  <si>
    <t xml:space="preserve">32.01.01.02</t>
  </si>
  <si>
    <t xml:space="preserve">32.01.01.03</t>
  </si>
  <si>
    <t xml:space="preserve">32.01.01.04</t>
  </si>
  <si>
    <t xml:space="preserve">Reboco esp.50mm</t>
  </si>
  <si>
    <t xml:space="preserve">32.01.01.05</t>
  </si>
  <si>
    <t xml:space="preserve">32.01.01.06</t>
  </si>
  <si>
    <t xml:space="preserve">Tela metálica no encontro entre alvenaria e estrutura</t>
  </si>
  <si>
    <t xml:space="preserve">32.01.02</t>
  </si>
  <si>
    <t xml:space="preserve">Pintura de fachadas</t>
  </si>
  <si>
    <t xml:space="preserve">23/04/2027</t>
  </si>
  <si>
    <t xml:space="preserve">32.01.02.01</t>
  </si>
  <si>
    <t xml:space="preserve">02 - Parede em alvenaria, regularizada e emassada, revestida em pintura acrílica fosca, cor Inverno Gelado. Ref. Suvinil.</t>
  </si>
  <si>
    <t xml:space="preserve">32.01.02.02</t>
  </si>
  <si>
    <t xml:space="preserve">11 - Muro em alvenaria regularizada e emassada, revestida em textura acrílica rolada fosca. Ref.: Terra Fértil; Suvinil.</t>
  </si>
  <si>
    <t xml:space="preserve">01/11/2028</t>
  </si>
  <si>
    <t xml:space="preserve">32.01.02.03</t>
  </si>
  <si>
    <t xml:space="preserve">23a - Parede em alvenaria, regularizada e emassada, revestida em pintura acrílica fosca, ref.: Suvinil Terra fértil</t>
  </si>
  <si>
    <t xml:space="preserve">32.01.02.04</t>
  </si>
  <si>
    <t xml:space="preserve">23b - Parede em alvenaria, regularizada e emassada, revestida em pintura acrílica fosca, ref.: Suvinil bronze envelhecido</t>
  </si>
  <si>
    <t xml:space="preserve">32.01.02.05</t>
  </si>
  <si>
    <t xml:space="preserve">23c - Parede em alvenaria, regularizada e emassada, revestida em pintura acrílica fosca, ref.: Suvinil arte barroca</t>
  </si>
  <si>
    <t xml:space="preserve">32.01.02.06</t>
  </si>
  <si>
    <t xml:space="preserve">23d - Parede em alvenaria, regularizada e emassada, revestida em pintura acrílica fosca, ref.: Suvinil cavalo marinho</t>
  </si>
  <si>
    <t xml:space="preserve">32.01.02.07</t>
  </si>
  <si>
    <t xml:space="preserve">32.01.02.08</t>
  </si>
  <si>
    <t xml:space="preserve">23f - Parede em alvenaria, regularizada e emassada, revestida em pintura acrílica fosca, ref.: Suvinil inverno gelado</t>
  </si>
  <si>
    <t xml:space="preserve">32.01.02.09</t>
  </si>
  <si>
    <t xml:space="preserve">23g - Parede em alvenaria, regularizada e emassada, revestida em pintura acrílica fosca, ref.: Suvinil papel picado</t>
  </si>
  <si>
    <t xml:space="preserve">32.01.02.10</t>
  </si>
  <si>
    <t xml:space="preserve">23h - Parede em alvenaria, regularizada e emassada, revestida em pintura acrílica fosca, ref.: Suvinil som das ondas</t>
  </si>
  <si>
    <t xml:space="preserve">32.01.03</t>
  </si>
  <si>
    <t xml:space="preserve">Porcelanatos e pedras</t>
  </si>
  <si>
    <t xml:space="preserve">17/08/2027</t>
  </si>
  <si>
    <t xml:space="preserve">32.01.03.01</t>
  </si>
  <si>
    <t xml:space="preserve">01 - Parede revestida em placas de granito Branco Siena, conforme paginação da fachada, instaladas com sistema de fachada aerada através de dispositivos metálicos de aço galvanizado.</t>
  </si>
  <si>
    <t xml:space="preserve">32.01.03.02</t>
  </si>
  <si>
    <t xml:space="preserve">Espalas para revestimento com granito Branco Siena, conforme paginação da fachada, instaladas com sistema de fachada aerada através de dispositivos metálicos de aço galvanizado.</t>
  </si>
  <si>
    <t xml:space="preserve">32.01.04</t>
  </si>
  <si>
    <t xml:space="preserve">32.01.04.01</t>
  </si>
  <si>
    <t xml:space="preserve">24 - Concreto aparente com tratamento a ser indicado pelo estrutural (Aba)</t>
  </si>
  <si>
    <t xml:space="preserve">20/09/2027</t>
  </si>
  <si>
    <t xml:space="preserve">32.01.04.02</t>
  </si>
  <si>
    <t xml:space="preserve">24 - Concreto aparente com tratamento a ser indicado pelo estrutural (Elemento vertical)</t>
  </si>
  <si>
    <t xml:space="preserve">32.01.04.03</t>
  </si>
  <si>
    <t xml:space="preserve">25 - Elementos de fachada em EPS com pintura na cor Suvinil Galho Seco.</t>
  </si>
  <si>
    <t xml:space="preserve">32.01.04.04</t>
  </si>
  <si>
    <t xml:space="preserve">Moldura esquadrias</t>
  </si>
  <si>
    <t xml:space="preserve">32.01.05</t>
  </si>
  <si>
    <t xml:space="preserve">32.01.05.01</t>
  </si>
  <si>
    <t xml:space="preserve">Junta de dilatação horizontal para fachadas</t>
  </si>
  <si>
    <t xml:space="preserve">32.01.05.02</t>
  </si>
  <si>
    <t xml:space="preserve">Junta de dilatação vertical pra fachadas</t>
  </si>
  <si>
    <t xml:space="preserve">32.02</t>
  </si>
  <si>
    <t xml:space="preserve">Muros</t>
  </si>
  <si>
    <t xml:space="preserve">32.02.01</t>
  </si>
  <si>
    <t xml:space="preserve">Fundações profundas - Estacas Ø20cm escavadas manualmente</t>
  </si>
  <si>
    <t xml:space="preserve">21/08/2025</t>
  </si>
  <si>
    <t xml:space="preserve">32.02.01.01</t>
  </si>
  <si>
    <t xml:space="preserve">32.02.01.02</t>
  </si>
  <si>
    <t xml:space="preserve">Concreto preparado na obra, controle "A", brita 1 e 2, fck 20 Mpa</t>
  </si>
  <si>
    <t xml:space="preserve">32.02.01.03</t>
  </si>
  <si>
    <t xml:space="preserve">32.02.02</t>
  </si>
  <si>
    <t xml:space="preserve">Fundações superficiais - Sapata corrida seção 30x30cm</t>
  </si>
  <si>
    <t xml:space="preserve">02/09/2025</t>
  </si>
  <si>
    <t xml:space="preserve">32.02.02.01</t>
  </si>
  <si>
    <t xml:space="preserve">32.02.02.02</t>
  </si>
  <si>
    <t xml:space="preserve">32.02.02.03</t>
  </si>
  <si>
    <t xml:space="preserve">Armadura Ca-50</t>
  </si>
  <si>
    <t xml:space="preserve">32.02.02.04</t>
  </si>
  <si>
    <t xml:space="preserve">Armadura Ca-60</t>
  </si>
  <si>
    <t xml:space="preserve">32.02.02.05</t>
  </si>
  <si>
    <t xml:space="preserve">32.02.02.06</t>
  </si>
  <si>
    <t xml:space="preserve">32.02.02.07</t>
  </si>
  <si>
    <t xml:space="preserve">32.02.03</t>
  </si>
  <si>
    <t xml:space="preserve">Pilaretes e cintas de concreto seção de 15x15cm</t>
  </si>
  <si>
    <t xml:space="preserve">15/09/2027</t>
  </si>
  <si>
    <t xml:space="preserve">32.02.03.01</t>
  </si>
  <si>
    <t xml:space="preserve">32.02.03.02</t>
  </si>
  <si>
    <t xml:space="preserve">32.02.03.03</t>
  </si>
  <si>
    <t xml:space="preserve">32.02.04</t>
  </si>
  <si>
    <t xml:space="preserve">Alvenaria de vedação com blocos de concreto esp. 14cm</t>
  </si>
  <si>
    <t xml:space="preserve">32.02.04.01</t>
  </si>
  <si>
    <t xml:space="preserve">Alvenaria de vedação com blocos de concreto esp. 14m</t>
  </si>
  <si>
    <t xml:space="preserve">32.02.05</t>
  </si>
  <si>
    <t xml:space="preserve">Revestimento do muro com argamassa de cimento e areia</t>
  </si>
  <si>
    <t xml:space="preserve">32.02.05.01</t>
  </si>
  <si>
    <t xml:space="preserve">Chapéu de muro pré-moldado de concreto</t>
  </si>
  <si>
    <t xml:space="preserve">06/01/2027</t>
  </si>
  <si>
    <t xml:space="preserve">17/10/2028</t>
  </si>
  <si>
    <t xml:space="preserve">33.01</t>
  </si>
  <si>
    <t xml:space="preserve">33.01.01</t>
  </si>
  <si>
    <t xml:space="preserve">Chapisco rolado</t>
  </si>
  <si>
    <t xml:space="preserve">33.02</t>
  </si>
  <si>
    <t xml:space="preserve">Forro de Gesso</t>
  </si>
  <si>
    <t xml:space="preserve">33.02.01</t>
  </si>
  <si>
    <t xml:space="preserve">Gesso Corrido em Tetos</t>
  </si>
  <si>
    <t xml:space="preserve">33.02.02</t>
  </si>
  <si>
    <t xml:space="preserve">Forro de gesso acartonado</t>
  </si>
  <si>
    <t xml:space="preserve">33.02.03</t>
  </si>
  <si>
    <t xml:space="preserve">Fechamento vertical com gesso acartonado</t>
  </si>
  <si>
    <t xml:space="preserve">33.02.04</t>
  </si>
  <si>
    <t xml:space="preserve">Tabica Metálica</t>
  </si>
  <si>
    <t xml:space="preserve">33.03</t>
  </si>
  <si>
    <t xml:space="preserve">Forro de Madeira</t>
  </si>
  <si>
    <t xml:space="preserve">33.03.01</t>
  </si>
  <si>
    <t xml:space="preserve">Painel em MDF folheado com lâmina natural de madeira Nogueira</t>
  </si>
  <si>
    <t xml:space="preserve">33.03.02</t>
  </si>
  <si>
    <t xml:space="preserve">INT - Revestimento vinílico em réguas 18,4x121,9cm Durafloor linha Urban padrão Austin</t>
  </si>
  <si>
    <t xml:space="preserve">34.01</t>
  </si>
  <si>
    <t xml:space="preserve">Vaso sanitario</t>
  </si>
  <si>
    <t xml:space="preserve">34.01.01</t>
  </si>
  <si>
    <t xml:space="preserve">Bacia com caixa acoplada; ref.: Deca, linha Level KP.480.17 , cor branca.</t>
  </si>
  <si>
    <t xml:space="preserve">34.01.02</t>
  </si>
  <si>
    <t xml:space="preserve">Bacia com caixa acoplada; ref.: Deca linha Izy P.111.17, cor branca.</t>
  </si>
  <si>
    <t xml:space="preserve">34.01.03</t>
  </si>
  <si>
    <t xml:space="preserve">Vaso sanitário de louça branca convencional (IS PNE)</t>
  </si>
  <si>
    <t xml:space="preserve">34.01.04</t>
  </si>
  <si>
    <t xml:space="preserve">Válvula de descarga com acabamento cromado</t>
  </si>
  <si>
    <t xml:space="preserve">34.01.05</t>
  </si>
  <si>
    <t xml:space="preserve">Ligação flexível cromada 40cm</t>
  </si>
  <si>
    <t xml:space="preserve">34.01.06</t>
  </si>
  <si>
    <t xml:space="preserve">Assento poliéster PNE para vaso sanitário</t>
  </si>
  <si>
    <t xml:space="preserve">34.01.07</t>
  </si>
  <si>
    <t xml:space="preserve">Ducha higiênica despressurizada, acabamento cromado; ref.: Deca 1948.C.ACT.CR</t>
  </si>
  <si>
    <t xml:space="preserve">34.01.08</t>
  </si>
  <si>
    <t xml:space="preserve">Ducha higiênica universal despressurizada cromada</t>
  </si>
  <si>
    <t xml:space="preserve">34.02</t>
  </si>
  <si>
    <t xml:space="preserve">Lavatorio</t>
  </si>
  <si>
    <t xml:space="preserve">34.02.01</t>
  </si>
  <si>
    <t xml:space="preserve">Lavatório suspenso de canto, Deca Izy branco, L.101.17</t>
  </si>
  <si>
    <t xml:space="preserve">34.02.02</t>
  </si>
  <si>
    <t xml:space="preserve">Lavatório suspenso, Deca Izy branco, L.100.17</t>
  </si>
  <si>
    <t xml:space="preserve">34.02.03</t>
  </si>
  <si>
    <t xml:space="preserve">Lavatório de canto a definir</t>
  </si>
  <si>
    <t xml:space="preserve">34.02.04</t>
  </si>
  <si>
    <t xml:space="preserve">Cuba de embutir retangular branco, Deca L.375.17</t>
  </si>
  <si>
    <t xml:space="preserve">34.02.05</t>
  </si>
  <si>
    <t xml:space="preserve">Cuba oval de apoio 60cm com Deck branco L.14060.M17</t>
  </si>
  <si>
    <t xml:space="preserve">34.02.06</t>
  </si>
  <si>
    <t xml:space="preserve">Cuba oval de apoio de apoio 60cm com Deck branco L.14060.M.17</t>
  </si>
  <si>
    <t xml:space="preserve">34.02.07</t>
  </si>
  <si>
    <t xml:space="preserve">Cuba de semi encaixe quadrada com mesa, Deca l.61040.M.17 branca.</t>
  </si>
  <si>
    <t xml:space="preserve">34.02.08</t>
  </si>
  <si>
    <t xml:space="preserve">Torneira de mesa bica baixa, para lavatório, ref.: Deca Level 1197.C26, cromado</t>
  </si>
  <si>
    <t xml:space="preserve">34.02.09</t>
  </si>
  <si>
    <t xml:space="preserve">Torneira de mesa com fechamento automático para lavatório, ref.: Deca, Decamatic Eco 1173.C</t>
  </si>
  <si>
    <t xml:space="preserve">34.02.10</t>
  </si>
  <si>
    <t xml:space="preserve">Torneira de mesa com sensor bivolt para lavatório, ref.: Deca, Decalux 1180.C.H2O, cromado</t>
  </si>
  <si>
    <t xml:space="preserve">34.02.11</t>
  </si>
  <si>
    <t xml:space="preserve">Misturador monocomando de mesa bica baixa, para lavatório; ref.: Deca Level 2875.C26, cromado</t>
  </si>
  <si>
    <t xml:space="preserve">34.02.12</t>
  </si>
  <si>
    <t xml:space="preserve">34.02.13</t>
  </si>
  <si>
    <t xml:space="preserve">Válvula cromada para lavatório</t>
  </si>
  <si>
    <t xml:space="preserve">34.02.14</t>
  </si>
  <si>
    <t xml:space="preserve">Sifão cromado para lavatório</t>
  </si>
  <si>
    <t xml:space="preserve">34.02.15</t>
  </si>
  <si>
    <t xml:space="preserve">INT - Sifão para lavatório slim cromado 1684.C.100.112</t>
  </si>
  <si>
    <t xml:space="preserve">34.02.16</t>
  </si>
  <si>
    <t xml:space="preserve">Sifão flexível sanfonado</t>
  </si>
  <si>
    <t xml:space="preserve">34.03</t>
  </si>
  <si>
    <t xml:space="preserve">Pias</t>
  </si>
  <si>
    <t xml:space="preserve">34.03.01</t>
  </si>
  <si>
    <t xml:space="preserve">Cuba simples de embutir, em aço inox escovado 56x34x18cm, Mekal CS-2.</t>
  </si>
  <si>
    <t xml:space="preserve">34.03.02</t>
  </si>
  <si>
    <t xml:space="preserve">Cuba de embutir Mekal CS2 em aço inox escovado 50x40x23cm</t>
  </si>
  <si>
    <t xml:space="preserve">34.03.03</t>
  </si>
  <si>
    <t xml:space="preserve">Cuba de aço inox a definir (Bike Repair)</t>
  </si>
  <si>
    <t xml:space="preserve">34.03.04</t>
  </si>
  <si>
    <t xml:space="preserve">Torneira de mesa bica móvel 90°, ref.: Deca Link 1166.C.LNK, cromado</t>
  </si>
  <si>
    <t xml:space="preserve">34.03.05</t>
  </si>
  <si>
    <t xml:space="preserve">Torneira cromada para pia de cozinha a definir (Bike Repair)</t>
  </si>
  <si>
    <t xml:space="preserve">34.03.06</t>
  </si>
  <si>
    <t xml:space="preserve">Monocomando de mesa Deca linha Spin cromado 2271.C.72</t>
  </si>
  <si>
    <t xml:space="preserve">34.03.07</t>
  </si>
  <si>
    <t xml:space="preserve">34.03.08</t>
  </si>
  <si>
    <t xml:space="preserve">Válvula cromada para pia americana</t>
  </si>
  <si>
    <t xml:space="preserve">34.03.09</t>
  </si>
  <si>
    <t xml:space="preserve">Sifão cromado para pia de cozinha</t>
  </si>
  <si>
    <t xml:space="preserve">34.04</t>
  </si>
  <si>
    <t xml:space="preserve">Tanque</t>
  </si>
  <si>
    <t xml:space="preserve">34.04.01</t>
  </si>
  <si>
    <t xml:space="preserve">Tanque para lavanderia, capacidade 32L, 50x40cm, em aço inox escovado, Mekal CT-50.</t>
  </si>
  <si>
    <t xml:space="preserve">34.04.02</t>
  </si>
  <si>
    <t xml:space="preserve">Tanque 30L branco Deca, TQ.02.17</t>
  </si>
  <si>
    <t xml:space="preserve">34.04.03</t>
  </si>
  <si>
    <t xml:space="preserve">Torneira de mesa bica móvel 90°, ref.: Deca Link 1166.C.LNK, cromad</t>
  </si>
  <si>
    <t xml:space="preserve">34.04.04</t>
  </si>
  <si>
    <t xml:space="preserve">Válvula cromada para tanque</t>
  </si>
  <si>
    <t xml:space="preserve">34.04.05</t>
  </si>
  <si>
    <t xml:space="preserve">Sifão cromado para tanque</t>
  </si>
  <si>
    <t xml:space="preserve">34.04.06</t>
  </si>
  <si>
    <t xml:space="preserve">34.05</t>
  </si>
  <si>
    <t xml:space="preserve">Banho</t>
  </si>
  <si>
    <t xml:space="preserve">34.05.01</t>
  </si>
  <si>
    <t xml:space="preserve">Chuveiro elétrico, a definir</t>
  </si>
  <si>
    <t xml:space="preserve">34.05.02</t>
  </si>
  <si>
    <t xml:space="preserve">Registro de pressão com acabamento para chuveiro elétrico</t>
  </si>
  <si>
    <t xml:space="preserve">34.05.03</t>
  </si>
  <si>
    <t xml:space="preserve">Acabamento de monocomando de chuveiro, ref.: Deca Level 4993.C26.CHU, cromado</t>
  </si>
  <si>
    <t xml:space="preserve">34.05.04</t>
  </si>
  <si>
    <t xml:space="preserve">Chuveiro com tubo de parede Deca Aquamax cromado 1998 C.CT</t>
  </si>
  <si>
    <t xml:space="preserve">34.06</t>
  </si>
  <si>
    <t xml:space="preserve">Acessibilidade</t>
  </si>
  <si>
    <t xml:space="preserve">34.06.01</t>
  </si>
  <si>
    <t xml:space="preserve">Barra para banheiro conforto 40cm aço polido 2310.I.040.POL</t>
  </si>
  <si>
    <t xml:space="preserve">34.06.02</t>
  </si>
  <si>
    <t xml:space="preserve">Barra para banheiro conforto 70cm aço polido 2310.I.070.POL</t>
  </si>
  <si>
    <t xml:space="preserve">34.06.03</t>
  </si>
  <si>
    <t xml:space="preserve">Barra para banheiro conforto 80cm aço polido 2310.I.080.POL</t>
  </si>
  <si>
    <t xml:space="preserve">34.06.04</t>
  </si>
  <si>
    <t xml:space="preserve">Barra de apoio em L, em aço polido, ref.: Deca Conforto, 2335.I.POL.</t>
  </si>
  <si>
    <t xml:space="preserve">34.06.05</t>
  </si>
  <si>
    <t xml:space="preserve">Cadeira de banho, ref.: Deca Articulado Conforto, 2355.E.BR</t>
  </si>
  <si>
    <t xml:space="preserve">34.07</t>
  </si>
  <si>
    <t xml:space="preserve">34.07.01</t>
  </si>
  <si>
    <t xml:space="preserve">Torneira de limpeza com bico rosqueado</t>
  </si>
  <si>
    <t xml:space="preserve">34.07.02</t>
  </si>
  <si>
    <t xml:space="preserve">Dispenser de sabonete líquido de parede, para espuma de sabão, ref.: Draco Star, Prime Press Espuma70.032, acabamento white.</t>
  </si>
  <si>
    <t xml:space="preserve">34.07.03</t>
  </si>
  <si>
    <t xml:space="preserve">Dispenser de sabonete líquido de parede, com sensor, em inox, ref.: Draco Star, Prime 70.037</t>
  </si>
  <si>
    <t xml:space="preserve">34.07.04</t>
  </si>
  <si>
    <t xml:space="preserve">Dispenser de papel toalha para papel interfolhado, ref.: Draco Star 70.106, acabamento white.</t>
  </si>
  <si>
    <t xml:space="preserve">34.07.05</t>
  </si>
  <si>
    <t xml:space="preserve">Dispenser de papel toalha em inox, para papel interfolhado, ref.: Draco BASIC 74.103</t>
  </si>
  <si>
    <t xml:space="preserve">34.07.06</t>
  </si>
  <si>
    <t xml:space="preserve">Suporte de papel higiênico duplo, ref.: Draco Star 70.278, acabamento white</t>
  </si>
  <si>
    <t xml:space="preserve">34.07.07</t>
  </si>
  <si>
    <t xml:space="preserve">Suporte de papel higiênico em inox, ref.: Draco BOX, Cai Cai 70.100</t>
  </si>
  <si>
    <t xml:space="preserve">34.07.08</t>
  </si>
  <si>
    <t xml:space="preserve">Lixeira em inox 50 Litros, ref.: Draco BOX 70.227.</t>
  </si>
  <si>
    <t xml:space="preserve">34.07.09</t>
  </si>
  <si>
    <t xml:space="preserve">Acabamento para registro, ref.: Deca Level, cromado</t>
  </si>
  <si>
    <t xml:space="preserve">35.01</t>
  </si>
  <si>
    <t xml:space="preserve">Latex Acrílico</t>
  </si>
  <si>
    <t xml:space="preserve">27/01/2027</t>
  </si>
  <si>
    <t xml:space="preserve">35.01.01</t>
  </si>
  <si>
    <t xml:space="preserve">Emassamento acrílico (1 demão + retoques) 1a demão</t>
  </si>
  <si>
    <t xml:space="preserve">35.01.02</t>
  </si>
  <si>
    <t xml:space="preserve">Emassamento acrílico (1 demão + retoques)</t>
  </si>
  <si>
    <t xml:space="preserve">35.01.03</t>
  </si>
  <si>
    <t xml:space="preserve">Pintura acrílica fosca, cor Inverno Gelado. Ref. Suvinil sobre paredes - Reboco (1 demão selador + 3 demãos Latex acrílico)</t>
  </si>
  <si>
    <t xml:space="preserve">35.01.04</t>
  </si>
  <si>
    <t xml:space="preserve">(Drywall) Pintura acrílica fosca, cor Inverno Gelado. Ref. Suvinil sobre paredes - Drywall (1 demão selador + 3 demãos Latex acrílico)</t>
  </si>
  <si>
    <t xml:space="preserve">35.01.05</t>
  </si>
  <si>
    <t xml:space="preserve">Pintura acrílica, cor branco neve, acabamento acetinado. Ref.: Suvinil.s - Reboco (1 demão selador + 3 demãos Latex acrílico)</t>
  </si>
  <si>
    <t xml:space="preserve">35.01.06</t>
  </si>
  <si>
    <t xml:space="preserve">(Drywall) Pintura acrílica, cor branco neve, acabamento acetinado. Ref.: Suvinil.s - Drywall (1 demão selador + 3 demãos Latex acrílico)</t>
  </si>
  <si>
    <t xml:space="preserve">35.01.07</t>
  </si>
  <si>
    <t xml:space="preserve">Pintura acrílica, cor som das ondas, acabamento fosco. Ref.: Suvinil - Reboco (1 demão selador + 3 demãos Latex acrílico)</t>
  </si>
  <si>
    <t xml:space="preserve">35.01.08</t>
  </si>
  <si>
    <t xml:space="preserve">Pintura acrílica, cor cinza claro, acabamento fosco. Ref.: Suvinil - Reboco (1 demão selador + 3 demãos Latex acrílico)</t>
  </si>
  <si>
    <t xml:space="preserve">35.01.09</t>
  </si>
  <si>
    <t xml:space="preserve">Pintura acrílica, cor a definir acabamento fosco. Ref.: Suvinil - Reboco (1 demão selador + 3 demãos Latex acrílico)</t>
  </si>
  <si>
    <t xml:space="preserve">35.01.10</t>
  </si>
  <si>
    <t xml:space="preserve">Pintura acrílica, cor Patativa acabamento fosco Ref.: Suvinil - Reboco (1 demão selador + 3 demãos Latex acrílico)</t>
  </si>
  <si>
    <t xml:space="preserve">35.01.11</t>
  </si>
  <si>
    <t xml:space="preserve">Pintura acrílica sob tetos  (2 demãos Latex acrílico)</t>
  </si>
  <si>
    <t xml:space="preserve">35.02</t>
  </si>
  <si>
    <t xml:space="preserve">Esmalte sintético</t>
  </si>
  <si>
    <t xml:space="preserve">35.02.01</t>
  </si>
  <si>
    <t xml:space="preserve">Pintura esmalte sobre esquadrias de aço  (1 demão zarcão + 2 demãos esmalte)</t>
  </si>
  <si>
    <t xml:space="preserve">35.02.02</t>
  </si>
  <si>
    <t xml:space="preserve">Pintura esmalte faixas demarcatórias garagem (2 demãos esmalte)</t>
  </si>
  <si>
    <t xml:space="preserve">35.02.03</t>
  </si>
  <si>
    <t xml:space="preserve">Pintura de tubulações aparentes para estacionamentos (1 demão zarcão + 2 demãos esmalte)</t>
  </si>
  <si>
    <t xml:space="preserve">35.03</t>
  </si>
  <si>
    <t xml:space="preserve">Especiais</t>
  </si>
  <si>
    <t xml:space="preserve">35.03.01</t>
  </si>
  <si>
    <t xml:space="preserve">Pintura texturizada acrílica rolada fosca na cor Inverno Gelado. Ref.: Suvinil - Reboco</t>
  </si>
  <si>
    <t xml:space="preserve">35.03.02</t>
  </si>
  <si>
    <t xml:space="preserve">(Reboco) Textura Sto Stotex Freeform acabamento Signature Fine 30, cor a definir</t>
  </si>
  <si>
    <t xml:space="preserve">35.03.03</t>
  </si>
  <si>
    <t xml:space="preserve">(Drywall) Textura Sto Stotex Freeform acabamento Signature Fine 30, cor a definir</t>
  </si>
  <si>
    <t xml:space="preserve">35.03.04</t>
  </si>
  <si>
    <t xml:space="preserve">(Tetos) Textura Sto Stotex Freeform acabamento Signature Fine 30, cor a definir</t>
  </si>
  <si>
    <t xml:space="preserve">35.04</t>
  </si>
  <si>
    <t xml:space="preserve">Pintura de pisos</t>
  </si>
  <si>
    <t xml:space="preserve">06/10/2028</t>
  </si>
  <si>
    <t xml:space="preserve">35.04.01</t>
  </si>
  <si>
    <t xml:space="preserve">Pintura de demarcação de vagas com pintura epoxi, na cor branca</t>
  </si>
  <si>
    <t xml:space="preserve">35.04.02</t>
  </si>
  <si>
    <t xml:space="preserve">Rodapé em pintura para escadaria| áreas técnicas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</si>
  <si>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</si>
  <si>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</si>
  <si>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</si>
  <si>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</si>
  <si>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</si>
  <si>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</si>
  <si>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35.06.01</t>
  </si>
  <si>
    <t xml:space="preserve">Laje em concreto aparente com tratamento a ser indicado pelo estrutural.</t>
  </si>
  <si>
    <t xml:space="preserve">35.07</t>
  </si>
  <si>
    <t xml:space="preserve">35.07.01</t>
  </si>
  <si>
    <t xml:space="preserve">Pintura de meia parede em epóxi monolítico de tom cinza médio</t>
  </si>
  <si>
    <t xml:space="preserve">35.07.02</t>
  </si>
  <si>
    <t xml:space="preserve">Arremate em faixa de pintura epóxi fosca de cor cinza chumbo</t>
  </si>
  <si>
    <t xml:space="preserve">36.01</t>
  </si>
  <si>
    <t xml:space="preserve">Serviços de Paisagismo</t>
  </si>
  <si>
    <t xml:space="preserve">36.01.01</t>
  </si>
  <si>
    <t xml:space="preserve">Drenagens Para Jardins</t>
  </si>
  <si>
    <t xml:space="preserve">36.01.02</t>
  </si>
  <si>
    <t xml:space="preserve">Paisagismo</t>
  </si>
  <si>
    <t xml:space="preserve">36.01.03</t>
  </si>
  <si>
    <t xml:space="preserve">Área ajardinada lateral esquerda</t>
  </si>
  <si>
    <t xml:space="preserve">36.01.04</t>
  </si>
  <si>
    <t xml:space="preserve">06 - Gramado com forração indicada para área de permanência de pets</t>
  </si>
  <si>
    <t xml:space="preserve">36.01.05</t>
  </si>
  <si>
    <t xml:space="preserve">Transporte vertical de material para execução de paisagismo em pavimentos elevados (Nível Pilotis)</t>
  </si>
  <si>
    <t xml:space="preserve">10/02/2027</t>
  </si>
  <si>
    <t xml:space="preserve">07/12/2028</t>
  </si>
  <si>
    <t xml:space="preserve">37.01</t>
  </si>
  <si>
    <t xml:space="preserve">Despesas Gerais</t>
  </si>
  <si>
    <t xml:space="preserve">37.01.01</t>
  </si>
  <si>
    <t xml:space="preserve">Arremates Finais</t>
  </si>
  <si>
    <t xml:space="preserve">37.01.02</t>
  </si>
  <si>
    <t xml:space="preserve">Elaboração de manual do proprietário</t>
  </si>
  <si>
    <t xml:space="preserve">37.01.03</t>
  </si>
  <si>
    <t xml:space="preserve">Enchimento de reservatórios com caminhão pipa</t>
  </si>
  <si>
    <t xml:space="preserve">37.01.04</t>
  </si>
  <si>
    <t xml:space="preserve">Enchimento de piscinas com caminhão pipa</t>
  </si>
  <si>
    <t xml:space="preserve">37.02</t>
  </si>
  <si>
    <t xml:space="preserve">Limpeza Final da Obra</t>
  </si>
  <si>
    <t xml:space="preserve">37.02.01</t>
  </si>
  <si>
    <t xml:space="preserve">Limpeza de apartamentos ou salas</t>
  </si>
  <si>
    <t xml:space="preserve">37.02.02</t>
  </si>
  <si>
    <t xml:space="preserve">Limpeza de áreas comuns</t>
  </si>
  <si>
    <t xml:space="preserve">37.02.03</t>
  </si>
  <si>
    <t xml:space="preserve">37.02.04</t>
  </si>
  <si>
    <t xml:space="preserve">Limpeza e desinfecção de Reservatórios</t>
  </si>
  <si>
    <t xml:space="preserve">37.02.05</t>
  </si>
  <si>
    <t xml:space="preserve">Limpeza e desinfecção de Piscinas</t>
  </si>
  <si>
    <t xml:space="preserve">37.03</t>
  </si>
  <si>
    <t xml:space="preserve">Manutenção pós entrega</t>
  </si>
  <si>
    <t xml:space="preserve">37.03.01</t>
  </si>
  <si>
    <t xml:space="preserve"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</si>
  <si>
    <t xml:space="preserve">PROJETOS ANTERIORES</t>
  </si>
  <si>
    <t xml:space="preserve">Projeto Torre Catharina </t>
  </si>
  <si>
    <t xml:space="preserve">CÁLCULO (não editar) — situação de cada atividade na data do retrato</t>
  </si>
  <si>
    <t xml:space="preserve">Planilha Gerada Em 28/09/2026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</si>
  <si>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</si>
  <si>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</si>
  <si>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</si>
  <si>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</si>
  <si>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</si>
  <si>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</si>
  <si>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</si>
  <si>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</si>
  <si>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</si>
  <si>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</si>
  <si>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</si>
  <si>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</si>
  <si>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</si>
  <si>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</si>
  <si>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</si>
  <si>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</si>
  <si>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</si>
  <si>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</si>
  <si>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</si>
  <si>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</si>
  <si>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</si>
  <si>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CONTENÇÕES TRECHO 2</t>
  </si>
  <si>
    <t xml:space="preserve">Contenções trecho 2</t>
  </si>
  <si>
    <t xml:space="preserve">SIM</t>
  </si>
  <si>
    <t xml:space="preserve">T3 - Escavação</t>
  </si>
  <si>
    <t xml:space="preserve">CONTENÇÃO TRECHO 6</t>
  </si>
  <si>
    <t xml:space="preserve">Contenção trecho 6</t>
  </si>
  <si>
    <t xml:space="preserve">T3 - Armação e concretagem</t>
  </si>
  <si>
    <t xml:space="preserve">CONTENÇÕES - ESTACAS EM TRADO 1º FASE</t>
  </si>
  <si>
    <t xml:space="preserve">Contenções - estacas em trado 1º fase</t>
  </si>
  <si>
    <t xml:space="preserve">NÃO</t>
  </si>
  <si>
    <t xml:space="preserve">T4 - Escavação</t>
  </si>
  <si>
    <t xml:space="preserve">PRIMEIRA PRAÇA DE TRABALHO - TUBULÕES</t>
  </si>
  <si>
    <t xml:space="preserve">Primeira praça de trabalho - tubulões</t>
  </si>
  <si>
    <t xml:space="preserve">T4 - Armação e concretagem</t>
  </si>
  <si>
    <t xml:space="preserve">FUNDAÇÕES PROFUNDAS - GERAL</t>
  </si>
  <si>
    <t xml:space="preserve">Fundações profundas - geral</t>
  </si>
  <si>
    <t xml:space="preserve">T6 - Escavação</t>
  </si>
  <si>
    <t xml:space="preserve">CONTENÇÃO TRECHO 7</t>
  </si>
  <si>
    <t xml:space="preserve">Contenção trecho 7</t>
  </si>
  <si>
    <t xml:space="preserve">T6 - Armação e concretagem</t>
  </si>
  <si>
    <t xml:space="preserve">FUNDAÇÕES ACESSO FRONTAL</t>
  </si>
  <si>
    <t xml:space="preserve">Fundações acesso frontal</t>
  </si>
  <si>
    <t xml:space="preserve">T7 - Escavação</t>
  </si>
  <si>
    <t xml:space="preserve">CONTENÇÃO TRECHO 4</t>
  </si>
  <si>
    <t xml:space="preserve">Contenção trecho 4</t>
  </si>
  <si>
    <t xml:space="preserve">T7 - Armação e concretagem</t>
  </si>
  <si>
    <t xml:space="preserve">BLOCOS E CINTAS - PERIFERIA ALAMEDA</t>
  </si>
  <si>
    <t xml:space="preserve">Blocos e cintas - periferia alameda</t>
  </si>
  <si>
    <t xml:space="preserve">T8 - Escavação</t>
  </si>
  <si>
    <t xml:space="preserve">FUNDAÇÕES PRIMEIRA PRAÇA DE TRABALHO</t>
  </si>
  <si>
    <t xml:space="preserve">Fundações primeira praça de trabalho</t>
  </si>
  <si>
    <t xml:space="preserve">T8 - Armação e concretagem</t>
  </si>
  <si>
    <t xml:space="preserve">SERVIÇOS INICIAIS - ADEQUAÇÃO PARA INÍCIO DAS ESTACAS</t>
  </si>
  <si>
    <t xml:space="preserve">Serviços iniciais - adequação para início das estacas</t>
  </si>
  <si>
    <t xml:space="preserve">T9 - Escavação</t>
  </si>
  <si>
    <t xml:space="preserve">CONTENÇÕES - GERAL</t>
  </si>
  <si>
    <t xml:space="preserve">Contenções - geral</t>
  </si>
  <si>
    <t xml:space="preserve">T9 - Armação e concretagem</t>
  </si>
  <si>
    <t xml:space="preserve">BLOCOS E CINTAS - MEDIÇÃO</t>
  </si>
  <si>
    <t xml:space="preserve">Blocos e cintas - medição</t>
  </si>
  <si>
    <t xml:space="preserve">T10 - Escavação</t>
  </si>
  <si>
    <t xml:space="preserve">FUNDAÇÕES SEGUNDA PRAÇA DE TRABALHO</t>
  </si>
  <si>
    <t xml:space="preserve">Fundações segunda praça de trabalho</t>
  </si>
  <si>
    <t xml:space="preserve">T10 - Armação e concretagem</t>
  </si>
  <si>
    <t xml:space="preserve">CONTENÇÃO TRECHO 3</t>
  </si>
  <si>
    <t xml:space="preserve">Contenção trecho 3</t>
  </si>
  <si>
    <t xml:space="preserve">T13 - Escavação</t>
  </si>
  <si>
    <t xml:space="preserve">ESTRUTURA - AFASTAMENTO FRONTAL - MEDIÇÃO</t>
  </si>
  <si>
    <t xml:space="preserve">Estrutura - afastamento frontal - medição</t>
  </si>
  <si>
    <t xml:space="preserve">T13 - Armação e concretagem</t>
  </si>
  <si>
    <t xml:space="preserve">FUNDAÇÕES CHOPP DA FÁBRICA</t>
  </si>
  <si>
    <t xml:space="preserve">Fundações chopp da fábrica</t>
  </si>
  <si>
    <t xml:space="preserve">Viga do coroamento - Forma</t>
  </si>
  <si>
    <t xml:space="preserve">CONTENÇÕES EM ESTACAS</t>
  </si>
  <si>
    <t xml:space="preserve">Contenções em estacas</t>
  </si>
  <si>
    <t xml:space="preserve">Viga do coroamento - Armação</t>
  </si>
  <si>
    <t xml:space="preserve">TERRAPLENAGEM - LIBERAÇÃO DOS TIRANTES</t>
  </si>
  <si>
    <t xml:space="preserve">Terraplenagem - liberação dos tirantes</t>
  </si>
  <si>
    <t xml:space="preserve">Viga do coroamento - Concretagem</t>
  </si>
  <si>
    <t xml:space="preserve">CONTENÇÃO TRECHO 5</t>
  </si>
  <si>
    <t xml:space="preserve">Contenção trecho 5</t>
  </si>
  <si>
    <t xml:space="preserve">T1 - Escavação</t>
  </si>
  <si>
    <t xml:space="preserve">TERRAPLENAGEM GERAL</t>
  </si>
  <si>
    <t xml:space="preserve">Terraplenagem geral</t>
  </si>
  <si>
    <t xml:space="preserve">T1 - Armação e Concretagem</t>
  </si>
  <si>
    <t xml:space="preserve">FUNDAÇÕES 1125 PRÉDIO</t>
  </si>
  <si>
    <t xml:space="preserve">Fundações 1125 prédio</t>
  </si>
  <si>
    <t xml:space="preserve">T2- Escavação</t>
  </si>
  <si>
    <t xml:space="preserve">TIRANTES</t>
  </si>
  <si>
    <t xml:space="preserve">Tirantes</t>
  </si>
  <si>
    <t xml:space="preserve">T2 - Armação e concretagem</t>
  </si>
  <si>
    <t xml:space="preserve">BLOCOS E CINTAS - TORRE</t>
  </si>
  <si>
    <t xml:space="preserve">Blocos e cintas - torre</t>
  </si>
  <si>
    <t xml:space="preserve">ESTRUTURA - PROJEÇÃO ALAMEDA - MEDIÇÃO</t>
  </si>
  <si>
    <t xml:space="preserve">Estrutura - projeção alameda - medição</t>
  </si>
  <si>
    <t xml:space="preserve">ÚLTIMA FASE DE FUNDAÇÕES - PRÉDIO</t>
  </si>
  <si>
    <t xml:space="preserve">Última fase de fundações - prédio</t>
  </si>
  <si>
    <t xml:space="preserve">T1 - Armação e concretagem</t>
  </si>
  <si>
    <t xml:space="preserve">VIGA DE COROAMENTO</t>
  </si>
  <si>
    <t xml:space="preserve">Viga de coroamento</t>
  </si>
  <si>
    <t xml:space="preserve">T2 - Escavação</t>
  </si>
  <si>
    <t xml:space="preserve">CONTENÇÃO - BLOCO DO ELEVADOR</t>
  </si>
  <si>
    <t xml:space="preserve">Contenção - bloco do elevador</t>
  </si>
  <si>
    <t xml:space="preserve">TERRAPLENAGEM - PÓS TIRANTE</t>
  </si>
  <si>
    <t xml:space="preserve">Terraplenagem - pós tirante</t>
  </si>
  <si>
    <t xml:space="preserve">CONCRETO PROJETADO (CONTENÇÕES)</t>
  </si>
  <si>
    <t xml:space="preserve">Concreto projetado (contenções)</t>
  </si>
  <si>
    <t xml:space="preserve">ESTRUTURA - PROJEÇÃO ALAMEDA (2º ETAPA) - MEDIÇÃO</t>
  </si>
  <si>
    <t xml:space="preserve">Estrutura - projeção alameda (2º etapa) - medição</t>
  </si>
  <si>
    <t xml:space="preserve">CONTENÇÃO - SUBESTAÇÃO</t>
  </si>
  <si>
    <t xml:space="preserve">Contenção - subestação</t>
  </si>
  <si>
    <t xml:space="preserve">ESTRUTURA - PROJEÇÃO CONCORDIA - MEDIÇÃO</t>
  </si>
  <si>
    <t xml:space="preserve">Estrutura - projeção concordia - medição</t>
  </si>
  <si>
    <t xml:space="preserve">T5 - Escavação</t>
  </si>
  <si>
    <t xml:space="preserve">ESTRUTURA TORRE - MEDIÇÃO</t>
  </si>
  <si>
    <t xml:space="preserve">Estrutura torre - medição</t>
  </si>
  <si>
    <t xml:space="preserve">T5 - Armação e concretagem</t>
  </si>
  <si>
    <t xml:space="preserve">ESTRUTURA ALAMEDA - LOOKAHEAD</t>
  </si>
  <si>
    <t xml:space="preserve">Estrutura alameda - lookahead</t>
  </si>
  <si>
    <t xml:space="preserve">T11 - Escavação</t>
  </si>
  <si>
    <t xml:space="preserve">ESTRUTURA- PROJEÇÃO OLYMPUS - MEDIÇÃO</t>
  </si>
  <si>
    <t xml:space="preserve">Estrutura- projeção olympus - medição</t>
  </si>
  <si>
    <t xml:space="preserve">T11 - Armação e concretagem</t>
  </si>
  <si>
    <t xml:space="preserve">ESTRUTURA TORRE - LOOKAHEAD</t>
  </si>
  <si>
    <t xml:space="preserve">Estrutura torre - lookahead</t>
  </si>
  <si>
    <t xml:space="preserve">T15 - Escavação</t>
  </si>
  <si>
    <t xml:space="preserve">OBRA CIVIL CÂMARA</t>
  </si>
  <si>
    <t xml:space="preserve">T15 - Armação e concretagem</t>
  </si>
  <si>
    <t xml:space="preserve">ESTRUTURA OLYMPUS - LOOKAHEAD</t>
  </si>
  <si>
    <t xml:space="preserve">Estrutura olympus - lookahead</t>
  </si>
  <si>
    <t xml:space="preserve">ESTRUTURA TORRE - ESCADA</t>
  </si>
  <si>
    <t xml:space="preserve">Estrutura torre - escada</t>
  </si>
  <si>
    <t xml:space="preserve">ESTRUTURA - TRIPINHA - LOOKAHEAD</t>
  </si>
  <si>
    <t xml:space="preserve">Estrutura - tripinha - lookahead</t>
  </si>
  <si>
    <t xml:space="preserve">T12 - Escavação</t>
  </si>
  <si>
    <t xml:space="preserve">CONTENÇÃO - CORTINA 3</t>
  </si>
  <si>
    <t xml:space="preserve">Contenção - cortina 3</t>
  </si>
  <si>
    <t xml:space="preserve">T12 - Armação e concretagem</t>
  </si>
  <si>
    <t xml:space="preserve">ESTRUTURA CONCORDIA - LOOKAHEAD</t>
  </si>
  <si>
    <t xml:space="preserve">Estrutura concordia - lookahead</t>
  </si>
  <si>
    <t xml:space="preserve">RESERVATÓRIO - LOOKAHEAD</t>
  </si>
  <si>
    <t xml:space="preserve">Reservatório - lookahead</t>
  </si>
  <si>
    <t xml:space="preserve">ESTRUTURA - ESCADA DA TORRE</t>
  </si>
  <si>
    <t xml:space="preserve">Estrutura - escada da torre</t>
  </si>
  <si>
    <t xml:space="preserve">ESTRUTURA LOOKAHEAD TAMPA RESERVATÓRIO</t>
  </si>
  <si>
    <t xml:space="preserve">Estrutura lookahead tampa reservatório</t>
  </si>
  <si>
    <t xml:space="preserve">BLOCOS E CINTAS - LOOKAHEAD</t>
  </si>
  <si>
    <t xml:space="preserve">Blocos e cintas - lookahead</t>
  </si>
  <si>
    <t xml:space="preserve">T14 - Escavação</t>
  </si>
  <si>
    <t xml:space="preserve">ESTRUTURA RAMPA 6° AO 5° SUBSOLO</t>
  </si>
  <si>
    <t xml:space="preserve">Estrutura rampa 6° ao 5° subsolo</t>
  </si>
  <si>
    <t xml:space="preserve">T14 - Armação e concretagem</t>
  </si>
  <si>
    <t xml:space="preserve">RETIRADA/ESCAVAÇÃO DO TALUDE DA CONTENÇÃO 06</t>
  </si>
  <si>
    <t xml:space="preserve">Retirada/escavação do talude da contenção 06</t>
  </si>
  <si>
    <t xml:space="preserve">RAMPA PROJEÇÃO DA TORRE LOOKAHEAD</t>
  </si>
  <si>
    <t xml:space="preserve">Rampa projeção da torre lookahead</t>
  </si>
  <si>
    <t xml:space="preserve">PISO EM CONCRETO PROJEÇÃO CONCORDIA LOOKAHEAD</t>
  </si>
  <si>
    <t xml:space="preserve">Piso em concreto projeção concordia lookahead</t>
  </si>
  <si>
    <t xml:space="preserve">ESTRUTURA PROJEÇÃO RAMPA OLIMPUS</t>
  </si>
  <si>
    <t xml:space="preserve">Estrutura projeção rampa olimpus</t>
  </si>
  <si>
    <t xml:space="preserve">TRATAMENTO DE CONCRETO APARENTE</t>
  </si>
  <si>
    <t xml:space="preserve">Tratamento de concreto aparente</t>
  </si>
  <si>
    <t xml:space="preserve">Alvenaria</t>
  </si>
  <si>
    <t xml:space="preserve">ESTRUTURA TORRE LOOKAHEAD</t>
  </si>
  <si>
    <t xml:space="preserve">Estrutura torre lookahead</t>
  </si>
  <si>
    <t xml:space="preserve">Viga de coroamento - Forma</t>
  </si>
  <si>
    <t xml:space="preserve">PISO EM CONCRETO PROJEÇÃO TORRE LOOKAHEAD</t>
  </si>
  <si>
    <t xml:space="preserve">Piso em concreto projeção torre lookahead</t>
  </si>
  <si>
    <t xml:space="preserve">Viga de coroamento - Armação</t>
  </si>
  <si>
    <t xml:space="preserve">CONCRETO PROJETADO - LOOKAHEAD</t>
  </si>
  <si>
    <t xml:space="preserve">Concreto projetado - lookahead</t>
  </si>
  <si>
    <t xml:space="preserve">Viga de coroamento - concretagem</t>
  </si>
  <si>
    <t xml:space="preserve">VIGA DE FECHAMENTO LATERAL CHOPP DA FÁBRICA</t>
  </si>
  <si>
    <t xml:space="preserve">Viga de fechamento lateral chopp da fábrica</t>
  </si>
  <si>
    <t xml:space="preserve">ESTRUTURA - OLIMPUS LOOKAHEAD</t>
  </si>
  <si>
    <t xml:space="preserve">Estrutura - olimpus lookahead</t>
  </si>
  <si>
    <t xml:space="preserve">ESTRUTURA - CONCORDIA LOOKAHEAD</t>
  </si>
  <si>
    <t xml:space="preserve">Estrutura - concordia lookahead</t>
  </si>
  <si>
    <t xml:space="preserve">ESCAVAÇÃO P304A </t>
  </si>
  <si>
    <t xml:space="preserve">INSTALAÇÕES ELÉTRICAS E ESPECIAIS(INFRA PAREDES)</t>
  </si>
  <si>
    <t xml:space="preserve">Inst. elétricas e especiais(infra paredes)</t>
  </si>
  <si>
    <t xml:space="preserve">ARMAÇÃO E CONCRETAGEM - P304A</t>
  </si>
  <si>
    <t xml:space="preserve">CONTENÇÃO - CORTINA 1</t>
  </si>
  <si>
    <t xml:space="preserve">Contenção - cortina 1</t>
  </si>
  <si>
    <t xml:space="preserve">ESCAVAÇÃO P304B</t>
  </si>
  <si>
    <t xml:space="preserve">VIGA DE TRAVAMENTO VM1/VM2 LOOKAHEAD</t>
  </si>
  <si>
    <t xml:space="preserve">Viga de travamento vm1/vm2 lookahead</t>
  </si>
  <si>
    <t xml:space="preserve">ARMAÇÃO E CONCRETAGEM - P304B</t>
  </si>
  <si>
    <t xml:space="preserve">PISO DE CONCRETO PROJEÇÃO OLIMPUS 2° ETAPA LOOKAHEAD</t>
  </si>
  <si>
    <t xml:space="preserve">Piso de concreto projeção olimpus 2° etapa lookahead</t>
  </si>
  <si>
    <t xml:space="preserve">ESCAVAÇÃO P305A</t>
  </si>
  <si>
    <t xml:space="preserve">PISO EM CONCRETO E INSTALAÇÕES CHOPP DA FÁBRICA</t>
  </si>
  <si>
    <t xml:space="preserve">Piso em concreto e instalações chopp da fábrica</t>
  </si>
  <si>
    <t xml:space="preserve">ARMAÇÃO E CONCRETAGEM - P305A</t>
  </si>
  <si>
    <t xml:space="preserve">ESTRUTURA TORRE INTERMEDIÁRIO 3 LOOKAHEAD</t>
  </si>
  <si>
    <t xml:space="preserve">Estrutura torre intermediário 3 lookahead</t>
  </si>
  <si>
    <t xml:space="preserve">ESCAVAÇÃO P305B</t>
  </si>
  <si>
    <t xml:space="preserve">CONTENÇÃO - CORTINA 2</t>
  </si>
  <si>
    <t xml:space="preserve">Contenção - cortina 2</t>
  </si>
  <si>
    <t xml:space="preserve">ARMAÇÃO E CONCRETAGEM - P305B</t>
  </si>
  <si>
    <t xml:space="preserve">INFRA DE INSTALAÇÕES HIDRAULICAS</t>
  </si>
  <si>
    <t xml:space="preserve">Infra de instalações hidraulicas</t>
  </si>
  <si>
    <t xml:space="preserve">ESCAVAÇÃO P306</t>
  </si>
  <si>
    <t xml:space="preserve">VIGAS DA LAJE DE SOLIDARIZAÇÃO DO 1° PAV. ALAMEDA</t>
  </si>
  <si>
    <t xml:space="preserve">Vigas da laje de solidarização do 1° pav. alameda</t>
  </si>
  <si>
    <t xml:space="preserve">ARMAÇÃO E CONCRETAGEM - P306</t>
  </si>
  <si>
    <t xml:space="preserve">PISO DE CONCRETO PROJEÇÃO OLIMPUS 1° ETAPA LOOKAHEAD</t>
  </si>
  <si>
    <t xml:space="preserve">Piso de concreto projeção olimpus 1° etapa lookahead</t>
  </si>
  <si>
    <t xml:space="preserve">LAJE CONTRAPISO - PISO ARMADO</t>
  </si>
  <si>
    <t xml:space="preserve">Laje contrapiso - piso armado</t>
  </si>
  <si>
    <t xml:space="preserve">SERVIÇOS INICIAIS - Parte 2</t>
  </si>
  <si>
    <t xml:space="preserve">TRIPÃO 2° ETAPA ESTRUTURA LOOKAHEAD</t>
  </si>
  <si>
    <t xml:space="preserve">Tripão 2° etapa estrutura lookahead</t>
  </si>
  <si>
    <t xml:space="preserve">T16 - Escavação</t>
  </si>
  <si>
    <t xml:space="preserve">INFRA HIDROSSANITÁRIA - CHOPP DA FÁBRICA</t>
  </si>
  <si>
    <t xml:space="preserve">Infra hidrossanitária - chopp da fábrica</t>
  </si>
  <si>
    <t xml:space="preserve">T16 - Armação e concretagem</t>
  </si>
  <si>
    <t xml:space="preserve">REBOCO INTERNO</t>
  </si>
  <si>
    <t xml:space="preserve">Reboco interno</t>
  </si>
  <si>
    <t xml:space="preserve">T17 - Escavação</t>
  </si>
  <si>
    <t xml:space="preserve">EXECUÇÃO DO CANTEIRO (ENGENHARIA)</t>
  </si>
  <si>
    <t xml:space="preserve">Execução do canteiro (engenharia)</t>
  </si>
  <si>
    <t xml:space="preserve">T17 - Armação e concretagem</t>
  </si>
  <si>
    <t xml:space="preserve">CONTRAPISO</t>
  </si>
  <si>
    <t xml:space="preserve">Contrapiso</t>
  </si>
  <si>
    <t xml:space="preserve">T18 - Escavação</t>
  </si>
  <si>
    <t xml:space="preserve">MUDANÇA DO ALMOXARIFADO</t>
  </si>
  <si>
    <t xml:space="preserve">Mudança do almoxarifado</t>
  </si>
  <si>
    <t xml:space="preserve">T18 - Armação e concretagem</t>
  </si>
  <si>
    <t xml:space="preserve">FECHAMENTO ABAIXO DAS VIGAS DE COROAMENTO</t>
  </si>
  <si>
    <t xml:space="preserve">Fechamento abaixo das vigas de coroamento</t>
  </si>
  <si>
    <t xml:space="preserve">T19 - Escavação</t>
  </si>
  <si>
    <t xml:space="preserve">EXECUÇÃO DO CANTEIRO (REFEITÓRIO)</t>
  </si>
  <si>
    <t xml:space="preserve">Execução do canteiro (refeitório)</t>
  </si>
  <si>
    <t xml:space="preserve">T19 - Armação e concretagem</t>
  </si>
  <si>
    <t xml:space="preserve">INFRA HIDRÁULICA PAREDES</t>
  </si>
  <si>
    <t xml:space="preserve">Infra hidráulica paredes</t>
  </si>
  <si>
    <t xml:space="preserve">T20 - Escavação</t>
  </si>
  <si>
    <t xml:space="preserve">INSTALAÇÕES HIDRÁULICAS</t>
  </si>
  <si>
    <t xml:space="preserve">Inst. hidráulicas</t>
  </si>
  <si>
    <t xml:space="preserve">T20 - Armação e concretagem</t>
  </si>
  <si>
    <t xml:space="preserve">ALVENARIA FACHADA LATERAL CHOPP DA FÁBRICA</t>
  </si>
  <si>
    <t xml:space="preserve">Alvenaria fachada lateral chopp da fábrica</t>
  </si>
  <si>
    <t xml:space="preserve">T21 - Escavação</t>
  </si>
  <si>
    <t xml:space="preserve">IMPERMEABILIZAÇÃO CORTINA 1 E 2 LOOKAHEAD</t>
  </si>
  <si>
    <t xml:space="preserve">Impermeabilização cortina 1 e 2 lookahead</t>
  </si>
  <si>
    <t xml:space="preserve">T21 - Armação e concretagem</t>
  </si>
  <si>
    <t xml:space="preserve">POLIMENTO DE PISO DE CONCRETO LOOKAHEAD</t>
  </si>
  <si>
    <t xml:space="preserve">Polimento de piso de concreto lookahead</t>
  </si>
  <si>
    <t xml:space="preserve">T23 - Escavação</t>
  </si>
  <si>
    <t xml:space="preserve">Inst. especiais</t>
  </si>
  <si>
    <t xml:space="preserve">T23 - Armação e concretagem</t>
  </si>
  <si>
    <t xml:space="preserve">Inst. elétricas</t>
  </si>
  <si>
    <t xml:space="preserve">T24 - Escavação</t>
  </si>
  <si>
    <t xml:space="preserve">ALVENARIA FACHADA FUNDOS CHOPP DA FÁBRICA</t>
  </si>
  <si>
    <t xml:space="preserve">Alvenaria fachada fundos chopp da fábrica</t>
  </si>
  <si>
    <t xml:space="preserve">T24 - Armação e concretagem</t>
  </si>
  <si>
    <t xml:space="preserve">INSTALAÇÃO DE PCF (MARCO)</t>
  </si>
  <si>
    <t xml:space="preserve">PCF (marco)</t>
  </si>
  <si>
    <t xml:space="preserve">Viga de Coroamento - Forma</t>
  </si>
  <si>
    <t xml:space="preserve">RAMPA DE VEÍCULOS - 5º AO 6º SS. (TERRENO) LOOKAHEAD</t>
  </si>
  <si>
    <t xml:space="preserve">Rampa de veículos - 5º ao 6º ss. (terreno) lookahead</t>
  </si>
  <si>
    <t xml:space="preserve">PLANO DE AÇÃO ENTREGA DO MEZANINO PARA ESTACIONAMENTO</t>
  </si>
  <si>
    <t xml:space="preserve">Plano de ação entrega do mezanino para estacionamento</t>
  </si>
  <si>
    <t xml:space="preserve">EXECUÇÃO DA ESCADA HIDRÁULICA LATERAL CHOPP DA FÁBRICA</t>
  </si>
  <si>
    <t xml:space="preserve">Execução da escada hidráulica lateral chopp da fábrica</t>
  </si>
  <si>
    <t xml:space="preserve">DRENAGEM PLUVIAL TALUDES</t>
  </si>
  <si>
    <t xml:space="preserve">Drenagem pluvial taludes</t>
  </si>
  <si>
    <t xml:space="preserve">E1/E4/E7/E10</t>
  </si>
  <si>
    <t xml:space="preserve">IMPERMEABILIZAÇÃO DO RESERVATÓRIO PLUVIAL lOOKAREAD</t>
  </si>
  <si>
    <t xml:space="preserve">Impermeabilização do reservatório pluvial lookaread</t>
  </si>
  <si>
    <t xml:space="preserve">E2/E5/E8</t>
  </si>
  <si>
    <t xml:space="preserve">REBOCO EXTERNO (FACHADA LATERAL CHOPP DA FÁBRICA)</t>
  </si>
  <si>
    <t xml:space="preserve">Reboco externo (fachada lateral chopp da fábrica)</t>
  </si>
  <si>
    <t xml:space="preserve">E3/E6/E9</t>
  </si>
  <si>
    <t xml:space="preserve">PLANO DE AÇÃO ALVENARIA FACHADA ACÁCIA</t>
  </si>
  <si>
    <t xml:space="preserve">Plano de ação alvenaria fachada acácia</t>
  </si>
  <si>
    <t xml:space="preserve">P501/P503</t>
  </si>
  <si>
    <t xml:space="preserve">PRUMADA DE INCÊNDIO</t>
  </si>
  <si>
    <t xml:space="preserve">Prumada de incêndio</t>
  </si>
  <si>
    <t xml:space="preserve">P502/P504</t>
  </si>
  <si>
    <t xml:space="preserve">APARTAMENTO PROTÓTIPO 01 ( 52,54 m²) LOOKAREAD</t>
  </si>
  <si>
    <t xml:space="preserve">Apartamento protótipo 01 ( 52,54 m²) lookaread</t>
  </si>
  <si>
    <t xml:space="preserve">P505/P507</t>
  </si>
  <si>
    <t xml:space="preserve">APARTAMENTO PROTÓTIPO 06 ( 54,39 m² )</t>
  </si>
  <si>
    <t xml:space="preserve">Apartamento protótipo 06 ( 54,39 m² )</t>
  </si>
  <si>
    <t xml:space="preserve">P506/P508</t>
  </si>
  <si>
    <t xml:space="preserve">APARTAMENTO PROTÓTIPO 05 ( 85,07 m² )</t>
  </si>
  <si>
    <t xml:space="preserve">Apartamento protótipo 05 ( 85,07 m² )</t>
  </si>
  <si>
    <t xml:space="preserve">P510</t>
  </si>
  <si>
    <t xml:space="preserve">REBOCO EXTERNO (FACHADA FUNDO CHOPP DA FÁBRICA)</t>
  </si>
  <si>
    <t xml:space="preserve">Reboco externo (fachada fundo chopp da fábrica)</t>
  </si>
  <si>
    <t xml:space="preserve">P509/ESCAVAÇÃO DE ACESSO</t>
  </si>
  <si>
    <t xml:space="preserve">REBOCO PLANO DE AÇÃO FACHADA CONCORDIA</t>
  </si>
  <si>
    <t xml:space="preserve">Reboco plano de ação fachada concordia</t>
  </si>
  <si>
    <t xml:space="preserve">PRUMADA HIDROSSANITÁRIA</t>
  </si>
  <si>
    <t xml:space="preserve">Prumada hidrossanitária</t>
  </si>
  <si>
    <t xml:space="preserve">PRUMADA ELÉTRICA (INFRA)</t>
  </si>
  <si>
    <t xml:space="preserve">Prumada elétrica (infra)</t>
  </si>
  <si>
    <t xml:space="preserve">ENCUNHAMENTO</t>
  </si>
  <si>
    <t xml:space="preserve">Encunhamento</t>
  </si>
  <si>
    <t xml:space="preserve">ESTRUTURA DA RAMPA ALAMEDA LOOKAHEAD</t>
  </si>
  <si>
    <t xml:space="preserve">Estrutura da rampa alameda lookahead</t>
  </si>
  <si>
    <t xml:space="preserve">PLANO DE AÇÃO REBOCO FACHADA ACÁCIA</t>
  </si>
  <si>
    <t xml:space="preserve">Plano de ação reboco fachada acácia</t>
  </si>
  <si>
    <t xml:space="preserve">INSTALAÇÕES EMBUTIDAS NA ALVENARIA</t>
  </si>
  <si>
    <t xml:space="preserve">Inst. embutidas na alvenaria</t>
  </si>
  <si>
    <t xml:space="preserve">TALISCAMENTO</t>
  </si>
  <si>
    <t xml:space="preserve">Taliscamento</t>
  </si>
  <si>
    <t xml:space="preserve">INSTALAÇÕES INCÊNDIO</t>
  </si>
  <si>
    <t xml:space="preserve">Inst. incêndio</t>
  </si>
  <si>
    <t xml:space="preserve">ALVENARIA PLANO DE AÇÃO FACHADA CONCORDIA</t>
  </si>
  <si>
    <t xml:space="preserve">Alvenaria plano de ação fachada concordia</t>
  </si>
  <si>
    <t xml:space="preserve">RESERVATÓRIO OLYMPUS INTER 4 LOOKAHEAD</t>
  </si>
  <si>
    <t xml:space="preserve">Reservatório olympus inter 4 lookahead</t>
  </si>
  <si>
    <t xml:space="preserve">IMPERMEABILIZAÇÃO MANTA</t>
  </si>
  <si>
    <t xml:space="preserve">Impermeabilização manta</t>
  </si>
  <si>
    <t xml:space="preserve">PLANO DE AÇÃO ALVENARIA FACHADA OLYMPUS</t>
  </si>
  <si>
    <t xml:space="preserve">Plano de ação alvenaria fachada olympus</t>
  </si>
  <si>
    <t xml:space="preserve">CONTRAMARCO</t>
  </si>
  <si>
    <t xml:space="preserve">Contramarco</t>
  </si>
  <si>
    <t xml:space="preserve">PLANO DE AÇÃO REBOCO FACHADA OLYMPUS</t>
  </si>
  <si>
    <t xml:space="preserve">Plano de ação reboco fachada olympus</t>
  </si>
  <si>
    <t xml:space="preserve">GÁS PISO</t>
  </si>
  <si>
    <t xml:space="preserve">Gás piso</t>
  </si>
  <si>
    <t xml:space="preserve">MONTANTES DO DRYWALL</t>
  </si>
  <si>
    <t xml:space="preserve">Montantes do drywall</t>
  </si>
  <si>
    <t xml:space="preserve">LAJE DE COBERTURA DO PILOTIS (CONCÓRDIA)</t>
  </si>
  <si>
    <t xml:space="preserve">Laje de cobertura do pilotis (concórdia)</t>
  </si>
  <si>
    <t xml:space="preserve">LAJE COBERTURA PILOTIS (OLYMPUS)</t>
  </si>
  <si>
    <t xml:space="preserve">Laje cobertura pilotis (olympus)</t>
  </si>
  <si>
    <t xml:space="preserve">DRYWALL 1º FACE</t>
  </si>
  <si>
    <t xml:space="preserve">Drywall 1ª face</t>
  </si>
  <si>
    <t xml:space="preserve">DISTRIBUIÇÃO HIDROSSANITÁRIA</t>
  </si>
  <si>
    <t xml:space="preserve">Distribuição hidrossanitária</t>
  </si>
  <si>
    <t xml:space="preserve">DISTRIBUIÇÃO ELÉTRICA / QUADRO</t>
  </si>
  <si>
    <t xml:space="preserve">Distribuição elétrica / quadro</t>
  </si>
  <si>
    <t xml:space="preserve">INFRA DE AR CONDICIONADO</t>
  </si>
  <si>
    <t xml:space="preserve">Infra de ar condicionado</t>
  </si>
  <si>
    <t xml:space="preserve">GÁS PAREDE</t>
  </si>
  <si>
    <t xml:space="preserve">Gás parede</t>
  </si>
  <si>
    <t xml:space="preserve">Viga de coroamento - Concretagem</t>
  </si>
  <si>
    <t xml:space="preserve">REDE HIDROSSANITÁRIA</t>
  </si>
  <si>
    <t xml:space="preserve">Rede hidrossanitária</t>
  </si>
  <si>
    <t xml:space="preserve">REVESTIMENTOS PORCELANATO PISO</t>
  </si>
  <si>
    <t xml:space="preserve">Revestimentos porcelanato piso</t>
  </si>
  <si>
    <t xml:space="preserve">B307/CINTA - ESCAVAÇÃO</t>
  </si>
  <si>
    <t xml:space="preserve">REVESTIMENTO PORCELANATO PAREDE</t>
  </si>
  <si>
    <t xml:space="preserve">Revestimento porcelanato parede</t>
  </si>
  <si>
    <t xml:space="preserve">B308/CINTA - ESCAVAÇÃO</t>
  </si>
  <si>
    <t xml:space="preserve">DRYWALL 2º FACE</t>
  </si>
  <si>
    <t xml:space="preserve">Drywall 2ª face</t>
  </si>
  <si>
    <t xml:space="preserve">B309/CINTA - ESCAVAÇÃO</t>
  </si>
  <si>
    <t xml:space="preserve">Forro</t>
  </si>
  <si>
    <t xml:space="preserve">B310/CINTA - ESCAVAÇÃO</t>
  </si>
  <si>
    <t xml:space="preserve">Impermeabilização</t>
  </si>
  <si>
    <t xml:space="preserve">B311/CINTA - ESCAVAÇÃO</t>
  </si>
  <si>
    <t xml:space="preserve">ESQUADRIA DE ALUMINIO</t>
  </si>
  <si>
    <t xml:space="preserve">Esquadria de aluminio</t>
  </si>
  <si>
    <t xml:space="preserve">B312/CINTA - ESCAVAÇÃO</t>
  </si>
  <si>
    <t xml:space="preserve">TEXTURA</t>
  </si>
  <si>
    <t xml:space="preserve">Textura</t>
  </si>
  <si>
    <t xml:space="preserve">B313/CINTA - ESCAVAÇÃO</t>
  </si>
  <si>
    <t xml:space="preserve">Pintura</t>
  </si>
  <si>
    <t xml:space="preserve">B314/CINTA - ESCAVAÇÃO</t>
  </si>
  <si>
    <t xml:space="preserve">DRYWALL</t>
  </si>
  <si>
    <t xml:space="preserve">Drywall</t>
  </si>
  <si>
    <t xml:space="preserve">B315/CINTA - ESCAVAÇÃO</t>
  </si>
  <si>
    <t xml:space="preserve">GÁS</t>
  </si>
  <si>
    <t xml:space="preserve">Gás</t>
  </si>
  <si>
    <t xml:space="preserve">B316/CINTA - ESCAVAÇÃO</t>
  </si>
  <si>
    <t xml:space="preserve">LOUÇAS</t>
  </si>
  <si>
    <t xml:space="preserve">Louças</t>
  </si>
  <si>
    <t xml:space="preserve">B317/CINTA - ESCAVAÇÃO</t>
  </si>
  <si>
    <t xml:space="preserve">ACABAMENTOS ELÉTRICOS</t>
  </si>
  <si>
    <t xml:space="preserve">Acabamentos elétricos</t>
  </si>
  <si>
    <t xml:space="preserve">B318/CINTA - ESCAVAÇÃO</t>
  </si>
  <si>
    <t xml:space="preserve">REBOCO DE FACHADA - FASE 1</t>
  </si>
  <si>
    <t xml:space="preserve">Reboco de fachada - fase 1</t>
  </si>
  <si>
    <t xml:space="preserve">B319/CINTA - ESCAVAÇÃO</t>
  </si>
  <si>
    <t xml:space="preserve">LIMPEZA FINA</t>
  </si>
  <si>
    <t xml:space="preserve">Limpeza fina</t>
  </si>
  <si>
    <t xml:space="preserve">B320/CINTA - ESCAVAÇÃO</t>
  </si>
  <si>
    <t xml:space="preserve">SHAFT INTERNO INST. HIDRAÚLICAS</t>
  </si>
  <si>
    <t xml:space="preserve">Shaft interno inst. hidraúlicas</t>
  </si>
  <si>
    <t xml:space="preserve">B321/CINTA - ESCAVAÇÃO</t>
  </si>
  <si>
    <t xml:space="preserve">BANCADAS</t>
  </si>
  <si>
    <t xml:space="preserve">Bancadas</t>
  </si>
  <si>
    <t xml:space="preserve">B322/CINTA - ESCAVAÇÃO</t>
  </si>
  <si>
    <t xml:space="preserve">MASSA CORRIDA</t>
  </si>
  <si>
    <t xml:space="preserve">Massa corrida</t>
  </si>
  <si>
    <t xml:space="preserve">B323/CINTA - ESCAVAÇÃO</t>
  </si>
  <si>
    <t xml:space="preserve">FIAÇÃO ELÉTRICA E ILUMINAÇÃO</t>
  </si>
  <si>
    <t xml:space="preserve">Fiação elétrica e iluminação</t>
  </si>
  <si>
    <t xml:space="preserve">B324/CINTA - ESCAVAÇÃO</t>
  </si>
  <si>
    <t xml:space="preserve">PRUMADA ELÉTRICA (CABOS)</t>
  </si>
  <si>
    <t xml:space="preserve">Prumada elétrica (cabos)</t>
  </si>
  <si>
    <t xml:space="preserve">B325 A B330/CINTA - ESCAVAÇÃO</t>
  </si>
  <si>
    <t xml:space="preserve">INFRA DE SISTEMAS - CFTV</t>
  </si>
  <si>
    <t xml:space="preserve">Infra de sistemas - cftv</t>
  </si>
  <si>
    <t xml:space="preserve">B307/CINTA - ARMAÇÃO</t>
  </si>
  <si>
    <t xml:space="preserve">INFRA DE INSTALAÇÕES ELETRICAS</t>
  </si>
  <si>
    <t xml:space="preserve">Infra de instalações eletricas</t>
  </si>
  <si>
    <t xml:space="preserve">B308/CINTA - ARMAÇÃO</t>
  </si>
  <si>
    <t xml:space="preserve">PASSEIOS</t>
  </si>
  <si>
    <t xml:space="preserve">B309/CINTA - ARMAÇÃO</t>
  </si>
  <si>
    <t xml:space="preserve">PINTURA 1º DEMÃO</t>
  </si>
  <si>
    <t xml:space="preserve">Pintura 1ª demão</t>
  </si>
  <si>
    <t xml:space="preserve">B310/CINTA - ARMAÇÃO</t>
  </si>
  <si>
    <t xml:space="preserve">PINTURA ESPALA FECHADA - FASE 1</t>
  </si>
  <si>
    <t xml:space="preserve">Pintura espala fechada - fase 1</t>
  </si>
  <si>
    <t xml:space="preserve">B311/CINTA - ARMAÇÃO</t>
  </si>
  <si>
    <t xml:space="preserve">FIAÇÃO ELÉTRICA</t>
  </si>
  <si>
    <t xml:space="preserve">Fiação elétrica</t>
  </si>
  <si>
    <t xml:space="preserve">B312/CINTA - ARMAÇÃO</t>
  </si>
  <si>
    <t xml:space="preserve">LIMPEZA GROSSA</t>
  </si>
  <si>
    <t xml:space="preserve">Limpeza grossa</t>
  </si>
  <si>
    <t xml:space="preserve">B319 A B B324/CINTA - ARMAÇÃO</t>
  </si>
  <si>
    <t xml:space="preserve">COMUNICAÇÃO E ALARME</t>
  </si>
  <si>
    <t xml:space="preserve">Comunicação e alarme</t>
  </si>
  <si>
    <t xml:space="preserve">B325 A B330/CINTA - ARMAÇÃO</t>
  </si>
  <si>
    <t xml:space="preserve">REBOCO DE FACHADA - FASE 2</t>
  </si>
  <si>
    <t xml:space="preserve">Reboco de fachada - fase 2</t>
  </si>
  <si>
    <t xml:space="preserve">B313 A B B318/CINTA - ARMAÇÃO</t>
  </si>
  <si>
    <t xml:space="preserve">REVESTIMENTO ACABAMENTO</t>
  </si>
  <si>
    <t xml:space="preserve">Revestimento acabamento</t>
  </si>
  <si>
    <t xml:space="preserve">B307/CINTA - FORMA</t>
  </si>
  <si>
    <t xml:space="preserve">POLIMENTO DE PISO</t>
  </si>
  <si>
    <t xml:space="preserve">Polimento de piso</t>
  </si>
  <si>
    <t xml:space="preserve">B308/CINTA - FORMA</t>
  </si>
  <si>
    <t xml:space="preserve">PINTURA 2º DEMÃO</t>
  </si>
  <si>
    <t xml:space="preserve">Pintura 2ª demão</t>
  </si>
  <si>
    <t xml:space="preserve">B309/CINTA - FORMA</t>
  </si>
  <si>
    <t xml:space="preserve">Marcenaria</t>
  </si>
  <si>
    <t xml:space="preserve">B310/CINTA - FORMA</t>
  </si>
  <si>
    <t xml:space="preserve">PINTURA ESPALA FECHADA - FASE 2</t>
  </si>
  <si>
    <t xml:space="preserve">Pintura espala fechada - fase 2</t>
  </si>
  <si>
    <t xml:space="preserve">B311/CINTA - FORMA</t>
  </si>
  <si>
    <t xml:space="preserve">CHECKLIST</t>
  </si>
  <si>
    <t xml:space="preserve">Checklist</t>
  </si>
  <si>
    <t xml:space="preserve">B312/CINTA - FORMA</t>
  </si>
  <si>
    <t xml:space="preserve">PINTURA 3º DEMÃO</t>
  </si>
  <si>
    <t xml:space="preserve">Pintura 3ª demão</t>
  </si>
  <si>
    <t xml:space="preserve">B313 A B B318/CINTA - FORMA</t>
  </si>
  <si>
    <t xml:space="preserve">GRANITO FACHADA</t>
  </si>
  <si>
    <t xml:space="preserve">Granito fachada</t>
  </si>
  <si>
    <t xml:space="preserve">B319 A B B324/CINTA - FORMA</t>
  </si>
  <si>
    <t xml:space="preserve">INSTALAÇÃO DE PCF (FOLHAS)</t>
  </si>
  <si>
    <t xml:space="preserve">PCF (folhas)</t>
  </si>
  <si>
    <t xml:space="preserve">B325 A B330/CINTA - FORMA</t>
  </si>
  <si>
    <t xml:space="preserve">GERADOR</t>
  </si>
  <si>
    <t xml:space="preserve">B307/CINTA - CONCRETAGEM</t>
  </si>
  <si>
    <t xml:space="preserve">PISO ELEVADO</t>
  </si>
  <si>
    <t xml:space="preserve">Piso elevado</t>
  </si>
  <si>
    <t xml:space="preserve">B308/CINTA - CONCRETAGEM</t>
  </si>
  <si>
    <t xml:space="preserve">PONTOS DE ANCORAGEM INOX</t>
  </si>
  <si>
    <t xml:space="preserve">Pontos de ancoragem inox</t>
  </si>
  <si>
    <t xml:space="preserve">B309/CINTA - CONCRETAGEM</t>
  </si>
  <si>
    <t xml:space="preserve">ELEVADORES SOCIAL - 01</t>
  </si>
  <si>
    <t xml:space="preserve">Elevadores social - 01</t>
  </si>
  <si>
    <t xml:space="preserve">B310/CINTA - CONCRETAGEM</t>
  </si>
  <si>
    <t xml:space="preserve">ELEVADORES SOCIAL - 02</t>
  </si>
  <si>
    <t xml:space="preserve">Elevadores social - 02</t>
  </si>
  <si>
    <t xml:space="preserve">B311/CINTA - CONCRETAGEM</t>
  </si>
  <si>
    <t xml:space="preserve">ESQUADRIAS DE ALUMÍNIO</t>
  </si>
  <si>
    <t xml:space="preserve">B312/CINTA - CONCRETAGEM</t>
  </si>
  <si>
    <t xml:space="preserve">GUARDA- CORPO</t>
  </si>
  <si>
    <t xml:space="preserve">Guarda- corpo</t>
  </si>
  <si>
    <t xml:space="preserve">B313 A B B318/CINTA - CONCRETAGEM</t>
  </si>
  <si>
    <t xml:space="preserve">DECK</t>
  </si>
  <si>
    <t xml:space="preserve">Deck</t>
  </si>
  <si>
    <t xml:space="preserve">B319 A B B324/CINTA - CONCRETAGEM</t>
  </si>
  <si>
    <t xml:space="preserve">PINTURA DE DEMARCAÇÃO DE VAGAS</t>
  </si>
  <si>
    <t xml:space="preserve">Pintura de demarcação de vagas</t>
  </si>
  <si>
    <t xml:space="preserve">B325 A B330/CINTA - CONCRETAGEM</t>
  </si>
  <si>
    <t xml:space="preserve">PINTURA/TEXTURA DA FACHADA</t>
  </si>
  <si>
    <t xml:space="preserve">Pintura/textura da fachada</t>
  </si>
  <si>
    <t xml:space="preserve">B301 A B303 /CINTA - ESCAVAÇÃO</t>
  </si>
  <si>
    <t xml:space="preserve">B304 A B306/CINTA - ESCAVAÇÃO</t>
  </si>
  <si>
    <t xml:space="preserve">REBOCO EXTERNO</t>
  </si>
  <si>
    <t xml:space="preserve">Reboco externo</t>
  </si>
  <si>
    <t xml:space="preserve">B301 A B303 /CINTA - ARMAÇÃO</t>
  </si>
  <si>
    <t xml:space="preserve">PISO VINÍLICO / LAMINADO</t>
  </si>
  <si>
    <t xml:space="preserve">Piso vinílico / laminado</t>
  </si>
  <si>
    <t xml:space="preserve">B304 A B306/CINTA - ARMAÇÃO</t>
  </si>
  <si>
    <t xml:space="preserve">OBRA CIVIL SUBESTAÇÃO/TRANSFORMADORES</t>
  </si>
  <si>
    <t xml:space="preserve">Obra civil subestação/transformadores</t>
  </si>
  <si>
    <t xml:space="preserve">B301 A B303 /CINTA - FORMA</t>
  </si>
  <si>
    <t xml:space="preserve">ESQUADRIA MADEIRA</t>
  </si>
  <si>
    <t xml:space="preserve">Esquadria madeira</t>
  </si>
  <si>
    <t xml:space="preserve">B304 A B306/CINTA - FORMA</t>
  </si>
  <si>
    <t xml:space="preserve">RODAPÉ MADEIRA / PVC</t>
  </si>
  <si>
    <t xml:space="preserve">Rodapé madeira / pvc</t>
  </si>
  <si>
    <t xml:space="preserve">B301 A B303 /CINTA - CONCRETAGEM</t>
  </si>
  <si>
    <t xml:space="preserve">PISCINA</t>
  </si>
  <si>
    <t xml:space="preserve">Piscina</t>
  </si>
  <si>
    <t xml:space="preserve">B304 A B306/CINTA - CONCRETAGEM</t>
  </si>
  <si>
    <t xml:space="preserve">DISJUNTORES / MIOLOS</t>
  </si>
  <si>
    <t xml:space="preserve">Disjuntores / miolos</t>
  </si>
  <si>
    <t xml:space="preserve">SERVIÇOS INICIAIS - Parte 1</t>
  </si>
  <si>
    <t xml:space="preserve">ENTRADA DE ENERGIA</t>
  </si>
  <si>
    <t xml:space="preserve">Entrada de energia</t>
  </si>
  <si>
    <t xml:space="preserve">METAIS</t>
  </si>
  <si>
    <t xml:space="preserve">Metais</t>
  </si>
  <si>
    <t xml:space="preserve">T22 - Escavação</t>
  </si>
  <si>
    <t xml:space="preserve">VISTORIA APTOS</t>
  </si>
  <si>
    <t xml:space="preserve">Vistoria aptos</t>
  </si>
  <si>
    <t xml:space="preserve">T22 - Armação e concretagem</t>
  </si>
  <si>
    <t xml:space="preserve">SUBESTAÇÃO</t>
  </si>
  <si>
    <t xml:space="preserve">ELEVADOR COMERCIAL - 01</t>
  </si>
  <si>
    <t xml:space="preserve">Elevador comercial - 01</t>
  </si>
  <si>
    <t xml:space="preserve">P301/P303</t>
  </si>
  <si>
    <t xml:space="preserve">ELEVADOR COMERCIAL - 02</t>
  </si>
  <si>
    <t xml:space="preserve">Elevador comercial - 02</t>
  </si>
  <si>
    <t xml:space="preserve">P302</t>
  </si>
  <si>
    <t xml:space="preserve">EQUIPAMENTOS</t>
  </si>
  <si>
    <t xml:space="preserve">Equipamentos</t>
  </si>
  <si>
    <t xml:space="preserve">P303</t>
  </si>
  <si>
    <t xml:space="preserve">Serralheria</t>
  </si>
  <si>
    <t xml:space="preserve">P307</t>
  </si>
  <si>
    <t xml:space="preserve">EXECUÇÃO DE ALVENARIA DE MURO</t>
  </si>
  <si>
    <t xml:space="preserve">Execução de alvenaria de muro</t>
  </si>
  <si>
    <t xml:space="preserve">P308</t>
  </si>
  <si>
    <t xml:space="preserve">QUADRA</t>
  </si>
  <si>
    <t xml:space="preserve">Quadra</t>
  </si>
  <si>
    <t xml:space="preserve">P309</t>
  </si>
  <si>
    <t xml:space="preserve">AQUECIMENTO SOLAR</t>
  </si>
  <si>
    <t xml:space="preserve">Aquecimento solar</t>
  </si>
  <si>
    <t xml:space="preserve">P310</t>
  </si>
  <si>
    <t xml:space="preserve">RESERVATÓRIOS / BOILERS</t>
  </si>
  <si>
    <t xml:space="preserve">Reservatórios / boilers</t>
  </si>
  <si>
    <t xml:space="preserve">P311</t>
  </si>
  <si>
    <t xml:space="preserve">ENXOVAL</t>
  </si>
  <si>
    <t xml:space="preserve">Enxoval</t>
  </si>
  <si>
    <t xml:space="preserve">P312/P313</t>
  </si>
  <si>
    <t xml:space="preserve">MANUAL DE USO E OPERAÇÃO</t>
  </si>
  <si>
    <t xml:space="preserve">Manual de uso e operação</t>
  </si>
  <si>
    <t xml:space="preserve">AVCB</t>
  </si>
  <si>
    <t xml:space="preserve">Avcb</t>
  </si>
  <si>
    <t xml:space="preserve">EXECUÇÃO DA INFRAESTRUTURA HIDRÁULICA</t>
  </si>
  <si>
    <t xml:space="preserve">HABITE-SE</t>
  </si>
  <si>
    <t xml:space="preserve">Habite-se</t>
  </si>
  <si>
    <t xml:space="preserve">EXECUÇÃO DA INFRAESTRUTURA ELÉTRICA</t>
  </si>
  <si>
    <t xml:space="preserve">ELEVADOR DE SERVIÇO</t>
  </si>
  <si>
    <t xml:space="preserve">Elevador de serviço</t>
  </si>
  <si>
    <t xml:space="preserve">MUDANÇA DO TAPUME</t>
  </si>
  <si>
    <t xml:space="preserve">ELEVADORES SOCIAL - 03</t>
  </si>
  <si>
    <t xml:space="preserve">Elevadores social - 03</t>
  </si>
  <si>
    <t xml:space="preserve">PISO EMBORRACHADO</t>
  </si>
  <si>
    <t xml:space="preserve">Piso emborrachado</t>
  </si>
  <si>
    <t xml:space="preserve">ENTREGA SÍNDICO</t>
  </si>
  <si>
    <t xml:space="preserve">Entrega síndico</t>
  </si>
  <si>
    <t xml:space="preserve">ESCAVAÇÃO DE ACESSO</t>
  </si>
  <si>
    <t xml:space="preserve">P313 - ESCAVAÇÃO</t>
  </si>
  <si>
    <t xml:space="preserve">P313 - ARMAÇÃO/CONCRETAGEM</t>
  </si>
  <si>
    <t xml:space="preserve">P314A - ESCAVAÇÃO</t>
  </si>
  <si>
    <t xml:space="preserve">P314A - ARMAÇÃO/CONCRETAGEM</t>
  </si>
  <si>
    <t xml:space="preserve">P314B - ESCAVAÇÃO</t>
  </si>
  <si>
    <t xml:space="preserve">P314B - ARMAÇÃO/CONCRETAGEM</t>
  </si>
  <si>
    <t xml:space="preserve">P315A - ESCAVAÇÃO</t>
  </si>
  <si>
    <t xml:space="preserve">P315A - ARMAÇÃO/CONCRETAGEM</t>
  </si>
  <si>
    <t xml:space="preserve">P315B - ESCAVAÇÃO</t>
  </si>
  <si>
    <t xml:space="preserve">P315B - ARMAÇÃO/CONCRETAGEM</t>
  </si>
  <si>
    <t xml:space="preserve">P316A - ESCAVAÇÃO</t>
  </si>
  <si>
    <t xml:space="preserve">P316A - ARMAÇÃO/CONCRETAGEM</t>
  </si>
  <si>
    <t xml:space="preserve">P316B - ESCAVAÇÃO</t>
  </si>
  <si>
    <t xml:space="preserve">P316B - ARMAÇÃO/CONCRETAGEM</t>
  </si>
  <si>
    <t xml:space="preserve">P317A - ESCAVAÇÃO</t>
  </si>
  <si>
    <t xml:space="preserve">P317A - ARMAÇÃO/CONCRETAGEM</t>
  </si>
  <si>
    <t xml:space="preserve">P317B - ESCAVAÇÃO</t>
  </si>
  <si>
    <t xml:space="preserve">P317B - ARMAÇÃO/CONCRETAGEM</t>
  </si>
  <si>
    <t xml:space="preserve">P318 - ESCAVAÇÃO</t>
  </si>
  <si>
    <t xml:space="preserve">P318 - ARMAÇÃO/CONCRETAGEM</t>
  </si>
  <si>
    <t xml:space="preserve">P319 - ESCAVAÇÃO</t>
  </si>
  <si>
    <t xml:space="preserve">P319 - ARMAÇÃO/CONCRETAGEM</t>
  </si>
  <si>
    <t xml:space="preserve">P320A - ESCAVAÇÃO</t>
  </si>
  <si>
    <t xml:space="preserve">P320A - ARMAÇÃO/CONCRETAGEM</t>
  </si>
  <si>
    <t xml:space="preserve">P320B - ESCAVAÇÃO</t>
  </si>
  <si>
    <t xml:space="preserve">P320B - ARMAÇÃO/CONCRETAGEM</t>
  </si>
  <si>
    <t xml:space="preserve">P321A - ESCAVAÇÃO</t>
  </si>
  <si>
    <t xml:space="preserve">P321A - ARMAÇÃO/CONCRETAGEM</t>
  </si>
  <si>
    <t xml:space="preserve">P321B - ESCAVAÇÃO</t>
  </si>
  <si>
    <t xml:space="preserve">P321B - ARMAÇÃO/CONCRETAGEM</t>
  </si>
  <si>
    <t xml:space="preserve">P322A - ESCAVAÇÃO</t>
  </si>
  <si>
    <t xml:space="preserve">P322A - ARMAÇÃO/CONCRETAGEM</t>
  </si>
  <si>
    <t xml:space="preserve">P322B - ESCAVAÇÃO</t>
  </si>
  <si>
    <t xml:space="preserve">P322B - ARMAÇÃO/CONCRETAGEM</t>
  </si>
  <si>
    <t xml:space="preserve">P323A - ESCAVAÇÃO</t>
  </si>
  <si>
    <t xml:space="preserve">P323A - ARMAÇÃO/CONCRETAGEM</t>
  </si>
  <si>
    <t xml:space="preserve">P323B - ESCAVAÇÃO</t>
  </si>
  <si>
    <t xml:space="preserve">P323B - ARMAÇÃO/CONCRETAGEM</t>
  </si>
  <si>
    <t xml:space="preserve">P324 - ESCAVAÇÃO</t>
  </si>
  <si>
    <t xml:space="preserve">P324 - ARMAÇÃO/CONCRETAGEM</t>
  </si>
  <si>
    <t xml:space="preserve">P325 - ESCAVAÇÃO</t>
  </si>
  <si>
    <t xml:space="preserve">P325 - ARMAÇÃO/CONCRETAGEM</t>
  </si>
  <si>
    <t xml:space="preserve">P326A - ESCAVAÇÃO</t>
  </si>
  <si>
    <t xml:space="preserve">P326A - ARMAÇÃO/CONCRETAGEM</t>
  </si>
  <si>
    <t xml:space="preserve">P326B - ESCAVAÇÃO</t>
  </si>
  <si>
    <t xml:space="preserve">P326B - ARMAÇÃO/CONCRETAGEM</t>
  </si>
  <si>
    <t xml:space="preserve">P327A - ESCAVAÇÃO</t>
  </si>
  <si>
    <t xml:space="preserve">P327A - ARMAÇÃO/CONCRETAGEM</t>
  </si>
  <si>
    <t xml:space="preserve">P327B - ESCAVAÇÃO</t>
  </si>
  <si>
    <t xml:space="preserve">P327B - ARMAÇÃO/CONCRETAGEM</t>
  </si>
  <si>
    <t xml:space="preserve">P328A - ESCAVAÇÃO</t>
  </si>
  <si>
    <t xml:space="preserve">P328A - ARMAÇÃO/CONCRETAGEM</t>
  </si>
  <si>
    <t xml:space="preserve">P328B - ESCAVAÇÃO</t>
  </si>
  <si>
    <t xml:space="preserve">P328B - ARMAÇÃO/CONCRETAGEM</t>
  </si>
  <si>
    <t xml:space="preserve">P329A - ESCAVAÇÃO</t>
  </si>
  <si>
    <t xml:space="preserve">P329A - ARMAÇÃO/CONCRETAGEM</t>
  </si>
  <si>
    <t xml:space="preserve">P329B - ESCAVAÇÃO</t>
  </si>
  <si>
    <t xml:space="preserve">P329B - ARMAÇÃO/CONCRETAGEM</t>
  </si>
  <si>
    <t xml:space="preserve">P330 - ESCAVAÇÃO</t>
  </si>
  <si>
    <t xml:space="preserve">P330 - ARMAÇÃO/CONCRETAGEM</t>
  </si>
  <si>
    <t xml:space="preserve">T15 - MECANIZADO</t>
  </si>
  <si>
    <t xml:space="preserve">T16 - MECANIZADO</t>
  </si>
  <si>
    <t xml:space="preserve">T17 - MECANIZADO</t>
  </si>
  <si>
    <t xml:space="preserve">T18 - MECANIZADO</t>
  </si>
  <si>
    <t xml:space="preserve">T19 - MECANIZADO</t>
  </si>
  <si>
    <t xml:space="preserve">T20 - MECANIZADO</t>
  </si>
  <si>
    <t xml:space="preserve">T21 - MECANIZADO</t>
  </si>
  <si>
    <t xml:space="preserve">T22 - MECANIZADO</t>
  </si>
  <si>
    <t xml:space="preserve">VIGA DE COROAMENTO - ARMAÇÃO</t>
  </si>
  <si>
    <t xml:space="preserve">VIGA DE COROAMENTO - FORMA</t>
  </si>
  <si>
    <t xml:space="preserve">VIGA DE COROAMENTO - CONCRETAGEM</t>
  </si>
  <si>
    <t xml:space="preserve">ESCORAMENTO</t>
  </si>
  <si>
    <t xml:space="preserve">FORMA VIGAS E LAJES</t>
  </si>
  <si>
    <t xml:space="preserve">ARMAÇÃO VIGAS E LAJES</t>
  </si>
  <si>
    <t xml:space="preserve">CONCRETAGEM</t>
  </si>
  <si>
    <t xml:space="preserve">P108A - ESCAVAÇÃO</t>
  </si>
  <si>
    <t xml:space="preserve">P108A - ARMAÇÃO/CONCRETAGEM</t>
  </si>
  <si>
    <t xml:space="preserve">P108B - ESCAVAÇÃO</t>
  </si>
  <si>
    <t xml:space="preserve">P108B - ARMAÇÃO/CONCRETAGEM</t>
  </si>
  <si>
    <t xml:space="preserve">P109A - ESCAVAÇÃO</t>
  </si>
  <si>
    <t xml:space="preserve">P109A - ARMAÇÃO/CONCRETAGEM</t>
  </si>
  <si>
    <t xml:space="preserve">P109B - ESCAVAÇÃO</t>
  </si>
  <si>
    <t xml:space="preserve">P109B - ARMAÇÃO/CONCRETAGEM</t>
  </si>
  <si>
    <t xml:space="preserve">P110A - ESCAVAÇÃO</t>
  </si>
  <si>
    <t xml:space="preserve">P110A - ARMAÇÃO/CONCRETAGEM</t>
  </si>
  <si>
    <t xml:space="preserve">P110B - ESCAVAÇÃO</t>
  </si>
  <si>
    <t xml:space="preserve">P110B - ARMAÇÃO/CONCRETAGEM</t>
  </si>
  <si>
    <t xml:space="preserve">P111 - ESCAVAÇÃO</t>
  </si>
  <si>
    <t xml:space="preserve">P111 - ARMAÇÃO/CONCRETAGEM</t>
  </si>
  <si>
    <t xml:space="preserve">P112 - ESCAVAÇÃO</t>
  </si>
  <si>
    <t xml:space="preserve">P112 - ARMAÇÃO/CONCRETAGEM</t>
  </si>
  <si>
    <t xml:space="preserve">P113 - ESCAVAÇÃO</t>
  </si>
  <si>
    <t xml:space="preserve">P113 - ARMAÇÃO/CONCRETAGEM</t>
  </si>
  <si>
    <t xml:space="preserve">P114 - ESCAVAÇÃO</t>
  </si>
  <si>
    <t xml:space="preserve">P114 - ARMAÇÃO/CONCRETAGEM</t>
  </si>
  <si>
    <t xml:space="preserve">P331 - ESCAVAÇÃO</t>
  </si>
  <si>
    <t xml:space="preserve">P331 - ARMAÇÃO/CONCRETAGEM</t>
  </si>
  <si>
    <t xml:space="preserve">P103 - ESCAVAÇÃO</t>
  </si>
  <si>
    <t xml:space="preserve">P103 - ARMAÇÃO/CONCRETAGEM</t>
  </si>
  <si>
    <t xml:space="preserve">1º PAV. - TÉRREO ALAMEDA</t>
  </si>
  <si>
    <t xml:space="preserve">Forma Pilar</t>
  </si>
  <si>
    <t xml:space="preserve">Armação Pilar</t>
  </si>
  <si>
    <t xml:space="preserve">Escoramento</t>
  </si>
  <si>
    <t xml:space="preserve">Concretagem Pilar</t>
  </si>
  <si>
    <t xml:space="preserve">Forma Vigas e Lajes</t>
  </si>
  <si>
    <t xml:space="preserve">Armação Vigas e Lajes</t>
  </si>
  <si>
    <t xml:space="preserve">Passagem Hidráulica</t>
  </si>
  <si>
    <t xml:space="preserve">Passagem Elétrica</t>
  </si>
  <si>
    <t xml:space="preserve">Concretagem</t>
  </si>
  <si>
    <t xml:space="preserve">E14 | E30 | E33</t>
  </si>
  <si>
    <t xml:space="preserve">E03 | E06 | E09 | E12 | E29 | E32</t>
  </si>
  <si>
    <t xml:space="preserve">E10 | E13 | E15 | E16 | E38 | E41 | E44</t>
  </si>
  <si>
    <t xml:space="preserve">E11| E37 | E40 | E43</t>
  </si>
  <si>
    <t xml:space="preserve">E09 | E12 | E15 | E39 | E42</t>
  </si>
  <si>
    <t xml:space="preserve">E16 | E19 | E22 | E25 | E28</t>
  </si>
  <si>
    <t xml:space="preserve">E17 | E20 | E23 | E26</t>
  </si>
  <si>
    <t xml:space="preserve">E18 | E21 | E24 | E27</t>
  </si>
  <si>
    <t xml:space="preserve">E45 | E48</t>
  </si>
  <si>
    <t xml:space="preserve">E46 | E49</t>
  </si>
  <si>
    <t xml:space="preserve">E47 | E50</t>
  </si>
  <si>
    <t xml:space="preserve">Estacas executadas</t>
  </si>
  <si>
    <t xml:space="preserve">Viga de coroamento - E01 a E14 - Forma</t>
  </si>
  <si>
    <t xml:space="preserve">Viga de coroamento - E01 a E14 - Armação</t>
  </si>
  <si>
    <t xml:space="preserve">Viga de coroamento - E01 a E14 - Cocretagem</t>
  </si>
  <si>
    <t xml:space="preserve">Viga de coroamento - E15 a E25 - Forma</t>
  </si>
  <si>
    <t xml:space="preserve">Viga de coroamento - E15 a E25 - Armação</t>
  </si>
  <si>
    <t xml:space="preserve">Viga de coroamento - E15 a E25 - Concretagem</t>
  </si>
  <si>
    <t xml:space="preserve">Viga de coroamento - E26 a E36 - Forma</t>
  </si>
  <si>
    <t xml:space="preserve">Viga de coroamento - E26 a E36 - Armadura</t>
  </si>
  <si>
    <t xml:space="preserve">Viga de coroamento - E26 a E36 - Concretagem</t>
  </si>
  <si>
    <t xml:space="preserve">P101</t>
  </si>
  <si>
    <t xml:space="preserve">P107</t>
  </si>
  <si>
    <t xml:space="preserve">P104 e P332</t>
  </si>
  <si>
    <t xml:space="preserve">P14</t>
  </si>
  <si>
    <t xml:space="preserve">P16</t>
  </si>
  <si>
    <t xml:space="preserve">P106 e P335</t>
  </si>
  <si>
    <t xml:space="preserve">P102 e P336</t>
  </si>
  <si>
    <t xml:space="preserve">P7 - B</t>
  </si>
  <si>
    <t xml:space="preserve">P10 - B</t>
  </si>
  <si>
    <t xml:space="preserve">P7 - A</t>
  </si>
  <si>
    <t xml:space="preserve">P119</t>
  </si>
  <si>
    <t xml:space="preserve">P121 - A | P131- B - OK</t>
  </si>
  <si>
    <t xml:space="preserve">P122 - A | P123- A</t>
  </si>
  <si>
    <t xml:space="preserve">P121 - B | P122 - B</t>
  </si>
  <si>
    <t xml:space="preserve">P120 | P123 - B</t>
  </si>
  <si>
    <t xml:space="preserve">P128A/P129A</t>
  </si>
  <si>
    <t xml:space="preserve">P130A/P132A/P131A</t>
  </si>
  <si>
    <t xml:space="preserve">P128B/P129B/P130B</t>
  </si>
  <si>
    <t xml:space="preserve">P132B</t>
  </si>
  <si>
    <t xml:space="preserve">P126 - OK</t>
  </si>
  <si>
    <t xml:space="preserve">P125</t>
  </si>
  <si>
    <t xml:space="preserve">P124/P116A - OK</t>
  </si>
  <si>
    <t xml:space="preserve">P117A</t>
  </si>
  <si>
    <t xml:space="preserve">P117B/P133/P127/P116B - OK</t>
  </si>
  <si>
    <t xml:space="preserve">P134</t>
  </si>
  <si>
    <t xml:space="preserve">P118A</t>
  </si>
  <si>
    <t xml:space="preserve">P118B</t>
  </si>
  <si>
    <t xml:space="preserve">E28 a E36 - TRECHO 4 e 5</t>
  </si>
  <si>
    <t xml:space="preserve">E01 a E12 - TRECHO 6 e 7</t>
  </si>
  <si>
    <t xml:space="preserve">E17 a  E25 - TRECHO 4 e 5</t>
  </si>
  <si>
    <t xml:space="preserve">E09 a E16 - TRECHO 4 e 5</t>
  </si>
  <si>
    <t xml:space="preserve">NOVO TIRANTE CONCÓRDIA - TRECHO 6 E 7</t>
  </si>
  <si>
    <t xml:space="preserve">BLOCOS E CINTAS TRECHO A - ESCAVAÇÃO</t>
  </si>
  <si>
    <t xml:space="preserve">BLOCOS E CINTAS TRECHO A - FORMA</t>
  </si>
  <si>
    <t xml:space="preserve">BLOCOS E CINTAS TRECHO A - ARMAÇÃO</t>
  </si>
  <si>
    <t xml:space="preserve">BLOCOS E CINTAS TRECHO A - CONCRETAGEM</t>
  </si>
  <si>
    <t xml:space="preserve">BLOCOS E CINTAS TRECHO B - ESCAVAÇÃO</t>
  </si>
  <si>
    <t xml:space="preserve">BLOCOS E CINTAS TRECHO B - FORMA</t>
  </si>
  <si>
    <t xml:space="preserve">BLOCOS E CINTAS TRECHO B - ARMAÇÃO</t>
  </si>
  <si>
    <t xml:space="preserve">BLOCOS E CINTAS TRECHO B - CONCRETAGEM</t>
  </si>
  <si>
    <t xml:space="preserve">BLOCOS E CINTAS TRECHO C - ESCAVAÇÃO</t>
  </si>
  <si>
    <t xml:space="preserve">BLOCOS E CINTAS TRECHO C - FORMA</t>
  </si>
  <si>
    <t xml:space="preserve">BLOCOS E CINTAS TRECHO C - ARMAÇÃO</t>
  </si>
  <si>
    <t xml:space="preserve">BLOCOS E CINTAS TRECHO C - CONCRETAGEM</t>
  </si>
  <si>
    <t xml:space="preserve">BLOCOS E CINTAS TRECHO D - ESCAVAÇÃO</t>
  </si>
  <si>
    <t xml:space="preserve">BLOCOS E CINTAS TRECHO D - CHAPISCO/DRENO/MAGRO</t>
  </si>
  <si>
    <t xml:space="preserve">BLOCOS E CINTAS TRECHO D - ARMAÇÃO</t>
  </si>
  <si>
    <t xml:space="preserve">BLOCOS E CINTAS TRECHO D - CONCRETAGEM</t>
  </si>
  <si>
    <t xml:space="preserve">BLOCOS E CINTAS TRECHO E - ESCAVAÇÃO</t>
  </si>
  <si>
    <t xml:space="preserve">BLOCOS E CINTAS TRECHO E - COLARIM</t>
  </si>
  <si>
    <t xml:space="preserve">BLOCOS E CINTAS TRECHO E - ARMAÇÃO</t>
  </si>
  <si>
    <t xml:space="preserve">BLOCOS E CINTAS TRECHO E - CONCRETAGEM</t>
  </si>
  <si>
    <t xml:space="preserve">BLOCOS E CINTAS TRECHO F - ESCAVAÇÃO</t>
  </si>
  <si>
    <t xml:space="preserve">BLOCOS E CINTAS TRECHO F - COLARIM</t>
  </si>
  <si>
    <t xml:space="preserve">BLOCOS E CINTAS TRECHO F - ARMAÇÃO</t>
  </si>
  <si>
    <t xml:space="preserve">BLOCOS E CINTAS TRECHO F - CONCRETAGEM</t>
  </si>
  <si>
    <t xml:space="preserve">BLOCOS E CINTAS TRECHO G - B17- ESCAVAÇÃO</t>
  </si>
  <si>
    <t xml:space="preserve">BLOCOS E CINTAS TRECHO G - B17 - COLARIM</t>
  </si>
  <si>
    <t xml:space="preserve">BLOCOS E CINTAS TRECHO G - B17 - ARMAÇÃO</t>
  </si>
  <si>
    <t xml:space="preserve">BLOCOS E CINTAS TRECHO G - B17 - CONCRETAGEM</t>
  </si>
  <si>
    <t xml:space="preserve">BLOCOS E CINTAS TRECHO H - B15/B16 - ESCAVAÇÃO</t>
  </si>
  <si>
    <t xml:space="preserve">BLOCOS E CINTAS TRECHO H - B15/B16 - COLARIM</t>
  </si>
  <si>
    <t xml:space="preserve">BLOCOS E CINTAS TRECHO H - B15/B16 - ARMAÇÃO</t>
  </si>
  <si>
    <t xml:space="preserve">BLOCOS E CINTAS TRECHO H - B15/B16 - CONCRETAGEM</t>
  </si>
  <si>
    <t xml:space="preserve">BLOCOS E CINTAS TRECHO I - ESCAVAÇÃO</t>
  </si>
  <si>
    <t xml:space="preserve">BLOCOS E CINTAS TRECHO I - COLARIM</t>
  </si>
  <si>
    <t xml:space="preserve">BLOCOS E CINTAS TRECHO I - ARMAÇÃO</t>
  </si>
  <si>
    <t xml:space="preserve">BLOCOS E CINTAS TRECHO I - CONCRETAGEM</t>
  </si>
  <si>
    <t xml:space="preserve">BLOCOS E CINTAS TRECHO J - ESCAVAÇÃO</t>
  </si>
  <si>
    <t xml:space="preserve">BLOCOS E CINTAS TRECHO J - COLARIM</t>
  </si>
  <si>
    <t xml:space="preserve">BLOCOS E CINTAS TRECHO J - ARMAÇÃO</t>
  </si>
  <si>
    <t xml:space="preserve">BLOCOS E CINTAS TRECHO J - CONCRETAGEM</t>
  </si>
  <si>
    <t xml:space="preserve">BLOCOS E CINTAS TRECHO K - ESCAVAÇÃO</t>
  </si>
  <si>
    <t xml:space="preserve">BLOCOS E CINTAS TRECHO K - COLARIM</t>
  </si>
  <si>
    <t xml:space="preserve">BLOCOS E CINTAS TRECHO K - ARMAÇÃO</t>
  </si>
  <si>
    <t xml:space="preserve">BLOCOS E CINTAS TRECHO K - CONCRETAGEM</t>
  </si>
  <si>
    <t xml:space="preserve">BLOCOS E CINTAS TRECHO L - B132/B125/B117/B134 - ESCAVAÇÃO</t>
  </si>
  <si>
    <t xml:space="preserve">BLOCOS E CINTAS TRECHO L - B132/B125/B117/B134 - COLARIM</t>
  </si>
  <si>
    <t xml:space="preserve">BLOCOS E CINTAS TRECHO L - B132/B125/B117/B134 - ARMAÇÃO</t>
  </si>
  <si>
    <t xml:space="preserve">BLOCOS E CINTAS TRECHO L - B132/B125/B117/B134 - CONCRETAGEM</t>
  </si>
  <si>
    <t xml:space="preserve">BLOCOS E CINTAS TRECHO M - B101/B107/B118/B126 - ESCAVAÇÃO</t>
  </si>
  <si>
    <t xml:space="preserve">BLOCOS E CINTAS TRECHO M - B101/B107/B118/B126 - COLARIM</t>
  </si>
  <si>
    <t xml:space="preserve">BLOCOS E CINTAS TRECHO M -- B101/B107/B118/B126  ARMAÇÃO</t>
  </si>
  <si>
    <t xml:space="preserve">BLOCOS E CINTAS TRECHO M - B101/B107/B118/B126 - CONCRETAGEM</t>
  </si>
  <si>
    <t xml:space="preserve">BLOCOS E CINTAS TRECHO N - ESCAVAÇÃO</t>
  </si>
  <si>
    <t xml:space="preserve">BLOCOS E CINTAS TRECHO N - ARMAÇÃO</t>
  </si>
  <si>
    <t xml:space="preserve">BLOCOS E CINTAS TRECHO N - CONCRETAGEM 1ª ETAPA</t>
  </si>
  <si>
    <t xml:space="preserve">BLOCOS E CINTAS TRECHO N - CONCRETAGEM 2ª ETAPA</t>
  </si>
  <si>
    <t xml:space="preserve">BLOCOS E CINTAS TRECHO E - CHAPISCO/DRENO/MAGRO</t>
  </si>
  <si>
    <t xml:space="preserve">BLOCOS E CINTAS TRECHO F - CHAPISCO/DRENO/MAGRO</t>
  </si>
  <si>
    <t xml:space="preserve">BLOCOS E CINTAS TRECHO G - CHAPISCO/DRENO/MAGRO</t>
  </si>
  <si>
    <t xml:space="preserve">BLOCOS E CINTAS TRECHO H - CHAPISCO/DRENO/MAGRO</t>
  </si>
  <si>
    <t xml:space="preserve">BLOCOS E CINTAS TRECHO I - CHAPISCO/DRENO/MAGRO</t>
  </si>
  <si>
    <t xml:space="preserve">BLOCOS E CINTAS TRECHO J - CHAPISCO/DRENO/MAGRO</t>
  </si>
  <si>
    <t xml:space="preserve">BLOCOS E CINTAS TRECHO K - CHAPISCO/DRENO/MAGRO</t>
  </si>
  <si>
    <t xml:space="preserve">BLOCOS E CINTAS TRECHO L - CHAPISCO/DRENO/MAGRO</t>
  </si>
  <si>
    <t xml:space="preserve">BLOCOS E CINTAS TRECHO M - CHAPISCO/DRENO/MAGRO</t>
  </si>
  <si>
    <t xml:space="preserve">BLOCOS E CINTAS TRECHO D - COLARIM</t>
  </si>
  <si>
    <t xml:space="preserve">BLOCOS E CINTAS TRECHO N - CHAPISCO/DRENO/MAGRO</t>
  </si>
  <si>
    <t xml:space="preserve">CINTAS E PILARES ATÉ 1124,64 - BLOCÃO ELEVADOR</t>
  </si>
  <si>
    <t xml:space="preserve">4º SUBSOLO</t>
  </si>
  <si>
    <t xml:space="preserve">3º SUBSOLO</t>
  </si>
  <si>
    <t xml:space="preserve">P4, 5, 6, 9/12 (Q) </t>
  </si>
  <si>
    <t xml:space="preserve">P4, 5, 6, 9/12 (S)</t>
  </si>
  <si>
    <t xml:space="preserve">P4, 5, 6, 9/12 (R)</t>
  </si>
  <si>
    <t xml:space="preserve">P4, 5, 6, 9/12 (T)</t>
  </si>
  <si>
    <t xml:space="preserve">P4, 5, 6, 9/12 (P)</t>
  </si>
  <si>
    <t xml:space="preserve">P4, 5, 6, 9/12 (H)</t>
  </si>
  <si>
    <t xml:space="preserve">P4, 5, 6, 9/12 (L)</t>
  </si>
  <si>
    <t xml:space="preserve">P4, 5, 6, 9/12 (D)</t>
  </si>
  <si>
    <t xml:space="preserve">P4, 5, 6, 9/12 (B)</t>
  </si>
  <si>
    <t xml:space="preserve">P4, 5, 6, 9/12 (C)</t>
  </si>
  <si>
    <t xml:space="preserve">P4, 5, 6, 9/12 (A)</t>
  </si>
  <si>
    <t xml:space="preserve">P4, 5, 6, 9/12 (I)</t>
  </si>
  <si>
    <t xml:space="preserve">P4, 5, 6, 9/12 (M)</t>
  </si>
  <si>
    <t xml:space="preserve">P4, 5, 6, 9/12 (E)</t>
  </si>
  <si>
    <t xml:space="preserve">P4, 5, 6, 9/12 (O)</t>
  </si>
  <si>
    <t xml:space="preserve">P4, 5, 6, 9/12 (G)</t>
  </si>
  <si>
    <t xml:space="preserve">P4, 5, 6, 9/12 (K)</t>
  </si>
  <si>
    <t xml:space="preserve">P4, 5, 6, 9/12 (N)</t>
  </si>
  <si>
    <t xml:space="preserve">P4, 5, 6, 9/12 (F)</t>
  </si>
  <si>
    <t xml:space="preserve">P4, 5, 6, 9/12 (J)</t>
  </si>
  <si>
    <t xml:space="preserve">P13A</t>
  </si>
  <si>
    <t xml:space="preserve">P11A</t>
  </si>
  <si>
    <t xml:space="preserve">P11B</t>
  </si>
  <si>
    <t xml:space="preserve">P13B</t>
  </si>
  <si>
    <t xml:space="preserve">P10A/P15B/P17B</t>
  </si>
  <si>
    <t xml:space="preserve">P17C/P16A</t>
  </si>
  <si>
    <t xml:space="preserve">P16C/P15C/P17A</t>
  </si>
  <si>
    <t xml:space="preserve">P14A</t>
  </si>
  <si>
    <t xml:space="preserve">P8A</t>
  </si>
  <si>
    <t xml:space="preserve">P8B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</si>
  <si>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</si>
  <si>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</si>
  <si>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</si>
  <si>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</si>
  <si>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</si>
  <si>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</si>
  <si>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</si>
  <si>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</si>
  <si>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</si>
  <si>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</si>
  <si>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</si>
  <si>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</si>
  <si>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</si>
  <si>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</si>
  <si>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</si>
  <si>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</si>
  <si>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</si>
  <si>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</si>
  <si>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</si>
  <si>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E20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</si>
  <si>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</si>
  <si>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</si>
  <si>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</si>
  <si>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</si>
  <si>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</si>
  <si>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E26</t>
  </si>
  <si>
    <t xml:space="preserve">E27</t>
  </si>
  <si>
    <t xml:space="preserve">E28</t>
  </si>
  <si>
    <t xml:space="preserve">E29</t>
  </si>
  <si>
    <t xml:space="preserve">E30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</si>
  <si>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</si>
  <si>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</si>
  <si>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</si>
  <si>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</si>
  <si>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</si>
  <si>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E36</t>
  </si>
  <si>
    <t xml:space="preserve">E37</t>
  </si>
  <si>
    <t xml:space="preserve">E38</t>
  </si>
  <si>
    <t xml:space="preserve">E39</t>
  </si>
  <si>
    <t xml:space="preserve">E40</t>
  </si>
  <si>
    <t xml:space="preserve">E41</t>
  </si>
  <si>
    <t xml:space="preserve">E42</t>
  </si>
  <si>
    <t xml:space="preserve">E43</t>
  </si>
  <si>
    <t xml:space="preserve">2º SUBSOLO</t>
  </si>
  <si>
    <t xml:space="preserve">Limpeza - Contenções Trecho 2</t>
  </si>
  <si>
    <t xml:space="preserve">Projeção - Contenções Trecho 2</t>
  </si>
  <si>
    <t xml:space="preserve">Limpeza - Contenções Trecho 6</t>
  </si>
  <si>
    <t xml:space="preserve">Projeção - Contenções Trecho 6</t>
  </si>
  <si>
    <t xml:space="preserve">Limpeza - Contenções Trecho 7</t>
  </si>
  <si>
    <t xml:space="preserve">Projeção - Contenções Trecho 7</t>
  </si>
  <si>
    <t xml:space="preserve">Limpeza - Contenções Trecho 3</t>
  </si>
  <si>
    <t xml:space="preserve">Projeção - Contenções Trecho 3</t>
  </si>
  <si>
    <t xml:space="preserve">Limpeza - Contenções Trecho 4</t>
  </si>
  <si>
    <t xml:space="preserve">Projeção - Contenções Trecho 4</t>
  </si>
  <si>
    <t xml:space="preserve">Limpeza - Contenções Trecho 5</t>
  </si>
  <si>
    <t xml:space="preserve">Projeção - Contenções Trecho 5</t>
  </si>
  <si>
    <t xml:space="preserve">Limpeza - Nível 1125 - TRECHO 6 E 7</t>
  </si>
  <si>
    <t xml:space="preserve">Projeção - Nível 1125 - TRECHO 6 E 7</t>
  </si>
  <si>
    <t xml:space="preserve">Limpeza - Nível 1125 - TRECHO 4 E 5</t>
  </si>
  <si>
    <t xml:space="preserve">Projeção - Nível 1125 - TRECHO 4 E 5</t>
  </si>
  <si>
    <t xml:space="preserve">1º SUBSOLO</t>
  </si>
  <si>
    <t xml:space="preserve">E44 + E47 + E50</t>
  </si>
  <si>
    <t xml:space="preserve">E45 + E48 + E51 + E54</t>
  </si>
  <si>
    <t xml:space="preserve">E46 + E49 + E52 + E55</t>
  </si>
  <si>
    <t xml:space="preserve">E53 + E56 + E59 + E62 + E65 + E68</t>
  </si>
  <si>
    <t xml:space="preserve">E57 + E60 + E63 + E66 + E69</t>
  </si>
  <si>
    <t xml:space="preserve">E58 + E61 + E64 + E67 + E70</t>
  </si>
  <si>
    <t xml:space="preserve">5º SUBSOLO</t>
  </si>
  <si>
    <t xml:space="preserve">Forma Pilar - 1º Etapa</t>
  </si>
  <si>
    <t xml:space="preserve">Armação Pilar - 1º Etapa</t>
  </si>
  <si>
    <t xml:space="preserve">Concretagem Pilar - 1º Etapa</t>
  </si>
  <si>
    <t xml:space="preserve">Forma Pilar - 2º Etapa</t>
  </si>
  <si>
    <t xml:space="preserve">Armação Pilar - 2º Etapa</t>
  </si>
  <si>
    <t xml:space="preserve">Concretagem Pilar - 2º Etapa</t>
  </si>
  <si>
    <t xml:space="preserve">Concretagem (1º etapa)</t>
  </si>
  <si>
    <t xml:space="preserve">Concretagem 2º etapa</t>
  </si>
  <si>
    <t xml:space="preserve">MEZANINO</t>
  </si>
  <si>
    <t xml:space="preserve">Forma Pilar - 2ª Etapa</t>
  </si>
  <si>
    <t xml:space="preserve">Armação Pilar - 2ª Etapa</t>
  </si>
  <si>
    <t xml:space="preserve">Escoramento - 2ª Etapa</t>
  </si>
  <si>
    <t xml:space="preserve">Concretagem Pilar 2ª etapa</t>
  </si>
  <si>
    <t xml:space="preserve">Forma Vigas </t>
  </si>
  <si>
    <t xml:space="preserve">Armação Vigas</t>
  </si>
  <si>
    <t xml:space="preserve">Verificação Passagem Hidráulica</t>
  </si>
  <si>
    <t xml:space="preserve">Verificação Passagem Elétrica</t>
  </si>
  <si>
    <t xml:space="preserve">Concretagem Vigas</t>
  </si>
  <si>
    <t xml:space="preserve">Forma Pilar -1º Etapa</t>
  </si>
  <si>
    <t xml:space="preserve">Formas vigas e lajes</t>
  </si>
  <si>
    <t xml:space="preserve">Tratamento de junta de dilatação</t>
  </si>
  <si>
    <t xml:space="preserve">Escoramento/barroteamento/forração</t>
  </si>
  <si>
    <t xml:space="preserve">Concretagem - 1º etapa</t>
  </si>
  <si>
    <t xml:space="preserve">Concretagem - 2º etapa</t>
  </si>
  <si>
    <t xml:space="preserve">ESCORAMENTO/BARROTEAMENTO/FORRAÇÃO</t>
  </si>
  <si>
    <t xml:space="preserve">CONCRETAGEM - 1º ETAPA</t>
  </si>
  <si>
    <t xml:space="preserve">CONCRETAGEM - 2º ETAPA</t>
  </si>
  <si>
    <t xml:space="preserve">ESCORAMENTO/BARROTEAMENTO/FORRAÇÃO - LAJE DE SOLIDARIZAÇÃO</t>
  </si>
  <si>
    <t xml:space="preserve">ARMAÇÃO VIGAS E LAJES - LAJE DE SOLIDARIZAÇÃO</t>
  </si>
  <si>
    <t xml:space="preserve">CONCRETAGEM - LAJE DE SOLIDARIZAÇÃO</t>
  </si>
  <si>
    <t xml:space="preserve">Barroteamento e forração (intermediário)</t>
  </si>
  <si>
    <t xml:space="preserve">Armação vigas e lajes( intermediário)</t>
  </si>
  <si>
    <t xml:space="preserve">Fechamento de painel externo (intermediário)</t>
  </si>
  <si>
    <t xml:space="preserve">Concretagem (laje intermediária)</t>
  </si>
  <si>
    <t xml:space="preserve">Armação de pilares - 2º etapa</t>
  </si>
  <si>
    <t xml:space="preserve">Forma de pilares - 2º etapa</t>
  </si>
  <si>
    <t xml:space="preserve">Barroteamento e forração - 2º etapa</t>
  </si>
  <si>
    <t xml:space="preserve">Armação vigas e lajes - 2º etapa</t>
  </si>
  <si>
    <t xml:space="preserve">Fechamento de painél externo</t>
  </si>
  <si>
    <t xml:space="preserve">Concretagem - laje </t>
  </si>
  <si>
    <t xml:space="preserve">ESCORAMENTO/BARROTEAMENTO/FORRAÇÃO - BEIRAL</t>
  </si>
  <si>
    <t xml:space="preserve">ARMAÇÃO - BEIRAL</t>
  </si>
  <si>
    <t xml:space="preserve">CONCRETAGEM - BEIRAL</t>
  </si>
  <si>
    <t xml:space="preserve">ARMAÇÃO P9 E P12 - 3º ETAPA</t>
  </si>
  <si>
    <t xml:space="preserve">FORMA P9 E P12 - 3º ETAPA</t>
  </si>
  <si>
    <t xml:space="preserve">ARMAÇÃO P4, P5 E P6 (2º ETAPA)</t>
  </si>
  <si>
    <t xml:space="preserve">FORMA P4, P5 E P6 (2º ETAPA)</t>
  </si>
  <si>
    <t xml:space="preserve">ESCORAMENTO/BARROTEAMENTO/FORRAÇÃO - PERIFERÍA BLOCÃO</t>
  </si>
  <si>
    <t xml:space="preserve">CONCRETAGEM LAJE - 1º ETAPA</t>
  </si>
  <si>
    <t xml:space="preserve">CONCRETAGEM LAJE - 2º ETAPA</t>
  </si>
  <si>
    <t xml:space="preserve">ARMAÇÃO DE PILARES - 2º ETAPA</t>
  </si>
  <si>
    <t xml:space="preserve">FORMA DE PILARES - 2º ETAPA</t>
  </si>
  <si>
    <t xml:space="preserve">ESCORAMENTO, BARROTEAMENTO E FORRAÇÃO - GERAL</t>
  </si>
  <si>
    <t xml:space="preserve">ARMAÇÃO - LAJE</t>
  </si>
  <si>
    <t xml:space="preserve">ARMAÇÃO DE PILARES - GERAL</t>
  </si>
  <si>
    <t xml:space="preserve">FORMA DA 1º ETAPA DOS PILARES - RAMPA</t>
  </si>
  <si>
    <t xml:space="preserve">ESCORAMENTO, BARROTEAMENTO E FORRAÇÃO - RAMPA</t>
  </si>
  <si>
    <t xml:space="preserve">ARMAÇÃO DA RAMPA</t>
  </si>
  <si>
    <t xml:space="preserve">CONCRETAGEM - RAMPA</t>
  </si>
  <si>
    <t xml:space="preserve">FORMA DA 2º ETAPA DOS PILARES - RAMPA</t>
  </si>
  <si>
    <t xml:space="preserve">FORMA DE PILARES - GERAL</t>
  </si>
  <si>
    <t xml:space="preserve">ESCORAMENTO, BARROTEAMENTO E FORRAÇÃO</t>
  </si>
  <si>
    <t xml:space="preserve">ARMAÇÃO VIGAS E LAJE</t>
  </si>
  <si>
    <t xml:space="preserve">CONCRETAGEM - LAJE</t>
  </si>
  <si>
    <t xml:space="preserve">FORMA - 1º ETAPA</t>
  </si>
  <si>
    <t xml:space="preserve">ARMAÇÃO - 1º ETAPA</t>
  </si>
  <si>
    <t xml:space="preserve">FORMA - 2º ETAPA</t>
  </si>
  <si>
    <t xml:space="preserve">ARMAÇÃO - 2º ETAPA</t>
  </si>
  <si>
    <t xml:space="preserve">ARMAÇÃO DE PILARES </t>
  </si>
  <si>
    <t xml:space="preserve">FORMA DE PILARES</t>
  </si>
  <si>
    <t xml:space="preserve">ESCORAMENTO, BARROTEAMENTO E FORRAÇÃO </t>
  </si>
  <si>
    <t xml:space="preserve">ESCAVAÇÃO</t>
  </si>
  <si>
    <t xml:space="preserve">ARMAÇÃO</t>
  </si>
  <si>
    <t xml:space="preserve">FORMA</t>
  </si>
  <si>
    <t xml:space="preserve">ARMAÇÃO DE PILARES</t>
  </si>
  <si>
    <t xml:space="preserve">CONCRETAGEM BEIRAL</t>
  </si>
  <si>
    <t xml:space="preserve">CONCRETAGEM - BASE</t>
  </si>
  <si>
    <t xml:space="preserve">ARMAÇÃO DAS PAREDES</t>
  </si>
  <si>
    <t xml:space="preserve">FORMA DAS PAREDES</t>
  </si>
  <si>
    <t xml:space="preserve">CONCRETAGEM PAREDES</t>
  </si>
  <si>
    <t xml:space="preserve">ARMAÇÃO DE PILAR</t>
  </si>
  <si>
    <t xml:space="preserve">FORMA DE PILAR</t>
  </si>
  <si>
    <t xml:space="preserve">ARMAÇÃO PILAR</t>
  </si>
  <si>
    <t xml:space="preserve">FORMA PILAR</t>
  </si>
  <si>
    <t xml:space="preserve">4º SUBSOLO - HALL,  ELEVADORES E CAIXA DE ESCADA</t>
  </si>
  <si>
    <t xml:space="preserve">FORMA - 1° ETAPA</t>
  </si>
  <si>
    <t xml:space="preserve">FURO E COLA - ARMAÇÃO</t>
  </si>
  <si>
    <t xml:space="preserve">FORMA 2° ETAPA</t>
  </si>
  <si>
    <t xml:space="preserve">ARMAÇÃO DAS VIGAS E LAJE</t>
  </si>
  <si>
    <t xml:space="preserve">CONCRETAGEM LAJE</t>
  </si>
  <si>
    <t xml:space="preserve">ESCORAMENTO /BARROTEAMENTO/FORRAÇÃO</t>
  </si>
  <si>
    <t xml:space="preserve">ESCAVAÇÃO - B101 e B107</t>
  </si>
  <si>
    <t xml:space="preserve">CHAPISCO - B101 e B107</t>
  </si>
  <si>
    <t xml:space="preserve">ARMAÇÃO - B101 e B107</t>
  </si>
  <si>
    <t xml:space="preserve">CONCRETAGEM - B101 e B107</t>
  </si>
  <si>
    <t xml:space="preserve">CINTAS (OLYMPUS) - ESCAVAÇÃO</t>
  </si>
  <si>
    <t xml:space="preserve">CINTAS (OLYMPUS) - ARMAÇÃO</t>
  </si>
  <si>
    <t xml:space="preserve">CINTAS (OLYMPUS) - CONCRETAGEM</t>
  </si>
  <si>
    <t xml:space="preserve">ARMAÇÃO DO BEIRAL</t>
  </si>
  <si>
    <t xml:space="preserve">CONCRETAGEM DO BEIRAL</t>
  </si>
  <si>
    <t xml:space="preserve">CONCRETAGEM - BEIRAL/PILAR</t>
  </si>
  <si>
    <t xml:space="preserve">ARMAÇÃO PILARES</t>
  </si>
  <si>
    <t xml:space="preserve">FORMA PILARES</t>
  </si>
  <si>
    <t xml:space="preserve">ESCORAMENTO/BARROTEAMENTO/ARMAÇÃO</t>
  </si>
  <si>
    <t xml:space="preserve">ARMAÇÃO DE VIGAS E LAJE</t>
  </si>
  <si>
    <t xml:space="preserve">TRAVAMENTO/ARREMATES</t>
  </si>
  <si>
    <t xml:space="preserve">CONCRETAGEM LAJE/RAMPA</t>
  </si>
  <si>
    <t xml:space="preserve">FORMA 1° ETAPA</t>
  </si>
  <si>
    <t xml:space="preserve">CONCRETAGEM DO BEIRAL/PILAR</t>
  </si>
  <si>
    <t xml:space="preserve">6º SUBSOLO</t>
  </si>
  <si>
    <t xml:space="preserve">MONTAGEM FUNDO DE VIGA</t>
  </si>
  <si>
    <t xml:space="preserve">ESCORAMENTO/BARROTEAMENTO</t>
  </si>
  <si>
    <t xml:space="preserve">CONCRETAGEM DA RAMPA</t>
  </si>
  <si>
    <t xml:space="preserve">PREPARAÇÃO DO SUB-LEITO</t>
  </si>
  <si>
    <t xml:space="preserve">DUAS FIADAS DE BLOCO DE CONCRETO NAS CINTAS</t>
  </si>
  <si>
    <t xml:space="preserve">IMPERMEABILIZAÇÃO DAS FIADAS DE BLOCO</t>
  </si>
  <si>
    <t xml:space="preserve">PREPARAÇÃO DO LEITO (BICA CORRIDA)</t>
  </si>
  <si>
    <t xml:space="preserve">ABERTURA DE VALAS P/ HIDRÁLICA/ELÉTRICA</t>
  </si>
  <si>
    <t xml:space="preserve">INSTALAÇÕES HIDRÁULICA</t>
  </si>
  <si>
    <t xml:space="preserve">INSTALAÇÕES ELÉTRICA</t>
  </si>
  <si>
    <t xml:space="preserve">ENVELOPAMENTO DAS VALAS DE ELÉTRICA</t>
  </si>
  <si>
    <t xml:space="preserve">ACERTO E COMPACTAÇÃO DO TERRENO</t>
  </si>
  <si>
    <t xml:space="preserve">ARMAÇÃO (TELA)</t>
  </si>
  <si>
    <t xml:space="preserve">2º SUBSOLO - CAIXA DE ESCADA E ELEVADORES</t>
  </si>
  <si>
    <t xml:space="preserve">ESCORAMENTO/BARROTEAMENTP/FORRAÇÃO</t>
  </si>
  <si>
    <t xml:space="preserve">ARMAÇÃO BEIRAL</t>
  </si>
  <si>
    <t xml:space="preserve">DESFORMA E LIMPEZA DO BLOCÃO</t>
  </si>
  <si>
    <t xml:space="preserve">ATERRO BLOCÃO</t>
  </si>
  <si>
    <t xml:space="preserve">DUAS FIADAS DE BLOCO DE CONCRETO</t>
  </si>
  <si>
    <t xml:space="preserve">IMPERMEABILIZAÇÃO DOS BLOCOS DE CONCRETO</t>
  </si>
  <si>
    <t xml:space="preserve">ABERTURA DE VALAS P/ INFRA DE INSTALAÇÕES</t>
  </si>
  <si>
    <t xml:space="preserve">INFRA INSTALAÇÕES ELÉTRICA</t>
  </si>
  <si>
    <t xml:space="preserve">ENVELOPAMENTO DAS INFRAS DE ELÉTRICA</t>
  </si>
  <si>
    <t xml:space="preserve">ACERTO E COMPATAÇÃO DO LEITO</t>
  </si>
  <si>
    <t xml:space="preserve">LIMPEZA</t>
  </si>
  <si>
    <t xml:space="preserve">DRENO</t>
  </si>
  <si>
    <t xml:space="preserve">LIMPEZA E ESCAVAÇÃO</t>
  </si>
  <si>
    <t xml:space="preserve">FURO E COLA E ARMAÇÃO</t>
  </si>
  <si>
    <t xml:space="preserve">1º SUBSOLO - HALL, ELEVADORES E CAIXA DE ESCADA</t>
  </si>
  <si>
    <t xml:space="preserve">BARROTEAMENTO/FORRAÇÃO FUNDO JARDINEIRA</t>
  </si>
  <si>
    <t xml:space="preserve">ARMAÇÃO FUNDO JARDINEIRA</t>
  </si>
  <si>
    <t xml:space="preserve">CONCRETAGEM FUNDO JARDINEIRA</t>
  </si>
  <si>
    <t xml:space="preserve">BARROTEAMENTO/FORRAÇÃO LAJE</t>
  </si>
  <si>
    <t xml:space="preserve">CONCRETAGEM DA LAJE</t>
  </si>
  <si>
    <t xml:space="preserve">ARMAÇÃOPILARES</t>
  </si>
  <si>
    <t xml:space="preserve">FORMA DOS PILARES</t>
  </si>
  <si>
    <t xml:space="preserve">ESCAVAÇÃO </t>
  </si>
  <si>
    <t xml:space="preserve">ARMAÇÃO - BASE</t>
  </si>
  <si>
    <t xml:space="preserve">CONCRETAGEM DA BASE</t>
  </si>
  <si>
    <t xml:space="preserve">ARMAÇÃO - PAREDE</t>
  </si>
  <si>
    <t xml:space="preserve">FORMA - PAREDE</t>
  </si>
  <si>
    <t xml:space="preserve">CONCRETAGEM - PAREDE</t>
  </si>
  <si>
    <t xml:space="preserve">2º PAV.</t>
  </si>
  <si>
    <t xml:space="preserve">CONCRETAGEM BEIRAL/PILAR</t>
  </si>
  <si>
    <t xml:space="preserve">6º SUBSOLO - LOJAS 01, 02, 03 E 04</t>
  </si>
  <si>
    <t xml:space="preserve">LIMPEZA E ACERTO DO TERRENO</t>
  </si>
  <si>
    <t xml:space="preserve">PREPARAÇÃO DO SUB-LEITO (BICA CORRIDA)</t>
  </si>
  <si>
    <t xml:space="preserve">ABERTURA DE VALAS P/INSTALAÇÕES</t>
  </si>
  <si>
    <t xml:space="preserve">INSTALAÇÕES ELÉTRICAS/HIDRÁULICAS</t>
  </si>
  <si>
    <t xml:space="preserve">ACERTO E COMPACTAÇÃO DO TERRO</t>
  </si>
  <si>
    <t xml:space="preserve">ARMAÇÃO ( TELA )</t>
  </si>
  <si>
    <t xml:space="preserve">CONCRETAGEM DO PISO</t>
  </si>
  <si>
    <t xml:space="preserve">ACERTO DO TERRENO</t>
  </si>
  <si>
    <t xml:space="preserve">FORMA LAJINHA</t>
  </si>
  <si>
    <t xml:space="preserve">ARMAÇÃO LAJINHA</t>
  </si>
  <si>
    <t xml:space="preserve">CAIXAS HIDROSSANITARIAS E INSTALAÇÕES</t>
  </si>
  <si>
    <t xml:space="preserve">ARAMÇÃO DO PISO</t>
  </si>
  <si>
    <t xml:space="preserve">ARMAÇÃO DA BASE</t>
  </si>
  <si>
    <t xml:space="preserve">ARMAÇÃO DA PAREDE</t>
  </si>
  <si>
    <t xml:space="preserve">FORMA DA PAREDE</t>
  </si>
  <si>
    <t xml:space="preserve">CONCRETAGEM DA PAREDE</t>
  </si>
  <si>
    <t xml:space="preserve">MONTAGEM DO ESCORAMENTO/ANDAIME</t>
  </si>
  <si>
    <t xml:space="preserve">FURO E COLA (ARMAÇÃO)</t>
  </si>
  <si>
    <t xml:space="preserve">PREPARAÇÃO SUB-LEITO</t>
  </si>
  <si>
    <t xml:space="preserve">PREPARAÇÃO LEITO (BICA CORRIDA)</t>
  </si>
  <si>
    <t xml:space="preserve">ABERTURA DE VALAS P/ HIDRÁULICA/ELÉTREICA</t>
  </si>
  <si>
    <t xml:space="preserve">ENVELOPAMENTO DA SVALAS DA ELÉTRICA</t>
  </si>
  <si>
    <t xml:space="preserve">COMPACTAÇÃO E ATERRO DO TERRENO</t>
  </si>
  <si>
    <t xml:space="preserve">MEZANINO - ESCADAS LATERAIS</t>
  </si>
  <si>
    <t xml:space="preserve">FORMA 1°ETAPA</t>
  </si>
  <si>
    <t xml:space="preserve">FORMA2° ETAPA</t>
  </si>
  <si>
    <t xml:space="preserve">3º PAV. - PILOTIS</t>
  </si>
  <si>
    <t xml:space="preserve">FORRAÇÃO</t>
  </si>
  <si>
    <t xml:space="preserve">5º SUBSOLO - ESCADA LATERAL</t>
  </si>
  <si>
    <t xml:space="preserve">REDE DE ESGOTO</t>
  </si>
  <si>
    <t xml:space="preserve">1º PAV. - TÉRREO -  HALL RES., CIRC., ELEVADORES SOCIAIS, CAIXA DE ESCADA</t>
  </si>
  <si>
    <t xml:space="preserve">FORMA1° ETAPA</t>
  </si>
  <si>
    <t xml:space="preserve">FURO COLA - ARMAÇÃO</t>
  </si>
  <si>
    <t xml:space="preserve">5º SUBSOLO - HALL, ELEVADORES E CAIXA DE ESCADA</t>
  </si>
  <si>
    <t xml:space="preserve">POLIMENTO DO PISO</t>
  </si>
  <si>
    <t xml:space="preserve">MONTAGEM DAS DIVISÓRIAS</t>
  </si>
  <si>
    <t xml:space="preserve">MUDANÇA</t>
  </si>
  <si>
    <t xml:space="preserve">CONCRETAGEM DE LAJE</t>
  </si>
  <si>
    <t xml:space="preserve">LIBERAÇÃO E LIMPEZA DA ÁREA</t>
  </si>
  <si>
    <t xml:space="preserve">4º PAV.</t>
  </si>
  <si>
    <t xml:space="preserve">FURO E COLA/ARMAÇÃO</t>
  </si>
  <si>
    <t xml:space="preserve">FORMA OU ALVENARIA</t>
  </si>
  <si>
    <t xml:space="preserve">3º SUBSOLO - HALL, ELVADORES E CAIXA DE ESCADA</t>
  </si>
  <si>
    <t xml:space="preserve">REMANEJAMENTO DAS ESCORAS/LIMPEZA</t>
  </si>
  <si>
    <t xml:space="preserve">EXECUÇÃO DAS PAREDES(MADERITE)</t>
  </si>
  <si>
    <t xml:space="preserve">EXECUÇÃO DE TELAS</t>
  </si>
  <si>
    <t xml:space="preserve">INSTALAÇÕES ELÉTRICAS E HIDRÁULICAS</t>
  </si>
  <si>
    <t xml:space="preserve">3º SUBSOLO - ÁREAS TÉCNICAS</t>
  </si>
  <si>
    <t xml:space="preserve">CONCRETAGEM VIGAS E LAJE</t>
  </si>
  <si>
    <t xml:space="preserve">5º PAV.</t>
  </si>
  <si>
    <t xml:space="preserve">ARMAÇÃO DE PILARES/FORMA DE PILARES</t>
  </si>
  <si>
    <t xml:space="preserve">ARMAÇÃO DE PILAR/FORMA DE PILAR 50% BARROTEADO</t>
  </si>
  <si>
    <t xml:space="preserve">100 BARROTE/50% FORRO/100% FUNDO VIGAS</t>
  </si>
  <si>
    <t xml:space="preserve">100% FORRO/FORMA PILAR 9 E 12/50% ARMAÇÃO VIGAS E LAJE</t>
  </si>
  <si>
    <t xml:space="preserve">CONCRETO DE PILAR/100% ARMAÇÃO POSITIVA/50% NEGATIVA</t>
  </si>
  <si>
    <t xml:space="preserve">100% FORMA/80% ARMAÇÃO LAJE</t>
  </si>
  <si>
    <t xml:space="preserve">6º PAV.</t>
  </si>
  <si>
    <t xml:space="preserve">7º PAV.</t>
  </si>
  <si>
    <t xml:space="preserve">Infra-Teto</t>
  </si>
  <si>
    <t xml:space="preserve">Infra - Parede</t>
  </si>
  <si>
    <t xml:space="preserve">Infra - DG</t>
  </si>
  <si>
    <t xml:space="preserve">Cabeamento</t>
  </si>
  <si>
    <t xml:space="preserve">Teste de Continuidade</t>
  </si>
  <si>
    <t xml:space="preserve">Identificação</t>
  </si>
  <si>
    <t xml:space="preserve">Infra - Teto</t>
  </si>
  <si>
    <t xml:space="preserve">Infra - Quadro</t>
  </si>
  <si>
    <t xml:space="preserve">Testes</t>
  </si>
  <si>
    <t xml:space="preserve">Infra -Teto</t>
  </si>
  <si>
    <t xml:space="preserve">Infra-Parede</t>
  </si>
  <si>
    <t xml:space="preserve">Infra-DG</t>
  </si>
  <si>
    <t xml:space="preserve">Identificação dos Circuitos</t>
  </si>
  <si>
    <t xml:space="preserve">ARMAÇÃO FUNDO DA PISCINA</t>
  </si>
  <si>
    <t xml:space="preserve">CONCRETO FUNDA DA PISCINA</t>
  </si>
  <si>
    <t xml:space="preserve">ARMAÇÃO VIGA E LAJE</t>
  </si>
  <si>
    <t xml:space="preserve">FECHAMENTOS E ARREMATES</t>
  </si>
  <si>
    <t xml:space="preserve">Infra de teto</t>
  </si>
  <si>
    <t xml:space="preserve">Infra de Quadro</t>
  </si>
  <si>
    <t xml:space="preserve">8º PAV.</t>
  </si>
  <si>
    <t xml:space="preserve">REGULARIZAÇÃO DE TERRENO </t>
  </si>
  <si>
    <t xml:space="preserve">INFRAESTRUTURA HIDRÁULICA ENTERRADA</t>
  </si>
  <si>
    <t xml:space="preserve">CONCRETAGEM | 1º ETAPA</t>
  </si>
  <si>
    <t xml:space="preserve">CONCRETAGEM | 2º ETAPA</t>
  </si>
  <si>
    <t xml:space="preserve">ARMAÇÃO VIGAS DE LAJE</t>
  </si>
  <si>
    <t xml:space="preserve">REBOCO</t>
  </si>
  <si>
    <t xml:space="preserve">TRATAMENTO DA JUNTA</t>
  </si>
  <si>
    <t xml:space="preserve">LOCAÇÃO E CONFORMIDADE DAS PEÇAS</t>
  </si>
  <si>
    <t xml:space="preserve">CONCRETAGENS E ARREMATES</t>
  </si>
  <si>
    <t xml:space="preserve">9º PAV.</t>
  </si>
  <si>
    <t xml:space="preserve">ESCAVAÇÃO, INSTALAÇÃO DE CANALETAS E CLP's</t>
  </si>
  <si>
    <t xml:space="preserve">PREPARAÇÃO E ARREMATES</t>
  </si>
  <si>
    <t xml:space="preserve">EXECUÇÃO DE TELA DE POLIESTE E 1° DEMÃO ARGAMASSA</t>
  </si>
  <si>
    <t xml:space="preserve">2° DEMÃO ARGAMASSA</t>
  </si>
  <si>
    <t xml:space="preserve">3° DEMÃO DE ARGAMASSA</t>
  </si>
  <si>
    <t xml:space="preserve">10º PAV.</t>
  </si>
  <si>
    <t xml:space="preserve">INFRA TETO </t>
  </si>
  <si>
    <t xml:space="preserve">INFRA PAREDE</t>
  </si>
  <si>
    <t xml:space="preserve">INFRA - QUADRO</t>
  </si>
  <si>
    <t xml:space="preserve">CABEAMENTO</t>
  </si>
  <si>
    <t xml:space="preserve">IDENTIFICAÇÃO</t>
  </si>
  <si>
    <t xml:space="preserve">TESTES</t>
  </si>
  <si>
    <t xml:space="preserve">PRUMADA ELÉTRICA</t>
  </si>
  <si>
    <t xml:space="preserve">INSTALAÇÕES EMBUTIDA NA ALVENARIA</t>
  </si>
  <si>
    <t xml:space="preserve">CONTRA-MARCOS</t>
  </si>
  <si>
    <t xml:space="preserve">CONTRA-PISO</t>
  </si>
  <si>
    <t xml:space="preserve">MONTANTES DE DRYWALL</t>
  </si>
  <si>
    <t xml:space="preserve">DRYWALL 1° FACE</t>
  </si>
  <si>
    <t xml:space="preserve">INFRA AR-CONDICIONADO</t>
  </si>
  <si>
    <t xml:space="preserve">DISTRIBUIÇÃO ELÉTRICA/QUADRO</t>
  </si>
  <si>
    <t xml:space="preserve">DRYWALL 2° FACE</t>
  </si>
  <si>
    <t xml:space="preserve">REVESTIMENTO PORCELANATO PISO</t>
  </si>
  <si>
    <t xml:space="preserve">1° DEMÃO DE PINTURA</t>
  </si>
  <si>
    <t xml:space="preserve">ESQUADRIA DE ALUMÍNIO</t>
  </si>
  <si>
    <t xml:space="preserve">PISO VINÍLICO/LAMINADO</t>
  </si>
  <si>
    <t xml:space="preserve">ESQUADRIA DE MADEIRA</t>
  </si>
  <si>
    <t xml:space="preserve">RODAPÉ DE VINÍLICO</t>
  </si>
  <si>
    <t xml:space="preserve">DIJUNTORES/MIOLO</t>
  </si>
  <si>
    <t xml:space="preserve">2° DEMÃO DE PINTURA</t>
  </si>
  <si>
    <t xml:space="preserve">3° DEMÃO DE PINTURA</t>
  </si>
  <si>
    <t xml:space="preserve">PRUMADAS DE INCÊNDIO</t>
  </si>
  <si>
    <t xml:space="preserve">INFRA DE AR-CONDICIONADO</t>
  </si>
  <si>
    <t xml:space="preserve">DISTRIBUIÇÃO ELÉTRICA/CABOS</t>
  </si>
  <si>
    <t xml:space="preserve">PRUMADA ELÉTRICA CABOS</t>
  </si>
  <si>
    <t xml:space="preserve">RODAPÉ VINÍLICO</t>
  </si>
  <si>
    <t xml:space="preserve">DIJUNTOR/MIOLOS</t>
  </si>
  <si>
    <t xml:space="preserve">2° DEMÃO PINTURA</t>
  </si>
  <si>
    <t xml:space="preserve">ACABANEBTOS ELÉTRICOS</t>
  </si>
  <si>
    <t xml:space="preserve">CONTRA-MARCO</t>
  </si>
  <si>
    <t xml:space="preserve">MONTANTES DRYWALL</t>
  </si>
  <si>
    <t xml:space="preserve">DISTRIBUIÇÃO ELÉTRICA/QUADROS</t>
  </si>
  <si>
    <t xml:space="preserve">PRUMADAS ELÉTRICAS (CABOS)</t>
  </si>
  <si>
    <t xml:space="preserve">PISO VINÍLICO</t>
  </si>
  <si>
    <t xml:space="preserve">ESQUADRIAS DE MADEIRA</t>
  </si>
  <si>
    <t xml:space="preserve">PINTURA 3° DEMÃO</t>
  </si>
  <si>
    <t xml:space="preserve">11º PAV.</t>
  </si>
  <si>
    <t xml:space="preserve">12º PAV.</t>
  </si>
  <si>
    <t xml:space="preserve">13º PAV.</t>
  </si>
  <si>
    <t xml:space="preserve">14º PAV.</t>
  </si>
  <si>
    <t xml:space="preserve">1º PAV. - TÉRREO - LOJA 01, 02, 03</t>
  </si>
  <si>
    <t xml:space="preserve">1º SUBSOLO - ÁREAS TÉCNICAS E CIRCULAÇÃO</t>
  </si>
  <si>
    <t xml:space="preserve">15º PAV.</t>
  </si>
  <si>
    <t xml:space="preserve">3º PV. PILOTIS - GOURMET 1 E 2</t>
  </si>
  <si>
    <t xml:space="preserve">1º SUBSOLO - ESCADAS LATERAIS</t>
  </si>
  <si>
    <t xml:space="preserve">16º PAV.</t>
  </si>
  <si>
    <t xml:space="preserve">1º PAV. - TÉRREO - LOJA 04 E 05</t>
  </si>
  <si>
    <t xml:space="preserve">17º PAV.</t>
  </si>
  <si>
    <t xml:space="preserve">3º PV. PILOTIS - ACADEMIA E CIRCULAÇÃO</t>
  </si>
  <si>
    <t xml:space="preserve">MEZANINO - ÁREAS TÉCNICAS</t>
  </si>
  <si>
    <t xml:space="preserve">18º PAV.</t>
  </si>
  <si>
    <t xml:space="preserve">1º PAV. - TÉRREO - LOJA 06, 07, 08</t>
  </si>
  <si>
    <t xml:space="preserve">2º SUBSOLO - ÁREAS TECNICAS</t>
  </si>
  <si>
    <t xml:space="preserve">19º PAV.</t>
  </si>
  <si>
    <t xml:space="preserve">3º PV. PILOTIS - PISCINA DESCOBERTA E DECK</t>
  </si>
  <si>
    <t xml:space="preserve">20º PAV.</t>
  </si>
  <si>
    <t xml:space="preserve">4º SUBSOLO - ÁREAS TÉCNICAS</t>
  </si>
  <si>
    <t xml:space="preserve">21º PAV.</t>
  </si>
  <si>
    <t xml:space="preserve">3º PV. PILOTIS - MERCADO E MASSAGEM</t>
  </si>
  <si>
    <t xml:space="preserve">1º PAV. - TÉRREO - LOJA 09, 10, 11</t>
  </si>
  <si>
    <t xml:space="preserve">22º PAV.</t>
  </si>
  <si>
    <t xml:space="preserve">23º PAV.</t>
  </si>
  <si>
    <t xml:space="preserve">24º PAV.</t>
  </si>
  <si>
    <t xml:space="preserve">FACHADA - ALAMEDA</t>
  </si>
  <si>
    <t xml:space="preserve">Balancinho 1</t>
  </si>
  <si>
    <t xml:space="preserve">Balancinho 2</t>
  </si>
  <si>
    <t xml:space="preserve">Balancinho 3</t>
  </si>
  <si>
    <t xml:space="preserve">Balancinho 4</t>
  </si>
  <si>
    <t xml:space="preserve">25º PAV.</t>
  </si>
  <si>
    <t xml:space="preserve">FACHADA - OLYMPUS</t>
  </si>
  <si>
    <t xml:space="preserve">3º PV. PILOTIS - VARANDA COBERTA</t>
  </si>
  <si>
    <t xml:space="preserve">26º PAV.</t>
  </si>
  <si>
    <t xml:space="preserve">FACHADA - CONCORDIA</t>
  </si>
  <si>
    <t xml:space="preserve">27º PAV</t>
  </si>
  <si>
    <t xml:space="preserve">3º PV. PILOTIS - IS E VESTIÁRIOS</t>
  </si>
  <si>
    <t xml:space="preserve">1º PAV. - TÉRREO - HALL, IS, ELEVADOR COMERCIAL</t>
  </si>
  <si>
    <t xml:space="preserve">28º PAV - 1º N.COB</t>
  </si>
  <si>
    <t xml:space="preserve">29º PAV - 2º N.COB</t>
  </si>
  <si>
    <t xml:space="preserve">3º PV. PILOTIS - QUADRA BEACH TENIS E PLAYGROUND</t>
  </si>
  <si>
    <t xml:space="preserve">PAVIMENTO TÉCNICO</t>
  </si>
  <si>
    <t xml:space="preserve">FACHADA - VALE DO SERENO</t>
  </si>
  <si>
    <t xml:space="preserve">2º PV. - ESCADAS LATERAIS</t>
  </si>
  <si>
    <t xml:space="preserve">RES. SUPERIOR</t>
  </si>
  <si>
    <t xml:space="preserve">COB</t>
  </si>
  <si>
    <t xml:space="preserve">3º PV. PILOTIS - HALL, ELEVADORES E CAIXA DE ESCADA</t>
  </si>
  <si>
    <t xml:space="preserve">2º PV. - LOJA 01, 02 E 03</t>
  </si>
  <si>
    <t xml:space="preserve">2º PV. - LOJA 04 E 05</t>
  </si>
  <si>
    <t xml:space="preserve">6º SUBSOLO - LOJAS 05, 06 E 07</t>
  </si>
  <si>
    <t xml:space="preserve">6º SUBSOLO - CAIXA DE ESCADAS E ELEVADORES</t>
  </si>
  <si>
    <t xml:space="preserve">2º PV. - LOJA 06, 07</t>
  </si>
  <si>
    <t xml:space="preserve">6º SUBSOLO - HALL E CIRCULAÇÃO</t>
  </si>
  <si>
    <t xml:space="preserve">Balancinho 5</t>
  </si>
  <si>
    <t xml:space="preserve">Balancinho 6</t>
  </si>
  <si>
    <t xml:space="preserve">Balancinho 7</t>
  </si>
  <si>
    <t xml:space="preserve">Balancinho 8</t>
  </si>
  <si>
    <t xml:space="preserve">6º SUBSOLO - ÁREAS TÉCNICAS</t>
  </si>
  <si>
    <t xml:space="preserve">2º PV. - LOJA 08, 09 E 10</t>
  </si>
  <si>
    <t xml:space="preserve">Balancinho 9</t>
  </si>
  <si>
    <t xml:space="preserve">Balancinho 10</t>
  </si>
  <si>
    <t xml:space="preserve">Balancinho 11</t>
  </si>
  <si>
    <t xml:space="preserve">Balancinho 12</t>
  </si>
  <si>
    <t xml:space="preserve">3º PV. PILOTIS - PET PLACE E TERRAÇO DESCOBERTO</t>
  </si>
  <si>
    <t xml:space="preserve">2º PV. - HALL, IS, ELEVADOR COMERCIAL</t>
  </si>
  <si>
    <t xml:space="preserve">3º PV. PILOTIS - PISCINA COBERTA</t>
  </si>
  <si>
    <t xml:space="preserve">Balancinho 13</t>
  </si>
  <si>
    <t xml:space="preserve">Balancinho 14</t>
  </si>
  <si>
    <t xml:space="preserve">Balancinho 15</t>
  </si>
  <si>
    <t xml:space="preserve">Balancinho 16</t>
  </si>
  <si>
    <t xml:space="preserve">GERAL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</si>
  <si>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</si>
  <si>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</si>
  <si>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</si>
  <si>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</si>
  <si>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</si>
  <si>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</si>
  <si>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</si>
  <si>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</si>
  <si>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</si>
  <si>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</si>
  <si>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</si>
  <si>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</si>
  <si>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</si>
  <si>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</si>
  <si>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</si>
  <si>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</si>
  <si>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CUSTO INCORRIDO</t>
  </si>
  <si>
    <t xml:space="preserve">REVESTIMENTOS DE MASSAS EM PAREDES</t>
  </si>
  <si>
    <t xml:space="preserve">REVESTIMENTOS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</si>
  <si>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</si>
  <si>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</si>
  <si>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</si>
  <si>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</si>
  <si>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</si>
  <si>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</si>
  <si>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CONTINGÊNCIAS</t>
  </si>
  <si>
    <t xml:space="preserve">PROJEÇÃO</t>
  </si>
  <si>
    <t xml:space="preserve">Soma de [VLR MOVIMENTO] (sinal invertido: custos positivos) · aba DADOS, TORRE CATHARINA, CUSTOS COM OBRAS, sem projeções (A PAGAR sem origem)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</si>
  <si>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</si>
  <si>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</si>
  <si>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</si>
  <si>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</si>
  <si>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</si>
  <si>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</si>
  <si>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</si>
  <si>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</si>
  <si>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</si>
  <si>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</si>
  <si>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</si>
  <si>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</si>
  <si>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</si>
  <si>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</si>
  <si>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</si>
  <si>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Acabamentos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</si>
  <si>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</si>
  <si>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</si>
  <si>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</si>
  <si>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</si>
  <si>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</si>
  <si>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</si>
  <si>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</si>
  <si>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</si>
  <si>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</si>
  <si>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</si>
  <si>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</si>
  <si>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</si>
  <si>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</si>
  <si>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</si>
  <si>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</si>
  <si>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</si>
  <si>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</si>
  <si>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</si>
  <si>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</si>
  <si>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</si>
  <si>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</si>
  <si>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</si>
  <si>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</si>
  <si>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</si>
  <si>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</si>
  <si>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</si>
  <si>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</si>
  <si>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</si>
  <si>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</si>
  <si>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</si>
  <si>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</si>
  <si>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</si>
  <si>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</si>
  <si>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</si>
  <si>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Inclui o grupo CUSTO INCORRIDO do ERP (projetos anteriores; item 38 do Prevision) como realizado; o orçamento da linha CUSTO INCORRIDO (R$ 1.646.021) foi somado ao de PROJETOS. Fator da projeção 1,0145 = PROJETOS (X÷I = 1,0255) ponderado com o CUSTO INCORRIDO (fator 1).</t>
  </si>
  <si>
    <t xml:space="preserve">DIFERENÇA (fluxo em INCC − meta em INCC, descontada a conciliação)</t>
  </si>
  <si>
    <t xml:space="preserve">Esta obra tem taxa de administração a realizar: mantida a projeção do arquivo original (R$ 15,09 mi), distribuída pela curva digitada (decisão do usuário).</t>
  </si>
  <si>
    <t xml:space="preserve">Sem aba no arquivo original: projeção = VALOR POR PL!I (IEC); saldo em curva linear até dez/2028 (premissa dos indiretos).</t>
  </si>
  <si>
    <t xml:space="preserve">PREVISÃO INFORMADA</t>
  </si>
  <si>
    <t xml:space="preserve">Saldo até a projeção pago em 3 parcelas iguais em mar, abr e mai/2027 (decisão do usuário).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</si>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</sst>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20"/>
      <color rgb="FF1C3B2A"/>
      <name val="Calibri"/>
      <family val="0"/>
      <charset val="1"/>
    </font>
    <font>
      <sz val="10"/>
      <color rgb="FF8C877A"/>
      <name val="Calibri"/>
      <family val="0"/>
      <charset val="1"/>
    </font>
    <font>
      <b val="true"/>
      <sz val="8"/>
      <color rgb="FF8C877A"/>
      <name val="Calibri"/>
      <family val="0"/>
      <charset val="1"/>
    </font>
    <font>
      <b val="true"/>
      <sz val="14"/>
      <color rgb="FF1C3B2A"/>
      <name val="Calibri"/>
      <family val="0"/>
      <charset val="1"/>
    </font>
    <font>
      <sz val="8"/>
      <color rgb="FF8C877A"/>
      <name val="Calibri"/>
      <family val="0"/>
      <charset val="1"/>
    </font>
    <font>
      <b val="true"/>
      <sz val="10"/>
      <color rgb="FF1C3B2A"/>
      <name val="Calibri"/>
      <family val="0"/>
      <charset val="1"/>
    </font>
    <font>
      <b val="true"/>
      <sz val="12"/>
      <color rgb="FF1C3B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3C3A33"/>
      <name val="Calibri"/>
      <family val="0"/>
      <charset val="1"/>
    </font>
    <font>
      <i val="true"/>
      <sz val="8"/>
      <color rgb="FF8C877A"/>
      <name val="Calibri"/>
      <family val="0"/>
      <charset val="1"/>
    </font>
    <font>
      <sz val="10"/>
      <name val="Arial"/>
      <family val="2"/>
    </font>
    <font>
      <sz val="8"/>
      <color rgb="FF8C877A"/>
      <name val="Calibri"/>
      <family val="2"/>
    </font>
    <font>
      <b val="true"/>
      <sz val="13"/>
      <name val="Calibri"/>
      <family val="0"/>
      <charset val="1"/>
    </font>
    <font>
      <b val="true"/>
      <sz val="9"/>
      <color rgb="FF8C877A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1"/>
      <color rgb="FF1C3B2A"/>
      <name val="Calibri"/>
      <family val="0"/>
      <charset val="1"/>
    </font>
    <font>
      <b val="true"/>
      <sz val="15"/>
      <color rgb="FF1C3B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FF"/>
      <name val="Calibri"/>
      <family val="0"/>
      <charset val="1"/>
    </font>
    <font>
      <b val="true"/>
      <sz val="11"/>
      <color rgb="FF8C6D2F"/>
      <name val="Calibri"/>
      <family val="0"/>
      <charset val="1"/>
    </font>
    <font>
      <b val="true"/>
      <sz val="11"/>
      <color rgb="FF8A6D3B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Calibri"/>
      <family val="0"/>
      <charset val="1"/>
    </font>
    <font>
      <i val="true"/>
      <sz val="9"/>
      <color rgb="FF8C877A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0EA"/>
      </patternFill>
    </fill>
    <fill>
      <patternFill patternType="solid">
        <fgColor rgb="FFF4F1EA"/>
        <bgColor rgb="FFF1F5F0"/>
      </patternFill>
    </fill>
    <fill>
      <patternFill patternType="solid">
        <fgColor rgb="FFFCFBF8"/>
        <bgColor rgb="FFFFFFFF"/>
      </patternFill>
    </fill>
    <fill>
      <patternFill patternType="solid">
        <fgColor rgb="FFC5D3C8"/>
        <bgColor rgb="FFDED8C9"/>
      </patternFill>
    </fill>
    <fill>
      <patternFill patternType="solid">
        <fgColor rgb="FF1C3B2A"/>
        <bgColor rgb="FF3C3A33"/>
      </patternFill>
    </fill>
    <fill>
      <patternFill patternType="solid">
        <fgColor rgb="FF1F7A52"/>
        <bgColor rgb="FF008080"/>
      </patternFill>
    </fill>
    <fill>
      <patternFill patternType="solid">
        <fgColor rgb="FF99BCAB"/>
        <bgColor rgb="FFA6A6A6"/>
      </patternFill>
    </fill>
    <fill>
      <patternFill patternType="solid">
        <fgColor rgb="FFF1F5F0"/>
        <bgColor rgb="FFF4F1EA"/>
      </patternFill>
    </fill>
    <fill>
      <patternFill patternType="solid">
        <fgColor rgb="FFFFFFFF"/>
        <bgColor rgb="FFFCFBF8"/>
      </patternFill>
    </fill>
    <fill>
      <patternFill patternType="solid">
        <fgColor rgb="FFE8F0EA"/>
        <bgColor rgb="FFEDEDED"/>
      </patternFill>
    </fill>
    <fill>
      <patternFill patternType="solid">
        <fgColor rgb="FF8A6D3B"/>
        <bgColor rgb="FF8C6D2F"/>
      </patternFill>
    </fill>
    <fill>
      <patternFill patternType="solid">
        <fgColor rgb="FFFFF2CC"/>
        <bgColor rgb="FFF4F1E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5DFD2"/>
      </left>
      <right style="thin">
        <color rgb="FFE5DFD2"/>
      </right>
      <top style="thin">
        <color rgb="FFE5DFD2"/>
      </top>
      <bottom/>
      <diagonal/>
    </border>
    <border diagonalUp="false" diagonalDown="false">
      <left style="thin">
        <color rgb="FFE5DFD2"/>
      </left>
      <right style="thin">
        <color rgb="FFE5DFD2"/>
      </right>
      <top/>
      <bottom/>
      <diagonal/>
    </border>
    <border diagonalUp="false" diagonalDown="false">
      <left style="thin">
        <color rgb="FFE5DFD2"/>
      </left>
      <right style="thin">
        <color rgb="FFE5DFD2"/>
      </right>
      <top/>
      <bottom style="thin">
        <color rgb="FFE5DFD2"/>
      </bottom>
      <diagonal/>
    </border>
    <border diagonalUp="false" diagonalDown="false">
      <left/>
      <right/>
      <top/>
      <bottom style="thin">
        <color rgb="FFEDE8D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E8F0EA"/>
        </patternFill>
      </fill>
    </dxf>
    <dxf>
      <fill>
        <patternFill>
          <bgColor rgb="FFF6E3DF"/>
        </patternFill>
      </fill>
    </dxf>
    <dxf>
      <font>
        <name val="Calibri"/>
        <charset val="1"/>
        <family val="0"/>
        <b val="1"/>
        <color rgb="FF1F7A52"/>
        <sz val="14"/>
      </font>
    </dxf>
    <dxf>
      <font>
        <name val="Calibri"/>
        <charset val="1"/>
        <family val="0"/>
        <b val="1"/>
        <color rgb="FFB3392B"/>
        <sz val="14"/>
      </font>
    </dxf>
    <dxf>
      <font>
        <name val="Calibri"/>
        <charset val="1"/>
        <family val="0"/>
        <b val="1"/>
        <color rgb="FF1C3B2A"/>
      </font>
      <fill>
        <patternFill>
          <bgColor rgb="FFD9E6DC"/>
        </patternFill>
      </fill>
      <border diagonalUp="false" diagonalDown="false">
        <left/>
        <right/>
        <top style="medium">
          <color rgb="FF1C3B2A"/>
        </top>
        <bottom style="medium">
          <color rgb="FF1C3B2A"/>
        </bottom>
        <diagonal/>
      </border>
    </dxf>
    <dxf>
      <font>
        <name val="Calibri"/>
        <charset val="1"/>
        <family val="0"/>
        <b val="1"/>
        <color rgb="FFB3392B"/>
      </font>
      <fill>
        <patternFill>
          <bgColor rgb="FFF6E3DF"/>
        </patternFill>
      </fill>
    </dxf>
    <dxf>
      <font>
        <name val="Calibri"/>
        <charset val="1"/>
        <family val="0"/>
        <b val="1"/>
        <color rgb="FF1C3B2A"/>
      </font>
      <fill>
        <patternFill>
          <bgColor rgb="FFE8F0EA"/>
        </patternFill>
      </fill>
    </dxf>
    <dxf>
      <font>
        <name val="Calibri"/>
        <charset val="1"/>
        <family val="0"/>
        <b val="1"/>
        <color rgb="FFB3392B"/>
      </font>
    </dxf>
    <dxf>
      <fill>
        <patternFill>
          <bgColor rgb="FFEDEDED"/>
        </patternFill>
      </fill>
    </dxf>
    <dxf>
      <font>
        <name val="Calibri"/>
        <charset val="1"/>
        <family val="0"/>
        <color rgb="FFBFBFBF"/>
      </font>
    </dxf>
    <dxf>
      <font>
        <name val="Calibri"/>
        <charset val="1"/>
        <family val="0"/>
        <strike val="1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D2F"/>
      <rgbColor rgb="FF800080"/>
      <rgbColor rgb="FF1F7A52"/>
      <rgbColor rgb="FFBFBFBF"/>
      <rgbColor rgb="FF8C877A"/>
      <rgbColor rgb="FFEDEDED"/>
      <rgbColor rgb="FFBE4B48"/>
      <rgbColor rgb="FFFFF2CC"/>
      <rgbColor rgb="FFE8F0EA"/>
      <rgbColor rgb="FF660066"/>
      <rgbColor rgb="FFFCFBF8"/>
      <rgbColor rgb="FF0066CC"/>
      <rgbColor rgb="FFC5D3C8"/>
      <rgbColor rgb="FF000080"/>
      <rgbColor rgb="FFFF00FF"/>
      <rgbColor rgb="FFEDE8DC"/>
      <rgbColor rgb="FF00FFFF"/>
      <rgbColor rgb="FF800080"/>
      <rgbColor rgb="FF800000"/>
      <rgbColor rgb="FF008080"/>
      <rgbColor rgb="FF0000FF"/>
      <rgbColor rgb="FF00CCFF"/>
      <rgbColor rgb="FFF1F5F0"/>
      <rgbColor rgb="FFD9E6DC"/>
      <rgbColor rgb="FFF4F1EA"/>
      <rgbColor rgb="FF99BCAB"/>
      <rgbColor rgb="FFE5DFD2"/>
      <rgbColor rgb="FFF6E3DF"/>
      <rgbColor rgb="FFDED8C9"/>
      <rgbColor rgb="FF3366FF"/>
      <rgbColor rgb="FF33CCCC"/>
      <rgbColor rgb="FF99CC00"/>
      <rgbColor rgb="FFFFC000"/>
      <rgbColor rgb="FFFF9900"/>
      <rgbColor rgb="FFFF6600"/>
      <rgbColor rgb="FF4A7EBB"/>
      <rgbColor rgb="FFA6A6A6"/>
      <rgbColor rgb="FF003366"/>
      <rgbColor rgb="FF339966"/>
      <rgbColor rgb="FF003300"/>
      <rgbColor rgb="FF1C3B2A"/>
      <rgbColor rgb="FFB3392B"/>
      <rgbColor rgb="FF8A6D3B"/>
      <rgbColor rgb="FF333399"/>
      <rgbColor rgb="FF3C3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3987357.38</c:v>
                </c:pt>
                <c:pt idx="1">
                  <c:v>21526348.38</c:v>
                </c:pt>
                <c:pt idx="2">
                  <c:v>21958774.8399771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99bca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14586259.1447803</c:v>
                </c:pt>
                <c:pt idx="3">
                  <c:v>67227251.9655059</c:v>
                </c:pt>
                <c:pt idx="4">
                  <c:v>44454848.7766606</c:v>
                </c:pt>
                <c:pt idx="5">
                  <c:v>5749382.51439467</c:v>
                </c:pt>
                <c:pt idx="6">
                  <c:v>4468025.39050424</c:v>
                </c:pt>
              </c:numCache>
            </c:numRef>
          </c:val>
        </c:ser>
        <c:gapWidth val="60"/>
        <c:overlap val="100"/>
        <c:axId val="44399351"/>
        <c:axId val="77207284"/>
      </c:barChart>
      <c:catAx>
        <c:axId val="4439935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7207284"/>
        <c:crosses val="autoZero"/>
        <c:auto val="1"/>
        <c:lblAlgn val="ctr"/>
        <c:lblOffset val="100"/>
        <c:noMultiLvlLbl val="0"/>
      </c:catAx>
      <c:valAx>
        <c:axId val="77207284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43993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8973264.12392372</c:v>
                </c:pt>
                <c:pt idx="1">
                  <c:v>245422.158773543</c:v>
                </c:pt>
                <c:pt idx="2">
                  <c:v>6217879.10860912</c:v>
                </c:pt>
                <c:pt idx="3">
                  <c:v>26743305.9055777</c:v>
                </c:pt>
                <c:pt idx="4">
                  <c:v>19817538.8038984</c:v>
                </c:pt>
                <c:pt idx="5">
                  <c:v>5229841.86472339</c:v>
                </c:pt>
              </c:numCache>
            </c:numRef>
          </c:val>
        </c:ser>
        <c:gapWidth val="50"/>
        <c:overlap val="0"/>
        <c:axId val="16299824"/>
        <c:axId val="67880153"/>
      </c:barChart>
      <c:catAx>
        <c:axId val="1629982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7880153"/>
        <c:crosses val="autoZero"/>
        <c:auto val="1"/>
        <c:lblAlgn val="ctr"/>
        <c:lblOffset val="100"/>
        <c:noMultiLvlLbl val="0"/>
      </c:catAx>
      <c:valAx>
        <c:axId val="67880153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62998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1f7a52"/>
            </a:solidFill>
            <a:ln w="28440">
              <a:solidFill>
                <a:srgbClr val="1f7a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0.0216753389144427</c:v>
                </c:pt>
                <c:pt idx="1">
                  <c:v>0.0224171143509502</c:v>
                </c:pt>
                <c:pt idx="2">
                  <c:v>0.0244582607158593</c:v>
                </c:pt>
                <c:pt idx="3">
                  <c:v>0.0273080221404375</c:v>
                </c:pt>
                <c:pt idx="4">
                  <c:v>0.0310174197127963</c:v>
                </c:pt>
                <c:pt idx="5">
                  <c:v>0.0381143622604295</c:v>
                </c:pt>
                <c:pt idx="6">
                  <c:v>0.0457698651384543</c:v>
                </c:pt>
                <c:pt idx="7">
                  <c:v>0.0572931473426037</c:v>
                </c:pt>
                <c:pt idx="8">
                  <c:v>0.0722643266948552</c:v>
                </c:pt>
                <c:pt idx="9">
                  <c:v>0.0880756520658424</c:v>
                </c:pt>
                <c:pt idx="10">
                  <c:v>0.106611924887581</c:v>
                </c:pt>
                <c:pt idx="11">
                  <c:v>0.125299138263727</c:v>
                </c:pt>
                <c:pt idx="12">
                  <c:v>0.138692915283999</c:v>
                </c:pt>
                <c:pt idx="13">
                  <c:v>0.148658690431495</c:v>
                </c:pt>
                <c:pt idx="14">
                  <c:v>0.157172551123754</c:v>
                </c:pt>
                <c:pt idx="15">
                  <c:v>0.168959752779325</c:v>
                </c:pt>
                <c:pt idx="16">
                  <c:v>0.179552953720493</c:v>
                </c:pt>
                <c:pt idx="17">
                  <c:v>0.193579578797419</c:v>
                </c:pt>
                <c:pt idx="18">
                  <c:v>0.206694867680041</c:v>
                </c:pt>
                <c:pt idx="19">
                  <c:v>0.225117577667916</c:v>
                </c:pt>
                <c:pt idx="20">
                  <c:v>0.241427071459065</c:v>
                </c:pt>
                <c:pt idx="21">
                  <c:v>0.258061168852091</c:v>
                </c:pt>
                <c:pt idx="22">
                  <c:v>0.292904338961307</c:v>
                </c:pt>
                <c:pt idx="23">
                  <c:v>0.319380062958148</c:v>
                </c:pt>
                <c:pt idx="24">
                  <c:v>0.337352308403019</c:v>
                </c:pt>
                <c:pt idx="25">
                  <c:v>0.362169024400032</c:v>
                </c:pt>
                <c:pt idx="26">
                  <c:v>0.391833013041614</c:v>
                </c:pt>
                <c:pt idx="27">
                  <c:v>0.424910199080449</c:v>
                </c:pt>
                <c:pt idx="28">
                  <c:v>0.45925024272525</c:v>
                </c:pt>
                <c:pt idx="29">
                  <c:v>0.49225165594181</c:v>
                </c:pt>
                <c:pt idx="30">
                  <c:v>0.52573953755278</c:v>
                </c:pt>
                <c:pt idx="31">
                  <c:v>0.55753150527982</c:v>
                </c:pt>
                <c:pt idx="32">
                  <c:v>0.588397888646261</c:v>
                </c:pt>
                <c:pt idx="33">
                  <c:v>0.620003677368068</c:v>
                </c:pt>
                <c:pt idx="34">
                  <c:v>0.649927702082162</c:v>
                </c:pt>
                <c:pt idx="35">
                  <c:v>0.680143292821022</c:v>
                </c:pt>
                <c:pt idx="36">
                  <c:v>0.702800732451474</c:v>
                </c:pt>
                <c:pt idx="37">
                  <c:v>0.73086118618321</c:v>
                </c:pt>
                <c:pt idx="38">
                  <c:v>0.75573795585384</c:v>
                </c:pt>
                <c:pt idx="39">
                  <c:v>0.786618355506425</c:v>
                </c:pt>
                <c:pt idx="40">
                  <c:v>0.814101940924866</c:v>
                </c:pt>
                <c:pt idx="41">
                  <c:v>0.840756084241108</c:v>
                </c:pt>
                <c:pt idx="42">
                  <c:v>0.862210724217199</c:v>
                </c:pt>
                <c:pt idx="43">
                  <c:v>0.883204647759033</c:v>
                </c:pt>
                <c:pt idx="44">
                  <c:v>0.904456809045378</c:v>
                </c:pt>
                <c:pt idx="45">
                  <c:v>0.920151341439326</c:v>
                </c:pt>
                <c:pt idx="46">
                  <c:v>0.930298750489069</c:v>
                </c:pt>
                <c:pt idx="47">
                  <c:v>0.938354260742889</c:v>
                </c:pt>
                <c:pt idx="48">
                  <c:v>0.94445800612791</c:v>
                </c:pt>
                <c:pt idx="49">
                  <c:v>0.947697097278585</c:v>
                </c:pt>
                <c:pt idx="50">
                  <c:v>0.950229422969907</c:v>
                </c:pt>
                <c:pt idx="51">
                  <c:v>0.951613617652355</c:v>
                </c:pt>
                <c:pt idx="52">
                  <c:v>0.961749544224321</c:v>
                </c:pt>
                <c:pt idx="53">
                  <c:v>0.961838836224781</c:v>
                </c:pt>
                <c:pt idx="54">
                  <c:v>0.966247165193192</c:v>
                </c:pt>
                <c:pt idx="55">
                  <c:v>0.972041169571692</c:v>
                </c:pt>
                <c:pt idx="56">
                  <c:v>0.972533679267385</c:v>
                </c:pt>
                <c:pt idx="57">
                  <c:v>0.97293812548702</c:v>
                </c:pt>
                <c:pt idx="58">
                  <c:v>0.975711742041664</c:v>
                </c:pt>
                <c:pt idx="59">
                  <c:v>0.975711742041664</c:v>
                </c:pt>
                <c:pt idx="60">
                  <c:v>0.975711742041664</c:v>
                </c:pt>
                <c:pt idx="61">
                  <c:v>0.975711742041664</c:v>
                </c:pt>
                <c:pt idx="62">
                  <c:v>0.975711742041664</c:v>
                </c:pt>
                <c:pt idx="63">
                  <c:v>0.975711742041664</c:v>
                </c:pt>
                <c:pt idx="64">
                  <c:v>0.975711742041664</c:v>
                </c:pt>
                <c:pt idx="65">
                  <c:v>0.975711742041664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809103"/>
        <c:axId val="3656263"/>
      </c:lineChart>
      <c:catAx>
        <c:axId val="29809103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656263"/>
        <c:crosses val="autoZero"/>
        <c:auto val="1"/>
        <c:lblAlgn val="ctr"/>
        <c:lblOffset val="100"/>
        <c:noMultiLvlLbl val="0"/>
      </c:catAx>
      <c:valAx>
        <c:axId val="365626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98091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1</c:v>
                </c:pt>
                <c:pt idx="1">
                  <c:v>0.9701</c:v>
                </c:pt>
                <c:pt idx="2">
                  <c:v>0.7997</c:v>
                </c:pt>
                <c:pt idx="3">
                  <c:v>0.6645</c:v>
                </c:pt>
                <c:pt idx="4">
                  <c:v>0.9129</c:v>
                </c:pt>
                <c:pt idx="5">
                  <c:v>0.7059</c:v>
                </c:pt>
                <c:pt idx="6">
                  <c:v>0.7435</c:v>
                </c:pt>
                <c:pt idx="7">
                  <c:v>0.45</c:v>
                </c:pt>
                <c:pt idx="8">
                  <c:v>0.1792</c:v>
                </c:pt>
                <c:pt idx="9">
                  <c:v>0.135</c:v>
                </c:pt>
                <c:pt idx="10">
                  <c:v>0.2276</c:v>
                </c:pt>
                <c:pt idx="11">
                  <c:v>0.9525</c:v>
                </c:pt>
                <c:pt idx="12">
                  <c:v>0.9933</c:v>
                </c:pt>
                <c:pt idx="13">
                  <c:v>0.6588</c:v>
                </c:pt>
                <c:pt idx="14">
                  <c:v>1</c:v>
                </c:pt>
                <c:pt idx="15">
                  <c:v>0.4944</c:v>
                </c:pt>
                <c:pt idx="16">
                  <c:v>0.703</c:v>
                </c:pt>
                <c:pt idx="17">
                  <c:v>0.0129</c:v>
                </c:pt>
                <c:pt idx="18">
                  <c:v>0.4441</c:v>
                </c:pt>
                <c:pt idx="19">
                  <c:v>0.0753</c:v>
                </c:pt>
                <c:pt idx="20">
                  <c:v>0.1223</c:v>
                </c:pt>
              </c:numCache>
            </c:numRef>
          </c:val>
        </c:ser>
        <c:gapWidth val="40"/>
        <c:overlap val="0"/>
        <c:axId val="67822787"/>
        <c:axId val="86994464"/>
      </c:barChart>
      <c:catAx>
        <c:axId val="6782278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86994464"/>
        <c:crosses val="autoZero"/>
        <c:auto val="1"/>
        <c:lblAlgn val="ctr"/>
        <c:lblOffset val="100"/>
        <c:noMultiLvlLbl val="0"/>
      </c:catAx>
      <c:valAx>
        <c:axId val="8699446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78227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9b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6217879.10860912</c:v>
                </c:pt>
                <c:pt idx="1">
                  <c:v>4709912.32720208</c:v>
                </c:pt>
                <c:pt idx="2">
                  <c:v>2509241.41691134</c:v>
                </c:pt>
                <c:pt idx="3">
                  <c:v>6901804.26015115</c:v>
                </c:pt>
                <c:pt idx="4">
                  <c:v>6447902.78550032</c:v>
                </c:pt>
                <c:pt idx="5">
                  <c:v>495537.395136189</c:v>
                </c:pt>
                <c:pt idx="6">
                  <c:v>2733507.05509755</c:v>
                </c:pt>
                <c:pt idx="7">
                  <c:v>2945400.66557904</c:v>
                </c:pt>
                <c:pt idx="8">
                  <c:v>4382231.81427557</c:v>
                </c:pt>
                <c:pt idx="9">
                  <c:v>87086.6341711761</c:v>
                </c:pt>
                <c:pt idx="10">
                  <c:v>453213.980851169</c:v>
                </c:pt>
                <c:pt idx="11">
                  <c:v>1025116.86017271</c:v>
                </c:pt>
                <c:pt idx="12">
                  <c:v>2033451.31013742</c:v>
                </c:pt>
                <c:pt idx="13">
                  <c:v>5878295.32744681</c:v>
                </c:pt>
                <c:pt idx="14">
                  <c:v>338262.968273035</c:v>
                </c:pt>
                <c:pt idx="15">
                  <c:v>2892073.26345279</c:v>
                </c:pt>
                <c:pt idx="16">
                  <c:v>1232248.04426361</c:v>
                </c:pt>
                <c:pt idx="17">
                  <c:v>382159.555195249</c:v>
                </c:pt>
                <c:pt idx="18">
                  <c:v>924468.661496415</c:v>
                </c:pt>
                <c:pt idx="19">
                  <c:v>72493.6383072467</c:v>
                </c:pt>
                <c:pt idx="20">
                  <c:v>116436.745855222</c:v>
                </c:pt>
              </c:numCache>
            </c:numRef>
          </c:val>
        </c:ser>
        <c:gapWidth val="40"/>
        <c:overlap val="0"/>
        <c:axId val="29570546"/>
        <c:axId val="544154"/>
      </c:barChart>
      <c:catAx>
        <c:axId val="2957054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44154"/>
        <c:crosses val="autoZero"/>
        <c:auto val="1"/>
        <c:lblAlgn val="ctr"/>
        <c:lblOffset val="100"/>
        <c:noMultiLvlLbl val="0"/>
      </c:catAx>
      <c:valAx>
        <c:axId val="544154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95705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3987357.38</c:v>
                </c:pt>
                <c:pt idx="1">
                  <c:v>4123813.09</c:v>
                </c:pt>
                <c:pt idx="2">
                  <c:v>4499298.8</c:v>
                </c:pt>
                <c:pt idx="3">
                  <c:v>5023535.92</c:v>
                </c:pt>
                <c:pt idx="4">
                  <c:v>5705910.2</c:v>
                </c:pt>
                <c:pt idx="5">
                  <c:v>7011451.32</c:v>
                </c:pt>
                <c:pt idx="6">
                  <c:v>8419744.22</c:v>
                </c:pt>
                <c:pt idx="7">
                  <c:v>10539547.03</c:v>
                </c:pt>
                <c:pt idx="8">
                  <c:v>13293618.96</c:v>
                </c:pt>
                <c:pt idx="9">
                  <c:v>16202242.68</c:v>
                </c:pt>
                <c:pt idx="10">
                  <c:v>19612142.96</c:v>
                </c:pt>
                <c:pt idx="11">
                  <c:v>23049810</c:v>
                </c:pt>
                <c:pt idx="12">
                  <c:v>25513705.76</c:v>
                </c:pt>
                <c:pt idx="13">
                  <c:v>27346992.3</c:v>
                </c:pt>
                <c:pt idx="14">
                  <c:v>28913187.2</c:v>
                </c:pt>
                <c:pt idx="15">
                  <c:v>31081540.17</c:v>
                </c:pt>
                <c:pt idx="16">
                  <c:v>33030246.86</c:v>
                </c:pt>
                <c:pt idx="17">
                  <c:v>35610560.24</c:v>
                </c:pt>
                <c:pt idx="18">
                  <c:v>38023225.81</c:v>
                </c:pt>
                <c:pt idx="19">
                  <c:v>41412235.27</c:v>
                </c:pt>
                <c:pt idx="20">
                  <c:v>44412501.1799771</c:v>
                </c:pt>
                <c:pt idx="21">
                  <c:v>47472480.5999771</c:v>
                </c:pt>
                <c:pt idx="22">
                  <c:v>53882169.1416868</c:v>
                </c:pt>
                <c:pt idx="23">
                  <c:v>58752596.953051</c:v>
                </c:pt>
                <c:pt idx="24">
                  <c:v>62058739.7447574</c:v>
                </c:pt>
                <c:pt idx="25">
                  <c:v>66623979.3504052</c:v>
                </c:pt>
                <c:pt idx="26">
                  <c:v>72080914.7412256</c:v>
                </c:pt>
                <c:pt idx="27">
                  <c:v>78165735.9466602</c:v>
                </c:pt>
                <c:pt idx="28">
                  <c:v>84482870.2252565</c:v>
                </c:pt>
                <c:pt idx="29">
                  <c:v>90553752.3950295</c:v>
                </c:pt>
                <c:pt idx="30">
                  <c:v>96714124.4385364</c:v>
                </c:pt>
                <c:pt idx="31">
                  <c:v>102562519.134532</c:v>
                </c:pt>
                <c:pt idx="32">
                  <c:v>108240644.952813</c:v>
                </c:pt>
                <c:pt idx="33">
                  <c:v>114054790.485119</c:v>
                </c:pt>
                <c:pt idx="34">
                  <c:v>119559561.656357</c:v>
                </c:pt>
                <c:pt idx="35">
                  <c:v>125117968.802802</c:v>
                </c:pt>
                <c:pt idx="36">
                  <c:v>129285991.710263</c:v>
                </c:pt>
                <c:pt idx="37">
                  <c:v>134447943.627833</c:v>
                </c:pt>
                <c:pt idx="38">
                  <c:v>139024230.602089</c:v>
                </c:pt>
                <c:pt idx="39">
                  <c:v>144704934.831818</c:v>
                </c:pt>
                <c:pt idx="40">
                  <c:v>149760767.064922</c:v>
                </c:pt>
                <c:pt idx="41">
                  <c:v>154664016.581762</c:v>
                </c:pt>
                <c:pt idx="42">
                  <c:v>158610774.571641</c:v>
                </c:pt>
                <c:pt idx="43">
                  <c:v>162472779.973269</c:v>
                </c:pt>
                <c:pt idx="44">
                  <c:v>166382290.338045</c:v>
                </c:pt>
                <c:pt idx="45">
                  <c:v>169269429.026564</c:v>
                </c:pt>
                <c:pt idx="46">
                  <c:v>171136128.621071</c:v>
                </c:pt>
                <c:pt idx="47">
                  <c:v>172618006.177266</c:v>
                </c:pt>
                <c:pt idx="48">
                  <c:v>173740840.486924</c:v>
                </c:pt>
                <c:pt idx="49">
                  <c:v>174336698.021383</c:v>
                </c:pt>
                <c:pt idx="50">
                  <c:v>174802540.219917</c:v>
                </c:pt>
                <c:pt idx="51">
                  <c:v>175057174.249133</c:v>
                </c:pt>
                <c:pt idx="52">
                  <c:v>176921761.54714</c:v>
                </c:pt>
                <c:pt idx="53">
                  <c:v>176938187.54714</c:v>
                </c:pt>
                <c:pt idx="54">
                  <c:v>177749136.022504</c:v>
                </c:pt>
                <c:pt idx="55">
                  <c:v>178814990.919147</c:v>
                </c:pt>
                <c:pt idx="56">
                  <c:v>178905592.140083</c:v>
                </c:pt>
                <c:pt idx="57">
                  <c:v>178979993.358216</c:v>
                </c:pt>
                <c:pt idx="58">
                  <c:v>179490223.001319</c:v>
                </c:pt>
                <c:pt idx="59">
                  <c:v>179490223.001319</c:v>
                </c:pt>
                <c:pt idx="60">
                  <c:v>179490223.001319</c:v>
                </c:pt>
                <c:pt idx="61">
                  <c:v>179490223.001319</c:v>
                </c:pt>
                <c:pt idx="62">
                  <c:v>179490223.001319</c:v>
                </c:pt>
                <c:pt idx="63">
                  <c:v>179490223.001319</c:v>
                </c:pt>
                <c:pt idx="64">
                  <c:v>179490223.001319</c:v>
                </c:pt>
                <c:pt idx="65">
                  <c:v>179490223.001319</c:v>
                </c:pt>
                <c:pt idx="66">
                  <c:v>183958248.391823</c:v>
                </c:pt>
                <c:pt idx="67">
                  <c:v>183958248.391823</c:v>
                </c:pt>
                <c:pt idx="68">
                  <c:v>183958248.391823</c:v>
                </c:pt>
                <c:pt idx="69">
                  <c:v>183958248.391823</c:v>
                </c:pt>
                <c:pt idx="70">
                  <c:v>183958248.391823</c:v>
                </c:pt>
                <c:pt idx="71">
                  <c:v>183958248.391823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430757"/>
        <c:axId val="2152277"/>
      </c:lineChart>
      <c:catAx>
        <c:axId val="37430757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152277"/>
        <c:crosses val="autoZero"/>
        <c:auto val="1"/>
        <c:lblAlgn val="ctr"/>
        <c:lblOffset val="100"/>
        <c:noMultiLvlLbl val="0"/>
      </c:catAx>
      <c:valAx>
        <c:axId val="2152277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74307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0.0250890841275474</c:v>
                </c:pt>
                <c:pt idx="1">
                  <c:v>0.025902118974733</c:v>
                </c:pt>
                <c:pt idx="2">
                  <c:v>0.0281304700206768</c:v>
                </c:pt>
                <c:pt idx="3">
                  <c:v>0.031229424847958</c:v>
                </c:pt>
                <c:pt idx="4">
                  <c:v>0.0352424932995114</c:v>
                </c:pt>
                <c:pt idx="5">
                  <c:v>0.0428761850878013</c:v>
                </c:pt>
                <c:pt idx="6">
                  <c:v>0.0510545131875381</c:v>
                </c:pt>
                <c:pt idx="7">
                  <c:v>0.0632532854909253</c:v>
                </c:pt>
                <c:pt idx="8">
                  <c:v>0.0790208523023381</c:v>
                </c:pt>
                <c:pt idx="9">
                  <c:v>0.0956453691567557</c:v>
                </c:pt>
                <c:pt idx="10">
                  <c:v>0.115077437118615</c:v>
                </c:pt>
                <c:pt idx="11">
                  <c:v>0.134615361086087</c:v>
                </c:pt>
                <c:pt idx="12">
                  <c:v>0.148590047736319</c:v>
                </c:pt>
                <c:pt idx="13">
                  <c:v>0.158913455029393</c:v>
                </c:pt>
                <c:pt idx="14">
                  <c:v>0.167708351661383</c:v>
                </c:pt>
                <c:pt idx="15">
                  <c:v>0.179819227281705</c:v>
                </c:pt>
                <c:pt idx="16">
                  <c:v>0.190595558873568</c:v>
                </c:pt>
                <c:pt idx="17">
                  <c:v>0.204740664151004</c:v>
                </c:pt>
                <c:pt idx="18">
                  <c:v>0.217864016086323</c:v>
                </c:pt>
                <c:pt idx="19">
                  <c:v>0.236186597764842</c:v>
                </c:pt>
                <c:pt idx="20">
                  <c:v>0.252115550370334</c:v>
                </c:pt>
                <c:pt idx="21">
                  <c:v>0.268515269244823</c:v>
                </c:pt>
                <c:pt idx="22">
                  <c:v>0.302867490527761</c:v>
                </c:pt>
                <c:pt idx="23">
                  <c:v>0.328970165069561</c:v>
                </c:pt>
                <c:pt idx="24">
                  <c:v>0.34668917716112</c:v>
                </c:pt>
                <c:pt idx="25">
                  <c:v>0.371156219533356</c:v>
                </c:pt>
                <c:pt idx="26">
                  <c:v>0.400402235287836</c:v>
                </c:pt>
                <c:pt idx="27">
                  <c:v>0.433013355649769</c:v>
                </c:pt>
                <c:pt idx="28">
                  <c:v>0.466869539643771</c:v>
                </c:pt>
                <c:pt idx="29">
                  <c:v>0.499405954841108</c:v>
                </c:pt>
                <c:pt idx="30">
                  <c:v>0.532421983973675</c:v>
                </c:pt>
                <c:pt idx="31">
                  <c:v>0.563765995065548</c:v>
                </c:pt>
                <c:pt idx="32">
                  <c:v>0.594197463507838</c:v>
                </c:pt>
                <c:pt idx="33">
                  <c:v>0.625357918902397</c:v>
                </c:pt>
                <c:pt idx="34">
                  <c:v>0.654860306757248</c:v>
                </c:pt>
                <c:pt idx="35">
                  <c:v>0.68465015239995</c:v>
                </c:pt>
                <c:pt idx="36">
                  <c:v>0.70698834314007</c:v>
                </c:pt>
                <c:pt idx="37">
                  <c:v>0.734653418185502</c:v>
                </c:pt>
                <c:pt idx="38">
                  <c:v>0.75917966806034</c:v>
                </c:pt>
                <c:pt idx="39">
                  <c:v>0.78962495529586</c:v>
                </c:pt>
                <c:pt idx="40">
                  <c:v>0.816721290244242</c:v>
                </c:pt>
                <c:pt idx="41">
                  <c:v>0.842999870133403</c:v>
                </c:pt>
                <c:pt idx="42">
                  <c:v>0.864152208961766</c:v>
                </c:pt>
                <c:pt idx="43">
                  <c:v>0.884850322963609</c:v>
                </c:pt>
                <c:pt idx="44">
                  <c:v>0.905803036076705</c:v>
                </c:pt>
                <c:pt idx="45">
                  <c:v>0.921276428653763</c:v>
                </c:pt>
                <c:pt idx="46">
                  <c:v>0.931280858217221</c:v>
                </c:pt>
                <c:pt idx="47">
                  <c:v>0.939222864352679</c:v>
                </c:pt>
                <c:pt idx="48">
                  <c:v>0.945240606465803</c:v>
                </c:pt>
                <c:pt idx="49">
                  <c:v>0.948434058026462</c:v>
                </c:pt>
                <c:pt idx="50">
                  <c:v>0.950930702626711</c:v>
                </c:pt>
                <c:pt idx="51">
                  <c:v>0.952295393666048</c:v>
                </c:pt>
                <c:pt idx="52">
                  <c:v>0.962288502542662</c:v>
                </c:pt>
                <c:pt idx="53">
                  <c:v>0.9623765363969</c:v>
                </c:pt>
                <c:pt idx="54">
                  <c:v>0.966722750927213</c:v>
                </c:pt>
                <c:pt idx="55">
                  <c:v>0.972435116360687</c:v>
                </c:pt>
                <c:pt idx="56">
                  <c:v>0.97292068647378</c:v>
                </c:pt>
                <c:pt idx="57">
                  <c:v>0.973319433946825</c:v>
                </c:pt>
                <c:pt idx="58">
                  <c:v>0.976053969562858</c:v>
                </c:pt>
                <c:pt idx="59">
                  <c:v>0.976053969562858</c:v>
                </c:pt>
                <c:pt idx="60">
                  <c:v>0.976053969562858</c:v>
                </c:pt>
                <c:pt idx="61">
                  <c:v>0.976053969562858</c:v>
                </c:pt>
                <c:pt idx="62">
                  <c:v>0.976053969562858</c:v>
                </c:pt>
                <c:pt idx="63">
                  <c:v>0.976053969562858</c:v>
                </c:pt>
                <c:pt idx="64">
                  <c:v>0.976053969562858</c:v>
                </c:pt>
                <c:pt idx="65">
                  <c:v>0.976053969562858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056407"/>
        <c:axId val="78693463"/>
      </c:lineChart>
      <c:catAx>
        <c:axId val="29056407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8693463"/>
        <c:crosses val="autoZero"/>
        <c:auto val="1"/>
        <c:lblAlgn val="ctr"/>
        <c:lblOffset val="100"/>
        <c:noMultiLvlLbl val="0"/>
      </c:catAx>
      <c:valAx>
        <c:axId val="78693463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90564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252000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226808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252000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226808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1833840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6011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6011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5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6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7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8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29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0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1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2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3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4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5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6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7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8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39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0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1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2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2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1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TORRE CATHARINA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Setembro/2026     ·     Ano do retrato: 2027     ·     Cenário: Prevision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183958248.391823</v>
      </c>
      <c r="C6" s="12"/>
      <c r="D6" s="12" t="n">
        <f aca="false">SUMPRODUCT(('MODELO PARA BI'!$H$1:$CA$1&lt;='VALOR POR PL'!$P$5)*'MODELO PARA BI'!$H$65:$CA$65)</f>
        <v>47472480.5999771</v>
      </c>
      <c r="E6" s="12"/>
      <c r="F6" s="12" t="n">
        <f aca="false">SUMPRODUCT((YEAR('MODELO PARA BI'!$H$1:$CA$1)='RETRATO 2027'!$D$5)*'MODELO PARA BI'!$H$65:$CA$65)</f>
        <v>67227251.9655059</v>
      </c>
      <c r="G6" s="8"/>
      <c r="H6" s="12" t="n">
        <f aca="false">SUM('MODELO PARA BI'!$H$65:$CA$65)-D6</f>
        <v>136485767.791846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FIXED(IF(B6=0,0,D6/B6)*100,1)&amp;"% da projeção"</f>
        <v>25.8%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Outubro/2026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3987357.38</v>
      </c>
      <c r="D13" s="24" t="n">
        <f aca="false">C13</f>
        <v>3987357.38</v>
      </c>
      <c r="E13" s="25" t="n">
        <f aca="false">IF($C$20=0,0,C13/$C$20)</f>
        <v>0.0216753389144427</v>
      </c>
      <c r="F13" s="25" t="n">
        <f aca="false">IF($C$20=0,0,D13/$C$20)</f>
        <v>0.0216753389144427</v>
      </c>
      <c r="G13" s="8"/>
      <c r="H13" s="24" t="n">
        <f aca="false">SUMPRODUCT((YEAR('MODELO PARA BI'!$H$1:$CA$1)=B13)*('MODELO PARA BI'!$H$1:$CA$1&lt;='VALOR POR PL'!$P$5)*'MODELO PARA BI'!$H$65:$CA$65)</f>
        <v>3987357.38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21526348.38</v>
      </c>
      <c r="D14" s="27" t="n">
        <f aca="false">D13+C14</f>
        <v>25513705.76</v>
      </c>
      <c r="E14" s="28" t="n">
        <f aca="false">IF($C$20=0,0,C14/$C$20)</f>
        <v>0.117017576369557</v>
      </c>
      <c r="F14" s="28" t="n">
        <f aca="false">IF($C$20=0,0,D14/$C$20)</f>
        <v>0.138692915283999</v>
      </c>
      <c r="G14" s="8"/>
      <c r="H14" s="27" t="n">
        <f aca="false">SUMPRODUCT((YEAR('MODELO PARA BI'!$H$1:$CA$1)=B14)*('MODELO PARA BI'!$H$1:$CA$1&lt;='VALOR POR PL'!$P$5)*'MODELO PARA BI'!$H$65:$CA$65)</f>
        <v>21526348.38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36545033.9847574</v>
      </c>
      <c r="D15" s="24" t="n">
        <f aca="false">D14+C15</f>
        <v>62058739.7447574</v>
      </c>
      <c r="E15" s="25" t="n">
        <f aca="false">IF($C$20=0,0,C15/$C$20)</f>
        <v>0.19865939311902</v>
      </c>
      <c r="F15" s="25" t="n">
        <f aca="false">IF($C$20=0,0,D15/$C$20)</f>
        <v>0.337352308403019</v>
      </c>
      <c r="G15" s="8"/>
      <c r="H15" s="24" t="n">
        <f aca="false">SUMPRODUCT((YEAR('MODELO PARA BI'!$H$1:$CA$1)=B15)*('MODELO PARA BI'!$H$1:$CA$1&lt;='VALOR POR PL'!$P$5)*'MODELO PARA BI'!$H$65:$CA$65)</f>
        <v>21958774.8399771</v>
      </c>
      <c r="I15" s="24" t="n">
        <f aca="false">C15-H15</f>
        <v>14586259.1447803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67227251.9655059</v>
      </c>
      <c r="D16" s="27" t="n">
        <f aca="false">D15+C16</f>
        <v>129285991.710263</v>
      </c>
      <c r="E16" s="28" t="n">
        <f aca="false">IF($C$20=0,0,C16/$C$20)</f>
        <v>0.365448424048455</v>
      </c>
      <c r="F16" s="28" t="n">
        <f aca="false">IF($C$20=0,0,D16/$C$20)</f>
        <v>0.702800732451474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67227251.9655059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44454848.7766606</v>
      </c>
      <c r="D17" s="24" t="n">
        <f aca="false">D16+C17</f>
        <v>173740840.486924</v>
      </c>
      <c r="E17" s="25" t="n">
        <f aca="false">IF($C$20=0,0,C17/$C$20)</f>
        <v>0.241657273676437</v>
      </c>
      <c r="F17" s="25" t="n">
        <f aca="false">IF($C$20=0,0,D17/$C$20)</f>
        <v>0.944458006127911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44454848.7766606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5749382.51439467</v>
      </c>
      <c r="D18" s="27" t="n">
        <f aca="false">D17+C18</f>
        <v>179490223.001318</v>
      </c>
      <c r="E18" s="28" t="n">
        <f aca="false">IF($C$20=0,0,C18/$C$20)</f>
        <v>0.0312537359137533</v>
      </c>
      <c r="F18" s="28" t="n">
        <f aca="false">IF($C$20=0,0,D18/$C$20)</f>
        <v>0.975711742041664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5749382.51439467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4468025.39050424</v>
      </c>
      <c r="D19" s="24" t="n">
        <f aca="false">D18+C19</f>
        <v>183958248.391823</v>
      </c>
      <c r="E19" s="25" t="n">
        <f aca="false">IF($C$20=0,0,C19/$C$20)</f>
        <v>0.024288257958336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4468025.39050424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183958248.391823</v>
      </c>
      <c r="D20" s="31"/>
      <c r="E20" s="32" t="n">
        <f aca="false">SUM(E13:E19)</f>
        <v>1</v>
      </c>
      <c r="F20" s="31"/>
      <c r="G20" s="8"/>
      <c r="H20" s="30" t="n">
        <f aca="false">SUM(H13:H19)</f>
        <v>47472480.5999771</v>
      </c>
      <c r="I20" s="30" t="n">
        <f aca="false">SUM(I13:I19)</f>
        <v>136485767.791846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8973264.12392372</v>
      </c>
      <c r="E26" s="36" t="n">
        <f aca="false">IF($D$32=0,0,D26/$D$32)</f>
        <v>0.133476586675414</v>
      </c>
      <c r="F26" s="36" t="n">
        <f aca="false">IFERROR(SUMPRODUCT('RETRATO 2027'!J12:J22,'RETRATO 2027'!M12:M22)/SUM('RETRATO 2027'!M12:M22),0)</f>
        <v>0.67046221246836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245422.158773543</v>
      </c>
      <c r="E27" s="38" t="n">
        <f aca="false">IF($D$32=0,0,D27/$D$32)</f>
        <v>0.00365063499694244</v>
      </c>
      <c r="F27" s="38" t="n">
        <f aca="false">IFERROR(SUMPRODUCT('RETRATO 2027'!J24:J28,'RETRATO 2027'!M24:M28)/SUM('RETRATO 2027'!M24:M28),0)</f>
        <v>0.999145274188105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6217879.10860912</v>
      </c>
      <c r="E28" s="36" t="n">
        <f aca="false">IF($D$32=0,0,D28/$D$32)</f>
        <v>0.0924904547905587</v>
      </c>
      <c r="F28" s="36" t="n">
        <f aca="false">IFERROR(SUMPRODUCT('RETRATO 2027'!J30:J30,'RETRATO 2027'!M30:M30)/SUM('RETRATO 2027'!M30:M30),0)</f>
        <v>0.99236239085975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26743305.9055777</v>
      </c>
      <c r="E29" s="38" t="n">
        <f aca="false">IF($D$32=0,0,D29/$D$32)</f>
        <v>0.397804537946897</v>
      </c>
      <c r="F29" s="38" t="n">
        <f aca="false">IFERROR(SUMPRODUCT('RETRATO 2027'!J31:J37,'RETRATO 2027'!M31:M37)/SUM('RETRATO 2027'!M31:M37),0)</f>
        <v>0.78597913639938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19817538.8038984</v>
      </c>
      <c r="E30" s="36" t="n">
        <f aca="false">IF($D$32=0,0,D30/$D$32)</f>
        <v>0.294784305835775</v>
      </c>
      <c r="F30" s="36" t="n">
        <f aca="false">IFERROR(SUMPRODUCT('RETRATO 2027'!J38:J50,'RETRATO 2027'!M38:M50)/SUM('RETRATO 2027'!M38:M50),0)</f>
        <v>0.479874195822722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5229841.86472339</v>
      </c>
      <c r="E31" s="38" t="n">
        <f aca="false">IF($D$32=0,0,D31/$D$32)</f>
        <v>0.0777934797544128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67227251.9655059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 t="n">
        <v>1216.76</v>
      </c>
      <c r="D5" s="42" t="s">
        <v>47</v>
      </c>
      <c r="E5" s="44" t="n">
        <f aca="false">E50</f>
        <v>1</v>
      </c>
      <c r="F5" s="45" t="n">
        <f aca="false">F50</f>
        <v>167669448.29</v>
      </c>
      <c r="G5" s="45" t="n">
        <f aca="false">G50</f>
        <v>143557.190133</v>
      </c>
      <c r="H5" s="42" t="s">
        <v>92</v>
      </c>
      <c r="J5" s="42" t="s">
        <v>93</v>
      </c>
      <c r="K5" s="46" t="n">
        <v>46266</v>
      </c>
      <c r="O5" s="47" t="s">
        <v>94</v>
      </c>
      <c r="P5" s="48" t="n">
        <f aca="false">DATE(YEAR(K5),MONTH(K5),1)</f>
        <v>46266</v>
      </c>
    </row>
    <row r="6" customFormat="false" ht="15" hidden="false" customHeight="false" outlineLevel="0" collapsed="false">
      <c r="B6" s="42" t="s">
        <v>95</v>
      </c>
      <c r="C6" s="49" t="n">
        <v>143557.19</v>
      </c>
      <c r="H6" s="43" t="n">
        <v>1191.327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174674646.5044</v>
      </c>
      <c r="D7" s="42" t="s">
        <v>80</v>
      </c>
      <c r="E7" s="44" t="n">
        <f aca="false">IF(F49=0,0,F48/F49)</f>
        <v>0.098921182471174</v>
      </c>
      <c r="F7" s="45" t="n">
        <f aca="false">F48</f>
        <v>15093038.84</v>
      </c>
      <c r="G7" s="45" t="n">
        <f aca="false">G48</f>
        <v>12921.505153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1299.742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0.909983369099568</v>
      </c>
      <c r="F8" s="45" t="n">
        <f aca="false">F49</f>
        <v>152576409.45</v>
      </c>
      <c r="G8" s="45" t="n">
        <f aca="false">G49</f>
        <v>130635.68498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0.0229381144819416</v>
      </c>
      <c r="F11" s="49" t="n">
        <v>3846021</v>
      </c>
      <c r="G11" s="49" t="n">
        <v>3304.105134</v>
      </c>
      <c r="H11" s="45" t="n">
        <f aca="false">MAX(G11*IF(S11="",1,S11),PROJETO!$K$8)</f>
        <v>3352.08156657196</v>
      </c>
      <c r="I11" s="55" t="s">
        <v>126</v>
      </c>
      <c r="J11" s="55" t="s">
        <v>63</v>
      </c>
      <c r="K11" s="45" t="n">
        <f aca="false">IF(ISNUMBER($P$7),G11*$P$7,0)</f>
        <v>4294484.21507543</v>
      </c>
      <c r="L11" s="56" t="n">
        <f aca="false">PROJETO!$J$7</f>
        <v>3768521.86899368</v>
      </c>
      <c r="M11" s="45" t="n">
        <f aca="false">L11-K11</f>
        <v>-525962.346081751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1.01452025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0.000930402059474684</v>
      </c>
      <c r="F12" s="49" t="n">
        <v>156000</v>
      </c>
      <c r="G12" s="49" t="n">
        <v>133.555265</v>
      </c>
      <c r="H12" s="45" t="n">
        <f aca="false">MAX(G12*IF(S12="",1,S12),SEGUROS!$K$8)</f>
        <v>133.555265</v>
      </c>
      <c r="I12" s="55" t="s">
        <v>126</v>
      </c>
      <c r="J12" s="55" t="s">
        <v>64</v>
      </c>
      <c r="K12" s="45" t="n">
        <f aca="false">IF(ISNUMBER($P$7),G12*$P$7,0)</f>
        <v>173587.38724163</v>
      </c>
      <c r="L12" s="56" t="n">
        <f aca="false">SEGUROS!$J$7</f>
        <v>165275.47447957</v>
      </c>
      <c r="M12" s="45" t="n">
        <f aca="false">L12-K12</f>
        <v>-8311.91276205951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PREVISÃO INFORMADA</v>
      </c>
      <c r="P12" s="58" t="n">
        <f aca="false">SEGUROS!$K$14</f>
        <v>0</v>
      </c>
      <c r="Q12" s="55" t="s">
        <v>128</v>
      </c>
      <c r="R12" s="55"/>
      <c r="S12" s="59"/>
    </row>
    <row r="13" customFormat="false" ht="15" hidden="false" customHeight="false" outlineLevel="0" collapsed="false">
      <c r="B13" s="55" t="s">
        <v>129</v>
      </c>
      <c r="C13" s="55" t="s">
        <v>130</v>
      </c>
      <c r="D13" s="55" t="s">
        <v>66</v>
      </c>
      <c r="E13" s="44" t="n">
        <f aca="false">IF($F$50=0,0,F13/$F$50)</f>
        <v>0.00119931181292014</v>
      </c>
      <c r="F13" s="49" t="n">
        <v>201087.95</v>
      </c>
      <c r="G13" s="49" t="n">
        <v>172.15612</v>
      </c>
      <c r="H13" s="45" t="n">
        <f aca="false">MAX(G13*IF(S13="",1,S13),'TAX. DIVERSAS'!$K$8)</f>
        <v>172.15612</v>
      </c>
      <c r="I13" s="55" t="s">
        <v>126</v>
      </c>
      <c r="J13" s="55" t="s">
        <v>66</v>
      </c>
      <c r="K13" s="45" t="n">
        <f aca="false">IF(ISNUMBER($P$7),G13*$P$7,0)</f>
        <v>223758.53972104</v>
      </c>
      <c r="L13" s="56" t="n">
        <f aca="false">'TAX. DIVERSAS'!$J$7</f>
        <v>222730.444889799</v>
      </c>
      <c r="M13" s="45" t="n">
        <f aca="false">L13-K13</f>
        <v>-1028.09483124132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130</v>
      </c>
      <c r="R13" s="55"/>
      <c r="S13" s="59"/>
    </row>
    <row r="14" customFormat="false" ht="15" hidden="false" customHeight="false" outlineLevel="0" collapsed="false">
      <c r="B14" s="55" t="s">
        <v>131</v>
      </c>
      <c r="C14" s="55" t="s">
        <v>132</v>
      </c>
      <c r="D14" s="55" t="s">
        <v>67</v>
      </c>
      <c r="E14" s="44" t="n">
        <f aca="false">IF($F$50=0,0,F14/$F$50)</f>
        <v>0.00514885072268404</v>
      </c>
      <c r="F14" s="49" t="n">
        <v>863304.96</v>
      </c>
      <c r="G14" s="49" t="n">
        <v>739.09566</v>
      </c>
      <c r="H14" s="45" t="n">
        <f aca="false">MAX(G14*IF(S14="",1,S14),'BARRACÃO DE OBRA'!$K$8)</f>
        <v>1014.17588213466</v>
      </c>
      <c r="I14" s="55" t="s">
        <v>126</v>
      </c>
      <c r="J14" s="55" t="s">
        <v>67</v>
      </c>
      <c r="K14" s="45" t="n">
        <f aca="false">IF(ISNUMBER($P$7),G14*$P$7,0)</f>
        <v>960633.67131972</v>
      </c>
      <c r="L14" s="56" t="n">
        <f aca="false">'BARRACÃO DE OBRA'!$J$7</f>
        <v>1267826.12644588</v>
      </c>
      <c r="M14" s="45" t="n">
        <f aca="false">L14-K14</f>
        <v>307192.455126156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132</v>
      </c>
      <c r="R14" s="55"/>
      <c r="S14" s="59" t="n">
        <v>1.37218487</v>
      </c>
    </row>
    <row r="15" customFormat="false" ht="15" hidden="false" customHeight="false" outlineLevel="0" collapsed="false">
      <c r="B15" s="55" t="s">
        <v>133</v>
      </c>
      <c r="C15" s="55" t="s">
        <v>134</v>
      </c>
      <c r="D15" s="55" t="s">
        <v>135</v>
      </c>
      <c r="E15" s="44" t="n">
        <f aca="false">IF($F$50=0,0,F15/$F$50)</f>
        <v>0.000298205788293168</v>
      </c>
      <c r="F15" s="49" t="n">
        <v>50000</v>
      </c>
      <c r="G15" s="49" t="n">
        <v>42.806175</v>
      </c>
      <c r="H15" s="45" t="n">
        <f aca="false">MAX(G15*IF(S15="",1,S15),'LIG. PROVISÓRIAS'!$K$8)</f>
        <v>67.6636155193095</v>
      </c>
      <c r="I15" s="55" t="s">
        <v>126</v>
      </c>
      <c r="J15" s="55" t="s">
        <v>135</v>
      </c>
      <c r="K15" s="45" t="n">
        <f aca="false">IF(ISNUMBER($P$7),G15*$P$7,0)</f>
        <v>55636.98350685</v>
      </c>
      <c r="L15" s="56" t="n">
        <f aca="false">'LIG. PROVISÓRIAS'!$J$7</f>
        <v>86148.5466709056</v>
      </c>
      <c r="M15" s="45" t="n">
        <f aca="false">L15-K15</f>
        <v>30511.5631640556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134</v>
      </c>
      <c r="R15" s="55"/>
      <c r="S15" s="59" t="n">
        <v>1.58069754</v>
      </c>
    </row>
    <row r="16" customFormat="false" ht="15" hidden="false" customHeight="false" outlineLevel="0" collapsed="false">
      <c r="B16" s="55" t="s">
        <v>136</v>
      </c>
      <c r="C16" s="55" t="s">
        <v>137</v>
      </c>
      <c r="D16" s="55" t="s">
        <v>70</v>
      </c>
      <c r="E16" s="44" t="n">
        <f aca="false">IF($F$50=0,0,F16/$F$50)</f>
        <v>0.0032474610345126</v>
      </c>
      <c r="F16" s="49" t="n">
        <v>544500</v>
      </c>
      <c r="G16" s="49" t="n">
        <v>466.159243</v>
      </c>
      <c r="H16" s="45" t="n">
        <f aca="false">MAX(G16*IF(S16="",1,S16),CONSUMOS!$K$8)</f>
        <v>497.847447754852</v>
      </c>
      <c r="I16" s="55" t="s">
        <v>126</v>
      </c>
      <c r="J16" s="55" t="s">
        <v>70</v>
      </c>
      <c r="K16" s="45" t="n">
        <f aca="false">IF(ISNUMBER($P$7),G16*$P$7,0)</f>
        <v>605886.746815306</v>
      </c>
      <c r="L16" s="56" t="n">
        <f aca="false">CONSUMOS!$J$7</f>
        <v>642823.539390426</v>
      </c>
      <c r="M16" s="45" t="n">
        <f aca="false">L16-K16</f>
        <v>36936.79257512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137</v>
      </c>
      <c r="R16" s="55"/>
      <c r="S16" s="59" t="n">
        <v>1.06797721</v>
      </c>
    </row>
    <row r="17" customFormat="false" ht="15" hidden="false" customHeight="false" outlineLevel="0" collapsed="false">
      <c r="B17" s="55" t="s">
        <v>138</v>
      </c>
      <c r="C17" s="55" t="s">
        <v>139</v>
      </c>
      <c r="D17" s="55" t="s">
        <v>83</v>
      </c>
      <c r="E17" s="44" t="n">
        <f aca="false">IF($F$50=0,0,F17/$F$50)</f>
        <v>0.000717184920845069</v>
      </c>
      <c r="F17" s="49" t="n">
        <v>120250</v>
      </c>
      <c r="G17" s="49" t="n">
        <v>102.94885</v>
      </c>
      <c r="H17" s="45" t="n">
        <f aca="false">MAX(G17*IF(S17="",1,S17),DIVERSOS!$K$8)</f>
        <v>240.116491458709</v>
      </c>
      <c r="I17" s="55" t="s">
        <v>126</v>
      </c>
      <c r="J17" s="55" t="s">
        <v>83</v>
      </c>
      <c r="K17" s="45" t="n">
        <f aca="false">IF(ISNUMBER($P$7),G17*$P$7,0)</f>
        <v>133806.9441967</v>
      </c>
      <c r="L17" s="56" t="n">
        <f aca="false">DIVERSOS!$J$7</f>
        <v>306464.866151032</v>
      </c>
      <c r="M17" s="45" t="n">
        <f aca="false">L17-K17</f>
        <v>172657.921954332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139</v>
      </c>
      <c r="R17" s="55"/>
      <c r="S17" s="59" t="n">
        <v>2.33238634</v>
      </c>
    </row>
    <row r="18" customFormat="false" ht="15" hidden="false" customHeight="false" outlineLevel="0" collapsed="false">
      <c r="B18" s="55" t="s">
        <v>140</v>
      </c>
      <c r="C18" s="55" t="s">
        <v>141</v>
      </c>
      <c r="D18" s="55" t="s">
        <v>79</v>
      </c>
      <c r="E18" s="44" t="n">
        <f aca="false">IF($F$50=0,0,F18/$F$50)</f>
        <v>0.00509663512771853</v>
      </c>
      <c r="F18" s="49" t="n">
        <v>854550</v>
      </c>
      <c r="G18" s="49" t="n">
        <v>731.600332</v>
      </c>
      <c r="H18" s="45" t="n">
        <f aca="false">MAX(G18*IF(S18="",1,S18),TRANSPORTES!$K$8)</f>
        <v>740.606953947202</v>
      </c>
      <c r="I18" s="55" t="s">
        <v>126</v>
      </c>
      <c r="J18" s="55" t="s">
        <v>79</v>
      </c>
      <c r="K18" s="45" t="n">
        <f aca="false">IF(ISNUMBER($P$7),G18*$P$7,0)</f>
        <v>950891.678714344</v>
      </c>
      <c r="L18" s="56" t="n">
        <f aca="false">TRANSPORTES!$J$7</f>
        <v>953605.902324634</v>
      </c>
      <c r="M18" s="45" t="n">
        <f aca="false">L18-K18</f>
        <v>2714.22361028986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141</v>
      </c>
      <c r="R18" s="55"/>
      <c r="S18" s="59" t="n">
        <v>1.01231085</v>
      </c>
    </row>
    <row r="19" customFormat="false" ht="15" hidden="false" customHeight="false" outlineLevel="0" collapsed="false">
      <c r="B19" s="55" t="s">
        <v>142</v>
      </c>
      <c r="C19" s="55" t="s">
        <v>143</v>
      </c>
      <c r="D19" s="55" t="s">
        <v>69</v>
      </c>
      <c r="E19" s="44" t="n">
        <f aca="false">IF($F$50=0,0,F19/$F$50)</f>
        <v>0.00930374570865119</v>
      </c>
      <c r="F19" s="49" t="n">
        <v>1559953.91</v>
      </c>
      <c r="G19" s="49" t="n">
        <v>1335.513192</v>
      </c>
      <c r="H19" s="45" t="n">
        <f aca="false">MAX(G19*IF(S19="",1,S19),CONSULTORIAS!$K$8)</f>
        <v>1344.18246220376</v>
      </c>
      <c r="I19" s="55" t="s">
        <v>126</v>
      </c>
      <c r="J19" s="55" t="s">
        <v>69</v>
      </c>
      <c r="K19" s="45" t="n">
        <f aca="false">IF(ISNUMBER($P$7),G19*$P$7,0)</f>
        <v>1735822.58719646</v>
      </c>
      <c r="L19" s="56" t="n">
        <f aca="false">CONSULTORIAS!$J$7</f>
        <v>1679934.69862738</v>
      </c>
      <c r="M19" s="45" t="n">
        <f aca="false">L19-K19</f>
        <v>-55887.8885690882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143</v>
      </c>
      <c r="R19" s="55"/>
      <c r="S19" s="59" t="n">
        <v>1.00649134</v>
      </c>
    </row>
    <row r="20" customFormat="false" ht="15" hidden="false" customHeight="false" outlineLevel="0" collapsed="false">
      <c r="B20" s="55" t="s">
        <v>144</v>
      </c>
      <c r="C20" s="55" t="s">
        <v>145</v>
      </c>
      <c r="D20" s="55" t="s">
        <v>82</v>
      </c>
      <c r="E20" s="44" t="n">
        <f aca="false">IF($F$50=0,0,F20/$F$50)</f>
        <v>0.11217656950519</v>
      </c>
      <c r="F20" s="49" t="n">
        <v>18808583.52</v>
      </c>
      <c r="G20" s="49" t="n">
        <v>16102.470245</v>
      </c>
      <c r="H20" s="45" t="n">
        <f aca="false">MAX(G20*IF(S20="",1,S20),MDO!$K$8)</f>
        <v>16708.665611115</v>
      </c>
      <c r="I20" s="55" t="s">
        <v>126</v>
      </c>
      <c r="J20" s="55" t="s">
        <v>82</v>
      </c>
      <c r="K20" s="45" t="n">
        <f aca="false">IF(ISNUMBER($P$7),G20*$P$7,0)</f>
        <v>20929056.8811768</v>
      </c>
      <c r="L20" s="56" t="n">
        <f aca="false">MDO!$J$7</f>
        <v>21436708.6780545</v>
      </c>
      <c r="M20" s="45" t="n">
        <f aca="false">L20-K20</f>
        <v>507651.796877675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145</v>
      </c>
      <c r="R20" s="55"/>
      <c r="S20" s="59" t="n">
        <v>1.03764611</v>
      </c>
    </row>
    <row r="21" customFormat="false" ht="15" hidden="false" customHeight="false" outlineLevel="0" collapsed="false">
      <c r="B21" s="55" t="s">
        <v>146</v>
      </c>
      <c r="C21" s="55" t="s">
        <v>147</v>
      </c>
      <c r="D21" s="55" t="s">
        <v>78</v>
      </c>
      <c r="E21" s="44" t="n">
        <f aca="false">IF($F$50=0,0,F21/$F$50)</f>
        <v>0.0398756434650877</v>
      </c>
      <c r="F21" s="49" t="n">
        <v>6685927.14</v>
      </c>
      <c r="G21" s="49" t="n">
        <v>5723.979302</v>
      </c>
      <c r="H21" s="45" t="n">
        <f aca="false">MAX(G21*IF(S21="",1,S21),'EQUIP E FER'!$K$8)</f>
        <v>6297.062793201</v>
      </c>
      <c r="I21" s="55" t="s">
        <v>126</v>
      </c>
      <c r="J21" s="55" t="s">
        <v>78</v>
      </c>
      <c r="K21" s="45" t="n">
        <f aca="false">IF(ISNUMBER($P$7),G21*$P$7,0)</f>
        <v>7439696.30594008</v>
      </c>
      <c r="L21" s="56" t="n">
        <f aca="false">'EQUIP E FER'!$J$7</f>
        <v>8113545.27109457</v>
      </c>
      <c r="M21" s="45" t="n">
        <f aca="false">L21-K21</f>
        <v>673848.965154487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147</v>
      </c>
      <c r="R21" s="55"/>
      <c r="S21" s="59" t="n">
        <v>1.10011977</v>
      </c>
    </row>
    <row r="22" customFormat="false" ht="15" hidden="false" customHeight="false" outlineLevel="0" collapsed="false">
      <c r="B22" s="55" t="s">
        <v>148</v>
      </c>
      <c r="C22" s="55" t="s">
        <v>149</v>
      </c>
      <c r="D22" s="55" t="s">
        <v>81</v>
      </c>
      <c r="E22" s="44" t="n">
        <f aca="false">IF($F$50=0,0,F22/$F$50)</f>
        <v>0.000152482877833414</v>
      </c>
      <c r="F22" s="49" t="n">
        <v>25566.72</v>
      </c>
      <c r="G22" s="49" t="n">
        <v>21.888268</v>
      </c>
      <c r="H22" s="45" t="n">
        <f aca="false">MAX(G22*IF(S22="",1,S22),'SERV. INICIAIS'!$K$8)</f>
        <v>44.6601977690895</v>
      </c>
      <c r="I22" s="55" t="s">
        <v>150</v>
      </c>
      <c r="J22" s="55" t="s">
        <v>81</v>
      </c>
      <c r="K22" s="45" t="n">
        <f aca="false">IF(ISNUMBER($P$7),G22*$P$7,0)</f>
        <v>28449.101226856</v>
      </c>
      <c r="L22" s="56" t="n">
        <f aca="false">'SERV. INICIAIS'!$J$7</f>
        <v>52250.01</v>
      </c>
      <c r="M22" s="45" t="n">
        <f aca="false">L22-K22</f>
        <v>23800.908773144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SEM CURVA</v>
      </c>
      <c r="P22" s="58" t="n">
        <f aca="false">'SERV. INICIAIS'!$K$14</f>
        <v>1</v>
      </c>
      <c r="Q22" s="55" t="s">
        <v>149</v>
      </c>
      <c r="R22" s="55"/>
      <c r="S22" s="59" t="n">
        <v>1.86582033</v>
      </c>
    </row>
    <row r="23" customFormat="false" ht="15" hidden="false" customHeight="false" outlineLevel="0" collapsed="false">
      <c r="B23" s="55" t="s">
        <v>151</v>
      </c>
      <c r="C23" s="55" t="s">
        <v>152</v>
      </c>
      <c r="D23" s="55" t="s">
        <v>72</v>
      </c>
      <c r="E23" s="44" t="n">
        <f aca="false">IF($F$50=0,0,F23/$F$50)</f>
        <v>0.02097537622905</v>
      </c>
      <c r="F23" s="49" t="n">
        <v>3516929.76</v>
      </c>
      <c r="G23" s="49" t="n">
        <v>3010.926198</v>
      </c>
      <c r="H23" s="45" t="n">
        <f aca="false">MAX(G23*IF(S23="",1,S23),CONTENÇÃO!$K$8)</f>
        <v>2558.53523427311</v>
      </c>
      <c r="I23" s="55" t="s">
        <v>150</v>
      </c>
      <c r="J23" s="55" t="s">
        <v>72</v>
      </c>
      <c r="K23" s="45" t="n">
        <f aca="false">IF(ISNUMBER($P$7),G23*$P$7,0)</f>
        <v>3913427.23844092</v>
      </c>
      <c r="L23" s="56" t="n">
        <f aca="false">CONTENÇÃO!$J$7</f>
        <v>3094379.11</v>
      </c>
      <c r="M23" s="45" t="n">
        <f aca="false">L23-K23</f>
        <v>-819048.128440916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PREVISÃO INFORMADA</v>
      </c>
      <c r="P23" s="58" t="n">
        <f aca="false">CONTENÇÃO!$K$14</f>
        <v>1</v>
      </c>
      <c r="Q23" s="55" t="s">
        <v>152</v>
      </c>
      <c r="R23" s="55"/>
      <c r="S23" s="59" t="n">
        <v>0.83609803</v>
      </c>
    </row>
    <row r="24" customFormat="false" ht="15" hidden="false" customHeight="false" outlineLevel="0" collapsed="false">
      <c r="B24" s="55" t="s">
        <v>153</v>
      </c>
      <c r="C24" s="55" t="s">
        <v>154</v>
      </c>
      <c r="D24" s="55" t="s">
        <v>71</v>
      </c>
      <c r="E24" s="44" t="n">
        <f aca="false">IF($F$50=0,0,F24/$F$50)</f>
        <v>0.0114600826184898</v>
      </c>
      <c r="F24" s="49" t="n">
        <v>1921505.73</v>
      </c>
      <c r="G24" s="49" t="n">
        <v>1645.046196</v>
      </c>
      <c r="H24" s="45" t="n">
        <f aca="false">MAX(G24*IF(S24="",1,S24),TERRAPLENAGEM!$K$8)</f>
        <v>1724.39621877971</v>
      </c>
      <c r="I24" s="55" t="s">
        <v>150</v>
      </c>
      <c r="J24" s="55" t="s">
        <v>71</v>
      </c>
      <c r="K24" s="45" t="n">
        <f aca="false">IF(ISNUMBER($P$7),G24*$P$7,0)</f>
        <v>2138135.63288143</v>
      </c>
      <c r="L24" s="56" t="n">
        <f aca="false">TERRAPLENAGEM!$J$7</f>
        <v>2096520.99</v>
      </c>
      <c r="M24" s="45" t="n">
        <f aca="false">L24-K24</f>
        <v>-41614.6428814319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PREVISÃO INFORMADA</v>
      </c>
      <c r="P24" s="58" t="n">
        <f aca="false">TERRAPLENAGEM!$K$14</f>
        <v>1</v>
      </c>
      <c r="Q24" s="55" t="s">
        <v>154</v>
      </c>
      <c r="R24" s="55"/>
      <c r="S24" s="59" t="n">
        <v>1.02155072</v>
      </c>
    </row>
    <row r="25" customFormat="false" ht="15" hidden="false" customHeight="false" outlineLevel="0" collapsed="false">
      <c r="B25" s="55" t="s">
        <v>155</v>
      </c>
      <c r="C25" s="55" t="s">
        <v>156</v>
      </c>
      <c r="D25" s="55" t="s">
        <v>73</v>
      </c>
      <c r="E25" s="44" t="n">
        <f aca="false">IF($F$50=0,0,F25/$F$50)</f>
        <v>0.0391787447683263</v>
      </c>
      <c r="F25" s="49" t="n">
        <v>6569078.52</v>
      </c>
      <c r="G25" s="49" t="n">
        <v>5623.942458</v>
      </c>
      <c r="H25" s="45" t="n">
        <f aca="false">MAX(G25*IF(S25="",1,S25),'FUND. PROF'!$K$8)</f>
        <v>4121.57448827601</v>
      </c>
      <c r="I25" s="55" t="s">
        <v>150</v>
      </c>
      <c r="J25" s="55" t="s">
        <v>73</v>
      </c>
      <c r="K25" s="45" t="n">
        <f aca="false">IF(ISNUMBER($P$7),G25*$P$7,0)</f>
        <v>7309674.21824584</v>
      </c>
      <c r="L25" s="56" t="n">
        <f aca="false">'FUND. PROF'!$J$7</f>
        <v>5000029.77</v>
      </c>
      <c r="M25" s="45" t="n">
        <f aca="false">L25-K25</f>
        <v>-2309644.44824584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PREVISÃO INFORMADA</v>
      </c>
      <c r="P25" s="58" t="n">
        <f aca="false">'FUND. PROF'!$K$14</f>
        <v>1</v>
      </c>
      <c r="Q25" s="55" t="s">
        <v>156</v>
      </c>
      <c r="R25" s="55"/>
      <c r="S25" s="59" t="n">
        <v>0.69490679</v>
      </c>
    </row>
    <row r="26" customFormat="false" ht="15" hidden="false" customHeight="false" outlineLevel="0" collapsed="false">
      <c r="B26" s="55" t="s">
        <v>157</v>
      </c>
      <c r="C26" s="55" t="s">
        <v>158</v>
      </c>
      <c r="D26" s="55" t="s">
        <v>74</v>
      </c>
      <c r="E26" s="44" t="n">
        <f aca="false">IF($F$50=0,0,F26/$F$50)</f>
        <v>0.0231847131343597</v>
      </c>
      <c r="F26" s="49" t="n">
        <v>3887368.06</v>
      </c>
      <c r="G26" s="49" t="n">
        <v>3328.067126</v>
      </c>
      <c r="H26" s="45" t="n">
        <f aca="false">MAX(G26*IF(S26="",1,S26),'FUND. SUP'!$K$8)</f>
        <v>2120.80558425878</v>
      </c>
      <c r="I26" s="55" t="s">
        <v>150</v>
      </c>
      <c r="J26" s="55" t="s">
        <v>74</v>
      </c>
      <c r="K26" s="45" t="n">
        <f aca="false">IF(ISNUMBER($P$7),G26*$P$7,0)</f>
        <v>4325628.62248149</v>
      </c>
      <c r="L26" s="56" t="n">
        <f aca="false">'FUND. SUP'!$J$7</f>
        <v>2623109.92540345</v>
      </c>
      <c r="M26" s="45" t="n">
        <f aca="false">L26-K26</f>
        <v>-1702518.69707804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PREVISÃO INFORMADA</v>
      </c>
      <c r="P26" s="58" t="n">
        <f aca="false">'FUND. SUP'!$K$14</f>
        <v>0.9894</v>
      </c>
      <c r="Q26" s="55" t="s">
        <v>158</v>
      </c>
      <c r="R26" s="55"/>
      <c r="S26" s="59" t="n">
        <v>0.63724844</v>
      </c>
    </row>
    <row r="27" customFormat="false" ht="15" hidden="false" customHeight="false" outlineLevel="0" collapsed="false">
      <c r="B27" s="55" t="s">
        <v>159</v>
      </c>
      <c r="C27" s="55" t="s">
        <v>160</v>
      </c>
      <c r="D27" s="55" t="s">
        <v>76</v>
      </c>
      <c r="E27" s="44" t="n">
        <f aca="false">IF($F$50=0,0,F27/$F$50)</f>
        <v>0.164217518163338</v>
      </c>
      <c r="F27" s="49" t="n">
        <v>27534260.67</v>
      </c>
      <c r="G27" s="49" t="n">
        <v>23572.727452</v>
      </c>
      <c r="H27" s="45" t="n">
        <f aca="false">MAX(G27*IF(S27="",1,S27),ESTRUTURA!$K$8)</f>
        <v>21947.2844099111</v>
      </c>
      <c r="I27" s="55" t="s">
        <v>150</v>
      </c>
      <c r="J27" s="55" t="s">
        <v>76</v>
      </c>
      <c r="K27" s="45" t="n">
        <f aca="false">IF(ISNUMBER($P$7),G27*$P$7,0)</f>
        <v>30638463.9239174</v>
      </c>
      <c r="L27" s="56" t="n">
        <f aca="false">ESTRUTURA!$J$7</f>
        <v>28045891.8578509</v>
      </c>
      <c r="M27" s="45" t="n">
        <f aca="false">L27-K27</f>
        <v>-2592572.06606651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CURVA PREVISION</v>
      </c>
      <c r="P27" s="58" t="n">
        <f aca="false">ESTRUTURA!$K$14</f>
        <v>0.5339</v>
      </c>
      <c r="Q27" s="55" t="s">
        <v>160</v>
      </c>
      <c r="R27" s="55"/>
      <c r="S27" s="59" t="n">
        <v>0.93104561</v>
      </c>
    </row>
    <row r="28" customFormat="false" ht="15" hidden="false" customHeight="false" outlineLevel="0" collapsed="false">
      <c r="B28" s="55" t="s">
        <v>161</v>
      </c>
      <c r="C28" s="55" t="s">
        <v>162</v>
      </c>
      <c r="D28" s="55" t="s">
        <v>163</v>
      </c>
      <c r="E28" s="44" t="n">
        <f aca="false">IF($F$50=0,0,F28/$F$50)</f>
        <v>0.0292420158830595</v>
      </c>
      <c r="F28" s="49" t="n">
        <v>4902992.67</v>
      </c>
      <c r="G28" s="49" t="n">
        <v>4197.567219</v>
      </c>
      <c r="H28" s="45" t="n">
        <f aca="false">MAX(G28*IF(S28="",1,S28),ALVENARIA!$K$8)</f>
        <v>4547.74103701333</v>
      </c>
      <c r="I28" s="55" t="s">
        <v>150</v>
      </c>
      <c r="J28" s="55" t="s">
        <v>163</v>
      </c>
      <c r="K28" s="45" t="n">
        <f aca="false">IF(ISNUMBER($P$7),G28*$P$7,0)</f>
        <v>5455754.4123575</v>
      </c>
      <c r="L28" s="56" t="n">
        <f aca="false">ALVENARIA!$J$7</f>
        <v>5904178.07545626</v>
      </c>
      <c r="M28" s="45" t="n">
        <f aca="false">L28-K28</f>
        <v>448423.663098759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CURVA PREVISION</v>
      </c>
      <c r="P28" s="58" t="n">
        <f aca="false">ALVENARIA!$K$14</f>
        <v>0.0629</v>
      </c>
      <c r="Q28" s="55" t="s">
        <v>162</v>
      </c>
      <c r="R28" s="55"/>
      <c r="S28" s="59" t="n">
        <v>1.08342304</v>
      </c>
    </row>
    <row r="29" customFormat="false" ht="15" hidden="false" customHeight="false" outlineLevel="0" collapsed="false">
      <c r="B29" s="55" t="s">
        <v>164</v>
      </c>
      <c r="C29" s="55" t="s">
        <v>165</v>
      </c>
      <c r="D29" s="55" t="s">
        <v>166</v>
      </c>
      <c r="E29" s="44" t="n">
        <f aca="false">IF($F$50=0,0,F29/$F$50)</f>
        <v>0.0206719306072096</v>
      </c>
      <c r="F29" s="49" t="n">
        <v>3466051.2</v>
      </c>
      <c r="G29" s="49" t="n">
        <v>2967.367867</v>
      </c>
      <c r="H29" s="45" t="n">
        <f aca="false">MAX(G29*IF(S29="",1,S29),IMPERMEABILIZAÇÃO!$K$8)</f>
        <v>2967.367867</v>
      </c>
      <c r="I29" s="55" t="s">
        <v>150</v>
      </c>
      <c r="J29" s="55" t="s">
        <v>166</v>
      </c>
      <c r="K29" s="45" t="n">
        <f aca="false">IF(ISNUMBER($P$7),G29*$P$7,0)</f>
        <v>3856812.64619031</v>
      </c>
      <c r="L29" s="56" t="n">
        <f aca="false">IMPERMEABILIZAÇÃO!$J$7</f>
        <v>3853257.70410218</v>
      </c>
      <c r="M29" s="45" t="n">
        <f aca="false">L29-K29</f>
        <v>-3554.94208813412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CURVA PREVISION</v>
      </c>
      <c r="P29" s="58" t="n">
        <f aca="false">IMPERMEABILIZAÇÃO!$K$14</f>
        <v>0</v>
      </c>
      <c r="Q29" s="55" t="s">
        <v>165</v>
      </c>
      <c r="R29" s="55"/>
      <c r="S29" s="59"/>
    </row>
    <row r="30" customFormat="false" ht="15" hidden="false" customHeight="false" outlineLevel="0" collapsed="false">
      <c r="B30" s="55" t="s">
        <v>167</v>
      </c>
      <c r="C30" s="55" t="s">
        <v>168</v>
      </c>
      <c r="D30" s="55" t="s">
        <v>77</v>
      </c>
      <c r="E30" s="44" t="n">
        <f aca="false">IF($F$50=0,0,F30/$F$50)</f>
        <v>0.0660950102897246</v>
      </c>
      <c r="F30" s="49" t="n">
        <v>11082113.91</v>
      </c>
      <c r="G30" s="49" t="n">
        <v>9487.658083</v>
      </c>
      <c r="H30" s="45" t="n">
        <f aca="false">MAX(G30*IF(S30="",1,S30),'INST. ELÉTRICA'!$K$8)</f>
        <v>8830.80834884458</v>
      </c>
      <c r="I30" s="55" t="s">
        <v>150</v>
      </c>
      <c r="J30" s="55" t="s">
        <v>77</v>
      </c>
      <c r="K30" s="45" t="n">
        <f aca="false">IF(ISNUMBER($P$7),G30*$P$7,0)</f>
        <v>12331507.6921146</v>
      </c>
      <c r="L30" s="56" t="n">
        <f aca="false">'INST. ELÉTRICA'!$J$7</f>
        <v>11446748.7465947</v>
      </c>
      <c r="M30" s="45" t="n">
        <f aca="false">L30-K30</f>
        <v>-884758.945519934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CURVA PREVISION</v>
      </c>
      <c r="P30" s="58" t="n">
        <f aca="false">'INST. ELÉTRICA'!$K$14</f>
        <v>0</v>
      </c>
      <c r="Q30" s="55" t="s">
        <v>168</v>
      </c>
      <c r="R30" s="55"/>
      <c r="S30" s="59" t="n">
        <v>0.93076798</v>
      </c>
    </row>
    <row r="31" customFormat="false" ht="15" hidden="false" customHeight="false" outlineLevel="0" collapsed="false">
      <c r="B31" s="55" t="s">
        <v>169</v>
      </c>
      <c r="C31" s="55" t="s">
        <v>170</v>
      </c>
      <c r="D31" s="55" t="s">
        <v>171</v>
      </c>
      <c r="E31" s="44" t="n">
        <f aca="false">IF($F$50=0,0,F31/$F$50)</f>
        <v>0.0406862283473432</v>
      </c>
      <c r="F31" s="49" t="n">
        <v>6821837.46</v>
      </c>
      <c r="G31" s="49" t="n">
        <v>5840.335322</v>
      </c>
      <c r="H31" s="45" t="n">
        <f aca="false">MAX(G31*IF(S31="",1,S31),'INST. HIDRO'!$K$8)</f>
        <v>6203.30106562519</v>
      </c>
      <c r="I31" s="55" t="s">
        <v>150</v>
      </c>
      <c r="J31" s="55" t="s">
        <v>171</v>
      </c>
      <c r="K31" s="45" t="n">
        <f aca="false">IF(ISNUMBER($P$7),G31*$P$7,0)</f>
        <v>7590929.11208692</v>
      </c>
      <c r="L31" s="56" t="n">
        <f aca="false">'INST. HIDRO'!$J$7</f>
        <v>8053689.0934646</v>
      </c>
      <c r="M31" s="45" t="n">
        <f aca="false">L31-K31</f>
        <v>462759.981377677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CURVA PREVISION</v>
      </c>
      <c r="P31" s="58" t="n">
        <f aca="false">'INST. HIDRO'!$K$14</f>
        <v>0.004</v>
      </c>
      <c r="Q31" s="55" t="s">
        <v>170</v>
      </c>
      <c r="R31" s="55"/>
      <c r="S31" s="59" t="n">
        <v>1.0621481</v>
      </c>
    </row>
    <row r="32" customFormat="false" ht="15" hidden="false" customHeight="false" outlineLevel="0" collapsed="false">
      <c r="B32" s="55" t="s">
        <v>172</v>
      </c>
      <c r="C32" s="55" t="s">
        <v>173</v>
      </c>
      <c r="D32" s="55" t="s">
        <v>174</v>
      </c>
      <c r="E32" s="44" t="n">
        <f aca="false">IF($F$50=0,0,F32/$F$50)</f>
        <v>0.00717992265303946</v>
      </c>
      <c r="F32" s="49" t="n">
        <v>1203853.67</v>
      </c>
      <c r="G32" s="49" t="n">
        <v>1030.64741</v>
      </c>
      <c r="H32" s="45" t="n">
        <f aca="false">MAX(G32*IF(S32="",1,S32),'INST. INC'!$K$8)</f>
        <v>687.883094158592</v>
      </c>
      <c r="I32" s="55" t="s">
        <v>150</v>
      </c>
      <c r="J32" s="55" t="s">
        <v>174</v>
      </c>
      <c r="K32" s="45" t="n">
        <f aca="false">IF(ISNUMBER($P$7),G32*$P$7,0)</f>
        <v>1339575.72596822</v>
      </c>
      <c r="L32" s="56" t="n">
        <f aca="false">'INST. INC'!$J$7</f>
        <v>892813.098203293</v>
      </c>
      <c r="M32" s="45" t="n">
        <f aca="false">L32-K32</f>
        <v>-446762.627764927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CURVA PREVISION</v>
      </c>
      <c r="P32" s="58" t="n">
        <f aca="false">'INST. INC'!$K$14</f>
        <v>0</v>
      </c>
      <c r="Q32" s="55" t="s">
        <v>173</v>
      </c>
      <c r="R32" s="55"/>
      <c r="S32" s="59" t="n">
        <v>0.66742815</v>
      </c>
    </row>
    <row r="33" customFormat="false" ht="15" hidden="false" customHeight="false" outlineLevel="0" collapsed="false">
      <c r="B33" s="55" t="s">
        <v>175</v>
      </c>
      <c r="C33" s="55" t="s">
        <v>176</v>
      </c>
      <c r="D33" s="55" t="s">
        <v>177</v>
      </c>
      <c r="E33" s="44" t="n">
        <f aca="false">IF($F$50=0,0,F33/$F$50)</f>
        <v>0.0208906988465883</v>
      </c>
      <c r="F33" s="49" t="n">
        <v>3502731.95</v>
      </c>
      <c r="G33" s="49" t="n">
        <v>2998.771118</v>
      </c>
      <c r="H33" s="45" t="n">
        <f aca="false">MAX(G33*IF(S33="",1,S33),'INST. ESP'!$K$8)</f>
        <v>2998.771118</v>
      </c>
      <c r="I33" s="55" t="s">
        <v>150</v>
      </c>
      <c r="J33" s="55" t="s">
        <v>177</v>
      </c>
      <c r="K33" s="45" t="n">
        <f aca="false">IF(ISNUMBER($P$7),G33*$P$7,0)</f>
        <v>3897628.77045156</v>
      </c>
      <c r="L33" s="56" t="n">
        <f aca="false">'INST. ESP'!$J$7</f>
        <v>3894036.20689427</v>
      </c>
      <c r="M33" s="45" t="n">
        <f aca="false">L33-K33</f>
        <v>-3592.56355729047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CURVA PREVISION</v>
      </c>
      <c r="P33" s="58" t="n">
        <f aca="false">'INST. ESP'!$K$14</f>
        <v>0</v>
      </c>
      <c r="Q33" s="55" t="s">
        <v>176</v>
      </c>
      <c r="R33" s="55"/>
      <c r="S33" s="59"/>
    </row>
    <row r="34" customFormat="false" ht="15" hidden="false" customHeight="false" outlineLevel="0" collapsed="false">
      <c r="B34" s="55" t="s">
        <v>178</v>
      </c>
      <c r="C34" s="55" t="s">
        <v>179</v>
      </c>
      <c r="D34" s="55" t="s">
        <v>180</v>
      </c>
      <c r="E34" s="44" t="n">
        <f aca="false">IF($F$50=0,0,F34/$F$50)</f>
        <v>0.031517936117138</v>
      </c>
      <c r="F34" s="49" t="n">
        <v>5284594.96</v>
      </c>
      <c r="G34" s="49" t="n">
        <v>4524.265905</v>
      </c>
      <c r="H34" s="45" t="n">
        <f aca="false">MAX(G34*IF(S34="",1,S34),'ELEVADORES '!$K$8)</f>
        <v>4307.67916177202</v>
      </c>
      <c r="I34" s="55" t="s">
        <v>150</v>
      </c>
      <c r="J34" s="55" t="s">
        <v>180</v>
      </c>
      <c r="K34" s="45" t="n">
        <f aca="false">IF(ISNUMBER($P$7),G34*$P$7,0)</f>
        <v>5880378.41589651</v>
      </c>
      <c r="L34" s="56" t="n">
        <f aca="false">'ELEVADORES '!$J$7</f>
        <v>5593711.80101652</v>
      </c>
      <c r="M34" s="45" t="n">
        <f aca="false">L34-K34</f>
        <v>-286666.614879992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179</v>
      </c>
      <c r="R34" s="55"/>
      <c r="S34" s="59" t="n">
        <v>0.95212776</v>
      </c>
    </row>
    <row r="35" customFormat="false" ht="15" hidden="false" customHeight="false" outlineLevel="0" collapsed="false">
      <c r="B35" s="55" t="s">
        <v>181</v>
      </c>
      <c r="C35" s="55" t="s">
        <v>182</v>
      </c>
      <c r="D35" s="55" t="s">
        <v>183</v>
      </c>
      <c r="E35" s="44" t="n">
        <f aca="false">IF($F$50=0,0,F35/$F$50)</f>
        <v>0.0636598727964956</v>
      </c>
      <c r="F35" s="49" t="n">
        <v>10673815.75</v>
      </c>
      <c r="G35" s="49" t="n">
        <v>9138.104437</v>
      </c>
      <c r="H35" s="45" t="n">
        <f aca="false">MAX(G35*IF(S35="",1,S35),ESQUADRIAS!$K$8)</f>
        <v>9239.97035963892</v>
      </c>
      <c r="I35" s="55" t="s">
        <v>150</v>
      </c>
      <c r="J35" s="55" t="s">
        <v>183</v>
      </c>
      <c r="K35" s="45" t="n">
        <f aca="false">IF(ISNUMBER($P$7),G35*$P$7,0)</f>
        <v>11877178.1371553</v>
      </c>
      <c r="L35" s="56" t="n">
        <f aca="false">ESQUADRIAS!$J$7</f>
        <v>11998504.9999056</v>
      </c>
      <c r="M35" s="45" t="n">
        <f aca="false">L35-K35</f>
        <v>121326.862750389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182</v>
      </c>
      <c r="R35" s="55"/>
      <c r="S35" s="59" t="n">
        <v>1.01114738</v>
      </c>
    </row>
    <row r="36" customFormat="false" ht="15" hidden="false" customHeight="false" outlineLevel="0" collapsed="false">
      <c r="B36" s="55" t="s">
        <v>184</v>
      </c>
      <c r="C36" s="55" t="s">
        <v>185</v>
      </c>
      <c r="D36" s="55" t="s">
        <v>186</v>
      </c>
      <c r="E36" s="44" t="n">
        <f aca="false">IF($F$50=0,0,F36/$F$50)</f>
        <v>0.00346075391741244</v>
      </c>
      <c r="F36" s="49" t="n">
        <v>580262.7</v>
      </c>
      <c r="G36" s="49" t="n">
        <v>496.776532</v>
      </c>
      <c r="H36" s="45" t="n">
        <f aca="false">MAX(G36*IF(S36="",1,S36),SERRALHERIA!$K$8)</f>
        <v>496.776532</v>
      </c>
      <c r="I36" s="55" t="s">
        <v>150</v>
      </c>
      <c r="J36" s="55" t="s">
        <v>186</v>
      </c>
      <c r="K36" s="45" t="n">
        <f aca="false">IF(ISNUMBER($P$7),G36*$P$7,0)</f>
        <v>645681.323254744</v>
      </c>
      <c r="L36" s="56" t="n">
        <f aca="false">SERRALHERIA!$J$7</f>
        <v>645086.179045748</v>
      </c>
      <c r="M36" s="45" t="n">
        <f aca="false">L36-K36</f>
        <v>-595.144208995509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CURVA PREVISION</v>
      </c>
      <c r="P36" s="58" t="n">
        <f aca="false">SERRALHERIA!$K$14</f>
        <v>0</v>
      </c>
      <c r="Q36" s="55" t="s">
        <v>185</v>
      </c>
      <c r="R36" s="55"/>
      <c r="S36" s="59"/>
    </row>
    <row r="37" customFormat="false" ht="15" hidden="false" customHeight="false" outlineLevel="0" collapsed="false">
      <c r="B37" s="55" t="s">
        <v>187</v>
      </c>
      <c r="C37" s="55" t="s">
        <v>188</v>
      </c>
      <c r="D37" s="55" t="s">
        <v>189</v>
      </c>
      <c r="E37" s="44" t="n">
        <f aca="false">IF($F$50=0,0,F37/$F$50)</f>
        <v>0.0106827736255325</v>
      </c>
      <c r="F37" s="49" t="n">
        <v>1791174.76</v>
      </c>
      <c r="G37" s="49" t="n">
        <v>1533.46679</v>
      </c>
      <c r="H37" s="45" t="n">
        <f aca="false">MAX(G37*IF(S37="",1,S37),MARCENARIA!$K$8)</f>
        <v>1533.46679</v>
      </c>
      <c r="I37" s="55" t="s">
        <v>150</v>
      </c>
      <c r="J37" s="55" t="s">
        <v>189</v>
      </c>
      <c r="K37" s="45" t="n">
        <f aca="false">IF(ISNUMBER($P$7),G37*$P$7,0)</f>
        <v>1993111.19256818</v>
      </c>
      <c r="L37" s="56" t="n">
        <f aca="false">MARCENARIA!$J$7</f>
        <v>1991274.08106841</v>
      </c>
      <c r="M37" s="45" t="n">
        <f aca="false">L37-K37</f>
        <v>-1837.11149977474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CURVA PREVISION</v>
      </c>
      <c r="P37" s="58" t="n">
        <f aca="false">MARCENARIA!$K$14</f>
        <v>0</v>
      </c>
      <c r="Q37" s="55" t="s">
        <v>188</v>
      </c>
      <c r="R37" s="55"/>
      <c r="S37" s="59"/>
    </row>
    <row r="38" customFormat="false" ht="15" hidden="false" customHeight="false" outlineLevel="0" collapsed="false">
      <c r="B38" s="55" t="s">
        <v>190</v>
      </c>
      <c r="C38" s="55" t="s">
        <v>191</v>
      </c>
      <c r="D38" s="55" t="s">
        <v>192</v>
      </c>
      <c r="E38" s="44" t="n">
        <f aca="false">IF($F$50=0,0,F38/$F$50)</f>
        <v>0.00559699879477668</v>
      </c>
      <c r="F38" s="49" t="n">
        <v>938445.7</v>
      </c>
      <c r="G38" s="49" t="n">
        <v>803.425409</v>
      </c>
      <c r="H38" s="45" t="n">
        <f aca="false">MAX(G38*IF(S38="",1,S38),'REV. PISOS'!$K$8)</f>
        <v>874.090731019865</v>
      </c>
      <c r="I38" s="55" t="s">
        <v>150</v>
      </c>
      <c r="J38" s="55" t="s">
        <v>192</v>
      </c>
      <c r="K38" s="45" t="n">
        <f aca="false">IF(ISNUMBER($P$7),G38*$P$7,0)</f>
        <v>1044245.74794448</v>
      </c>
      <c r="L38" s="56" t="n">
        <f aca="false">'REV. PISOS'!$J$7</f>
        <v>1135045.26379863</v>
      </c>
      <c r="M38" s="45" t="n">
        <f aca="false">L38-K38</f>
        <v>90799.515854155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CURVA PREVISION</v>
      </c>
      <c r="P38" s="58" t="n">
        <f aca="false">'REV. PISOS'!$K$14</f>
        <v>0.0015</v>
      </c>
      <c r="Q38" s="55" t="s">
        <v>191</v>
      </c>
      <c r="R38" s="55"/>
      <c r="S38" s="59" t="n">
        <v>1.08795505</v>
      </c>
    </row>
    <row r="39" customFormat="false" ht="15" hidden="false" customHeight="false" outlineLevel="0" collapsed="false">
      <c r="B39" s="55" t="s">
        <v>193</v>
      </c>
      <c r="C39" s="55" t="s">
        <v>194</v>
      </c>
      <c r="D39" s="55" t="s">
        <v>195</v>
      </c>
      <c r="E39" s="44" t="n">
        <f aca="false">IF($F$50=0,0,F39/$F$50)</f>
        <v>0.0111959858468262</v>
      </c>
      <c r="F39" s="49" t="n">
        <v>1877224.77</v>
      </c>
      <c r="G39" s="49" t="n">
        <v>1607.136226</v>
      </c>
      <c r="H39" s="45" t="n">
        <f aca="false">MAX(G39*IF(S39="",1,S39),'REV. PAREDE'!$K$8)</f>
        <v>1811.64991966393</v>
      </c>
      <c r="I39" s="55" t="s">
        <v>150</v>
      </c>
      <c r="J39" s="55" t="s">
        <v>196</v>
      </c>
      <c r="K39" s="45" t="n">
        <f aca="false">IF(ISNUMBER($P$7),G39*$P$7,0)</f>
        <v>2088862.45265369</v>
      </c>
      <c r="L39" s="56" t="n">
        <f aca="false">'REV. PAREDE'!$J$7</f>
        <v>2352504.91006314</v>
      </c>
      <c r="M39" s="45" t="n">
        <f aca="false">L39-K39</f>
        <v>263642.457409445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CURVA PREVISION</v>
      </c>
      <c r="P39" s="58" t="n">
        <f aca="false">'REV. PAREDE'!$K$14</f>
        <v>0.0581</v>
      </c>
      <c r="Q39" s="55" t="s">
        <v>194</v>
      </c>
      <c r="R39" s="55"/>
      <c r="S39" s="59" t="n">
        <v>1.12725349</v>
      </c>
    </row>
    <row r="40" customFormat="false" ht="15" hidden="false" customHeight="false" outlineLevel="0" collapsed="false">
      <c r="B40" s="55" t="s">
        <v>197</v>
      </c>
      <c r="C40" s="55" t="s">
        <v>198</v>
      </c>
      <c r="D40" s="55" t="s">
        <v>199</v>
      </c>
      <c r="E40" s="44" t="n">
        <f aca="false">IF($F$50=0,0,F40/$F$50)</f>
        <v>0.0481122097810417</v>
      </c>
      <c r="F40" s="49" t="n">
        <v>8066947.67</v>
      </c>
      <c r="G40" s="49" t="n">
        <v>6906.303424</v>
      </c>
      <c r="H40" s="45" t="n">
        <f aca="false">MAX(G40*IF(S40="",1,S40),'REV. ACAB'!$K$8)</f>
        <v>6906.303424</v>
      </c>
      <c r="I40" s="55" t="s">
        <v>150</v>
      </c>
      <c r="J40" s="55" t="s">
        <v>199</v>
      </c>
      <c r="K40" s="45" t="n">
        <f aca="false">IF(ISNUMBER($P$7),G40*$P$7,0)</f>
        <v>8976412.62491661</v>
      </c>
      <c r="L40" s="56" t="n">
        <f aca="false">'REV. ACAB'!$J$7</f>
        <v>8967804.01956104</v>
      </c>
      <c r="M40" s="45" t="n">
        <f aca="false">L40-K40</f>
        <v>-8608.60535557196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CURVA PREVISION</v>
      </c>
      <c r="P40" s="58" t="n">
        <f aca="false">'REV. ACAB'!$K$14</f>
        <v>0</v>
      </c>
      <c r="Q40" s="55" t="s">
        <v>198</v>
      </c>
      <c r="R40" s="55"/>
      <c r="S40" s="59"/>
    </row>
    <row r="41" customFormat="false" ht="15" hidden="false" customHeight="false" outlineLevel="0" collapsed="false">
      <c r="B41" s="55" t="s">
        <v>200</v>
      </c>
      <c r="C41" s="55" t="s">
        <v>201</v>
      </c>
      <c r="D41" s="55" t="s">
        <v>202</v>
      </c>
      <c r="E41" s="44" t="n">
        <f aca="false">IF($F$50=0,0,F41/$F$50)</f>
        <v>0.001814710867741</v>
      </c>
      <c r="F41" s="49" t="n">
        <v>304271.57</v>
      </c>
      <c r="G41" s="49" t="n">
        <v>260.494039</v>
      </c>
      <c r="H41" s="45" t="n">
        <f aca="false">MAX(G41*IF(S41="",1,S41),PAVIMENTAÇÃO!$K$8)</f>
        <v>260.494039</v>
      </c>
      <c r="I41" s="55" t="s">
        <v>150</v>
      </c>
      <c r="J41" s="55" t="s">
        <v>202</v>
      </c>
      <c r="K41" s="45" t="n">
        <f aca="false">IF(ISNUMBER($P$7),G41*$P$7,0)</f>
        <v>338575.043237938</v>
      </c>
      <c r="L41" s="56" t="n">
        <f aca="false">PAVIMENTAÇÃO!$J$7</f>
        <v>338262.968273035</v>
      </c>
      <c r="M41" s="45" t="n">
        <f aca="false">L41-K41</f>
        <v>-312.074964903295</v>
      </c>
      <c r="N41" s="47" t="str">
        <f aca="false">IF(D41="","",IF(PAVIMENTAÇÃO!$K$8&gt;PAVIMENTAÇÃO!$K$6+0.01,"⚠ Incorrido acima da meta em INCC",IF(AND(PAVIMENTAÇÃO!$K$18&gt;1,PAVIMENTAÇÃO!$K$17=0),"⚠ Saldo sem curva (preencha a coluna H da aba)",IF(ABS(PAVIMENTAÇÃO!$D$80)&gt;0.01,"⚠ Verificar","OK"))))</f>
        <v>OK</v>
      </c>
      <c r="O41" s="57" t="str">
        <f aca="false">PAVIMENTAÇÃO!$K$16</f>
        <v>CURVA PREVISION</v>
      </c>
      <c r="P41" s="58" t="n">
        <f aca="false">PAVIMENTAÇÃO!$K$14</f>
        <v>0</v>
      </c>
      <c r="Q41" s="55" t="s">
        <v>201</v>
      </c>
      <c r="R41" s="55"/>
      <c r="S41" s="59"/>
    </row>
    <row r="42" customFormat="false" ht="15" hidden="false" customHeight="false" outlineLevel="0" collapsed="false">
      <c r="B42" s="55" t="s">
        <v>203</v>
      </c>
      <c r="C42" s="55" t="s">
        <v>204</v>
      </c>
      <c r="D42" s="55" t="s">
        <v>205</v>
      </c>
      <c r="E42" s="44" t="n">
        <f aca="false">IF($F$50=0,0,F42/$F$50)</f>
        <v>0.0360021274690389</v>
      </c>
      <c r="F42" s="49" t="n">
        <v>6036456.85</v>
      </c>
      <c r="G42" s="49" t="n">
        <v>5167.952534</v>
      </c>
      <c r="H42" s="45" t="n">
        <f aca="false">MAX(G42*IF(S42="",1,S42),'REV. FACHADA'!$K$8)</f>
        <v>5167.952534</v>
      </c>
      <c r="I42" s="55" t="s">
        <v>150</v>
      </c>
      <c r="J42" s="55" t="s">
        <v>205</v>
      </c>
      <c r="K42" s="45" t="n">
        <f aca="false">IF(ISNUMBER($P$7),G42*$P$7,0)</f>
        <v>6717004.96244623</v>
      </c>
      <c r="L42" s="56" t="n">
        <f aca="false">'REV. FACHADA'!$J$7</f>
        <v>6710814.10240981</v>
      </c>
      <c r="M42" s="45" t="n">
        <f aca="false">L42-K42</f>
        <v>-6190.86003641598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CURVA PREVISION</v>
      </c>
      <c r="P42" s="58" t="n">
        <f aca="false">'REV. FACHADA'!$K$14</f>
        <v>0.0302</v>
      </c>
      <c r="Q42" s="55" t="s">
        <v>204</v>
      </c>
      <c r="R42" s="55"/>
      <c r="S42" s="59"/>
    </row>
    <row r="43" customFormat="false" ht="15" hidden="false" customHeight="false" outlineLevel="0" collapsed="false">
      <c r="B43" s="55" t="s">
        <v>206</v>
      </c>
      <c r="C43" s="55" t="s">
        <v>207</v>
      </c>
      <c r="D43" s="55" t="s">
        <v>208</v>
      </c>
      <c r="E43" s="44" t="n">
        <f aca="false">IF($F$50=0,0,F43/$F$50)</f>
        <v>0.00940363570155575</v>
      </c>
      <c r="F43" s="49" t="n">
        <v>1576702.41</v>
      </c>
      <c r="G43" s="49" t="n">
        <v>1349.851976</v>
      </c>
      <c r="H43" s="45" t="n">
        <f aca="false">MAX(G43*IF(S43="",1,S43),FORRO!$K$8)</f>
        <v>1349.851976</v>
      </c>
      <c r="I43" s="55" t="s">
        <v>150</v>
      </c>
      <c r="J43" s="55" t="s">
        <v>208</v>
      </c>
      <c r="K43" s="45" t="n">
        <f aca="false">IF(ISNUMBER($P$7),G43*$P$7,0)</f>
        <v>1754459.30699019</v>
      </c>
      <c r="L43" s="56" t="n">
        <f aca="false">FORRO!$J$7</f>
        <v>1752842.16822705</v>
      </c>
      <c r="M43" s="45" t="n">
        <f aca="false">L43-K43</f>
        <v>-1617.13876314438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CURVA PREVISION</v>
      </c>
      <c r="P43" s="58" t="n">
        <f aca="false">FORRO!$K$14</f>
        <v>0</v>
      </c>
      <c r="Q43" s="55" t="s">
        <v>207</v>
      </c>
      <c r="R43" s="55"/>
      <c r="S43" s="59"/>
    </row>
    <row r="44" customFormat="false" ht="15" hidden="false" customHeight="false" outlineLevel="0" collapsed="false">
      <c r="B44" s="55" t="s">
        <v>209</v>
      </c>
      <c r="C44" s="55" t="s">
        <v>210</v>
      </c>
      <c r="D44" s="55" t="s">
        <v>211</v>
      </c>
      <c r="E44" s="44" t="n">
        <f aca="false">IF($F$50=0,0,F44/$F$50)</f>
        <v>0.0118321597060943</v>
      </c>
      <c r="F44" s="49" t="n">
        <v>1983891.69</v>
      </c>
      <c r="G44" s="49" t="n">
        <v>1698.456282</v>
      </c>
      <c r="H44" s="45" t="n">
        <f aca="false">MAX(G44*IF(S44="",1,S44),LOUÇAS!$K$8)</f>
        <v>1698.456282</v>
      </c>
      <c r="I44" s="55" t="s">
        <v>150</v>
      </c>
      <c r="J44" s="55" t="s">
        <v>211</v>
      </c>
      <c r="K44" s="45" t="n">
        <f aca="false">IF(ISNUMBER($P$7),G44*$P$7,0)</f>
        <v>2207554.96487924</v>
      </c>
      <c r="L44" s="56" t="n">
        <f aca="false">LOUÇAS!$J$7</f>
        <v>2205520.26313048</v>
      </c>
      <c r="M44" s="45" t="n">
        <f aca="false">L44-K44</f>
        <v>-2034.70174876507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210</v>
      </c>
      <c r="R44" s="55"/>
      <c r="S44" s="59"/>
    </row>
    <row r="45" customFormat="false" ht="15" hidden="false" customHeight="false" outlineLevel="0" collapsed="false">
      <c r="B45" s="55" t="s">
        <v>212</v>
      </c>
      <c r="C45" s="55" t="s">
        <v>213</v>
      </c>
      <c r="D45" s="55" t="s">
        <v>214</v>
      </c>
      <c r="E45" s="44" t="n">
        <f aca="false">IF($F$50=0,0,F45/$F$50)</f>
        <v>0.0215649065877892</v>
      </c>
      <c r="F45" s="49" t="n">
        <v>3615775.99</v>
      </c>
      <c r="G45" s="49" t="n">
        <v>3095.550779</v>
      </c>
      <c r="H45" s="45" t="n">
        <f aca="false">MAX(G45*IF(S45="",1,S45),PINTURA!$K$8)</f>
        <v>3095.550779</v>
      </c>
      <c r="I45" s="55" t="s">
        <v>150</v>
      </c>
      <c r="J45" s="55" t="s">
        <v>214</v>
      </c>
      <c r="K45" s="45" t="n">
        <f aca="false">IF(ISNUMBER($P$7),G45*$P$7,0)</f>
        <v>4023417.36059902</v>
      </c>
      <c r="L45" s="56" t="n">
        <f aca="false">PINTURA!$J$7</f>
        <v>4018727.40533309</v>
      </c>
      <c r="M45" s="45" t="n">
        <f aca="false">L45-K45</f>
        <v>-4689.95526592433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CURVA PREVISION</v>
      </c>
      <c r="P45" s="58" t="n">
        <f aca="false">PINTURA!$K$14</f>
        <v>0.1098</v>
      </c>
      <c r="Q45" s="55" t="s">
        <v>213</v>
      </c>
      <c r="R45" s="55"/>
      <c r="S45" s="59"/>
    </row>
    <row r="46" customFormat="false" ht="15" hidden="false" customHeight="false" outlineLevel="0" collapsed="false">
      <c r="B46" s="55" t="s">
        <v>215</v>
      </c>
      <c r="C46" s="55" t="s">
        <v>216</v>
      </c>
      <c r="D46" s="55" t="s">
        <v>217</v>
      </c>
      <c r="E46" s="44" t="n">
        <f aca="false">IF($F$50=0,0,F46/$F$50)</f>
        <v>0.00516485226636037</v>
      </c>
      <c r="F46" s="49" t="n">
        <v>865987.93</v>
      </c>
      <c r="G46" s="49" t="n">
        <v>741.392613</v>
      </c>
      <c r="H46" s="45" t="n">
        <f aca="false">MAX(G46*IF(S46="",1,S46),PAISAGISMO!$K$8)</f>
        <v>741.392613</v>
      </c>
      <c r="I46" s="55" t="s">
        <v>150</v>
      </c>
      <c r="J46" s="55" t="s">
        <v>217</v>
      </c>
      <c r="K46" s="45" t="n">
        <f aca="false">IF(ISNUMBER($P$7),G46*$P$7,0)</f>
        <v>963619.117605846</v>
      </c>
      <c r="L46" s="56" t="n">
        <f aca="false">PAISAGISMO!$J$7</f>
        <v>962730.920414963</v>
      </c>
      <c r="M46" s="45" t="n">
        <f aca="false">L46-K46</f>
        <v>-888.197190882871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CURVA PREVISION</v>
      </c>
      <c r="P46" s="58" t="n">
        <f aca="false">PAISAGISMO!$K$14</f>
        <v>0</v>
      </c>
      <c r="Q46" s="55" t="s">
        <v>216</v>
      </c>
      <c r="R46" s="55"/>
      <c r="S46" s="59"/>
    </row>
    <row r="47" customFormat="false" ht="15" hidden="false" customHeight="false" outlineLevel="0" collapsed="false">
      <c r="B47" s="55" t="s">
        <v>218</v>
      </c>
      <c r="C47" s="55" t="s">
        <v>219</v>
      </c>
      <c r="D47" s="55" t="s">
        <v>220</v>
      </c>
      <c r="E47" s="44" t="n">
        <f aca="false">IF($F$50=0,0,F47/$F$50)</f>
        <v>0.00510759657608461</v>
      </c>
      <c r="F47" s="49" t="n">
        <v>856387.9</v>
      </c>
      <c r="G47" s="49" t="n">
        <v>733.173799</v>
      </c>
      <c r="H47" s="45" t="n">
        <f aca="false">MAX(G47*IF(S47="",1,S47),LIMPEZA!$K$8)</f>
        <v>733.173799</v>
      </c>
      <c r="I47" s="55" t="s">
        <v>150</v>
      </c>
      <c r="J47" s="55" t="s">
        <v>220</v>
      </c>
      <c r="K47" s="45" t="n">
        <f aca="false">IF(ISNUMBER($P$7),G47*$P$7,0)</f>
        <v>952936.779859858</v>
      </c>
      <c r="L47" s="56" t="n">
        <f aca="false">LIMPEZA!$J$7</f>
        <v>952058.42890615</v>
      </c>
      <c r="M47" s="45" t="n">
        <f aca="false">L47-K47</f>
        <v>-878.35095370817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CURVA PREVISION</v>
      </c>
      <c r="P47" s="58" t="n">
        <f aca="false">LIMPEZA!$K$14</f>
        <v>0</v>
      </c>
      <c r="Q47" s="55" t="s">
        <v>219</v>
      </c>
      <c r="R47" s="55"/>
      <c r="S47" s="59"/>
    </row>
    <row r="48" customFormat="false" ht="15" hidden="false" customHeight="false" outlineLevel="0" collapsed="false">
      <c r="B48" s="55"/>
      <c r="C48" s="55" t="s">
        <v>221</v>
      </c>
      <c r="D48" s="55" t="s">
        <v>80</v>
      </c>
      <c r="E48" s="44" t="n">
        <f aca="false">IF($F$50=0,0,F48/$F$50)</f>
        <v>0.090016630900432</v>
      </c>
      <c r="F48" s="49" t="n">
        <v>15093038.84</v>
      </c>
      <c r="G48" s="49" t="n">
        <v>12921.505153</v>
      </c>
      <c r="H48" s="45" t="n">
        <f aca="false">MAX(G48*IF(S48="",1,S48),'TAX. ADM'!$K$8)</f>
        <v>12581.5134756939</v>
      </c>
      <c r="I48" s="55" t="s">
        <v>126</v>
      </c>
      <c r="J48" s="55" t="s">
        <v>80</v>
      </c>
      <c r="K48" s="45" t="n">
        <f aca="false">IF(ISNUMBER($P$7),G48*$P$7,0)</f>
        <v>16794622.9505705</v>
      </c>
      <c r="L48" s="56" t="n">
        <f aca="false">'TAX. ADM'!$J$7</f>
        <v>16111658.2450958</v>
      </c>
      <c r="M48" s="45" t="n">
        <f aca="false">L48-K48</f>
        <v>-682964.705474692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PREVISÃO INFORMADA</v>
      </c>
      <c r="P48" s="58" t="n">
        <f aca="false">'TAX. ADM'!$K$14</f>
        <v>0</v>
      </c>
      <c r="Q48" s="55" t="s">
        <v>222</v>
      </c>
      <c r="R48" s="55"/>
      <c r="S48" s="59" t="n">
        <v>0.97368792</v>
      </c>
    </row>
    <row r="49" customFormat="false" ht="15" hidden="false" customHeight="false" outlineLevel="0" collapsed="false">
      <c r="D49" s="42" t="s">
        <v>223</v>
      </c>
      <c r="E49" s="60" t="n">
        <f aca="false">SUM(E11:E47)</f>
        <v>0.909983369099568</v>
      </c>
      <c r="F49" s="61" t="n">
        <f aca="false">SUM(F11:F47)</f>
        <v>152576409.45</v>
      </c>
      <c r="G49" s="61" t="n">
        <f aca="false">SUM(G11:G47)</f>
        <v>130635.68498</v>
      </c>
      <c r="H49" s="61" t="n">
        <f aca="false">SUM(H11:H47)</f>
        <v>127538.051812911</v>
      </c>
      <c r="K49" s="61" t="n">
        <f aca="false">SUM(K11:K47)</f>
        <v>169792686.467275</v>
      </c>
      <c r="L49" s="61" t="n">
        <f aca="false">SUM(L11:L47)</f>
        <v>163225377.516246</v>
      </c>
      <c r="M49" s="61" t="n">
        <f aca="false">SUM(M11:M47)</f>
        <v>-6567308.95102956</v>
      </c>
    </row>
    <row r="50" customFormat="false" ht="15" hidden="false" customHeight="false" outlineLevel="0" collapsed="false">
      <c r="D50" s="42" t="s">
        <v>224</v>
      </c>
      <c r="E50" s="60" t="n">
        <f aca="false">SUM(E11:E48)</f>
        <v>1</v>
      </c>
      <c r="F50" s="61" t="n">
        <f aca="false">SUM(F11:F48)</f>
        <v>167669448.29</v>
      </c>
      <c r="G50" s="61" t="n">
        <f aca="false">SUM(G11:G48)</f>
        <v>143557.190133</v>
      </c>
      <c r="H50" s="61" t="n">
        <f aca="false">SUM(H11:H48)</f>
        <v>140119.565288605</v>
      </c>
      <c r="K50" s="61" t="n">
        <f aca="false">SUM(K11:K48)</f>
        <v>186587309.417846</v>
      </c>
      <c r="L50" s="61" t="n">
        <f aca="false">SUM(L11:L48)</f>
        <v>179337035.761341</v>
      </c>
      <c r="M50" s="61" t="n">
        <f aca="false">SUM(M11:M48)</f>
        <v>-7250273.65650425</v>
      </c>
    </row>
    <row r="53" customFormat="false" ht="15" hidden="false" customHeight="false" outlineLevel="0" collapsed="false">
      <c r="D53" s="62" t="s">
        <v>225</v>
      </c>
      <c r="E53" s="62" t="s">
        <v>226</v>
      </c>
      <c r="F53" s="62" t="s">
        <v>227</v>
      </c>
      <c r="G53" s="62"/>
      <c r="H53" s="62"/>
    </row>
    <row r="54" customFormat="false" ht="15" hidden="false" customHeight="false" outlineLevel="0" collapsed="false">
      <c r="D54" s="47" t="s">
        <v>228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229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230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231</v>
      </c>
      <c r="E57" s="66" t="n">
        <f aca="false">IF(ISNUMBER(P7),P7,0)</f>
        <v>1299.742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232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233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234</v>
      </c>
      <c r="E62" s="54" t="s">
        <v>235</v>
      </c>
      <c r="F62" s="54" t="s">
        <v>236</v>
      </c>
      <c r="G62" s="54" t="s">
        <v>237</v>
      </c>
    </row>
    <row r="63" customFormat="false" ht="15" hidden="false" customHeight="false" outlineLevel="0" collapsed="false">
      <c r="D63" s="47" t="s">
        <v>238</v>
      </c>
      <c r="E63" s="67" t="n">
        <v>44412501.1799771</v>
      </c>
      <c r="F63" s="56" t="n">
        <f aca="false">SUMPRODUCT((PROJETO!$B$5:$B$76&lt;=DATE(2026,8,1))*PROJETO!$C$5:$C$76)+SUMPRODUCT((SEGUROS!$B$5:$B$76&lt;=DATE(2026,8,1))*SEGUROS!$C$5:$C$76)+SUMPRODUCT(('TAX. DIVERSAS'!$B$5:$B$76&lt;=DATE(2026,8,1))*'TAX. DIVERSAS'!$C$5:$C$76)+SUMPRODUCT(('BARRACÃO DE OBRA'!$B$5:$B$76&lt;=DATE(2026,8,1))*'BARRACÃO DE OBRA'!$C$5:$C$76)+SUMPRODUCT(('LIG. PROVISÓRIAS'!$B$5:$B$76&lt;=DATE(2026,8,1))*'LIG. PROVISÓRIAS'!$C$5:$C$76)+SUMPRODUCT((CONSUMOS!$B$5:$B$76&lt;=DATE(2026,8,1))*CONSUMOS!$C$5:$C$76)+SUMPRODUCT((DIVERSOS!$B$5:$B$76&lt;=DATE(2026,8,1))*DIVERSOS!$C$5:$C$76)+SUMPRODUCT((TRANSPORTES!$B$5:$B$76&lt;=DATE(2026,8,1))*TRANSPORTES!$C$5:$C$76)+SUMPRODUCT((CONSULTORIAS!$B$5:$B$76&lt;=DATE(2026,8,1))*CONSULTORIAS!$C$5:$C$76)+SUMPRODUCT((MDO!$B$5:$B$76&lt;=DATE(2026,8,1))*MDO!$C$5:$C$76)+SUMPRODUCT(('EQUIP E FER'!$B$5:$B$76&lt;=DATE(2026,8,1))*'EQUIP E FER'!$C$5:$C$76)+SUMPRODUCT(('SERV. INICIAIS'!$B$5:$B$76&lt;=DATE(2026,8,1))*'SERV. INICIAIS'!$C$5:$C$76)+SUMPRODUCT((CONTENÇÃO!$B$5:$B$76&lt;=DATE(2026,8,1))*CONTENÇÃO!$C$5:$C$76)+SUMPRODUCT((TERRAPLENAGEM!$B$5:$B$76&lt;=DATE(2026,8,1))*TERRAPLENAGEM!$C$5:$C$76)+SUMPRODUCT(('FUND. PROF'!$B$5:$B$76&lt;=DATE(2026,8,1))*'FUND. PROF'!$C$5:$C$76)+SUMPRODUCT(('FUND. SUP'!$B$5:$B$76&lt;=DATE(2026,8,1))*'FUND. SUP'!$C$5:$C$76)+SUMPRODUCT((ESTRUTURA!$B$5:$B$76&lt;=DATE(2026,8,1))*ESTRUTURA!$C$5:$C$76)+SUMPRODUCT((ALVENARIA!$B$5:$B$76&lt;=DATE(2026,8,1))*ALVENARIA!$C$5:$C$76)+SUMPRODUCT((IMPERMEABILIZAÇÃO!$B$5:$B$76&lt;=DATE(2026,8,1))*IMPERMEABILIZAÇÃO!$C$5:$C$76)+SUMPRODUCT(('INST. ELÉTRICA'!$B$5:$B$76&lt;=DATE(2026,8,1))*'INST. ELÉTRICA'!$C$5:$C$76)+SUMPRODUCT(('INST. HIDRO'!$B$5:$B$76&lt;=DATE(2026,8,1))*'INST. HIDRO'!$C$5:$C$76)+SUMPRODUCT(('INST. INC'!$B$5:$B$76&lt;=DATE(2026,8,1))*'INST. INC'!$C$5:$C$76)+SUMPRODUCT(('INST. ESP'!$B$5:$B$76&lt;=DATE(2026,8,1))*'INST. ESP'!$C$5:$C$76)+SUMPRODUCT(('ELEVADORES '!$B$5:$B$76&lt;=DATE(2026,8,1))*'ELEVADORES '!$C$5:$C$76)+SUMPRODUCT((ESQUADRIAS!$B$5:$B$76&lt;=DATE(2026,8,1))*ESQUADRIAS!$C$5:$C$76)+SUMPRODUCT((SERRALHERIA!$B$5:$B$76&lt;=DATE(2026,8,1))*SERRALHERIA!$C$5:$C$76)+SUMPRODUCT((MARCENARIA!$B$5:$B$76&lt;=DATE(2026,8,1))*MARCENARIA!$C$5:$C$76)+SUMPRODUCT(('REV. PISOS'!$B$5:$B$76&lt;=DATE(2026,8,1))*'REV. PISOS'!$C$5:$C$76)+SUMPRODUCT(('REV. PAREDE'!$B$5:$B$76&lt;=DATE(2026,8,1))*'REV. PAREDE'!$C$5:$C$76)+SUMPRODUCT(('REV. ACAB'!$B$5:$B$76&lt;=DATE(2026,8,1))*'REV. ACAB'!$C$5:$C$76)+SUMPRODUCT((PAVIMENTAÇÃO!$B$5:$B$76&lt;=DATE(2026,8,1))*PAVIMENTAÇÃO!$C$5:$C$76)+SUMPRODUCT(('REV. FACHADA'!$B$5:$B$76&lt;=DATE(2026,8,1))*'REV. FACHADA'!$C$5:$C$76)+SUMPRODUCT((FORRO!$B$5:$B$76&lt;=DATE(2026,8,1))*FORRO!$C$5:$C$76)+SUMPRODUCT((LOUÇAS!$B$5:$B$76&lt;=DATE(2026,8,1))*LOUÇAS!$C$5:$C$76)+SUMPRODUCT((PINTURA!$B$5:$B$76&lt;=DATE(2026,8,1))*PINTURA!$C$5:$C$76)+SUMPRODUCT((PAISAGISMO!$B$5:$B$76&lt;=DATE(2026,8,1))*PAISAGISMO!$C$5:$C$76)+SUMPRODUCT((LIMPEZA!$B$5:$B$76&lt;=DATE(2026,8,1))*LIMPEZA!$C$5:$C$76)+SUMPRODUCT(('TAX. ADM'!$B$5:$B$76&lt;=DATE(2026,8,1))*'TAX. ADM'!$C$5:$C$76)</f>
        <v>44259313.94</v>
      </c>
      <c r="G63" s="68" t="n">
        <f aca="false">E63-F63</f>
        <v>153187.239977069</v>
      </c>
    </row>
    <row r="64" customFormat="false" ht="15" hidden="false" customHeight="false" outlineLevel="0" collapsed="false">
      <c r="D64" s="47" t="s">
        <v>239</v>
      </c>
      <c r="E64" s="69" t="n">
        <v>36193</v>
      </c>
      <c r="F64" s="52" t="n">
        <f aca="false">SUMPRODUCT((PROJETO!$B$5:$B$76&lt;=DATE(2026,8,1))*PROJETO!$L$5:$L$76)+SUMPRODUCT((SEGUROS!$B$5:$B$76&lt;=DATE(2026,8,1))*SEGUROS!$L$5:$L$76)+SUMPRODUCT(('TAX. DIVERSAS'!$B$5:$B$76&lt;=DATE(2026,8,1))*'TAX. DIVERSAS'!$L$5:$L$76)+SUMPRODUCT(('BARRACÃO DE OBRA'!$B$5:$B$76&lt;=DATE(2026,8,1))*'BARRACÃO DE OBRA'!$L$5:$L$76)+SUMPRODUCT(('LIG. PROVISÓRIAS'!$B$5:$B$76&lt;=DATE(2026,8,1))*'LIG. PROVISÓRIAS'!$L$5:$L$76)+SUMPRODUCT((CONSUMOS!$B$5:$B$76&lt;=DATE(2026,8,1))*CONSUMOS!$L$5:$L$76)+SUMPRODUCT((DIVERSOS!$B$5:$B$76&lt;=DATE(2026,8,1))*DIVERSOS!$L$5:$L$76)+SUMPRODUCT((TRANSPORTES!$B$5:$B$76&lt;=DATE(2026,8,1))*TRANSPORTES!$L$5:$L$76)+SUMPRODUCT((CONSULTORIAS!$B$5:$B$76&lt;=DATE(2026,8,1))*CONSULTORIAS!$L$5:$L$76)+SUMPRODUCT((MDO!$B$5:$B$76&lt;=DATE(2026,8,1))*MDO!$L$5:$L$76)+SUMPRODUCT(('EQUIP E FER'!$B$5:$B$76&lt;=DATE(2026,8,1))*'EQUIP E FER'!$L$5:$L$76)+SUMPRODUCT(('SERV. INICIAIS'!$B$5:$B$76&lt;=DATE(2026,8,1))*'SERV. INICIAIS'!$L$5:$L$76)+SUMPRODUCT((CONTENÇÃO!$B$5:$B$76&lt;=DATE(2026,8,1))*CONTENÇÃO!$L$5:$L$76)+SUMPRODUCT((TERRAPLENAGEM!$B$5:$B$76&lt;=DATE(2026,8,1))*TERRAPLENAGEM!$L$5:$L$76)+SUMPRODUCT(('FUND. PROF'!$B$5:$B$76&lt;=DATE(2026,8,1))*'FUND. PROF'!$L$5:$L$76)+SUMPRODUCT(('FUND. SUP'!$B$5:$B$76&lt;=DATE(2026,8,1))*'FUND. SUP'!$L$5:$L$76)+SUMPRODUCT((ESTRUTURA!$B$5:$B$76&lt;=DATE(2026,8,1))*ESTRUTURA!$L$5:$L$76)+SUMPRODUCT((ALVENARIA!$B$5:$B$76&lt;=DATE(2026,8,1))*ALVENARIA!$L$5:$L$76)+SUMPRODUCT((IMPERMEABILIZAÇÃO!$B$5:$B$76&lt;=DATE(2026,8,1))*IMPERMEABILIZAÇÃO!$L$5:$L$76)+SUMPRODUCT(('INST. ELÉTRICA'!$B$5:$B$76&lt;=DATE(2026,8,1))*'INST. ELÉTRICA'!$L$5:$L$76)+SUMPRODUCT(('INST. HIDRO'!$B$5:$B$76&lt;=DATE(2026,8,1))*'INST. HIDRO'!$L$5:$L$76)+SUMPRODUCT(('INST. INC'!$B$5:$B$76&lt;=DATE(2026,8,1))*'INST. INC'!$L$5:$L$76)+SUMPRODUCT(('INST. ESP'!$B$5:$B$76&lt;=DATE(2026,8,1))*'INST. ESP'!$L$5:$L$76)+SUMPRODUCT(('ELEVADORES '!$B$5:$B$76&lt;=DATE(2026,8,1))*'ELEVADORES '!$L$5:$L$76)+SUMPRODUCT((ESQUADRIAS!$B$5:$B$76&lt;=DATE(2026,8,1))*ESQUADRIAS!$L$5:$L$76)+SUMPRODUCT((SERRALHERIA!$B$5:$B$76&lt;=DATE(2026,8,1))*SERRALHERIA!$L$5:$L$76)+SUMPRODUCT((MARCENARIA!$B$5:$B$76&lt;=DATE(2026,8,1))*MARCENARIA!$L$5:$L$76)+SUMPRODUCT(('REV. PISOS'!$B$5:$B$76&lt;=DATE(2026,8,1))*'REV. PISOS'!$L$5:$L$76)+SUMPRODUCT(('REV. PAREDE'!$B$5:$B$76&lt;=DATE(2026,8,1))*'REV. PAREDE'!$L$5:$L$76)+SUMPRODUCT(('REV. ACAB'!$B$5:$B$76&lt;=DATE(2026,8,1))*'REV. ACAB'!$L$5:$L$76)+SUMPRODUCT((PAVIMENTAÇÃO!$B$5:$B$76&lt;=DATE(2026,8,1))*PAVIMENTAÇÃO!$L$5:$L$76)+SUMPRODUCT(('REV. FACHADA'!$B$5:$B$76&lt;=DATE(2026,8,1))*'REV. FACHADA'!$L$5:$L$76)+SUMPRODUCT((FORRO!$B$5:$B$76&lt;=DATE(2026,8,1))*FORRO!$L$5:$L$76)+SUMPRODUCT((LOUÇAS!$B$5:$B$76&lt;=DATE(2026,8,1))*LOUÇAS!$L$5:$L$76)+SUMPRODUCT((PINTURA!$B$5:$B$76&lt;=DATE(2026,8,1))*PINTURA!$L$5:$L$76)+SUMPRODUCT((PAISAGISMO!$B$5:$B$76&lt;=DATE(2026,8,1))*PAISAGISMO!$L$5:$L$76)+SUMPRODUCT((LIMPEZA!$B$5:$B$76&lt;=DATE(2026,8,1))*LIMPEZA!$L$5:$L$76)+SUMPRODUCT(('TAX. ADM'!$B$5:$B$76&lt;=DATE(2026,8,1))*'TAX. ADM'!$L$5:$L$76)</f>
        <v>36101.5983930202</v>
      </c>
      <c r="G64" s="70" t="n">
        <f aca="false">E64-F64</f>
        <v>91.4016069798236</v>
      </c>
    </row>
    <row r="65" customFormat="false" ht="15" hidden="false" customHeight="false" outlineLevel="0" collapsed="false">
      <c r="D65" s="47" t="s">
        <v>240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ACAB'!$K$8)+MAX(0,PAVIMENTAÇÃO!$K$6-PAVIMENTAÇÃO!$K$8)+MAX(0,'REV. FACHADA'!$K$6-'REV. FACHADA'!$K$8)+MAX(0,FORRO!$K$6-FORRO!$K$8)+MAX(0,LOUÇAS!$K$6-LOUÇAS!$K$8)+MAX(0,PINTURA!$K$6-PINTURA!$K$8)+MAX(0,PAISAGISMO!$K$6-PAISAGISMO!$K$8)+MAX(0,LIMPEZA!$K$6-LIMPEZA!$K$8)+MAX(0,'TAX. ADM'!$K$6-'TAX. ADM'!$K$8)</f>
        <v>99163.0425875294</v>
      </c>
      <c r="G65" s="71" t="n">
        <f aca="false">IF(F65&gt;0,1-G64/F65,1)</f>
        <v>0.99907826943794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0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0">
      <formula>"OK"</formula>
    </cfRule>
  </conditionalFormatting>
  <conditionalFormatting sqref="O11:O48">
    <cfRule type="cellIs" priority="6" operator="equal" aboveAverage="0" equalAverage="0" bottom="0" percent="0" rank="0" text="" dxfId="6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TORRE CATHARINA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set/2026     ·     Cenário: Prevision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241</v>
      </c>
      <c r="C5" s="73"/>
      <c r="D5" s="74" t="n">
        <v>2027</v>
      </c>
      <c r="E5" s="75" t="s">
        <v>242</v>
      </c>
      <c r="F5" s="76" t="n">
        <f aca="false">'VALOR POR PL'!$P$5</f>
        <v>46266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1299.742</v>
      </c>
      <c r="H5" s="8"/>
      <c r="I5" s="8"/>
      <c r="J5" s="75" t="s">
        <v>243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244</v>
      </c>
      <c r="C7" s="11"/>
      <c r="D7" s="11" t="s">
        <v>245</v>
      </c>
      <c r="E7" s="11"/>
      <c r="F7" s="11" t="s">
        <v>246</v>
      </c>
      <c r="G7" s="11"/>
      <c r="H7" s="11" t="s">
        <v>247</v>
      </c>
      <c r="I7" s="11"/>
      <c r="J7" s="11" t="s">
        <v>248</v>
      </c>
      <c r="K7" s="11" t="s">
        <v>249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67227251.9655059</v>
      </c>
      <c r="C8" s="79"/>
      <c r="D8" s="80" t="n">
        <f aca="false">G53</f>
        <v>51723.5358752013</v>
      </c>
      <c r="E8" s="80"/>
      <c r="F8" s="79" t="n">
        <f aca="false">H53</f>
        <v>67227251.9655059</v>
      </c>
      <c r="G8" s="79"/>
      <c r="H8" s="81" t="n">
        <f aca="false">IFERROR(SUMPRODUCT(D12:D50,N12:N50)/SUMPRODUCT(ISNUMBER(D12:D50)*N12:N50),0)</f>
        <v>0.745703362159129</v>
      </c>
      <c r="I8" s="81"/>
      <c r="J8" s="81" t="n">
        <f aca="false">IFERROR(SUMPRODUCT(J12:J50,M12:M50)/SUM(M12:M50),0)</f>
        <v>0.734135671157673</v>
      </c>
      <c r="K8" s="82" t="str">
        <f aca="false" t="array" ref="K8:K8">INDEX(C12:C50,MATCH(MAX(IF(LEN(B12:B50)=2,F12:F50)),IF(LEN(B12:B50)=2,F12:F50),0))</f>
        <v>INSTALAÇÕES ELÉTRICAS</v>
      </c>
      <c r="L8" s="8"/>
      <c r="M8" s="8"/>
    </row>
    <row r="9" customFormat="false" ht="18" hidden="false" customHeight="true" outlineLevel="0" collapsed="false">
      <c r="A9" s="8"/>
      <c r="B9" s="14" t="s">
        <v>250</v>
      </c>
      <c r="C9" s="14"/>
      <c r="D9" s="14" t="s">
        <v>251</v>
      </c>
      <c r="E9" s="14"/>
      <c r="F9" s="14" t="s">
        <v>252</v>
      </c>
      <c r="G9" s="14"/>
      <c r="H9" s="14" t="s">
        <v>253</v>
      </c>
      <c r="I9" s="14"/>
      <c r="J9" s="14" t="s">
        <v>254</v>
      </c>
      <c r="K9" s="14" t="str">
        <f aca="false" t="array" ref="K9:K9">"R$ "&amp;FIXED(MAX(IF(LEN(B12:B50)=2,F12:F50))/1000000,1)&amp;" mi no ano"</f>
        <v>R$ 6.9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255</v>
      </c>
      <c r="C11" s="83" t="s">
        <v>256</v>
      </c>
      <c r="D11" s="84" t="s">
        <v>257</v>
      </c>
      <c r="E11" s="84" t="s">
        <v>258</v>
      </c>
      <c r="F11" s="84" t="s">
        <v>259</v>
      </c>
      <c r="G11" s="84" t="s">
        <v>260</v>
      </c>
      <c r="H11" s="84" t="s">
        <v>261</v>
      </c>
      <c r="I11" s="84" t="s">
        <v>262</v>
      </c>
      <c r="J11" s="84" t="s">
        <v>263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264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4130.6395169648</v>
      </c>
      <c r="G12" s="89" t="n">
        <f aca="false">SUMPRODUCT((YEAR('MODELO PARA BI'!$H$1:$CA$1)=$D$5)*'MODELO PARA BI'!$H$30:$CA$30)</f>
        <v>3.1780457328953</v>
      </c>
      <c r="H12" s="89" t="n">
        <f aca="false">IF(ISNUMBER($G$5),G12*$G$5,0)</f>
        <v>4130.6395169648</v>
      </c>
      <c r="I12" s="87" t="n">
        <f aca="false">IF($F$53=0,0,F12/$F$53)</f>
        <v>6.1442932682779E-005</v>
      </c>
      <c r="J12" s="87" t="n">
        <f aca="false">IF('VALOR POR PL'!L11=0,0,SUMPRODUCT((PROJETO!$B$5:$B$76&lt;=DATE($D$5,12,1))*(PROJETO!$C$5:$C$76+PROJETO!$D$5:$D$76))/'VALOR POR PL'!L11)</f>
        <v>0.999086591582288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3768521.86899368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27945.9575464758</v>
      </c>
      <c r="G13" s="98" t="n">
        <f aca="false">SUMPRODUCT((YEAR('MODELO PARA BI'!$H$1:$CA$1)=$D$5)*'MODELO PARA BI'!$H$41:$CA$41)</f>
        <v>21.5011575731767</v>
      </c>
      <c r="H13" s="98" t="n">
        <f aca="false">IF(ISNUMBER($G$5),G13*$G$5,0)</f>
        <v>27945.9575464758</v>
      </c>
      <c r="I13" s="96" t="n">
        <f aca="false">IF($F$53=0,0,F13/$F$53)</f>
        <v>0.000415693884986029</v>
      </c>
      <c r="J13" s="96" t="n">
        <f aca="false">IF('VALOR POR PL'!L12=0,0,SUMPRODUCT((SEGUROS!$B$5:$B$76&lt;=DATE($D$5,12,1))*(SEGUROS!$C$5:$C$76+SEGUROS!$D$5:$D$76))/'VALOR POR PL'!L12)</f>
        <v>0.831632868493653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165275.47447957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3114.91029154953</v>
      </c>
      <c r="G14" s="89" t="n">
        <f aca="false">SUMPRODUCT((YEAR('MODELO PARA BI'!$H$1:$CA$1)=$D$5)*'MODELO PARA BI'!$H$51:$CA$51)</f>
        <v>2.39656046473033</v>
      </c>
      <c r="H14" s="89" t="n">
        <f aca="false">IF(ISNUMBER($G$5),G14*$G$5,0)</f>
        <v>3114.91029154953</v>
      </c>
      <c r="I14" s="87" t="n">
        <f aca="false">IF($F$53=0,0,F14/$F$53)</f>
        <v>4.63340416346005E-005</v>
      </c>
      <c r="J14" s="87" t="n">
        <f aca="false">IF('VALOR POR PL'!L13=0,0,SUMPRODUCT(('TAX. DIVERSAS'!$B$5:$B$76&lt;=DATE($D$5,12,1))*('TAX. DIVERSAS'!$C$5:$C$76+'TAX. DIVERSAS'!$D$5:$D$76))/'VALOR POR PL'!L13)</f>
        <v>0.0733722043708562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222730.444889799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122474.39571245</v>
      </c>
      <c r="G15" s="98" t="n">
        <f aca="false">SUMPRODUCT((YEAR('MODELO PARA BI'!$H$1:$CA$1)=$D$5)*'MODELO PARA BI'!$H$3:$CA$3)</f>
        <v>94.2297746110001</v>
      </c>
      <c r="H15" s="98" t="n">
        <f aca="false">IF(ISNUMBER($G$5),G15*$G$5,0)</f>
        <v>122474.39571245</v>
      </c>
      <c r="I15" s="96" t="n">
        <f aca="false">IF($F$53=0,0,F15/$F$53)</f>
        <v>0.0018217968477321</v>
      </c>
      <c r="J15" s="96" t="n">
        <f aca="false">IF('VALOR POR PL'!L14=0,0,SUMPRODUCT(('BARRACÃO DE OBRA'!$B$5:$B$76&lt;=DATE($D$5,12,1))*('BARRACÃO DE OBRA'!$C$5:$C$76+'BARRACÃO DE OBRA'!$D$5:$D$76))/'VALOR POR PL'!L14)</f>
        <v>0.974951987978438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>Concluído (todas as 18 atividades)</v>
      </c>
      <c r="L15" s="100"/>
      <c r="M15" s="92" t="n">
        <f aca="false">'VALOR POR PL'!L14</f>
        <v>1267826.12644588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16960.834075958</v>
      </c>
      <c r="G16" s="89" t="n">
        <f aca="false">SUMPRODUCT((YEAR('MODELO PARA BI'!$H$1:$CA$1)=$D$5)*'MODELO PARA BI'!$H$43:$CA$43)</f>
        <v>13.0493852441162</v>
      </c>
      <c r="H16" s="89" t="n">
        <f aca="false">IF(ISNUMBER($G$5),G16*$G$5,0)</f>
        <v>16960.834075958</v>
      </c>
      <c r="I16" s="87" t="n">
        <f aca="false">IF($F$53=0,0,F16/$F$53)</f>
        <v>0.000252291051323362</v>
      </c>
      <c r="J16" s="87" t="n">
        <f aca="false">IF('VALOR POR PL'!L15=0,0,SUMPRODUCT(('LIG. PROVISÓRIAS'!$B$5:$B$76&lt;=DATE($D$5,12,1))*('LIG. PROVISÓRIAS'!$C$5:$C$76+'LIG. PROVISÓRIAS'!$D$5:$D$76))/'VALOR POR PL'!L15)</f>
        <v>0.803121065515478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86148.5466709056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212484.974204928</v>
      </c>
      <c r="G17" s="98" t="n">
        <f aca="false">SUMPRODUCT((YEAR('MODELO PARA BI'!$H$1:$CA$1)=$D$5)*'MODELO PARA BI'!$H$5:$CA$5)</f>
        <v>163.48242513124</v>
      </c>
      <c r="H17" s="98" t="n">
        <f aca="false">IF(ISNUMBER($G$5),G17*$G$5,0)</f>
        <v>212484.974204928</v>
      </c>
      <c r="I17" s="96" t="n">
        <f aca="false">IF($F$53=0,0,F17/$F$53)</f>
        <v>0.00316069700891468</v>
      </c>
      <c r="J17" s="96" t="n">
        <f aca="false">IF('VALOR POR PL'!L16=0,0,SUMPRODUCT((CONSUMOS!$B$5:$B$76&lt;=DATE($D$5,12,1))*(CONSUMOS!$C$5:$C$76+CONSUMOS!$D$5:$D$76))/'VALOR POR PL'!L16)</f>
        <v>0.638148967440637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642823.539390426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65669.7293216609</v>
      </c>
      <c r="G18" s="89" t="n">
        <f aca="false">SUMPRODUCT((YEAR('MODELO PARA BI'!$H$1:$CA$1)=$D$5)*'MODELO PARA BI'!$H$9:$CA$9)</f>
        <v>50.5252037109372</v>
      </c>
      <c r="H18" s="89" t="n">
        <f aca="false">IF(ISNUMBER($G$5),G18*$G$5,0)</f>
        <v>65669.729321661</v>
      </c>
      <c r="I18" s="87" t="n">
        <f aca="false">IF($F$53=0,0,F18/$F$53)</f>
        <v>0.000976831975154301</v>
      </c>
      <c r="J18" s="87" t="n">
        <f aca="false">IF('VALOR POR PL'!L17=0,0,SUMPRODUCT((DIVERSOS!$B$5:$B$76&lt;=DATE($D$5,12,1))*(DIVERSOS!$C$5:$C$76+DIVERSOS!$D$5:$D$76))/'VALOR POR PL'!L17)</f>
        <v>0.688106680222686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306464.866151032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375809.895478019</v>
      </c>
      <c r="G19" s="98" t="n">
        <f aca="false">SUMPRODUCT((YEAR('MODELO PARA BI'!$H$1:$CA$1)=$D$5)*'MODELO PARA BI'!$H$47:$CA$47)</f>
        <v>289.141918533077</v>
      </c>
      <c r="H19" s="98" t="n">
        <f aca="false">IF(ISNUMBER($G$5),G19*$G$5,0)</f>
        <v>375809.895478018</v>
      </c>
      <c r="I19" s="96" t="n">
        <f aca="false">IF($F$53=0,0,F19/$F$53)</f>
        <v>0.00559014215947493</v>
      </c>
      <c r="J19" s="96" t="n">
        <f aca="false">IF('VALOR POR PL'!L18=0,0,SUMPRODUCT((TRANSPORTES!$B$5:$B$76&lt;=DATE($D$5,12,1))*(TRANSPORTES!$C$5:$C$76+TRANSPORTES!$D$5:$D$76))/'VALOR POR PL'!L18)</f>
        <v>0.652176236146874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953605.902324634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214762.440168473</v>
      </c>
      <c r="G20" s="89" t="n">
        <f aca="false">SUMPRODUCT((YEAR('MODELO PARA BI'!$H$1:$CA$1)=$D$5)*'MODELO PARA BI'!$H$4:$CA$4)</f>
        <v>165.234669779443</v>
      </c>
      <c r="H20" s="89" t="n">
        <f aca="false">IF(ISNUMBER($G$5),G20*$G$5,0)</f>
        <v>214762.440168473</v>
      </c>
      <c r="I20" s="87" t="n">
        <f aca="false">IF($F$53=0,0,F20/$F$53)</f>
        <v>0.00319457413310107</v>
      </c>
      <c r="J20" s="87" t="n">
        <f aca="false">IF('VALOR POR PL'!L19=0,0,SUMPRODUCT((CONSULTORIAS!$B$5:$B$76&lt;=DATE($D$5,12,1))*(CONSULTORIAS!$C$5:$C$76+CONSULTORIAS!$D$5:$D$76))/'VALOR POR PL'!L19)</f>
        <v>0.703883633902871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1679934.69862738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5789842.14222429</v>
      </c>
      <c r="G21" s="98" t="n">
        <f aca="false">SUMPRODUCT((YEAR('MODELO PARA BI'!$H$1:$CA$1)=$D$5)*'MODELO PARA BI'!$H$50:$CA$50)</f>
        <v>4454.60879330228</v>
      </c>
      <c r="H21" s="98" t="n">
        <f aca="false">IF(ISNUMBER($G$5),G21*$G$5,0)</f>
        <v>5789842.14222429</v>
      </c>
      <c r="I21" s="96" t="n">
        <f aca="false">IF($F$53=0,0,F21/$F$53)</f>
        <v>0.0861234391254762</v>
      </c>
      <c r="J21" s="96" t="n">
        <f aca="false">IF('VALOR POR PL'!L20=0,0,SUMPRODUCT((MDO!$B$5:$B$76&lt;=DATE($D$5,12,1))*(MDO!$C$5:$C$76+MDO!$D$5:$D$76))/'VALOR POR PL'!L20)</f>
        <v>0.612738452982613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21436708.6780545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2140068.20538295</v>
      </c>
      <c r="G22" s="89" t="n">
        <f aca="false">SUMPRODUCT((YEAR('MODELO PARA BI'!$H$1:$CA$1)=$D$5)*'MODELO PARA BI'!$H$12:$CA$12)</f>
        <v>1646.53308532228</v>
      </c>
      <c r="H22" s="89" t="n">
        <f aca="false">IF(ISNUMBER($G$5),G22*$G$5,0)</f>
        <v>2140068.20538295</v>
      </c>
      <c r="I22" s="87" t="n">
        <f aca="false">IF($F$53=0,0,F22/$F$53)</f>
        <v>0.0318333435149337</v>
      </c>
      <c r="J22" s="87" t="n">
        <f aca="false">IF('VALOR POR PL'!L21=0,0,SUMPRODUCT(('EQUIP E FER'!$B$5:$B$76&lt;=DATE($D$5,12,1))*('EQUIP E FER'!$C$5:$C$76+'EQUIP E FER'!$D$5:$D$76))/'VALOR POR PL'!L21)</f>
        <v>0.631579022448877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8113545.27109457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265</v>
      </c>
      <c r="C23" s="102" t="s">
        <v>266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8973264.12392372</v>
      </c>
      <c r="G23" s="104" t="n">
        <f aca="false">SUM(G12:G22)</f>
        <v>6903.88101940518</v>
      </c>
      <c r="H23" s="104" t="n">
        <f aca="false">SUM(H12:H22)</f>
        <v>8973264.12392372</v>
      </c>
      <c r="I23" s="103" t="n">
        <f aca="false">IF($F$53=0,0,F23/$F$53)</f>
        <v>0.133476586675414</v>
      </c>
      <c r="J23" s="103" t="n">
        <f aca="false">IFERROR(SUMPRODUCT(J12:J22,M12:M22)/SUM(M12:M22),0)</f>
        <v>0.67046221246836</v>
      </c>
      <c r="K23" s="105"/>
      <c r="L23" s="105"/>
      <c r="M23" s="8" t="n">
        <f aca="false">SUM(M12:M22)</f>
        <v>38643585.4171223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1</v>
      </c>
      <c r="F24" s="89" t="n">
        <f aca="false">SUMPRODUCT((YEAR('SERV. INICIAIS'!$B$5:$B$76)=$D$5)*('SERV. INICIAIS'!$C$5:$C$76+'SERV. INICIAIS'!$D$5:$D$76))</f>
        <v>0</v>
      </c>
      <c r="G24" s="89" t="n">
        <f aca="false">SUMPRODUCT((YEAR('MODELO PARA BI'!$H$1:$CA$1)=$D$5)*'MODELO PARA BI'!$H$53:$CA$53)</f>
        <v>0</v>
      </c>
      <c r="H24" s="89" t="n">
        <f aca="false">IF(ISNUMBER($G$5),G24*$G$5,0)</f>
        <v>0</v>
      </c>
      <c r="I24" s="87" t="n">
        <f aca="false">IF($F$53=0,0,F24/$F$53)</f>
        <v>0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4 atividades)</v>
      </c>
      <c r="L24" s="91"/>
      <c r="M24" s="92" t="n">
        <f aca="false">'VALOR POR PL'!L22</f>
        <v>52250.01</v>
      </c>
      <c r="N24" s="93" t="n">
        <f aca="false">IF('VALOR POR PL'!I22="DIRETO",'VALOR POR PL'!L22,0)</f>
        <v>52250.01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1</v>
      </c>
      <c r="F25" s="98" t="n">
        <f aca="false">SUMPRODUCT((YEAR(CONTENÇÃO!$B$5:$B$76)=$D$5)*(CONTENÇÃO!$C$5:$C$76+CONTENÇÃO!$D$5:$D$76))</f>
        <v>29292.63</v>
      </c>
      <c r="G25" s="98" t="n">
        <f aca="false">SUMPRODUCT((YEAR('MODELO PARA BI'!$H$1:$CA$1)=$D$5)*'MODELO PARA BI'!$H$6:$CA$6)</f>
        <v>22.5372650879944</v>
      </c>
      <c r="H25" s="98" t="n">
        <f aca="false">IF(ISNUMBER($G$5),G25*$G$5,0)</f>
        <v>29292.63</v>
      </c>
      <c r="I25" s="96" t="n">
        <f aca="false">IF($F$53=0,0,F25/$F$53)</f>
        <v>0.000435725530102435</v>
      </c>
      <c r="J25" s="96" t="n">
        <f aca="false">IF('VALOR POR PL'!L23=0,0,SUMPRODUCT((CONTENÇÃO!$B$5:$B$76&lt;=DATE($D$5,12,1))*(CONTENÇÃO!$C$5:$C$76+CONTENÇÃO!$D$5:$D$76))/'VALOR POR PL'!L23)</f>
        <v>0.999460696333359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257 atividades)</v>
      </c>
      <c r="L25" s="100"/>
      <c r="M25" s="92" t="n">
        <f aca="false">'VALOR POR PL'!L23</f>
        <v>3094379.11</v>
      </c>
      <c r="N25" s="93" t="n">
        <f aca="false">IF('VALOR POR PL'!I23="DIRETO",'VALOR POR PL'!L23,0)</f>
        <v>3094379.11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1</v>
      </c>
      <c r="F26" s="89" t="n">
        <f aca="false">SUMPRODUCT((YEAR(TERRAPLENAGEM!$B$5:$B$76)=$D$5)*(TERRAPLENAGEM!$C$5:$C$76+TERRAPLENAGEM!$D$5:$D$76))</f>
        <v>3624.57</v>
      </c>
      <c r="G26" s="89" t="n">
        <f aca="false">SUMPRODUCT((YEAR('MODELO PARA BI'!$H$1:$CA$1)=$D$5)*'MODELO PARA BI'!$H$45:$CA$45)</f>
        <v>2.78868421579052</v>
      </c>
      <c r="H26" s="89" t="n">
        <f aca="false">IF(ISNUMBER($G$5),G26*$G$5,0)</f>
        <v>3624.57</v>
      </c>
      <c r="I26" s="87" t="n">
        <f aca="false">IF($F$53=0,0,F26/$F$53)</f>
        <v>5.39151890643955E-005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4 atividades)</v>
      </c>
      <c r="L26" s="91"/>
      <c r="M26" s="92" t="n">
        <f aca="false">'VALOR POR PL'!L24</f>
        <v>2096520.99</v>
      </c>
      <c r="N26" s="93" t="n">
        <f aca="false">IF('VALOR POR PL'!I24="DIRETO",'VALOR POR PL'!L24,0)</f>
        <v>2096520.99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1</v>
      </c>
      <c r="F27" s="98" t="n">
        <f aca="false">SUMPRODUCT((YEAR('FUND. PROF'!$B$5:$B$76)=$D$5)*('FUND. PROF'!$C$5:$C$76+'FUND. PROF'!$D$5:$D$76))</f>
        <v>12016.19</v>
      </c>
      <c r="G27" s="98" t="n">
        <f aca="false">SUMPRODUCT((YEAR('MODELO PARA BI'!$H$1:$CA$1)=$D$5)*'MODELO PARA BI'!$H$16:$CA$16)</f>
        <v>9.2450578653302</v>
      </c>
      <c r="H27" s="98" t="n">
        <f aca="false">IF(ISNUMBER($G$5),G27*$G$5,0)</f>
        <v>12016.19</v>
      </c>
      <c r="I27" s="96" t="n">
        <f aca="false">IF($F$53=0,0,F27/$F$53)</f>
        <v>0.000178739865883042</v>
      </c>
      <c r="J27" s="96" t="n">
        <f aca="false">IF('VALOR POR PL'!L25=0,0,SUMPRODUCT(('FUND. PROF'!$B$5:$B$76&lt;=DATE($D$5,12,1))*('FUND. PROF'!$C$5:$C$76+'FUND. PROF'!$D$5:$D$76))/'VALOR POR PL'!L25)</f>
        <v>0.999726581627933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178 atividades)</v>
      </c>
      <c r="L27" s="100"/>
      <c r="M27" s="92" t="n">
        <f aca="false">'VALOR POR PL'!L25</f>
        <v>5000029.77</v>
      </c>
      <c r="N27" s="93" t="n">
        <f aca="false">IF('VALOR POR PL'!I25="DIRETO",'VALOR POR PL'!L25,0)</f>
        <v>5000029.77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0.9894</v>
      </c>
      <c r="F28" s="89" t="n">
        <f aca="false">SUMPRODUCT((YEAR('FUND. SUP'!$B$5:$B$76)=$D$5)*('FUND. SUP'!$C$5:$C$76+'FUND. SUP'!$D$5:$D$76))</f>
        <v>200488.768773543</v>
      </c>
      <c r="G28" s="89" t="n">
        <f aca="false">SUMPRODUCT((YEAR('MODELO PARA BI'!$H$1:$CA$1)=$D$5)*'MODELO PARA BI'!$H$17:$CA$17)</f>
        <v>154.252743062503</v>
      </c>
      <c r="H28" s="89" t="n">
        <f aca="false">IF(ISNUMBER($G$5),G28*$G$5,0)</f>
        <v>200488.768773543</v>
      </c>
      <c r="I28" s="87" t="n">
        <f aca="false">IF($F$53=0,0,F28/$F$53)</f>
        <v>0.00298225441189257</v>
      </c>
      <c r="J28" s="87" t="n">
        <f aca="false">IF('VALOR POR PL'!L26=0,0,SUMPRODUCT(('FUND. SUP'!$B$5:$B$76&lt;=DATE($D$5,12,1))*('FUND. SUP'!$C$5:$C$76+'FUND. SUP'!$D$5:$D$76))/'VALOR POR PL'!L26)</f>
        <v>0.996964961352592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133 atividades)</v>
      </c>
      <c r="L28" s="91"/>
      <c r="M28" s="92" t="n">
        <f aca="false">'VALOR POR PL'!L26</f>
        <v>2623109.92540345</v>
      </c>
      <c r="N28" s="93" t="n">
        <f aca="false">IF('VALOR POR PL'!I26="DIRETO",'VALOR POR PL'!L26,0)</f>
        <v>2623109.92540345</v>
      </c>
    </row>
    <row r="29" customFormat="false" ht="29.25" hidden="false" customHeight="true" outlineLevel="0" collapsed="false">
      <c r="A29" s="8"/>
      <c r="B29" s="101" t="s">
        <v>267</v>
      </c>
      <c r="C29" s="102" t="s">
        <v>268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0.997838929044051</v>
      </c>
      <c r="F29" s="104" t="n">
        <f aca="false">SUM(F24:F28)</f>
        <v>245422.158773543</v>
      </c>
      <c r="G29" s="104" t="n">
        <f aca="false">SUM(G24:G28)</f>
        <v>188.823750231618</v>
      </c>
      <c r="H29" s="104" t="n">
        <f aca="false">SUM(H24:H28)</f>
        <v>245422.158773543</v>
      </c>
      <c r="I29" s="103" t="n">
        <f aca="false">IF($F$53=0,0,F29/$F$53)</f>
        <v>0.00365063499694244</v>
      </c>
      <c r="J29" s="103" t="n">
        <f aca="false">IFERROR(SUMPRODUCT(J24:J28,M24:M28)/SUM(M24:M28),0)</f>
        <v>0.999145274188105</v>
      </c>
      <c r="K29" s="105"/>
      <c r="L29" s="105"/>
      <c r="M29" s="8" t="n">
        <f aca="false">SUM(M24:M28)</f>
        <v>12866289.8054034</v>
      </c>
      <c r="N29" s="0" t="n">
        <f aca="false">SUM(N24:N28)</f>
        <v>12866289.8054034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1</v>
      </c>
      <c r="E30" s="88" t="n">
        <f aca="false">IF('VALOR POR PL'!I27&lt;&gt;"DIRETO","",ESTRUTURA!$K$14)</f>
        <v>0.5339</v>
      </c>
      <c r="F30" s="89" t="n">
        <f aca="false">SUMPRODUCT((YEAR(ESTRUTURA!$B$5:$B$76)=$D$5)*(ESTRUTURA!$C$5:$C$76+ESTRUTURA!$D$5:$D$76))</f>
        <v>6217879.10860912</v>
      </c>
      <c r="G30" s="89" t="n">
        <f aca="false">SUMPRODUCT((YEAR('MODELO PARA BI'!$H$1:$CA$1)=$D$5)*'MODELO PARA BI'!$H$14:$CA$14)</f>
        <v>4783.93335647315</v>
      </c>
      <c r="H30" s="89" t="n">
        <f aca="false">IF(ISNUMBER($G$5),G30*$G$5,0)</f>
        <v>6217879.10860912</v>
      </c>
      <c r="I30" s="87" t="n">
        <f aca="false">IF($F$53=0,0,F30/$F$53)</f>
        <v>0.0924904547905587</v>
      </c>
      <c r="J30" s="87" t="n">
        <f aca="false">IF('VALOR POR PL'!L27=0,0,SUMPRODUCT((ESTRUTURA!$B$5:$B$76&lt;=DATE($D$5,12,1))*(ESTRUTURA!$C$5:$C$76+ESTRUTURA!$D$5:$D$76))/'VALOR POR PL'!L27)</f>
        <v>0.99236239085975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Concluído (todas as 1192 atividades)</v>
      </c>
      <c r="L30" s="91"/>
      <c r="M30" s="92" t="n">
        <f aca="false">'VALOR POR PL'!L27</f>
        <v>28045891.8578509</v>
      </c>
      <c r="N30" s="93" t="n">
        <f aca="false">IF('VALOR POR PL'!I27="DIRETO",'VALOR POR PL'!L27,0)</f>
        <v>28045891.8578509</v>
      </c>
    </row>
    <row r="31" customFormat="false" ht="42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0.9701</v>
      </c>
      <c r="E31" s="97" t="n">
        <f aca="false">IF('VALOR POR PL'!I28&lt;&gt;"DIRETO","",ALVENARIA!$K$14)</f>
        <v>0.0629</v>
      </c>
      <c r="F31" s="98" t="n">
        <f aca="false">SUMPRODUCT((YEAR(ALVENARIA!$B$5:$B$76)=$D$5)*(ALVENARIA!$C$5:$C$76+ALVENARIA!$D$5:$D$76))</f>
        <v>4709912.32720208</v>
      </c>
      <c r="G31" s="98" t="n">
        <f aca="false">SUMPRODUCT((YEAR('MODELO PARA BI'!$H$1:$CA$1)=$D$5)*'MODELO PARA BI'!$H$2:$CA$2)</f>
        <v>3623.72865322663</v>
      </c>
      <c r="H31" s="98" t="n">
        <f aca="false">IF(ISNUMBER($G$5),G31*$G$5,0)</f>
        <v>4709912.32720208</v>
      </c>
      <c r="I31" s="96" t="n">
        <f aca="false">IF($F$53=0,0,F31/$F$53)</f>
        <v>0.0700595694379822</v>
      </c>
      <c r="J31" s="96" t="n">
        <f aca="false">IF('VALOR POR PL'!L28=0,0,SUMPRODUCT((ALVENARIA!$B$5:$B$76&lt;=DATE($D$5,12,1))*(ALVENARIA!$C$5:$C$76+ALVENARIA!$D$5:$D$76))/'VALOR POR PL'!L28)</f>
        <v>0.968371125912962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concluído / Encunhamento: concluído / Montantes do drywall: até 29º pav. (restam serviços no 2º pav.) / Drywall 1ª face: concluído / Drywall 2ª face: concluído / Drywall: até 3º pav. (restam serviços no 2º pav.)</v>
      </c>
      <c r="L31" s="100"/>
      <c r="M31" s="92" t="n">
        <f aca="false">'VALOR POR PL'!L28</f>
        <v>5904178.07545626</v>
      </c>
      <c r="N31" s="93" t="n">
        <f aca="false">IF('VALOR POR PL'!I28="DIRETO",'VALOR POR PL'!L28,0)</f>
        <v>5904178.07545626</v>
      </c>
    </row>
    <row r="32" customFormat="false" ht="15.75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0.7997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2509241.41691134</v>
      </c>
      <c r="G32" s="89" t="n">
        <f aca="false">SUMPRODUCT((YEAR('MODELO PARA BI'!$H$1:$CA$1)=$D$5)*'MODELO PARA BI'!$H$18:$CA$18)</f>
        <v>1930.56884898029</v>
      </c>
      <c r="H32" s="89" t="n">
        <f aca="false">IF(ISNUMBER($G$5),G32*$G$5,0)</f>
        <v>2509241.41691134</v>
      </c>
      <c r="I32" s="87" t="n">
        <f aca="false">IF($F$53=0,0,F32/$F$53)</f>
        <v>0.0373247655310799</v>
      </c>
      <c r="J32" s="87" t="n">
        <f aca="false">IF('VALOR POR PL'!L29=0,0,SUMPRODUCT((IMPERMEABILIZAÇÃO!$B$5:$B$76&lt;=DATE($D$5,12,1))*(IMPERMEABILIZAÇÃO!$C$5:$C$76+IMPERMEABILIZAÇÃO!$D$5:$D$76))/'VALOR POR PL'!L29)</f>
        <v>0.7997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até 29º pav.</v>
      </c>
      <c r="L32" s="91"/>
      <c r="M32" s="92" t="n">
        <f aca="false">'VALOR POR PL'!L29</f>
        <v>3853257.70410218</v>
      </c>
      <c r="N32" s="93" t="n">
        <f aca="false">IF('VALOR POR PL'!I29="DIRETO",'VALOR POR PL'!L29,0)</f>
        <v>3853257.70410218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0.6645</v>
      </c>
      <c r="E33" s="97" t="n">
        <f aca="false">IF('VALOR POR PL'!I30&lt;&gt;"DIRETO","",'INST. ELÉTRICA'!$K$14)</f>
        <v>0</v>
      </c>
      <c r="F33" s="98" t="n">
        <f aca="false">SUMPRODUCT((YEAR('INST. ELÉTRICA'!$B$5:$B$76)=$D$5)*('INST. ELÉTRICA'!$C$5:$C$76+'INST. ELÉTRICA'!$D$5:$D$76))</f>
        <v>6901804.26015115</v>
      </c>
      <c r="G33" s="98" t="n">
        <f aca="false">SUMPRODUCT((YEAR('MODELO PARA BI'!$H$1:$CA$1)=$D$5)*'MODELO PARA BI'!$H$20:$CA$20)</f>
        <v>5310.13405749076</v>
      </c>
      <c r="H33" s="98" t="n">
        <f aca="false">IF(ISNUMBER($G$5),G33*$G$5,0)</f>
        <v>6901804.26015115</v>
      </c>
      <c r="I33" s="96" t="n">
        <f aca="false">IF($F$53=0,0,F33/$F$53)</f>
        <v>0.102663786758567</v>
      </c>
      <c r="J33" s="96" t="n">
        <f aca="false">IF('VALOR POR PL'!L30=0,0,SUMPRODUCT(('INST. ELÉTRICA'!$B$5:$B$76&lt;=DATE($D$5,12,1))*('INST. ELÉTRICA'!$C$5:$C$76+'INST. ELÉTRICA'!$D$5:$D$76))/'VALOR POR PL'!L30)</f>
        <v>0.681834937079026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Inst. elétricas: até 3º pav. (restam serviços no 1º pav.) / Prumada elétrica (infra): até 29º pav. / Inst. embutidas na alvenaria: concluído / Distribuição elétrica / quadro: concluído / Acabamentos elétricos: até 2º pav. (restam serviços no 3º subsolo) / Fiação elétrica e iluminação: até 26º pav., executando 27º pav. / Prumada elétrica (cabos): até 26º pav., executando 27º pav. / Fiação elétrica: até 2º pav. (restam serviços no 5º subsolo)</v>
      </c>
      <c r="L33" s="100"/>
      <c r="M33" s="92" t="n">
        <f aca="false">'VALOR POR PL'!L30</f>
        <v>11446748.7465947</v>
      </c>
      <c r="N33" s="93" t="n">
        <f aca="false">IF('VALOR POR PL'!I30="DIRETO",'VALOR POR PL'!L30,0)</f>
        <v>11446748.7465947</v>
      </c>
    </row>
    <row r="34" customFormat="false" ht="42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0.9129</v>
      </c>
      <c r="E34" s="88" t="n">
        <f aca="false">IF('VALOR POR PL'!I31&lt;&gt;"DIRETO","",'INST. HIDRO'!$K$14)</f>
        <v>0.004</v>
      </c>
      <c r="F34" s="89" t="n">
        <f aca="false">SUMPRODUCT((YEAR('INST. HIDRO'!$B$5:$B$76)=$D$5)*('INST. HIDRO'!$C$5:$C$76+'INST. HIDRO'!$D$5:$D$76))</f>
        <v>6447902.78550032</v>
      </c>
      <c r="G34" s="89" t="n">
        <f aca="false">SUMPRODUCT((YEAR('MODELO PARA BI'!$H$1:$CA$1)=$D$5)*'MODELO PARA BI'!$H$22:$CA$22)</f>
        <v>4960.90976940064</v>
      </c>
      <c r="H34" s="89" t="n">
        <f aca="false">IF(ISNUMBER($G$5),G34*$G$5,0)</f>
        <v>6447902.78550032</v>
      </c>
      <c r="I34" s="87" t="n">
        <f aca="false">IF($F$53=0,0,F34/$F$53)</f>
        <v>0.0959120386001904</v>
      </c>
      <c r="J34" s="87" t="n">
        <f aca="false">IF('VALOR POR PL'!L31=0,0,SUMPRODUCT(('INST. HIDRO'!$B$5:$B$76&lt;=DATE($D$5,12,1))*('INST. HIDRO'!$C$5:$C$76+'INST. HIDRO'!$D$5:$D$76))/'VALOR POR PL'!L31)</f>
        <v>0.917146059798206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Inst. hidráulicas: até 1º subsolo, executando 1º pav. / Prumada hidrossanitária: concluído / Gás piso: concluído / Distribuição hidrossanitária: concluído / Gás parede: concluído / Rede hidrossanitária: concluído</v>
      </c>
      <c r="L34" s="91"/>
      <c r="M34" s="92" t="n">
        <f aca="false">'VALOR POR PL'!L31</f>
        <v>8053689.0934646</v>
      </c>
      <c r="N34" s="93" t="n">
        <f aca="false">IF('VALOR POR PL'!I31="DIRETO",'VALOR POR PL'!L31,0)</f>
        <v>8053689.0934646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0.7059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495537.395136189</v>
      </c>
      <c r="G35" s="98" t="n">
        <f aca="false">SUMPRODUCT((YEAR('MODELO PARA BI'!$H$1:$CA$1)=$D$5)*'MODELO PARA BI'!$H$19:$CA$19)</f>
        <v>381.258276747377</v>
      </c>
      <c r="H35" s="98" t="n">
        <f aca="false">IF(ISNUMBER($G$5),G35*$G$5,0)</f>
        <v>495537.395136189</v>
      </c>
      <c r="I35" s="96" t="n">
        <f aca="false">IF($F$53=0,0,F35/$F$53)</f>
        <v>0.00737107914793911</v>
      </c>
      <c r="J35" s="96" t="n">
        <f aca="false">IF('VALOR POR PL'!L32=0,0,SUMPRODUCT(('INST. INC'!$B$5:$B$76&lt;=DATE($D$5,12,1))*('INST. INC'!$C$5:$C$76+'INST. INC'!$D$5:$D$76))/'VALOR POR PL'!L32)</f>
        <v>0.712413484849968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concluído / Inst. incêndio: até 2º pav. (restam serviços no 2º pav.)</v>
      </c>
      <c r="L35" s="100"/>
      <c r="M35" s="92" t="n">
        <f aca="false">'VALOR POR PL'!L32</f>
        <v>892813.098203293</v>
      </c>
      <c r="N35" s="93" t="n">
        <f aca="false">IF('VALOR POR PL'!I32="DIRETO",'VALOR POR PL'!L32,0)</f>
        <v>892813.098203293</v>
      </c>
    </row>
    <row r="36" customFormat="false" ht="29.2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0.7435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2733507.05509755</v>
      </c>
      <c r="G36" s="89" t="n">
        <f aca="false">SUMPRODUCT((YEAR('MODELO PARA BI'!$H$1:$CA$1)=$D$5)*'MODELO PARA BI'!$H$21:$CA$21)</f>
        <v>2103.11512215313</v>
      </c>
      <c r="H36" s="89" t="n">
        <f aca="false">IF(ISNUMBER($G$5),G36*$G$5,0)</f>
        <v>2733507.05509755</v>
      </c>
      <c r="I36" s="87" t="n">
        <f aca="false">IF($F$53=0,0,F36/$F$53)</f>
        <v>0.0406606989751732</v>
      </c>
      <c r="J36" s="87" t="n">
        <f aca="false">IF('VALOR POR PL'!L33=0,0,SUMPRODUCT(('INST. ESP'!$B$5:$B$76&lt;=DATE($D$5,12,1))*('INST. ESP'!$C$5:$C$76+'INST. ESP'!$D$5:$D$76))/'VALOR POR PL'!L33)</f>
        <v>0.74051593323217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Inst. especiais: concluído / Infra de ar condicionado: até 29º pav. (restam serviços no 2º pav.) / Comunicação e alarme: até 1º pav. (restam serviços no 1º subsolo)</v>
      </c>
      <c r="L36" s="91"/>
      <c r="M36" s="92" t="n">
        <f aca="false">'VALOR POR PL'!L33</f>
        <v>3894036.20689427</v>
      </c>
      <c r="N36" s="93" t="n">
        <f aca="false">IF('VALOR POR PL'!I33="DIRETO",'VALOR POR PL'!L33,0)</f>
        <v>3894036.20689427</v>
      </c>
    </row>
    <row r="37" customFormat="false" ht="15.7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0.45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2945400.66557904</v>
      </c>
      <c r="G37" s="98" t="n">
        <f aca="false">SUMPRODUCT((YEAR('MODELO PARA BI'!$H$1:$CA$1)=$D$5)*'MODELO PARA BI'!$H$11:$CA$11)</f>
        <v>2266.14256181537</v>
      </c>
      <c r="H37" s="98" t="n">
        <f aca="false">IF(ISNUMBER($G$5),G37*$G$5,0)</f>
        <v>2945400.66557904</v>
      </c>
      <c r="I37" s="96" t="n">
        <f aca="false">IF($F$53=0,0,F37/$F$53)</f>
        <v>0.043812599495965</v>
      </c>
      <c r="J37" s="96" t="n">
        <f aca="false">IF('VALOR POR PL'!L34=0,0,SUMPRODUCT(('ELEVADORES '!$B$5:$B$76&lt;=DATE($D$5,12,1))*('ELEVADORES '!$C$5:$C$76+'ELEVADORES '!$D$5:$D$76))/'VALOR POR PL'!L34)</f>
        <v>0.651668639792487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Elevadores social - 01: concluído / Elevadores social - 02: concluído</v>
      </c>
      <c r="L37" s="100"/>
      <c r="M37" s="92" t="n">
        <f aca="false">'VALOR POR PL'!L34</f>
        <v>5593711.80101652</v>
      </c>
      <c r="N37" s="93" t="n">
        <f aca="false">IF('VALOR POR PL'!I34="DIRETO",'VALOR POR PL'!L34,0)</f>
        <v>5593711.80101652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0.1792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4382231.81427557</v>
      </c>
      <c r="G38" s="89" t="n">
        <f aca="false">SUMPRODUCT((YEAR('MODELO PARA BI'!$H$1:$CA$1)=$D$5)*'MODELO PARA BI'!$H$13:$CA$13)</f>
        <v>3371.61668567728</v>
      </c>
      <c r="H38" s="89" t="n">
        <f aca="false">IF(ISNUMBER($G$5),G38*$G$5,0)</f>
        <v>4382231.81427557</v>
      </c>
      <c r="I38" s="87" t="n">
        <f aca="false">IF($F$53=0,0,F38/$F$53)</f>
        <v>0.0651853479973282</v>
      </c>
      <c r="J38" s="87" t="n">
        <f aca="false">IF('VALOR POR PL'!L35=0,0,SUMPRODUCT((ESQUADRIAS!$B$5:$B$76&lt;=DATE($D$5,12,1))*(ESQUADRIAS!$C$5:$C$76+ESQUADRIAS!$D$5:$D$76))/'VALOR POR PL'!L35)</f>
        <v>0.376789997676857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até 29º pav. (restam serviços no 3º pav.) / Esquadria de aluminio: até 2º pav. (restam serviços no 2º pav.) / Esquadrias de alumínio: até 4º pav., executando 5º pav.</v>
      </c>
      <c r="L38" s="91"/>
      <c r="M38" s="92" t="n">
        <f aca="false">'VALOR POR PL'!L35</f>
        <v>11998504.9999056</v>
      </c>
      <c r="N38" s="93" t="n">
        <f aca="false">IF('VALOR POR PL'!I35="DIRETO",'VALOR POR PL'!L35,0)</f>
        <v>11998504.9999056</v>
      </c>
    </row>
    <row r="39" customFormat="false" ht="29.2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0.135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87086.6341711761</v>
      </c>
      <c r="G39" s="98" t="n">
        <f aca="false">SUMPRODUCT((YEAR('MODELO PARA BI'!$H$1:$CA$1)=$D$5)*'MODELO PARA BI'!$H$42:$CA$42)</f>
        <v>67.0030161148721</v>
      </c>
      <c r="H39" s="98" t="n">
        <f aca="false">IF(ISNUMBER($G$5),G39*$G$5,0)</f>
        <v>87086.6341711761</v>
      </c>
      <c r="I39" s="96" t="n">
        <f aca="false">IF($F$53=0,0,F39/$F$53)</f>
        <v>0.00129540672309289</v>
      </c>
      <c r="J39" s="96" t="n">
        <f aca="false">IF('VALOR POR PL'!L36=0,0,SUMPRODUCT((SERRALHERIA!$B$5:$B$76&lt;=DATE($D$5,12,1))*(SERRALHERIA!$C$5:$C$76+SERRALHERIA!$D$5:$D$76))/'VALOR POR PL'!L36)</f>
        <v>0.135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PCF (marco): concluído / PCF (folhas): até 1º subsolo / Pontos de ancoragem inox: concluído / Guarda- corpo: até 2º pav.</v>
      </c>
      <c r="L39" s="100"/>
      <c r="M39" s="92" t="n">
        <f aca="false">'VALOR POR PL'!L36</f>
        <v>645086.179045748</v>
      </c>
      <c r="N39" s="93" t="n">
        <f aca="false">IF('VALOR POR PL'!I36="DIRETO",'VALOR POR PL'!L36,0)</f>
        <v>645086.179045748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0.2276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453213.980851169</v>
      </c>
      <c r="G40" s="89" t="n">
        <f aca="false">SUMPRODUCT((YEAR('MODELO PARA BI'!$H$1:$CA$1)=$D$5)*'MODELO PARA BI'!$H$26:$CA$26)</f>
        <v>348.695341730258</v>
      </c>
      <c r="H40" s="89" t="n">
        <f aca="false">IF(ISNUMBER($G$5),G40*$G$5,0)</f>
        <v>453213.980851169</v>
      </c>
      <c r="I40" s="87" t="n">
        <f aca="false">IF($F$53=0,0,F40/$F$53)</f>
        <v>0.00674152174305313</v>
      </c>
      <c r="J40" s="87" t="n">
        <f aca="false">IF('VALOR POR PL'!L37=0,0,SUMPRODUCT((MARCENARIA!$B$5:$B$76&lt;=DATE($D$5,12,1))*(MARCENARIA!$C$5:$C$76+MARCENARIA!$D$5:$D$76))/'VALOR POR PL'!L37)</f>
        <v>0.2276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>Marcenaria: até 1º pav.</v>
      </c>
      <c r="L40" s="91"/>
      <c r="M40" s="92" t="n">
        <f aca="false">'VALOR POR PL'!L37</f>
        <v>1991274.08106841</v>
      </c>
      <c r="N40" s="93" t="n">
        <f aca="false">IF('VALOR POR PL'!I37="DIRETO",'VALOR POR PL'!L37,0)</f>
        <v>1991274.08106841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0.9525</v>
      </c>
      <c r="E41" s="97" t="n">
        <f aca="false">IF('VALOR POR PL'!I38&lt;&gt;"DIRETO","",'REV. PISOS'!$K$14)</f>
        <v>0.0015</v>
      </c>
      <c r="F41" s="98" t="n">
        <f aca="false">SUMPRODUCT((YEAR('REV. PISOS'!$B$5:$B$76)=$D$5)*('REV. PISOS'!$C$5:$C$76+'REV. PISOS'!$D$5:$D$76))</f>
        <v>1025116.86017271</v>
      </c>
      <c r="G41" s="98" t="n">
        <f aca="false">SUMPRODUCT((YEAR('MODELO PARA BI'!$H$1:$CA$1)=$D$5)*'MODELO PARA BI'!$H$34:$CA$34)</f>
        <v>788.707959097043</v>
      </c>
      <c r="H41" s="98" t="n">
        <f aca="false">IF(ISNUMBER($G$5),G41*$G$5,0)</f>
        <v>1025116.86017271</v>
      </c>
      <c r="I41" s="96" t="n">
        <f aca="false">IF($F$53=0,0,F41/$F$53)</f>
        <v>0.0152485313649098</v>
      </c>
      <c r="J41" s="96" t="n">
        <f aca="false">IF('VALOR POR PL'!L38=0,0,SUMPRODUCT(('REV. PISOS'!$B$5:$B$76&lt;=DATE($D$5,12,1))*('REV. PISOS'!$C$5:$C$76+'REV. PISOS'!$D$5:$D$76))/'VALOR POR PL'!L38)</f>
        <v>0.951879242224699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29º pav.</v>
      </c>
      <c r="L41" s="100"/>
      <c r="M41" s="92" t="n">
        <f aca="false">'VALOR POR PL'!L38</f>
        <v>1135045.26379863</v>
      </c>
      <c r="N41" s="93" t="n">
        <f aca="false">IF('VALOR POR PL'!I38="DIRETO",'VALOR POR PL'!L38,0)</f>
        <v>1135045.26379863</v>
      </c>
    </row>
    <row r="42" customFormat="false" ht="15.7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0.9933</v>
      </c>
      <c r="E42" s="88" t="n">
        <f aca="false">IF('VALOR POR PL'!I39&lt;&gt;"DIRETO","",'REV. PAREDE'!$K$14)</f>
        <v>0.0581</v>
      </c>
      <c r="F42" s="89" t="n">
        <f aca="false">SUMPRODUCT((YEAR('REV. PAREDE'!$B$5:$B$76)=$D$5)*('REV. PAREDE'!$C$5:$C$76+'REV. PAREDE'!$D$5:$D$76))</f>
        <v>2033451.31013742</v>
      </c>
      <c r="G42" s="89" t="n">
        <f aca="false">SUMPRODUCT((YEAR('MODELO PARA BI'!$H$1:$CA$1)=$D$5)*'MODELO PARA BI'!$H$35:$CA$35)</f>
        <v>1564.50380932325</v>
      </c>
      <c r="H42" s="89" t="n">
        <f aca="false">IF(ISNUMBER($G$5),G42*$G$5,0)</f>
        <v>2033451.31013742</v>
      </c>
      <c r="I42" s="87" t="n">
        <f aca="false">IF($F$53=0,0,F42/$F$53)</f>
        <v>0.030247425719272</v>
      </c>
      <c r="J42" s="87" t="n">
        <f aca="false">IF('VALOR POR PL'!L39=0,0,SUMPRODUCT(('REV. PAREDE'!$B$5:$B$76&lt;=DATE($D$5,12,1))*('REV. PAREDE'!$C$5:$C$76+'REV. PAREDE'!$D$5:$D$76))/'VALOR POR PL'!L39)</f>
        <v>0.991875410270984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Reboco interno: até 29º pav. (restam serviços no 3º pav.) / Taliscamento: concluído</v>
      </c>
      <c r="L42" s="91"/>
      <c r="M42" s="92" t="n">
        <f aca="false">'VALOR POR PL'!L39</f>
        <v>2352504.91006314</v>
      </c>
      <c r="N42" s="93" t="n">
        <f aca="false">IF('VALOR POR PL'!I39="DIRETO",'VALOR POR PL'!L39,0)</f>
        <v>2352504.91006314</v>
      </c>
    </row>
    <row r="43" customFormat="false" ht="42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0.6588</v>
      </c>
      <c r="E43" s="97" t="n">
        <f aca="false">IF('VALOR POR PL'!I40&lt;&gt;"DIRETO","",'REV. ACAB'!$K$14)</f>
        <v>0</v>
      </c>
      <c r="F43" s="98" t="n">
        <f aca="false">SUMPRODUCT((YEAR('REV. ACAB'!$B$5:$B$76)=$D$5)*('REV. ACAB'!$C$5:$C$76+'REV. ACAB'!$D$5:$D$76))</f>
        <v>5878295.32744681</v>
      </c>
      <c r="G43" s="98" t="n">
        <f aca="false">SUMPRODUCT((YEAR('MODELO PARA BI'!$H$1:$CA$1)=$D$5)*'MODELO PARA BI'!$H$33:$CA$33)</f>
        <v>4522.66321119638</v>
      </c>
      <c r="H43" s="98" t="n">
        <f aca="false">IF(ISNUMBER($G$5),G43*$G$5,0)</f>
        <v>5878295.32744681</v>
      </c>
      <c r="I43" s="96" t="n">
        <f aca="false">IF($F$53=0,0,F43/$F$53)</f>
        <v>0.0874391731862392</v>
      </c>
      <c r="J43" s="96" t="n">
        <f aca="false">IF('VALOR POR PL'!L40=0,0,SUMPRODUCT(('REV. ACAB'!$B$5:$B$76&lt;=DATE($D$5,12,1))*('REV. ACAB'!$C$5:$C$76+'REV. ACAB'!$D$5:$D$76))/'VALOR POR PL'!L40)</f>
        <v>0.660514894675046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Revestimentos porcelanato piso: até 28º pav., executando 29º pav. / Revestimento porcelanato parede: até 29º pav. / Bancadas: até 27º pav., executando 28º pav. / Piso vinílico / laminado: em execução (4º pav.)</v>
      </c>
      <c r="L43" s="100"/>
      <c r="M43" s="92" t="n">
        <f aca="false">'VALOR POR PL'!L40</f>
        <v>8967804.01956104</v>
      </c>
      <c r="N43" s="93" t="n">
        <f aca="false">IF('VALOR POR PL'!I40="DIRETO",'VALOR POR PL'!L40,0)</f>
        <v>8967804.01956104</v>
      </c>
    </row>
    <row r="44" customFormat="false" ht="29.2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PAVIMENTAÇÃO</v>
      </c>
      <c r="D44" s="87" t="n">
        <f aca="false">IF(OR('VALOR POR PL'!I41&lt;&gt;"DIRETO",'CP RESUMO'!$C$35=""),"",IFERROR(INDEX('CP RESUMO'!$D$35:$BW$35,MATCH(DATE($D$5,12,1),'CP RESUMO'!$D$4:$BW$4,0))/100,""))</f>
        <v>1</v>
      </c>
      <c r="E44" s="88" t="n">
        <f aca="false">IF('VALOR POR PL'!I41&lt;&gt;"DIRETO","",PAVIMENTAÇÃO!$K$14)</f>
        <v>0</v>
      </c>
      <c r="F44" s="89" t="n">
        <f aca="false">SUMPRODUCT((YEAR(PAVIMENTAÇÃO!$B$5:$B$76)=$D$5)*(PAVIMENTAÇÃO!$C$5:$C$76+PAVIMENTAÇÃO!$D$5:$D$76))</f>
        <v>338262.968273035</v>
      </c>
      <c r="G44" s="89" t="n">
        <f aca="false">SUMPRODUCT((YEAR('MODELO PARA BI'!$H$1:$CA$1)=$D$5)*'MODELO PARA BI'!$H$28:$CA$28)</f>
        <v>260.253933683019</v>
      </c>
      <c r="H44" s="89" t="n">
        <f aca="false">IF(ISNUMBER($G$5),G44*$G$5,0)</f>
        <v>338262.968273035</v>
      </c>
      <c r="I44" s="87" t="n">
        <f aca="false">IF($F$53=0,0,F44/$F$53)</f>
        <v>0.0050316346181545</v>
      </c>
      <c r="J44" s="87" t="n">
        <f aca="false">IF('VALOR POR PL'!L41=0,0,SUMPRODUCT((PAVIMENTAÇÃO!$B$5:$B$76&lt;=DATE($D$5,12,1))*(PAVIMENTAÇÃO!$C$5:$C$76+PAVIMENTAÇÃO!$D$5:$D$76))/'VALOR POR PL'!L41)</f>
        <v>1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Passeios: concluído / Pintura de demarcação de vagas: até 1º subsolo (restam serviços no 2º subsolo)</v>
      </c>
      <c r="L44" s="91"/>
      <c r="M44" s="92" t="n">
        <f aca="false">'VALOR POR PL'!L41</f>
        <v>338262.968273035</v>
      </c>
      <c r="N44" s="93" t="n">
        <f aca="false">IF('VALOR POR PL'!I41="DIRETO",'VALOR POR PL'!L41,0)</f>
        <v>338262.968273035</v>
      </c>
    </row>
    <row r="45" customFormat="false" ht="95.25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- FACHADA</v>
      </c>
      <c r="D45" s="96" t="n">
        <f aca="false">IF(OR('VALOR POR PL'!I42&lt;&gt;"DIRETO",'CP RESUMO'!$C$36=""),"",IFERROR(INDEX('CP RESUMO'!$D$36:$BW$36,MATCH(DATE($D$5,12,1),'CP RESUMO'!$D$4:$BW$4,0))/100,""))</f>
        <v>0.4944</v>
      </c>
      <c r="E45" s="97" t="n">
        <f aca="false">IF('VALOR POR PL'!I42&lt;&gt;"DIRETO","",'REV. FACHADA'!$K$14)</f>
        <v>0.0302</v>
      </c>
      <c r="F45" s="98" t="n">
        <f aca="false">SUMPRODUCT((YEAR('REV. FACHADA'!$B$5:$B$76)=$D$5)*('REV. FACHADA'!$C$5:$C$76+'REV. FACHADA'!$D$5:$D$76))</f>
        <v>2892073.26345279</v>
      </c>
      <c r="G45" s="98" t="n">
        <f aca="false">SUMPRODUCT((YEAR('MODELO PARA BI'!$H$1:$CA$1)=$D$5)*'MODELO PARA BI'!$H$32:$CA$32)</f>
        <v>2225.11334053434</v>
      </c>
      <c r="H45" s="98" t="n">
        <f aca="false">IF(ISNUMBER($G$5),G45*$G$5,0)</f>
        <v>2892073.26345279</v>
      </c>
      <c r="I45" s="96" t="n">
        <f aca="false">IF($F$53=0,0,F45/$F$53)</f>
        <v>0.0430193586514097</v>
      </c>
      <c r="J45" s="96" t="n">
        <f aca="false">IF('VALOR POR PL'!L42=0,0,SUMPRODUCT(('REV. FACHADA'!$B$5:$B$76&lt;=DATE($D$5,12,1))*('REV. FACHADA'!$C$5:$C$76+'REV. FACHADA'!$D$5:$D$76))/'VALOR POR PL'!L42)</f>
        <v>0.469332852415539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Reboco externo (fachada lateral chopp da fábrica): concluído / Reboco externo (fachada fundo chopp da fábrica): concluído / Reboco plano de ação fachada concordia: concluído / Plano de ação reboco fachada acácia: concluído / Plano de ação reboco fachada olympus: concluído / Textura: até 1º subsolo / Reboco de fachada - fase 1: 18 de 20 concluídas / Pintura espala fechada - fase 1: 3 de 4 concluídas / Reboco de fachada - fase 2: 6 de 20 concluídas / Pintura espala fechada - fase 2: 2 de 4 concluídas / Granito fachada: 1 de 4 concluídas / Pintura/textura da fachada: em execução / Reboco externo: em execução</v>
      </c>
      <c r="L45" s="100"/>
      <c r="M45" s="92" t="n">
        <f aca="false">'VALOR POR PL'!L42</f>
        <v>6710814.10240981</v>
      </c>
      <c r="N45" s="93" t="n">
        <f aca="false">IF('VALOR POR PL'!I42="DIRETO",'VALOR POR PL'!L42,0)</f>
        <v>6710814.10240981</v>
      </c>
    </row>
    <row r="46" customFormat="false" ht="15.7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0.703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1232248.04426361</v>
      </c>
      <c r="G46" s="89" t="n">
        <f aca="false">SUMPRODUCT((YEAR('MODELO PARA BI'!$H$1:$CA$1)=$D$5)*'MODELO PARA BI'!$H$15:$CA$15)</f>
        <v>948.071266654163</v>
      </c>
      <c r="H46" s="89" t="n">
        <f aca="false">IF(ISNUMBER($G$5),G46*$G$5,0)</f>
        <v>1232248.04426361</v>
      </c>
      <c r="I46" s="87" t="n">
        <f aca="false">IF($F$53=0,0,F46/$F$53)</f>
        <v>0.018329591173768</v>
      </c>
      <c r="J46" s="87" t="n">
        <f aca="false">IF('VALOR POR PL'!L43=0,0,SUMPRODUCT((FORRO!$B$5:$B$76&lt;=DATE($D$5,12,1))*(FORRO!$C$5:$C$76+FORRO!$D$5:$D$76))/'VALOR POR PL'!L43)</f>
        <v>0.703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25º pav., executando 26º pav.</v>
      </c>
      <c r="L46" s="91"/>
      <c r="M46" s="92" t="n">
        <f aca="false">'VALOR POR PL'!L43</f>
        <v>1752842.16822705</v>
      </c>
      <c r="N46" s="93" t="n">
        <f aca="false">IF('VALOR POR PL'!I43="DIRETO",'VALOR POR PL'!L43,0)</f>
        <v>1752842.16822705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0.0129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382159.555195249</v>
      </c>
      <c r="G47" s="98" t="n">
        <f aca="false">SUMPRODUCT((YEAR('MODELO PARA BI'!$H$1:$CA$1)=$D$5)*'MODELO PARA BI'!$H$24:$CA$24)</f>
        <v>294.02724171047</v>
      </c>
      <c r="H47" s="98" t="n">
        <f aca="false">IF(ISNUMBER($G$5),G47*$G$5,0)</f>
        <v>382159.555195249</v>
      </c>
      <c r="I47" s="96" t="n">
        <f aca="false">IF($F$53=0,0,F47/$F$53)</f>
        <v>0.00568459284028647</v>
      </c>
      <c r="J47" s="96" t="n">
        <f aca="false">IF('VALOR POR PL'!L44=0,0,SUMPRODUCT((LOUÇAS!$B$5:$B$76&lt;=DATE($D$5,12,1))*(LOUÇAS!$C$5:$C$76+LOUÇAS!$D$5:$D$76))/'VALOR POR PL'!L44)</f>
        <v>0.181047849891487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Louças: até 2º subsolo</v>
      </c>
      <c r="L47" s="100"/>
      <c r="M47" s="92" t="n">
        <f aca="false">'VALOR POR PL'!L44</f>
        <v>2205520.26313048</v>
      </c>
      <c r="N47" s="93" t="n">
        <f aca="false">IF('VALOR POR PL'!I44="DIRETO",'VALOR POR PL'!L44,0)</f>
        <v>2205520.26313048</v>
      </c>
    </row>
    <row r="48" customFormat="false" ht="42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0.4441</v>
      </c>
      <c r="E48" s="88" t="n">
        <f aca="false">IF('VALOR POR PL'!I45&lt;&gt;"DIRETO","",PINTURA!$K$14)</f>
        <v>0.1098</v>
      </c>
      <c r="F48" s="89" t="n">
        <f aca="false">SUMPRODUCT((YEAR(PINTURA!$B$5:$B$76)=$D$5)*(PINTURA!$C$5:$C$76+PINTURA!$D$5:$D$76))</f>
        <v>924468.661496415</v>
      </c>
      <c r="G48" s="89" t="n">
        <f aca="false">SUMPRODUCT((YEAR('MODELO PARA BI'!$H$1:$CA$1)=$D$5)*'MODELO PARA BI'!$H$29:$CA$29)</f>
        <v>711.27089952961</v>
      </c>
      <c r="H48" s="89" t="n">
        <f aca="false">IF(ISNUMBER($G$5),G48*$G$5,0)</f>
        <v>924468.661496415</v>
      </c>
      <c r="I48" s="87" t="n">
        <f aca="false">IF($F$53=0,0,F48/$F$53)</f>
        <v>0.0137513974536808</v>
      </c>
      <c r="J48" s="87" t="n">
        <f aca="false">IF('VALOR POR PL'!L45=0,0,SUMPRODUCT((PINTURA!$B$5:$B$76&lt;=DATE($D$5,12,1))*(PINTURA!$C$5:$C$76+PINTURA!$D$5:$D$76))/'VALOR POR PL'!L45)</f>
        <v>0.354010127250617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Pintura: até 1º subsolo (restam serviços no 4º subsolo) / Massa corrida: até 24º pav., executando 25º pav. / Pintura 1ª demão: até 23º pav., executando 24º pav. / Pintura 2ª demão: até 2º pav. / Pintura 3ª demão: até 2º pav.</v>
      </c>
      <c r="L48" s="91"/>
      <c r="M48" s="92" t="n">
        <f aca="false">'VALOR POR PL'!L45</f>
        <v>4018727.40533309</v>
      </c>
      <c r="N48" s="93" t="n">
        <f aca="false">IF('VALOR POR PL'!I45="DIRETO",'VALOR POR PL'!L45,0)</f>
        <v>4018727.40533309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PAISAGISMO</v>
      </c>
      <c r="D49" s="96" t="n">
        <f aca="false">IF(OR('VALOR POR PL'!I46&lt;&gt;"DIRETO",'CP RESUMO'!$C$40=""),"",IFERROR(INDEX('CP RESUMO'!$D$40:$BW$40,MATCH(DATE($D$5,12,1),'CP RESUMO'!$D$4:$BW$4,0))/100,""))</f>
        <v>0.0753</v>
      </c>
      <c r="E49" s="97" t="n">
        <f aca="false">IF('VALOR POR PL'!I46&lt;&gt;"DIRETO","",PAISAGISMO!$K$14)</f>
        <v>0</v>
      </c>
      <c r="F49" s="98" t="n">
        <f aca="false">SUMPRODUCT((YEAR(PAISAGISMO!$B$5:$B$76)=$D$5)*(PAISAGISMO!$C$5:$C$76+PAISAGISMO!$D$5:$D$76))</f>
        <v>72493.6383072467</v>
      </c>
      <c r="G49" s="98" t="n">
        <f aca="false">SUMPRODUCT((YEAR('MODELO PARA BI'!$H$1:$CA$1)=$D$5)*'MODELO PARA BI'!$H$27:$CA$27)</f>
        <v>55.7754064323894</v>
      </c>
      <c r="H49" s="98" t="n">
        <f aca="false">IF(ISNUMBER($G$5),G49*$G$5,0)</f>
        <v>72493.6383072467</v>
      </c>
      <c r="I49" s="96" t="n">
        <f aca="false">IF($F$53=0,0,F49/$F$53)</f>
        <v>0.00107833707592931</v>
      </c>
      <c r="J49" s="96" t="n">
        <f aca="false">IF('VALOR POR PL'!L46=0,0,SUMPRODUCT((PAISAGISMO!$B$5:$B$76&lt;=DATE($D$5,12,1))*(PAISAGISMO!$C$5:$C$76+PAISAGISMO!$D$5:$D$76))/'VALOR POR PL'!L46)</f>
        <v>0.0753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Paisagismo: em execução (3º pav.)</v>
      </c>
      <c r="L49" s="100"/>
      <c r="M49" s="92" t="n">
        <f aca="false">'VALOR POR PL'!L46</f>
        <v>962730.920414963</v>
      </c>
      <c r="N49" s="93" t="n">
        <f aca="false">IF('VALOR POR PL'!I46="DIRETO",'VALOR POR PL'!L46,0)</f>
        <v>962730.920414963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0.1223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116436.745855222</v>
      </c>
      <c r="G50" s="89" t="n">
        <f aca="false">SUMPRODUCT((YEAR('MODELO PARA BI'!$H$1:$CA$1)=$D$5)*'MODELO PARA BI'!$H$25:$CA$25)</f>
        <v>89.5845066599542</v>
      </c>
      <c r="H50" s="89" t="n">
        <f aca="false">IF(ISNUMBER($G$5),G50*$G$5,0)</f>
        <v>116436.745855222</v>
      </c>
      <c r="I50" s="87" t="n">
        <f aca="false">IF($F$53=0,0,F50/$F$53)</f>
        <v>0.00173198728865142</v>
      </c>
      <c r="J50" s="87" t="n">
        <f aca="false">IF('VALOR POR PL'!L47=0,0,SUMPRODUCT((LIMPEZA!$B$5:$B$76&lt;=DATE($D$5,12,1))*(LIMPEZA!$C$5:$C$76+LIMPEZA!$D$5:$D$76))/'VALOR POR PL'!L47)</f>
        <v>0.1223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Limpeza fina: até 2º pav. / Limpeza grossa: até 2º pav. (restam serviços no 4º subsolo)</v>
      </c>
      <c r="L50" s="91"/>
      <c r="M50" s="92" t="n">
        <f aca="false">'VALOR POR PL'!L47</f>
        <v>952058.42890615</v>
      </c>
      <c r="N50" s="93" t="n">
        <f aca="false">IF('VALOR POR PL'!I47="DIRETO",'VALOR POR PL'!L47,0)</f>
        <v>952058.42890615</v>
      </c>
    </row>
    <row r="51" customFormat="false" ht="19.5" hidden="false" customHeight="true" outlineLevel="0" collapsed="false">
      <c r="A51" s="8"/>
      <c r="B51" s="31"/>
      <c r="C51" s="31" t="s">
        <v>269</v>
      </c>
      <c r="D51" s="31"/>
      <c r="E51" s="31"/>
      <c r="F51" s="106" t="n">
        <f aca="false">F23+F29+SUM(F30:F50)</f>
        <v>61997410.1007825</v>
      </c>
      <c r="G51" s="106" t="n">
        <f aca="false">G23+G29+SUM(G30:G50)</f>
        <v>47699.7820342672</v>
      </c>
      <c r="H51" s="106" t="n">
        <f aca="false">H23+H29+SUM(H30:H50)</f>
        <v>61997410.1007825</v>
      </c>
      <c r="I51" s="107" t="n">
        <f aca="false">IF($F$53=0,0,F51/$F$53)</f>
        <v>0.922206520245587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5229841.86472339</v>
      </c>
      <c r="G52" s="109" t="n">
        <f aca="false">SUMPRODUCT((YEAR('MODELO PARA BI'!$H$1:$CA$1)=$D$5)*'MODELO PARA BI'!$H$44:$CA$44)</f>
        <v>4023.75384093412</v>
      </c>
      <c r="H52" s="109" t="n">
        <f aca="false">IF(ISNUMBER($G$5),G52*$G$5,0)</f>
        <v>5229841.86472339</v>
      </c>
      <c r="I52" s="110" t="n">
        <f aca="false">IF($F$53=0,0,F52/$F$53)</f>
        <v>0.0777934797544128</v>
      </c>
      <c r="J52" s="108"/>
      <c r="K52" s="108"/>
      <c r="L52" s="108"/>
      <c r="M52" s="111" t="n">
        <f aca="false">'VALOR POR PL'!L48</f>
        <v>16111658.2450958</v>
      </c>
    </row>
    <row r="53" customFormat="false" ht="19.5" hidden="false" customHeight="true" outlineLevel="0" collapsed="false">
      <c r="A53" s="8"/>
      <c r="B53" s="31"/>
      <c r="C53" s="31" t="s">
        <v>270</v>
      </c>
      <c r="D53" s="31"/>
      <c r="E53" s="31"/>
      <c r="F53" s="106" t="n">
        <f aca="false">F51+F52</f>
        <v>67227251.9655059</v>
      </c>
      <c r="G53" s="106" t="n">
        <f aca="false">G51+G52</f>
        <v>51723.5358752013</v>
      </c>
      <c r="H53" s="106" t="n">
        <f aca="false">H51+H52</f>
        <v>67227251.9655059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271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272</v>
      </c>
      <c r="C55" s="8"/>
      <c r="D55" s="8"/>
      <c r="E55" s="8"/>
      <c r="F55" s="8"/>
      <c r="G55" s="8"/>
      <c r="H55" s="15" t="s">
        <v>273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7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1F7A52"/>
      </dataBar>
      <extLst>
        <ext xmlns:x14="http://schemas.microsoft.com/office/spreadsheetml/2009/9/main" uri="{B025F937-C7B1-47D3-B67F-A62EFF666E3E}">
          <x14:id>{1C67B628-32B0-4B6D-8B9F-B727389CA48E}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99BCAB"/>
      </dataBar>
      <extLst>
        <ext xmlns:x14="http://schemas.microsoft.com/office/spreadsheetml/2009/9/main" uri="{B025F937-C7B1-47D3-B67F-A62EFF666E3E}">
          <x14:id>{50CC388A-7199-4AF1-A2E9-1450DE26DC74}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67B628-32B0-4B6D-8B9F-B727389CA48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F7A52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50CC388A-7199-4AF1-A2E9-1450DE26DC74}">
            <x14:dataBar minLength="10" maxLength="90" axisPosition="none" gradient="true">
              <x14:cfvo type="num">
                <xm:f>0</xm:f>
              </x14:cfvo>
              <x14:cfvo type="max"/>
              <x14:negativeFillColor rgb="FF99BCAB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274</v>
      </c>
      <c r="B1" s="54" t="s">
        <v>275</v>
      </c>
      <c r="C1" s="54" t="s">
        <v>276</v>
      </c>
      <c r="D1" s="54" t="s">
        <v>277</v>
      </c>
      <c r="E1" s="54" t="s">
        <v>278</v>
      </c>
      <c r="F1" s="54" t="s">
        <v>279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280</v>
      </c>
      <c r="B2" s="55" t="s">
        <v>281</v>
      </c>
      <c r="C2" s="55" t="s">
        <v>163</v>
      </c>
      <c r="D2" s="56" t="n">
        <f aca="false">ALVENARIA!$K$5</f>
        <v>4197.567219</v>
      </c>
      <c r="E2" s="45" t="n">
        <f aca="false">SUM(H2:CA2)</f>
        <v>4543.92658585863</v>
      </c>
      <c r="F2" s="45" t="n">
        <f aca="false">IF(D2="","",D2-E2)</f>
        <v>-346.35936685863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0</v>
      </c>
      <c r="U2" s="93" t="n">
        <f aca="false">ALVENARIA!E18</f>
        <v>0</v>
      </c>
      <c r="V2" s="93" t="n">
        <f aca="false">ALVENARIA!E19</f>
        <v>0</v>
      </c>
      <c r="W2" s="93" t="n">
        <f aca="false">ALVENARIA!E20</f>
        <v>0</v>
      </c>
      <c r="X2" s="93" t="n">
        <f aca="false">ALVENARIA!E21</f>
        <v>6.11795956343498</v>
      </c>
      <c r="Y2" s="93" t="n">
        <f aca="false">ALVENARIA!E22</f>
        <v>11.727597889344</v>
      </c>
      <c r="Z2" s="93" t="n">
        <f aca="false">ALVENARIA!E23</f>
        <v>7.95582837032392</v>
      </c>
      <c r="AA2" s="93" t="n">
        <f aca="false">ALVENARIA!E24</f>
        <v>61.4360489618769</v>
      </c>
      <c r="AB2" s="93" t="n">
        <f aca="false">ALVENARIA!E25</f>
        <v>112.641128115051</v>
      </c>
      <c r="AC2" s="93" t="n">
        <f aca="false">ALVENARIA!E26</f>
        <v>108.933472950786</v>
      </c>
      <c r="AD2" s="93" t="n">
        <f aca="false">ALVENARIA!E27</f>
        <v>260.200026319598</v>
      </c>
      <c r="AE2" s="93" t="n">
        <f aca="false">ALVENARIA!E28</f>
        <v>128.455776958396</v>
      </c>
      <c r="AF2" s="93" t="n">
        <f aca="false">ALVENARIA!E29</f>
        <v>79.0534985050659</v>
      </c>
      <c r="AG2" s="93" t="n">
        <f aca="false">ALVENARIA!E30</f>
        <v>230.763102572591</v>
      </c>
      <c r="AH2" s="93" t="n">
        <f aca="false">ALVENARIA!E31</f>
        <v>335.863129486841</v>
      </c>
      <c r="AI2" s="93" t="n">
        <f aca="false">ALVENARIA!E32</f>
        <v>359.167918063478</v>
      </c>
      <c r="AJ2" s="93" t="n">
        <f aca="false">ALVENARIA!E33</f>
        <v>407.605321771785</v>
      </c>
      <c r="AK2" s="93" t="n">
        <f aca="false">ALVENARIA!E34</f>
        <v>371.962703948691</v>
      </c>
      <c r="AL2" s="93" t="n">
        <f aca="false">ALVENARIA!E35</f>
        <v>361.972165774836</v>
      </c>
      <c r="AM2" s="93" t="n">
        <f aca="false">ALVENARIA!E36</f>
        <v>353.22748175963</v>
      </c>
      <c r="AN2" s="93" t="n">
        <f aca="false">ALVENARIA!E37</f>
        <v>371.962703948691</v>
      </c>
      <c r="AO2" s="93" t="n">
        <f aca="false">ALVENARIA!E38</f>
        <v>271.889200060776</v>
      </c>
      <c r="AP2" s="93" t="n">
        <f aca="false">ALVENARIA!E39</f>
        <v>314.843124103991</v>
      </c>
      <c r="AQ2" s="93" t="n">
        <f aca="false">ALVENARIA!E40</f>
        <v>178.213089115467</v>
      </c>
      <c r="AR2" s="93" t="n">
        <f aca="false">ALVENARIA!E41</f>
        <v>66.258712619853</v>
      </c>
      <c r="AS2" s="93" t="n">
        <f aca="false">ALVENARIA!E42</f>
        <v>53.46392673464</v>
      </c>
      <c r="AT2" s="93" t="n">
        <f aca="false">ALVENARIA!E43</f>
        <v>18.7352221890617</v>
      </c>
      <c r="AU2" s="93" t="n">
        <f aca="false">ALVENARIA!E44</f>
        <v>0</v>
      </c>
      <c r="AV2" s="93" t="n">
        <f aca="false">ALVENARIA!E45</f>
        <v>64.4308860648223</v>
      </c>
      <c r="AW2" s="93" t="n">
        <f aca="false">ALVENARIA!E46</f>
        <v>0</v>
      </c>
      <c r="AX2" s="93" t="n">
        <f aca="false">ALVENARIA!E47</f>
        <v>0</v>
      </c>
      <c r="AY2" s="93" t="n">
        <f aca="false">ALVENARIA!E48</f>
        <v>0</v>
      </c>
      <c r="AZ2" s="93" t="n">
        <f aca="false">ALVENARIA!E49</f>
        <v>0</v>
      </c>
      <c r="BA2" s="93" t="n">
        <f aca="false">ALVENARIA!E50</f>
        <v>0</v>
      </c>
      <c r="BB2" s="93" t="n">
        <f aca="false">ALVENARIA!E51</f>
        <v>7.04656000960191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280</v>
      </c>
      <c r="B3" s="55" t="s">
        <v>282</v>
      </c>
      <c r="C3" s="55" t="s">
        <v>67</v>
      </c>
      <c r="D3" s="56" t="n">
        <f aca="false">'BARRACÃO DE OBRA'!$K$5</f>
        <v>739.09566</v>
      </c>
      <c r="E3" s="45" t="n">
        <f aca="false">SUM(H3:CA3)</f>
        <v>1013.94774195991</v>
      </c>
      <c r="F3" s="45" t="n">
        <f aca="false">IF(D3="","",D3-E3)</f>
        <v>-274.852081959915</v>
      </c>
      <c r="H3" s="93" t="n">
        <f aca="false">'BARRACÃO DE OBRA'!E5</f>
        <v>72.4673237004798</v>
      </c>
      <c r="I3" s="93" t="n">
        <f aca="false">'BARRACÃO DE OBRA'!E6</f>
        <v>0</v>
      </c>
      <c r="J3" s="93" t="n">
        <f aca="false">'BARRACÃO DE OBRA'!E7</f>
        <v>17.1291772273221</v>
      </c>
      <c r="K3" s="93" t="n">
        <f aca="false">'BARRACÃO DE OBRA'!E8</f>
        <v>14.4210640655948</v>
      </c>
      <c r="L3" s="93" t="n">
        <f aca="false">'BARRACÃO DE OBRA'!E9</f>
        <v>27.2959706600972</v>
      </c>
      <c r="M3" s="93" t="n">
        <f aca="false">'BARRACÃO DE OBRA'!E10</f>
        <v>23.497108686364</v>
      </c>
      <c r="N3" s="93" t="n">
        <f aca="false">'BARRACÃO DE OBRA'!E11</f>
        <v>30.3596721658612</v>
      </c>
      <c r="O3" s="93" t="n">
        <f aca="false">'BARRACÃO DE OBRA'!E12</f>
        <v>39.7190432484545</v>
      </c>
      <c r="P3" s="93" t="n">
        <f aca="false">'BARRACÃO DE OBRA'!E13</f>
        <v>26.1412699534645</v>
      </c>
      <c r="Q3" s="93" t="n">
        <f aca="false">'BARRACÃO DE OBRA'!E14</f>
        <v>45.7428408028902</v>
      </c>
      <c r="R3" s="93" t="n">
        <f aca="false">'BARRACÃO DE OBRA'!E15</f>
        <v>40.2198132131719</v>
      </c>
      <c r="S3" s="93" t="n">
        <f aca="false">'BARRACÃO DE OBRA'!E16</f>
        <v>49.4349450447238</v>
      </c>
      <c r="T3" s="93" t="n">
        <f aca="false">'BARRACÃO DE OBRA'!E17</f>
        <v>28.5708551240432</v>
      </c>
      <c r="U3" s="93" t="n">
        <f aca="false">'BARRACÃO DE OBRA'!E18</f>
        <v>23.0333797884621</v>
      </c>
      <c r="V3" s="93" t="n">
        <f aca="false">'BARRACÃO DE OBRA'!E19</f>
        <v>25.4103609809421</v>
      </c>
      <c r="W3" s="93" t="n">
        <f aca="false">'BARRACÃO DE OBRA'!E20</f>
        <v>37.097333907428</v>
      </c>
      <c r="X3" s="93" t="n">
        <f aca="false">'BARRACÃO DE OBRA'!E21</f>
        <v>45.5839073013817</v>
      </c>
      <c r="Y3" s="93" t="n">
        <f aca="false">'BARRACÃO DE OBRA'!E22</f>
        <v>16.9940229559414</v>
      </c>
      <c r="Z3" s="93" t="n">
        <f aca="false">'BARRACÃO DE OBRA'!E23</f>
        <v>25.9244706361892</v>
      </c>
      <c r="AA3" s="93" t="n">
        <f aca="false">'BARRACÃO DE OBRA'!E24</f>
        <v>19.4498191986998</v>
      </c>
      <c r="AB3" s="93" t="n">
        <f aca="false">'BARRACÃO DE OBRA'!E25</f>
        <v>23.7463576296815</v>
      </c>
      <c r="AC3" s="93" t="n">
        <f aca="false">'BARRACÃO DE OBRA'!E26</f>
        <v>57.9407528571055</v>
      </c>
      <c r="AD3" s="93" t="n">
        <f aca="false">'BARRACÃO DE OBRA'!E27</f>
        <v>163.416472185673</v>
      </c>
      <c r="AE3" s="93" t="n">
        <f aca="false">'BARRACÃO DE OBRA'!E28</f>
        <v>22.9794583407355</v>
      </c>
      <c r="AF3" s="93" t="n">
        <f aca="false">'BARRACÃO DE OBRA'!E29</f>
        <v>18.7096032464168</v>
      </c>
      <c r="AG3" s="93" t="n">
        <f aca="false">'BARRACÃO DE OBRA'!E30</f>
        <v>11.1500798948593</v>
      </c>
      <c r="AH3" s="93" t="n">
        <f aca="false">'BARRACÃO DE OBRA'!E31</f>
        <v>8.06619863227025</v>
      </c>
      <c r="AI3" s="93" t="n">
        <f aca="false">'BARRACÃO DE OBRA'!E32</f>
        <v>8.16327174370314</v>
      </c>
      <c r="AJ3" s="93" t="n">
        <f aca="false">'BARRACÃO DE OBRA'!E33</f>
        <v>7.42780270446304</v>
      </c>
      <c r="AK3" s="93" t="n">
        <f aca="false">'BARRACÃO DE OBRA'!E34</f>
        <v>7.42780270446304</v>
      </c>
      <c r="AL3" s="93" t="n">
        <f aca="false">'BARRACÃO DE OBRA'!E35</f>
        <v>7.42780270446304</v>
      </c>
      <c r="AM3" s="93" t="n">
        <f aca="false">'BARRACÃO DE OBRA'!E36</f>
        <v>7.42780270446304</v>
      </c>
      <c r="AN3" s="93" t="n">
        <f aca="false">'BARRACÃO DE OBRA'!E37</f>
        <v>7.42780270446304</v>
      </c>
      <c r="AO3" s="93" t="n">
        <f aca="false">'BARRACÃO DE OBRA'!E38</f>
        <v>7.42780270446304</v>
      </c>
      <c r="AP3" s="93" t="n">
        <f aca="false">'BARRACÃO DE OBRA'!E39</f>
        <v>7.42780270446304</v>
      </c>
      <c r="AQ3" s="93" t="n">
        <f aca="false">'BARRACÃO DE OBRA'!E40</f>
        <v>7.42780270446304</v>
      </c>
      <c r="AR3" s="93" t="n">
        <f aca="false">'BARRACÃO DE OBRA'!E41</f>
        <v>7.42780270446304</v>
      </c>
      <c r="AS3" s="93" t="n">
        <f aca="false">'BARRACÃO DE OBRA'!E42</f>
        <v>7.42780270446304</v>
      </c>
      <c r="AT3" s="93" t="n">
        <f aca="false">'BARRACÃO DE OBRA'!E43</f>
        <v>7.42780270446304</v>
      </c>
      <c r="AU3" s="93" t="n">
        <f aca="false">'BARRACÃO DE OBRA'!E44</f>
        <v>8.29465368593006</v>
      </c>
      <c r="AV3" s="93" t="n">
        <f aca="false">'BARRACÃO DE OBRA'!E45</f>
        <v>0</v>
      </c>
      <c r="AW3" s="93" t="n">
        <f aca="false">'BARRACÃO DE OBRA'!E46</f>
        <v>0</v>
      </c>
      <c r="AX3" s="93" t="n">
        <f aca="false">'BARRACÃO DE OBRA'!E47</f>
        <v>0</v>
      </c>
      <c r="AY3" s="93" t="n">
        <f aca="false">'BARRACÃO DE OBRA'!E48</f>
        <v>0</v>
      </c>
      <c r="AZ3" s="93" t="n">
        <f aca="false">'BARRACÃO DE OBRA'!E49</f>
        <v>0</v>
      </c>
      <c r="BA3" s="93" t="n">
        <f aca="false">'BARRACÃO DE OBRA'!E50</f>
        <v>0</v>
      </c>
      <c r="BB3" s="93" t="n">
        <f aca="false">'BARRACÃO DE OBRA'!E51</f>
        <v>0</v>
      </c>
      <c r="BC3" s="93" t="n">
        <f aca="false">'BARRACÃO DE OBRA'!E52</f>
        <v>0</v>
      </c>
      <c r="BD3" s="93" t="n">
        <f aca="false">'BARRACÃO DE OBRA'!E53</f>
        <v>0</v>
      </c>
      <c r="BE3" s="93" t="n">
        <f aca="false">'BARRACÃO DE OBRA'!E54</f>
        <v>1.28268533293531</v>
      </c>
      <c r="BF3" s="93" t="n">
        <f aca="false">'BARRACÃO DE OBRA'!E55</f>
        <v>0</v>
      </c>
      <c r="BG3" s="93" t="n">
        <f aca="false">'BARRACÃO DE OBRA'!E56</f>
        <v>0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280</v>
      </c>
      <c r="B4" s="55" t="s">
        <v>283</v>
      </c>
      <c r="C4" s="55" t="s">
        <v>69</v>
      </c>
      <c r="D4" s="56" t="n">
        <f aca="false">CONSULTORIAS!$K$5</f>
        <v>1335.513192</v>
      </c>
      <c r="E4" s="45" t="n">
        <f aca="false">SUM(H4:CA4)</f>
        <v>1343.63074998085</v>
      </c>
      <c r="F4" s="45" t="n">
        <f aca="false">IF(D4="","",D4-E4)</f>
        <v>-8.11755798085278</v>
      </c>
      <c r="H4" s="93" t="n">
        <f aca="false">CONSULTORIAS!E5</f>
        <v>22.9710599191341</v>
      </c>
      <c r="I4" s="93" t="n">
        <f aca="false">CONSULTORIAS!E6</f>
        <v>2.29151769371046</v>
      </c>
      <c r="J4" s="93" t="n">
        <f aca="false">CONSULTORIAS!E7</f>
        <v>108.120977188984</v>
      </c>
      <c r="K4" s="93" t="n">
        <f aca="false">CONSULTORIAS!E8</f>
        <v>124.475409585654</v>
      </c>
      <c r="L4" s="93" t="n">
        <f aca="false">CONSULTORIAS!E9</f>
        <v>17.959529305288</v>
      </c>
      <c r="M4" s="93" t="n">
        <f aca="false">CONSULTORIAS!E10</f>
        <v>10.3907071694002</v>
      </c>
      <c r="N4" s="93" t="n">
        <f aca="false">CONSULTORIAS!E11</f>
        <v>8.85447295518416</v>
      </c>
      <c r="O4" s="93" t="n">
        <f aca="false">CONSULTORIAS!E12</f>
        <v>21.2662922118746</v>
      </c>
      <c r="P4" s="93" t="n">
        <f aca="false">CONSULTORIAS!E13</f>
        <v>118.32980194065</v>
      </c>
      <c r="Q4" s="93" t="n">
        <f aca="false">CONSULTORIAS!E14</f>
        <v>107.728076458855</v>
      </c>
      <c r="R4" s="93" t="n">
        <f aca="false">CONSULTORIAS!E15</f>
        <v>21.4760838904542</v>
      </c>
      <c r="S4" s="93" t="n">
        <f aca="false">CONSULTORIAS!E16</f>
        <v>30.1844924214671</v>
      </c>
      <c r="T4" s="93" t="n">
        <f aca="false">CONSULTORIAS!E17</f>
        <v>12.6194936983018</v>
      </c>
      <c r="U4" s="93" t="n">
        <f aca="false">CONSULTORIAS!E18</f>
        <v>13.1093436245994</v>
      </c>
      <c r="V4" s="93" t="n">
        <f aca="false">CONSULTORIAS!E19</f>
        <v>11.2667505588558</v>
      </c>
      <c r="W4" s="93" t="n">
        <f aca="false">CONSULTORIAS!E20</f>
        <v>20.2892443037538</v>
      </c>
      <c r="X4" s="93" t="n">
        <f aca="false">CONSULTORIAS!E21</f>
        <v>16.3811909956083</v>
      </c>
      <c r="Y4" s="93" t="n">
        <f aca="false">CONSULTORIAS!E22</f>
        <v>7.73751372280524</v>
      </c>
      <c r="Z4" s="93" t="n">
        <f aca="false">CONSULTORIAS!E23</f>
        <v>19.753373505924</v>
      </c>
      <c r="AA4" s="93" t="n">
        <f aca="false">CONSULTORIAS!E24</f>
        <v>22.1671397226549</v>
      </c>
      <c r="AB4" s="93" t="n">
        <f aca="false">CONSULTORIAS!E25</f>
        <v>12.7303107667657</v>
      </c>
      <c r="AC4" s="93" t="n">
        <f aca="false">CONSULTORIAS!E26</f>
        <v>14.9591149628157</v>
      </c>
      <c r="AD4" s="93" t="n">
        <f aca="false">CONSULTORIAS!E27</f>
        <v>18.5974619495867</v>
      </c>
      <c r="AE4" s="93" t="n">
        <f aca="false">CONSULTORIAS!E28</f>
        <v>16.001090151587</v>
      </c>
      <c r="AF4" s="93" t="n">
        <f aca="false">CONSULTORIAS!E29</f>
        <v>16.001090151587</v>
      </c>
      <c r="AG4" s="93" t="n">
        <f aca="false">CONSULTORIAS!E30</f>
        <v>18.6875222938281</v>
      </c>
      <c r="AH4" s="93" t="n">
        <f aca="false">CONSULTORIAS!E31</f>
        <v>16.6504384160464</v>
      </c>
      <c r="AI4" s="93" t="n">
        <f aca="false">CONSULTORIAS!E32</f>
        <v>14.0864720527488</v>
      </c>
      <c r="AJ4" s="93" t="n">
        <f aca="false">CONSULTORIAS!E33</f>
        <v>18.6875222938281</v>
      </c>
      <c r="AK4" s="93" t="n">
        <f aca="false">CONSULTORIAS!E34</f>
        <v>16.6504384160464</v>
      </c>
      <c r="AL4" s="93" t="n">
        <f aca="false">CONSULTORIAS!E35</f>
        <v>21.5803573302493</v>
      </c>
      <c r="AM4" s="93" t="n">
        <f aca="false">CONSULTORIAS!E36</f>
        <v>11.6927503448006</v>
      </c>
      <c r="AN4" s="93" t="n">
        <f aca="false">CONSULTORIAS!E37</f>
        <v>9.32792744950038</v>
      </c>
      <c r="AO4" s="93" t="n">
        <f aca="false">CONSULTORIAS!E38</f>
        <v>8.95853932615336</v>
      </c>
      <c r="AP4" s="93" t="n">
        <f aca="false">CONSULTORIAS!E39</f>
        <v>10.995623203935</v>
      </c>
      <c r="AQ4" s="93" t="n">
        <f aca="false">CONSULTORIAS!E40</f>
        <v>8.95853932615336</v>
      </c>
      <c r="AR4" s="93" t="n">
        <f aca="false">CONSULTORIAS!E41</f>
        <v>8.95853932615336</v>
      </c>
      <c r="AS4" s="93" t="n">
        <f aca="false">CONSULTORIAS!E42</f>
        <v>10.995623203935</v>
      </c>
      <c r="AT4" s="93" t="n">
        <f aca="false">CONSULTORIAS!E43</f>
        <v>8.95853932615336</v>
      </c>
      <c r="AU4" s="93" t="n">
        <f aca="false">CONSULTORIAS!E44</f>
        <v>8.95853932615336</v>
      </c>
      <c r="AV4" s="93" t="n">
        <f aca="false">CONSULTORIAS!E45</f>
        <v>10.995623203935</v>
      </c>
      <c r="AW4" s="93" t="n">
        <f aca="false">CONSULTORIAS!E46</f>
        <v>8.95853932615336</v>
      </c>
      <c r="AX4" s="93" t="n">
        <f aca="false">CONSULTORIAS!E47</f>
        <v>13.6114240924501</v>
      </c>
      <c r="AY4" s="93" t="n">
        <f aca="false">CONSULTORIAS!E48</f>
        <v>10.995623203935</v>
      </c>
      <c r="AZ4" s="93" t="n">
        <f aca="false">CONSULTORIAS!E49</f>
        <v>43.6815599701586</v>
      </c>
      <c r="BA4" s="93" t="n">
        <f aca="false">CONSULTORIAS!E50</f>
        <v>45.7186438479403</v>
      </c>
      <c r="BB4" s="93" t="n">
        <f aca="false">CONSULTORIAS!E51</f>
        <v>8.95853932615336</v>
      </c>
      <c r="BC4" s="93" t="n">
        <f aca="false">CONSULTORIAS!E52</f>
        <v>5.5538314086065</v>
      </c>
      <c r="BD4" s="93" t="n">
        <f aca="false">CONSULTORIAS!E53</f>
        <v>36.0508567318486</v>
      </c>
      <c r="BE4" s="93" t="n">
        <f aca="false">CONSULTORIAS!E54</f>
        <v>47.4840085148424</v>
      </c>
      <c r="BF4" s="93" t="n">
        <f aca="false">CONSULTORIAS!E55</f>
        <v>18.6997077592061</v>
      </c>
      <c r="BG4" s="93" t="n">
        <f aca="false">CONSULTORIAS!E56</f>
        <v>51.5567410522191</v>
      </c>
      <c r="BH4" s="93" t="n">
        <f aca="false">CONSULTORIAS!E57</f>
        <v>51.5567410522191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280</v>
      </c>
      <c r="B5" s="55" t="s">
        <v>284</v>
      </c>
      <c r="C5" s="55" t="s">
        <v>70</v>
      </c>
      <c r="D5" s="56" t="n">
        <f aca="false">CONSUMOS!$K$5</f>
        <v>466.159243</v>
      </c>
      <c r="E5" s="45" t="n">
        <f aca="false">SUM(H5:CA5)</f>
        <v>497.496859824441</v>
      </c>
      <c r="F5" s="45" t="n">
        <f aca="false">IF(D5="","",D5-E5)</f>
        <v>-31.3376168244407</v>
      </c>
      <c r="H5" s="93" t="n">
        <f aca="false">CONSUMOS!E5</f>
        <v>2.60788756773841</v>
      </c>
      <c r="I5" s="93" t="n">
        <f aca="false">CONSUMOS!E6</f>
        <v>0.752722569873306</v>
      </c>
      <c r="J5" s="93" t="n">
        <f aca="false">CONSUMOS!E7</f>
        <v>0.255585610530127</v>
      </c>
      <c r="K5" s="93" t="n">
        <f aca="false">CONSUMOS!E8</f>
        <v>0.0814164458844555</v>
      </c>
      <c r="L5" s="93" t="n">
        <f aca="false">CONSUMOS!E9</f>
        <v>0.134997999091571</v>
      </c>
      <c r="M5" s="93" t="n">
        <f aca="false">CONSUMOS!E10</f>
        <v>0.134220075596373</v>
      </c>
      <c r="N5" s="93" t="n">
        <f aca="false">CONSUMOS!E11</f>
        <v>0.136047332700297</v>
      </c>
      <c r="O5" s="93" t="n">
        <f aca="false">CONSUMOS!E12</f>
        <v>1.42782437580082</v>
      </c>
      <c r="P5" s="93" t="n">
        <f aca="false">CONSUMOS!E13</f>
        <v>3.27038742309153</v>
      </c>
      <c r="Q5" s="93" t="n">
        <f aca="false">CONSUMOS!E14</f>
        <v>4.89821923664222</v>
      </c>
      <c r="R5" s="93" t="n">
        <f aca="false">CONSUMOS!E15</f>
        <v>4.61408951238428</v>
      </c>
      <c r="S5" s="93" t="n">
        <f aca="false">CONSUMOS!E16</f>
        <v>5.5106218582561</v>
      </c>
      <c r="T5" s="93" t="n">
        <f aca="false">CONSUMOS!E17</f>
        <v>2.45841546833029</v>
      </c>
      <c r="U5" s="93" t="n">
        <f aca="false">CONSUMOS!E18</f>
        <v>3.38264205730472</v>
      </c>
      <c r="V5" s="93" t="n">
        <f aca="false">CONSUMOS!E19</f>
        <v>5.2513339583597</v>
      </c>
      <c r="W5" s="93" t="n">
        <f aca="false">CONSUMOS!E20</f>
        <v>4.48197976075646</v>
      </c>
      <c r="X5" s="93" t="n">
        <f aca="false">CONSUMOS!E21</f>
        <v>7.21253965380915</v>
      </c>
      <c r="Y5" s="93" t="n">
        <f aca="false">CONSUMOS!E22</f>
        <v>4.41767694057189</v>
      </c>
      <c r="Z5" s="93" t="n">
        <f aca="false">CONSUMOS!E23</f>
        <v>3.32574078137433</v>
      </c>
      <c r="AA5" s="93" t="n">
        <f aca="false">CONSUMOS!E24</f>
        <v>10.1988775495157</v>
      </c>
      <c r="AB5" s="93" t="n">
        <f aca="false">CONSUMOS!E25</f>
        <v>35.1927420157007</v>
      </c>
      <c r="AC5" s="93" t="n">
        <f aca="false">CONSUMOS!E26</f>
        <v>13.118088051321</v>
      </c>
      <c r="AD5" s="93" t="n">
        <f aca="false">CONSUMOS!E27</f>
        <v>17.0505760254597</v>
      </c>
      <c r="AE5" s="93" t="n">
        <f aca="false">CONSUMOS!E28</f>
        <v>12.4636038990134</v>
      </c>
      <c r="AF5" s="93" t="n">
        <f aca="false">CONSUMOS!E29</f>
        <v>12.6727107843042</v>
      </c>
      <c r="AG5" s="93" t="n">
        <f aca="false">CONSUMOS!E30</f>
        <v>12.8836973776141</v>
      </c>
      <c r="AH5" s="93" t="n">
        <f aca="false">CONSUMOS!E31</f>
        <v>13.377771400785</v>
      </c>
      <c r="AI5" s="93" t="n">
        <f aca="false">CONSUMOS!E32</f>
        <v>13.6321783987891</v>
      </c>
      <c r="AJ5" s="93" t="n">
        <f aca="false">CONSUMOS!E33</f>
        <v>13.6696789990432</v>
      </c>
      <c r="AK5" s="93" t="n">
        <f aca="false">CONSUMOS!E34</f>
        <v>13.9196036163865</v>
      </c>
      <c r="AL5" s="93" t="n">
        <f aca="false">CONSUMOS!E35</f>
        <v>13.8499523540865</v>
      </c>
      <c r="AM5" s="93" t="n">
        <f aca="false">CONSUMOS!E36</f>
        <v>13.7865611148726</v>
      </c>
      <c r="AN5" s="93" t="n">
        <f aca="false">CONSUMOS!E37</f>
        <v>13.9591455285166</v>
      </c>
      <c r="AO5" s="93" t="n">
        <f aca="false">CONSUMOS!E38</f>
        <v>13.7161783824837</v>
      </c>
      <c r="AP5" s="93" t="n">
        <f aca="false">CONSUMOS!E39</f>
        <v>13.493097016309</v>
      </c>
      <c r="AQ5" s="93" t="n">
        <f aca="false">CONSUMOS!E40</f>
        <v>13.5412974929794</v>
      </c>
      <c r="AR5" s="93" t="n">
        <f aca="false">CONSUMOS!E41</f>
        <v>13.6532634493743</v>
      </c>
      <c r="AS5" s="93" t="n">
        <f aca="false">CONSUMOS!E42</f>
        <v>13.6478284565046</v>
      </c>
      <c r="AT5" s="93" t="n">
        <f aca="false">CONSUMOS!E43</f>
        <v>14.0832147632425</v>
      </c>
      <c r="AU5" s="93" t="n">
        <f aca="false">CONSUMOS!E44</f>
        <v>13.657278029397</v>
      </c>
      <c r="AV5" s="93" t="n">
        <f aca="false">CONSUMOS!E45</f>
        <v>13.7937822556338</v>
      </c>
      <c r="AW5" s="93" t="n">
        <f aca="false">CONSUMOS!E46</f>
        <v>13.5204335845142</v>
      </c>
      <c r="AX5" s="93" t="n">
        <f aca="false">CONSUMOS!E47</f>
        <v>13.3000994839058</v>
      </c>
      <c r="AY5" s="93" t="n">
        <f aca="false">CONSUMOS!E48</f>
        <v>13.2140496828691</v>
      </c>
      <c r="AZ5" s="93" t="n">
        <f aca="false">CONSUMOS!E49</f>
        <v>12.6881482053659</v>
      </c>
      <c r="BA5" s="93" t="n">
        <f aca="false">CONSUMOS!E50</f>
        <v>12.557546772637</v>
      </c>
      <c r="BB5" s="93" t="n">
        <f aca="false">CONSUMOS!E51</f>
        <v>12.2020438039773</v>
      </c>
      <c r="BC5" s="93" t="n">
        <f aca="false">CONSUMOS!E52</f>
        <v>12.0925019054351</v>
      </c>
      <c r="BD5" s="93" t="n">
        <f aca="false">CONSUMOS!E53</f>
        <v>11.9022091112675</v>
      </c>
      <c r="BE5" s="93" t="n">
        <f aca="false">CONSUMOS!E54</f>
        <v>11.4282505155407</v>
      </c>
      <c r="BF5" s="93" t="n">
        <f aca="false">CONSUMOS!E55</f>
        <v>10.8761011694996</v>
      </c>
      <c r="BG5" s="93" t="n">
        <f aca="false">CONSUMOS!E56</f>
        <v>0</v>
      </c>
      <c r="BH5" s="93" t="n">
        <f aca="false">CONSUMOS!E57</f>
        <v>0</v>
      </c>
      <c r="BI5" s="93" t="n">
        <f aca="false">CONSUMOS!E58</f>
        <v>0</v>
      </c>
      <c r="BJ5" s="93" t="n">
        <f aca="false">CONSUMOS!E59</f>
        <v>0</v>
      </c>
      <c r="BK5" s="93" t="n">
        <f aca="false">CONSUMOS!E60</f>
        <v>0</v>
      </c>
      <c r="BL5" s="93" t="n">
        <f aca="false">CONSUMOS!E61</f>
        <v>0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280</v>
      </c>
      <c r="B6" s="55" t="s">
        <v>285</v>
      </c>
      <c r="C6" s="55" t="s">
        <v>72</v>
      </c>
      <c r="D6" s="56" t="n">
        <f aca="false">CONTENÇÃO!$K$5</f>
        <v>3010.926198</v>
      </c>
      <c r="E6" s="45" t="n">
        <f aca="false">SUM(H6:CA6)</f>
        <v>2558.53523427311</v>
      </c>
      <c r="F6" s="45" t="n">
        <f aca="false">IF(D6="","",D6-E6)</f>
        <v>452.390963726893</v>
      </c>
      <c r="H6" s="93" t="n">
        <f aca="false">CONTENÇÃO!E5</f>
        <v>45.8219273582619</v>
      </c>
      <c r="I6" s="93" t="n">
        <f aca="false">CONTENÇÃO!E6</f>
        <v>0</v>
      </c>
      <c r="J6" s="93" t="n">
        <f aca="false">CONTENÇÃO!E7</f>
        <v>29.5046324891909</v>
      </c>
      <c r="K6" s="93" t="n">
        <f aca="false">CONTENÇÃO!E8</f>
        <v>58.3659853392691</v>
      </c>
      <c r="L6" s="93" t="n">
        <f aca="false">CONTENÇÃO!E9</f>
        <v>244.008224831189</v>
      </c>
      <c r="M6" s="93" t="n">
        <f aca="false">CONTENÇÃO!E10</f>
        <v>375.993518152447</v>
      </c>
      <c r="N6" s="93" t="n">
        <f aca="false">CONTENÇÃO!E11</f>
        <v>256.180287100805</v>
      </c>
      <c r="O6" s="93" t="n">
        <f aca="false">CONTENÇÃO!E12</f>
        <v>192.391118828952</v>
      </c>
      <c r="P6" s="93" t="n">
        <f aca="false">CONTENÇÃO!E13</f>
        <v>435.500490669069</v>
      </c>
      <c r="Q6" s="93" t="n">
        <f aca="false">CONTENÇÃO!E14</f>
        <v>194.354882514583</v>
      </c>
      <c r="R6" s="93" t="n">
        <f aca="false">CONTENÇÃO!E15</f>
        <v>500.74866896387</v>
      </c>
      <c r="S6" s="93" t="n">
        <f aca="false">CONTENÇÃO!E16</f>
        <v>115.023265528914</v>
      </c>
      <c r="T6" s="93" t="n">
        <f aca="false">CONTENÇÃO!E17</f>
        <v>12.7557054816103</v>
      </c>
      <c r="U6" s="93" t="n">
        <f aca="false">CONTENÇÃO!E18</f>
        <v>1.47066051432618</v>
      </c>
      <c r="V6" s="93" t="n">
        <f aca="false">CONTENÇÃO!E19</f>
        <v>0</v>
      </c>
      <c r="W6" s="93" t="n">
        <f aca="false">CONTENÇÃO!E20</f>
        <v>0.615788726736536</v>
      </c>
      <c r="X6" s="93" t="n">
        <f aca="false">CONTENÇÃO!E21</f>
        <v>6.13471022155325</v>
      </c>
      <c r="Y6" s="93" t="n">
        <f aca="false">CONTENÇÃO!E22</f>
        <v>0</v>
      </c>
      <c r="Z6" s="93" t="n">
        <f aca="false">CONTENÇÃO!E23</f>
        <v>0.264531590039675</v>
      </c>
      <c r="AA6" s="93" t="n">
        <f aca="false">CONTENÇÃO!E24</f>
        <v>19.970987969088</v>
      </c>
      <c r="AB6" s="93" t="n">
        <f aca="false">CONTENÇÃO!E25</f>
        <v>19.0604592991382</v>
      </c>
      <c r="AC6" s="93" t="n">
        <f aca="false">CONTENÇÃO!E26</f>
        <v>3.88777157312759</v>
      </c>
      <c r="AD6" s="93" t="n">
        <f aca="false">CONTENÇÃO!E27</f>
        <v>14.3031924797383</v>
      </c>
      <c r="AE6" s="93" t="n">
        <f aca="false">CONTENÇÃO!E28</f>
        <v>3.9073139130689</v>
      </c>
      <c r="AF6" s="93" t="n">
        <f aca="false">CONTENÇÃO!E29</f>
        <v>4.44989082448671</v>
      </c>
      <c r="AG6" s="93" t="n">
        <f aca="false">CONTENÇÃO!E30</f>
        <v>1.17177870685105</v>
      </c>
      <c r="AH6" s="93" t="n">
        <f aca="false">CONTENÇÃO!E31</f>
        <v>0</v>
      </c>
      <c r="AI6" s="93" t="n">
        <f aca="false">CONTENÇÃO!E32</f>
        <v>21.3654863811433</v>
      </c>
      <c r="AJ6" s="93" t="n">
        <f aca="false">CONTENÇÃO!E33</f>
        <v>0</v>
      </c>
      <c r="AK6" s="93" t="n">
        <f aca="false">CONTENÇÃO!E34</f>
        <v>0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1.28395481564803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280</v>
      </c>
      <c r="B7" s="55" t="s">
        <v>286</v>
      </c>
      <c r="C7" s="55" t="s">
        <v>287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280</v>
      </c>
      <c r="B8" s="55" t="s">
        <v>288</v>
      </c>
      <c r="C8" s="55" t="s">
        <v>289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280</v>
      </c>
      <c r="B9" s="55" t="s">
        <v>290</v>
      </c>
      <c r="C9" s="55" t="s">
        <v>83</v>
      </c>
      <c r="D9" s="56" t="n">
        <f aca="false">DIVERSOS!$K$5</f>
        <v>102.94885</v>
      </c>
      <c r="E9" s="45" t="n">
        <f aca="false">SUM(H9:CA9)</f>
        <v>239.990376934495</v>
      </c>
      <c r="F9" s="45" t="n">
        <f aca="false">IF(D9="","",D9-E9)</f>
        <v>-137.041526934495</v>
      </c>
      <c r="H9" s="93" t="n">
        <f aca="false">DIVERSOS!E5</f>
        <v>5.64731759806917</v>
      </c>
      <c r="I9" s="93" t="n">
        <f aca="false">DIVERSOS!E6</f>
        <v>0.454813722504867</v>
      </c>
      <c r="J9" s="93" t="n">
        <f aca="false">DIVERSOS!E7</f>
        <v>0.731835317671615</v>
      </c>
      <c r="K9" s="93" t="n">
        <f aca="false">DIVERSOS!E8</f>
        <v>0.825230442316864</v>
      </c>
      <c r="L9" s="93" t="n">
        <f aca="false">DIVERSOS!E9</f>
        <v>6.47926231487376</v>
      </c>
      <c r="M9" s="93" t="n">
        <f aca="false">DIVERSOS!E10</f>
        <v>2.36828343519454</v>
      </c>
      <c r="N9" s="93" t="n">
        <f aca="false">DIVERSOS!E11</f>
        <v>3.90879101365642</v>
      </c>
      <c r="O9" s="93" t="n">
        <f aca="false">DIVERSOS!E12</f>
        <v>3.47559751534733</v>
      </c>
      <c r="P9" s="93" t="n">
        <f aca="false">DIVERSOS!E13</f>
        <v>6.04625110749844</v>
      </c>
      <c r="Q9" s="93" t="n">
        <f aca="false">DIVERSOS!E14</f>
        <v>3.23419873033534</v>
      </c>
      <c r="R9" s="93" t="n">
        <f aca="false">DIVERSOS!E15</f>
        <v>4.0966216061442</v>
      </c>
      <c r="S9" s="93" t="n">
        <f aca="false">DIVERSOS!E16</f>
        <v>4.02770649941704</v>
      </c>
      <c r="T9" s="93" t="n">
        <f aca="false">DIVERSOS!E17</f>
        <v>2.85868872240692</v>
      </c>
      <c r="U9" s="93" t="n">
        <f aca="false">DIVERSOS!E18</f>
        <v>1.99378999479401</v>
      </c>
      <c r="V9" s="93" t="n">
        <f aca="false">DIVERSOS!E19</f>
        <v>3.45640118631402</v>
      </c>
      <c r="W9" s="93" t="n">
        <f aca="false">DIVERSOS!E20</f>
        <v>2.5306831967453</v>
      </c>
      <c r="X9" s="93" t="n">
        <f aca="false">DIVERSOS!E21</f>
        <v>3.99596872787087</v>
      </c>
      <c r="Y9" s="93" t="n">
        <f aca="false">DIVERSOS!E22</f>
        <v>5.31166802419149</v>
      </c>
      <c r="Z9" s="93" t="n">
        <f aca="false">DIVERSOS!E23</f>
        <v>8.70098645912477</v>
      </c>
      <c r="AA9" s="93" t="n">
        <f aca="false">DIVERSOS!E24</f>
        <v>7.19568995157676</v>
      </c>
      <c r="AB9" s="93" t="n">
        <f aca="false">DIVERSOS!E25</f>
        <v>8.83588341022246</v>
      </c>
      <c r="AC9" s="93" t="n">
        <f aca="false">DIVERSOS!E26</f>
        <v>8.02780859585979</v>
      </c>
      <c r="AD9" s="93" t="n">
        <f aca="false">DIVERSOS!E27</f>
        <v>8.07880905862221</v>
      </c>
      <c r="AE9" s="93" t="n">
        <f aca="false">DIVERSOS!E28</f>
        <v>8.98763557957791</v>
      </c>
      <c r="AF9" s="93" t="n">
        <f aca="false">DIVERSOS!E29</f>
        <v>4.65423710511143</v>
      </c>
      <c r="AG9" s="93" t="n">
        <f aca="false">DIVERSOS!E30</f>
        <v>4.2104336425781</v>
      </c>
      <c r="AH9" s="93" t="n">
        <f aca="false">DIVERSOS!E31</f>
        <v>4.2104336425781</v>
      </c>
      <c r="AI9" s="93" t="n">
        <f aca="false">DIVERSOS!E32</f>
        <v>4.2104336425781</v>
      </c>
      <c r="AJ9" s="93" t="n">
        <f aca="false">DIVERSOS!E33</f>
        <v>4.2104336425781</v>
      </c>
      <c r="AK9" s="93" t="n">
        <f aca="false">DIVERSOS!E34</f>
        <v>4.2104336425781</v>
      </c>
      <c r="AL9" s="93" t="n">
        <f aca="false">DIVERSOS!E35</f>
        <v>4.2104336425781</v>
      </c>
      <c r="AM9" s="93" t="n">
        <f aca="false">DIVERSOS!E36</f>
        <v>4.2104336425781</v>
      </c>
      <c r="AN9" s="93" t="n">
        <f aca="false">DIVERSOS!E37</f>
        <v>4.2104336425781</v>
      </c>
      <c r="AO9" s="93" t="n">
        <f aca="false">DIVERSOS!E38</f>
        <v>4.2104336425781</v>
      </c>
      <c r="AP9" s="93" t="n">
        <f aca="false">DIVERSOS!E39</f>
        <v>4.2104336425781</v>
      </c>
      <c r="AQ9" s="93" t="n">
        <f aca="false">DIVERSOS!E40</f>
        <v>4.2104336425781</v>
      </c>
      <c r="AR9" s="93" t="n">
        <f aca="false">DIVERSOS!E41</f>
        <v>4.2104336425781</v>
      </c>
      <c r="AS9" s="93" t="n">
        <f aca="false">DIVERSOS!E42</f>
        <v>4.2104336425781</v>
      </c>
      <c r="AT9" s="93" t="n">
        <f aca="false">DIVERSOS!E43</f>
        <v>4.2104336425781</v>
      </c>
      <c r="AU9" s="93" t="n">
        <f aca="false">DIVERSOS!E44</f>
        <v>4.2104336425781</v>
      </c>
      <c r="AV9" s="93" t="n">
        <f aca="false">DIVERSOS!E45</f>
        <v>4.2104336425781</v>
      </c>
      <c r="AW9" s="93" t="n">
        <f aca="false">DIVERSOS!E46</f>
        <v>4.2104336425781</v>
      </c>
      <c r="AX9" s="93" t="n">
        <f aca="false">DIVERSOS!E47</f>
        <v>4.2104336425781</v>
      </c>
      <c r="AY9" s="93" t="n">
        <f aca="false">DIVERSOS!E48</f>
        <v>4.2104336425781</v>
      </c>
      <c r="AZ9" s="93" t="n">
        <f aca="false">DIVERSOS!E49</f>
        <v>4.2104336425781</v>
      </c>
      <c r="BA9" s="93" t="n">
        <f aca="false">DIVERSOS!E50</f>
        <v>4.2104336425781</v>
      </c>
      <c r="BB9" s="93" t="n">
        <f aca="false">DIVERSOS!E51</f>
        <v>4.2104336425781</v>
      </c>
      <c r="BC9" s="93" t="n">
        <f aca="false">DIVERSOS!E52</f>
        <v>4.2104336425781</v>
      </c>
      <c r="BD9" s="93" t="n">
        <f aca="false">DIVERSOS!E53</f>
        <v>12.0968072237193</v>
      </c>
      <c r="BE9" s="93" t="n">
        <f aca="false">DIVERSOS!E54</f>
        <v>15.1294366160321</v>
      </c>
      <c r="BF9" s="93" t="n">
        <f aca="false">DIVERSOS!E55</f>
        <v>0</v>
      </c>
      <c r="BG9" s="93" t="n">
        <f aca="false">DIVERSOS!E56</f>
        <v>0</v>
      </c>
      <c r="BH9" s="93" t="n">
        <f aca="false">DIVERSOS!E57</f>
        <v>0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280</v>
      </c>
      <c r="B10" s="55" t="s">
        <v>290</v>
      </c>
      <c r="C10" s="55" t="s">
        <v>291</v>
      </c>
      <c r="E10" s="45" t="n">
        <f aca="false">SUM(H10:CA10)</f>
        <v>0</v>
      </c>
      <c r="F10" s="45" t="str">
        <f aca="false">IF(D10="","",D10-E10)</f>
        <v/>
      </c>
    </row>
    <row r="11" customFormat="false" ht="15" hidden="false" customHeight="false" outlineLevel="0" collapsed="false">
      <c r="A11" s="55" t="s">
        <v>280</v>
      </c>
      <c r="B11" s="55" t="s">
        <v>292</v>
      </c>
      <c r="C11" s="55" t="s">
        <v>293</v>
      </c>
      <c r="D11" s="56" t="n">
        <f aca="false">'ELEVADORES '!$K$5</f>
        <v>4524.265905</v>
      </c>
      <c r="E11" s="45" t="n">
        <f aca="false">SUM(H11:CA11)</f>
        <v>4303.70935233032</v>
      </c>
      <c r="F11" s="45" t="n">
        <f aca="false">IF(D11="","",D11-E11)</f>
        <v>220.556552669677</v>
      </c>
      <c r="H11" s="93" t="n">
        <f aca="false">'ELEVADORES '!E5</f>
        <v>0</v>
      </c>
      <c r="I11" s="93" t="n">
        <f aca="false">'ELEVADORES '!E6</f>
        <v>0</v>
      </c>
      <c r="J11" s="93" t="n">
        <f aca="false">'ELEVADORES '!E7</f>
        <v>0</v>
      </c>
      <c r="K11" s="93" t="n">
        <f aca="false">'ELEVADORES '!E8</f>
        <v>0</v>
      </c>
      <c r="L11" s="93" t="n">
        <f aca="false">'ELEVADORES '!E9</f>
        <v>0</v>
      </c>
      <c r="M11" s="93" t="n">
        <f aca="false">'ELEVADORES '!E10</f>
        <v>0</v>
      </c>
      <c r="N11" s="93" t="n">
        <f aca="false">'ELEVADORES '!E11</f>
        <v>0</v>
      </c>
      <c r="O11" s="93" t="n">
        <f aca="false">'ELEVADORES '!E12</f>
        <v>0</v>
      </c>
      <c r="P11" s="93" t="n">
        <f aca="false">'ELEVADORES '!E13</f>
        <v>0</v>
      </c>
      <c r="Q11" s="93" t="n">
        <f aca="false">'ELEVADORES '!E14</f>
        <v>0</v>
      </c>
      <c r="R11" s="93" t="n">
        <f aca="false">'ELEVADORES '!E15</f>
        <v>0</v>
      </c>
      <c r="S11" s="93" t="n">
        <f aca="false">'ELEVADORES '!E16</f>
        <v>0</v>
      </c>
      <c r="T11" s="93" t="n">
        <f aca="false">'ELEVADORES '!E17</f>
        <v>0</v>
      </c>
      <c r="U11" s="93" t="n">
        <f aca="false">'ELEVADORES '!E18</f>
        <v>0</v>
      </c>
      <c r="V11" s="93" t="n">
        <f aca="false">'ELEVADORES '!E19</f>
        <v>0</v>
      </c>
      <c r="W11" s="93" t="n">
        <f aca="false">'ELEVADORES '!E20</f>
        <v>0</v>
      </c>
      <c r="X11" s="93" t="n">
        <f aca="false">'ELEVADORES '!E21</f>
        <v>0</v>
      </c>
      <c r="Y11" s="93" t="n">
        <f aca="false">'ELEVADORES '!E22</f>
        <v>0</v>
      </c>
      <c r="Z11" s="93" t="n">
        <f aca="false">'ELEVADORES '!E23</f>
        <v>0</v>
      </c>
      <c r="AA11" s="93" t="n">
        <f aca="false">'ELEVADORES '!E24</f>
        <v>0</v>
      </c>
      <c r="AB11" s="93" t="n">
        <f aca="false">'ELEVADORES '!E25</f>
        <v>0</v>
      </c>
      <c r="AC11" s="93" t="n">
        <f aca="false">'ELEVADORES '!E26</f>
        <v>0</v>
      </c>
      <c r="AD11" s="93" t="n">
        <f aca="false">'ELEVADORES '!E27</f>
        <v>179.960929471793</v>
      </c>
      <c r="AE11" s="93" t="n">
        <f aca="false">'ELEVADORES '!E28</f>
        <v>179.244464204071</v>
      </c>
      <c r="AF11" s="93" t="n">
        <f aca="false">'ELEVADORES '!E29</f>
        <v>179.244464204071</v>
      </c>
      <c r="AG11" s="93" t="n">
        <f aca="false">'ELEVADORES '!E30</f>
        <v>179.244464204071</v>
      </c>
      <c r="AH11" s="93" t="n">
        <f aca="false">'ELEVADORES '!E31</f>
        <v>179.244464204071</v>
      </c>
      <c r="AI11" s="93" t="n">
        <f aca="false">'ELEVADORES '!E32</f>
        <v>179.244464204071</v>
      </c>
      <c r="AJ11" s="93" t="n">
        <f aca="false">'ELEVADORES '!E33</f>
        <v>179.244464204071</v>
      </c>
      <c r="AK11" s="93" t="n">
        <f aca="false">'ELEVADORES '!E34</f>
        <v>179.244464204071</v>
      </c>
      <c r="AL11" s="93" t="n">
        <f aca="false">'ELEVADORES '!E35</f>
        <v>179.244464204071</v>
      </c>
      <c r="AM11" s="93" t="n">
        <f aca="false">'ELEVADORES '!E36</f>
        <v>179.244464204071</v>
      </c>
      <c r="AN11" s="93" t="n">
        <f aca="false">'ELEVADORES '!E37</f>
        <v>217.647457890727</v>
      </c>
      <c r="AO11" s="93" t="n">
        <f aca="false">'ELEVADORES '!E38</f>
        <v>217.647457890727</v>
      </c>
      <c r="AP11" s="93" t="n">
        <f aca="false">'ELEVADORES '!E39</f>
        <v>192.045465535142</v>
      </c>
      <c r="AQ11" s="93" t="n">
        <f aca="false">'ELEVADORES '!E40</f>
        <v>192.045465535142</v>
      </c>
      <c r="AR11" s="93" t="n">
        <f aca="false">'ELEVADORES '!E41</f>
        <v>192.045465535142</v>
      </c>
      <c r="AS11" s="93" t="n">
        <f aca="false">'ELEVADORES '!E42</f>
        <v>198.315459423958</v>
      </c>
      <c r="AT11" s="93" t="n">
        <f aca="false">'ELEVADORES '!E43</f>
        <v>179.244464204071</v>
      </c>
      <c r="AU11" s="93" t="n">
        <f aca="false">'ELEVADORES '!E44</f>
        <v>179.244464204071</v>
      </c>
      <c r="AV11" s="93" t="n">
        <f aca="false">'ELEVADORES '!E45</f>
        <v>185.514458092887</v>
      </c>
      <c r="AW11" s="93" t="n">
        <f aca="false">'ELEVADORES '!E46</f>
        <v>179.29839029094</v>
      </c>
      <c r="AX11" s="93" t="n">
        <f aca="false">'ELEVADORES '!E47</f>
        <v>179.244464204071</v>
      </c>
      <c r="AY11" s="93" t="n">
        <f aca="false">'ELEVADORES '!E48</f>
        <v>179.244464204071</v>
      </c>
      <c r="AZ11" s="93" t="n">
        <f aca="false">'ELEVADORES '!E49</f>
        <v>219.010768010949</v>
      </c>
      <c r="BA11" s="93" t="n">
        <f aca="false">'ELEVADORES '!E50</f>
        <v>0</v>
      </c>
      <c r="BB11" s="93" t="n">
        <f aca="false">'ELEVADORES '!E51</f>
        <v>0</v>
      </c>
      <c r="BC11" s="93" t="n">
        <f aca="false">'ELEVADORES '!E52</f>
        <v>0</v>
      </c>
      <c r="BD11" s="93" t="n">
        <f aca="false">'ELEVADORES '!E53</f>
        <v>0</v>
      </c>
      <c r="BE11" s="93" t="n">
        <f aca="false">'ELEVADORES '!E54</f>
        <v>0</v>
      </c>
      <c r="BF11" s="93" t="n">
        <f aca="false">'ELEVADORES '!E55</f>
        <v>0</v>
      </c>
      <c r="BG11" s="93" t="n">
        <f aca="false">'ELEVADORES '!E56</f>
        <v>0</v>
      </c>
      <c r="BH11" s="93" t="n">
        <f aca="false">'ELEVADORES '!E57</f>
        <v>0</v>
      </c>
      <c r="BI11" s="93" t="n">
        <f aca="false">'ELEVADORES '!E58</f>
        <v>0</v>
      </c>
      <c r="BJ11" s="93" t="n">
        <f aca="false">'ELEVADORES '!E59</f>
        <v>0</v>
      </c>
      <c r="BK11" s="93" t="n">
        <f aca="false">'ELEVADORES '!E60</f>
        <v>0</v>
      </c>
      <c r="BL11" s="93" t="n">
        <f aca="false">'ELEVADORES '!E61</f>
        <v>0</v>
      </c>
      <c r="BM11" s="93" t="n">
        <f aca="false">'ELEVADORES '!E62</f>
        <v>0</v>
      </c>
      <c r="BN11" s="93" t="n">
        <f aca="false">'ELEVADORES '!E63</f>
        <v>0</v>
      </c>
      <c r="BO11" s="93" t="n">
        <f aca="false">'ELEVADORES '!E64</f>
        <v>0</v>
      </c>
      <c r="BP11" s="93" t="n">
        <f aca="false">'ELEVADORES '!E65</f>
        <v>0</v>
      </c>
      <c r="BQ11" s="93" t="n">
        <f aca="false">'ELEVADORES '!E66</f>
        <v>0</v>
      </c>
      <c r="BR11" s="93" t="n">
        <f aca="false">'ELEVADORES '!E67</f>
        <v>0</v>
      </c>
      <c r="BS11" s="93" t="n">
        <f aca="false">'ELEVADORES '!E68</f>
        <v>0</v>
      </c>
      <c r="BT11" s="93" t="n">
        <f aca="false">'ELEVADORES '!E69</f>
        <v>0</v>
      </c>
      <c r="BU11" s="93" t="n">
        <f aca="false">'ELEVADORES '!E70</f>
        <v>0</v>
      </c>
      <c r="BV11" s="93" t="n">
        <f aca="false">'ELEVADORES '!E71</f>
        <v>0</v>
      </c>
      <c r="BW11" s="93" t="n">
        <f aca="false">'ELEVADORES '!E72</f>
        <v>0</v>
      </c>
      <c r="BX11" s="93" t="n">
        <f aca="false">'ELEVADORES '!E73</f>
        <v>0</v>
      </c>
      <c r="BY11" s="93" t="n">
        <f aca="false">'ELEVADORES '!E74</f>
        <v>0</v>
      </c>
      <c r="BZ11" s="93" t="n">
        <f aca="false">'ELEVADORES '!E75</f>
        <v>0</v>
      </c>
      <c r="CA11" s="93" t="n">
        <f aca="false">'ELEVADORES '!E76</f>
        <v>0</v>
      </c>
    </row>
    <row r="12" customFormat="false" ht="15" hidden="false" customHeight="false" outlineLevel="0" collapsed="false">
      <c r="A12" s="55" t="s">
        <v>280</v>
      </c>
      <c r="B12" s="55" t="s">
        <v>294</v>
      </c>
      <c r="C12" s="55" t="s">
        <v>78</v>
      </c>
      <c r="D12" s="56" t="n">
        <f aca="false">'EQUIP E FER'!$K$5</f>
        <v>5723.979302</v>
      </c>
      <c r="E12" s="45" t="n">
        <f aca="false">SUM(H12:CA12)</f>
        <v>6293.35777689893</v>
      </c>
      <c r="F12" s="45" t="n">
        <f aca="false">IF(D12="","",D12-E12)</f>
        <v>-569.378474898932</v>
      </c>
      <c r="H12" s="93" t="n">
        <f aca="false">'EQUIP E FER'!E5</f>
        <v>7.9045391748915</v>
      </c>
      <c r="I12" s="93" t="n">
        <f aca="false">'EQUIP E FER'!E6</f>
        <v>0</v>
      </c>
      <c r="J12" s="93" t="n">
        <f aca="false">'EQUIP E FER'!E7</f>
        <v>5.23950501586761</v>
      </c>
      <c r="K12" s="93" t="n">
        <f aca="false">'EQUIP E FER'!E8</f>
        <v>30.7496524907798</v>
      </c>
      <c r="L12" s="93" t="n">
        <f aca="false">'EQUIP E FER'!E9</f>
        <v>17.1217565443214</v>
      </c>
      <c r="M12" s="93" t="n">
        <f aca="false">'EQUIP E FER'!E10</f>
        <v>53.5876631688865</v>
      </c>
      <c r="N12" s="93" t="n">
        <f aca="false">'EQUIP E FER'!E11</f>
        <v>19.3661823296032</v>
      </c>
      <c r="O12" s="93" t="n">
        <f aca="false">'EQUIP E FER'!E12</f>
        <v>30.406345959548</v>
      </c>
      <c r="P12" s="93" t="n">
        <f aca="false">'EQUIP E FER'!E13</f>
        <v>14.0943498264988</v>
      </c>
      <c r="Q12" s="93" t="n">
        <f aca="false">'EQUIP E FER'!E14</f>
        <v>17.6933850914095</v>
      </c>
      <c r="R12" s="93" t="n">
        <f aca="false">'EQUIP E FER'!E15</f>
        <v>28.3041928865241</v>
      </c>
      <c r="S12" s="93" t="n">
        <f aca="false">'EQUIP E FER'!E16</f>
        <v>82.0830950211034</v>
      </c>
      <c r="T12" s="93" t="n">
        <f aca="false">'EQUIP E FER'!E17</f>
        <v>47.7873584977865</v>
      </c>
      <c r="U12" s="93" t="n">
        <f aca="false">'EQUIP E FER'!E18</f>
        <v>44.7728764563036</v>
      </c>
      <c r="V12" s="93" t="n">
        <f aca="false">'EQUIP E FER'!E19</f>
        <v>59.1447349858644</v>
      </c>
      <c r="W12" s="93" t="n">
        <f aca="false">'EQUIP E FER'!E20</f>
        <v>128.894995994968</v>
      </c>
      <c r="X12" s="93" t="n">
        <f aca="false">'EQUIP E FER'!E21</f>
        <v>280.319088129102</v>
      </c>
      <c r="Y12" s="93" t="n">
        <f aca="false">'EQUIP E FER'!E22</f>
        <v>142.49266739855</v>
      </c>
      <c r="Z12" s="93" t="n">
        <f aca="false">'EQUIP E FER'!E23</f>
        <v>150.306494950576</v>
      </c>
      <c r="AA12" s="93" t="n">
        <f aca="false">'EQUIP E FER'!E24</f>
        <v>176.368715127159</v>
      </c>
      <c r="AB12" s="93" t="n">
        <f aca="false">'EQUIP E FER'!E25</f>
        <v>159.900562037306</v>
      </c>
      <c r="AC12" s="93" t="n">
        <f aca="false">'EQUIP E FER'!E26</f>
        <v>212.644240164587</v>
      </c>
      <c r="AD12" s="93" t="n">
        <f aca="false">'EQUIP E FER'!E27</f>
        <v>246.438962308107</v>
      </c>
      <c r="AE12" s="93" t="n">
        <f aca="false">'EQUIP E FER'!E28</f>
        <v>230.81935711353</v>
      </c>
      <c r="AF12" s="93" t="n">
        <f aca="false">'EQUIP E FER'!E29</f>
        <v>160.542709959325</v>
      </c>
      <c r="AG12" s="93" t="n">
        <f aca="false">'EQUIP E FER'!E30</f>
        <v>186.425144181962</v>
      </c>
      <c r="AH12" s="93" t="n">
        <f aca="false">'EQUIP E FER'!E31</f>
        <v>168.890419302238</v>
      </c>
      <c r="AI12" s="93" t="n">
        <f aca="false">'EQUIP E FER'!E32</f>
        <v>160.223250362681</v>
      </c>
      <c r="AJ12" s="93" t="n">
        <f aca="false">'EQUIP E FER'!E33</f>
        <v>150.077814924664</v>
      </c>
      <c r="AK12" s="93" t="n">
        <f aca="false">'EQUIP E FER'!E34</f>
        <v>131.839555404417</v>
      </c>
      <c r="AL12" s="93" t="n">
        <f aca="false">'EQUIP E FER'!E35</f>
        <v>127.963932663528</v>
      </c>
      <c r="AM12" s="93" t="n">
        <f aca="false">'EQUIP E FER'!E36</f>
        <v>136.394759793622</v>
      </c>
      <c r="AN12" s="93" t="n">
        <f aca="false">'EQUIP E FER'!E37</f>
        <v>127.947455593213</v>
      </c>
      <c r="AO12" s="93" t="n">
        <f aca="false">'EQUIP E FER'!E38</f>
        <v>135.334976159953</v>
      </c>
      <c r="AP12" s="93" t="n">
        <f aca="false">'EQUIP E FER'!E39</f>
        <v>158.265769102606</v>
      </c>
      <c r="AQ12" s="93" t="n">
        <f aca="false">'EQUIP E FER'!E40</f>
        <v>86.7015101355081</v>
      </c>
      <c r="AR12" s="93" t="n">
        <f aca="false">'EQUIP E FER'!E41</f>
        <v>76.4684976978879</v>
      </c>
      <c r="AS12" s="93" t="n">
        <f aca="false">'EQUIP E FER'!E42</f>
        <v>75.6823919739166</v>
      </c>
      <c r="AT12" s="93" t="n">
        <f aca="false">'EQUIP E FER'!E43</f>
        <v>79.6455032706604</v>
      </c>
      <c r="AU12" s="93" t="n">
        <f aca="false">'EQUIP E FER'!E44</f>
        <v>208.166642885099</v>
      </c>
      <c r="AV12" s="93" t="n">
        <f aca="false">'EQUIP E FER'!E45</f>
        <v>134.396534923846</v>
      </c>
      <c r="AW12" s="93" t="n">
        <f aca="false">'EQUIP E FER'!E46</f>
        <v>112.211070452288</v>
      </c>
      <c r="AX12" s="93" t="n">
        <f aca="false">'EQUIP E FER'!E47</f>
        <v>112.285597839529</v>
      </c>
      <c r="AY12" s="93" t="n">
        <f aca="false">'EQUIP E FER'!E48</f>
        <v>116.246160316319</v>
      </c>
      <c r="AZ12" s="93" t="n">
        <f aca="false">'EQUIP E FER'!E49</f>
        <v>108.708455721304</v>
      </c>
      <c r="BA12" s="93" t="n">
        <f aca="false">'EQUIP E FER'!E50</f>
        <v>127.333417181632</v>
      </c>
      <c r="BB12" s="93" t="n">
        <f aca="false">'EQUIP E FER'!E51</f>
        <v>92.7961334559297</v>
      </c>
      <c r="BC12" s="93" t="n">
        <f aca="false">'EQUIP E FER'!E52</f>
        <v>92.7961334559297</v>
      </c>
      <c r="BD12" s="93" t="n">
        <f aca="false">'EQUIP E FER'!E53</f>
        <v>143.69473231904</v>
      </c>
      <c r="BE12" s="93" t="n">
        <f aca="false">'EQUIP E FER'!E54</f>
        <v>12.6378927510229</v>
      </c>
      <c r="BF12" s="93" t="n">
        <f aca="false">'EQUIP E FER'!E55</f>
        <v>12.6378927510229</v>
      </c>
      <c r="BG12" s="93" t="n">
        <f aca="false">'EQUIP E FER'!E56</f>
        <v>12.6378927510229</v>
      </c>
      <c r="BH12" s="93" t="n">
        <f aca="false">'EQUIP E FER'!E57</f>
        <v>12.6378927510229</v>
      </c>
      <c r="BI12" s="93" t="n">
        <f aca="false">'EQUIP E FER'!E58</f>
        <v>12.6378927510229</v>
      </c>
      <c r="BJ12" s="93" t="n">
        <f aca="false">'EQUIP E FER'!E59</f>
        <v>12.6378927510229</v>
      </c>
      <c r="BK12" s="93" t="n">
        <f aca="false">'EQUIP E FER'!E60</f>
        <v>820.051130642425</v>
      </c>
      <c r="BL12" s="93" t="n">
        <f aca="false">'EQUIP E FER'!E61</f>
        <v>0</v>
      </c>
      <c r="BM12" s="93" t="n">
        <f aca="false">'EQUIP E FER'!E62</f>
        <v>0</v>
      </c>
      <c r="BN12" s="93" t="n">
        <f aca="false">'EQUIP E FER'!E63</f>
        <v>0</v>
      </c>
      <c r="BO12" s="93" t="n">
        <f aca="false">'EQUIP E FER'!E64</f>
        <v>0</v>
      </c>
      <c r="BP12" s="93" t="n">
        <f aca="false">'EQUIP E FER'!E65</f>
        <v>0</v>
      </c>
      <c r="BQ12" s="93" t="n">
        <f aca="false">'EQUIP E FER'!E66</f>
        <v>0</v>
      </c>
      <c r="BR12" s="93" t="n">
        <f aca="false">'EQUIP E FER'!E67</f>
        <v>0</v>
      </c>
      <c r="BS12" s="93" t="n">
        <f aca="false">'EQUIP E FER'!E68</f>
        <v>0</v>
      </c>
      <c r="BT12" s="93" t="n">
        <f aca="false">'EQUIP E FER'!E69</f>
        <v>0</v>
      </c>
      <c r="BU12" s="93" t="n">
        <f aca="false">'EQUIP E FER'!E70</f>
        <v>0</v>
      </c>
      <c r="BV12" s="93" t="n">
        <f aca="false">'EQUIP E FER'!E71</f>
        <v>0</v>
      </c>
      <c r="BW12" s="93" t="n">
        <f aca="false">'EQUIP E FER'!E72</f>
        <v>0</v>
      </c>
      <c r="BX12" s="93" t="n">
        <f aca="false">'EQUIP E FER'!E73</f>
        <v>0</v>
      </c>
      <c r="BY12" s="93" t="n">
        <f aca="false">'EQUIP E FER'!E74</f>
        <v>0</v>
      </c>
      <c r="BZ12" s="93" t="n">
        <f aca="false">'EQUIP E FER'!E75</f>
        <v>0</v>
      </c>
      <c r="CA12" s="93" t="n">
        <f aca="false">'EQUIP E FER'!E76</f>
        <v>0</v>
      </c>
    </row>
    <row r="13" customFormat="false" ht="15" hidden="false" customHeight="false" outlineLevel="0" collapsed="false">
      <c r="A13" s="55" t="s">
        <v>280</v>
      </c>
      <c r="B13" s="55" t="s">
        <v>295</v>
      </c>
      <c r="C13" s="55" t="s">
        <v>183</v>
      </c>
      <c r="D13" s="56" t="n">
        <f aca="false">ESQUADRIAS!$K$5</f>
        <v>9138.104437</v>
      </c>
      <c r="E13" s="45" t="n">
        <f aca="false">SUM(H13:CA13)</f>
        <v>9231.45524544635</v>
      </c>
      <c r="F13" s="45" t="n">
        <f aca="false">IF(D13="","",D13-E13)</f>
        <v>-93.3508084463538</v>
      </c>
      <c r="H13" s="93" t="n">
        <f aca="false">ESQUADRIAS!E5</f>
        <v>0</v>
      </c>
      <c r="I13" s="93" t="n">
        <f aca="false">ESQUADRIAS!E6</f>
        <v>0</v>
      </c>
      <c r="J13" s="93" t="n">
        <f aca="false">ESQUADRIAS!E7</f>
        <v>0</v>
      </c>
      <c r="K13" s="93" t="n">
        <f aca="false">ESQUADRIAS!E8</f>
        <v>0</v>
      </c>
      <c r="L13" s="93" t="n">
        <f aca="false">ESQUADRIAS!E9</f>
        <v>0</v>
      </c>
      <c r="M13" s="93" t="n">
        <f aca="false">ESQUADRIAS!E10</f>
        <v>0</v>
      </c>
      <c r="N13" s="93" t="n">
        <f aca="false">ESQUADRIAS!E11</f>
        <v>0</v>
      </c>
      <c r="O13" s="93" t="n">
        <f aca="false">ESQUADRIAS!E12</f>
        <v>0</v>
      </c>
      <c r="P13" s="93" t="n">
        <f aca="false">ESQUADRIAS!E13</f>
        <v>0</v>
      </c>
      <c r="Q13" s="93" t="n">
        <f aca="false">ESQUADRIAS!E14</f>
        <v>0</v>
      </c>
      <c r="R13" s="93" t="n">
        <f aca="false">ESQUADRIAS!E15</f>
        <v>0</v>
      </c>
      <c r="S13" s="93" t="n">
        <f aca="false">ESQUADRIAS!E16</f>
        <v>0</v>
      </c>
      <c r="T13" s="93" t="n">
        <f aca="false">ESQUADRIAS!E17</f>
        <v>0</v>
      </c>
      <c r="U13" s="93" t="n">
        <f aca="false">ESQUADRIAS!E18</f>
        <v>0</v>
      </c>
      <c r="V13" s="93" t="n">
        <f aca="false">ESQUADRIAS!E19</f>
        <v>0</v>
      </c>
      <c r="W13" s="93" t="n">
        <f aca="false">ESQUADRIAS!E20</f>
        <v>0</v>
      </c>
      <c r="X13" s="93" t="n">
        <f aca="false">ESQUADRIAS!E21</f>
        <v>0</v>
      </c>
      <c r="Y13" s="93" t="n">
        <f aca="false">ESQUADRIAS!E22</f>
        <v>0</v>
      </c>
      <c r="Z13" s="93" t="n">
        <f aca="false">ESQUADRIAS!E23</f>
        <v>0</v>
      </c>
      <c r="AA13" s="93" t="n">
        <f aca="false">ESQUADRIAS!E24</f>
        <v>0</v>
      </c>
      <c r="AB13" s="93" t="n">
        <f aca="false">ESQUADRIAS!E25</f>
        <v>1.7888963511912</v>
      </c>
      <c r="AC13" s="93" t="n">
        <f aca="false">ESQUADRIAS!E26</f>
        <v>0</v>
      </c>
      <c r="AD13" s="93" t="n">
        <f aca="false">ESQUADRIAS!E27</f>
        <v>34.9722885425567</v>
      </c>
      <c r="AE13" s="93" t="n">
        <f aca="false">ESQUADRIAS!E28</f>
        <v>34.9722885425567</v>
      </c>
      <c r="AF13" s="93" t="n">
        <f aca="false">ESQUADRIAS!E29</f>
        <v>34.9722885425567</v>
      </c>
      <c r="AG13" s="93" t="n">
        <f aca="false">ESQUADRIAS!E30</f>
        <v>34.9722885425567</v>
      </c>
      <c r="AH13" s="93" t="n">
        <f aca="false">ESQUADRIAS!E31</f>
        <v>69.9445770851134</v>
      </c>
      <c r="AI13" s="93" t="n">
        <f aca="false">ESQUADRIAS!E32</f>
        <v>69.9445770851134</v>
      </c>
      <c r="AJ13" s="93" t="n">
        <f aca="false">ESQUADRIAS!E33</f>
        <v>69.9445770851134</v>
      </c>
      <c r="AK13" s="93" t="n">
        <f aca="false">ESQUADRIAS!E34</f>
        <v>69.9445770851134</v>
      </c>
      <c r="AL13" s="93" t="n">
        <f aca="false">ESQUADRIAS!E35</f>
        <v>69.9445770851134</v>
      </c>
      <c r="AM13" s="93" t="n">
        <f aca="false">ESQUADRIAS!E36</f>
        <v>290.854808210658</v>
      </c>
      <c r="AN13" s="93" t="n">
        <f aca="false">ESQUADRIAS!E37</f>
        <v>290.854808210658</v>
      </c>
      <c r="AO13" s="93" t="n">
        <f aca="false">ESQUADRIAS!E38</f>
        <v>543.400634349276</v>
      </c>
      <c r="AP13" s="93" t="n">
        <f aca="false">ESQUADRIAS!E39</f>
        <v>543.400634349276</v>
      </c>
      <c r="AQ13" s="93" t="n">
        <f aca="false">ESQUADRIAS!E40</f>
        <v>543.400634349276</v>
      </c>
      <c r="AR13" s="93" t="n">
        <f aca="false">ESQUADRIAS!E41</f>
        <v>775.009992240018</v>
      </c>
      <c r="AS13" s="93" t="n">
        <f aca="false">ESQUADRIAS!E42</f>
        <v>816.566733274268</v>
      </c>
      <c r="AT13" s="93" t="n">
        <f aca="false">ESQUADRIAS!E43</f>
        <v>821.695356731886</v>
      </c>
      <c r="AU13" s="93" t="n">
        <f aca="false">ESQUADRIAS!E44</f>
        <v>821.695356731886</v>
      </c>
      <c r="AV13" s="93" t="n">
        <f aca="false">ESQUADRIAS!E45</f>
        <v>821.695356731886</v>
      </c>
      <c r="AW13" s="93" t="n">
        <f aca="false">ESQUADRIAS!E46</f>
        <v>565.812837063785</v>
      </c>
      <c r="AX13" s="93" t="n">
        <f aca="false">ESQUADRIAS!E47</f>
        <v>565.812837063785</v>
      </c>
      <c r="AY13" s="93" t="n">
        <f aca="false">ESQUADRIAS!E48</f>
        <v>313.267010925167</v>
      </c>
      <c r="AZ13" s="93" t="n">
        <f aca="false">ESQUADRIAS!E49</f>
        <v>313.267010925167</v>
      </c>
      <c r="BA13" s="93" t="n">
        <f aca="false">ESQUADRIAS!E50</f>
        <v>313.267010925167</v>
      </c>
      <c r="BB13" s="93" t="n">
        <f aca="false">ESQUADRIAS!E51</f>
        <v>120.427737274663</v>
      </c>
      <c r="BC13" s="93" t="n">
        <f aca="false">ESQUADRIAS!E52</f>
        <v>120.427737274663</v>
      </c>
      <c r="BD13" s="93" t="n">
        <f aca="false">ESQUADRIAS!E53</f>
        <v>120.427737274663</v>
      </c>
      <c r="BE13" s="93" t="n">
        <f aca="false">ESQUADRIAS!E54</f>
        <v>38.7700755932214</v>
      </c>
      <c r="BF13" s="93" t="n">
        <f aca="false">ESQUADRIAS!E55</f>
        <v>0</v>
      </c>
      <c r="BG13" s="93" t="n">
        <f aca="false">ESQUADRIAS!E56</f>
        <v>0</v>
      </c>
      <c r="BH13" s="93" t="n">
        <f aca="false">ESQUADRIAS!E57</f>
        <v>0</v>
      </c>
      <c r="BI13" s="93" t="n">
        <f aca="false">ESQUADRIAS!E58</f>
        <v>0</v>
      </c>
      <c r="BJ13" s="93" t="n">
        <f aca="false">ESQUADRIAS!E59</f>
        <v>0</v>
      </c>
      <c r="BK13" s="93" t="n">
        <f aca="false">ESQUADRIAS!E60</f>
        <v>0</v>
      </c>
      <c r="BL13" s="93" t="n">
        <f aca="false">ESQUADRIAS!E61</f>
        <v>0</v>
      </c>
      <c r="BM13" s="93" t="n">
        <f aca="false">ESQUADRIAS!E62</f>
        <v>0</v>
      </c>
      <c r="BN13" s="93" t="n">
        <f aca="false">ESQUADRIAS!E63</f>
        <v>0</v>
      </c>
      <c r="BO13" s="93" t="n">
        <f aca="false">ESQUADRIAS!E64</f>
        <v>0</v>
      </c>
      <c r="BP13" s="93" t="n">
        <f aca="false">ESQUADRIAS!E65</f>
        <v>0</v>
      </c>
      <c r="BQ13" s="93" t="n">
        <f aca="false">ESQUADRIAS!E66</f>
        <v>0</v>
      </c>
      <c r="BR13" s="93" t="n">
        <f aca="false">ESQUADRIAS!E67</f>
        <v>0</v>
      </c>
      <c r="BS13" s="93" t="n">
        <f aca="false">ESQUADRIAS!E68</f>
        <v>0</v>
      </c>
      <c r="BT13" s="93" t="n">
        <f aca="false">ESQUADRIAS!E69</f>
        <v>0</v>
      </c>
      <c r="BU13" s="93" t="n">
        <f aca="false">ESQUADRIAS!E70</f>
        <v>0</v>
      </c>
      <c r="BV13" s="93" t="n">
        <f aca="false">ESQUADRIAS!E71</f>
        <v>0</v>
      </c>
      <c r="BW13" s="93" t="n">
        <f aca="false">ESQUADRIAS!E72</f>
        <v>0</v>
      </c>
      <c r="BX13" s="93" t="n">
        <f aca="false">ESQUADRIAS!E73</f>
        <v>0</v>
      </c>
      <c r="BY13" s="93" t="n">
        <f aca="false">ESQUADRIAS!E74</f>
        <v>0</v>
      </c>
      <c r="BZ13" s="93" t="n">
        <f aca="false">ESQUADRIAS!E75</f>
        <v>0</v>
      </c>
      <c r="CA13" s="93" t="n">
        <f aca="false">ESQUADRIAS!E76</f>
        <v>0</v>
      </c>
    </row>
    <row r="14" customFormat="false" ht="15" hidden="false" customHeight="false" outlineLevel="0" collapsed="false">
      <c r="A14" s="55" t="s">
        <v>280</v>
      </c>
      <c r="B14" s="55" t="s">
        <v>296</v>
      </c>
      <c r="C14" s="55" t="s">
        <v>76</v>
      </c>
      <c r="D14" s="56" t="n">
        <f aca="false">ESTRUTURA!$K$5</f>
        <v>23572.727452</v>
      </c>
      <c r="E14" s="45" t="n">
        <f aca="false">SUM(H14:CA14)</f>
        <v>21939.3659705174</v>
      </c>
      <c r="F14" s="45" t="n">
        <f aca="false">IF(D14="","",D14-E14)</f>
        <v>1633.36148148265</v>
      </c>
      <c r="H14" s="93" t="n">
        <f aca="false">ESTRUTURA!E5</f>
        <v>135.620043530569</v>
      </c>
      <c r="I14" s="93" t="n">
        <f aca="false">ESTRUTURA!E6</f>
        <v>0</v>
      </c>
      <c r="J14" s="93" t="n">
        <f aca="false">ESTRUTURA!E7</f>
        <v>1.15217993226981</v>
      </c>
      <c r="K14" s="93" t="n">
        <f aca="false">ESTRUTURA!E8</f>
        <v>6.02092183715693</v>
      </c>
      <c r="L14" s="93" t="n">
        <f aca="false">ESTRUTURA!E9</f>
        <v>4.65705104933717</v>
      </c>
      <c r="M14" s="93" t="n">
        <f aca="false">ESTRUTURA!E10</f>
        <v>2.90482797754101</v>
      </c>
      <c r="N14" s="93" t="n">
        <f aca="false">ESTRUTURA!E11</f>
        <v>9.94759522437931</v>
      </c>
      <c r="O14" s="93" t="n">
        <f aca="false">ESTRUTURA!E12</f>
        <v>38.470058349188</v>
      </c>
      <c r="P14" s="93" t="n">
        <f aca="false">ESTRUTURA!E13</f>
        <v>155.497852398196</v>
      </c>
      <c r="Q14" s="93" t="n">
        <f aca="false">ESTRUTURA!E14</f>
        <v>231.674293352107</v>
      </c>
      <c r="R14" s="93" t="n">
        <f aca="false">ESTRUTURA!E15</f>
        <v>399.971775816538</v>
      </c>
      <c r="S14" s="93" t="n">
        <f aca="false">ESTRUTURA!E16</f>
        <v>619.718316983958</v>
      </c>
      <c r="T14" s="93" t="n">
        <f aca="false">ESTRUTURA!E17</f>
        <v>985.531856165438</v>
      </c>
      <c r="U14" s="93" t="n">
        <f aca="false">ESTRUTURA!E18</f>
        <v>829.10820703682</v>
      </c>
      <c r="V14" s="93" t="n">
        <f aca="false">ESTRUTURA!E19</f>
        <v>748.666710735594</v>
      </c>
      <c r="W14" s="93" t="n">
        <f aca="false">ESTRUTURA!E20</f>
        <v>1122.65985450388</v>
      </c>
      <c r="X14" s="93" t="n">
        <f aca="false">ESTRUTURA!E21</f>
        <v>746.753349337754</v>
      </c>
      <c r="Y14" s="93" t="n">
        <f aca="false">ESTRUTURA!E22</f>
        <v>1179.91615611929</v>
      </c>
      <c r="Z14" s="93" t="n">
        <f aca="false">ESTRUTURA!E23</f>
        <v>1076.31376006234</v>
      </c>
      <c r="AA14" s="93" t="n">
        <f aca="false">ESTRUTURA!E24</f>
        <v>1693.2991444633</v>
      </c>
      <c r="AB14" s="93" t="n">
        <f aca="false">ESTRUTURA!E25</f>
        <v>1084.88262295385</v>
      </c>
      <c r="AC14" s="93" t="n">
        <f aca="false">ESTRUTURA!E26</f>
        <v>1206.66002175816</v>
      </c>
      <c r="AD14" s="93" t="n">
        <f aca="false">ESTRUTURA!E27</f>
        <v>2348.0352830105</v>
      </c>
      <c r="AE14" s="93" t="n">
        <f aca="false">ESTRUTURA!E28</f>
        <v>1605.86181540631</v>
      </c>
      <c r="AF14" s="93" t="n">
        <f aca="false">ESTRUTURA!E29</f>
        <v>757.304239419283</v>
      </c>
      <c r="AG14" s="93" t="n">
        <f aca="false">ESTRUTURA!E30</f>
        <v>991.4920702181</v>
      </c>
      <c r="AH14" s="93" t="n">
        <f aca="false">ESTRUTURA!E31</f>
        <v>1123.7039846606</v>
      </c>
      <c r="AI14" s="93" t="n">
        <f aca="false">ESTRUTURA!E32</f>
        <v>1142.20037852786</v>
      </c>
      <c r="AJ14" s="93" t="n">
        <f aca="false">ESTRUTURA!E33</f>
        <v>978.622771009514</v>
      </c>
      <c r="AK14" s="93" t="n">
        <f aca="false">ESTRUTURA!E34</f>
        <v>449.367598932939</v>
      </c>
      <c r="AL14" s="93" t="n">
        <f aca="false">ESTRUTURA!E35</f>
        <v>69.9016265006798</v>
      </c>
      <c r="AM14" s="93" t="n">
        <f aca="false">ESTRUTURA!E36</f>
        <v>27.461353268124</v>
      </c>
      <c r="AN14" s="93" t="n">
        <f aca="false">ESTRUTURA!E37</f>
        <v>0</v>
      </c>
      <c r="AO14" s="93" t="n">
        <f aca="false">ESTRUTURA!E38</f>
        <v>0</v>
      </c>
      <c r="AP14" s="93" t="n">
        <f aca="false">ESTRUTURA!E39</f>
        <v>0</v>
      </c>
      <c r="AQ14" s="93" t="n">
        <f aca="false">ESTRUTURA!E40</f>
        <v>1.13079364981666</v>
      </c>
      <c r="AR14" s="93" t="n">
        <f aca="false">ESTRUTURA!E41</f>
        <v>0.052779705510786</v>
      </c>
      <c r="AS14" s="93" t="n">
        <f aca="false">ESTRUTURA!E42</f>
        <v>24.5313685331397</v>
      </c>
      <c r="AT14" s="93" t="n">
        <f aca="false">ESTRUTURA!E43</f>
        <v>0</v>
      </c>
      <c r="AU14" s="93" t="n">
        <f aca="false">ESTRUTURA!E44</f>
        <v>0.978871191359516</v>
      </c>
      <c r="AV14" s="93" t="n">
        <f aca="false">ESTRUTURA!E45</f>
        <v>0</v>
      </c>
      <c r="AW14" s="93" t="n">
        <f aca="false">ESTRUTURA!E46</f>
        <v>139.294436895938</v>
      </c>
      <c r="AX14" s="93" t="n">
        <f aca="false">ESTRUTURA!E47</f>
        <v>0</v>
      </c>
      <c r="AY14" s="93" t="n">
        <f aca="false">ESTRUTURA!E48</f>
        <v>0</v>
      </c>
      <c r="AZ14" s="93" t="n">
        <f aca="false">ESTRUTURA!E49</f>
        <v>0</v>
      </c>
      <c r="BA14" s="93" t="n">
        <f aca="false">ESTRUTURA!E50</f>
        <v>0</v>
      </c>
      <c r="BB14" s="93" t="n">
        <f aca="false">ESTRUTURA!E51</f>
        <v>0</v>
      </c>
      <c r="BC14" s="93" t="n">
        <f aca="false">ESTRUTURA!E52</f>
        <v>0</v>
      </c>
      <c r="BD14" s="93" t="n">
        <f aca="false">ESTRUTURA!E53</f>
        <v>0</v>
      </c>
      <c r="BE14" s="93" t="n">
        <f aca="false">ESTRUTURA!E54</f>
        <v>0</v>
      </c>
      <c r="BF14" s="93" t="n">
        <f aca="false">ESTRUTURA!E55</f>
        <v>0</v>
      </c>
      <c r="BG14" s="93" t="n">
        <f aca="false">ESTRUTURA!E56</f>
        <v>0</v>
      </c>
      <c r="BH14" s="93" t="n">
        <f aca="false">ESTRUTURA!E57</f>
        <v>0</v>
      </c>
      <c r="BI14" s="93" t="n">
        <f aca="false">ESTRUTURA!E58</f>
        <v>0</v>
      </c>
      <c r="BJ14" s="93" t="n">
        <f aca="false">ESTRUTURA!E59</f>
        <v>0</v>
      </c>
      <c r="BK14" s="93" t="n">
        <f aca="false">ESTRUTURA!E60</f>
        <v>0</v>
      </c>
      <c r="BL14" s="93" t="n">
        <f aca="false">ESTRUTURA!E61</f>
        <v>0</v>
      </c>
      <c r="BM14" s="93" t="n">
        <f aca="false">ESTRUTURA!E62</f>
        <v>0</v>
      </c>
      <c r="BN14" s="93" t="n">
        <f aca="false">ESTRUTURA!E63</f>
        <v>0</v>
      </c>
      <c r="BO14" s="93" t="n">
        <f aca="false">ESTRUTURA!E64</f>
        <v>0</v>
      </c>
      <c r="BP14" s="93" t="n">
        <f aca="false">ESTRUTURA!E65</f>
        <v>0</v>
      </c>
      <c r="BQ14" s="93" t="n">
        <f aca="false">ESTRUTURA!E66</f>
        <v>0</v>
      </c>
      <c r="BR14" s="93" t="n">
        <f aca="false">ESTRUTURA!E67</f>
        <v>0</v>
      </c>
      <c r="BS14" s="93" t="n">
        <f aca="false">ESTRUTURA!E68</f>
        <v>0</v>
      </c>
      <c r="BT14" s="93" t="n">
        <f aca="false">ESTRUTURA!E69</f>
        <v>0</v>
      </c>
      <c r="BU14" s="93" t="n">
        <f aca="false">ESTRUTURA!E70</f>
        <v>0</v>
      </c>
      <c r="BV14" s="93" t="n">
        <f aca="false">ESTRUTURA!E71</f>
        <v>0</v>
      </c>
      <c r="BW14" s="93" t="n">
        <f aca="false">ESTRUTURA!E72</f>
        <v>0</v>
      </c>
      <c r="BX14" s="93" t="n">
        <f aca="false">ESTRUTURA!E73</f>
        <v>0</v>
      </c>
      <c r="BY14" s="93" t="n">
        <f aca="false">ESTRUTURA!E74</f>
        <v>0</v>
      </c>
      <c r="BZ14" s="93" t="n">
        <f aca="false">ESTRUTURA!E75</f>
        <v>0</v>
      </c>
      <c r="CA14" s="93" t="n">
        <f aca="false">ESTRUTURA!E76</f>
        <v>0</v>
      </c>
    </row>
    <row r="15" customFormat="false" ht="15" hidden="false" customHeight="false" outlineLevel="0" collapsed="false">
      <c r="A15" s="55" t="s">
        <v>280</v>
      </c>
      <c r="B15" s="55" t="s">
        <v>297</v>
      </c>
      <c r="C15" s="55" t="s">
        <v>208</v>
      </c>
      <c r="D15" s="56" t="n">
        <f aca="false">FORRO!$K$5</f>
        <v>1349.851976</v>
      </c>
      <c r="E15" s="45" t="n">
        <f aca="false">SUM(H15:CA15)</f>
        <v>1348.60777617946</v>
      </c>
      <c r="F15" s="45" t="n">
        <f aca="false">IF(D15="","",D15-E15)</f>
        <v>1.24419982053678</v>
      </c>
      <c r="H15" s="93" t="n">
        <f aca="false">FORRO!E5</f>
        <v>0</v>
      </c>
      <c r="I15" s="93" t="n">
        <f aca="false">FORRO!E6</f>
        <v>0</v>
      </c>
      <c r="J15" s="93" t="n">
        <f aca="false">FORRO!E7</f>
        <v>0</v>
      </c>
      <c r="K15" s="93" t="n">
        <f aca="false">FORRO!E8</f>
        <v>0</v>
      </c>
      <c r="L15" s="93" t="n">
        <f aca="false">FORRO!E9</f>
        <v>0</v>
      </c>
      <c r="M15" s="93" t="n">
        <f aca="false">FORRO!E10</f>
        <v>0</v>
      </c>
      <c r="N15" s="93" t="n">
        <f aca="false">FORRO!E11</f>
        <v>0</v>
      </c>
      <c r="O15" s="93" t="n">
        <f aca="false">FORRO!E12</f>
        <v>0</v>
      </c>
      <c r="P15" s="93" t="n">
        <f aca="false">FORRO!E13</f>
        <v>0</v>
      </c>
      <c r="Q15" s="93" t="n">
        <f aca="false">FORRO!E14</f>
        <v>0</v>
      </c>
      <c r="R15" s="93" t="n">
        <f aca="false">FORRO!E15</f>
        <v>0</v>
      </c>
      <c r="S15" s="93" t="n">
        <f aca="false">FORRO!E16</f>
        <v>0</v>
      </c>
      <c r="T15" s="93" t="n">
        <f aca="false">FORRO!E17</f>
        <v>0</v>
      </c>
      <c r="U15" s="93" t="n">
        <f aca="false">FORRO!E18</f>
        <v>0</v>
      </c>
      <c r="V15" s="93" t="n">
        <f aca="false">FORRO!E19</f>
        <v>0</v>
      </c>
      <c r="W15" s="93" t="n">
        <f aca="false">FORRO!E20</f>
        <v>0</v>
      </c>
      <c r="X15" s="93" t="n">
        <f aca="false">FORRO!E21</f>
        <v>0</v>
      </c>
      <c r="Y15" s="93" t="n">
        <f aca="false">FORRO!E22</f>
        <v>0</v>
      </c>
      <c r="Z15" s="93" t="n">
        <f aca="false">FORRO!E23</f>
        <v>0</v>
      </c>
      <c r="AA15" s="93" t="n">
        <f aca="false">FORRO!E24</f>
        <v>0</v>
      </c>
      <c r="AB15" s="93" t="n">
        <f aca="false">FORRO!E25</f>
        <v>0</v>
      </c>
      <c r="AC15" s="93" t="n">
        <f aca="false">FORRO!E26</f>
        <v>0</v>
      </c>
      <c r="AD15" s="93" t="n">
        <f aca="false">FORRO!E27</f>
        <v>0</v>
      </c>
      <c r="AE15" s="93" t="n">
        <f aca="false">FORRO!E28</f>
        <v>0</v>
      </c>
      <c r="AF15" s="93" t="n">
        <f aca="false">FORRO!E29</f>
        <v>0</v>
      </c>
      <c r="AG15" s="93" t="n">
        <f aca="false">FORRO!E30</f>
        <v>0</v>
      </c>
      <c r="AH15" s="93" t="n">
        <f aca="false">FORRO!E31</f>
        <v>24.5446615264662</v>
      </c>
      <c r="AI15" s="93" t="n">
        <f aca="false">FORRO!E32</f>
        <v>0</v>
      </c>
      <c r="AJ15" s="93" t="n">
        <f aca="false">FORRO!E33</f>
        <v>66.3515025880296</v>
      </c>
      <c r="AK15" s="93" t="n">
        <f aca="false">FORRO!E34</f>
        <v>82.939378235037</v>
      </c>
      <c r="AL15" s="93" t="n">
        <f aca="false">FORRO!E35</f>
        <v>160.484325365356</v>
      </c>
      <c r="AM15" s="93" t="n">
        <f aca="false">FORRO!E36</f>
        <v>223.194586957701</v>
      </c>
      <c r="AN15" s="93" t="n">
        <f aca="false">FORRO!E37</f>
        <v>69.8578828060962</v>
      </c>
      <c r="AO15" s="93" t="n">
        <f aca="false">FORRO!E38</f>
        <v>78.7586941288806</v>
      </c>
      <c r="AP15" s="93" t="n">
        <f aca="false">FORRO!E39</f>
        <v>82.939378235037</v>
      </c>
      <c r="AQ15" s="93" t="n">
        <f aca="false">FORRO!E40</f>
        <v>83.074239012655</v>
      </c>
      <c r="AR15" s="93" t="n">
        <f aca="false">FORRO!E41</f>
        <v>75.9266177989037</v>
      </c>
      <c r="AS15" s="93" t="n">
        <f aca="false">FORRO!E42</f>
        <v>135.2653599508</v>
      </c>
      <c r="AT15" s="93" t="n">
        <f aca="false">FORRO!E43</f>
        <v>45.448082057248</v>
      </c>
      <c r="AU15" s="93" t="n">
        <f aca="false">FORRO!E44</f>
        <v>25.3538261921738</v>
      </c>
      <c r="AV15" s="93" t="n">
        <f aca="false">FORRO!E45</f>
        <v>4.58526643901022</v>
      </c>
      <c r="AW15" s="93" t="n">
        <f aca="false">FORRO!E46</f>
        <v>30.8831180745096</v>
      </c>
      <c r="AX15" s="93" t="n">
        <f aca="false">FORRO!E47</f>
        <v>82.1302135693293</v>
      </c>
      <c r="AY15" s="93" t="n">
        <f aca="false">FORRO!E48</f>
        <v>16.0484325365356</v>
      </c>
      <c r="AZ15" s="93" t="n">
        <f aca="false">FORRO!E49</f>
        <v>34.2546375149584</v>
      </c>
      <c r="BA15" s="93" t="n">
        <f aca="false">FORRO!E50</f>
        <v>0</v>
      </c>
      <c r="BB15" s="93" t="n">
        <f aca="false">FORRO!E51</f>
        <v>26.5675731907354</v>
      </c>
      <c r="BC15" s="93" t="n">
        <f aca="false">FORRO!E52</f>
        <v>0</v>
      </c>
      <c r="BD15" s="93" t="n">
        <f aca="false">FORRO!E53</f>
        <v>0</v>
      </c>
      <c r="BE15" s="93" t="n">
        <f aca="false">FORRO!E54</f>
        <v>0</v>
      </c>
      <c r="BF15" s="93" t="n">
        <f aca="false">FORRO!E55</f>
        <v>0</v>
      </c>
      <c r="BG15" s="93" t="n">
        <f aca="false">FORRO!E56</f>
        <v>0</v>
      </c>
      <c r="BH15" s="93" t="n">
        <f aca="false">FORRO!E57</f>
        <v>0</v>
      </c>
      <c r="BI15" s="93" t="n">
        <f aca="false">FORRO!E58</f>
        <v>0</v>
      </c>
      <c r="BJ15" s="93" t="n">
        <f aca="false">FORRO!E59</f>
        <v>0</v>
      </c>
      <c r="BK15" s="93" t="n">
        <f aca="false">FORRO!E60</f>
        <v>0</v>
      </c>
      <c r="BL15" s="93" t="n">
        <f aca="false">FORRO!E61</f>
        <v>0</v>
      </c>
      <c r="BM15" s="93" t="n">
        <f aca="false">FORRO!E62</f>
        <v>0</v>
      </c>
      <c r="BN15" s="93" t="n">
        <f aca="false">FORRO!E63</f>
        <v>0</v>
      </c>
      <c r="BO15" s="93" t="n">
        <f aca="false">FORRO!E64</f>
        <v>0</v>
      </c>
      <c r="BP15" s="93" t="n">
        <f aca="false">FORRO!E65</f>
        <v>0</v>
      </c>
      <c r="BQ15" s="93" t="n">
        <f aca="false">FORRO!E66</f>
        <v>0</v>
      </c>
      <c r="BR15" s="93" t="n">
        <f aca="false">FORRO!E67</f>
        <v>0</v>
      </c>
      <c r="BS15" s="93" t="n">
        <f aca="false">FORRO!E68</f>
        <v>0</v>
      </c>
      <c r="BT15" s="93" t="n">
        <f aca="false">FORRO!E69</f>
        <v>0</v>
      </c>
      <c r="BU15" s="93" t="n">
        <f aca="false">FORRO!E70</f>
        <v>0</v>
      </c>
      <c r="BV15" s="93" t="n">
        <f aca="false">FORRO!E71</f>
        <v>0</v>
      </c>
      <c r="BW15" s="93" t="n">
        <f aca="false">FORRO!E72</f>
        <v>0</v>
      </c>
      <c r="BX15" s="93" t="n">
        <f aca="false">FORRO!E73</f>
        <v>0</v>
      </c>
      <c r="BY15" s="93" t="n">
        <f aca="false">FORRO!E74</f>
        <v>0</v>
      </c>
      <c r="BZ15" s="93" t="n">
        <f aca="false">FORRO!E75</f>
        <v>0</v>
      </c>
      <c r="CA15" s="93" t="n">
        <f aca="false">FORRO!E76</f>
        <v>0</v>
      </c>
    </row>
    <row r="16" customFormat="false" ht="15" hidden="false" customHeight="false" outlineLevel="0" collapsed="false">
      <c r="A16" s="55" t="s">
        <v>280</v>
      </c>
      <c r="B16" s="55" t="s">
        <v>298</v>
      </c>
      <c r="C16" s="55" t="s">
        <v>73</v>
      </c>
      <c r="D16" s="56" t="n">
        <f aca="false">'FUND. PROF'!$K$5</f>
        <v>5623.942458</v>
      </c>
      <c r="E16" s="45" t="n">
        <f aca="false">SUM(H16:CA16)</f>
        <v>4121.57448827601</v>
      </c>
      <c r="F16" s="45" t="n">
        <f aca="false">IF(D16="","",D16-E16)</f>
        <v>1502.36796972399</v>
      </c>
      <c r="H16" s="93" t="n">
        <f aca="false">'FUND. PROF'!E5</f>
        <v>164.967872781245</v>
      </c>
      <c r="I16" s="93" t="n">
        <f aca="false">'FUND. PROF'!E6</f>
        <v>0</v>
      </c>
      <c r="J16" s="93" t="n">
        <f aca="false">'FUND. PROF'!E7</f>
        <v>0</v>
      </c>
      <c r="K16" s="93" t="n">
        <f aca="false">'FUND. PROF'!E8</f>
        <v>0.823159813507628</v>
      </c>
      <c r="L16" s="93" t="n">
        <f aca="false">'FUND. PROF'!E9</f>
        <v>40.3592517109033</v>
      </c>
      <c r="M16" s="93" t="n">
        <f aca="false">'FUND. PROF'!E10</f>
        <v>247.565261259083</v>
      </c>
      <c r="N16" s="93" t="n">
        <f aca="false">'FUND. PROF'!E11</f>
        <v>243.143261117674</v>
      </c>
      <c r="O16" s="93" t="n">
        <f aca="false">'FUND. PROF'!E12</f>
        <v>627.389090692797</v>
      </c>
      <c r="P16" s="93" t="n">
        <f aca="false">'FUND. PROF'!E13</f>
        <v>547.340327079837</v>
      </c>
      <c r="Q16" s="93" t="n">
        <f aca="false">'FUND. PROF'!E14</f>
        <v>1004.05253920625</v>
      </c>
      <c r="R16" s="93" t="n">
        <f aca="false">'FUND. PROF'!E15</f>
        <v>771.080176315247</v>
      </c>
      <c r="S16" s="93" t="n">
        <f aca="false">'FUND. PROF'!E16</f>
        <v>364.503264843554</v>
      </c>
      <c r="T16" s="93" t="n">
        <f aca="false">'FUND. PROF'!E17</f>
        <v>25.5927520903204</v>
      </c>
      <c r="U16" s="93" t="n">
        <f aca="false">'FUND. PROF'!E18</f>
        <v>12.4187978361179</v>
      </c>
      <c r="V16" s="93" t="n">
        <f aca="false">'FUND. PROF'!E19</f>
        <v>3.673575008404</v>
      </c>
      <c r="W16" s="93" t="n">
        <f aca="false">'FUND. PROF'!E20</f>
        <v>0</v>
      </c>
      <c r="X16" s="93" t="n">
        <f aca="false">'FUND. PROF'!E21</f>
        <v>17.9178138088933</v>
      </c>
      <c r="Y16" s="93" t="n">
        <f aca="false">'FUND. PROF'!E22</f>
        <v>0</v>
      </c>
      <c r="Z16" s="93" t="n">
        <f aca="false">'FUND. PROF'!E23</f>
        <v>22.271596801914</v>
      </c>
      <c r="AA16" s="93" t="n">
        <f aca="false">'FUND. PROF'!E24</f>
        <v>14.7914013245568</v>
      </c>
      <c r="AB16" s="93" t="n">
        <f aca="false">'FUND. PROF'!E25</f>
        <v>0</v>
      </c>
      <c r="AC16" s="93" t="n">
        <f aca="false">'FUND. PROF'!E26</f>
        <v>3.07753384902542</v>
      </c>
      <c r="AD16" s="93" t="n">
        <f aca="false">'FUND. PROF'!E27</f>
        <v>0</v>
      </c>
      <c r="AE16" s="93" t="n">
        <f aca="false">'FUND. PROF'!E28</f>
        <v>0</v>
      </c>
      <c r="AF16" s="93" t="n">
        <f aca="false">'FUND. PROF'!E29</f>
        <v>0.309930740100728</v>
      </c>
      <c r="AG16" s="93" t="n">
        <f aca="false">'FUND. PROF'!E30</f>
        <v>0</v>
      </c>
      <c r="AH16" s="93" t="n">
        <f aca="false">'FUND. PROF'!E31</f>
        <v>0</v>
      </c>
      <c r="AI16" s="93" t="n">
        <f aca="false">'FUND. PROF'!E32</f>
        <v>9.2450578653302</v>
      </c>
      <c r="AJ16" s="93" t="n">
        <f aca="false">'FUND. PROF'!E33</f>
        <v>0</v>
      </c>
      <c r="AK16" s="93" t="n">
        <f aca="false">'FUND. PROF'!E34</f>
        <v>0</v>
      </c>
      <c r="AL16" s="93" t="n">
        <f aca="false">'FUND. PROF'!E35</f>
        <v>0</v>
      </c>
      <c r="AM16" s="93" t="n">
        <f aca="false">'FUND. PROF'!E36</f>
        <v>0</v>
      </c>
      <c r="AN16" s="93" t="n">
        <f aca="false">'FUND. PROF'!E37</f>
        <v>0</v>
      </c>
      <c r="AO16" s="93" t="n">
        <f aca="false">'FUND. PROF'!E38</f>
        <v>0</v>
      </c>
      <c r="AP16" s="93" t="n">
        <f aca="false">'FUND. PROF'!E39</f>
        <v>0</v>
      </c>
      <c r="AQ16" s="93" t="n">
        <f aca="false">'FUND. PROF'!E40</f>
        <v>0</v>
      </c>
      <c r="AR16" s="93" t="n">
        <f aca="false">'FUND. PROF'!E41</f>
        <v>0</v>
      </c>
      <c r="AS16" s="93" t="n">
        <f aca="false">'FUND. PROF'!E42</f>
        <v>0</v>
      </c>
      <c r="AT16" s="93" t="n">
        <f aca="false">'FUND. PROF'!E43</f>
        <v>0</v>
      </c>
      <c r="AU16" s="93" t="n">
        <f aca="false">'FUND. PROF'!E44</f>
        <v>0</v>
      </c>
      <c r="AV16" s="93" t="n">
        <f aca="false">'FUND. PROF'!E45</f>
        <v>0</v>
      </c>
      <c r="AW16" s="93" t="n">
        <f aca="false">'FUND. PROF'!E46</f>
        <v>0</v>
      </c>
      <c r="AX16" s="93" t="n">
        <f aca="false">'FUND. PROF'!E47</f>
        <v>1.05182413125066</v>
      </c>
      <c r="AY16" s="93" t="n">
        <f aca="false">'FUND. PROF'!E48</f>
        <v>0</v>
      </c>
      <c r="AZ16" s="93" t="n">
        <f aca="false">'FUND. PROF'!E49</f>
        <v>0</v>
      </c>
      <c r="BA16" s="93" t="n">
        <f aca="false">'FUND. PROF'!E50</f>
        <v>0</v>
      </c>
      <c r="BB16" s="93" t="n">
        <f aca="false">'FUND. PROF'!E51</f>
        <v>0</v>
      </c>
      <c r="BC16" s="93" t="n">
        <f aca="false">'FUND. PROF'!E52</f>
        <v>0</v>
      </c>
      <c r="BD16" s="93" t="n">
        <f aca="false">'FUND. PROF'!E53</f>
        <v>0</v>
      </c>
      <c r="BE16" s="93" t="n">
        <f aca="false">'FUND. PROF'!E54</f>
        <v>0</v>
      </c>
      <c r="BF16" s="93" t="n">
        <f aca="false">'FUND. PROF'!E55</f>
        <v>0</v>
      </c>
      <c r="BG16" s="93" t="n">
        <f aca="false">'FUND. PROF'!E56</f>
        <v>0</v>
      </c>
      <c r="BH16" s="93" t="n">
        <f aca="false">'FUND. PROF'!E57</f>
        <v>0</v>
      </c>
      <c r="BI16" s="93" t="n">
        <f aca="false">'FUND. PROF'!E58</f>
        <v>0</v>
      </c>
      <c r="BJ16" s="93" t="n">
        <f aca="false">'FUND. PROF'!E59</f>
        <v>0</v>
      </c>
      <c r="BK16" s="93" t="n">
        <f aca="false">'FUND. PROF'!E60</f>
        <v>0</v>
      </c>
      <c r="BL16" s="93" t="n">
        <f aca="false">'FUND. PROF'!E61</f>
        <v>0</v>
      </c>
      <c r="BM16" s="93" t="n">
        <f aca="false">'FUND. PROF'!E62</f>
        <v>0</v>
      </c>
      <c r="BN16" s="93" t="n">
        <f aca="false">'FUND. PROF'!E63</f>
        <v>0</v>
      </c>
      <c r="BO16" s="93" t="n">
        <f aca="false">'FUND. PROF'!E64</f>
        <v>0</v>
      </c>
      <c r="BP16" s="93" t="n">
        <f aca="false">'FUND. PROF'!E65</f>
        <v>0</v>
      </c>
      <c r="BQ16" s="93" t="n">
        <f aca="false">'FUND. PROF'!E66</f>
        <v>0</v>
      </c>
      <c r="BR16" s="93" t="n">
        <f aca="false">'FUND. PROF'!E67</f>
        <v>0</v>
      </c>
      <c r="BS16" s="93" t="n">
        <f aca="false">'FUND. PROF'!E68</f>
        <v>0</v>
      </c>
      <c r="BT16" s="93" t="n">
        <f aca="false">'FUND. PROF'!E69</f>
        <v>0</v>
      </c>
      <c r="BU16" s="93" t="n">
        <f aca="false">'FUND. PROF'!E70</f>
        <v>0</v>
      </c>
      <c r="BV16" s="93" t="n">
        <f aca="false">'FUND. PROF'!E71</f>
        <v>0</v>
      </c>
      <c r="BW16" s="93" t="n">
        <f aca="false">'FUND. PROF'!E72</f>
        <v>0</v>
      </c>
      <c r="BX16" s="93" t="n">
        <f aca="false">'FUND. PROF'!E73</f>
        <v>0</v>
      </c>
      <c r="BY16" s="93" t="n">
        <f aca="false">'FUND. PROF'!E74</f>
        <v>0</v>
      </c>
      <c r="BZ16" s="93" t="n">
        <f aca="false">'FUND. PROF'!E75</f>
        <v>0</v>
      </c>
      <c r="CA16" s="93" t="n">
        <f aca="false">'FUND. PROF'!E76</f>
        <v>0</v>
      </c>
    </row>
    <row r="17" customFormat="false" ht="15" hidden="false" customHeight="false" outlineLevel="0" collapsed="false">
      <c r="A17" s="55" t="s">
        <v>280</v>
      </c>
      <c r="B17" s="55" t="s">
        <v>299</v>
      </c>
      <c r="C17" s="55" t="s">
        <v>74</v>
      </c>
      <c r="D17" s="56" t="n">
        <f aca="false">'FUND. SUP'!$K$5</f>
        <v>3328.067126</v>
      </c>
      <c r="E17" s="45" t="n">
        <f aca="false">SUM(H17:CA17)</f>
        <v>2120.63406020308</v>
      </c>
      <c r="F17" s="45" t="n">
        <f aca="false">IF(D17="","",D17-E17)</f>
        <v>1207.43306579692</v>
      </c>
      <c r="H17" s="93" t="n">
        <f aca="false">'FUND. SUP'!E5</f>
        <v>38.8691235933846</v>
      </c>
      <c r="I17" s="93" t="n">
        <f aca="false">'FUND. SUP'!E6</f>
        <v>0</v>
      </c>
      <c r="J17" s="93" t="n">
        <f aca="false">'FUND. SUP'!E7</f>
        <v>0</v>
      </c>
      <c r="K17" s="93" t="n">
        <f aca="false">'FUND. SUP'!E8</f>
        <v>0</v>
      </c>
      <c r="L17" s="93" t="n">
        <f aca="false">'FUND. SUP'!E9</f>
        <v>0</v>
      </c>
      <c r="M17" s="93" t="n">
        <f aca="false">'FUND. SUP'!E10</f>
        <v>0</v>
      </c>
      <c r="N17" s="93" t="n">
        <f aca="false">'FUND. SUP'!E11</f>
        <v>8.16053068380479</v>
      </c>
      <c r="O17" s="93" t="n">
        <f aca="false">'FUND. SUP'!E12</f>
        <v>78.1118754600482</v>
      </c>
      <c r="P17" s="93" t="n">
        <f aca="false">'FUND. SUP'!E13</f>
        <v>90.2699173013037</v>
      </c>
      <c r="Q17" s="93" t="n">
        <f aca="false">'FUND. SUP'!E14</f>
        <v>70.2229584975389</v>
      </c>
      <c r="R17" s="93" t="n">
        <f aca="false">'FUND. SUP'!E15</f>
        <v>217.570143231595</v>
      </c>
      <c r="S17" s="93" t="n">
        <f aca="false">'FUND. SUP'!E16</f>
        <v>817.676245662446</v>
      </c>
      <c r="T17" s="93" t="n">
        <f aca="false">'FUND. SUP'!E17</f>
        <v>261.327863366448</v>
      </c>
      <c r="U17" s="93" t="n">
        <f aca="false">'FUND. SUP'!E18</f>
        <v>59.9974131714841</v>
      </c>
      <c r="V17" s="93" t="n">
        <f aca="false">'FUND. SUP'!E19</f>
        <v>0</v>
      </c>
      <c r="W17" s="93" t="n">
        <f aca="false">'FUND. SUP'!E20</f>
        <v>32.1426080095832</v>
      </c>
      <c r="X17" s="93" t="n">
        <f aca="false">'FUND. SUP'!E21</f>
        <v>1.38072261227704</v>
      </c>
      <c r="Y17" s="93" t="n">
        <f aca="false">'FUND. SUP'!E22</f>
        <v>109.512652524799</v>
      </c>
      <c r="Z17" s="93" t="n">
        <f aca="false">'FUND. SUP'!E23</f>
        <v>31.3354015684333</v>
      </c>
      <c r="AA17" s="93" t="n">
        <f aca="false">'FUND. SUP'!E24</f>
        <v>15.8168811523473</v>
      </c>
      <c r="AB17" s="93" t="n">
        <f aca="false">'FUND. SUP'!E25</f>
        <v>46.4455400577844</v>
      </c>
      <c r="AC17" s="93" t="n">
        <f aca="false">'FUND. SUP'!E26</f>
        <v>10.5824771377704</v>
      </c>
      <c r="AD17" s="93" t="n">
        <f aca="false">'FUND. SUP'!E27</f>
        <v>38.2457087878511</v>
      </c>
      <c r="AE17" s="93" t="n">
        <f aca="false">'FUND. SUP'!E28</f>
        <v>25.3349926611121</v>
      </c>
      <c r="AF17" s="93" t="n">
        <f aca="false">'FUND. SUP'!E29</f>
        <v>7.25301526551078</v>
      </c>
      <c r="AG17" s="93" t="n">
        <f aca="false">'FUND. SUP'!E30</f>
        <v>14.0738392696397</v>
      </c>
      <c r="AH17" s="93" t="n">
        <f aca="false">'FUND. SUP'!E31</f>
        <v>22.2739024069832</v>
      </c>
      <c r="AI17" s="93" t="n">
        <f aca="false">'FUND. SUP'!E32</f>
        <v>5.87143448469004</v>
      </c>
      <c r="AJ17" s="93" t="n">
        <f aca="false">'FUND. SUP'!E33</f>
        <v>22.2739024069832</v>
      </c>
      <c r="AK17" s="93" t="n">
        <f aca="false">'FUND. SUP'!E34</f>
        <v>0</v>
      </c>
      <c r="AL17" s="93" t="n">
        <f aca="false">'FUND. SUP'!E35</f>
        <v>22.5967203200768</v>
      </c>
      <c r="AM17" s="93" t="n">
        <f aca="false">'FUND. SUP'!E36</f>
        <v>0</v>
      </c>
      <c r="AN17" s="93" t="n">
        <f aca="false">'FUND. SUP'!E37</f>
        <v>22.2739024069832</v>
      </c>
      <c r="AO17" s="93" t="n">
        <f aca="false">'FUND. SUP'!E38</f>
        <v>0</v>
      </c>
      <c r="AP17" s="93" t="n">
        <f aca="false">'FUND. SUP'!E39</f>
        <v>22.2739024069832</v>
      </c>
      <c r="AQ17" s="93" t="n">
        <f aca="false">'FUND. SUP'!E40</f>
        <v>0.341236953179939</v>
      </c>
      <c r="AR17" s="93" t="n">
        <f aca="false">'FUND. SUP'!E41</f>
        <v>22.2739024069832</v>
      </c>
      <c r="AS17" s="93" t="n">
        <f aca="false">'FUND. SUP'!E42</f>
        <v>0</v>
      </c>
      <c r="AT17" s="93" t="n">
        <f aca="false">'FUND. SUP'!E43</f>
        <v>0</v>
      </c>
      <c r="AU17" s="93" t="n">
        <f aca="false">'FUND. SUP'!E44</f>
        <v>0</v>
      </c>
      <c r="AV17" s="93" t="n">
        <f aca="false">'FUND. SUP'!E45</f>
        <v>0</v>
      </c>
      <c r="AW17" s="93" t="n">
        <f aca="false">'FUND. SUP'!E46</f>
        <v>6.12524639505379</v>
      </c>
      <c r="AX17" s="93" t="n">
        <f aca="false">'FUND. SUP'!E47</f>
        <v>0</v>
      </c>
      <c r="AY17" s="93" t="n">
        <f aca="false">'FUND. SUP'!E48</f>
        <v>0</v>
      </c>
      <c r="AZ17" s="93" t="n">
        <f aca="false">'FUND. SUP'!E49</f>
        <v>0</v>
      </c>
      <c r="BA17" s="93" t="n">
        <f aca="false">'FUND. SUP'!E50</f>
        <v>0</v>
      </c>
      <c r="BB17" s="93" t="n">
        <f aca="false">'FUND. SUP'!E51</f>
        <v>0</v>
      </c>
      <c r="BC17" s="93" t="n">
        <f aca="false">'FUND. SUP'!E52</f>
        <v>0</v>
      </c>
      <c r="BD17" s="93" t="n">
        <f aca="false">'FUND. SUP'!E53</f>
        <v>0</v>
      </c>
      <c r="BE17" s="93" t="n">
        <f aca="false">'FUND. SUP'!E54</f>
        <v>0</v>
      </c>
      <c r="BF17" s="93" t="n">
        <f aca="false">'FUND. SUP'!E55</f>
        <v>0</v>
      </c>
      <c r="BG17" s="93" t="n">
        <f aca="false">'FUND. SUP'!E56</f>
        <v>0</v>
      </c>
      <c r="BH17" s="93" t="n">
        <f aca="false">'FUND. SUP'!E57</f>
        <v>0</v>
      </c>
      <c r="BI17" s="93" t="n">
        <f aca="false">'FUND. SUP'!E58</f>
        <v>0</v>
      </c>
      <c r="BJ17" s="93" t="n">
        <f aca="false">'FUND. SUP'!E59</f>
        <v>0</v>
      </c>
      <c r="BK17" s="93" t="n">
        <f aca="false">'FUND. SUP'!E60</f>
        <v>0</v>
      </c>
      <c r="BL17" s="93" t="n">
        <f aca="false">'FUND. SUP'!E61</f>
        <v>0</v>
      </c>
      <c r="BM17" s="93" t="n">
        <f aca="false">'FUND. SUP'!E62</f>
        <v>0</v>
      </c>
      <c r="BN17" s="93" t="n">
        <f aca="false">'FUND. SUP'!E63</f>
        <v>0</v>
      </c>
      <c r="BO17" s="93" t="n">
        <f aca="false">'FUND. SUP'!E64</f>
        <v>0</v>
      </c>
      <c r="BP17" s="93" t="n">
        <f aca="false">'FUND. SUP'!E65</f>
        <v>0</v>
      </c>
      <c r="BQ17" s="93" t="n">
        <f aca="false">'FUND. SUP'!E66</f>
        <v>0</v>
      </c>
      <c r="BR17" s="93" t="n">
        <f aca="false">'FUND. SUP'!E67</f>
        <v>0</v>
      </c>
      <c r="BS17" s="93" t="n">
        <f aca="false">'FUND. SUP'!E68</f>
        <v>0</v>
      </c>
      <c r="BT17" s="93" t="n">
        <f aca="false">'FUND. SUP'!E69</f>
        <v>0</v>
      </c>
      <c r="BU17" s="93" t="n">
        <f aca="false">'FUND. SUP'!E70</f>
        <v>0</v>
      </c>
      <c r="BV17" s="93" t="n">
        <f aca="false">'FUND. SUP'!E71</f>
        <v>0</v>
      </c>
      <c r="BW17" s="93" t="n">
        <f aca="false">'FUND. SUP'!E72</f>
        <v>0</v>
      </c>
      <c r="BX17" s="93" t="n">
        <f aca="false">'FUND. SUP'!E73</f>
        <v>0</v>
      </c>
      <c r="BY17" s="93" t="n">
        <f aca="false">'FUND. SUP'!E74</f>
        <v>0</v>
      </c>
      <c r="BZ17" s="93" t="n">
        <f aca="false">'FUND. SUP'!E75</f>
        <v>0</v>
      </c>
      <c r="CA17" s="93" t="n">
        <f aca="false">'FUND. SUP'!E76</f>
        <v>0</v>
      </c>
    </row>
    <row r="18" customFormat="false" ht="15" hidden="false" customHeight="false" outlineLevel="0" collapsed="false">
      <c r="A18" s="55" t="s">
        <v>280</v>
      </c>
      <c r="B18" s="55" t="s">
        <v>300</v>
      </c>
      <c r="C18" s="55" t="s">
        <v>166</v>
      </c>
      <c r="D18" s="56" t="n">
        <f aca="false">IMPERMEABILIZAÇÃO!$K$5</f>
        <v>2967.367867</v>
      </c>
      <c r="E18" s="45" t="n">
        <f aca="false">SUM(H18:CA18)</f>
        <v>2964.63275334811</v>
      </c>
      <c r="F18" s="45" t="n">
        <f aca="false">IF(D18="","",D18-E18)</f>
        <v>2.73511365188961</v>
      </c>
      <c r="H18" s="93" t="n">
        <f aca="false">IMPERMEABILIZAÇÃO!E5</f>
        <v>0</v>
      </c>
      <c r="I18" s="93" t="n">
        <f aca="false">IMPERMEABILIZAÇÃO!E6</f>
        <v>0</v>
      </c>
      <c r="J18" s="93" t="n">
        <f aca="false">IMPERMEABILIZAÇÃO!E7</f>
        <v>0</v>
      </c>
      <c r="K18" s="93" t="n">
        <f aca="false">IMPERMEABILIZAÇÃO!E8</f>
        <v>0</v>
      </c>
      <c r="L18" s="93" t="n">
        <f aca="false">IMPERMEABILIZAÇÃO!E9</f>
        <v>0</v>
      </c>
      <c r="M18" s="93" t="n">
        <f aca="false">IMPERMEABILIZAÇÃO!E10</f>
        <v>0</v>
      </c>
      <c r="N18" s="93" t="n">
        <f aca="false">IMPERMEABILIZAÇÃO!E11</f>
        <v>0</v>
      </c>
      <c r="O18" s="93" t="n">
        <f aca="false">IMPERMEABILIZAÇÃO!E12</f>
        <v>0</v>
      </c>
      <c r="P18" s="93" t="n">
        <f aca="false">IMPERMEABILIZAÇÃO!E13</f>
        <v>0</v>
      </c>
      <c r="Q18" s="93" t="n">
        <f aca="false">IMPERMEABILIZAÇÃO!E14</f>
        <v>0</v>
      </c>
      <c r="R18" s="93" t="n">
        <f aca="false">IMPERMEABILIZAÇÃO!E15</f>
        <v>0</v>
      </c>
      <c r="S18" s="93" t="n">
        <f aca="false">IMPERMEABILIZAÇÃO!E16</f>
        <v>0</v>
      </c>
      <c r="T18" s="93" t="n">
        <f aca="false">IMPERMEABILIZAÇÃO!E17</f>
        <v>0</v>
      </c>
      <c r="U18" s="93" t="n">
        <f aca="false">IMPERMEABILIZAÇÃO!E18</f>
        <v>0</v>
      </c>
      <c r="V18" s="93" t="n">
        <f aca="false">IMPERMEABILIZAÇÃO!E19</f>
        <v>0</v>
      </c>
      <c r="W18" s="93" t="n">
        <f aca="false">IMPERMEABILIZAÇÃO!E20</f>
        <v>0</v>
      </c>
      <c r="X18" s="93" t="n">
        <f aca="false">IMPERMEABILIZAÇÃO!E21</f>
        <v>0</v>
      </c>
      <c r="Y18" s="93" t="n">
        <f aca="false">IMPERMEABILIZAÇÃO!E22</f>
        <v>0</v>
      </c>
      <c r="Z18" s="93" t="n">
        <f aca="false">IMPERMEABILIZAÇÃO!E23</f>
        <v>0</v>
      </c>
      <c r="AA18" s="93" t="n">
        <f aca="false">IMPERMEABILIZAÇÃO!E24</f>
        <v>0</v>
      </c>
      <c r="AB18" s="93" t="n">
        <f aca="false">IMPERMEABILIZAÇÃO!E25</f>
        <v>0</v>
      </c>
      <c r="AC18" s="93" t="n">
        <f aca="false">IMPERMEABILIZAÇÃO!E26</f>
        <v>0</v>
      </c>
      <c r="AD18" s="93" t="n">
        <f aca="false">IMPERMEABILIZAÇÃO!E27</f>
        <v>163.944191260151</v>
      </c>
      <c r="AE18" s="93" t="n">
        <f aca="false">IMPERMEABILIZAÇÃO!E28</f>
        <v>164.240654535485</v>
      </c>
      <c r="AF18" s="93" t="n">
        <f aca="false">IMPERMEABILIZAÇÃO!E29</f>
        <v>112.063118076559</v>
      </c>
      <c r="AG18" s="93" t="n">
        <f aca="false">IMPERMEABILIZAÇÃO!E30</f>
        <v>172.838089520195</v>
      </c>
      <c r="AH18" s="93" t="n">
        <f aca="false">IMPERMEABILIZAÇÃO!E31</f>
        <v>230.055501659813</v>
      </c>
      <c r="AI18" s="93" t="n">
        <f aca="false">IMPERMEABILIZAÇÃO!E32</f>
        <v>307.135953246864</v>
      </c>
      <c r="AJ18" s="93" t="n">
        <f aca="false">IMPERMEABILIZAÇÃO!E33</f>
        <v>267.113411076665</v>
      </c>
      <c r="AK18" s="93" t="n">
        <f aca="false">IMPERMEABILIZAÇÃO!E34</f>
        <v>229.462575109144</v>
      </c>
      <c r="AL18" s="93" t="n">
        <f aca="false">IMPERMEABILIZAÇÃO!E35</f>
        <v>163.351264709481</v>
      </c>
      <c r="AM18" s="93" t="n">
        <f aca="false">IMPERMEABILIZAÇÃO!E36</f>
        <v>157.12553592745</v>
      </c>
      <c r="AN18" s="93" t="n">
        <f aca="false">IMPERMEABILIZAÇÃO!E37</f>
        <v>75.5981352103767</v>
      </c>
      <c r="AO18" s="93" t="n">
        <f aca="false">IMPERMEABILIZAÇÃO!E38</f>
        <v>67.2971635010024</v>
      </c>
      <c r="AP18" s="93" t="n">
        <f aca="false">IMPERMEABILIZAÇÃO!E39</f>
        <v>62.2572878203102</v>
      </c>
      <c r="AQ18" s="93" t="n">
        <f aca="false">IMPERMEABILIZAÇÃO!E40</f>
        <v>85.3814232964254</v>
      </c>
      <c r="AR18" s="93" t="n">
        <f aca="false">IMPERMEABILIZAÇÃO!E41</f>
        <v>112.952507902563</v>
      </c>
      <c r="AS18" s="93" t="n">
        <f aca="false">IMPERMEABILIZAÇÃO!E42</f>
        <v>160.979558506803</v>
      </c>
      <c r="AT18" s="93" t="n">
        <f aca="false">IMPERMEABILIZAÇÃO!E43</f>
        <v>106.133852569862</v>
      </c>
      <c r="AU18" s="93" t="n">
        <f aca="false">IMPERMEABILIZAÇÃO!E44</f>
        <v>164.53711781082</v>
      </c>
      <c r="AV18" s="93" t="n">
        <f aca="false">IMPERMEABILIZAÇÃO!E45</f>
        <v>111.173728250554</v>
      </c>
      <c r="AW18" s="93" t="n">
        <f aca="false">IMPERMEABILIZAÇÃO!E46</f>
        <v>41.2083952715388</v>
      </c>
      <c r="AX18" s="93" t="n">
        <f aca="false">IMPERMEABILIZAÇÃO!E47</f>
        <v>9.78328808604871</v>
      </c>
      <c r="AY18" s="93" t="n">
        <f aca="false">IMPERMEABILIZAÇÃO!E48</f>
        <v>0</v>
      </c>
      <c r="AZ18" s="93" t="n">
        <f aca="false">IMPERMEABILIZAÇÃO!E49</f>
        <v>0</v>
      </c>
      <c r="BA18" s="93" t="n">
        <f aca="false">IMPERMEABILIZAÇÃO!E50</f>
        <v>0</v>
      </c>
      <c r="BB18" s="93" t="n">
        <f aca="false">IMPERMEABILIZAÇÃO!E51</f>
        <v>0</v>
      </c>
      <c r="BC18" s="93" t="n">
        <f aca="false">IMPERMEABILIZAÇÃO!E52</f>
        <v>0</v>
      </c>
      <c r="BD18" s="93" t="n">
        <f aca="false">IMPERMEABILIZAÇÃO!E53</f>
        <v>0</v>
      </c>
      <c r="BE18" s="93" t="n">
        <f aca="false">IMPERMEABILIZAÇÃO!E54</f>
        <v>0</v>
      </c>
      <c r="BF18" s="93" t="n">
        <f aca="false">IMPERMEABILIZAÇÃO!E55</f>
        <v>0</v>
      </c>
      <c r="BG18" s="93" t="n">
        <f aca="false">IMPERMEABILIZAÇÃO!E56</f>
        <v>0</v>
      </c>
      <c r="BH18" s="93" t="n">
        <f aca="false">IMPERMEABILIZAÇÃO!E57</f>
        <v>0</v>
      </c>
      <c r="BI18" s="93" t="n">
        <f aca="false">IMPERMEABILIZAÇÃO!E58</f>
        <v>0</v>
      </c>
      <c r="BJ18" s="93" t="n">
        <f aca="false">IMPERMEABILIZAÇÃO!E59</f>
        <v>0</v>
      </c>
      <c r="BK18" s="93" t="n">
        <f aca="false">IMPERMEABILIZAÇÃO!E60</f>
        <v>0</v>
      </c>
      <c r="BL18" s="93" t="n">
        <f aca="false">IMPERMEABILIZAÇÃO!E61</f>
        <v>0</v>
      </c>
      <c r="BM18" s="93" t="n">
        <f aca="false">IMPERMEABILIZAÇÃO!E62</f>
        <v>0</v>
      </c>
      <c r="BN18" s="93" t="n">
        <f aca="false">IMPERMEABILIZAÇÃO!E63</f>
        <v>0</v>
      </c>
      <c r="BO18" s="93" t="n">
        <f aca="false">IMPERMEABILIZAÇÃO!E64</f>
        <v>0</v>
      </c>
      <c r="BP18" s="93" t="n">
        <f aca="false">IMPERMEABILIZAÇÃO!E65</f>
        <v>0</v>
      </c>
      <c r="BQ18" s="93" t="n">
        <f aca="false">IMPERMEABILIZAÇÃO!E66</f>
        <v>0</v>
      </c>
      <c r="BR18" s="93" t="n">
        <f aca="false">IMPERMEABILIZAÇÃO!E67</f>
        <v>0</v>
      </c>
      <c r="BS18" s="93" t="n">
        <f aca="false">IMPERMEABILIZAÇÃO!E68</f>
        <v>0</v>
      </c>
      <c r="BT18" s="93" t="n">
        <f aca="false">IMPERMEABILIZAÇÃO!E69</f>
        <v>0</v>
      </c>
      <c r="BU18" s="93" t="n">
        <f aca="false">IMPERMEABILIZAÇÃO!E70</f>
        <v>0</v>
      </c>
      <c r="BV18" s="93" t="n">
        <f aca="false">IMPERMEABILIZAÇÃO!E71</f>
        <v>0</v>
      </c>
      <c r="BW18" s="93" t="n">
        <f aca="false">IMPERMEABILIZAÇÃO!E72</f>
        <v>0</v>
      </c>
      <c r="BX18" s="93" t="n">
        <f aca="false">IMPERMEABILIZAÇÃO!E73</f>
        <v>0</v>
      </c>
      <c r="BY18" s="93" t="n">
        <f aca="false">IMPERMEABILIZAÇÃO!E74</f>
        <v>0</v>
      </c>
      <c r="BZ18" s="93" t="n">
        <f aca="false">IMPERMEABILIZAÇÃO!E75</f>
        <v>0</v>
      </c>
      <c r="CA18" s="93" t="n">
        <f aca="false">IMPERMEABILIZAÇÃO!E76</f>
        <v>0</v>
      </c>
    </row>
    <row r="19" customFormat="false" ht="15" hidden="false" customHeight="false" outlineLevel="0" collapsed="false">
      <c r="A19" s="55" t="s">
        <v>280</v>
      </c>
      <c r="B19" s="55" t="s">
        <v>301</v>
      </c>
      <c r="C19" s="55" t="s">
        <v>174</v>
      </c>
      <c r="D19" s="56" t="n">
        <f aca="false">'INST. INC'!$K$5</f>
        <v>1030.64741</v>
      </c>
      <c r="E19" s="45" t="n">
        <f aca="false">SUM(H19:CA19)</f>
        <v>687.26339434056</v>
      </c>
      <c r="F19" s="45" t="n">
        <f aca="false">IF(D19="","",D19-E19)</f>
        <v>343.38401565944</v>
      </c>
      <c r="H19" s="93" t="n">
        <f aca="false">'INST. INC'!E5</f>
        <v>0</v>
      </c>
      <c r="I19" s="93" t="n">
        <f aca="false">'INST. INC'!E6</f>
        <v>0</v>
      </c>
      <c r="J19" s="93" t="n">
        <f aca="false">'INST. INC'!E7</f>
        <v>0</v>
      </c>
      <c r="K19" s="93" t="n">
        <f aca="false">'INST. INC'!E8</f>
        <v>0</v>
      </c>
      <c r="L19" s="93" t="n">
        <f aca="false">'INST. INC'!E9</f>
        <v>0</v>
      </c>
      <c r="M19" s="93" t="n">
        <f aca="false">'INST. INC'!E10</f>
        <v>0</v>
      </c>
      <c r="N19" s="93" t="n">
        <f aca="false">'INST. INC'!E11</f>
        <v>0</v>
      </c>
      <c r="O19" s="93" t="n">
        <f aca="false">'INST. INC'!E12</f>
        <v>0</v>
      </c>
      <c r="P19" s="93" t="n">
        <f aca="false">'INST. INC'!E13</f>
        <v>0</v>
      </c>
      <c r="Q19" s="93" t="n">
        <f aca="false">'INST. INC'!E14</f>
        <v>0</v>
      </c>
      <c r="R19" s="93" t="n">
        <f aca="false">'INST. INC'!E15</f>
        <v>0</v>
      </c>
      <c r="S19" s="93" t="n">
        <f aca="false">'INST. INC'!E16</f>
        <v>0</v>
      </c>
      <c r="T19" s="93" t="n">
        <f aca="false">'INST. INC'!E17</f>
        <v>0</v>
      </c>
      <c r="U19" s="93" t="n">
        <f aca="false">'INST. INC'!E18</f>
        <v>0</v>
      </c>
      <c r="V19" s="93" t="n">
        <f aca="false">'INST. INC'!E19</f>
        <v>0</v>
      </c>
      <c r="W19" s="93" t="n">
        <f aca="false">'INST. INC'!E20</f>
        <v>0</v>
      </c>
      <c r="X19" s="93" t="n">
        <f aca="false">'INST. INC'!E21</f>
        <v>0</v>
      </c>
      <c r="Y19" s="93" t="n">
        <f aca="false">'INST. INC'!E22</f>
        <v>15.5610040174865</v>
      </c>
      <c r="Z19" s="93" t="n">
        <f aca="false">'INST. INC'!E23</f>
        <v>0</v>
      </c>
      <c r="AA19" s="93" t="n">
        <f aca="false">'INST. INC'!E24</f>
        <v>0</v>
      </c>
      <c r="AB19" s="93" t="n">
        <f aca="false">'INST. INC'!E25</f>
        <v>0</v>
      </c>
      <c r="AC19" s="93" t="n">
        <f aca="false">'INST. INC'!E26</f>
        <v>0</v>
      </c>
      <c r="AD19" s="93" t="n">
        <f aca="false">'INST. INC'!E27</f>
        <v>34.8613540577675</v>
      </c>
      <c r="AE19" s="93" t="n">
        <f aca="false">'INST. INC'!E28</f>
        <v>32.0402040184106</v>
      </c>
      <c r="AF19" s="93" t="n">
        <f aca="false">'INST. INC'!E29</f>
        <v>25.994882505503</v>
      </c>
      <c r="AG19" s="93" t="n">
        <f aca="false">'INST. INC'!E30</f>
        <v>41.3768672439013</v>
      </c>
      <c r="AH19" s="93" t="n">
        <f aca="false">'INST. INC'!E31</f>
        <v>40.8395053316429</v>
      </c>
      <c r="AI19" s="93" t="n">
        <f aca="false">'INST. INC'!E32</f>
        <v>41.1081862877721</v>
      </c>
      <c r="AJ19" s="93" t="n">
        <f aca="false">'INST. INC'!E33</f>
        <v>39.2945898338998</v>
      </c>
      <c r="AK19" s="93" t="n">
        <f aca="false">'INST. INC'!E34</f>
        <v>34.9285242967999</v>
      </c>
      <c r="AL19" s="93" t="n">
        <f aca="false">'INST. INC'!E35</f>
        <v>40.1678029413198</v>
      </c>
      <c r="AM19" s="93" t="n">
        <f aca="false">'INST. INC'!E36</f>
        <v>46.7504863664859</v>
      </c>
      <c r="AN19" s="93" t="n">
        <f aca="false">'INST. INC'!E37</f>
        <v>46.6161458884213</v>
      </c>
      <c r="AO19" s="93" t="n">
        <f aca="false">'INST. INC'!E38</f>
        <v>11.0159192012985</v>
      </c>
      <c r="AP19" s="93" t="n">
        <f aca="false">'INST. INC'!E39</f>
        <v>21.2257955342091</v>
      </c>
      <c r="AQ19" s="93" t="n">
        <f aca="false">'INST. INC'!E40</f>
        <v>17.3970919093676</v>
      </c>
      <c r="AR19" s="93" t="n">
        <f aca="false">'INST. INC'!E41</f>
        <v>0.537361912258448</v>
      </c>
      <c r="AS19" s="93" t="n">
        <f aca="false">'INST. INC'!E42</f>
        <v>2.82115003935692</v>
      </c>
      <c r="AT19" s="93" t="n">
        <f aca="false">'INST. INC'!E43</f>
        <v>11.7547918306538</v>
      </c>
      <c r="AU19" s="93" t="n">
        <f aca="false">'INST. INC'!E44</f>
        <v>15.1804740213014</v>
      </c>
      <c r="AV19" s="93" t="n">
        <f aca="false">'INST. INC'!E45</f>
        <v>19.1435181242077</v>
      </c>
      <c r="AW19" s="93" t="n">
        <f aca="false">'INST. INC'!E46</f>
        <v>31.5700123451844</v>
      </c>
      <c r="AX19" s="93" t="n">
        <f aca="false">'INST. INC'!E47</f>
        <v>25.994882505503</v>
      </c>
      <c r="AY19" s="93" t="n">
        <f aca="false">'INST. INC'!E48</f>
        <v>33.1149278429276</v>
      </c>
      <c r="AZ19" s="93" t="n">
        <f aca="false">'INST. INC'!E49</f>
        <v>20.0167312316275</v>
      </c>
      <c r="BA19" s="93" t="n">
        <f aca="false">'INST. INC'!E50</f>
        <v>16.1880276067862</v>
      </c>
      <c r="BB19" s="93" t="n">
        <f aca="false">'INST. INC'!E51</f>
        <v>18.4046454948522</v>
      </c>
      <c r="BC19" s="93" t="n">
        <f aca="false">'INST. INC'!E52</f>
        <v>3.35851195161537</v>
      </c>
      <c r="BD19" s="93" t="n">
        <f aca="false">'INST. INC'!E53</f>
        <v>0</v>
      </c>
      <c r="BE19" s="93" t="n">
        <f aca="false">'INST. INC'!E54</f>
        <v>0</v>
      </c>
      <c r="BF19" s="93" t="n">
        <f aca="false">'INST. INC'!E55</f>
        <v>0</v>
      </c>
      <c r="BG19" s="93" t="n">
        <f aca="false">'INST. INC'!E56</f>
        <v>0</v>
      </c>
      <c r="BH19" s="93" t="n">
        <f aca="false">'INST. INC'!E57</f>
        <v>0</v>
      </c>
      <c r="BI19" s="93" t="n">
        <f aca="false">'INST. INC'!E58</f>
        <v>0</v>
      </c>
      <c r="BJ19" s="93" t="n">
        <f aca="false">'INST. INC'!E59</f>
        <v>0</v>
      </c>
      <c r="BK19" s="93" t="n">
        <f aca="false">'INST. INC'!E60</f>
        <v>0</v>
      </c>
      <c r="BL19" s="93" t="n">
        <f aca="false">'INST. INC'!E61</f>
        <v>0</v>
      </c>
      <c r="BM19" s="93" t="n">
        <f aca="false">'INST. INC'!E62</f>
        <v>0</v>
      </c>
      <c r="BN19" s="93" t="n">
        <f aca="false">'INST. INC'!E63</f>
        <v>0</v>
      </c>
      <c r="BO19" s="93" t="n">
        <f aca="false">'INST. INC'!E64</f>
        <v>0</v>
      </c>
      <c r="BP19" s="93" t="n">
        <f aca="false">'INST. INC'!E65</f>
        <v>0</v>
      </c>
      <c r="BQ19" s="93" t="n">
        <f aca="false">'INST. INC'!E66</f>
        <v>0</v>
      </c>
      <c r="BR19" s="93" t="n">
        <f aca="false">'INST. INC'!E67</f>
        <v>0</v>
      </c>
      <c r="BS19" s="93" t="n">
        <f aca="false">'INST. INC'!E68</f>
        <v>0</v>
      </c>
      <c r="BT19" s="93" t="n">
        <f aca="false">'INST. INC'!E69</f>
        <v>0</v>
      </c>
      <c r="BU19" s="93" t="n">
        <f aca="false">'INST. INC'!E70</f>
        <v>0</v>
      </c>
      <c r="BV19" s="93" t="n">
        <f aca="false">'INST. INC'!E71</f>
        <v>0</v>
      </c>
      <c r="BW19" s="93" t="n">
        <f aca="false">'INST. INC'!E72</f>
        <v>0</v>
      </c>
      <c r="BX19" s="93" t="n">
        <f aca="false">'INST. INC'!E73</f>
        <v>0</v>
      </c>
      <c r="BY19" s="93" t="n">
        <f aca="false">'INST. INC'!E74</f>
        <v>0</v>
      </c>
      <c r="BZ19" s="93" t="n">
        <f aca="false">'INST. INC'!E75</f>
        <v>0</v>
      </c>
      <c r="CA19" s="93" t="n">
        <f aca="false">'INST. INC'!E76</f>
        <v>0</v>
      </c>
    </row>
    <row r="20" customFormat="false" ht="15" hidden="false" customHeight="false" outlineLevel="0" collapsed="false">
      <c r="A20" s="55" t="s">
        <v>280</v>
      </c>
      <c r="B20" s="55" t="s">
        <v>302</v>
      </c>
      <c r="C20" s="55" t="s">
        <v>77</v>
      </c>
      <c r="D20" s="56" t="n">
        <f aca="false">'INST. ELÉTRICA'!$K$5</f>
        <v>9487.658083</v>
      </c>
      <c r="E20" s="45" t="n">
        <f aca="false">SUM(H20:CA20)</f>
        <v>8823.11692043553</v>
      </c>
      <c r="F20" s="45" t="n">
        <f aca="false">IF(D20="","",D20-E20)</f>
        <v>664.541162564474</v>
      </c>
      <c r="H20" s="93" t="n">
        <f aca="false">'INST. ELÉTRICA'!E5</f>
        <v>0.766319314401533</v>
      </c>
      <c r="I20" s="93" t="n">
        <f aca="false">'INST. ELÉTRICA'!E6</f>
        <v>0</v>
      </c>
      <c r="J20" s="93" t="n">
        <f aca="false">'INST. ELÉTRICA'!E7</f>
        <v>0</v>
      </c>
      <c r="K20" s="93" t="n">
        <f aca="false">'INST. ELÉTRICA'!E8</f>
        <v>0</v>
      </c>
      <c r="L20" s="93" t="n">
        <f aca="false">'INST. ELÉTRICA'!E9</f>
        <v>0</v>
      </c>
      <c r="M20" s="93" t="n">
        <f aca="false">'INST. ELÉTRICA'!E10</f>
        <v>0</v>
      </c>
      <c r="N20" s="93" t="n">
        <f aca="false">'INST. ELÉTRICA'!E11</f>
        <v>0.152479056013752</v>
      </c>
      <c r="O20" s="93" t="n">
        <f aca="false">'INST. ELÉTRICA'!E12</f>
        <v>0</v>
      </c>
      <c r="P20" s="93" t="n">
        <f aca="false">'INST. ELÉTRICA'!E13</f>
        <v>0</v>
      </c>
      <c r="Q20" s="93" t="n">
        <f aca="false">'INST. ELÉTRICA'!E14</f>
        <v>0</v>
      </c>
      <c r="R20" s="93" t="n">
        <f aca="false">'INST. ELÉTRICA'!E15</f>
        <v>222.667635287919</v>
      </c>
      <c r="S20" s="93" t="n">
        <f aca="false">'INST. ELÉTRICA'!E16</f>
        <v>21.4446983721881</v>
      </c>
      <c r="T20" s="93" t="n">
        <f aca="false">'INST. ELÉTRICA'!E17</f>
        <v>4.29333776272003</v>
      </c>
      <c r="U20" s="93" t="n">
        <f aca="false">'INST. ELÉTRICA'!E18</f>
        <v>2.08142689460937</v>
      </c>
      <c r="V20" s="93" t="n">
        <f aca="false">'INST. ELÉTRICA'!E19</f>
        <v>2.17638158101575</v>
      </c>
      <c r="W20" s="93" t="n">
        <f aca="false">'INST. ELÉTRICA'!E20</f>
        <v>5.46263132616677</v>
      </c>
      <c r="X20" s="93" t="n">
        <f aca="false">'INST. ELÉTRICA'!E21</f>
        <v>6.23095108807829</v>
      </c>
      <c r="Y20" s="93" t="n">
        <f aca="false">'INST. ELÉTRICA'!E22</f>
        <v>11.0582476518755</v>
      </c>
      <c r="Z20" s="93" t="n">
        <f aca="false">'INST. ELÉTRICA'!E23</f>
        <v>16.5577862960814</v>
      </c>
      <c r="AA20" s="93" t="n">
        <f aca="false">'INST. ELÉTRICA'!E24</f>
        <v>21.6995710286387</v>
      </c>
      <c r="AB20" s="93" t="n">
        <f aca="false">'INST. ELÉTRICA'!E25</f>
        <v>27.3133706893959</v>
      </c>
      <c r="AC20" s="93" t="n">
        <f aca="false">'INST. ELÉTRICA'!E26</f>
        <v>65.4731169724453</v>
      </c>
      <c r="AD20" s="93" t="n">
        <f aca="false">'INST. ELÉTRICA'!E27</f>
        <v>126.054936636082</v>
      </c>
      <c r="AE20" s="93" t="n">
        <f aca="false">'INST. ELÉTRICA'!E28</f>
        <v>111.540760980258</v>
      </c>
      <c r="AF20" s="93" t="n">
        <f aca="false">'INST. ELÉTRICA'!E29</f>
        <v>65.9488529503362</v>
      </c>
      <c r="AG20" s="93" t="n">
        <f aca="false">'INST. ELÉTRICA'!E30</f>
        <v>238.028972378872</v>
      </c>
      <c r="AH20" s="93" t="n">
        <f aca="false">'INST. ELÉTRICA'!E31</f>
        <v>380.011166429427</v>
      </c>
      <c r="AI20" s="93" t="n">
        <f aca="false">'INST. ELÉTRICA'!E32</f>
        <v>426.781771528433</v>
      </c>
      <c r="AJ20" s="93" t="n">
        <f aca="false">'INST. ELÉTRICA'!E33</f>
        <v>420.935445891057</v>
      </c>
      <c r="AK20" s="93" t="n">
        <f aca="false">'INST. ELÉTRICA'!E34</f>
        <v>598.830783142635</v>
      </c>
      <c r="AL20" s="93" t="n">
        <f aca="false">'INST. ELÉTRICA'!E35</f>
        <v>730.790704671975</v>
      </c>
      <c r="AM20" s="93" t="n">
        <f aca="false">'INST. ELÉTRICA'!E36</f>
        <v>557.906503681004</v>
      </c>
      <c r="AN20" s="93" t="n">
        <f aca="false">'INST. ELÉTRICA'!E37</f>
        <v>505.289572944622</v>
      </c>
      <c r="AO20" s="93" t="n">
        <f aca="false">'INST. ELÉTRICA'!E38</f>
        <v>467.706050990064</v>
      </c>
      <c r="AP20" s="93" t="n">
        <f aca="false">'INST. ELÉTRICA'!E39</f>
        <v>402.561279602162</v>
      </c>
      <c r="AQ20" s="93" t="n">
        <f aca="false">'INST. ELÉTRICA'!E40</f>
        <v>525.334117987054</v>
      </c>
      <c r="AR20" s="93" t="n">
        <f aca="false">'INST. ELÉTRICA'!E41</f>
        <v>55.9576882434542</v>
      </c>
      <c r="AS20" s="93" t="n">
        <f aca="false">'INST. ELÉTRICA'!E42</f>
        <v>244.710487393015</v>
      </c>
      <c r="AT20" s="93" t="n">
        <f aca="false">'INST. ELÉTRICA'!E43</f>
        <v>156.180413455611</v>
      </c>
      <c r="AU20" s="93" t="n">
        <f aca="false">'INST. ELÉTRICA'!E44</f>
        <v>324.888667562741</v>
      </c>
      <c r="AV20" s="93" t="n">
        <f aca="false">'INST. ELÉTRICA'!E45</f>
        <v>218.819616713209</v>
      </c>
      <c r="AW20" s="93" t="n">
        <f aca="false">'INST. ELÉTRICA'!E46</f>
        <v>406.737226486001</v>
      </c>
      <c r="AX20" s="93" t="n">
        <f aca="false">'INST. ELÉTRICA'!E47</f>
        <v>92.7060208212447</v>
      </c>
      <c r="AY20" s="93" t="n">
        <f aca="false">'INST. ELÉTRICA'!E48</f>
        <v>493.596921669872</v>
      </c>
      <c r="AZ20" s="93" t="n">
        <f aca="false">'INST. ELÉTRICA'!E49</f>
        <v>553.730556797164</v>
      </c>
      <c r="BA20" s="93" t="n">
        <f aca="false">'INST. ELÉTRICA'!E50</f>
        <v>177.06014787481</v>
      </c>
      <c r="BB20" s="93" t="n">
        <f aca="false">'INST. ELÉTRICA'!E51</f>
        <v>70.991097025277</v>
      </c>
      <c r="BC20" s="93" t="n">
        <f aca="false">'INST. ELÉTRICA'!E52</f>
        <v>62.6392032575978</v>
      </c>
      <c r="BD20" s="93" t="n">
        <f aca="false">'INST. ELÉTRICA'!E53</f>
        <v>0</v>
      </c>
      <c r="BE20" s="93" t="n">
        <f aca="false">'INST. ELÉTRICA'!E54</f>
        <v>0</v>
      </c>
      <c r="BF20" s="93" t="n">
        <f aca="false">'INST. ELÉTRICA'!E55</f>
        <v>0</v>
      </c>
      <c r="BG20" s="93" t="n">
        <f aca="false">'INST. ELÉTRICA'!E56</f>
        <v>0</v>
      </c>
      <c r="BH20" s="93" t="n">
        <f aca="false">'INST. ELÉTRICA'!E57</f>
        <v>0</v>
      </c>
      <c r="BI20" s="93" t="n">
        <f aca="false">'INST. ELÉTRICA'!E58</f>
        <v>0</v>
      </c>
      <c r="BJ20" s="93" t="n">
        <f aca="false">'INST. ELÉTRICA'!E59</f>
        <v>0</v>
      </c>
      <c r="BK20" s="93" t="n">
        <f aca="false">'INST. ELÉTRICA'!E60</f>
        <v>0</v>
      </c>
      <c r="BL20" s="93" t="n">
        <f aca="false">'INST. ELÉTRICA'!E61</f>
        <v>0</v>
      </c>
      <c r="BM20" s="93" t="n">
        <f aca="false">'INST. ELÉTRICA'!E62</f>
        <v>0</v>
      </c>
      <c r="BN20" s="93" t="n">
        <f aca="false">'INST. ELÉTRICA'!E63</f>
        <v>0</v>
      </c>
      <c r="BO20" s="93" t="n">
        <f aca="false">'INST. ELÉTRICA'!E64</f>
        <v>0</v>
      </c>
      <c r="BP20" s="93" t="n">
        <f aca="false">'INST. ELÉTRICA'!E65</f>
        <v>0</v>
      </c>
      <c r="BQ20" s="93" t="n">
        <f aca="false">'INST. ELÉTRICA'!E66</f>
        <v>0</v>
      </c>
      <c r="BR20" s="93" t="n">
        <f aca="false">'INST. ELÉTRICA'!E67</f>
        <v>0</v>
      </c>
      <c r="BS20" s="93" t="n">
        <f aca="false">'INST. ELÉTRICA'!E68</f>
        <v>0</v>
      </c>
      <c r="BT20" s="93" t="n">
        <f aca="false">'INST. ELÉTRICA'!E69</f>
        <v>0</v>
      </c>
      <c r="BU20" s="93" t="n">
        <f aca="false">'INST. ELÉTRICA'!E70</f>
        <v>0</v>
      </c>
      <c r="BV20" s="93" t="n">
        <f aca="false">'INST. ELÉTRICA'!E71</f>
        <v>0</v>
      </c>
      <c r="BW20" s="93" t="n">
        <f aca="false">'INST. ELÉTRICA'!E72</f>
        <v>0</v>
      </c>
      <c r="BX20" s="93" t="n">
        <f aca="false">'INST. ELÉTRICA'!E73</f>
        <v>0</v>
      </c>
      <c r="BY20" s="93" t="n">
        <f aca="false">'INST. ELÉTRICA'!E74</f>
        <v>0</v>
      </c>
      <c r="BZ20" s="93" t="n">
        <f aca="false">'INST. ELÉTRICA'!E75</f>
        <v>0</v>
      </c>
      <c r="CA20" s="93" t="n">
        <f aca="false">'INST. ELÉTRICA'!E76</f>
        <v>0</v>
      </c>
    </row>
    <row r="21" customFormat="false" ht="15" hidden="false" customHeight="false" outlineLevel="0" collapsed="false">
      <c r="A21" s="55" t="s">
        <v>280</v>
      </c>
      <c r="B21" s="55" t="s">
        <v>303</v>
      </c>
      <c r="C21" s="55" t="s">
        <v>177</v>
      </c>
      <c r="D21" s="56" t="n">
        <f aca="false">'INST. ESP'!$K$5</f>
        <v>2998.771118</v>
      </c>
      <c r="E21" s="45" t="n">
        <f aca="false">SUM(H21:CA21)</f>
        <v>2996.00705901192</v>
      </c>
      <c r="F21" s="45" t="n">
        <f aca="false">IF(D21="","",D21-E21)</f>
        <v>2.76405898808389</v>
      </c>
      <c r="H21" s="93" t="n">
        <f aca="false">'INST. ESP'!E5</f>
        <v>0</v>
      </c>
      <c r="I21" s="93" t="n">
        <f aca="false">'INST. ESP'!E6</f>
        <v>0</v>
      </c>
      <c r="J21" s="93" t="n">
        <f aca="false">'INST. ESP'!E7</f>
        <v>0</v>
      </c>
      <c r="K21" s="93" t="n">
        <f aca="false">'INST. ESP'!E8</f>
        <v>0</v>
      </c>
      <c r="L21" s="93" t="n">
        <f aca="false">'INST. ESP'!E9</f>
        <v>0</v>
      </c>
      <c r="M21" s="93" t="n">
        <f aca="false">'INST. ESP'!E10</f>
        <v>0</v>
      </c>
      <c r="N21" s="93" t="n">
        <f aca="false">'INST. ESP'!E11</f>
        <v>0</v>
      </c>
      <c r="O21" s="93" t="n">
        <f aca="false">'INST. ESP'!E12</f>
        <v>0</v>
      </c>
      <c r="P21" s="93" t="n">
        <f aca="false">'INST. ESP'!E13</f>
        <v>0</v>
      </c>
      <c r="Q21" s="93" t="n">
        <f aca="false">'INST. ESP'!E14</f>
        <v>0</v>
      </c>
      <c r="R21" s="93" t="n">
        <f aca="false">'INST. ESP'!E15</f>
        <v>0</v>
      </c>
      <c r="S21" s="93" t="n">
        <f aca="false">'INST. ESP'!E16</f>
        <v>0</v>
      </c>
      <c r="T21" s="93" t="n">
        <f aca="false">'INST. ESP'!E17</f>
        <v>0</v>
      </c>
      <c r="U21" s="93" t="n">
        <f aca="false">'INST. ESP'!E18</f>
        <v>0</v>
      </c>
      <c r="V21" s="93" t="n">
        <f aca="false">'INST. ESP'!E19</f>
        <v>0</v>
      </c>
      <c r="W21" s="93" t="n">
        <f aca="false">'INST. ESP'!E20</f>
        <v>0</v>
      </c>
      <c r="X21" s="93" t="n">
        <f aca="false">'INST. ESP'!E21</f>
        <v>0</v>
      </c>
      <c r="Y21" s="93" t="n">
        <f aca="false">'INST. ESP'!E22</f>
        <v>0</v>
      </c>
      <c r="Z21" s="93" t="n">
        <f aca="false">'INST. ESP'!E23</f>
        <v>0</v>
      </c>
      <c r="AA21" s="93" t="n">
        <f aca="false">'INST. ESP'!E24</f>
        <v>0</v>
      </c>
      <c r="AB21" s="93" t="n">
        <f aca="false">'INST. ESP'!E25</f>
        <v>0</v>
      </c>
      <c r="AC21" s="93" t="n">
        <f aca="false">'INST. ESP'!E26</f>
        <v>0</v>
      </c>
      <c r="AD21" s="93" t="n">
        <f aca="false">'INST. ESP'!E27</f>
        <v>36.6734298574043</v>
      </c>
      <c r="AE21" s="93" t="n">
        <f aca="false">'INST. ESP'!E28</f>
        <v>40.6135504205965</v>
      </c>
      <c r="AF21" s="93" t="n">
        <f aca="false">'INST. ESP'!E29</f>
        <v>38.1888608432475</v>
      </c>
      <c r="AG21" s="93" t="n">
        <f aca="false">'INST. ESP'!E30</f>
        <v>113.354237741068</v>
      </c>
      <c r="AH21" s="93" t="n">
        <f aca="false">'INST. ESP'!E31</f>
        <v>168.21283942859</v>
      </c>
      <c r="AI21" s="93" t="n">
        <f aca="false">'INST. ESP'!E32</f>
        <v>174.274563371963</v>
      </c>
      <c r="AJ21" s="93" t="n">
        <f aca="false">'INST. ESP'!E33</f>
        <v>208.826389849187</v>
      </c>
      <c r="AK21" s="93" t="n">
        <f aca="false">'INST. ESP'!E34</f>
        <v>214.585027595391</v>
      </c>
      <c r="AL21" s="93" t="n">
        <f aca="false">'INST. ESP'!E35</f>
        <v>251.258457452795</v>
      </c>
      <c r="AM21" s="93" t="n">
        <f aca="false">'INST. ESP'!E36</f>
        <v>233.376371819846</v>
      </c>
      <c r="AN21" s="93" t="n">
        <f aca="false">'INST. ESP'!E37</f>
        <v>175.486908160637</v>
      </c>
      <c r="AO21" s="93" t="n">
        <f aca="false">'INST. ESP'!E38</f>
        <v>187.307269850214</v>
      </c>
      <c r="AP21" s="93" t="n">
        <f aca="false">'INST. ESP'!E39</f>
        <v>150.936926189978</v>
      </c>
      <c r="AQ21" s="93" t="n">
        <f aca="false">'INST. ESP'!E40</f>
        <v>188.822700836057</v>
      </c>
      <c r="AR21" s="93" t="n">
        <f aca="false">'INST. ESP'!E41</f>
        <v>36.6734298574041</v>
      </c>
      <c r="AS21" s="93" t="n">
        <f aca="false">'INST. ESP'!E42</f>
        <v>80.9240146440245</v>
      </c>
      <c r="AT21" s="93" t="n">
        <f aca="false">'INST. ESP'!E43</f>
        <v>65.7697047855929</v>
      </c>
      <c r="AU21" s="93" t="n">
        <f aca="false">'INST. ESP'!E44</f>
        <v>79.1054974610126</v>
      </c>
      <c r="AV21" s="93" t="n">
        <f aca="false">'INST. ESP'!E45</f>
        <v>32.4302230970437</v>
      </c>
      <c r="AW21" s="93" t="n">
        <f aca="false">'INST. ESP'!E46</f>
        <v>37.5826884489101</v>
      </c>
      <c r="AX21" s="93" t="n">
        <f aca="false">'INST. ESP'!E47</f>
        <v>36.3703436602358</v>
      </c>
      <c r="AY21" s="93" t="n">
        <f aca="false">'INST. ESP'!E48</f>
        <v>10.0018445065648</v>
      </c>
      <c r="AZ21" s="93" t="n">
        <f aca="false">'INST. ESP'!E49</f>
        <v>147.602978021123</v>
      </c>
      <c r="BA21" s="93" t="n">
        <f aca="false">'INST. ESP'!E50</f>
        <v>152.149270978653</v>
      </c>
      <c r="BB21" s="93" t="n">
        <f aca="false">'INST. ESP'!E51</f>
        <v>129.720892388174</v>
      </c>
      <c r="BC21" s="93" t="n">
        <f aca="false">'INST. ESP'!E52</f>
        <v>5.75863774620392</v>
      </c>
      <c r="BD21" s="93" t="n">
        <f aca="false">'INST. ESP'!E53</f>
        <v>0</v>
      </c>
      <c r="BE21" s="93" t="n">
        <f aca="false">'INST. ESP'!E54</f>
        <v>0</v>
      </c>
      <c r="BF21" s="93" t="n">
        <f aca="false">'INST. ESP'!E55</f>
        <v>0</v>
      </c>
      <c r="BG21" s="93" t="n">
        <f aca="false">'INST. ESP'!E56</f>
        <v>0</v>
      </c>
      <c r="BH21" s="93" t="n">
        <f aca="false">'INST. ESP'!E57</f>
        <v>0</v>
      </c>
      <c r="BI21" s="93" t="n">
        <f aca="false">'INST. ESP'!E58</f>
        <v>0</v>
      </c>
      <c r="BJ21" s="93" t="n">
        <f aca="false">'INST. ESP'!E59</f>
        <v>0</v>
      </c>
      <c r="BK21" s="93" t="n">
        <f aca="false">'INST. ESP'!E60</f>
        <v>0</v>
      </c>
      <c r="BL21" s="93" t="n">
        <f aca="false">'INST. ESP'!E61</f>
        <v>0</v>
      </c>
      <c r="BM21" s="93" t="n">
        <f aca="false">'INST. ESP'!E62</f>
        <v>0</v>
      </c>
      <c r="BN21" s="93" t="n">
        <f aca="false">'INST. ESP'!E63</f>
        <v>0</v>
      </c>
      <c r="BO21" s="93" t="n">
        <f aca="false">'INST. ESP'!E64</f>
        <v>0</v>
      </c>
      <c r="BP21" s="93" t="n">
        <f aca="false">'INST. ESP'!E65</f>
        <v>0</v>
      </c>
      <c r="BQ21" s="93" t="n">
        <f aca="false">'INST. ESP'!E66</f>
        <v>0</v>
      </c>
      <c r="BR21" s="93" t="n">
        <f aca="false">'INST. ESP'!E67</f>
        <v>0</v>
      </c>
      <c r="BS21" s="93" t="n">
        <f aca="false">'INST. ESP'!E68</f>
        <v>0</v>
      </c>
      <c r="BT21" s="93" t="n">
        <f aca="false">'INST. ESP'!E69</f>
        <v>0</v>
      </c>
      <c r="BU21" s="93" t="n">
        <f aca="false">'INST. ESP'!E70</f>
        <v>0</v>
      </c>
      <c r="BV21" s="93" t="n">
        <f aca="false">'INST. ESP'!E71</f>
        <v>0</v>
      </c>
      <c r="BW21" s="93" t="n">
        <f aca="false">'INST. ESP'!E72</f>
        <v>0</v>
      </c>
      <c r="BX21" s="93" t="n">
        <f aca="false">'INST. ESP'!E73</f>
        <v>0</v>
      </c>
      <c r="BY21" s="93" t="n">
        <f aca="false">'INST. ESP'!E74</f>
        <v>0</v>
      </c>
      <c r="BZ21" s="93" t="n">
        <f aca="false">'INST. ESP'!E75</f>
        <v>0</v>
      </c>
      <c r="CA21" s="93" t="n">
        <f aca="false">'INST. ESP'!E76</f>
        <v>0</v>
      </c>
    </row>
    <row r="22" customFormat="false" ht="15" hidden="false" customHeight="false" outlineLevel="0" collapsed="false">
      <c r="A22" s="55" t="s">
        <v>280</v>
      </c>
      <c r="B22" s="55" t="s">
        <v>304</v>
      </c>
      <c r="C22" s="55" t="s">
        <v>171</v>
      </c>
      <c r="D22" s="56" t="n">
        <f aca="false">'INST. HIDRO'!$K$5</f>
        <v>5840.335322</v>
      </c>
      <c r="E22" s="45" t="n">
        <f aca="false">SUM(H22:CA22)</f>
        <v>6197.91801433758</v>
      </c>
      <c r="F22" s="45" t="n">
        <f aca="false">IF(D22="","",D22-E22)</f>
        <v>-357.582692337577</v>
      </c>
      <c r="H22" s="93" t="n">
        <f aca="false">'INST. HIDRO'!E5</f>
        <v>0</v>
      </c>
      <c r="I22" s="93" t="n">
        <f aca="false">'INST. HIDRO'!E6</f>
        <v>0</v>
      </c>
      <c r="J22" s="93" t="n">
        <f aca="false">'INST. HIDRO'!E7</f>
        <v>0</v>
      </c>
      <c r="K22" s="93" t="n">
        <f aca="false">'INST. HIDRO'!E8</f>
        <v>0</v>
      </c>
      <c r="L22" s="93" t="n">
        <f aca="false">'INST. HIDRO'!E9</f>
        <v>0</v>
      </c>
      <c r="M22" s="93" t="n">
        <f aca="false">'INST. HIDRO'!E10</f>
        <v>0</v>
      </c>
      <c r="N22" s="93" t="n">
        <f aca="false">'INST. HIDRO'!E11</f>
        <v>0</v>
      </c>
      <c r="O22" s="93" t="n">
        <f aca="false">'INST. HIDRO'!E12</f>
        <v>0</v>
      </c>
      <c r="P22" s="93" t="n">
        <f aca="false">'INST. HIDRO'!E13</f>
        <v>0</v>
      </c>
      <c r="Q22" s="93" t="n">
        <f aca="false">'INST. HIDRO'!E14</f>
        <v>0</v>
      </c>
      <c r="R22" s="93" t="n">
        <f aca="false">'INST. HIDRO'!E15</f>
        <v>0</v>
      </c>
      <c r="S22" s="93" t="n">
        <f aca="false">'INST. HIDRO'!E16</f>
        <v>0</v>
      </c>
      <c r="T22" s="93" t="n">
        <f aca="false">'INST. HIDRO'!E17</f>
        <v>0</v>
      </c>
      <c r="U22" s="93" t="n">
        <f aca="false">'INST. HIDRO'!E18</f>
        <v>0</v>
      </c>
      <c r="V22" s="93" t="n">
        <f aca="false">'INST. HIDRO'!E19</f>
        <v>0</v>
      </c>
      <c r="W22" s="93" t="n">
        <f aca="false">'INST. HIDRO'!E20</f>
        <v>0</v>
      </c>
      <c r="X22" s="93" t="n">
        <f aca="false">'INST. HIDRO'!E21</f>
        <v>0</v>
      </c>
      <c r="Y22" s="93" t="n">
        <f aca="false">'INST. HIDRO'!E22</f>
        <v>37.0398167931722</v>
      </c>
      <c r="Z22" s="93" t="n">
        <f aca="false">'INST. HIDRO'!E23</f>
        <v>19.9309642593045</v>
      </c>
      <c r="AA22" s="93" t="n">
        <f aca="false">'INST. HIDRO'!E24</f>
        <v>37.0424725887533</v>
      </c>
      <c r="AB22" s="93" t="n">
        <f aca="false">'INST. HIDRO'!E25</f>
        <v>45.4532114930422</v>
      </c>
      <c r="AC22" s="93" t="n">
        <f aca="false">'INST. HIDRO'!E26</f>
        <v>109.423847194289</v>
      </c>
      <c r="AD22" s="93" t="n">
        <f aca="false">'INST. HIDRO'!E27</f>
        <v>187.7636502093</v>
      </c>
      <c r="AE22" s="93" t="n">
        <f aca="false">'INST. HIDRO'!E28</f>
        <v>175.467828764885</v>
      </c>
      <c r="AF22" s="93" t="n">
        <f aca="false">'INST. HIDRO'!E29</f>
        <v>111.492353456036</v>
      </c>
      <c r="AG22" s="93" t="n">
        <f aca="false">'INST. HIDRO'!E30</f>
        <v>328.312874625986</v>
      </c>
      <c r="AH22" s="93" t="n">
        <f aca="false">'INST. HIDRO'!E31</f>
        <v>489.816873993168</v>
      </c>
      <c r="AI22" s="93" t="n">
        <f aca="false">'INST. HIDRO'!E32</f>
        <v>431.463239185318</v>
      </c>
      <c r="AJ22" s="93" t="n">
        <f aca="false">'INST. HIDRO'!E33</f>
        <v>464.471355844304</v>
      </c>
      <c r="AK22" s="93" t="n">
        <f aca="false">'INST. HIDRO'!E34</f>
        <v>455.629896024932</v>
      </c>
      <c r="AL22" s="93" t="n">
        <f aca="false">'INST. HIDRO'!E35</f>
        <v>483.333136792296</v>
      </c>
      <c r="AM22" s="93" t="n">
        <f aca="false">'INST. HIDRO'!E36</f>
        <v>513.394100178158</v>
      </c>
      <c r="AN22" s="93" t="n">
        <f aca="false">'INST. HIDRO'!E37</f>
        <v>469.186801081302</v>
      </c>
      <c r="AO22" s="93" t="n">
        <f aca="false">'INST. HIDRO'!E38</f>
        <v>369.573020449719</v>
      </c>
      <c r="AP22" s="93" t="n">
        <f aca="false">'INST. HIDRO'!E39</f>
        <v>345.406363610104</v>
      </c>
      <c r="AQ22" s="93" t="n">
        <f aca="false">'INST. HIDRO'!E40</f>
        <v>560.548552548139</v>
      </c>
      <c r="AR22" s="93" t="n">
        <f aca="false">'INST. HIDRO'!E41</f>
        <v>49.7735550672104</v>
      </c>
      <c r="AS22" s="93" t="n">
        <f aca="false">'INST. HIDRO'!E42</f>
        <v>80.7519996835903</v>
      </c>
      <c r="AT22" s="93" t="n">
        <f aca="false">'INST. HIDRO'!E43</f>
        <v>79.5731383743419</v>
      </c>
      <c r="AU22" s="93" t="n">
        <f aca="false">'INST. HIDRO'!E44</f>
        <v>117.88613092495</v>
      </c>
      <c r="AV22" s="93" t="n">
        <f aca="false">'INST. HIDRO'!E45</f>
        <v>28.8821020766125</v>
      </c>
      <c r="AW22" s="93" t="n">
        <f aca="false">'INST. HIDRO'!E46</f>
        <v>27.1138101127382</v>
      </c>
      <c r="AX22" s="93" t="n">
        <f aca="false">'INST. HIDRO'!E47</f>
        <v>0</v>
      </c>
      <c r="AY22" s="93" t="n">
        <f aca="false">'INST. HIDRO'!E48</f>
        <v>7.66259851012233</v>
      </c>
      <c r="AZ22" s="93" t="n">
        <f aca="false">'INST. HIDRO'!E49</f>
        <v>171.524320495802</v>
      </c>
      <c r="BA22" s="93" t="n">
        <f aca="false">'INST. HIDRO'!E50</f>
        <v>0</v>
      </c>
      <c r="BB22" s="93" t="n">
        <f aca="false">'INST. HIDRO'!E51</f>
        <v>0</v>
      </c>
      <c r="BC22" s="93" t="n">
        <f aca="false">'INST. HIDRO'!E52</f>
        <v>0</v>
      </c>
      <c r="BD22" s="93" t="n">
        <f aca="false">'INST. HIDRO'!E53</f>
        <v>0</v>
      </c>
      <c r="BE22" s="93" t="n">
        <f aca="false">'INST. HIDRO'!E54</f>
        <v>0</v>
      </c>
      <c r="BF22" s="93" t="n">
        <f aca="false">'INST. HIDRO'!E55</f>
        <v>0</v>
      </c>
      <c r="BG22" s="93" t="n">
        <f aca="false">'INST. HIDRO'!E56</f>
        <v>0</v>
      </c>
      <c r="BH22" s="93" t="n">
        <f aca="false">'INST. HIDRO'!E57</f>
        <v>0</v>
      </c>
      <c r="BI22" s="93" t="n">
        <f aca="false">'INST. HIDRO'!E58</f>
        <v>0</v>
      </c>
      <c r="BJ22" s="93" t="n">
        <f aca="false">'INST. HIDRO'!E59</f>
        <v>0</v>
      </c>
      <c r="BK22" s="93" t="n">
        <f aca="false">'INST. HIDRO'!E60</f>
        <v>0</v>
      </c>
      <c r="BL22" s="93" t="n">
        <f aca="false">'INST. HIDRO'!E61</f>
        <v>0</v>
      </c>
      <c r="BM22" s="93" t="n">
        <f aca="false">'INST. HIDRO'!E62</f>
        <v>0</v>
      </c>
      <c r="BN22" s="93" t="n">
        <f aca="false">'INST. HIDRO'!E63</f>
        <v>0</v>
      </c>
      <c r="BO22" s="93" t="n">
        <f aca="false">'INST. HIDRO'!E64</f>
        <v>0</v>
      </c>
      <c r="BP22" s="93" t="n">
        <f aca="false">'INST. HIDRO'!E65</f>
        <v>0</v>
      </c>
      <c r="BQ22" s="93" t="n">
        <f aca="false">'INST. HIDRO'!E66</f>
        <v>0</v>
      </c>
      <c r="BR22" s="93" t="n">
        <f aca="false">'INST. HIDRO'!E67</f>
        <v>0</v>
      </c>
      <c r="BS22" s="93" t="n">
        <f aca="false">'INST. HIDRO'!E68</f>
        <v>0</v>
      </c>
      <c r="BT22" s="93" t="n">
        <f aca="false">'INST. HIDRO'!E69</f>
        <v>0</v>
      </c>
      <c r="BU22" s="93" t="n">
        <f aca="false">'INST. HIDRO'!E70</f>
        <v>0</v>
      </c>
      <c r="BV22" s="93" t="n">
        <f aca="false">'INST. HIDRO'!E71</f>
        <v>0</v>
      </c>
      <c r="BW22" s="93" t="n">
        <f aca="false">'INST. HIDRO'!E72</f>
        <v>0</v>
      </c>
      <c r="BX22" s="93" t="n">
        <f aca="false">'INST. HIDRO'!E73</f>
        <v>0</v>
      </c>
      <c r="BY22" s="93" t="n">
        <f aca="false">'INST. HIDRO'!E74</f>
        <v>0</v>
      </c>
      <c r="BZ22" s="93" t="n">
        <f aca="false">'INST. HIDRO'!E75</f>
        <v>0</v>
      </c>
      <c r="CA22" s="93" t="n">
        <f aca="false">'INST. HIDRO'!E76</f>
        <v>0</v>
      </c>
    </row>
    <row r="23" customFormat="false" ht="15" hidden="false" customHeight="false" outlineLevel="0" collapsed="false">
      <c r="A23" s="55" t="s">
        <v>280</v>
      </c>
      <c r="B23" s="55" t="s">
        <v>305</v>
      </c>
      <c r="C23" s="55" t="s">
        <v>306</v>
      </c>
      <c r="E23" s="45" t="n">
        <f aca="false">SUM(H23:CA23)</f>
        <v>0</v>
      </c>
      <c r="F23" s="45" t="str">
        <f aca="false">IF(D23="","",D23-E23)</f>
        <v/>
      </c>
    </row>
    <row r="24" customFormat="false" ht="15" hidden="false" customHeight="false" outlineLevel="0" collapsed="false">
      <c r="A24" s="55" t="s">
        <v>280</v>
      </c>
      <c r="B24" s="55" t="s">
        <v>307</v>
      </c>
      <c r="C24" s="55" t="s">
        <v>211</v>
      </c>
      <c r="D24" s="56" t="n">
        <f aca="false">LOUÇAS!$K$5</f>
        <v>1698.456282</v>
      </c>
      <c r="E24" s="45" t="n">
        <f aca="false">SUM(H24:CA24)</f>
        <v>1696.89081612388</v>
      </c>
      <c r="F24" s="45" t="n">
        <f aca="false">IF(D24="","",D24-E24)</f>
        <v>1.56546587612388</v>
      </c>
      <c r="H24" s="93" t="n">
        <f aca="false">LOUÇAS!E5</f>
        <v>0</v>
      </c>
      <c r="I24" s="93" t="n">
        <f aca="false">LOUÇAS!E6</f>
        <v>0</v>
      </c>
      <c r="J24" s="93" t="n">
        <f aca="false">LOUÇAS!E7</f>
        <v>0</v>
      </c>
      <c r="K24" s="93" t="n">
        <f aca="false">LOUÇAS!E8</f>
        <v>0</v>
      </c>
      <c r="L24" s="93" t="n">
        <f aca="false">LOUÇAS!E9</f>
        <v>0</v>
      </c>
      <c r="M24" s="93" t="n">
        <f aca="false">LOUÇAS!E10</f>
        <v>0</v>
      </c>
      <c r="N24" s="93" t="n">
        <f aca="false">LOUÇAS!E11</f>
        <v>0</v>
      </c>
      <c r="O24" s="93" t="n">
        <f aca="false">LOUÇAS!E12</f>
        <v>0</v>
      </c>
      <c r="P24" s="93" t="n">
        <f aca="false">LOUÇAS!E13</f>
        <v>0</v>
      </c>
      <c r="Q24" s="93" t="n">
        <f aca="false">LOUÇAS!E14</f>
        <v>0</v>
      </c>
      <c r="R24" s="93" t="n">
        <f aca="false">LOUÇAS!E15</f>
        <v>0</v>
      </c>
      <c r="S24" s="93" t="n">
        <f aca="false">LOUÇAS!E16</f>
        <v>0</v>
      </c>
      <c r="T24" s="93" t="n">
        <f aca="false">LOUÇAS!E17</f>
        <v>0</v>
      </c>
      <c r="U24" s="93" t="n">
        <f aca="false">LOUÇAS!E18</f>
        <v>0</v>
      </c>
      <c r="V24" s="93" t="n">
        <f aca="false">LOUÇAS!E19</f>
        <v>0</v>
      </c>
      <c r="W24" s="93" t="n">
        <f aca="false">LOUÇAS!E20</f>
        <v>0</v>
      </c>
      <c r="X24" s="93" t="n">
        <f aca="false">LOUÇAS!E21</f>
        <v>0</v>
      </c>
      <c r="Y24" s="93" t="n">
        <f aca="false">LOUÇAS!E22</f>
        <v>0</v>
      </c>
      <c r="Z24" s="93" t="n">
        <f aca="false">LOUÇAS!E23</f>
        <v>0</v>
      </c>
      <c r="AA24" s="93" t="n">
        <f aca="false">LOUÇAS!E24</f>
        <v>0</v>
      </c>
      <c r="AB24" s="93" t="n">
        <f aca="false">LOUÇAS!E25</f>
        <v>0</v>
      </c>
      <c r="AC24" s="93" t="n">
        <f aca="false">LOUÇAS!E26</f>
        <v>0</v>
      </c>
      <c r="AD24" s="93" t="n">
        <f aca="false">LOUÇAS!E27</f>
        <v>4.37782942989965</v>
      </c>
      <c r="AE24" s="93" t="n">
        <f aca="false">LOUÇAS!E28</f>
        <v>4.43553318956888</v>
      </c>
      <c r="AF24" s="93" t="n">
        <f aca="false">LOUÇAS!E29</f>
        <v>4.37782942989965</v>
      </c>
      <c r="AG24" s="93" t="n">
        <f aca="false">LOUÇAS!E30</f>
        <v>0</v>
      </c>
      <c r="AH24" s="93" t="n">
        <f aca="false">LOUÇAS!E31</f>
        <v>0</v>
      </c>
      <c r="AI24" s="93" t="n">
        <f aca="false">LOUÇAS!E32</f>
        <v>8.75565885979931</v>
      </c>
      <c r="AJ24" s="93" t="n">
        <f aca="false">LOUÇAS!E33</f>
        <v>0</v>
      </c>
      <c r="AK24" s="93" t="n">
        <f aca="false">LOUÇAS!E34</f>
        <v>0</v>
      </c>
      <c r="AL24" s="93" t="n">
        <f aca="false">LOUÇAS!E35</f>
        <v>0</v>
      </c>
      <c r="AM24" s="93" t="n">
        <f aca="false">LOUÇAS!E36</f>
        <v>0</v>
      </c>
      <c r="AN24" s="93" t="n">
        <f aca="false">LOUÇAS!E37</f>
        <v>6.210409191253</v>
      </c>
      <c r="AO24" s="93" t="n">
        <f aca="false">LOUÇAS!E38</f>
        <v>24.1629035200663</v>
      </c>
      <c r="AP24" s="93" t="n">
        <f aca="false">LOUÇAS!E39</f>
        <v>56.0294293702661</v>
      </c>
      <c r="AQ24" s="93" t="n">
        <f aca="false">LOUÇAS!E40</f>
        <v>81.7194826914602</v>
      </c>
      <c r="AR24" s="93" t="n">
        <f aca="false">LOUÇAS!E41</f>
        <v>117.149358077625</v>
      </c>
      <c r="AS24" s="93" t="n">
        <f aca="false">LOUÇAS!E42</f>
        <v>135.678775664642</v>
      </c>
      <c r="AT24" s="93" t="n">
        <f aca="false">LOUÇAS!E43</f>
        <v>166.730821620907</v>
      </c>
      <c r="AU24" s="93" t="n">
        <f aca="false">LOUÇAS!E44</f>
        <v>179.69462659937</v>
      </c>
      <c r="AV24" s="93" t="n">
        <f aca="false">LOUÇAS!E45</f>
        <v>180.169739870832</v>
      </c>
      <c r="AW24" s="93" t="n">
        <f aca="false">LOUÇAS!E46</f>
        <v>213.088302250697</v>
      </c>
      <c r="AX24" s="93" t="n">
        <f aca="false">LOUÇAS!E47</f>
        <v>153.665206655703</v>
      </c>
      <c r="AY24" s="93" t="n">
        <f aca="false">LOUÇAS!E48</f>
        <v>118.269267931785</v>
      </c>
      <c r="AZ24" s="93" t="n">
        <f aca="false">LOUÇAS!E49</f>
        <v>86.9457286775419</v>
      </c>
      <c r="BA24" s="93" t="n">
        <f aca="false">LOUÇAS!E50</f>
        <v>76.7647300033567</v>
      </c>
      <c r="BB24" s="93" t="n">
        <f aca="false">LOUÇAS!E51</f>
        <v>58.8461723367907</v>
      </c>
      <c r="BC24" s="93" t="n">
        <f aca="false">LOUÇAS!E52</f>
        <v>19.819010752414</v>
      </c>
      <c r="BD24" s="93" t="n">
        <f aca="false">LOUÇAS!E53</f>
        <v>0</v>
      </c>
      <c r="BE24" s="93" t="n">
        <f aca="false">LOUÇAS!E54</f>
        <v>0</v>
      </c>
      <c r="BF24" s="93" t="n">
        <f aca="false">LOUÇAS!E55</f>
        <v>0</v>
      </c>
      <c r="BG24" s="93" t="n">
        <f aca="false">LOUÇAS!E56</f>
        <v>0</v>
      </c>
      <c r="BH24" s="93" t="n">
        <f aca="false">LOUÇAS!E57</f>
        <v>0</v>
      </c>
      <c r="BI24" s="93" t="n">
        <f aca="false">LOUÇAS!E58</f>
        <v>0</v>
      </c>
      <c r="BJ24" s="93" t="n">
        <f aca="false">LOUÇAS!E59</f>
        <v>0</v>
      </c>
      <c r="BK24" s="93" t="n">
        <f aca="false">LOUÇAS!E60</f>
        <v>0</v>
      </c>
      <c r="BL24" s="93" t="n">
        <f aca="false">LOUÇAS!E61</f>
        <v>0</v>
      </c>
      <c r="BM24" s="93" t="n">
        <f aca="false">LOUÇAS!E62</f>
        <v>0</v>
      </c>
      <c r="BN24" s="93" t="n">
        <f aca="false">LOUÇAS!E63</f>
        <v>0</v>
      </c>
      <c r="BO24" s="93" t="n">
        <f aca="false">LOUÇAS!E64</f>
        <v>0</v>
      </c>
      <c r="BP24" s="93" t="n">
        <f aca="false">LOUÇAS!E65</f>
        <v>0</v>
      </c>
      <c r="BQ24" s="93" t="n">
        <f aca="false">LOUÇAS!E66</f>
        <v>0</v>
      </c>
      <c r="BR24" s="93" t="n">
        <f aca="false">LOUÇAS!E67</f>
        <v>0</v>
      </c>
      <c r="BS24" s="93" t="n">
        <f aca="false">LOUÇAS!E68</f>
        <v>0</v>
      </c>
      <c r="BT24" s="93" t="n">
        <f aca="false">LOUÇAS!E69</f>
        <v>0</v>
      </c>
      <c r="BU24" s="93" t="n">
        <f aca="false">LOUÇAS!E70</f>
        <v>0</v>
      </c>
      <c r="BV24" s="93" t="n">
        <f aca="false">LOUÇAS!E71</f>
        <v>0</v>
      </c>
      <c r="BW24" s="93" t="n">
        <f aca="false">LOUÇAS!E72</f>
        <v>0</v>
      </c>
      <c r="BX24" s="93" t="n">
        <f aca="false">LOUÇAS!E73</f>
        <v>0</v>
      </c>
      <c r="BY24" s="93" t="n">
        <f aca="false">LOUÇAS!E74</f>
        <v>0</v>
      </c>
      <c r="BZ24" s="93" t="n">
        <f aca="false">LOUÇAS!E75</f>
        <v>0</v>
      </c>
      <c r="CA24" s="93" t="n">
        <f aca="false">LOUÇAS!E76</f>
        <v>0</v>
      </c>
    </row>
    <row r="25" customFormat="false" ht="15" hidden="false" customHeight="false" outlineLevel="0" collapsed="false">
      <c r="A25" s="55" t="s">
        <v>280</v>
      </c>
      <c r="B25" s="55" t="s">
        <v>308</v>
      </c>
      <c r="C25" s="55" t="s">
        <v>220</v>
      </c>
      <c r="D25" s="56" t="n">
        <f aca="false">LIMPEZA!$K$5</f>
        <v>733.173799</v>
      </c>
      <c r="E25" s="45" t="n">
        <f aca="false">SUM(H25:CA25)</f>
        <v>732.49801030216</v>
      </c>
      <c r="F25" s="45" t="n">
        <f aca="false">IF(D25="","",D25-E25)</f>
        <v>0.675788697840176</v>
      </c>
      <c r="H25" s="93" t="n">
        <f aca="false">LIMPEZA!E5</f>
        <v>0</v>
      </c>
      <c r="I25" s="93" t="n">
        <f aca="false">LIMPEZA!E6</f>
        <v>0</v>
      </c>
      <c r="J25" s="93" t="n">
        <f aca="false">LIMPEZA!E7</f>
        <v>0</v>
      </c>
      <c r="K25" s="93" t="n">
        <f aca="false">LIMPEZA!E8</f>
        <v>0</v>
      </c>
      <c r="L25" s="93" t="n">
        <f aca="false">LIMPEZA!E9</f>
        <v>0</v>
      </c>
      <c r="M25" s="93" t="n">
        <f aca="false">LIMPEZA!E10</f>
        <v>0</v>
      </c>
      <c r="N25" s="93" t="n">
        <f aca="false">LIMPEZA!E11</f>
        <v>0</v>
      </c>
      <c r="O25" s="93" t="n">
        <f aca="false">LIMPEZA!E12</f>
        <v>0</v>
      </c>
      <c r="P25" s="93" t="n">
        <f aca="false">LIMPEZA!E13</f>
        <v>0</v>
      </c>
      <c r="Q25" s="93" t="n">
        <f aca="false">LIMPEZA!E14</f>
        <v>0</v>
      </c>
      <c r="R25" s="93" t="n">
        <f aca="false">LIMPEZA!E15</f>
        <v>0</v>
      </c>
      <c r="S25" s="93" t="n">
        <f aca="false">LIMPEZA!E16</f>
        <v>0</v>
      </c>
      <c r="T25" s="93" t="n">
        <f aca="false">LIMPEZA!E17</f>
        <v>0</v>
      </c>
      <c r="U25" s="93" t="n">
        <f aca="false">LIMPEZA!E18</f>
        <v>0</v>
      </c>
      <c r="V25" s="93" t="n">
        <f aca="false">LIMPEZA!E19</f>
        <v>0</v>
      </c>
      <c r="W25" s="93" t="n">
        <f aca="false">LIMPEZA!E20</f>
        <v>0</v>
      </c>
      <c r="X25" s="93" t="n">
        <f aca="false">LIMPEZA!E21</f>
        <v>0</v>
      </c>
      <c r="Y25" s="93" t="n">
        <f aca="false">LIMPEZA!E22</f>
        <v>0</v>
      </c>
      <c r="Z25" s="93" t="n">
        <f aca="false">LIMPEZA!E23</f>
        <v>0</v>
      </c>
      <c r="AA25" s="93" t="n">
        <f aca="false">LIMPEZA!E24</f>
        <v>0</v>
      </c>
      <c r="AB25" s="93" t="n">
        <f aca="false">LIMPEZA!E25</f>
        <v>0</v>
      </c>
      <c r="AC25" s="93" t="n">
        <f aca="false">LIMPEZA!E26</f>
        <v>0</v>
      </c>
      <c r="AD25" s="93" t="n">
        <f aca="false">LIMPEZA!E27</f>
        <v>0</v>
      </c>
      <c r="AE25" s="93" t="n">
        <f aca="false">LIMPEZA!E28</f>
        <v>0</v>
      </c>
      <c r="AF25" s="93" t="n">
        <f aca="false">LIMPEZA!E29</f>
        <v>0</v>
      </c>
      <c r="AG25" s="93" t="n">
        <f aca="false">LIMPEZA!E30</f>
        <v>0</v>
      </c>
      <c r="AH25" s="93" t="n">
        <f aca="false">LIMPEZA!E31</f>
        <v>0</v>
      </c>
      <c r="AI25" s="93" t="n">
        <f aca="false">LIMPEZA!E32</f>
        <v>2.41724343399713</v>
      </c>
      <c r="AJ25" s="93" t="n">
        <f aca="false">LIMPEZA!E33</f>
        <v>1.09874701545324</v>
      </c>
      <c r="AK25" s="93" t="n">
        <f aca="false">LIMPEZA!E34</f>
        <v>0</v>
      </c>
      <c r="AL25" s="93" t="n">
        <f aca="false">LIMPEZA!E35</f>
        <v>1.53824582163454</v>
      </c>
      <c r="AM25" s="93" t="n">
        <f aca="false">LIMPEZA!E36</f>
        <v>15.3092084153151</v>
      </c>
      <c r="AN25" s="93" t="n">
        <f aca="false">LIMPEZA!E37</f>
        <v>29.7394192182677</v>
      </c>
      <c r="AO25" s="93" t="n">
        <f aca="false">LIMPEZA!E38</f>
        <v>15.2359586142849</v>
      </c>
      <c r="AP25" s="93" t="n">
        <f aca="false">LIMPEZA!E39</f>
        <v>21.9016905080346</v>
      </c>
      <c r="AQ25" s="93" t="n">
        <f aca="false">LIMPEZA!E40</f>
        <v>1.90449482678561</v>
      </c>
      <c r="AR25" s="93" t="n">
        <f aca="false">LIMPEZA!E41</f>
        <v>0.4394988061813</v>
      </c>
      <c r="AS25" s="93" t="n">
        <f aca="false">LIMPEZA!E42</f>
        <v>0.878997612362586</v>
      </c>
      <c r="AT25" s="93" t="n">
        <f aca="false">LIMPEZA!E43</f>
        <v>20.2901948853698</v>
      </c>
      <c r="AU25" s="93" t="n">
        <f aca="false">LIMPEZA!E44</f>
        <v>54.7908511706016</v>
      </c>
      <c r="AV25" s="93" t="n">
        <f aca="false">LIMPEZA!E45</f>
        <v>64.7528241107109</v>
      </c>
      <c r="AW25" s="93" t="n">
        <f aca="false">LIMPEZA!E46</f>
        <v>123.499164536944</v>
      </c>
      <c r="AX25" s="93" t="n">
        <f aca="false">LIMPEZA!E47</f>
        <v>84.0175217816578</v>
      </c>
      <c r="AY25" s="93" t="n">
        <f aca="false">LIMPEZA!E48</f>
        <v>60.9438344571397</v>
      </c>
      <c r="AZ25" s="93" t="n">
        <f aca="false">LIMPEZA!E49</f>
        <v>85.7755170063829</v>
      </c>
      <c r="BA25" s="93" t="n">
        <f aca="false">LIMPEZA!E50</f>
        <v>55.596598981934</v>
      </c>
      <c r="BB25" s="93" t="n">
        <f aca="false">LIMPEZA!E51</f>
        <v>49.2238662923051</v>
      </c>
      <c r="BC25" s="93" t="n">
        <f aca="false">LIMPEZA!E52</f>
        <v>36.2586515099569</v>
      </c>
      <c r="BD25" s="93" t="n">
        <f aca="false">LIMPEZA!E53</f>
        <v>6.88548129684029</v>
      </c>
      <c r="BE25" s="93" t="n">
        <f aca="false">LIMPEZA!E54</f>
        <v>0</v>
      </c>
      <c r="BF25" s="93" t="n">
        <f aca="false">LIMPEZA!E55</f>
        <v>0</v>
      </c>
      <c r="BG25" s="93" t="n">
        <f aca="false">LIMPEZA!E56</f>
        <v>0</v>
      </c>
      <c r="BH25" s="93" t="n">
        <f aca="false">LIMPEZA!E57</f>
        <v>0</v>
      </c>
      <c r="BI25" s="93" t="n">
        <f aca="false">LIMPEZA!E58</f>
        <v>0</v>
      </c>
      <c r="BJ25" s="93" t="n">
        <f aca="false">LIMPEZA!E59</f>
        <v>0</v>
      </c>
      <c r="BK25" s="93" t="n">
        <f aca="false">LIMPEZA!E60</f>
        <v>0</v>
      </c>
      <c r="BL25" s="93" t="n">
        <f aca="false">LIMPEZA!E61</f>
        <v>0</v>
      </c>
      <c r="BM25" s="93" t="n">
        <f aca="false">LIMPEZA!E62</f>
        <v>0</v>
      </c>
      <c r="BN25" s="93" t="n">
        <f aca="false">LIMPEZA!E63</f>
        <v>0</v>
      </c>
      <c r="BO25" s="93" t="n">
        <f aca="false">LIMPEZA!E64</f>
        <v>0</v>
      </c>
      <c r="BP25" s="93" t="n">
        <f aca="false">LIMPEZA!E65</f>
        <v>0</v>
      </c>
      <c r="BQ25" s="93" t="n">
        <f aca="false">LIMPEZA!E66</f>
        <v>0</v>
      </c>
      <c r="BR25" s="93" t="n">
        <f aca="false">LIMPEZA!E67</f>
        <v>0</v>
      </c>
      <c r="BS25" s="93" t="n">
        <f aca="false">LIMPEZA!E68</f>
        <v>0</v>
      </c>
      <c r="BT25" s="93" t="n">
        <f aca="false">LIMPEZA!E69</f>
        <v>0</v>
      </c>
      <c r="BU25" s="93" t="n">
        <f aca="false">LIMPEZA!E70</f>
        <v>0</v>
      </c>
      <c r="BV25" s="93" t="n">
        <f aca="false">LIMPEZA!E71</f>
        <v>0</v>
      </c>
      <c r="BW25" s="93" t="n">
        <f aca="false">LIMPEZA!E72</f>
        <v>0</v>
      </c>
      <c r="BX25" s="93" t="n">
        <f aca="false">LIMPEZA!E73</f>
        <v>0</v>
      </c>
      <c r="BY25" s="93" t="n">
        <f aca="false">LIMPEZA!E74</f>
        <v>0</v>
      </c>
      <c r="BZ25" s="93" t="n">
        <f aca="false">LIMPEZA!E75</f>
        <v>0</v>
      </c>
      <c r="CA25" s="93" t="n">
        <f aca="false">LIMPEZA!E76</f>
        <v>0</v>
      </c>
    </row>
    <row r="26" customFormat="false" ht="15" hidden="false" customHeight="false" outlineLevel="0" collapsed="false">
      <c r="A26" s="55" t="s">
        <v>280</v>
      </c>
      <c r="B26" s="55" t="s">
        <v>309</v>
      </c>
      <c r="C26" s="55" t="s">
        <v>189</v>
      </c>
      <c r="D26" s="56" t="n">
        <f aca="false">MARCENARIA!$K$5</f>
        <v>1533.46679</v>
      </c>
      <c r="E26" s="45" t="n">
        <f aca="false">SUM(H26:CA26)</f>
        <v>1532.05334679375</v>
      </c>
      <c r="F26" s="45" t="n">
        <f aca="false">IF(D26="","",D26-E26)</f>
        <v>1.41344320624762</v>
      </c>
      <c r="H26" s="93" t="n">
        <f aca="false">MARCENARIA!E5</f>
        <v>0</v>
      </c>
      <c r="I26" s="93" t="n">
        <f aca="false">MARCENARIA!E6</f>
        <v>0</v>
      </c>
      <c r="J26" s="93" t="n">
        <f aca="false">MARCENARIA!E7</f>
        <v>0</v>
      </c>
      <c r="K26" s="93" t="n">
        <f aca="false">MARCENARIA!E8</f>
        <v>0</v>
      </c>
      <c r="L26" s="93" t="n">
        <f aca="false">MARCENARIA!E9</f>
        <v>0</v>
      </c>
      <c r="M26" s="93" t="n">
        <f aca="false">MARCENARIA!E10</f>
        <v>0</v>
      </c>
      <c r="N26" s="93" t="n">
        <f aca="false">MARCENARIA!E11</f>
        <v>0</v>
      </c>
      <c r="O26" s="93" t="n">
        <f aca="false">MARCENARIA!E12</f>
        <v>0</v>
      </c>
      <c r="P26" s="93" t="n">
        <f aca="false">MARCENARIA!E13</f>
        <v>0</v>
      </c>
      <c r="Q26" s="93" t="n">
        <f aca="false">MARCENARIA!E14</f>
        <v>0</v>
      </c>
      <c r="R26" s="93" t="n">
        <f aca="false">MARCENARIA!E15</f>
        <v>0</v>
      </c>
      <c r="S26" s="93" t="n">
        <f aca="false">MARCENARIA!E16</f>
        <v>0</v>
      </c>
      <c r="T26" s="93" t="n">
        <f aca="false">MARCENARIA!E17</f>
        <v>0</v>
      </c>
      <c r="U26" s="93" t="n">
        <f aca="false">MARCENARIA!E18</f>
        <v>0</v>
      </c>
      <c r="V26" s="93" t="n">
        <f aca="false">MARCENARIA!E19</f>
        <v>0</v>
      </c>
      <c r="W26" s="93" t="n">
        <f aca="false">MARCENARIA!E20</f>
        <v>0</v>
      </c>
      <c r="X26" s="93" t="n">
        <f aca="false">MARCENARIA!E21</f>
        <v>0</v>
      </c>
      <c r="Y26" s="93" t="n">
        <f aca="false">MARCENARIA!E22</f>
        <v>0</v>
      </c>
      <c r="Z26" s="93" t="n">
        <f aca="false">MARCENARIA!E23</f>
        <v>0</v>
      </c>
      <c r="AA26" s="93" t="n">
        <f aca="false">MARCENARIA!E24</f>
        <v>0</v>
      </c>
      <c r="AB26" s="93" t="n">
        <f aca="false">MARCENARIA!E25</f>
        <v>0</v>
      </c>
      <c r="AC26" s="93" t="n">
        <f aca="false">MARCENARIA!E26</f>
        <v>0</v>
      </c>
      <c r="AD26" s="93" t="n">
        <f aca="false">MARCENARIA!E27</f>
        <v>0</v>
      </c>
      <c r="AE26" s="93" t="n">
        <f aca="false">MARCENARIA!E28</f>
        <v>0</v>
      </c>
      <c r="AF26" s="93" t="n">
        <f aca="false">MARCENARIA!E29</f>
        <v>0</v>
      </c>
      <c r="AG26" s="93" t="n">
        <f aca="false">MARCENARIA!E30</f>
        <v>0</v>
      </c>
      <c r="AH26" s="93" t="n">
        <f aca="false">MARCENARIA!E31</f>
        <v>0</v>
      </c>
      <c r="AI26" s="93" t="n">
        <f aca="false">MARCENARIA!E32</f>
        <v>0</v>
      </c>
      <c r="AJ26" s="93" t="n">
        <f aca="false">MARCENARIA!E33</f>
        <v>0</v>
      </c>
      <c r="AK26" s="93" t="n">
        <f aca="false">MARCENARIA!E34</f>
        <v>0</v>
      </c>
      <c r="AL26" s="93" t="n">
        <f aca="false">MARCENARIA!E35</f>
        <v>0</v>
      </c>
      <c r="AM26" s="93" t="n">
        <f aca="false">MARCENARIA!E36</f>
        <v>119.959777053951</v>
      </c>
      <c r="AN26" s="93" t="n">
        <f aca="false">MARCENARIA!E37</f>
        <v>228.735564676307</v>
      </c>
      <c r="AO26" s="93" t="n">
        <f aca="false">MARCENARIA!E38</f>
        <v>0</v>
      </c>
      <c r="AP26" s="93" t="n">
        <f aca="false">MARCENARIA!E39</f>
        <v>0</v>
      </c>
      <c r="AQ26" s="93" t="n">
        <f aca="false">MARCENARIA!E40</f>
        <v>0</v>
      </c>
      <c r="AR26" s="93" t="n">
        <f aca="false">MARCENARIA!E41</f>
        <v>0</v>
      </c>
      <c r="AS26" s="93" t="n">
        <f aca="false">MARCENARIA!E42</f>
        <v>86.4078087591676</v>
      </c>
      <c r="AT26" s="93" t="n">
        <f aca="false">MARCENARIA!E43</f>
        <v>103.413600908578</v>
      </c>
      <c r="AU26" s="93" t="n">
        <f aca="false">MARCENARIA!E44</f>
        <v>189.055382994349</v>
      </c>
      <c r="AV26" s="93" t="n">
        <f aca="false">MARCENARIA!E45</f>
        <v>99.7366728762733</v>
      </c>
      <c r="AW26" s="93" t="n">
        <f aca="false">MARCENARIA!E46</f>
        <v>128.845686465355</v>
      </c>
      <c r="AX26" s="93" t="n">
        <f aca="false">MARCENARIA!E47</f>
        <v>115.823233017608</v>
      </c>
      <c r="AY26" s="93" t="n">
        <f aca="false">MARCENARIA!E48</f>
        <v>207.286817821195</v>
      </c>
      <c r="AZ26" s="93" t="n">
        <f aca="false">MARCENARIA!E49</f>
        <v>156.269441372963</v>
      </c>
      <c r="BA26" s="93" t="n">
        <f aca="false">MARCENARIA!E50</f>
        <v>86.4078087591677</v>
      </c>
      <c r="BB26" s="93" t="n">
        <f aca="false">MARCENARIA!E51</f>
        <v>10.1115520888387</v>
      </c>
      <c r="BC26" s="93" t="n">
        <f aca="false">MARCENARIA!E52</f>
        <v>0</v>
      </c>
      <c r="BD26" s="93" t="n">
        <f aca="false">MARCENARIA!E53</f>
        <v>0</v>
      </c>
      <c r="BE26" s="93" t="n">
        <f aca="false">MARCENARIA!E54</f>
        <v>0</v>
      </c>
      <c r="BF26" s="93" t="n">
        <f aca="false">MARCENARIA!E55</f>
        <v>0</v>
      </c>
      <c r="BG26" s="93" t="n">
        <f aca="false">MARCENARIA!E56</f>
        <v>0</v>
      </c>
      <c r="BH26" s="93" t="n">
        <f aca="false">MARCENARIA!E57</f>
        <v>0</v>
      </c>
      <c r="BI26" s="93" t="n">
        <f aca="false">MARCENARIA!E58</f>
        <v>0</v>
      </c>
      <c r="BJ26" s="93" t="n">
        <f aca="false">MARCENARIA!E59</f>
        <v>0</v>
      </c>
      <c r="BK26" s="93" t="n">
        <f aca="false">MARCENARIA!E60</f>
        <v>0</v>
      </c>
      <c r="BL26" s="93" t="n">
        <f aca="false">MARCENARIA!E61</f>
        <v>0</v>
      </c>
      <c r="BM26" s="93" t="n">
        <f aca="false">MARCENARIA!E62</f>
        <v>0</v>
      </c>
      <c r="BN26" s="93" t="n">
        <f aca="false">MARCENARIA!E63</f>
        <v>0</v>
      </c>
      <c r="BO26" s="93" t="n">
        <f aca="false">MARCENARIA!E64</f>
        <v>0</v>
      </c>
      <c r="BP26" s="93" t="n">
        <f aca="false">MARCENARIA!E65</f>
        <v>0</v>
      </c>
      <c r="BQ26" s="93" t="n">
        <f aca="false">MARCENARIA!E66</f>
        <v>0</v>
      </c>
      <c r="BR26" s="93" t="n">
        <f aca="false">MARCENARIA!E67</f>
        <v>0</v>
      </c>
      <c r="BS26" s="93" t="n">
        <f aca="false">MARCENARIA!E68</f>
        <v>0</v>
      </c>
      <c r="BT26" s="93" t="n">
        <f aca="false">MARCENARIA!E69</f>
        <v>0</v>
      </c>
      <c r="BU26" s="93" t="n">
        <f aca="false">MARCENARIA!E70</f>
        <v>0</v>
      </c>
      <c r="BV26" s="93" t="n">
        <f aca="false">MARCENARIA!E71</f>
        <v>0</v>
      </c>
      <c r="BW26" s="93" t="n">
        <f aca="false">MARCENARIA!E72</f>
        <v>0</v>
      </c>
      <c r="BX26" s="93" t="n">
        <f aca="false">MARCENARIA!E73</f>
        <v>0</v>
      </c>
      <c r="BY26" s="93" t="n">
        <f aca="false">MARCENARIA!E74</f>
        <v>0</v>
      </c>
      <c r="BZ26" s="93" t="n">
        <f aca="false">MARCENARIA!E75</f>
        <v>0</v>
      </c>
      <c r="CA26" s="93" t="n">
        <f aca="false">MARCENARIA!E76</f>
        <v>0</v>
      </c>
    </row>
    <row r="27" customFormat="false" ht="15" hidden="false" customHeight="false" outlineLevel="0" collapsed="false">
      <c r="A27" s="55" t="s">
        <v>280</v>
      </c>
      <c r="B27" s="55" t="s">
        <v>310</v>
      </c>
      <c r="C27" s="55" t="s">
        <v>217</v>
      </c>
      <c r="D27" s="56" t="n">
        <f aca="false">PAISAGISMO!$K$5</f>
        <v>741.392613</v>
      </c>
      <c r="E27" s="45" t="n">
        <f aca="false">SUM(H27:CA27)</f>
        <v>740.709248770112</v>
      </c>
      <c r="F27" s="45" t="n">
        <f aca="false">IF(D27="","",D27-E27)</f>
        <v>0.683364229887843</v>
      </c>
      <c r="H27" s="93" t="n">
        <f aca="false">PAISAGISMO!E5</f>
        <v>0</v>
      </c>
      <c r="I27" s="93" t="n">
        <f aca="false">PAISAGISMO!E6</f>
        <v>0</v>
      </c>
      <c r="J27" s="93" t="n">
        <f aca="false">PAISAGISMO!E7</f>
        <v>0</v>
      </c>
      <c r="K27" s="93" t="n">
        <f aca="false">PAISAGISMO!E8</f>
        <v>0</v>
      </c>
      <c r="L27" s="93" t="n">
        <f aca="false">PAISAGISMO!E9</f>
        <v>0</v>
      </c>
      <c r="M27" s="93" t="n">
        <f aca="false">PAISAGISMO!E10</f>
        <v>0</v>
      </c>
      <c r="N27" s="93" t="n">
        <f aca="false">PAISAGISMO!E11</f>
        <v>0</v>
      </c>
      <c r="O27" s="93" t="n">
        <f aca="false">PAISAGISMO!E12</f>
        <v>0</v>
      </c>
      <c r="P27" s="93" t="n">
        <f aca="false">PAISAGISMO!E13</f>
        <v>0</v>
      </c>
      <c r="Q27" s="93" t="n">
        <f aca="false">PAISAGISMO!E14</f>
        <v>0</v>
      </c>
      <c r="R27" s="93" t="n">
        <f aca="false">PAISAGISMO!E15</f>
        <v>0</v>
      </c>
      <c r="S27" s="93" t="n">
        <f aca="false">PAISAGISMO!E16</f>
        <v>0</v>
      </c>
      <c r="T27" s="93" t="n">
        <f aca="false">PAISAGISMO!E17</f>
        <v>0</v>
      </c>
      <c r="U27" s="93" t="n">
        <f aca="false">PAISAGISMO!E18</f>
        <v>0</v>
      </c>
      <c r="V27" s="93" t="n">
        <f aca="false">PAISAGISMO!E19</f>
        <v>0</v>
      </c>
      <c r="W27" s="93" t="n">
        <f aca="false">PAISAGISMO!E20</f>
        <v>0</v>
      </c>
      <c r="X27" s="93" t="n">
        <f aca="false">PAISAGISMO!E21</f>
        <v>0</v>
      </c>
      <c r="Y27" s="93" t="n">
        <f aca="false">PAISAGISMO!E22</f>
        <v>0</v>
      </c>
      <c r="Z27" s="93" t="n">
        <f aca="false">PAISAGISMO!E23</f>
        <v>0</v>
      </c>
      <c r="AA27" s="93" t="n">
        <f aca="false">PAISAGISMO!E24</f>
        <v>0</v>
      </c>
      <c r="AB27" s="93" t="n">
        <f aca="false">PAISAGISMO!E25</f>
        <v>0</v>
      </c>
      <c r="AC27" s="93" t="n">
        <f aca="false">PAISAGISMO!E26</f>
        <v>0</v>
      </c>
      <c r="AD27" s="93" t="n">
        <f aca="false">PAISAGISMO!E27</f>
        <v>0</v>
      </c>
      <c r="AE27" s="93" t="n">
        <f aca="false">PAISAGISMO!E28</f>
        <v>0</v>
      </c>
      <c r="AF27" s="93" t="n">
        <f aca="false">PAISAGISMO!E29</f>
        <v>0</v>
      </c>
      <c r="AG27" s="93" t="n">
        <f aca="false">PAISAGISMO!E30</f>
        <v>0</v>
      </c>
      <c r="AH27" s="93" t="n">
        <f aca="false">PAISAGISMO!E31</f>
        <v>0</v>
      </c>
      <c r="AI27" s="93" t="n">
        <f aca="false">PAISAGISMO!E32</f>
        <v>0</v>
      </c>
      <c r="AJ27" s="93" t="n">
        <f aca="false">PAISAGISMO!E33</f>
        <v>0</v>
      </c>
      <c r="AK27" s="93" t="n">
        <f aca="false">PAISAGISMO!E34</f>
        <v>0</v>
      </c>
      <c r="AL27" s="93" t="n">
        <f aca="false">PAISAGISMO!E35</f>
        <v>0</v>
      </c>
      <c r="AM27" s="93" t="n">
        <f aca="false">PAISAGISMO!E36</f>
        <v>0</v>
      </c>
      <c r="AN27" s="93" t="n">
        <f aca="false">PAISAGISMO!E37</f>
        <v>0</v>
      </c>
      <c r="AO27" s="93" t="n">
        <f aca="false">PAISAGISMO!E38</f>
        <v>0</v>
      </c>
      <c r="AP27" s="93" t="n">
        <f aca="false">PAISAGISMO!E39</f>
        <v>0</v>
      </c>
      <c r="AQ27" s="93" t="n">
        <f aca="false">PAISAGISMO!E40</f>
        <v>0</v>
      </c>
      <c r="AR27" s="93" t="n">
        <f aca="false">PAISAGISMO!E41</f>
        <v>55.7754064323894</v>
      </c>
      <c r="AS27" s="93" t="n">
        <f aca="false">PAISAGISMO!E42</f>
        <v>183.251468145726</v>
      </c>
      <c r="AT27" s="93" t="n">
        <f aca="false">PAISAGISMO!E43</f>
        <v>129.994473159155</v>
      </c>
      <c r="AU27" s="93" t="n">
        <f aca="false">PAISAGISMO!E44</f>
        <v>155.623013166601</v>
      </c>
      <c r="AV27" s="93" t="n">
        <f aca="false">PAISAGISMO!E45</f>
        <v>121.846671422683</v>
      </c>
      <c r="AW27" s="93" t="n">
        <f aca="false">PAISAGISMO!E46</f>
        <v>0</v>
      </c>
      <c r="AX27" s="93" t="n">
        <f aca="false">PAISAGISMO!E47</f>
        <v>0</v>
      </c>
      <c r="AY27" s="93" t="n">
        <f aca="false">PAISAGISMO!E48</f>
        <v>0</v>
      </c>
      <c r="AZ27" s="93" t="n">
        <f aca="false">PAISAGISMO!E49</f>
        <v>10.2217876330275</v>
      </c>
      <c r="BA27" s="93" t="n">
        <f aca="false">PAISAGISMO!E50</f>
        <v>41.0352923818643</v>
      </c>
      <c r="BB27" s="93" t="n">
        <f aca="false">PAISAGISMO!E51</f>
        <v>42.9611364286665</v>
      </c>
      <c r="BC27" s="93" t="n">
        <f aca="false">PAISAGISMO!E52</f>
        <v>0</v>
      </c>
      <c r="BD27" s="93" t="n">
        <f aca="false">PAISAGISMO!E53</f>
        <v>0</v>
      </c>
      <c r="BE27" s="93" t="n">
        <f aca="false">PAISAGISMO!E54</f>
        <v>0</v>
      </c>
      <c r="BF27" s="93" t="n">
        <f aca="false">PAISAGISMO!E55</f>
        <v>0</v>
      </c>
      <c r="BG27" s="93" t="n">
        <f aca="false">PAISAGISMO!E56</f>
        <v>0</v>
      </c>
      <c r="BH27" s="93" t="n">
        <f aca="false">PAISAGISMO!E57</f>
        <v>0</v>
      </c>
      <c r="BI27" s="93" t="n">
        <f aca="false">PAISAGISMO!E58</f>
        <v>0</v>
      </c>
      <c r="BJ27" s="93" t="n">
        <f aca="false">PAISAGISMO!E59</f>
        <v>0</v>
      </c>
      <c r="BK27" s="93" t="n">
        <f aca="false">PAISAGISMO!E60</f>
        <v>0</v>
      </c>
      <c r="BL27" s="93" t="n">
        <f aca="false">PAISAGISMO!E61</f>
        <v>0</v>
      </c>
      <c r="BM27" s="93" t="n">
        <f aca="false">PAISAGISMO!E62</f>
        <v>0</v>
      </c>
      <c r="BN27" s="93" t="n">
        <f aca="false">PAISAGISMO!E63</f>
        <v>0</v>
      </c>
      <c r="BO27" s="93" t="n">
        <f aca="false">PAISAGISMO!E64</f>
        <v>0</v>
      </c>
      <c r="BP27" s="93" t="n">
        <f aca="false">PAISAGISMO!E65</f>
        <v>0</v>
      </c>
      <c r="BQ27" s="93" t="n">
        <f aca="false">PAISAGISMO!E66</f>
        <v>0</v>
      </c>
      <c r="BR27" s="93" t="n">
        <f aca="false">PAISAGISMO!E67</f>
        <v>0</v>
      </c>
      <c r="BS27" s="93" t="n">
        <f aca="false">PAISAGISMO!E68</f>
        <v>0</v>
      </c>
      <c r="BT27" s="93" t="n">
        <f aca="false">PAISAGISMO!E69</f>
        <v>0</v>
      </c>
      <c r="BU27" s="93" t="n">
        <f aca="false">PAISAGISMO!E70</f>
        <v>0</v>
      </c>
      <c r="BV27" s="93" t="n">
        <f aca="false">PAISAGISMO!E71</f>
        <v>0</v>
      </c>
      <c r="BW27" s="93" t="n">
        <f aca="false">PAISAGISMO!E72</f>
        <v>0</v>
      </c>
      <c r="BX27" s="93" t="n">
        <f aca="false">PAISAGISMO!E73</f>
        <v>0</v>
      </c>
      <c r="BY27" s="93" t="n">
        <f aca="false">PAISAGISMO!E74</f>
        <v>0</v>
      </c>
      <c r="BZ27" s="93" t="n">
        <f aca="false">PAISAGISMO!E75</f>
        <v>0</v>
      </c>
      <c r="CA27" s="93" t="n">
        <f aca="false">PAISAGISMO!E76</f>
        <v>0</v>
      </c>
    </row>
    <row r="28" customFormat="false" ht="15" hidden="false" customHeight="false" outlineLevel="0" collapsed="false">
      <c r="A28" s="55" t="s">
        <v>280</v>
      </c>
      <c r="B28" s="55" t="s">
        <v>311</v>
      </c>
      <c r="C28" s="55" t="s">
        <v>202</v>
      </c>
      <c r="D28" s="56" t="n">
        <f aca="false">PAVIMENTAÇÃO!$K$5</f>
        <v>260.494039</v>
      </c>
      <c r="E28" s="45" t="n">
        <f aca="false">SUM(H28:CA28)</f>
        <v>260.253933683019</v>
      </c>
      <c r="F28" s="45" t="n">
        <f aca="false">IF(D28="","",D28-E28)</f>
        <v>0.240105316980817</v>
      </c>
      <c r="H28" s="93" t="n">
        <f aca="false">PAVIMENTAÇÃO!E5</f>
        <v>0</v>
      </c>
      <c r="I28" s="93" t="n">
        <f aca="false">PAVIMENTAÇÃO!E6</f>
        <v>0</v>
      </c>
      <c r="J28" s="93" t="n">
        <f aca="false">PAVIMENTAÇÃO!E7</f>
        <v>0</v>
      </c>
      <c r="K28" s="93" t="n">
        <f aca="false">PAVIMENTAÇÃO!E8</f>
        <v>0</v>
      </c>
      <c r="L28" s="93" t="n">
        <f aca="false">PAVIMENTAÇÃO!E9</f>
        <v>0</v>
      </c>
      <c r="M28" s="93" t="n">
        <f aca="false">PAVIMENTAÇÃO!E10</f>
        <v>0</v>
      </c>
      <c r="N28" s="93" t="n">
        <f aca="false">PAVIMENTAÇÃO!E11</f>
        <v>0</v>
      </c>
      <c r="O28" s="93" t="n">
        <f aca="false">PAVIMENTAÇÃO!E12</f>
        <v>0</v>
      </c>
      <c r="P28" s="93" t="n">
        <f aca="false">PAVIMENTAÇÃO!E13</f>
        <v>0</v>
      </c>
      <c r="Q28" s="93" t="n">
        <f aca="false">PAVIMENTAÇÃO!E14</f>
        <v>0</v>
      </c>
      <c r="R28" s="93" t="n">
        <f aca="false">PAVIMENTAÇÃO!E15</f>
        <v>0</v>
      </c>
      <c r="S28" s="93" t="n">
        <f aca="false">PAVIMENTAÇÃO!E16</f>
        <v>0</v>
      </c>
      <c r="T28" s="93" t="n">
        <f aca="false">PAVIMENTAÇÃO!E17</f>
        <v>0</v>
      </c>
      <c r="U28" s="93" t="n">
        <f aca="false">PAVIMENTAÇÃO!E18</f>
        <v>0</v>
      </c>
      <c r="V28" s="93" t="n">
        <f aca="false">PAVIMENTAÇÃO!E19</f>
        <v>0</v>
      </c>
      <c r="W28" s="93" t="n">
        <f aca="false">PAVIMENTAÇÃO!E20</f>
        <v>0</v>
      </c>
      <c r="X28" s="93" t="n">
        <f aca="false">PAVIMENTAÇÃO!E21</f>
        <v>0</v>
      </c>
      <c r="Y28" s="93" t="n">
        <f aca="false">PAVIMENTAÇÃO!E22</f>
        <v>0</v>
      </c>
      <c r="Z28" s="93" t="n">
        <f aca="false">PAVIMENTAÇÃO!E23</f>
        <v>0</v>
      </c>
      <c r="AA28" s="93" t="n">
        <f aca="false">PAVIMENTAÇÃO!E24</f>
        <v>0</v>
      </c>
      <c r="AB28" s="93" t="n">
        <f aca="false">PAVIMENTAÇÃO!E25</f>
        <v>0</v>
      </c>
      <c r="AC28" s="93" t="n">
        <f aca="false">PAVIMENTAÇÃO!E26</f>
        <v>0</v>
      </c>
      <c r="AD28" s="93" t="n">
        <f aca="false">PAVIMENTAÇÃO!E27</f>
        <v>0</v>
      </c>
      <c r="AE28" s="93" t="n">
        <f aca="false">PAVIMENTAÇÃO!E28</f>
        <v>0</v>
      </c>
      <c r="AF28" s="93" t="n">
        <f aca="false">PAVIMENTAÇÃO!E29</f>
        <v>0</v>
      </c>
      <c r="AG28" s="93" t="n">
        <f aca="false">PAVIMENTAÇÃO!E30</f>
        <v>0</v>
      </c>
      <c r="AH28" s="93" t="n">
        <f aca="false">PAVIMENTAÇÃO!E31</f>
        <v>0</v>
      </c>
      <c r="AI28" s="93" t="n">
        <f aca="false">PAVIMENTAÇÃO!E32</f>
        <v>0</v>
      </c>
      <c r="AJ28" s="93" t="n">
        <f aca="false">PAVIMENTAÇÃO!E33</f>
        <v>10.0458018401645</v>
      </c>
      <c r="AK28" s="93" t="n">
        <f aca="false">PAVIMENTAÇÃO!E34</f>
        <v>100.510069188382</v>
      </c>
      <c r="AL28" s="93" t="n">
        <f aca="false">PAVIMENTAÇÃO!E35</f>
        <v>105.532970108464</v>
      </c>
      <c r="AM28" s="93" t="n">
        <f aca="false">PAVIMENTAÇÃO!E36</f>
        <v>0</v>
      </c>
      <c r="AN28" s="93" t="n">
        <f aca="false">PAVIMENTAÇÃO!E37</f>
        <v>0</v>
      </c>
      <c r="AO28" s="93" t="n">
        <f aca="false">PAVIMENTAÇÃO!E38</f>
        <v>7.36518632322944</v>
      </c>
      <c r="AP28" s="93" t="n">
        <f aca="false">PAVIMENTAÇÃO!E39</f>
        <v>13.3770521913072</v>
      </c>
      <c r="AQ28" s="93" t="n">
        <f aca="false">PAVIMENTAÇÃO!E40</f>
        <v>13.3770521913072</v>
      </c>
      <c r="AR28" s="93" t="n">
        <f aca="false">PAVIMENTAÇÃO!E41</f>
        <v>10.0458018401645</v>
      </c>
      <c r="AS28" s="93" t="n">
        <f aca="false">PAVIMENTAÇÃO!E42</f>
        <v>0</v>
      </c>
      <c r="AT28" s="93" t="n">
        <f aca="false">PAVIMENTAÇÃO!E43</f>
        <v>0</v>
      </c>
      <c r="AU28" s="93" t="n">
        <f aca="false">PAVIMENTAÇÃO!E44</f>
        <v>0</v>
      </c>
      <c r="AV28" s="93" t="n">
        <f aca="false">PAVIMENTAÇÃO!E45</f>
        <v>0</v>
      </c>
      <c r="AW28" s="93" t="n">
        <f aca="false">PAVIMENTAÇÃO!E46</f>
        <v>0</v>
      </c>
      <c r="AX28" s="93" t="n">
        <f aca="false">PAVIMENTAÇÃO!E47</f>
        <v>0</v>
      </c>
      <c r="AY28" s="93" t="n">
        <f aca="false">PAVIMENTAÇÃO!E48</f>
        <v>0</v>
      </c>
      <c r="AZ28" s="93" t="n">
        <f aca="false">PAVIMENTAÇÃO!E49</f>
        <v>0</v>
      </c>
      <c r="BA28" s="93" t="n">
        <f aca="false">PAVIMENTAÇÃO!E50</f>
        <v>0</v>
      </c>
      <c r="BB28" s="93" t="n">
        <f aca="false">PAVIMENTAÇÃO!E51</f>
        <v>0</v>
      </c>
      <c r="BC28" s="93" t="n">
        <f aca="false">PAVIMENTAÇÃO!E52</f>
        <v>0</v>
      </c>
      <c r="BD28" s="93" t="n">
        <f aca="false">PAVIMENTAÇÃO!E53</f>
        <v>0</v>
      </c>
      <c r="BE28" s="93" t="n">
        <f aca="false">PAVIMENTAÇÃO!E54</f>
        <v>0</v>
      </c>
      <c r="BF28" s="93" t="n">
        <f aca="false">PAVIMENTAÇÃO!E55</f>
        <v>0</v>
      </c>
      <c r="BG28" s="93" t="n">
        <f aca="false">PAVIMENTAÇÃO!E56</f>
        <v>0</v>
      </c>
      <c r="BH28" s="93" t="n">
        <f aca="false">PAVIMENTAÇÃO!E57</f>
        <v>0</v>
      </c>
      <c r="BI28" s="93" t="n">
        <f aca="false">PAVIMENTAÇÃO!E58</f>
        <v>0</v>
      </c>
      <c r="BJ28" s="93" t="n">
        <f aca="false">PAVIMENTAÇÃO!E59</f>
        <v>0</v>
      </c>
      <c r="BK28" s="93" t="n">
        <f aca="false">PAVIMENTAÇÃO!E60</f>
        <v>0</v>
      </c>
      <c r="BL28" s="93" t="n">
        <f aca="false">PAVIMENTAÇÃO!E61</f>
        <v>0</v>
      </c>
      <c r="BM28" s="93" t="n">
        <f aca="false">PAVIMENTAÇÃO!E62</f>
        <v>0</v>
      </c>
      <c r="BN28" s="93" t="n">
        <f aca="false">PAVIMENTAÇÃO!E63</f>
        <v>0</v>
      </c>
      <c r="BO28" s="93" t="n">
        <f aca="false">PAVIMENTAÇÃO!E64</f>
        <v>0</v>
      </c>
      <c r="BP28" s="93" t="n">
        <f aca="false">PAVIMENTAÇÃO!E65</f>
        <v>0</v>
      </c>
      <c r="BQ28" s="93" t="n">
        <f aca="false">PAVIMENTAÇÃO!E66</f>
        <v>0</v>
      </c>
      <c r="BR28" s="93" t="n">
        <f aca="false">PAVIMENTAÇÃO!E67</f>
        <v>0</v>
      </c>
      <c r="BS28" s="93" t="n">
        <f aca="false">PAVIMENTAÇÃO!E68</f>
        <v>0</v>
      </c>
      <c r="BT28" s="93" t="n">
        <f aca="false">PAVIMENTAÇÃO!E69</f>
        <v>0</v>
      </c>
      <c r="BU28" s="93" t="n">
        <f aca="false">PAVIMENTAÇÃO!E70</f>
        <v>0</v>
      </c>
      <c r="BV28" s="93" t="n">
        <f aca="false">PAVIMENTAÇÃO!E71</f>
        <v>0</v>
      </c>
      <c r="BW28" s="93" t="n">
        <f aca="false">PAVIMENTAÇÃO!E72</f>
        <v>0</v>
      </c>
      <c r="BX28" s="93" t="n">
        <f aca="false">PAVIMENTAÇÃO!E73</f>
        <v>0</v>
      </c>
      <c r="BY28" s="93" t="n">
        <f aca="false">PAVIMENTAÇÃO!E74</f>
        <v>0</v>
      </c>
      <c r="BZ28" s="93" t="n">
        <f aca="false">PAVIMENTAÇÃO!E75</f>
        <v>0</v>
      </c>
      <c r="CA28" s="93" t="n">
        <f aca="false">PAVIMENTAÇÃO!E76</f>
        <v>0</v>
      </c>
    </row>
    <row r="29" customFormat="false" ht="15" hidden="false" customHeight="false" outlineLevel="0" collapsed="false">
      <c r="A29" s="55" t="s">
        <v>280</v>
      </c>
      <c r="B29" s="55" t="s">
        <v>312</v>
      </c>
      <c r="C29" s="55" t="s">
        <v>214</v>
      </c>
      <c r="D29" s="56" t="n">
        <f aca="false">PINTURA!$K$5</f>
        <v>3095.550779</v>
      </c>
      <c r="E29" s="45" t="n">
        <f aca="false">SUM(H29:CA29)</f>
        <v>3092.78817590048</v>
      </c>
      <c r="F29" s="45" t="n">
        <f aca="false">IF(D29="","",D29-E29)</f>
        <v>2.76260309952022</v>
      </c>
      <c r="H29" s="93" t="n">
        <f aca="false">PINTURA!E5</f>
        <v>0</v>
      </c>
      <c r="I29" s="93" t="n">
        <f aca="false">PINTURA!E6</f>
        <v>0</v>
      </c>
      <c r="J29" s="93" t="n">
        <f aca="false">PINTURA!E7</f>
        <v>0</v>
      </c>
      <c r="K29" s="93" t="n">
        <f aca="false">PINTURA!E8</f>
        <v>0</v>
      </c>
      <c r="L29" s="93" t="n">
        <f aca="false">PINTURA!E9</f>
        <v>0</v>
      </c>
      <c r="M29" s="93" t="n">
        <f aca="false">PINTURA!E10</f>
        <v>0</v>
      </c>
      <c r="N29" s="93" t="n">
        <f aca="false">PINTURA!E11</f>
        <v>0</v>
      </c>
      <c r="O29" s="93" t="n">
        <f aca="false">PINTURA!E12</f>
        <v>0</v>
      </c>
      <c r="P29" s="93" t="n">
        <f aca="false">PINTURA!E13</f>
        <v>0</v>
      </c>
      <c r="Q29" s="93" t="n">
        <f aca="false">PINTURA!E14</f>
        <v>0</v>
      </c>
      <c r="R29" s="93" t="n">
        <f aca="false">PINTURA!E15</f>
        <v>0</v>
      </c>
      <c r="S29" s="93" t="n">
        <f aca="false">PINTURA!E16</f>
        <v>0</v>
      </c>
      <c r="T29" s="93" t="n">
        <f aca="false">PINTURA!E17</f>
        <v>0</v>
      </c>
      <c r="U29" s="93" t="n">
        <f aca="false">PINTURA!E18</f>
        <v>0</v>
      </c>
      <c r="V29" s="93" t="n">
        <f aca="false">PINTURA!E19</f>
        <v>0</v>
      </c>
      <c r="W29" s="93" t="n">
        <f aca="false">PINTURA!E20</f>
        <v>1.90179292340085</v>
      </c>
      <c r="X29" s="93" t="n">
        <f aca="false">PINTURA!E21</f>
        <v>5.32894799516057</v>
      </c>
      <c r="Y29" s="93" t="n">
        <f aca="false">PINTURA!E22</f>
        <v>10.0829939521286</v>
      </c>
      <c r="Z29" s="93" t="n">
        <f aca="false">PINTURA!E23</f>
        <v>10.1761617814829</v>
      </c>
      <c r="AA29" s="93" t="n">
        <f aca="false">PINTURA!E24</f>
        <v>21.7249584960312</v>
      </c>
      <c r="AB29" s="93" t="n">
        <f aca="false">PINTURA!E25</f>
        <v>18.4716887875524</v>
      </c>
      <c r="AC29" s="93" t="n">
        <f aca="false">PINTURA!E26</f>
        <v>1.24785534359896</v>
      </c>
      <c r="AD29" s="93" t="n">
        <f aca="false">PINTURA!E27</f>
        <v>173.614370243404</v>
      </c>
      <c r="AE29" s="93" t="n">
        <f aca="false">PINTURA!E28</f>
        <v>89.8010468786953</v>
      </c>
      <c r="AF29" s="93" t="n">
        <f aca="false">PINTURA!E29</f>
        <v>51.8039792281726</v>
      </c>
      <c r="AG29" s="93" t="n">
        <f aca="false">PINTURA!E30</f>
        <v>0</v>
      </c>
      <c r="AH29" s="93" t="n">
        <f aca="false">PINTURA!E31</f>
        <v>2.50699712825141</v>
      </c>
      <c r="AI29" s="93" t="n">
        <f aca="false">PINTURA!E32</f>
        <v>14.6838403226153</v>
      </c>
      <c r="AJ29" s="93" t="n">
        <f aca="false">PINTURA!E33</f>
        <v>0</v>
      </c>
      <c r="AK29" s="93" t="n">
        <f aca="false">PINTURA!E34</f>
        <v>36.5305295830918</v>
      </c>
      <c r="AL29" s="93" t="n">
        <f aca="false">PINTURA!E35</f>
        <v>70.5540620379321</v>
      </c>
      <c r="AM29" s="93" t="n">
        <f aca="false">PINTURA!E36</f>
        <v>107.80087651481</v>
      </c>
      <c r="AN29" s="93" t="n">
        <f aca="false">PINTURA!E37</f>
        <v>153.284967270228</v>
      </c>
      <c r="AO29" s="93" t="n">
        <f aca="false">PINTURA!E38</f>
        <v>204.857479622828</v>
      </c>
      <c r="AP29" s="93" t="n">
        <f aca="false">PINTURA!E39</f>
        <v>56.9446490559959</v>
      </c>
      <c r="AQ29" s="93" t="n">
        <f aca="false">PINTURA!E40</f>
        <v>37.6049569237711</v>
      </c>
      <c r="AR29" s="93" t="n">
        <f aca="false">PINTURA!E41</f>
        <v>26.502541070086</v>
      </c>
      <c r="AS29" s="93" t="n">
        <f aca="false">PINTURA!E42</f>
        <v>131.796420456645</v>
      </c>
      <c r="AT29" s="93" t="n">
        <f aca="false">PINTURA!E43</f>
        <v>185.517787490603</v>
      </c>
      <c r="AU29" s="93" t="n">
        <f aca="false">PINTURA!E44</f>
        <v>270.039404957365</v>
      </c>
      <c r="AV29" s="93" t="n">
        <f aca="false">PINTURA!E45</f>
        <v>225.629741542626</v>
      </c>
      <c r="AW29" s="93" t="n">
        <f aca="false">PINTURA!E46</f>
        <v>198.410915578754</v>
      </c>
      <c r="AX29" s="93" t="n">
        <f aca="false">PINTURA!E47</f>
        <v>230.288647770901</v>
      </c>
      <c r="AY29" s="93" t="n">
        <f aca="false">PINTURA!E48</f>
        <v>208.438904091759</v>
      </c>
      <c r="AZ29" s="93" t="n">
        <f aca="false">PINTURA!E49</f>
        <v>204.499337175936</v>
      </c>
      <c r="BA29" s="93" t="n">
        <f aca="false">PINTURA!E50</f>
        <v>143.615121204115</v>
      </c>
      <c r="BB29" s="93" t="n">
        <f aca="false">PINTURA!E51</f>
        <v>113.173013218206</v>
      </c>
      <c r="BC29" s="93" t="n">
        <f aca="false">PINTURA!E52</f>
        <v>76.2843411882214</v>
      </c>
      <c r="BD29" s="93" t="n">
        <f aca="false">PINTURA!E53</f>
        <v>9.66984606611239</v>
      </c>
      <c r="BE29" s="93" t="n">
        <f aca="false">PINTURA!E54</f>
        <v>0</v>
      </c>
      <c r="BF29" s="93" t="n">
        <f aca="false">PINTURA!E55</f>
        <v>0</v>
      </c>
      <c r="BG29" s="93" t="n">
        <f aca="false">PINTURA!E56</f>
        <v>0</v>
      </c>
      <c r="BH29" s="93" t="n">
        <f aca="false">PINTURA!E57</f>
        <v>0</v>
      </c>
      <c r="BI29" s="93" t="n">
        <f aca="false">PINTURA!E58</f>
        <v>0</v>
      </c>
      <c r="BJ29" s="93" t="n">
        <f aca="false">PINTURA!E59</f>
        <v>0</v>
      </c>
      <c r="BK29" s="93" t="n">
        <f aca="false">PINTURA!E60</f>
        <v>0</v>
      </c>
      <c r="BL29" s="93" t="n">
        <f aca="false">PINTURA!E61</f>
        <v>0</v>
      </c>
      <c r="BM29" s="93" t="n">
        <f aca="false">PINTURA!E62</f>
        <v>0</v>
      </c>
      <c r="BN29" s="93" t="n">
        <f aca="false">PINTURA!E63</f>
        <v>0</v>
      </c>
      <c r="BO29" s="93" t="n">
        <f aca="false">PINTURA!E64</f>
        <v>0</v>
      </c>
      <c r="BP29" s="93" t="n">
        <f aca="false">PINTURA!E65</f>
        <v>0</v>
      </c>
      <c r="BQ29" s="93" t="n">
        <f aca="false">PINTURA!E66</f>
        <v>0</v>
      </c>
      <c r="BR29" s="93" t="n">
        <f aca="false">PINTURA!E67</f>
        <v>0</v>
      </c>
      <c r="BS29" s="93" t="n">
        <f aca="false">PINTURA!E68</f>
        <v>0</v>
      </c>
      <c r="BT29" s="93" t="n">
        <f aca="false">PINTURA!E69</f>
        <v>0</v>
      </c>
      <c r="BU29" s="93" t="n">
        <f aca="false">PINTURA!E70</f>
        <v>0</v>
      </c>
      <c r="BV29" s="93" t="n">
        <f aca="false">PINTURA!E71</f>
        <v>0</v>
      </c>
      <c r="BW29" s="93" t="n">
        <f aca="false">PINTURA!E72</f>
        <v>0</v>
      </c>
      <c r="BX29" s="93" t="n">
        <f aca="false">PINTURA!E73</f>
        <v>0</v>
      </c>
      <c r="BY29" s="93" t="n">
        <f aca="false">PINTURA!E74</f>
        <v>0</v>
      </c>
      <c r="BZ29" s="93" t="n">
        <f aca="false">PINTURA!E75</f>
        <v>0</v>
      </c>
      <c r="CA29" s="93" t="n">
        <f aca="false">PINTURA!E76</f>
        <v>0</v>
      </c>
    </row>
    <row r="30" customFormat="false" ht="15" hidden="false" customHeight="false" outlineLevel="0" collapsed="false">
      <c r="A30" s="55" t="s">
        <v>280</v>
      </c>
      <c r="B30" s="55" t="s">
        <v>313</v>
      </c>
      <c r="C30" s="55" t="s">
        <v>63</v>
      </c>
      <c r="D30" s="56" t="n">
        <f aca="false">PROJETO!$K$5</f>
        <v>3304.105134</v>
      </c>
      <c r="E30" s="45" t="n">
        <f aca="false">SUM(H30:CA30)</f>
        <v>3352.07545822947</v>
      </c>
      <c r="F30" s="45" t="n">
        <f aca="false">IF(D30="","",D30-E30)</f>
        <v>-47.9703242294677</v>
      </c>
      <c r="H30" s="93" t="n">
        <f aca="false">PROJETO!E5</f>
        <v>2229.33946866794</v>
      </c>
      <c r="I30" s="93" t="n">
        <f aca="false">PROJETO!E6</f>
        <v>89.212610211476</v>
      </c>
      <c r="J30" s="93" t="n">
        <f aca="false">PROJETO!E7</f>
        <v>92.8956742135418</v>
      </c>
      <c r="K30" s="93" t="n">
        <f aca="false">PROJETO!E8</f>
        <v>82.2351843962844</v>
      </c>
      <c r="L30" s="93" t="n">
        <f aca="false">PROJETO!E9</f>
        <v>44.5415893460491</v>
      </c>
      <c r="M30" s="93" t="n">
        <f aca="false">PROJETO!E10</f>
        <v>99.5500395777146</v>
      </c>
      <c r="N30" s="93" t="n">
        <f aca="false">PROJETO!E11</f>
        <v>145.35654171832</v>
      </c>
      <c r="O30" s="93" t="n">
        <f aca="false">PROJETO!E12</f>
        <v>67.3741791418382</v>
      </c>
      <c r="P30" s="93" t="n">
        <f aca="false">PROJETO!E13</f>
        <v>96.2875665937375</v>
      </c>
      <c r="Q30" s="93" t="n">
        <f aca="false">PROJETO!E14</f>
        <v>41.9512827518755</v>
      </c>
      <c r="R30" s="93" t="n">
        <f aca="false">PROJETO!E15</f>
        <v>18.5135345185854</v>
      </c>
      <c r="S30" s="93" t="n">
        <f aca="false">PROJETO!E16</f>
        <v>69.6074599819032</v>
      </c>
      <c r="T30" s="93" t="n">
        <f aca="false">PROJETO!E17</f>
        <v>94.0440544847133</v>
      </c>
      <c r="U30" s="93" t="n">
        <f aca="false">PROJETO!E18</f>
        <v>79.5106690508603</v>
      </c>
      <c r="V30" s="93" t="n">
        <f aca="false">PROJETO!E19</f>
        <v>13.8158262802897</v>
      </c>
      <c r="W30" s="93" t="n">
        <f aca="false">PROJETO!E20</f>
        <v>27.1099383329284</v>
      </c>
      <c r="X30" s="93" t="n">
        <f aca="false">PROJETO!E21</f>
        <v>10.8210442249129</v>
      </c>
      <c r="Y30" s="93" t="n">
        <f aca="false">PROJETO!E22</f>
        <v>26.8859561106324</v>
      </c>
      <c r="Z30" s="93" t="n">
        <f aca="false">PROJETO!E23</f>
        <v>2.02586048705297</v>
      </c>
      <c r="AA30" s="93" t="n">
        <f aca="false">PROJETO!E24</f>
        <v>0.717927463713618</v>
      </c>
      <c r="AB30" s="93" t="n">
        <f aca="false">PROJETO!E25</f>
        <v>0.713245312436145</v>
      </c>
      <c r="AC30" s="93" t="n">
        <f aca="false">PROJETO!E26</f>
        <v>11.8867052076489</v>
      </c>
      <c r="AD30" s="93" t="n">
        <f aca="false">PROJETO!E27</f>
        <v>1.32300868922222</v>
      </c>
      <c r="AE30" s="93" t="n">
        <f aca="false">PROJETO!E28</f>
        <v>0.264837144407942</v>
      </c>
      <c r="AF30" s="93" t="n">
        <f aca="false">PROJETO!E29</f>
        <v>0.264837144407942</v>
      </c>
      <c r="AG30" s="93" t="n">
        <f aca="false">PROJETO!E30</f>
        <v>0.264837144407942</v>
      </c>
      <c r="AH30" s="93" t="n">
        <f aca="false">PROJETO!E31</f>
        <v>0.264837144407942</v>
      </c>
      <c r="AI30" s="93" t="n">
        <f aca="false">PROJETO!E32</f>
        <v>0.264837144407942</v>
      </c>
      <c r="AJ30" s="93" t="n">
        <f aca="false">PROJETO!E33</f>
        <v>0.264837144407942</v>
      </c>
      <c r="AK30" s="93" t="n">
        <f aca="false">PROJETO!E34</f>
        <v>0.264837144407942</v>
      </c>
      <c r="AL30" s="93" t="n">
        <f aca="false">PROJETO!E35</f>
        <v>0.264837144407942</v>
      </c>
      <c r="AM30" s="93" t="n">
        <f aca="false">PROJETO!E36</f>
        <v>0.264837144407942</v>
      </c>
      <c r="AN30" s="93" t="n">
        <f aca="false">PROJETO!E37</f>
        <v>0.264837144407942</v>
      </c>
      <c r="AO30" s="93" t="n">
        <f aca="false">PROJETO!E38</f>
        <v>0.264837144407942</v>
      </c>
      <c r="AP30" s="93" t="n">
        <f aca="false">PROJETO!E39</f>
        <v>0.264837144407942</v>
      </c>
      <c r="AQ30" s="93" t="n">
        <f aca="false">PROJETO!E40</f>
        <v>0.264837144407942</v>
      </c>
      <c r="AR30" s="93" t="n">
        <f aca="false">PROJETO!E41</f>
        <v>0.264837144407942</v>
      </c>
      <c r="AS30" s="93" t="n">
        <f aca="false">PROJETO!E42</f>
        <v>0.264837144407942</v>
      </c>
      <c r="AT30" s="93" t="n">
        <f aca="false">PROJETO!E43</f>
        <v>0.264837144407942</v>
      </c>
      <c r="AU30" s="93" t="n">
        <f aca="false">PROJETO!E44</f>
        <v>0.264837144407942</v>
      </c>
      <c r="AV30" s="93" t="n">
        <f aca="false">PROJETO!E45</f>
        <v>0.264837144407942</v>
      </c>
      <c r="AW30" s="93" t="n">
        <f aca="false">PROJETO!E46</f>
        <v>0.264837144407942</v>
      </c>
      <c r="AX30" s="93" t="n">
        <f aca="false">PROJETO!E47</f>
        <v>0.264837144407942</v>
      </c>
      <c r="AY30" s="93" t="n">
        <f aca="false">PROJETO!E48</f>
        <v>0.264837144407942</v>
      </c>
      <c r="AZ30" s="93" t="n">
        <f aca="false">PROJETO!E49</f>
        <v>0.264837144407942</v>
      </c>
      <c r="BA30" s="93" t="n">
        <f aca="false">PROJETO!E50</f>
        <v>0.264837144407942</v>
      </c>
      <c r="BB30" s="93" t="n">
        <f aca="false">PROJETO!E51</f>
        <v>0.264837144407942</v>
      </c>
      <c r="BC30" s="93" t="n">
        <f aca="false">PROJETO!E52</f>
        <v>0</v>
      </c>
      <c r="BD30" s="93" t="n">
        <f aca="false">PROJETO!E53</f>
        <v>0</v>
      </c>
      <c r="BE30" s="93" t="n">
        <f aca="false">PROJETO!E54</f>
        <v>0</v>
      </c>
      <c r="BF30" s="93" t="n">
        <f aca="false">PROJETO!E55</f>
        <v>0</v>
      </c>
      <c r="BG30" s="93" t="n">
        <f aca="false">PROJETO!E56</f>
        <v>0</v>
      </c>
      <c r="BH30" s="93" t="n">
        <f aca="false">PROJETO!E57</f>
        <v>0</v>
      </c>
      <c r="BI30" s="93" t="n">
        <f aca="false">PROJETO!E58</f>
        <v>0</v>
      </c>
      <c r="BJ30" s="93" t="n">
        <f aca="false">PROJETO!E59</f>
        <v>0</v>
      </c>
      <c r="BK30" s="93" t="n">
        <f aca="false">PROJETO!E60</f>
        <v>0</v>
      </c>
      <c r="BL30" s="93" t="n">
        <f aca="false">PROJETO!E61</f>
        <v>0</v>
      </c>
      <c r="BM30" s="93" t="n">
        <f aca="false">PROJETO!E62</f>
        <v>0</v>
      </c>
      <c r="BN30" s="93" t="n">
        <f aca="false">PROJETO!E63</f>
        <v>0</v>
      </c>
      <c r="BO30" s="93" t="n">
        <f aca="false">PROJETO!E64</f>
        <v>0</v>
      </c>
      <c r="BP30" s="93" t="n">
        <f aca="false">PROJETO!E65</f>
        <v>0</v>
      </c>
      <c r="BQ30" s="93" t="n">
        <f aca="false">PROJETO!E66</f>
        <v>0</v>
      </c>
      <c r="BR30" s="93" t="n">
        <f aca="false">PROJETO!E67</f>
        <v>0</v>
      </c>
      <c r="BS30" s="93" t="n">
        <f aca="false">PROJETO!E68</f>
        <v>0</v>
      </c>
      <c r="BT30" s="93" t="n">
        <f aca="false">PROJETO!E69</f>
        <v>0</v>
      </c>
      <c r="BU30" s="93" t="n">
        <f aca="false">PROJETO!E70</f>
        <v>0</v>
      </c>
      <c r="BV30" s="93" t="n">
        <f aca="false">PROJETO!E71</f>
        <v>0</v>
      </c>
      <c r="BW30" s="93" t="n">
        <f aca="false">PROJETO!E72</f>
        <v>0</v>
      </c>
      <c r="BX30" s="93" t="n">
        <f aca="false">PROJETO!E73</f>
        <v>0</v>
      </c>
      <c r="BY30" s="93" t="n">
        <f aca="false">PROJETO!E74</f>
        <v>0</v>
      </c>
      <c r="BZ30" s="93" t="n">
        <f aca="false">PROJETO!E75</f>
        <v>0</v>
      </c>
      <c r="CA30" s="93" t="n">
        <f aca="false">PROJETO!E76</f>
        <v>0</v>
      </c>
    </row>
    <row r="31" customFormat="false" ht="15" hidden="false" customHeight="false" outlineLevel="0" collapsed="false">
      <c r="A31" s="55" t="s">
        <v>280</v>
      </c>
      <c r="B31" s="55" t="s">
        <v>314</v>
      </c>
      <c r="C31" s="55" t="s">
        <v>84</v>
      </c>
      <c r="E31" s="45" t="n">
        <f aca="false">SUM(H31:CA31)</f>
        <v>0</v>
      </c>
      <c r="F31" s="45" t="str">
        <f aca="false">IF(D31="","",D31-E31)</f>
        <v/>
      </c>
    </row>
    <row r="32" customFormat="false" ht="15" hidden="false" customHeight="false" outlineLevel="0" collapsed="false">
      <c r="A32" s="55" t="s">
        <v>280</v>
      </c>
      <c r="B32" s="55" t="s">
        <v>315</v>
      </c>
      <c r="C32" s="55" t="s">
        <v>205</v>
      </c>
      <c r="D32" s="56" t="n">
        <f aca="false">'REV. FACHADA'!$K$5</f>
        <v>5167.952534</v>
      </c>
      <c r="E32" s="45" t="n">
        <f aca="false">SUM(H32:CA32)</f>
        <v>5163.18938867084</v>
      </c>
      <c r="F32" s="45" t="n">
        <f aca="false">IF(D32="","",D32-E32)</f>
        <v>4.76314532916149</v>
      </c>
      <c r="H32" s="93" t="n">
        <f aca="false">'REV. FACHADA'!E5</f>
        <v>0</v>
      </c>
      <c r="I32" s="93" t="n">
        <f aca="false">'REV. FACHADA'!E6</f>
        <v>0</v>
      </c>
      <c r="J32" s="93" t="n">
        <f aca="false">'REV. FACHADA'!E7</f>
        <v>0</v>
      </c>
      <c r="K32" s="93" t="n">
        <f aca="false">'REV. FACHADA'!E8</f>
        <v>0</v>
      </c>
      <c r="L32" s="93" t="n">
        <f aca="false">'REV. FACHADA'!E9</f>
        <v>0</v>
      </c>
      <c r="M32" s="93" t="n">
        <f aca="false">'REV. FACHADA'!E10</f>
        <v>0</v>
      </c>
      <c r="N32" s="93" t="n">
        <f aca="false">'REV. FACHADA'!E11</f>
        <v>0</v>
      </c>
      <c r="O32" s="93" t="n">
        <f aca="false">'REV. FACHADA'!E12</f>
        <v>0</v>
      </c>
      <c r="P32" s="93" t="n">
        <f aca="false">'REV. FACHADA'!E13</f>
        <v>0</v>
      </c>
      <c r="Q32" s="93" t="n">
        <f aca="false">'REV. FACHADA'!E14</f>
        <v>0</v>
      </c>
      <c r="R32" s="93" t="n">
        <f aca="false">'REV. FACHADA'!E15</f>
        <v>0</v>
      </c>
      <c r="S32" s="93" t="n">
        <f aca="false">'REV. FACHADA'!E16</f>
        <v>0</v>
      </c>
      <c r="T32" s="93" t="n">
        <f aca="false">'REV. FACHADA'!E17</f>
        <v>0</v>
      </c>
      <c r="U32" s="93" t="n">
        <f aca="false">'REV. FACHADA'!E18</f>
        <v>0</v>
      </c>
      <c r="V32" s="93" t="n">
        <f aca="false">'REV. FACHADA'!E19</f>
        <v>0</v>
      </c>
      <c r="W32" s="93" t="n">
        <f aca="false">'REV. FACHADA'!E20</f>
        <v>0</v>
      </c>
      <c r="X32" s="93" t="n">
        <f aca="false">'REV. FACHADA'!E21</f>
        <v>0</v>
      </c>
      <c r="Y32" s="93" t="n">
        <f aca="false">'REV. FACHADA'!E22</f>
        <v>0</v>
      </c>
      <c r="Z32" s="93" t="n">
        <f aca="false">'REV. FACHADA'!E23</f>
        <v>0</v>
      </c>
      <c r="AA32" s="93" t="n">
        <f aca="false">'REV. FACHADA'!E24</f>
        <v>0</v>
      </c>
      <c r="AB32" s="93" t="n">
        <f aca="false">'REV. FACHADA'!E25</f>
        <v>0</v>
      </c>
      <c r="AC32" s="93" t="n">
        <f aca="false">'REV. FACHADA'!E26</f>
        <v>0</v>
      </c>
      <c r="AD32" s="93" t="n">
        <f aca="false">'REV. FACHADA'!E27</f>
        <v>96.8024864166841</v>
      </c>
      <c r="AE32" s="93" t="n">
        <f aca="false">'REV. FACHADA'!E28</f>
        <v>64.4881849789544</v>
      </c>
      <c r="AF32" s="93" t="n">
        <f aca="false">'REV. FACHADA'!E29</f>
        <v>36.8503914165454</v>
      </c>
      <c r="AG32" s="93" t="n">
        <f aca="false">'REV. FACHADA'!E30</f>
        <v>43.8953191873554</v>
      </c>
      <c r="AH32" s="93" t="n">
        <f aca="false">'REV. FACHADA'!E31</f>
        <v>43.8953191873555</v>
      </c>
      <c r="AI32" s="93" t="n">
        <f aca="false">'REV. FACHADA'!E32</f>
        <v>96.4613187080157</v>
      </c>
      <c r="AJ32" s="93" t="n">
        <f aca="false">'REV. FACHADA'!E33</f>
        <v>183.710039561895</v>
      </c>
      <c r="AK32" s="93" t="n">
        <f aca="false">'REV. FACHADA'!E34</f>
        <v>153.362658395328</v>
      </c>
      <c r="AL32" s="93" t="n">
        <f aca="false">'REV. FACHADA'!E35</f>
        <v>170.162101541107</v>
      </c>
      <c r="AM32" s="93" t="n">
        <f aca="false">'REV. FACHADA'!E36</f>
        <v>178.832781874411</v>
      </c>
      <c r="AN32" s="93" t="n">
        <f aca="false">'REV. FACHADA'!E37</f>
        <v>214.599338249293</v>
      </c>
      <c r="AO32" s="93" t="n">
        <f aca="false">'REV. FACHADA'!E38</f>
        <v>422.153748727777</v>
      </c>
      <c r="AP32" s="93" t="n">
        <f aca="false">'REV. FACHADA'!E39</f>
        <v>378.258429540422</v>
      </c>
      <c r="AQ32" s="93" t="n">
        <f aca="false">'REV. FACHADA'!E40</f>
        <v>178.29086435358</v>
      </c>
      <c r="AR32" s="93" t="n">
        <f aca="false">'REV. FACHADA'!E41</f>
        <v>161.491421207802</v>
      </c>
      <c r="AS32" s="93" t="n">
        <f aca="false">'REV. FACHADA'!E42</f>
        <v>344.117625728034</v>
      </c>
      <c r="AT32" s="93" t="n">
        <f aca="false">'REV. FACHADA'!E43</f>
        <v>115.970349457952</v>
      </c>
      <c r="AU32" s="93" t="n">
        <f aca="false">'REV. FACHADA'!E44</f>
        <v>368.503914165454</v>
      </c>
      <c r="AV32" s="93" t="n">
        <f aca="false">'REV. FACHADA'!E45</f>
        <v>563.594221664811</v>
      </c>
      <c r="AW32" s="93" t="n">
        <f aca="false">'REV. FACHADA'!E46</f>
        <v>339.24036804055</v>
      </c>
      <c r="AX32" s="93" t="n">
        <f aca="false">'REV. FACHADA'!E47</f>
        <v>465.507150394301</v>
      </c>
      <c r="AY32" s="93" t="n">
        <f aca="false">'REV. FACHADA'!E48</f>
        <v>205.928657915989</v>
      </c>
      <c r="AZ32" s="93" t="n">
        <f aca="false">'REV. FACHADA'!E49</f>
        <v>82.9133806872271</v>
      </c>
      <c r="BA32" s="93" t="n">
        <f aca="false">'REV. FACHADA'!E50</f>
        <v>156.614163520318</v>
      </c>
      <c r="BB32" s="93" t="n">
        <f aca="false">'REV. FACHADA'!E51</f>
        <v>27.6377935624085</v>
      </c>
      <c r="BC32" s="93" t="n">
        <f aca="false">'REV. FACHADA'!E52</f>
        <v>68.2816076247755</v>
      </c>
      <c r="BD32" s="93" t="n">
        <f aca="false">'REV. FACHADA'!E53</f>
        <v>1.62575256249471</v>
      </c>
      <c r="BE32" s="93" t="n">
        <f aca="false">'REV. FACHADA'!E54</f>
        <v>0</v>
      </c>
      <c r="BF32" s="93" t="n">
        <f aca="false">'REV. FACHADA'!E55</f>
        <v>0</v>
      </c>
      <c r="BG32" s="93" t="n">
        <f aca="false">'REV. FACHADA'!E56</f>
        <v>0</v>
      </c>
      <c r="BH32" s="93" t="n">
        <f aca="false">'REV. FACHADA'!E57</f>
        <v>0</v>
      </c>
      <c r="BI32" s="93" t="n">
        <f aca="false">'REV. FACHADA'!E58</f>
        <v>0</v>
      </c>
      <c r="BJ32" s="93" t="n">
        <f aca="false">'REV. FACHADA'!E59</f>
        <v>0</v>
      </c>
      <c r="BK32" s="93" t="n">
        <f aca="false">'REV. FACHADA'!E60</f>
        <v>0</v>
      </c>
      <c r="BL32" s="93" t="n">
        <f aca="false">'REV. FACHADA'!E61</f>
        <v>0</v>
      </c>
      <c r="BM32" s="93" t="n">
        <f aca="false">'REV. FACHADA'!E62</f>
        <v>0</v>
      </c>
      <c r="BN32" s="93" t="n">
        <f aca="false">'REV. FACHADA'!E63</f>
        <v>0</v>
      </c>
      <c r="BO32" s="93" t="n">
        <f aca="false">'REV. FACHADA'!E64</f>
        <v>0</v>
      </c>
      <c r="BP32" s="93" t="n">
        <f aca="false">'REV. FACHADA'!E65</f>
        <v>0</v>
      </c>
      <c r="BQ32" s="93" t="n">
        <f aca="false">'REV. FACHADA'!E66</f>
        <v>0</v>
      </c>
      <c r="BR32" s="93" t="n">
        <f aca="false">'REV. FACHADA'!E67</f>
        <v>0</v>
      </c>
      <c r="BS32" s="93" t="n">
        <f aca="false">'REV. FACHADA'!E68</f>
        <v>0</v>
      </c>
      <c r="BT32" s="93" t="n">
        <f aca="false">'REV. FACHADA'!E69</f>
        <v>0</v>
      </c>
      <c r="BU32" s="93" t="n">
        <f aca="false">'REV. FACHADA'!E70</f>
        <v>0</v>
      </c>
      <c r="BV32" s="93" t="n">
        <f aca="false">'REV. FACHADA'!E71</f>
        <v>0</v>
      </c>
      <c r="BW32" s="93" t="n">
        <f aca="false">'REV. FACHADA'!E72</f>
        <v>0</v>
      </c>
      <c r="BX32" s="93" t="n">
        <f aca="false">'REV. FACHADA'!E73</f>
        <v>0</v>
      </c>
      <c r="BY32" s="93" t="n">
        <f aca="false">'REV. FACHADA'!E74</f>
        <v>0</v>
      </c>
      <c r="BZ32" s="93" t="n">
        <f aca="false">'REV. FACHADA'!E75</f>
        <v>0</v>
      </c>
      <c r="CA32" s="93" t="n">
        <f aca="false">'REV. FACHADA'!E76</f>
        <v>0</v>
      </c>
    </row>
    <row r="33" customFormat="false" ht="15" hidden="false" customHeight="false" outlineLevel="0" collapsed="false">
      <c r="A33" s="55" t="s">
        <v>280</v>
      </c>
      <c r="B33" s="55" t="s">
        <v>316</v>
      </c>
      <c r="C33" s="55" t="s">
        <v>199</v>
      </c>
      <c r="D33" s="56" t="n">
        <f aca="false">'REV. ACAB'!$K$5</f>
        <v>6906.303424</v>
      </c>
      <c r="E33" s="45" t="n">
        <f aca="false">SUM(H33:CA33)</f>
        <v>6899.9699041981</v>
      </c>
      <c r="F33" s="45" t="n">
        <f aca="false">IF(D33="","",D33-E33)</f>
        <v>6.33351980190218</v>
      </c>
      <c r="H33" s="93" t="n">
        <f aca="false">'REV. ACAB'!E5</f>
        <v>0</v>
      </c>
      <c r="I33" s="93" t="n">
        <f aca="false">'REV. ACAB'!E6</f>
        <v>0</v>
      </c>
      <c r="J33" s="93" t="n">
        <f aca="false">'REV. ACAB'!E7</f>
        <v>0</v>
      </c>
      <c r="K33" s="93" t="n">
        <f aca="false">'REV. ACAB'!E8</f>
        <v>0</v>
      </c>
      <c r="L33" s="93" t="n">
        <f aca="false">'REV. ACAB'!E9</f>
        <v>0</v>
      </c>
      <c r="M33" s="93" t="n">
        <f aca="false">'REV. ACAB'!E10</f>
        <v>0</v>
      </c>
      <c r="N33" s="93" t="n">
        <f aca="false">'REV. ACAB'!E11</f>
        <v>0</v>
      </c>
      <c r="O33" s="93" t="n">
        <f aca="false">'REV. ACAB'!E12</f>
        <v>0</v>
      </c>
      <c r="P33" s="93" t="n">
        <f aca="false">'REV. ACAB'!E13</f>
        <v>0</v>
      </c>
      <c r="Q33" s="93" t="n">
        <f aca="false">'REV. ACAB'!E14</f>
        <v>0</v>
      </c>
      <c r="R33" s="93" t="n">
        <f aca="false">'REV. ACAB'!E15</f>
        <v>0</v>
      </c>
      <c r="S33" s="93" t="n">
        <f aca="false">'REV. ACAB'!E16</f>
        <v>0</v>
      </c>
      <c r="T33" s="93" t="n">
        <f aca="false">'REV. ACAB'!E17</f>
        <v>0</v>
      </c>
      <c r="U33" s="93" t="n">
        <f aca="false">'REV. ACAB'!E18</f>
        <v>0</v>
      </c>
      <c r="V33" s="93" t="n">
        <f aca="false">'REV. ACAB'!E19</f>
        <v>0</v>
      </c>
      <c r="W33" s="93" t="n">
        <f aca="false">'REV. ACAB'!E20</f>
        <v>0</v>
      </c>
      <c r="X33" s="93" t="n">
        <f aca="false">'REV. ACAB'!E21</f>
        <v>0</v>
      </c>
      <c r="Y33" s="93" t="n">
        <f aca="false">'REV. ACAB'!E22</f>
        <v>0</v>
      </c>
      <c r="Z33" s="93" t="n">
        <f aca="false">'REV. ACAB'!E23</f>
        <v>1.47084155512747</v>
      </c>
      <c r="AA33" s="93" t="n">
        <f aca="false">'REV. ACAB'!E24</f>
        <v>30.5465562377807</v>
      </c>
      <c r="AB33" s="93" t="n">
        <f aca="false">'REV. ACAB'!E25</f>
        <v>1.07151036056285</v>
      </c>
      <c r="AC33" s="93" t="n">
        <f aca="false">'REV. ACAB'!E26</f>
        <v>1.06915064682068</v>
      </c>
      <c r="AD33" s="93" t="n">
        <f aca="false">'REV. ACAB'!E27</f>
        <v>0</v>
      </c>
      <c r="AE33" s="93" t="n">
        <f aca="false">'REV. ACAB'!E28</f>
        <v>0.810006909063491</v>
      </c>
      <c r="AF33" s="93" t="n">
        <f aca="false">'REV. ACAB'!E29</f>
        <v>0</v>
      </c>
      <c r="AG33" s="93" t="n">
        <f aca="false">'REV. ACAB'!E30</f>
        <v>24.7140066185595</v>
      </c>
      <c r="AH33" s="93" t="n">
        <f aca="false">'REV. ACAB'!E31</f>
        <v>84.4395226134115</v>
      </c>
      <c r="AI33" s="93" t="n">
        <f aca="false">'REV. ACAB'!E32</f>
        <v>285.584076481132</v>
      </c>
      <c r="AJ33" s="93" t="n">
        <f aca="false">'REV. ACAB'!E33</f>
        <v>391.991604977707</v>
      </c>
      <c r="AK33" s="93" t="n">
        <f aca="false">'REV. ACAB'!E34</f>
        <v>485.355629981154</v>
      </c>
      <c r="AL33" s="93" t="n">
        <f aca="false">'REV. ACAB'!E35</f>
        <v>623.342166934778</v>
      </c>
      <c r="AM33" s="93" t="n">
        <f aca="false">'REV. ACAB'!E36</f>
        <v>330.893088615157</v>
      </c>
      <c r="AN33" s="93" t="n">
        <f aca="false">'REV. ACAB'!E37</f>
        <v>346.682592843681</v>
      </c>
      <c r="AO33" s="93" t="n">
        <f aca="false">'REV. ACAB'!E38</f>
        <v>409.154109573929</v>
      </c>
      <c r="AP33" s="93" t="n">
        <f aca="false">'REV. ACAB'!E39</f>
        <v>510.069636599714</v>
      </c>
      <c r="AQ33" s="93" t="n">
        <f aca="false">'REV. ACAB'!E40</f>
        <v>535.470143402122</v>
      </c>
      <c r="AR33" s="93" t="n">
        <f aca="false">'REV. ACAB'!E41</f>
        <v>494.966632555038</v>
      </c>
      <c r="AS33" s="93" t="n">
        <f aca="false">'REV. ACAB'!E42</f>
        <v>464.074124281839</v>
      </c>
      <c r="AT33" s="93" t="n">
        <f aca="false">'REV. ACAB'!E43</f>
        <v>447.598119869466</v>
      </c>
      <c r="AU33" s="93" t="n">
        <f aca="false">'REV. ACAB'!E44</f>
        <v>324.714586960518</v>
      </c>
      <c r="AV33" s="93" t="n">
        <f aca="false">'REV. ACAB'!E45</f>
        <v>104.348027945029</v>
      </c>
      <c r="AW33" s="93" t="n">
        <f aca="false">'REV. ACAB'!E46</f>
        <v>424.257113618605</v>
      </c>
      <c r="AX33" s="93" t="n">
        <f aca="false">'REV. ACAB'!E47</f>
        <v>145.538038975961</v>
      </c>
      <c r="AY33" s="93" t="n">
        <f aca="false">'REV. ACAB'!E48</f>
        <v>197.025552764627</v>
      </c>
      <c r="AZ33" s="93" t="n">
        <f aca="false">'REV. ACAB'!E49</f>
        <v>99.542526658087</v>
      </c>
      <c r="BA33" s="93" t="n">
        <f aca="false">'REV. ACAB'!E50</f>
        <v>57.6660154433057</v>
      </c>
      <c r="BB33" s="93" t="n">
        <f aca="false">'REV. ACAB'!E51</f>
        <v>8.92450239003505</v>
      </c>
      <c r="BC33" s="93" t="n">
        <f aca="false">'REV. ACAB'!E52</f>
        <v>68.6500183848874</v>
      </c>
      <c r="BD33" s="93" t="n">
        <f aca="false">'REV. ACAB'!E53</f>
        <v>0</v>
      </c>
      <c r="BE33" s="93" t="n">
        <f aca="false">'REV. ACAB'!E54</f>
        <v>0</v>
      </c>
      <c r="BF33" s="93" t="n">
        <f aca="false">'REV. ACAB'!E55</f>
        <v>0</v>
      </c>
      <c r="BG33" s="93" t="n">
        <f aca="false">'REV. ACAB'!E56</f>
        <v>0</v>
      </c>
      <c r="BH33" s="93" t="n">
        <f aca="false">'REV. ACAB'!E57</f>
        <v>0</v>
      </c>
      <c r="BI33" s="93" t="n">
        <f aca="false">'REV. ACAB'!E58</f>
        <v>0</v>
      </c>
      <c r="BJ33" s="93" t="n">
        <f aca="false">'REV. ACAB'!E59</f>
        <v>0</v>
      </c>
      <c r="BK33" s="93" t="n">
        <f aca="false">'REV. ACAB'!E60</f>
        <v>0</v>
      </c>
      <c r="BL33" s="93" t="n">
        <f aca="false">'REV. ACAB'!E61</f>
        <v>0</v>
      </c>
      <c r="BM33" s="93" t="n">
        <f aca="false">'REV. ACAB'!E62</f>
        <v>0</v>
      </c>
      <c r="BN33" s="93" t="n">
        <f aca="false">'REV. ACAB'!E63</f>
        <v>0</v>
      </c>
      <c r="BO33" s="93" t="n">
        <f aca="false">'REV. ACAB'!E64</f>
        <v>0</v>
      </c>
      <c r="BP33" s="93" t="n">
        <f aca="false">'REV. ACAB'!E65</f>
        <v>0</v>
      </c>
      <c r="BQ33" s="93" t="n">
        <f aca="false">'REV. ACAB'!E66</f>
        <v>0</v>
      </c>
      <c r="BR33" s="93" t="n">
        <f aca="false">'REV. ACAB'!E67</f>
        <v>0</v>
      </c>
      <c r="BS33" s="93" t="n">
        <f aca="false">'REV. ACAB'!E68</f>
        <v>0</v>
      </c>
      <c r="BT33" s="93" t="n">
        <f aca="false">'REV. ACAB'!E69</f>
        <v>0</v>
      </c>
      <c r="BU33" s="93" t="n">
        <f aca="false">'REV. ACAB'!E70</f>
        <v>0</v>
      </c>
      <c r="BV33" s="93" t="n">
        <f aca="false">'REV. ACAB'!E71</f>
        <v>0</v>
      </c>
      <c r="BW33" s="93" t="n">
        <f aca="false">'REV. ACAB'!E72</f>
        <v>0</v>
      </c>
      <c r="BX33" s="93" t="n">
        <f aca="false">'REV. ACAB'!E73</f>
        <v>0</v>
      </c>
      <c r="BY33" s="93" t="n">
        <f aca="false">'REV. ACAB'!E74</f>
        <v>0</v>
      </c>
      <c r="BZ33" s="93" t="n">
        <f aca="false">'REV. ACAB'!E75</f>
        <v>0</v>
      </c>
      <c r="CA33" s="93" t="n">
        <f aca="false">'REV. ACAB'!E76</f>
        <v>0</v>
      </c>
    </row>
    <row r="34" customFormat="false" ht="15" hidden="false" customHeight="false" outlineLevel="0" collapsed="false">
      <c r="A34" s="55" t="s">
        <v>280</v>
      </c>
      <c r="B34" s="55" t="s">
        <v>317</v>
      </c>
      <c r="C34" s="55" t="s">
        <v>192</v>
      </c>
      <c r="D34" s="56" t="n">
        <f aca="false">'REV. PISOS'!$K$5</f>
        <v>803.425409</v>
      </c>
      <c r="E34" s="45" t="n">
        <f aca="false">SUM(H34:CA34)</f>
        <v>873.285054879071</v>
      </c>
      <c r="F34" s="45" t="n">
        <f aca="false">IF(D34="","",D34-E34)</f>
        <v>-69.8596458790707</v>
      </c>
      <c r="H34" s="93" t="n">
        <f aca="false">'REV. PISOS'!E5</f>
        <v>0</v>
      </c>
      <c r="I34" s="93" t="n">
        <f aca="false">'REV. PISOS'!E6</f>
        <v>0</v>
      </c>
      <c r="J34" s="93" t="n">
        <f aca="false">'REV. PISOS'!E7</f>
        <v>0</v>
      </c>
      <c r="K34" s="93" t="n">
        <f aca="false">'REV. PISOS'!E8</f>
        <v>0</v>
      </c>
      <c r="L34" s="93" t="n">
        <f aca="false">'REV. PISOS'!E9</f>
        <v>0</v>
      </c>
      <c r="M34" s="93" t="n">
        <f aca="false">'REV. PISOS'!E10</f>
        <v>0</v>
      </c>
      <c r="N34" s="93" t="n">
        <f aca="false">'REV. PISOS'!E11</f>
        <v>0</v>
      </c>
      <c r="O34" s="93" t="n">
        <f aca="false">'REV. PISOS'!E12</f>
        <v>0</v>
      </c>
      <c r="P34" s="93" t="n">
        <f aca="false">'REV. PISOS'!E13</f>
        <v>0</v>
      </c>
      <c r="Q34" s="93" t="n">
        <f aca="false">'REV. PISOS'!E14</f>
        <v>0</v>
      </c>
      <c r="R34" s="93" t="n">
        <f aca="false">'REV. PISOS'!E15</f>
        <v>0</v>
      </c>
      <c r="S34" s="93" t="n">
        <f aca="false">'REV. PISOS'!E16</f>
        <v>0</v>
      </c>
      <c r="T34" s="93" t="n">
        <f aca="false">'REV. PISOS'!E17</f>
        <v>0</v>
      </c>
      <c r="U34" s="93" t="n">
        <f aca="false">'REV. PISOS'!E18</f>
        <v>0</v>
      </c>
      <c r="V34" s="93" t="n">
        <f aca="false">'REV. PISOS'!E19</f>
        <v>0</v>
      </c>
      <c r="W34" s="93" t="n">
        <f aca="false">'REV. PISOS'!E20</f>
        <v>0</v>
      </c>
      <c r="X34" s="93" t="n">
        <f aca="false">'REV. PISOS'!E21</f>
        <v>0</v>
      </c>
      <c r="Y34" s="93" t="n">
        <f aca="false">'REV. PISOS'!E22</f>
        <v>0</v>
      </c>
      <c r="Z34" s="93" t="n">
        <f aca="false">'REV. PISOS'!E23</f>
        <v>0</v>
      </c>
      <c r="AA34" s="93" t="n">
        <f aca="false">'REV. PISOS'!E24</f>
        <v>0</v>
      </c>
      <c r="AB34" s="93" t="n">
        <f aca="false">'REV. PISOS'!E25</f>
        <v>0</v>
      </c>
      <c r="AC34" s="93" t="n">
        <f aca="false">'REV. PISOS'!E26</f>
        <v>0</v>
      </c>
      <c r="AD34" s="93" t="n">
        <f aca="false">'REV. PISOS'!E27</f>
        <v>3.36185108757012</v>
      </c>
      <c r="AE34" s="93" t="n">
        <f aca="false">'REV. PISOS'!E28</f>
        <v>7.25452076791448</v>
      </c>
      <c r="AF34" s="93" t="n">
        <f aca="false">'REV. PISOS'!E29</f>
        <v>31.9375853319162</v>
      </c>
      <c r="AG34" s="93" t="n">
        <f aca="false">'REV. PISOS'!E30</f>
        <v>79.0919703233603</v>
      </c>
      <c r="AH34" s="93" t="n">
        <f aca="false">'REV. PISOS'!E31</f>
        <v>54.8512545866704</v>
      </c>
      <c r="AI34" s="93" t="n">
        <f aca="false">'REV. PISOS'!E32</f>
        <v>57.0629987232297</v>
      </c>
      <c r="AJ34" s="93" t="n">
        <f aca="false">'REV. PISOS'!E33</f>
        <v>64.6713985529937</v>
      </c>
      <c r="AK34" s="93" t="n">
        <f aca="false">'REV. PISOS'!E34</f>
        <v>86.877309684049</v>
      </c>
      <c r="AL34" s="93" t="n">
        <f aca="false">'REV. PISOS'!E35</f>
        <v>153.937391904527</v>
      </c>
      <c r="AM34" s="93" t="n">
        <f aca="false">'REV. PISOS'!E36</f>
        <v>62.9904730092087</v>
      </c>
      <c r="AN34" s="93" t="n">
        <f aca="false">'REV. PISOS'!E37</f>
        <v>57.0629987232297</v>
      </c>
      <c r="AO34" s="93" t="n">
        <f aca="false">'REV. PISOS'!E38</f>
        <v>73.8722541610803</v>
      </c>
      <c r="AP34" s="93" t="n">
        <f aca="false">'REV. PISOS'!E39</f>
        <v>55.2936034139823</v>
      </c>
      <c r="AQ34" s="93" t="n">
        <f aca="false">'REV. PISOS'!E40</f>
        <v>16.897725203313</v>
      </c>
      <c r="AR34" s="93" t="n">
        <f aca="false">'REV. PISOS'!E41</f>
        <v>26.0985808113997</v>
      </c>
      <c r="AS34" s="93" t="n">
        <f aca="false">'REV. PISOS'!E42</f>
        <v>3.53879061849492</v>
      </c>
      <c r="AT34" s="93" t="n">
        <f aca="false">'REV. PISOS'!E43</f>
        <v>2.388683667484</v>
      </c>
      <c r="AU34" s="93" t="n">
        <f aca="false">'REV. PISOS'!E44</f>
        <v>14.4205717703665</v>
      </c>
      <c r="AV34" s="93" t="n">
        <f aca="false">'REV. PISOS'!E45</f>
        <v>21.6750925382811</v>
      </c>
      <c r="AW34" s="93" t="n">
        <f aca="false">'REV. PISOS'!E46</f>
        <v>0</v>
      </c>
      <c r="AX34" s="93" t="n">
        <f aca="false">'REV. PISOS'!E47</f>
        <v>0</v>
      </c>
      <c r="AY34" s="93" t="n">
        <f aca="false">'REV. PISOS'!E48</f>
        <v>0</v>
      </c>
      <c r="AZ34" s="93" t="n">
        <f aca="false">'REV. PISOS'!E49</f>
        <v>0</v>
      </c>
      <c r="BA34" s="93" t="n">
        <f aca="false">'REV. PISOS'!E50</f>
        <v>0</v>
      </c>
      <c r="BB34" s="93" t="n">
        <f aca="false">'REV. PISOS'!E51</f>
        <v>0</v>
      </c>
      <c r="BC34" s="93" t="n">
        <f aca="false">'REV. PISOS'!E52</f>
        <v>0</v>
      </c>
      <c r="BD34" s="93" t="n">
        <f aca="false">'REV. PISOS'!E53</f>
        <v>0</v>
      </c>
      <c r="BE34" s="93" t="n">
        <f aca="false">'REV. PISOS'!E54</f>
        <v>0</v>
      </c>
      <c r="BF34" s="93" t="n">
        <f aca="false">'REV. PISOS'!E55</f>
        <v>0</v>
      </c>
      <c r="BG34" s="93" t="n">
        <f aca="false">'REV. PISOS'!E56</f>
        <v>0</v>
      </c>
      <c r="BH34" s="93" t="n">
        <f aca="false">'REV. PISOS'!E57</f>
        <v>0</v>
      </c>
      <c r="BI34" s="93" t="n">
        <f aca="false">'REV. PISOS'!E58</f>
        <v>0</v>
      </c>
      <c r="BJ34" s="93" t="n">
        <f aca="false">'REV. PISOS'!E59</f>
        <v>0</v>
      </c>
      <c r="BK34" s="93" t="n">
        <f aca="false">'REV. PISOS'!E60</f>
        <v>0</v>
      </c>
      <c r="BL34" s="93" t="n">
        <f aca="false">'REV. PISOS'!E61</f>
        <v>0</v>
      </c>
      <c r="BM34" s="93" t="n">
        <f aca="false">'REV. PISOS'!E62</f>
        <v>0</v>
      </c>
      <c r="BN34" s="93" t="n">
        <f aca="false">'REV. PISOS'!E63</f>
        <v>0</v>
      </c>
      <c r="BO34" s="93" t="n">
        <f aca="false">'REV. PISOS'!E64</f>
        <v>0</v>
      </c>
      <c r="BP34" s="93" t="n">
        <f aca="false">'REV. PISOS'!E65</f>
        <v>0</v>
      </c>
      <c r="BQ34" s="93" t="n">
        <f aca="false">'REV. PISOS'!E66</f>
        <v>0</v>
      </c>
      <c r="BR34" s="93" t="n">
        <f aca="false">'REV. PISOS'!E67</f>
        <v>0</v>
      </c>
      <c r="BS34" s="93" t="n">
        <f aca="false">'REV. PISOS'!E68</f>
        <v>0</v>
      </c>
      <c r="BT34" s="93" t="n">
        <f aca="false">'REV. PISOS'!E69</f>
        <v>0</v>
      </c>
      <c r="BU34" s="93" t="n">
        <f aca="false">'REV. PISOS'!E70</f>
        <v>0</v>
      </c>
      <c r="BV34" s="93" t="n">
        <f aca="false">'REV. PISOS'!E71</f>
        <v>0</v>
      </c>
      <c r="BW34" s="93" t="n">
        <f aca="false">'REV. PISOS'!E72</f>
        <v>0</v>
      </c>
      <c r="BX34" s="93" t="n">
        <f aca="false">'REV. PISOS'!E73</f>
        <v>0</v>
      </c>
      <c r="BY34" s="93" t="n">
        <f aca="false">'REV. PISOS'!E74</f>
        <v>0</v>
      </c>
      <c r="BZ34" s="93" t="n">
        <f aca="false">'REV. PISOS'!E75</f>
        <v>0</v>
      </c>
      <c r="CA34" s="93" t="n">
        <f aca="false">'REV. PISOS'!E76</f>
        <v>0</v>
      </c>
    </row>
    <row r="35" customFormat="false" ht="15" hidden="false" customHeight="false" outlineLevel="0" collapsed="false">
      <c r="A35" s="55" t="s">
        <v>280</v>
      </c>
      <c r="B35" s="55" t="s">
        <v>318</v>
      </c>
      <c r="C35" s="55" t="s">
        <v>195</v>
      </c>
      <c r="D35" s="56" t="n">
        <f aca="false">'REV. PAREDE'!$K$5</f>
        <v>1607.136226</v>
      </c>
      <c r="E35" s="45" t="n">
        <f aca="false">SUM(H35:CA35)</f>
        <v>1810.05557946601</v>
      </c>
      <c r="F35" s="45" t="n">
        <f aca="false">IF(D35="","",D35-E35)</f>
        <v>-202.919353466013</v>
      </c>
      <c r="H35" s="93" t="n">
        <f aca="false">'REV. PAREDE'!E5</f>
        <v>0</v>
      </c>
      <c r="I35" s="93" t="n">
        <f aca="false">'REV. PAREDE'!E6</f>
        <v>0</v>
      </c>
      <c r="J35" s="93" t="n">
        <f aca="false">'REV. PAREDE'!E7</f>
        <v>0</v>
      </c>
      <c r="K35" s="93" t="n">
        <f aca="false">'REV. PAREDE'!E8</f>
        <v>0</v>
      </c>
      <c r="L35" s="93" t="n">
        <f aca="false">'REV. PAREDE'!E9</f>
        <v>0</v>
      </c>
      <c r="M35" s="93" t="n">
        <f aca="false">'REV. PAREDE'!E10</f>
        <v>0</v>
      </c>
      <c r="N35" s="93" t="n">
        <f aca="false">'REV. PAREDE'!E11</f>
        <v>0</v>
      </c>
      <c r="O35" s="93" t="n">
        <f aca="false">'REV. PAREDE'!E12</f>
        <v>0</v>
      </c>
      <c r="P35" s="93" t="n">
        <f aca="false">'REV. PAREDE'!E13</f>
        <v>0</v>
      </c>
      <c r="Q35" s="93" t="n">
        <f aca="false">'REV. PAREDE'!E14</f>
        <v>0</v>
      </c>
      <c r="R35" s="93" t="n">
        <f aca="false">'REV. PAREDE'!E15</f>
        <v>0</v>
      </c>
      <c r="S35" s="93" t="n">
        <f aca="false">'REV. PAREDE'!E16</f>
        <v>0</v>
      </c>
      <c r="T35" s="93" t="n">
        <f aca="false">'REV. PAREDE'!E17</f>
        <v>0</v>
      </c>
      <c r="U35" s="93" t="n">
        <f aca="false">'REV. PAREDE'!E18</f>
        <v>0</v>
      </c>
      <c r="V35" s="93" t="n">
        <f aca="false">'REV. PAREDE'!E19</f>
        <v>0</v>
      </c>
      <c r="W35" s="93" t="n">
        <f aca="false">'REV. PAREDE'!E20</f>
        <v>0</v>
      </c>
      <c r="X35" s="93" t="n">
        <f aca="false">'REV. PAREDE'!E21</f>
        <v>0</v>
      </c>
      <c r="Y35" s="93" t="n">
        <f aca="false">'REV. PAREDE'!E22</f>
        <v>0</v>
      </c>
      <c r="Z35" s="93" t="n">
        <f aca="false">'REV. PAREDE'!E23</f>
        <v>0</v>
      </c>
      <c r="AA35" s="93" t="n">
        <f aca="false">'REV. PAREDE'!E24</f>
        <v>3.05401686236981</v>
      </c>
      <c r="AB35" s="93" t="n">
        <f aca="false">'REV. PAREDE'!E25</f>
        <v>23.0651659471242</v>
      </c>
      <c r="AC35" s="93" t="n">
        <f aca="false">'REV. PAREDE'!E26</f>
        <v>15.1390660608028</v>
      </c>
      <c r="AD35" s="93" t="n">
        <f aca="false">'REV. PAREDE'!E27</f>
        <v>108.176903082939</v>
      </c>
      <c r="AE35" s="93" t="n">
        <f aca="false">'REV. PAREDE'!E28</f>
        <v>40.605135485455</v>
      </c>
      <c r="AF35" s="93" t="n">
        <f aca="false">'REV. PAREDE'!E29</f>
        <v>40.8061510076603</v>
      </c>
      <c r="AG35" s="93" t="n">
        <f aca="false">'REV. PAREDE'!E30</f>
        <v>88.0447987258876</v>
      </c>
      <c r="AH35" s="93" t="n">
        <f aca="false">'REV. PAREDE'!E31</f>
        <v>125.031654811649</v>
      </c>
      <c r="AI35" s="93" t="n">
        <f aca="false">'REV. PAREDE'!E32</f>
        <v>160.209371197563</v>
      </c>
      <c r="AJ35" s="93" t="n">
        <f aca="false">'REV. PAREDE'!E33</f>
        <v>159.807340153152</v>
      </c>
      <c r="AK35" s="93" t="n">
        <f aca="false">'REV. PAREDE'!E34</f>
        <v>190.562715050551</v>
      </c>
      <c r="AL35" s="93" t="n">
        <f aca="false">'REV. PAREDE'!E35</f>
        <v>135.48446196632</v>
      </c>
      <c r="AM35" s="93" t="n">
        <f aca="false">'REV. PAREDE'!E36</f>
        <v>167.646945519156</v>
      </c>
      <c r="AN35" s="93" t="n">
        <f aca="false">'REV. PAREDE'!E37</f>
        <v>195.990134150092</v>
      </c>
      <c r="AO35" s="93" t="n">
        <f aca="false">'REV. PAREDE'!E38</f>
        <v>176.29061297398</v>
      </c>
      <c r="AP35" s="93" t="n">
        <f aca="false">'REV. PAREDE'!E39</f>
        <v>44.8264614517648</v>
      </c>
      <c r="AQ35" s="93" t="n">
        <f aca="false">'REV. PAREDE'!E40</f>
        <v>67.3401999387499</v>
      </c>
      <c r="AR35" s="93" t="n">
        <f aca="false">'REV. PAREDE'!E41</f>
        <v>53.2691133843839</v>
      </c>
      <c r="AS35" s="93" t="n">
        <f aca="false">'REV. PAREDE'!E42</f>
        <v>5.62843462174627</v>
      </c>
      <c r="AT35" s="93" t="n">
        <f aca="false">'REV. PAREDE'!E43</f>
        <v>4.82437253292525</v>
      </c>
      <c r="AU35" s="93" t="n">
        <f aca="false">'REV. PAREDE'!E44</f>
        <v>3.01523283307846</v>
      </c>
      <c r="AV35" s="93" t="n">
        <f aca="false">'REV. PAREDE'!E45</f>
        <v>0</v>
      </c>
      <c r="AW35" s="93" t="n">
        <f aca="false">'REV. PAREDE'!E46</f>
        <v>0</v>
      </c>
      <c r="AX35" s="93" t="n">
        <f aca="false">'REV. PAREDE'!E47</f>
        <v>0</v>
      </c>
      <c r="AY35" s="93" t="n">
        <f aca="false">'REV. PAREDE'!E48</f>
        <v>1.23729170866218</v>
      </c>
      <c r="AZ35" s="93" t="n">
        <f aca="false">'REV. PAREDE'!E49</f>
        <v>0</v>
      </c>
      <c r="BA35" s="93" t="n">
        <f aca="false">'REV. PAREDE'!E50</f>
        <v>0</v>
      </c>
      <c r="BB35" s="93" t="n">
        <f aca="false">'REV. PAREDE'!E51</f>
        <v>0</v>
      </c>
      <c r="BC35" s="93" t="n">
        <f aca="false">'REV. PAREDE'!E52</f>
        <v>0</v>
      </c>
      <c r="BD35" s="93" t="n">
        <f aca="false">'REV. PAREDE'!E53</f>
        <v>0</v>
      </c>
      <c r="BE35" s="93" t="n">
        <f aca="false">'REV. PAREDE'!E54</f>
        <v>0</v>
      </c>
      <c r="BF35" s="93" t="n">
        <f aca="false">'REV. PAREDE'!E55</f>
        <v>0</v>
      </c>
      <c r="BG35" s="93" t="n">
        <f aca="false">'REV. PAREDE'!E56</f>
        <v>0</v>
      </c>
      <c r="BH35" s="93" t="n">
        <f aca="false">'REV. PAREDE'!E57</f>
        <v>0</v>
      </c>
      <c r="BI35" s="93" t="n">
        <f aca="false">'REV. PAREDE'!E58</f>
        <v>0</v>
      </c>
      <c r="BJ35" s="93" t="n">
        <f aca="false">'REV. PAREDE'!E59</f>
        <v>0</v>
      </c>
      <c r="BK35" s="93" t="n">
        <f aca="false">'REV. PAREDE'!E60</f>
        <v>0</v>
      </c>
      <c r="BL35" s="93" t="n">
        <f aca="false">'REV. PAREDE'!E61</f>
        <v>0</v>
      </c>
      <c r="BM35" s="93" t="n">
        <f aca="false">'REV. PAREDE'!E62</f>
        <v>0</v>
      </c>
      <c r="BN35" s="93" t="n">
        <f aca="false">'REV. PAREDE'!E63</f>
        <v>0</v>
      </c>
      <c r="BO35" s="93" t="n">
        <f aca="false">'REV. PAREDE'!E64</f>
        <v>0</v>
      </c>
      <c r="BP35" s="93" t="n">
        <f aca="false">'REV. PAREDE'!E65</f>
        <v>0</v>
      </c>
      <c r="BQ35" s="93" t="n">
        <f aca="false">'REV. PAREDE'!E66</f>
        <v>0</v>
      </c>
      <c r="BR35" s="93" t="n">
        <f aca="false">'REV. PAREDE'!E67</f>
        <v>0</v>
      </c>
      <c r="BS35" s="93" t="n">
        <f aca="false">'REV. PAREDE'!E68</f>
        <v>0</v>
      </c>
      <c r="BT35" s="93" t="n">
        <f aca="false">'REV. PAREDE'!E69</f>
        <v>0</v>
      </c>
      <c r="BU35" s="93" t="n">
        <f aca="false">'REV. PAREDE'!E70</f>
        <v>0</v>
      </c>
      <c r="BV35" s="93" t="n">
        <f aca="false">'REV. PAREDE'!E71</f>
        <v>0</v>
      </c>
      <c r="BW35" s="93" t="n">
        <f aca="false">'REV. PAREDE'!E72</f>
        <v>0</v>
      </c>
      <c r="BX35" s="93" t="n">
        <f aca="false">'REV. PAREDE'!E73</f>
        <v>0</v>
      </c>
      <c r="BY35" s="93" t="n">
        <f aca="false">'REV. PAREDE'!E74</f>
        <v>0</v>
      </c>
      <c r="BZ35" s="93" t="n">
        <f aca="false">'REV. PAREDE'!E75</f>
        <v>0</v>
      </c>
      <c r="CA35" s="93" t="n">
        <f aca="false">'REV. PAREDE'!E76</f>
        <v>0</v>
      </c>
    </row>
    <row r="36" customFormat="false" ht="15" hidden="false" customHeight="false" outlineLevel="0" collapsed="false">
      <c r="A36" s="55" t="s">
        <v>280</v>
      </c>
      <c r="B36" s="55" t="s">
        <v>319</v>
      </c>
      <c r="C36" s="55" t="s">
        <v>320</v>
      </c>
      <c r="E36" s="45" t="n">
        <f aca="false">SUM(H36:CA36)</f>
        <v>0</v>
      </c>
      <c r="F36" s="45" t="str">
        <f aca="false">IF(D36="","",D36-E36)</f>
        <v/>
      </c>
    </row>
    <row r="37" customFormat="false" ht="15" hidden="false" customHeight="false" outlineLevel="0" collapsed="false">
      <c r="A37" s="55" t="s">
        <v>280</v>
      </c>
      <c r="B37" s="55" t="s">
        <v>321</v>
      </c>
      <c r="C37" s="55" t="s">
        <v>196</v>
      </c>
      <c r="E37" s="45" t="n">
        <f aca="false">SUM(H37:CA37)</f>
        <v>0</v>
      </c>
      <c r="F37" s="45" t="str">
        <f aca="false">IF(D37="","",D37-E37)</f>
        <v/>
      </c>
    </row>
    <row r="38" customFormat="false" ht="15" hidden="false" customHeight="false" outlineLevel="0" collapsed="false">
      <c r="A38" s="55" t="s">
        <v>280</v>
      </c>
      <c r="B38" s="55" t="s">
        <v>322</v>
      </c>
      <c r="C38" s="55" t="s">
        <v>323</v>
      </c>
      <c r="E38" s="45" t="n">
        <f aca="false">SUM(H38:CA38)</f>
        <v>0</v>
      </c>
      <c r="F38" s="45" t="str">
        <f aca="false">IF(D38="","",D38-E38)</f>
        <v/>
      </c>
    </row>
    <row r="39" customFormat="false" ht="15" hidden="false" customHeight="false" outlineLevel="0" collapsed="false">
      <c r="A39" s="55" t="s">
        <v>280</v>
      </c>
      <c r="B39" s="55" t="s">
        <v>324</v>
      </c>
      <c r="C39" s="55" t="s">
        <v>325</v>
      </c>
      <c r="E39" s="45" t="n">
        <f aca="false">SUM(H39:CA39)</f>
        <v>0</v>
      </c>
      <c r="F39" s="45" t="str">
        <f aca="false">IF(D39="","",D39-E39)</f>
        <v/>
      </c>
    </row>
    <row r="40" customFormat="false" ht="15" hidden="false" customHeight="false" outlineLevel="0" collapsed="false">
      <c r="A40" s="55" t="s">
        <v>280</v>
      </c>
      <c r="B40" s="55" t="s">
        <v>326</v>
      </c>
      <c r="C40" s="55" t="s">
        <v>75</v>
      </c>
      <c r="E40" s="45" t="n">
        <f aca="false">SUM(H40:CA40)</f>
        <v>0</v>
      </c>
      <c r="F40" s="45" t="str">
        <f aca="false">IF(D40="","",D40-E40)</f>
        <v/>
      </c>
    </row>
    <row r="41" customFormat="false" ht="15" hidden="false" customHeight="false" outlineLevel="0" collapsed="false">
      <c r="A41" s="55" t="s">
        <v>280</v>
      </c>
      <c r="B41" s="55" t="s">
        <v>327</v>
      </c>
      <c r="C41" s="55" t="s">
        <v>64</v>
      </c>
      <c r="D41" s="56" t="n">
        <f aca="false">SEGUROS!$K$5</f>
        <v>133.555265</v>
      </c>
      <c r="E41" s="45" t="n">
        <f aca="false">SUM(H41:CA41)</f>
        <v>133.510822798369</v>
      </c>
      <c r="F41" s="45" t="n">
        <f aca="false">IF(D41="","",D41-E41)</f>
        <v>0.0444422016307158</v>
      </c>
      <c r="H41" s="93" t="n">
        <f aca="false">SEGUROS!E5</f>
        <v>0</v>
      </c>
      <c r="I41" s="93" t="n">
        <f aca="false">SEGUROS!E6</f>
        <v>0</v>
      </c>
      <c r="J41" s="93" t="n">
        <f aca="false">SEGUROS!E7</f>
        <v>0</v>
      </c>
      <c r="K41" s="93" t="n">
        <f aca="false">SEGUROS!E8</f>
        <v>11.7215666173902</v>
      </c>
      <c r="L41" s="93" t="n">
        <f aca="false">SEGUROS!E9</f>
        <v>11.6614209658056</v>
      </c>
      <c r="M41" s="93" t="n">
        <f aca="false">SEGUROS!E10</f>
        <v>11.5942222412486</v>
      </c>
      <c r="N41" s="93" t="n">
        <f aca="false">SEGUROS!E11</f>
        <v>12.6131692217399</v>
      </c>
      <c r="O41" s="93" t="n">
        <f aca="false">SEGUROS!E12</f>
        <v>11.4108557743226</v>
      </c>
      <c r="P41" s="93" t="n">
        <f aca="false">SEGUROS!E13</f>
        <v>11.3523809367259</v>
      </c>
      <c r="Q41" s="93" t="n">
        <f aca="false">SEGUROS!E14</f>
        <v>11.3333940514315</v>
      </c>
      <c r="R41" s="93" t="n">
        <f aca="false">SEGUROS!E15</f>
        <v>0</v>
      </c>
      <c r="S41" s="93" t="n">
        <f aca="false">SEGUROS!E16</f>
        <v>0</v>
      </c>
      <c r="T41" s="93" t="n">
        <f aca="false">SEGUROS!E17</f>
        <v>0.285158053382252</v>
      </c>
      <c r="U41" s="93" t="n">
        <f aca="false">SEGUROS!E18</f>
        <v>0.28309604570926</v>
      </c>
      <c r="V41" s="93" t="n">
        <f aca="false">SEGUROS!E19</f>
        <v>0</v>
      </c>
      <c r="W41" s="93" t="n">
        <f aca="false">SEGUROS!E20</f>
        <v>0.561586489851914</v>
      </c>
      <c r="X41" s="93" t="n">
        <f aca="false">SEGUROS!E21</f>
        <v>0.278013292560167</v>
      </c>
      <c r="Y41" s="93" t="n">
        <f aca="false">SEGUROS!E22</f>
        <v>0.275589342839942</v>
      </c>
      <c r="Z41" s="93" t="n">
        <f aca="false">SEGUROS!E23</f>
        <v>0</v>
      </c>
      <c r="AA41" s="93" t="n">
        <f aca="false">SEGUROS!E24</f>
        <v>0</v>
      </c>
      <c r="AB41" s="93" t="n">
        <f aca="false">SEGUROS!E25</f>
        <v>0</v>
      </c>
      <c r="AC41" s="93" t="n">
        <f aca="false">SEGUROS!E26</f>
        <v>1.86393145716611</v>
      </c>
      <c r="AD41" s="93" t="n">
        <f aca="false">SEGUROS!E27</f>
        <v>1.79741297032256</v>
      </c>
      <c r="AE41" s="93" t="n">
        <f aca="false">SEGUROS!E28</f>
        <v>1.78413341176401</v>
      </c>
      <c r="AF41" s="93" t="n">
        <f aca="false">SEGUROS!E29</f>
        <v>1.78413341176401</v>
      </c>
      <c r="AG41" s="93" t="n">
        <f aca="false">SEGUROS!E30</f>
        <v>1.78413341176401</v>
      </c>
      <c r="AH41" s="93" t="n">
        <f aca="false">SEGUROS!E31</f>
        <v>1.87569004377252</v>
      </c>
      <c r="AI41" s="93" t="n">
        <f aca="false">SEGUROS!E32</f>
        <v>1.78413341176401</v>
      </c>
      <c r="AJ41" s="93" t="n">
        <f aca="false">SEGUROS!E33</f>
        <v>1.78413341176401</v>
      </c>
      <c r="AK41" s="93" t="n">
        <f aca="false">SEGUROS!E34</f>
        <v>1.78413341176401</v>
      </c>
      <c r="AL41" s="93" t="n">
        <f aca="false">SEGUROS!E35</f>
        <v>1.78413341176401</v>
      </c>
      <c r="AM41" s="93" t="n">
        <f aca="false">SEGUROS!E36</f>
        <v>1.78413341176401</v>
      </c>
      <c r="AN41" s="93" t="n">
        <f aca="false">SEGUROS!E37</f>
        <v>1.78413341176401</v>
      </c>
      <c r="AO41" s="93" t="n">
        <f aca="false">SEGUROS!E38</f>
        <v>1.78413341176401</v>
      </c>
      <c r="AP41" s="93" t="n">
        <f aca="false">SEGUROS!E39</f>
        <v>1.78413341176401</v>
      </c>
      <c r="AQ41" s="93" t="n">
        <f aca="false">SEGUROS!E40</f>
        <v>1.78413341176401</v>
      </c>
      <c r="AR41" s="93" t="n">
        <f aca="false">SEGUROS!E41</f>
        <v>1.78413341176401</v>
      </c>
      <c r="AS41" s="93" t="n">
        <f aca="false">SEGUROS!E42</f>
        <v>1.78413341176401</v>
      </c>
      <c r="AT41" s="93" t="n">
        <f aca="false">SEGUROS!E43</f>
        <v>1.78413341176401</v>
      </c>
      <c r="AU41" s="93" t="n">
        <f aca="false">SEGUROS!E44</f>
        <v>1.78413341176401</v>
      </c>
      <c r="AV41" s="93" t="n">
        <f aca="false">SEGUROS!E45</f>
        <v>1.78413341176401</v>
      </c>
      <c r="AW41" s="93" t="n">
        <f aca="false">SEGUROS!E46</f>
        <v>1.78413341176401</v>
      </c>
      <c r="AX41" s="93" t="n">
        <f aca="false">SEGUROS!E47</f>
        <v>1.78413341176401</v>
      </c>
      <c r="AY41" s="93" t="n">
        <f aca="false">SEGUROS!E48</f>
        <v>1.78413341176401</v>
      </c>
      <c r="AZ41" s="93" t="n">
        <f aca="false">SEGUROS!E49</f>
        <v>1.78413341176401</v>
      </c>
      <c r="BA41" s="93" t="n">
        <f aca="false">SEGUROS!E50</f>
        <v>1.78413341176401</v>
      </c>
      <c r="BB41" s="93" t="n">
        <f aca="false">SEGUROS!E51</f>
        <v>1.78413341176401</v>
      </c>
      <c r="BC41" s="93" t="n">
        <f aca="false">SEGUROS!E52</f>
        <v>1.78413341176401</v>
      </c>
      <c r="BD41" s="93" t="n">
        <f aca="false">SEGUROS!E53</f>
        <v>1.78413341176401</v>
      </c>
      <c r="BE41" s="93" t="n">
        <f aca="false">SEGUROS!E54</f>
        <v>0</v>
      </c>
      <c r="BF41" s="93" t="n">
        <f aca="false">SEGUROS!E55</f>
        <v>0</v>
      </c>
      <c r="BG41" s="93" t="n">
        <f aca="false">SEGUROS!E56</f>
        <v>0</v>
      </c>
      <c r="BH41" s="93" t="n">
        <f aca="false">SEGUROS!E57</f>
        <v>0</v>
      </c>
      <c r="BI41" s="93" t="n">
        <f aca="false">SEGUROS!E58</f>
        <v>0</v>
      </c>
      <c r="BJ41" s="93" t="n">
        <f aca="false">SEGUROS!E59</f>
        <v>0</v>
      </c>
      <c r="BK41" s="93" t="n">
        <f aca="false">SEGUROS!E60</f>
        <v>0</v>
      </c>
      <c r="BL41" s="93" t="n">
        <f aca="false">SEGUROS!E61</f>
        <v>0</v>
      </c>
      <c r="BM41" s="93" t="n">
        <f aca="false">SEGUROS!E62</f>
        <v>0</v>
      </c>
      <c r="BN41" s="93" t="n">
        <f aca="false">SEGUROS!E63</f>
        <v>0</v>
      </c>
      <c r="BO41" s="93" t="n">
        <f aca="false">SEGUROS!E64</f>
        <v>0</v>
      </c>
      <c r="BP41" s="93" t="n">
        <f aca="false">SEGUROS!E65</f>
        <v>0</v>
      </c>
      <c r="BQ41" s="93" t="n">
        <f aca="false">SEGUROS!E66</f>
        <v>0</v>
      </c>
      <c r="BR41" s="93" t="n">
        <f aca="false">SEGUROS!E67</f>
        <v>0</v>
      </c>
      <c r="BS41" s="93" t="n">
        <f aca="false">SEGUROS!E68</f>
        <v>0</v>
      </c>
      <c r="BT41" s="93" t="n">
        <f aca="false">SEGUROS!E69</f>
        <v>0</v>
      </c>
      <c r="BU41" s="93" t="n">
        <f aca="false">SEGUROS!E70</f>
        <v>0</v>
      </c>
      <c r="BV41" s="93" t="n">
        <f aca="false">SEGUROS!E71</f>
        <v>0</v>
      </c>
      <c r="BW41" s="93" t="n">
        <f aca="false">SEGUROS!E72</f>
        <v>0</v>
      </c>
      <c r="BX41" s="93" t="n">
        <f aca="false">SEGUROS!E73</f>
        <v>0</v>
      </c>
      <c r="BY41" s="93" t="n">
        <f aca="false">SEGUROS!E74</f>
        <v>0</v>
      </c>
      <c r="BZ41" s="93" t="n">
        <f aca="false">SEGUROS!E75</f>
        <v>0</v>
      </c>
      <c r="CA41" s="93" t="n">
        <f aca="false">SEGUROS!E76</f>
        <v>0</v>
      </c>
    </row>
    <row r="42" customFormat="false" ht="15" hidden="false" customHeight="false" outlineLevel="0" collapsed="false">
      <c r="A42" s="55" t="s">
        <v>280</v>
      </c>
      <c r="B42" s="55" t="s">
        <v>328</v>
      </c>
      <c r="C42" s="55" t="s">
        <v>186</v>
      </c>
      <c r="D42" s="56" t="n">
        <f aca="false">SERRALHERIA!$K$5</f>
        <v>496.776532</v>
      </c>
      <c r="E42" s="45" t="n">
        <f aca="false">SUM(H42:CA42)</f>
        <v>496.318637887941</v>
      </c>
      <c r="F42" s="45" t="n">
        <f aca="false">IF(D42="","",D42-E42)</f>
        <v>0.457894112058682</v>
      </c>
      <c r="H42" s="93" t="n">
        <f aca="false">SERRALHERIA!E5</f>
        <v>0</v>
      </c>
      <c r="I42" s="93" t="n">
        <f aca="false">SERRALHERIA!E6</f>
        <v>0</v>
      </c>
      <c r="J42" s="93" t="n">
        <f aca="false">SERRALHERIA!E7</f>
        <v>0</v>
      </c>
      <c r="K42" s="93" t="n">
        <f aca="false">SERRALHERIA!E8</f>
        <v>0</v>
      </c>
      <c r="L42" s="93" t="n">
        <f aca="false">SERRALHERIA!E9</f>
        <v>0</v>
      </c>
      <c r="M42" s="93" t="n">
        <f aca="false">SERRALHERIA!E10</f>
        <v>0</v>
      </c>
      <c r="N42" s="93" t="n">
        <f aca="false">SERRALHERIA!E11</f>
        <v>0</v>
      </c>
      <c r="O42" s="93" t="n">
        <f aca="false">SERRALHERIA!E12</f>
        <v>0</v>
      </c>
      <c r="P42" s="93" t="n">
        <f aca="false">SERRALHERIA!E13</f>
        <v>0</v>
      </c>
      <c r="Q42" s="93" t="n">
        <f aca="false">SERRALHERIA!E14</f>
        <v>0</v>
      </c>
      <c r="R42" s="93" t="n">
        <f aca="false">SERRALHERIA!E15</f>
        <v>0</v>
      </c>
      <c r="S42" s="93" t="n">
        <f aca="false">SERRALHERIA!E16</f>
        <v>0</v>
      </c>
      <c r="T42" s="93" t="n">
        <f aca="false">SERRALHERIA!E17</f>
        <v>0</v>
      </c>
      <c r="U42" s="93" t="n">
        <f aca="false">SERRALHERIA!E18</f>
        <v>0</v>
      </c>
      <c r="V42" s="93" t="n">
        <f aca="false">SERRALHERIA!E19</f>
        <v>0</v>
      </c>
      <c r="W42" s="93" t="n">
        <f aca="false">SERRALHERIA!E20</f>
        <v>0</v>
      </c>
      <c r="X42" s="93" t="n">
        <f aca="false">SERRALHERIA!E21</f>
        <v>0</v>
      </c>
      <c r="Y42" s="93" t="n">
        <f aca="false">SERRALHERIA!E22</f>
        <v>0</v>
      </c>
      <c r="Z42" s="93" t="n">
        <f aca="false">SERRALHERIA!E23</f>
        <v>0</v>
      </c>
      <c r="AA42" s="93" t="n">
        <f aca="false">SERRALHERIA!E24</f>
        <v>0</v>
      </c>
      <c r="AB42" s="93" t="n">
        <f aca="false">SERRALHERIA!E25</f>
        <v>0</v>
      </c>
      <c r="AC42" s="93" t="n">
        <f aca="false">SERRALHERIA!E26</f>
        <v>0</v>
      </c>
      <c r="AD42" s="93" t="n">
        <f aca="false">SERRALHERIA!E27</f>
        <v>0</v>
      </c>
      <c r="AE42" s="93" t="n">
        <f aca="false">SERRALHERIA!E28</f>
        <v>0</v>
      </c>
      <c r="AF42" s="93" t="n">
        <f aca="false">SERRALHERIA!E29</f>
        <v>0</v>
      </c>
      <c r="AG42" s="93" t="n">
        <f aca="false">SERRALHERIA!E30</f>
        <v>0</v>
      </c>
      <c r="AH42" s="93" t="n">
        <f aca="false">SERRALHERIA!E31</f>
        <v>0</v>
      </c>
      <c r="AI42" s="93" t="n">
        <f aca="false">SERRALHERIA!E32</f>
        <v>0</v>
      </c>
      <c r="AJ42" s="93" t="n">
        <f aca="false">SERRALHERIA!E33</f>
        <v>0</v>
      </c>
      <c r="AK42" s="93" t="n">
        <f aca="false">SERRALHERIA!E34</f>
        <v>0</v>
      </c>
      <c r="AL42" s="93" t="n">
        <f aca="false">SERRALHERIA!E35</f>
        <v>0</v>
      </c>
      <c r="AM42" s="93" t="n">
        <f aca="false">SERRALHERIA!E36</f>
        <v>0</v>
      </c>
      <c r="AN42" s="93" t="n">
        <f aca="false">SERRALHERIA!E37</f>
        <v>0</v>
      </c>
      <c r="AO42" s="93" t="n">
        <f aca="false">SERRALHERIA!E38</f>
        <v>0</v>
      </c>
      <c r="AP42" s="93" t="n">
        <f aca="false">SERRALHERIA!E39</f>
        <v>0</v>
      </c>
      <c r="AQ42" s="93" t="n">
        <f aca="false">SERRALHERIA!E40</f>
        <v>67.0030161148721</v>
      </c>
      <c r="AR42" s="93" t="n">
        <f aca="false">SERRALHERIA!E41</f>
        <v>0</v>
      </c>
      <c r="AS42" s="93" t="n">
        <f aca="false">SERRALHERIA!E42</f>
        <v>0</v>
      </c>
      <c r="AT42" s="93" t="n">
        <f aca="false">SERRALHERIA!E43</f>
        <v>0</v>
      </c>
      <c r="AU42" s="93" t="n">
        <f aca="false">SERRALHERIA!E44</f>
        <v>67.0030161148721</v>
      </c>
      <c r="AV42" s="93" t="n">
        <f aca="false">SERRALHERIA!E45</f>
        <v>67.0030161148721</v>
      </c>
      <c r="AW42" s="93" t="n">
        <f aca="false">SERRALHERIA!E46</f>
        <v>0</v>
      </c>
      <c r="AX42" s="93" t="n">
        <f aca="false">SERRALHERIA!E47</f>
        <v>0</v>
      </c>
      <c r="AY42" s="93" t="n">
        <f aca="false">SERRALHERIA!E48</f>
        <v>9.92637275775883</v>
      </c>
      <c r="AZ42" s="93" t="n">
        <f aca="false">SERRALHERIA!E49</f>
        <v>39.7054910310353</v>
      </c>
      <c r="BA42" s="93" t="n">
        <f aca="false">SERRALHERIA!E50</f>
        <v>178.674709639659</v>
      </c>
      <c r="BB42" s="93" t="n">
        <f aca="false">SERRALHERIA!E51</f>
        <v>67.0030161148721</v>
      </c>
      <c r="BC42" s="93" t="n">
        <f aca="false">SERRALHERIA!E52</f>
        <v>0</v>
      </c>
      <c r="BD42" s="93" t="n">
        <f aca="false">SERRALHERIA!E53</f>
        <v>0</v>
      </c>
      <c r="BE42" s="93" t="n">
        <f aca="false">SERRALHERIA!E54</f>
        <v>0</v>
      </c>
      <c r="BF42" s="93" t="n">
        <f aca="false">SERRALHERIA!E55</f>
        <v>0</v>
      </c>
      <c r="BG42" s="93" t="n">
        <f aca="false">SERRALHERIA!E56</f>
        <v>0</v>
      </c>
      <c r="BH42" s="93" t="n">
        <f aca="false">SERRALHERIA!E57</f>
        <v>0</v>
      </c>
      <c r="BI42" s="93" t="n">
        <f aca="false">SERRALHERIA!E58</f>
        <v>0</v>
      </c>
      <c r="BJ42" s="93" t="n">
        <f aca="false">SERRALHERIA!E59</f>
        <v>0</v>
      </c>
      <c r="BK42" s="93" t="n">
        <f aca="false">SERRALHERIA!E60</f>
        <v>0</v>
      </c>
      <c r="BL42" s="93" t="n">
        <f aca="false">SERRALHERIA!E61</f>
        <v>0</v>
      </c>
      <c r="BM42" s="93" t="n">
        <f aca="false">SERRALHERIA!E62</f>
        <v>0</v>
      </c>
      <c r="BN42" s="93" t="n">
        <f aca="false">SERRALHERIA!E63</f>
        <v>0</v>
      </c>
      <c r="BO42" s="93" t="n">
        <f aca="false">SERRALHERIA!E64</f>
        <v>0</v>
      </c>
      <c r="BP42" s="93" t="n">
        <f aca="false">SERRALHERIA!E65</f>
        <v>0</v>
      </c>
      <c r="BQ42" s="93" t="n">
        <f aca="false">SERRALHERIA!E66</f>
        <v>0</v>
      </c>
      <c r="BR42" s="93" t="n">
        <f aca="false">SERRALHERIA!E67</f>
        <v>0</v>
      </c>
      <c r="BS42" s="93" t="n">
        <f aca="false">SERRALHERIA!E68</f>
        <v>0</v>
      </c>
      <c r="BT42" s="93" t="n">
        <f aca="false">SERRALHERIA!E69</f>
        <v>0</v>
      </c>
      <c r="BU42" s="93" t="n">
        <f aca="false">SERRALHERIA!E70</f>
        <v>0</v>
      </c>
      <c r="BV42" s="93" t="n">
        <f aca="false">SERRALHERIA!E71</f>
        <v>0</v>
      </c>
      <c r="BW42" s="93" t="n">
        <f aca="false">SERRALHERIA!E72</f>
        <v>0</v>
      </c>
      <c r="BX42" s="93" t="n">
        <f aca="false">SERRALHERIA!E73</f>
        <v>0</v>
      </c>
      <c r="BY42" s="93" t="n">
        <f aca="false">SERRALHERIA!E74</f>
        <v>0</v>
      </c>
      <c r="BZ42" s="93" t="n">
        <f aca="false">SERRALHERIA!E75</f>
        <v>0</v>
      </c>
      <c r="CA42" s="93" t="n">
        <f aca="false">SERRALHERIA!E76</f>
        <v>0</v>
      </c>
    </row>
    <row r="43" customFormat="false" ht="15" hidden="false" customHeight="false" outlineLevel="0" collapsed="false">
      <c r="A43" s="55" t="s">
        <v>280</v>
      </c>
      <c r="B43" s="55" t="s">
        <v>329</v>
      </c>
      <c r="C43" s="55" t="s">
        <v>135</v>
      </c>
      <c r="D43" s="56" t="n">
        <f aca="false">'LIG. PROVISÓRIAS'!$K$5</f>
        <v>42.806175</v>
      </c>
      <c r="E43" s="45" t="n">
        <f aca="false">SUM(H43:CA43)</f>
        <v>67.6365275127759</v>
      </c>
      <c r="F43" s="45" t="n">
        <f aca="false">IF(D43="","",D43-E43)</f>
        <v>-24.8303525127759</v>
      </c>
      <c r="H43" s="93" t="n">
        <f aca="false">'LIG. PROVISÓRIAS'!E5</f>
        <v>0.23050940068037</v>
      </c>
      <c r="I43" s="93" t="n">
        <f aca="false">'LIG. PROVISÓRIAS'!E6</f>
        <v>0</v>
      </c>
      <c r="J43" s="93" t="n">
        <f aca="false">'LIG. PROVISÓRIAS'!E7</f>
        <v>0</v>
      </c>
      <c r="K43" s="93" t="n">
        <f aca="false">'LIG. PROVISÓRIAS'!E8</f>
        <v>0</v>
      </c>
      <c r="L43" s="93" t="n">
        <f aca="false">'LIG. PROVISÓRIAS'!E9</f>
        <v>4.74509946287851</v>
      </c>
      <c r="M43" s="93" t="n">
        <f aca="false">'LIG. PROVISÓRIAS'!E10</f>
        <v>1.79364691642177</v>
      </c>
      <c r="N43" s="93" t="n">
        <f aca="false">'LIG. PROVISÓRIAS'!E11</f>
        <v>0</v>
      </c>
      <c r="O43" s="93" t="n">
        <f aca="false">'LIG. PROVISÓRIAS'!E12</f>
        <v>1.63252155565891</v>
      </c>
      <c r="P43" s="93" t="n">
        <f aca="false">'LIG. PROVISÓRIAS'!E13</f>
        <v>1.57638739350344</v>
      </c>
      <c r="Q43" s="93" t="n">
        <f aca="false">'LIG. PROVISÓRIAS'!E14</f>
        <v>1.5737556687319</v>
      </c>
      <c r="R43" s="93" t="n">
        <f aca="false">'LIG. PROVISÓRIAS'!E15</f>
        <v>0</v>
      </c>
      <c r="S43" s="93" t="n">
        <f aca="false">'LIG. PROVISÓRIAS'!E16</f>
        <v>0</v>
      </c>
      <c r="T43" s="93" t="n">
        <f aca="false">'LIG. PROVISÓRIAS'!E17</f>
        <v>2.00892228299059</v>
      </c>
      <c r="U43" s="93" t="n">
        <f aca="false">'LIG. PROVISÓRIAS'!E18</f>
        <v>0</v>
      </c>
      <c r="V43" s="93" t="n">
        <f aca="false">'LIG. PROVISÓRIAS'!E19</f>
        <v>0.512462504463994</v>
      </c>
      <c r="W43" s="93" t="n">
        <f aca="false">'LIG. PROVISÓRIAS'!E20</f>
        <v>0.17371977283169</v>
      </c>
      <c r="X43" s="93" t="n">
        <f aca="false">'LIG. PROVISÓRIAS'!E21</f>
        <v>3.8576527485369</v>
      </c>
      <c r="Y43" s="93" t="n">
        <f aca="false">'LIG. PROVISÓRIAS'!E22</f>
        <v>7.15449419412211</v>
      </c>
      <c r="Z43" s="93" t="n">
        <f aca="false">'LIG. PROVISÓRIAS'!E23</f>
        <v>0</v>
      </c>
      <c r="AA43" s="93" t="n">
        <f aca="false">'LIG. PROVISÓRIAS'!E24</f>
        <v>2.57910590477876</v>
      </c>
      <c r="AB43" s="93" t="n">
        <f aca="false">'LIG. PROVISÓRIAS'!E25</f>
        <v>0</v>
      </c>
      <c r="AC43" s="93" t="n">
        <f aca="false">'LIG. PROVISÓRIAS'!E26</f>
        <v>5.09216444494369</v>
      </c>
      <c r="AD43" s="93" t="n">
        <f aca="false">'LIG. PROVISÓRIAS'!E27</f>
        <v>6.1796132152867</v>
      </c>
      <c r="AE43" s="93" t="n">
        <f aca="false">'LIG. PROVISÓRIAS'!E28</f>
        <v>1.34025278837121</v>
      </c>
      <c r="AF43" s="93" t="n">
        <f aca="false">'LIG. PROVISÓRIAS'!E29</f>
        <v>1.08744877034301</v>
      </c>
      <c r="AG43" s="93" t="n">
        <f aca="false">'LIG. PROVISÓRIAS'!E30</f>
        <v>1.08744877034301</v>
      </c>
      <c r="AH43" s="93" t="n">
        <f aca="false">'LIG. PROVISÓRIAS'!E31</f>
        <v>1.08744877034301</v>
      </c>
      <c r="AI43" s="93" t="n">
        <f aca="false">'LIG. PROVISÓRIAS'!E32</f>
        <v>1.08744877034301</v>
      </c>
      <c r="AJ43" s="93" t="n">
        <f aca="false">'LIG. PROVISÓRIAS'!E33</f>
        <v>1.08744877034301</v>
      </c>
      <c r="AK43" s="93" t="n">
        <f aca="false">'LIG. PROVISÓRIAS'!E34</f>
        <v>1.08744877034301</v>
      </c>
      <c r="AL43" s="93" t="n">
        <f aca="false">'LIG. PROVISÓRIAS'!E35</f>
        <v>1.08744877034301</v>
      </c>
      <c r="AM43" s="93" t="n">
        <f aca="false">'LIG. PROVISÓRIAS'!E36</f>
        <v>1.08744877034301</v>
      </c>
      <c r="AN43" s="93" t="n">
        <f aca="false">'LIG. PROVISÓRIAS'!E37</f>
        <v>1.08744877034301</v>
      </c>
      <c r="AO43" s="93" t="n">
        <f aca="false">'LIG. PROVISÓRIAS'!E38</f>
        <v>1.08744877034301</v>
      </c>
      <c r="AP43" s="93" t="n">
        <f aca="false">'LIG. PROVISÓRIAS'!E39</f>
        <v>1.08744877034301</v>
      </c>
      <c r="AQ43" s="93" t="n">
        <f aca="false">'LIG. PROVISÓRIAS'!E40</f>
        <v>1.08744877034301</v>
      </c>
      <c r="AR43" s="93" t="n">
        <f aca="false">'LIG. PROVISÓRIAS'!E41</f>
        <v>1.08744877034301</v>
      </c>
      <c r="AS43" s="93" t="n">
        <f aca="false">'LIG. PROVISÓRIAS'!E42</f>
        <v>1.08744877034301</v>
      </c>
      <c r="AT43" s="93" t="n">
        <f aca="false">'LIG. PROVISÓRIAS'!E43</f>
        <v>1.08744877034301</v>
      </c>
      <c r="AU43" s="93" t="n">
        <f aca="false">'LIG. PROVISÓRIAS'!E44</f>
        <v>1.08744877034301</v>
      </c>
      <c r="AV43" s="93" t="n">
        <f aca="false">'LIG. PROVISÓRIAS'!E45</f>
        <v>1.08744877034301</v>
      </c>
      <c r="AW43" s="93" t="n">
        <f aca="false">'LIG. PROVISÓRIAS'!E46</f>
        <v>1.08744877034301</v>
      </c>
      <c r="AX43" s="93" t="n">
        <f aca="false">'LIG. PROVISÓRIAS'!E47</f>
        <v>1.08744877034301</v>
      </c>
      <c r="AY43" s="93" t="n">
        <f aca="false">'LIG. PROVISÓRIAS'!E48</f>
        <v>1.08744877034301</v>
      </c>
      <c r="AZ43" s="93" t="n">
        <f aca="false">'LIG. PROVISÓRIAS'!E49</f>
        <v>1.08744877034301</v>
      </c>
      <c r="BA43" s="93" t="n">
        <f aca="false">'LIG. PROVISÓRIAS'!E50</f>
        <v>1.08744877034301</v>
      </c>
      <c r="BB43" s="93" t="n">
        <f aca="false">'LIG. PROVISÓRIAS'!E51</f>
        <v>1.08744877034301</v>
      </c>
      <c r="BC43" s="93" t="n">
        <f aca="false">'LIG. PROVISÓRIAS'!E52</f>
        <v>1.08744877034301</v>
      </c>
      <c r="BD43" s="93" t="n">
        <f aca="false">'LIG. PROVISÓRIAS'!E53</f>
        <v>1.08744877034301</v>
      </c>
      <c r="BE43" s="93" t="n">
        <f aca="false">'LIG. PROVISÓRIAS'!E54</f>
        <v>0</v>
      </c>
      <c r="BF43" s="93" t="n">
        <f aca="false">'LIG. PROVISÓRIAS'!E55</f>
        <v>0</v>
      </c>
      <c r="BG43" s="93" t="n">
        <f aca="false">'LIG. PROVISÓRIAS'!E56</f>
        <v>0</v>
      </c>
      <c r="BH43" s="93" t="n">
        <f aca="false">'LIG. PROVISÓRIAS'!E57</f>
        <v>0</v>
      </c>
      <c r="BI43" s="93" t="n">
        <f aca="false">'LIG. PROVISÓRIAS'!E58</f>
        <v>0</v>
      </c>
      <c r="BJ43" s="93" t="n">
        <f aca="false">'LIG. PROVISÓRIAS'!E59</f>
        <v>0</v>
      </c>
      <c r="BK43" s="93" t="n">
        <f aca="false">'LIG. PROVISÓRIAS'!E60</f>
        <v>0</v>
      </c>
      <c r="BL43" s="93" t="n">
        <f aca="false">'LIG. PROVISÓRIAS'!E61</f>
        <v>0</v>
      </c>
      <c r="BM43" s="93" t="n">
        <f aca="false">'LIG. PROVISÓRIAS'!E62</f>
        <v>0</v>
      </c>
      <c r="BN43" s="93" t="n">
        <f aca="false">'LIG. PROVISÓRIAS'!E63</f>
        <v>0</v>
      </c>
      <c r="BO43" s="93" t="n">
        <f aca="false">'LIG. PROVISÓRIAS'!E64</f>
        <v>0</v>
      </c>
      <c r="BP43" s="93" t="n">
        <f aca="false">'LIG. PROVISÓRIAS'!E65</f>
        <v>0</v>
      </c>
      <c r="BQ43" s="93" t="n">
        <f aca="false">'LIG. PROVISÓRIAS'!E66</f>
        <v>0</v>
      </c>
      <c r="BR43" s="93" t="n">
        <f aca="false">'LIG. PROVISÓRIAS'!E67</f>
        <v>0</v>
      </c>
      <c r="BS43" s="93" t="n">
        <f aca="false">'LIG. PROVISÓRIAS'!E68</f>
        <v>0</v>
      </c>
      <c r="BT43" s="93" t="n">
        <f aca="false">'LIG. PROVISÓRIAS'!E69</f>
        <v>0</v>
      </c>
      <c r="BU43" s="93" t="n">
        <f aca="false">'LIG. PROVISÓRIAS'!E70</f>
        <v>0</v>
      </c>
      <c r="BV43" s="93" t="n">
        <f aca="false">'LIG. PROVISÓRIAS'!E71</f>
        <v>0</v>
      </c>
      <c r="BW43" s="93" t="n">
        <f aca="false">'LIG. PROVISÓRIAS'!E72</f>
        <v>0</v>
      </c>
      <c r="BX43" s="93" t="n">
        <f aca="false">'LIG. PROVISÓRIAS'!E73</f>
        <v>0</v>
      </c>
      <c r="BY43" s="93" t="n">
        <f aca="false">'LIG. PROVISÓRIAS'!E74</f>
        <v>0</v>
      </c>
      <c r="BZ43" s="93" t="n">
        <f aca="false">'LIG. PROVISÓRIAS'!E75</f>
        <v>0</v>
      </c>
      <c r="CA43" s="93" t="n">
        <f aca="false">'LIG. PROVISÓRIAS'!E76</f>
        <v>0</v>
      </c>
    </row>
    <row r="44" customFormat="false" ht="15" hidden="false" customHeight="false" outlineLevel="0" collapsed="false">
      <c r="A44" s="55" t="s">
        <v>280</v>
      </c>
      <c r="B44" s="55" t="s">
        <v>330</v>
      </c>
      <c r="C44" s="55" t="s">
        <v>80</v>
      </c>
      <c r="D44" s="56" t="n">
        <f aca="false">'TAX. ADM'!$K$5</f>
        <v>12921.505153</v>
      </c>
      <c r="E44" s="45" t="n">
        <f aca="false">SUM(H44:CA44)</f>
        <v>12572.922659772</v>
      </c>
      <c r="F44" s="45" t="n">
        <f aca="false">IF(D44="","",D44-E44)</f>
        <v>348.582493227974</v>
      </c>
      <c r="H44" s="93" t="n">
        <f aca="false">'TAX. ADM'!E5</f>
        <v>721.472601885354</v>
      </c>
      <c r="I44" s="93" t="n">
        <f aca="false">'TAX. ADM'!E6</f>
        <v>-15.4475774858953</v>
      </c>
      <c r="J44" s="93" t="n">
        <f aca="false">'TAX. ADM'!E7</f>
        <v>14.2264999680518</v>
      </c>
      <c r="K44" s="93" t="n">
        <f aca="false">'TAX. ADM'!E8</f>
        <v>54.4625190726977</v>
      </c>
      <c r="L44" s="93" t="n">
        <f aca="false">'TAX. ADM'!E9</f>
        <v>40.8858030059217</v>
      </c>
      <c r="M44" s="93" t="n">
        <f aca="false">'TAX. ADM'!E10</f>
        <v>54.2492783257661</v>
      </c>
      <c r="N44" s="93" t="n">
        <f aca="false">'TAX. ADM'!E11</f>
        <v>40.5709836274676</v>
      </c>
      <c r="O44" s="93" t="n">
        <f aca="false">'TAX. ADM'!E12</f>
        <v>103.229090164077</v>
      </c>
      <c r="P44" s="93" t="n">
        <f aca="false">'TAX. ADM'!E13</f>
        <v>81.1965750148352</v>
      </c>
      <c r="Q44" s="93" t="n">
        <f aca="false">'TAX. ADM'!E14</f>
        <v>138.863086432213</v>
      </c>
      <c r="R44" s="93" t="n">
        <f aca="false">'TAX. ADM'!E15</f>
        <v>144.874373750364</v>
      </c>
      <c r="S44" s="93" t="n">
        <f aca="false">'TAX. ADM'!E16</f>
        <v>186.960134069497</v>
      </c>
      <c r="T44" s="93" t="n">
        <f aca="false">'TAX. ADM'!E17</f>
        <v>182.479243356531</v>
      </c>
      <c r="U44" s="93" t="n">
        <f aca="false">'TAX. ADM'!E18</f>
        <v>145.980408007528</v>
      </c>
      <c r="V44" s="93" t="n">
        <f aca="false">'TAX. ADM'!E19</f>
        <v>133.943663788482</v>
      </c>
      <c r="W44" s="93" t="n">
        <f aca="false">'TAX. ADM'!E20</f>
        <v>114.172505835159</v>
      </c>
      <c r="X44" s="93" t="n">
        <f aca="false">'TAX. ADM'!E21</f>
        <v>164.625626760407</v>
      </c>
      <c r="Y44" s="93" t="n">
        <f aca="false">'TAX. ADM'!E22</f>
        <v>139.678687647311</v>
      </c>
      <c r="Z44" s="93" t="n">
        <f aca="false">'TAX. ADM'!E23</f>
        <v>190.24594714678</v>
      </c>
      <c r="AA44" s="93" t="n">
        <f aca="false">'TAX. ADM'!E24</f>
        <v>171.810100812539</v>
      </c>
      <c r="AB44" s="93" t="n">
        <f aca="false">'TAX. ADM'!E25</f>
        <v>255.615052637504</v>
      </c>
      <c r="AC44" s="93" t="n">
        <f aca="false">'TAX. ADM'!E26</f>
        <v>197.107410547632</v>
      </c>
      <c r="AD44" s="93" t="n">
        <f aca="false">'TAX. ADM'!E27</f>
        <v>205.282970708231</v>
      </c>
      <c r="AE44" s="93" t="n">
        <f aca="false">'TAX. ADM'!E28</f>
        <v>317.640645795838</v>
      </c>
      <c r="AF44" s="93" t="n">
        <f aca="false">'TAX. ADM'!E29</f>
        <v>256.989871595627</v>
      </c>
      <c r="AG44" s="93" t="n">
        <f aca="false">'TAX. ADM'!E30</f>
        <v>256.886044474943</v>
      </c>
      <c r="AH44" s="93" t="n">
        <f aca="false">'TAX. ADM'!E31</f>
        <v>219.281650472613</v>
      </c>
      <c r="AI44" s="93" t="n">
        <f aca="false">'TAX. ADM'!E32</f>
        <v>285.459461015452</v>
      </c>
      <c r="AJ44" s="93" t="n">
        <f aca="false">'TAX. ADM'!E33</f>
        <v>344.942377934924</v>
      </c>
      <c r="AK44" s="93" t="n">
        <f aca="false">'TAX. ADM'!E34</f>
        <v>371.163824190699</v>
      </c>
      <c r="AL44" s="93" t="n">
        <f aca="false">'TAX. ADM'!E35</f>
        <v>381.045774069319</v>
      </c>
      <c r="AM44" s="93" t="n">
        <f aca="false">'TAX. ADM'!E36</f>
        <v>370.286278904079</v>
      </c>
      <c r="AN44" s="93" t="n">
        <f aca="false">'TAX. ADM'!E37</f>
        <v>340.185517713758</v>
      </c>
      <c r="AO44" s="93" t="n">
        <f aca="false">'TAX. ADM'!E38</f>
        <v>364.218786864804</v>
      </c>
      <c r="AP44" s="93" t="n">
        <f aca="false">'TAX. ADM'!E39</f>
        <v>394.386560522071</v>
      </c>
      <c r="AQ44" s="93" t="n">
        <f aca="false">'TAX. ADM'!E40</f>
        <v>357.811725804423</v>
      </c>
      <c r="AR44" s="93" t="n">
        <f aca="false">'TAX. ADM'!E41</f>
        <v>338.085838967031</v>
      </c>
      <c r="AS44" s="93" t="n">
        <f aca="false">'TAX. ADM'!E42</f>
        <v>328.395295142786</v>
      </c>
      <c r="AT44" s="93" t="n">
        <f aca="false">'TAX. ADM'!E43</f>
        <v>368.309185041219</v>
      </c>
      <c r="AU44" s="93" t="n">
        <f aca="false">'TAX. ADM'!E44</f>
        <v>392.762518058113</v>
      </c>
      <c r="AV44" s="93" t="n">
        <f aca="false">'TAX. ADM'!E45</f>
        <v>419.06213798906</v>
      </c>
      <c r="AW44" s="93" t="n">
        <f aca="false">'TAX. ADM'!E46</f>
        <v>364.79014124729</v>
      </c>
      <c r="AX44" s="93" t="n">
        <f aca="false">'TAX. ADM'!E47</f>
        <v>334.754727009385</v>
      </c>
      <c r="AY44" s="93" t="n">
        <f aca="false">'TAX. ADM'!E48</f>
        <v>397.785928430362</v>
      </c>
      <c r="AZ44" s="93" t="n">
        <f aca="false">'TAX. ADM'!E49</f>
        <v>247.814574662143</v>
      </c>
      <c r="BA44" s="93" t="n">
        <f aca="false">'TAX. ADM'!E50</f>
        <v>219.766413172101</v>
      </c>
      <c r="BB44" s="93" t="n">
        <f aca="false">'TAX. ADM'!E51</f>
        <v>213.345839588865</v>
      </c>
      <c r="BC44" s="93" t="n">
        <f aca="false">'TAX. ADM'!E52</f>
        <v>143.007520997815</v>
      </c>
      <c r="BD44" s="93" t="n">
        <f aca="false">'TAX. ADM'!E53</f>
        <v>122.547941097045</v>
      </c>
      <c r="BE44" s="93" t="n">
        <f aca="false">'TAX. ADM'!E54</f>
        <v>121.074797263953</v>
      </c>
      <c r="BF44" s="93" t="n">
        <f aca="false">'TAX. ADM'!E55</f>
        <v>74.9709736314088</v>
      </c>
      <c r="BG44" s="93" t="n">
        <f aca="false">'TAX. ADM'!E56</f>
        <v>100.318657805513</v>
      </c>
      <c r="BH44" s="93" t="n">
        <f aca="false">'TAX. ADM'!E57</f>
        <v>16.8957480849038</v>
      </c>
      <c r="BI44" s="93" t="n">
        <f aca="false">'TAX. ADM'!E58</f>
        <v>0</v>
      </c>
      <c r="BJ44" s="93" t="n">
        <f aca="false">'TAX. ADM'!E59</f>
        <v>128.787373018617</v>
      </c>
      <c r="BK44" s="93" t="n">
        <f aca="false">'TAX. ADM'!E60</f>
        <v>0</v>
      </c>
      <c r="BL44" s="93" t="n">
        <f aca="false">'TAX. ADM'!E61</f>
        <v>69.7070810481553</v>
      </c>
      <c r="BM44" s="93" t="n">
        <f aca="false">'TAX. ADM'!E62</f>
        <v>51.3942137229708</v>
      </c>
      <c r="BN44" s="93" t="n">
        <f aca="false">'TAX. ADM'!E63</f>
        <v>392.562249356288</v>
      </c>
      <c r="BO44" s="93" t="n">
        <f aca="false">'TAX. ADM'!E64</f>
        <v>0</v>
      </c>
      <c r="BP44" s="93" t="n">
        <f aca="false">'TAX. ADM'!E65</f>
        <v>0</v>
      </c>
      <c r="BQ44" s="93" t="n">
        <f aca="false">'TAX. ADM'!E66</f>
        <v>0</v>
      </c>
      <c r="BR44" s="93" t="n">
        <f aca="false">'TAX. ADM'!E67</f>
        <v>0</v>
      </c>
      <c r="BS44" s="93" t="n">
        <f aca="false">'TAX. ADM'!E68</f>
        <v>0</v>
      </c>
      <c r="BT44" s="93" t="n">
        <f aca="false">'TAX. ADM'!E69</f>
        <v>0</v>
      </c>
      <c r="BU44" s="93" t="n">
        <f aca="false">'TAX. ADM'!E70</f>
        <v>0</v>
      </c>
      <c r="BV44" s="93" t="n">
        <f aca="false">'TAX. ADM'!E71</f>
        <v>0</v>
      </c>
      <c r="BW44" s="93" t="n">
        <f aca="false">'TAX. ADM'!E72</f>
        <v>0</v>
      </c>
      <c r="BX44" s="93" t="n">
        <f aca="false">'TAX. ADM'!E73</f>
        <v>0</v>
      </c>
      <c r="BY44" s="93" t="n">
        <f aca="false">'TAX. ADM'!E74</f>
        <v>0</v>
      </c>
      <c r="BZ44" s="93" t="n">
        <f aca="false">'TAX. ADM'!E75</f>
        <v>0</v>
      </c>
      <c r="CA44" s="93" t="n">
        <f aca="false">'TAX. ADM'!E76</f>
        <v>0</v>
      </c>
    </row>
    <row r="45" customFormat="false" ht="15" hidden="false" customHeight="false" outlineLevel="0" collapsed="false">
      <c r="A45" s="55" t="s">
        <v>280</v>
      </c>
      <c r="B45" s="55" t="s">
        <v>331</v>
      </c>
      <c r="C45" s="55" t="s">
        <v>71</v>
      </c>
      <c r="D45" s="56" t="n">
        <f aca="false">TERRAPLENAGEM!$K$5</f>
        <v>1645.046196</v>
      </c>
      <c r="E45" s="45" t="n">
        <f aca="false">SUM(H45:CA45)</f>
        <v>1724.39621877971</v>
      </c>
      <c r="F45" s="45" t="n">
        <f aca="false">IF(D45="","",D45-E45)</f>
        <v>-79.3500227797128</v>
      </c>
      <c r="H45" s="93" t="n">
        <f aca="false">TERRAPLENAGEM!E5</f>
        <v>57.0585464215989</v>
      </c>
      <c r="I45" s="93" t="n">
        <f aca="false">TERRAPLENAGEM!E6</f>
        <v>1.11195125205711</v>
      </c>
      <c r="J45" s="93" t="n">
        <f aca="false">TERRAPLENAGEM!E7</f>
        <v>0</v>
      </c>
      <c r="K45" s="93" t="n">
        <f aca="false">TERRAPLENAGEM!E8</f>
        <v>0</v>
      </c>
      <c r="L45" s="93" t="n">
        <f aca="false">TERRAPLENAGEM!E9</f>
        <v>0</v>
      </c>
      <c r="M45" s="93" t="n">
        <f aca="false">TERRAPLENAGEM!E10</f>
        <v>48.7113613642602</v>
      </c>
      <c r="N45" s="93" t="n">
        <f aca="false">TERRAPLENAGEM!E11</f>
        <v>203.774527744269</v>
      </c>
      <c r="O45" s="93" t="n">
        <f aca="false">TERRAPLENAGEM!E12</f>
        <v>304.866436288023</v>
      </c>
      <c r="P45" s="93" t="n">
        <f aca="false">TERRAPLENAGEM!E13</f>
        <v>444.250139310565</v>
      </c>
      <c r="Q45" s="93" t="n">
        <f aca="false">TERRAPLENAGEM!E14</f>
        <v>278.14534928086</v>
      </c>
      <c r="R45" s="93" t="n">
        <f aca="false">TERRAPLENAGEM!E15</f>
        <v>131.703718065768</v>
      </c>
      <c r="S45" s="93" t="n">
        <f aca="false">TERRAPLENAGEM!E16</f>
        <v>137.111149911923</v>
      </c>
      <c r="T45" s="93" t="n">
        <f aca="false">TERRAPLENAGEM!E17</f>
        <v>24.2466419304961</v>
      </c>
      <c r="U45" s="93" t="n">
        <f aca="false">TERRAPLENAGEM!E18</f>
        <v>0</v>
      </c>
      <c r="V45" s="93" t="n">
        <f aca="false">TERRAPLENAGEM!E19</f>
        <v>0</v>
      </c>
      <c r="W45" s="93" t="n">
        <f aca="false">TERRAPLENAGEM!E20</f>
        <v>0</v>
      </c>
      <c r="X45" s="93" t="n">
        <f aca="false">TERRAPLENAGEM!E21</f>
        <v>0</v>
      </c>
      <c r="Y45" s="93" t="n">
        <f aca="false">TERRAPLENAGEM!E22</f>
        <v>34.9703587406892</v>
      </c>
      <c r="Z45" s="93" t="n">
        <f aca="false">TERRAPLENAGEM!E23</f>
        <v>10.5905480146271</v>
      </c>
      <c r="AA45" s="93" t="n">
        <f aca="false">TERRAPLENAGEM!E24</f>
        <v>11.1186629318916</v>
      </c>
      <c r="AB45" s="93" t="n">
        <f aca="false">TERRAPLENAGEM!E25</f>
        <v>8.75488187501012</v>
      </c>
      <c r="AC45" s="93" t="n">
        <f aca="false">TERRAPLENAGEM!E26</f>
        <v>14.6116998604338</v>
      </c>
      <c r="AD45" s="93" t="n">
        <f aca="false">TERRAPLENAGEM!E27</f>
        <v>10.0758458217092</v>
      </c>
      <c r="AE45" s="93" t="n">
        <f aca="false">TERRAPLENAGEM!E28</f>
        <v>0.505715749741102</v>
      </c>
      <c r="AF45" s="93" t="n">
        <f aca="false">TERRAPLENAGEM!E29</f>
        <v>0</v>
      </c>
      <c r="AG45" s="93" t="n">
        <f aca="false">TERRAPLENAGEM!E30</f>
        <v>0.642550598503395</v>
      </c>
      <c r="AH45" s="93" t="n">
        <f aca="false">TERRAPLENAGEM!E31</f>
        <v>0</v>
      </c>
      <c r="AI45" s="93" t="n">
        <f aca="false">TERRAPLENAGEM!E32</f>
        <v>2.14613361728712</v>
      </c>
      <c r="AJ45" s="93" t="n">
        <f aca="false">TERRAPLENAGEM!E33</f>
        <v>0</v>
      </c>
      <c r="AK45" s="93" t="n">
        <f aca="false">TERRAPLENAGEM!E34</f>
        <v>0</v>
      </c>
      <c r="AL45" s="93" t="n">
        <f aca="false">TERRAPLENAGEM!E35</f>
        <v>0</v>
      </c>
      <c r="AM45" s="93" t="n">
        <f aca="false">TERRAPLENAGEM!E36</f>
        <v>0</v>
      </c>
      <c r="AN45" s="93" t="n">
        <f aca="false">TERRAPLENAGEM!E37</f>
        <v>0</v>
      </c>
      <c r="AO45" s="93" t="n">
        <f aca="false">TERRAPLENAGEM!E38</f>
        <v>0</v>
      </c>
      <c r="AP45" s="93" t="n">
        <f aca="false">TERRAPLENAGEM!E39</f>
        <v>0</v>
      </c>
      <c r="AQ45" s="93" t="n">
        <f aca="false">TERRAPLENAGEM!E40</f>
        <v>0</v>
      </c>
      <c r="AR45" s="93" t="n">
        <f aca="false">TERRAPLENAGEM!E41</f>
        <v>0</v>
      </c>
      <c r="AS45" s="93" t="n">
        <f aca="false">TERRAPLENAGEM!E42</f>
        <v>0</v>
      </c>
      <c r="AT45" s="93" t="n">
        <f aca="false">TERRAPLENAGEM!E43</f>
        <v>0</v>
      </c>
      <c r="AU45" s="93" t="n">
        <f aca="false">TERRAPLENAGEM!E44</f>
        <v>0</v>
      </c>
      <c r="AV45" s="93" t="n">
        <f aca="false">TERRAPLENAGEM!E45</f>
        <v>0</v>
      </c>
      <c r="AW45" s="93" t="n">
        <f aca="false">TERRAPLENAGEM!E46</f>
        <v>0</v>
      </c>
      <c r="AX45" s="93" t="n">
        <f aca="false">TERRAPLENAGEM!E47</f>
        <v>0</v>
      </c>
      <c r="AY45" s="93" t="n">
        <f aca="false">TERRAPLENAGEM!E48</f>
        <v>0</v>
      </c>
      <c r="AZ45" s="93" t="n">
        <f aca="false">TERRAPLENAGEM!E49</f>
        <v>0</v>
      </c>
      <c r="BA45" s="93" t="n">
        <f aca="false">TERRAPLENAGEM!E50</f>
        <v>0</v>
      </c>
      <c r="BB45" s="93" t="n">
        <f aca="false">TERRAPLENAGEM!E51</f>
        <v>0</v>
      </c>
      <c r="BC45" s="93" t="n">
        <f aca="false">TERRAPLENAGEM!E52</f>
        <v>0</v>
      </c>
      <c r="BD45" s="93" t="n">
        <f aca="false">TERRAPLENAGEM!E53</f>
        <v>0</v>
      </c>
      <c r="BE45" s="93" t="n">
        <f aca="false">TERRAPLENAGEM!E54</f>
        <v>0</v>
      </c>
      <c r="BF45" s="93" t="n">
        <f aca="false">TERRAPLENAGEM!E55</f>
        <v>0</v>
      </c>
      <c r="BG45" s="93" t="n">
        <f aca="false">TERRAPLENAGEM!E56</f>
        <v>0</v>
      </c>
      <c r="BH45" s="93" t="n">
        <f aca="false">TERRAPLENAGEM!E57</f>
        <v>0</v>
      </c>
      <c r="BI45" s="93" t="n">
        <f aca="false">TERRAPLENAGEM!E58</f>
        <v>0</v>
      </c>
      <c r="BJ45" s="93" t="n">
        <f aca="false">TERRAPLENAGEM!E59</f>
        <v>0</v>
      </c>
      <c r="BK45" s="93" t="n">
        <f aca="false">TERRAPLENAGEM!E60</f>
        <v>0</v>
      </c>
      <c r="BL45" s="93" t="n">
        <f aca="false">TERRAPLENAGEM!E61</f>
        <v>0</v>
      </c>
      <c r="BM45" s="93" t="n">
        <f aca="false">TERRAPLENAGEM!E62</f>
        <v>0</v>
      </c>
      <c r="BN45" s="93" t="n">
        <f aca="false">TERRAPLENAGEM!E63</f>
        <v>0</v>
      </c>
      <c r="BO45" s="93" t="n">
        <f aca="false">TERRAPLENAGEM!E64</f>
        <v>0</v>
      </c>
      <c r="BP45" s="93" t="n">
        <f aca="false">TERRAPLENAGEM!E65</f>
        <v>0</v>
      </c>
      <c r="BQ45" s="93" t="n">
        <f aca="false">TERRAPLENAGEM!E66</f>
        <v>0</v>
      </c>
      <c r="BR45" s="93" t="n">
        <f aca="false">TERRAPLENAGEM!E67</f>
        <v>0</v>
      </c>
      <c r="BS45" s="93" t="n">
        <f aca="false">TERRAPLENAGEM!E68</f>
        <v>0</v>
      </c>
      <c r="BT45" s="93" t="n">
        <f aca="false">TERRAPLENAGEM!E69</f>
        <v>0</v>
      </c>
      <c r="BU45" s="93" t="n">
        <f aca="false">TERRAPLENAGEM!E70</f>
        <v>0</v>
      </c>
      <c r="BV45" s="93" t="n">
        <f aca="false">TERRAPLENAGEM!E71</f>
        <v>0</v>
      </c>
      <c r="BW45" s="93" t="n">
        <f aca="false">TERRAPLENAGEM!E72</f>
        <v>0</v>
      </c>
      <c r="BX45" s="93" t="n">
        <f aca="false">TERRAPLENAGEM!E73</f>
        <v>0</v>
      </c>
      <c r="BY45" s="93" t="n">
        <f aca="false">TERRAPLENAGEM!E74</f>
        <v>0</v>
      </c>
      <c r="BZ45" s="93" t="n">
        <f aca="false">TERRAPLENAGEM!E75</f>
        <v>0</v>
      </c>
      <c r="CA45" s="93" t="n">
        <f aca="false">TERRAPLENAGEM!E76</f>
        <v>0</v>
      </c>
    </row>
    <row r="46" customFormat="false" ht="15" hidden="false" customHeight="false" outlineLevel="0" collapsed="false">
      <c r="A46" s="55" t="s">
        <v>280</v>
      </c>
      <c r="B46" s="55" t="s">
        <v>332</v>
      </c>
      <c r="C46" s="55" t="s">
        <v>86</v>
      </c>
      <c r="E46" s="45" t="n">
        <f aca="false">SUM(H46:CA46)</f>
        <v>0</v>
      </c>
      <c r="F46" s="45" t="str">
        <f aca="false">IF(D46="","",D46-E46)</f>
        <v/>
      </c>
    </row>
    <row r="47" customFormat="false" ht="15" hidden="false" customHeight="false" outlineLevel="0" collapsed="false">
      <c r="A47" s="55" t="s">
        <v>280</v>
      </c>
      <c r="B47" s="55" t="s">
        <v>333</v>
      </c>
      <c r="C47" s="55" t="s">
        <v>79</v>
      </c>
      <c r="D47" s="56" t="n">
        <f aca="false">TRANSPORTES!$K$5</f>
        <v>731.600332</v>
      </c>
      <c r="E47" s="45" t="n">
        <f aca="false">SUM(H47:CA47)</f>
        <v>740.071301202261</v>
      </c>
      <c r="F47" s="45" t="n">
        <f aca="false">IF(D47="","",D47-E47)</f>
        <v>-8.47096920226113</v>
      </c>
      <c r="H47" s="93" t="n">
        <f aca="false">TRANSPORTES!E5</f>
        <v>13.2233804828391</v>
      </c>
      <c r="I47" s="93" t="n">
        <f aca="false">TRANSPORTES!E6</f>
        <v>3.82250349836971</v>
      </c>
      <c r="J47" s="93" t="n">
        <f aca="false">TRANSPORTES!E7</f>
        <v>1.25380077101659</v>
      </c>
      <c r="K47" s="93" t="n">
        <f aca="false">TRANSPORTES!E8</f>
        <v>0.061007174219653</v>
      </c>
      <c r="L47" s="93" t="n">
        <f aca="false">TRANSPORTES!E9</f>
        <v>2.78100943719596</v>
      </c>
      <c r="M47" s="93" t="n">
        <f aca="false">TRANSPORTES!E10</f>
        <v>4.86132690688619</v>
      </c>
      <c r="N47" s="93" t="n">
        <f aca="false">TRANSPORTES!E11</f>
        <v>2.14854577998164</v>
      </c>
      <c r="O47" s="93" t="n">
        <f aca="false">TRANSPORTES!E12</f>
        <v>4.96492687557157</v>
      </c>
      <c r="P47" s="93" t="n">
        <f aca="false">TRANSPORTES!E13</f>
        <v>4.6214286771003</v>
      </c>
      <c r="Q47" s="93" t="n">
        <f aca="false">TRANSPORTES!E14</f>
        <v>8.17361601710609</v>
      </c>
      <c r="R47" s="93" t="n">
        <f aca="false">TRANSPORTES!E15</f>
        <v>5.37424449178472</v>
      </c>
      <c r="S47" s="93" t="n">
        <f aca="false">TRANSPORTES!E16</f>
        <v>4.87614155297711</v>
      </c>
      <c r="T47" s="93" t="n">
        <f aca="false">TRANSPORTES!E17</f>
        <v>7.47003039503778</v>
      </c>
      <c r="U47" s="93" t="n">
        <f aca="false">TRANSPORTES!E18</f>
        <v>2.15436737491876</v>
      </c>
      <c r="V47" s="93" t="n">
        <f aca="false">TRANSPORTES!E19</f>
        <v>6.2336384031678</v>
      </c>
      <c r="W47" s="93" t="n">
        <f aca="false">TRANSPORTES!E20</f>
        <v>4.37800928654301</v>
      </c>
      <c r="X47" s="93" t="n">
        <f aca="false">TRANSPORTES!E21</f>
        <v>1.05314801230816</v>
      </c>
      <c r="Y47" s="93" t="n">
        <f aca="false">TRANSPORTES!E22</f>
        <v>6.37296125348727</v>
      </c>
      <c r="Z47" s="93" t="n">
        <f aca="false">TRANSPORTES!E23</f>
        <v>22.5410634205839</v>
      </c>
      <c r="AA47" s="93" t="n">
        <f aca="false">TRANSPORTES!E24</f>
        <v>26.2639830926142</v>
      </c>
      <c r="AB47" s="93" t="n">
        <f aca="false">TRANSPORTES!E25</f>
        <v>9.74286157103654</v>
      </c>
      <c r="AC47" s="93" t="n">
        <f aca="false">TRANSPORTES!E26</f>
        <v>12.4597881733452</v>
      </c>
      <c r="AD47" s="93" t="n">
        <f aca="false">TRANSPORTES!E27</f>
        <v>19.7858590921156</v>
      </c>
      <c r="AE47" s="93" t="n">
        <f aca="false">TRANSPORTES!E28</f>
        <v>10.5225472483073</v>
      </c>
      <c r="AF47" s="93" t="n">
        <f aca="false">TRANSPORTES!E29</f>
        <v>10.5948595904349</v>
      </c>
      <c r="AG47" s="93" t="n">
        <f aca="false">TRANSPORTES!E30</f>
        <v>13.9699755270526</v>
      </c>
      <c r="AH47" s="93" t="n">
        <f aca="false">TRANSPORTES!E31</f>
        <v>15.6279652342135</v>
      </c>
      <c r="AI47" s="93" t="n">
        <f aca="false">TRANSPORTES!E32</f>
        <v>21.8550050567006</v>
      </c>
      <c r="AJ47" s="93" t="n">
        <f aca="false">TRANSPORTES!E33</f>
        <v>25.6117331516808</v>
      </c>
      <c r="AK47" s="93" t="n">
        <f aca="false">TRANSPORTES!E34</f>
        <v>25.8676288068944</v>
      </c>
      <c r="AL47" s="93" t="n">
        <f aca="false">TRANSPORTES!E35</f>
        <v>29.5520037437293</v>
      </c>
      <c r="AM47" s="93" t="n">
        <f aca="false">TRANSPORTES!E36</f>
        <v>28.0782332116875</v>
      </c>
      <c r="AN47" s="93" t="n">
        <f aca="false">TRANSPORTES!E37</f>
        <v>26.7055789377142</v>
      </c>
      <c r="AO47" s="93" t="n">
        <f aca="false">TRANSPORTES!E38</f>
        <v>29.1416884442582</v>
      </c>
      <c r="AP47" s="93" t="n">
        <f aca="false">TRANSPORTES!E39</f>
        <v>25.2201678300929</v>
      </c>
      <c r="AQ47" s="93" t="n">
        <f aca="false">TRANSPORTES!E40</f>
        <v>22.6680208861873</v>
      </c>
      <c r="AR47" s="93" t="n">
        <f aca="false">TRANSPORTES!E41</f>
        <v>24.8439177028657</v>
      </c>
      <c r="AS47" s="93" t="n">
        <f aca="false">TRANSPORTES!E42</f>
        <v>27.000567740054</v>
      </c>
      <c r="AT47" s="93" t="n">
        <f aca="false">TRANSPORTES!E43</f>
        <v>26.5634165882722</v>
      </c>
      <c r="AU47" s="93" t="n">
        <f aca="false">TRANSPORTES!E44</f>
        <v>33.2411325580084</v>
      </c>
      <c r="AV47" s="93" t="n">
        <f aca="false">TRANSPORTES!E45</f>
        <v>26.3663490957366</v>
      </c>
      <c r="AW47" s="93" t="n">
        <f aca="false">TRANSPORTES!E46</f>
        <v>28.9191213244232</v>
      </c>
      <c r="AX47" s="93" t="n">
        <f aca="false">TRANSPORTES!E47</f>
        <v>24.8566889303778</v>
      </c>
      <c r="AY47" s="93" t="n">
        <f aca="false">TRANSPORTES!E48</f>
        <v>21.3003089316469</v>
      </c>
      <c r="AZ47" s="93" t="n">
        <f aca="false">TRANSPORTES!E49</f>
        <v>19.9115514331781</v>
      </c>
      <c r="BA47" s="93" t="n">
        <f aca="false">TRANSPORTES!E50</f>
        <v>11.073724946096</v>
      </c>
      <c r="BB47" s="93" t="n">
        <f aca="false">TRANSPORTES!E51</f>
        <v>2.9182383348289</v>
      </c>
      <c r="BC47" s="93" t="n">
        <f aca="false">TRANSPORTES!E52</f>
        <v>3.9268483831207</v>
      </c>
      <c r="BD47" s="93" t="n">
        <f aca="false">TRANSPORTES!E53</f>
        <v>3.20721412461778</v>
      </c>
      <c r="BE47" s="93" t="n">
        <f aca="false">TRANSPORTES!E54</f>
        <v>3.00151256277826</v>
      </c>
      <c r="BF47" s="93" t="n">
        <f aca="false">TRANSPORTES!E55</f>
        <v>3.00151256277826</v>
      </c>
      <c r="BG47" s="93" t="n">
        <f aca="false">TRANSPORTES!E56</f>
        <v>1.86095029461814</v>
      </c>
      <c r="BH47" s="93" t="n">
        <f aca="false">TRANSPORTES!E57</f>
        <v>18.0451962797001</v>
      </c>
      <c r="BI47" s="93" t="n">
        <f aca="false">TRANSPORTES!E58</f>
        <v>0</v>
      </c>
      <c r="BJ47" s="93" t="n">
        <f aca="false">TRANSPORTES!E59</f>
        <v>0</v>
      </c>
      <c r="BK47" s="93" t="n">
        <f aca="false">TRANSPORTES!E60</f>
        <v>0</v>
      </c>
      <c r="BL47" s="93" t="n">
        <f aca="false">TRANSPORTES!E61</f>
        <v>0</v>
      </c>
      <c r="BM47" s="93" t="n">
        <f aca="false">TRANSPORTES!E62</f>
        <v>0</v>
      </c>
      <c r="BN47" s="93" t="n">
        <f aca="false">TRANSPORTES!E63</f>
        <v>0</v>
      </c>
      <c r="BO47" s="93" t="n">
        <f aca="false">TRANSPORTES!E64</f>
        <v>0</v>
      </c>
      <c r="BP47" s="93" t="n">
        <f aca="false">TRANSPORTES!E65</f>
        <v>0</v>
      </c>
      <c r="BQ47" s="93" t="n">
        <f aca="false">TRANSPORTES!E66</f>
        <v>0</v>
      </c>
      <c r="BR47" s="93" t="n">
        <f aca="false">TRANSPORTES!E67</f>
        <v>0</v>
      </c>
      <c r="BS47" s="93" t="n">
        <f aca="false">TRANSPORTES!E68</f>
        <v>0</v>
      </c>
      <c r="BT47" s="93" t="n">
        <f aca="false">TRANSPORTES!E69</f>
        <v>0</v>
      </c>
      <c r="BU47" s="93" t="n">
        <f aca="false">TRANSPORTES!E70</f>
        <v>0</v>
      </c>
      <c r="BV47" s="93" t="n">
        <f aca="false">TRANSPORTES!E71</f>
        <v>0</v>
      </c>
      <c r="BW47" s="93" t="n">
        <f aca="false">TRANSPORTES!E72</f>
        <v>0</v>
      </c>
      <c r="BX47" s="93" t="n">
        <f aca="false">TRANSPORTES!E73</f>
        <v>0</v>
      </c>
      <c r="BY47" s="93" t="n">
        <f aca="false">TRANSPORTES!E74</f>
        <v>0</v>
      </c>
      <c r="BZ47" s="93" t="n">
        <f aca="false">TRANSPORTES!E75</f>
        <v>0</v>
      </c>
      <c r="CA47" s="93" t="n">
        <f aca="false">TRANSPORTES!E76</f>
        <v>0</v>
      </c>
    </row>
    <row r="48" customFormat="false" ht="15" hidden="false" customHeight="false" outlineLevel="0" collapsed="false">
      <c r="A48" s="55" t="s">
        <v>280</v>
      </c>
      <c r="B48" s="55" t="s">
        <v>334</v>
      </c>
      <c r="C48" s="55" t="s">
        <v>335</v>
      </c>
      <c r="E48" s="45" t="n">
        <f aca="false">SUM(H48:CA48)</f>
        <v>0</v>
      </c>
      <c r="F48" s="45" t="str">
        <f aca="false">IF(D48="","",D48-E48)</f>
        <v/>
      </c>
    </row>
    <row r="49" customFormat="false" ht="15" hidden="false" customHeight="false" outlineLevel="0" collapsed="false">
      <c r="A49" s="55" t="s">
        <v>280</v>
      </c>
      <c r="B49" s="55" t="s">
        <v>336</v>
      </c>
      <c r="C49" s="55" t="s">
        <v>337</v>
      </c>
      <c r="E49" s="45" t="n">
        <f aca="false">SUM(H49:CA49)</f>
        <v>0</v>
      </c>
      <c r="F49" s="45" t="str">
        <f aca="false">IF(D49="","",D49-E49)</f>
        <v/>
      </c>
    </row>
    <row r="50" customFormat="false" ht="15" hidden="false" customHeight="false" outlineLevel="0" collapsed="false">
      <c r="A50" s="55" t="s">
        <v>280</v>
      </c>
      <c r="B50" s="55" t="s">
        <v>338</v>
      </c>
      <c r="C50" s="55" t="s">
        <v>82</v>
      </c>
      <c r="D50" s="56" t="n">
        <f aca="false">MDO!$K$5</f>
        <v>16102.470245</v>
      </c>
      <c r="E50" s="45" t="n">
        <f aca="false">SUM(H50:CA50)</f>
        <v>16697.7013649371</v>
      </c>
      <c r="F50" s="45" t="n">
        <f aca="false">IF(D50="","",D50-E50)</f>
        <v>-595.231119937133</v>
      </c>
      <c r="H50" s="93" t="n">
        <f aca="false">MDO!E5</f>
        <v>77.9302475744883</v>
      </c>
      <c r="I50" s="93" t="n">
        <f aca="false">MDO!E6</f>
        <v>8.70327666373568</v>
      </c>
      <c r="J50" s="93" t="n">
        <f aca="false">MDO!E7</f>
        <v>38.1739515665268</v>
      </c>
      <c r="K50" s="93" t="n">
        <f aca="false">MDO!E8</f>
        <v>59.8536642492358</v>
      </c>
      <c r="L50" s="93" t="n">
        <f aca="false">MDO!E9</f>
        <v>112.6908250328</v>
      </c>
      <c r="M50" s="93" t="n">
        <f aca="false">MDO!E10</f>
        <v>158.66987821144</v>
      </c>
      <c r="N50" s="93" t="n">
        <f aca="false">MDO!E11</f>
        <v>185.260452401774</v>
      </c>
      <c r="O50" s="93" t="n">
        <f aca="false">MDO!E12</f>
        <v>224.320004361938</v>
      </c>
      <c r="P50" s="93" t="n">
        <f aca="false">MDO!E13</f>
        <v>227.716572450535</v>
      </c>
      <c r="Q50" s="93" t="n">
        <f aca="false">MDO!E14</f>
        <v>226.869243575574</v>
      </c>
      <c r="R50" s="93" t="n">
        <f aca="false">MDO!E15</f>
        <v>277.63923930508</v>
      </c>
      <c r="S50" s="93" t="n">
        <f aca="false">MDO!E16</f>
        <v>296.64792805024</v>
      </c>
      <c r="T50" s="93" t="n">
        <f aca="false">MDO!E17</f>
        <v>311.836371615774</v>
      </c>
      <c r="U50" s="93" t="n">
        <f aca="false">MDO!E18</f>
        <v>261.952505828448</v>
      </c>
      <c r="V50" s="93" t="n">
        <f aca="false">MDO!E19</f>
        <v>244.26266101617</v>
      </c>
      <c r="W50" s="93" t="n">
        <f aca="false">MDO!E20</f>
        <v>236.130601733028</v>
      </c>
      <c r="X50" s="93" t="n">
        <f aca="false">MDO!E21</f>
        <v>223.027248795699</v>
      </c>
      <c r="Y50" s="93" t="n">
        <f aca="false">MDO!E22</f>
        <v>263.441502484861</v>
      </c>
      <c r="Z50" s="93" t="n">
        <f aca="false">MDO!E23</f>
        <v>264.260171273604</v>
      </c>
      <c r="AA50" s="93" t="n">
        <f aca="false">MDO!E24</f>
        <v>263.086280910658</v>
      </c>
      <c r="AB50" s="93" t="n">
        <f aca="false">MDO!E25</f>
        <v>299.888579516057</v>
      </c>
      <c r="AC50" s="93" t="n">
        <f aca="false">MDO!E26</f>
        <v>279.091542783106</v>
      </c>
      <c r="AD50" s="93" t="n">
        <f aca="false">MDO!E27</f>
        <v>422.132939287919</v>
      </c>
      <c r="AE50" s="93" t="n">
        <f aca="false">MDO!E28</f>
        <v>414.84325633937</v>
      </c>
      <c r="AF50" s="93" t="n">
        <f aca="false">MDO!E29</f>
        <v>477.539900802435</v>
      </c>
      <c r="AG50" s="93" t="n">
        <f aca="false">MDO!E30</f>
        <v>423.053306626287</v>
      </c>
      <c r="AH50" s="93" t="n">
        <f aca="false">MDO!E31</f>
        <v>373.907636699327</v>
      </c>
      <c r="AI50" s="93" t="n">
        <f aca="false">MDO!E32</f>
        <v>374.871789585054</v>
      </c>
      <c r="AJ50" s="93" t="n">
        <f aca="false">MDO!E33</f>
        <v>356.526196165076</v>
      </c>
      <c r="AK50" s="93" t="n">
        <f aca="false">MDO!E34</f>
        <v>356.526196165076</v>
      </c>
      <c r="AL50" s="93" t="n">
        <f aca="false">MDO!E35</f>
        <v>356.526196165076</v>
      </c>
      <c r="AM50" s="93" t="n">
        <f aca="false">MDO!E36</f>
        <v>358.676077429085</v>
      </c>
      <c r="AN50" s="93" t="n">
        <f aca="false">MDO!E37</f>
        <v>358.676077429085</v>
      </c>
      <c r="AO50" s="93" t="n">
        <f aca="false">MDO!E38</f>
        <v>358.676077429085</v>
      </c>
      <c r="AP50" s="93" t="n">
        <f aca="false">MDO!E39</f>
        <v>343.552919789041</v>
      </c>
      <c r="AQ50" s="93" t="n">
        <f aca="false">MDO!E40</f>
        <v>396.793504804821</v>
      </c>
      <c r="AR50" s="93" t="n">
        <f aca="false">MDO!E41</f>
        <v>396.822815015271</v>
      </c>
      <c r="AS50" s="93" t="n">
        <f aca="false">MDO!E42</f>
        <v>347.321572077779</v>
      </c>
      <c r="AT50" s="93" t="n">
        <f aca="false">MDO!E43</f>
        <v>347.321572077779</v>
      </c>
      <c r="AU50" s="93" t="n">
        <f aca="false">MDO!E44</f>
        <v>342.481263978644</v>
      </c>
      <c r="AV50" s="93" t="n">
        <f aca="false">MDO!E45</f>
        <v>342.481263978644</v>
      </c>
      <c r="AW50" s="93" t="n">
        <f aca="false">MDO!E46</f>
        <v>342.481263978644</v>
      </c>
      <c r="AX50" s="93" t="n">
        <f aca="false">MDO!E47</f>
        <v>342.481263978644</v>
      </c>
      <c r="AY50" s="93" t="n">
        <f aca="false">MDO!E48</f>
        <v>342.481263978644</v>
      </c>
      <c r="AZ50" s="93" t="n">
        <f aca="false">MDO!E49</f>
        <v>342.481263978644</v>
      </c>
      <c r="BA50" s="93" t="n">
        <f aca="false">MDO!E50</f>
        <v>342.481263978644</v>
      </c>
      <c r="BB50" s="93" t="n">
        <f aca="false">MDO!E51</f>
        <v>333.812397747504</v>
      </c>
      <c r="BC50" s="93" t="n">
        <f aca="false">MDO!E52</f>
        <v>392.651460078388</v>
      </c>
      <c r="BD50" s="93" t="n">
        <f aca="false">MDO!E53</f>
        <v>392.651460078388</v>
      </c>
      <c r="BE50" s="93" t="n">
        <f aca="false">MDO!E54</f>
        <v>168.854978177898</v>
      </c>
      <c r="BF50" s="93" t="n">
        <f aca="false">MDO!E55</f>
        <v>164.97531522328</v>
      </c>
      <c r="BG50" s="93" t="n">
        <f aca="false">MDO!E56</f>
        <v>18.3651366434949</v>
      </c>
      <c r="BH50" s="93" t="n">
        <f aca="false">MDO!E57</f>
        <v>1335.44705285199</v>
      </c>
      <c r="BI50" s="93" t="n">
        <f aca="false">MDO!E58</f>
        <v>0</v>
      </c>
      <c r="BJ50" s="93" t="n">
        <f aca="false">MDO!E59</f>
        <v>482.505079917274</v>
      </c>
      <c r="BK50" s="93" t="n">
        <f aca="false">MDO!E60</f>
        <v>0</v>
      </c>
      <c r="BL50" s="93" t="n">
        <f aca="false">MDO!E61</f>
        <v>0</v>
      </c>
      <c r="BM50" s="93" t="n">
        <f aca="false">MDO!E62</f>
        <v>5.84885308007281</v>
      </c>
      <c r="BN50" s="93" t="n">
        <f aca="false">MDO!E63</f>
        <v>0</v>
      </c>
      <c r="BO50" s="93" t="n">
        <f aca="false">MDO!E64</f>
        <v>0</v>
      </c>
      <c r="BP50" s="93" t="n">
        <f aca="false">MDO!E65</f>
        <v>0</v>
      </c>
      <c r="BQ50" s="93" t="n">
        <f aca="false">MDO!E66</f>
        <v>0</v>
      </c>
      <c r="BR50" s="93" t="n">
        <f aca="false">MDO!E67</f>
        <v>0</v>
      </c>
      <c r="BS50" s="93" t="n">
        <f aca="false">MDO!E68</f>
        <v>0</v>
      </c>
      <c r="BT50" s="93" t="n">
        <f aca="false">MDO!E69</f>
        <v>0</v>
      </c>
      <c r="BU50" s="93" t="n">
        <f aca="false">MDO!E70</f>
        <v>0</v>
      </c>
      <c r="BV50" s="93" t="n">
        <f aca="false">MDO!E71</f>
        <v>0</v>
      </c>
      <c r="BW50" s="93" t="n">
        <f aca="false">MDO!E72</f>
        <v>0</v>
      </c>
      <c r="BX50" s="93" t="n">
        <f aca="false">MDO!E73</f>
        <v>0</v>
      </c>
      <c r="BY50" s="93" t="n">
        <f aca="false">MDO!E74</f>
        <v>0</v>
      </c>
      <c r="BZ50" s="93" t="n">
        <f aca="false">MDO!E75</f>
        <v>0</v>
      </c>
      <c r="CA50" s="93" t="n">
        <f aca="false">MDO!E76</f>
        <v>0</v>
      </c>
    </row>
    <row r="51" customFormat="false" ht="15" hidden="false" customHeight="false" outlineLevel="0" collapsed="false">
      <c r="A51" s="55" t="s">
        <v>280</v>
      </c>
      <c r="B51" s="55" t="s">
        <v>339</v>
      </c>
      <c r="C51" s="55" t="s">
        <v>66</v>
      </c>
      <c r="D51" s="56" t="n">
        <f aca="false">'TAX. DIVERSAS'!$K$5</f>
        <v>172.15612</v>
      </c>
      <c r="E51" s="45" t="n">
        <f aca="false">SUM(H51:CA51)</f>
        <v>172.006673791862</v>
      </c>
      <c r="F51" s="45" t="n">
        <f aca="false">IF(D51="","",D51-E51)</f>
        <v>0.149446208137704</v>
      </c>
      <c r="H51" s="93" t="n">
        <f aca="false">'TAX. DIVERSAS'!E5</f>
        <v>1.11445905671946</v>
      </c>
      <c r="I51" s="93" t="n">
        <f aca="false">'TAX. DIVERSAS'!E6</f>
        <v>0.464402163686067</v>
      </c>
      <c r="J51" s="93" t="n">
        <f aca="false">'TAX. DIVERSAS'!E7</f>
        <v>0</v>
      </c>
      <c r="K51" s="93" t="n">
        <f aca="false">'TAX. DIVERSAS'!E8</f>
        <v>0.0153175614781574</v>
      </c>
      <c r="L51" s="93" t="n">
        <f aca="false">'TAX. DIVERSAS'!E9</f>
        <v>0.783039050640713</v>
      </c>
      <c r="M51" s="93" t="n">
        <f aca="false">'TAX. DIVERSAS'!E10</f>
        <v>0</v>
      </c>
      <c r="N51" s="93" t="n">
        <f aca="false">'TAX. DIVERSAS'!E11</f>
        <v>0.497778674440959</v>
      </c>
      <c r="O51" s="93" t="n">
        <f aca="false">'TAX. DIVERSAS'!E12</f>
        <v>0.766214143089756</v>
      </c>
      <c r="P51" s="93" t="n">
        <f aca="false">'TAX. DIVERSAS'!E13</f>
        <v>0.0558886041492357</v>
      </c>
      <c r="Q51" s="93" t="n">
        <f aca="false">'TAX. DIVERSAS'!E14</f>
        <v>0.0578052704950248</v>
      </c>
      <c r="R51" s="93" t="n">
        <f aca="false">'TAX. DIVERSAS'!E15</f>
        <v>0.758764222534188</v>
      </c>
      <c r="S51" s="93" t="n">
        <f aca="false">'TAX. DIVERSAS'!E16</f>
        <v>0</v>
      </c>
      <c r="T51" s="93" t="n">
        <f aca="false">'TAX. DIVERSAS'!E17</f>
        <v>0</v>
      </c>
      <c r="U51" s="93" t="n">
        <f aca="false">'TAX. DIVERSAS'!E18</f>
        <v>0.749759909978368</v>
      </c>
      <c r="V51" s="93" t="n">
        <f aca="false">'TAX. DIVERSAS'!E19</f>
        <v>4.756147010716</v>
      </c>
      <c r="W51" s="93" t="n">
        <f aca="false">'TAX. DIVERSAS'!E20</f>
        <v>0</v>
      </c>
      <c r="X51" s="93" t="n">
        <f aca="false">'TAX. DIVERSAS'!E21</f>
        <v>0</v>
      </c>
      <c r="Y51" s="93" t="n">
        <f aca="false">'TAX. DIVERSAS'!E22</f>
        <v>0</v>
      </c>
      <c r="Z51" s="93" t="n">
        <f aca="false">'TAX. DIVERSAS'!E23</f>
        <v>0</v>
      </c>
      <c r="AA51" s="93" t="n">
        <f aca="false">'TAX. DIVERSAS'!E24</f>
        <v>0</v>
      </c>
      <c r="AB51" s="93" t="n">
        <f aca="false">'TAX. DIVERSAS'!E25</f>
        <v>0</v>
      </c>
      <c r="AC51" s="93" t="n">
        <f aca="false">'TAX. DIVERSAS'!E26</f>
        <v>0</v>
      </c>
      <c r="AD51" s="93" t="n">
        <f aca="false">'TAX. DIVERSAS'!E27</f>
        <v>0</v>
      </c>
      <c r="AE51" s="93" t="n">
        <f aca="false">'TAX. DIVERSAS'!E28</f>
        <v>0</v>
      </c>
      <c r="AF51" s="93" t="n">
        <f aca="false">'TAX. DIVERSAS'!E29</f>
        <v>0.798853488243443</v>
      </c>
      <c r="AG51" s="93" t="n">
        <f aca="false">'TAX. DIVERSAS'!E30</f>
        <v>0</v>
      </c>
      <c r="AH51" s="93" t="n">
        <f aca="false">'TAX. DIVERSAS'!E31</f>
        <v>0</v>
      </c>
      <c r="AI51" s="93" t="n">
        <f aca="false">'TAX. DIVERSAS'!E32</f>
        <v>0.798853488243443</v>
      </c>
      <c r="AJ51" s="93" t="n">
        <f aca="false">'TAX. DIVERSAS'!E33</f>
        <v>0</v>
      </c>
      <c r="AK51" s="93" t="n">
        <f aca="false">'TAX. DIVERSAS'!E34</f>
        <v>0</v>
      </c>
      <c r="AL51" s="93" t="n">
        <f aca="false">'TAX. DIVERSAS'!E35</f>
        <v>0.798853488243443</v>
      </c>
      <c r="AM51" s="93" t="n">
        <f aca="false">'TAX. DIVERSAS'!E36</f>
        <v>0</v>
      </c>
      <c r="AN51" s="93" t="n">
        <f aca="false">'TAX. DIVERSAS'!E37</f>
        <v>0</v>
      </c>
      <c r="AO51" s="93" t="n">
        <f aca="false">'TAX. DIVERSAS'!E38</f>
        <v>0.798853488243443</v>
      </c>
      <c r="AP51" s="93" t="n">
        <f aca="false">'TAX. DIVERSAS'!E39</f>
        <v>0</v>
      </c>
      <c r="AQ51" s="93" t="n">
        <f aca="false">'TAX. DIVERSAS'!E40</f>
        <v>0</v>
      </c>
      <c r="AR51" s="93" t="n">
        <f aca="false">'TAX. DIVERSAS'!E41</f>
        <v>0</v>
      </c>
      <c r="AS51" s="93" t="n">
        <f aca="false">'TAX. DIVERSAS'!E42</f>
        <v>0</v>
      </c>
      <c r="AT51" s="93" t="n">
        <f aca="false">'TAX. DIVERSAS'!E43</f>
        <v>0</v>
      </c>
      <c r="AU51" s="93" t="n">
        <f aca="false">'TAX. DIVERSAS'!E44</f>
        <v>0</v>
      </c>
      <c r="AV51" s="93" t="n">
        <f aca="false">'TAX. DIVERSAS'!E45</f>
        <v>0</v>
      </c>
      <c r="AW51" s="93" t="n">
        <f aca="false">'TAX. DIVERSAS'!E46</f>
        <v>0</v>
      </c>
      <c r="AX51" s="93" t="n">
        <f aca="false">'TAX. DIVERSAS'!E47</f>
        <v>0</v>
      </c>
      <c r="AY51" s="93" t="n">
        <f aca="false">'TAX. DIVERSAS'!E48</f>
        <v>0</v>
      </c>
      <c r="AZ51" s="93" t="n">
        <f aca="false">'TAX. DIVERSAS'!E49</f>
        <v>0</v>
      </c>
      <c r="BA51" s="93" t="n">
        <f aca="false">'TAX. DIVERSAS'!E50</f>
        <v>0</v>
      </c>
      <c r="BB51" s="93" t="n">
        <f aca="false">'TAX. DIVERSAS'!E51</f>
        <v>13.7881939718394</v>
      </c>
      <c r="BC51" s="93" t="n">
        <f aca="false">'TAX. DIVERSAS'!E52</f>
        <v>21.544053080999</v>
      </c>
      <c r="BD51" s="93" t="n">
        <f aca="false">'TAX. DIVERSAS'!E53</f>
        <v>0.258528636971988</v>
      </c>
      <c r="BE51" s="93" t="n">
        <f aca="false">'TAX. DIVERSAS'!E54</f>
        <v>38.7792955457982</v>
      </c>
      <c r="BF51" s="93" t="n">
        <f aca="false">'TAX. DIVERSAS'!E55</f>
        <v>73.2497804753966</v>
      </c>
      <c r="BG51" s="93" t="n">
        <f aca="false">'TAX. DIVERSAS'!E56</f>
        <v>11.1718324599554</v>
      </c>
      <c r="BH51" s="93" t="n">
        <f aca="false">'TAX. DIVERSAS'!E57</f>
        <v>0</v>
      </c>
      <c r="BI51" s="93" t="n">
        <f aca="false">'TAX. DIVERSAS'!E58</f>
        <v>0</v>
      </c>
      <c r="BJ51" s="93" t="n">
        <f aca="false">'TAX. DIVERSAS'!E59</f>
        <v>0</v>
      </c>
      <c r="BK51" s="93" t="n">
        <f aca="false">'TAX. DIVERSAS'!E60</f>
        <v>0</v>
      </c>
      <c r="BL51" s="93" t="n">
        <f aca="false">'TAX. DIVERSAS'!E61</f>
        <v>0</v>
      </c>
      <c r="BM51" s="93" t="n">
        <f aca="false">'TAX. DIVERSAS'!E62</f>
        <v>0</v>
      </c>
      <c r="BN51" s="93" t="n">
        <f aca="false">'TAX. DIVERSAS'!E63</f>
        <v>0</v>
      </c>
      <c r="BO51" s="93" t="n">
        <f aca="false">'TAX. DIVERSAS'!E64</f>
        <v>0</v>
      </c>
      <c r="BP51" s="93" t="n">
        <f aca="false">'TAX. DIVERSAS'!E65</f>
        <v>0</v>
      </c>
      <c r="BQ51" s="93" t="n">
        <f aca="false">'TAX. DIVERSAS'!E66</f>
        <v>0</v>
      </c>
      <c r="BR51" s="93" t="n">
        <f aca="false">'TAX. DIVERSAS'!E67</f>
        <v>0</v>
      </c>
      <c r="BS51" s="93" t="n">
        <f aca="false">'TAX. DIVERSAS'!E68</f>
        <v>0</v>
      </c>
      <c r="BT51" s="93" t="n">
        <f aca="false">'TAX. DIVERSAS'!E69</f>
        <v>0</v>
      </c>
      <c r="BU51" s="93" t="n">
        <f aca="false">'TAX. DIVERSAS'!E70</f>
        <v>0</v>
      </c>
      <c r="BV51" s="93" t="n">
        <f aca="false">'TAX. DIVERSAS'!E71</f>
        <v>0</v>
      </c>
      <c r="BW51" s="93" t="n">
        <f aca="false">'TAX. DIVERSAS'!E72</f>
        <v>0</v>
      </c>
      <c r="BX51" s="93" t="n">
        <f aca="false">'TAX. DIVERSAS'!E73</f>
        <v>0</v>
      </c>
      <c r="BY51" s="93" t="n">
        <f aca="false">'TAX. DIVERSAS'!E74</f>
        <v>0</v>
      </c>
      <c r="BZ51" s="93" t="n">
        <f aca="false">'TAX. DIVERSAS'!E75</f>
        <v>0</v>
      </c>
      <c r="CA51" s="93" t="n">
        <f aca="false">'TAX. DIVERSAS'!E76</f>
        <v>0</v>
      </c>
    </row>
    <row r="52" customFormat="false" ht="15" hidden="false" customHeight="false" outlineLevel="0" collapsed="false">
      <c r="A52" s="55" t="s">
        <v>280</v>
      </c>
      <c r="B52" s="55" t="s">
        <v>340</v>
      </c>
      <c r="C52" s="55" t="s">
        <v>85</v>
      </c>
      <c r="E52" s="45" t="n">
        <f aca="false">SUM(H52:CA52)</f>
        <v>0</v>
      </c>
      <c r="F52" s="45" t="str">
        <f aca="false">IF(D52="","",D52-E52)</f>
        <v/>
      </c>
    </row>
    <row r="53" customFormat="false" ht="15" hidden="false" customHeight="false" outlineLevel="0" collapsed="false">
      <c r="A53" s="55" t="s">
        <v>280</v>
      </c>
      <c r="B53" s="55" t="s">
        <v>341</v>
      </c>
      <c r="C53" s="55" t="s">
        <v>81</v>
      </c>
      <c r="D53" s="56" t="n">
        <f aca="false">'SERV. INICIAIS'!$K$5</f>
        <v>21.888268</v>
      </c>
      <c r="E53" s="45" t="n">
        <f aca="false">SUM(H53:CA53)</f>
        <v>44.6601977690895</v>
      </c>
      <c r="F53" s="45" t="n">
        <f aca="false">IF(D53="","",D53-E53)</f>
        <v>-22.7719297690895</v>
      </c>
      <c r="H53" s="93" t="n">
        <f aca="false">'SERV. INICIAIS'!E5</f>
        <v>3.70579233334963</v>
      </c>
      <c r="I53" s="93" t="n">
        <f aca="false">'SERV. INICIAIS'!E6</f>
        <v>25.3507778526682</v>
      </c>
      <c r="J53" s="93" t="n">
        <f aca="false">'SERV. INICIAIS'!E7</f>
        <v>11.2119954846542</v>
      </c>
      <c r="K53" s="93" t="n">
        <f aca="false">'SERV. INICIAIS'!E8</f>
        <v>0.765148262114451</v>
      </c>
      <c r="L53" s="93" t="n">
        <f aca="false">'SERV. INICIAIS'!E9</f>
        <v>0</v>
      </c>
      <c r="M53" s="93" t="n">
        <f aca="false">'SERV. INICIAIS'!E10</f>
        <v>0</v>
      </c>
      <c r="N53" s="93" t="n">
        <f aca="false">'SERV. INICIAIS'!E11</f>
        <v>3.62648383630302</v>
      </c>
      <c r="O53" s="93" t="n">
        <f aca="false">'SERV. INICIAIS'!E12</f>
        <v>0</v>
      </c>
      <c r="P53" s="93" t="n">
        <f aca="false">'SERV. INICIAIS'!E13</f>
        <v>0</v>
      </c>
      <c r="Q53" s="93" t="n">
        <f aca="false">'SERV. INICIAIS'!E14</f>
        <v>0</v>
      </c>
      <c r="R53" s="93" t="n">
        <f aca="false">'SERV. INICIAIS'!E15</f>
        <v>0</v>
      </c>
      <c r="S53" s="93" t="n">
        <f aca="false">'SERV. INICIAIS'!E16</f>
        <v>0</v>
      </c>
      <c r="T53" s="93" t="n">
        <f aca="false">'SERV. INICIAIS'!E17</f>
        <v>0</v>
      </c>
      <c r="U53" s="93" t="n">
        <f aca="false">'SERV. INICIAIS'!E18</f>
        <v>0</v>
      </c>
      <c r="V53" s="93" t="n">
        <f aca="false">'SERV. INICIAIS'!E19</f>
        <v>0</v>
      </c>
      <c r="W53" s="93" t="n">
        <f aca="false">'SERV. INICIAIS'!E20</f>
        <v>0</v>
      </c>
      <c r="X53" s="93" t="n">
        <f aca="false">'SERV. INICIAIS'!E21</f>
        <v>0</v>
      </c>
      <c r="Y53" s="93" t="n">
        <f aca="false">'SERV. INICIAIS'!E22</f>
        <v>0</v>
      </c>
      <c r="Z53" s="93" t="n">
        <f aca="false">'SERV. INICIAIS'!E23</f>
        <v>0</v>
      </c>
      <c r="AA53" s="93" t="n">
        <f aca="false">'SERV. INICIAIS'!E24</f>
        <v>0</v>
      </c>
      <c r="AB53" s="93" t="n">
        <f aca="false">'SERV. INICIAIS'!E25</f>
        <v>0</v>
      </c>
      <c r="AC53" s="93" t="n">
        <f aca="false">'SERV. INICIAIS'!E26</f>
        <v>0</v>
      </c>
      <c r="AD53" s="93" t="n">
        <f aca="false">'SERV. INICIAIS'!E27</f>
        <v>0</v>
      </c>
      <c r="AE53" s="93" t="n">
        <f aca="false">'SERV. INICIAIS'!E28</f>
        <v>0</v>
      </c>
      <c r="AF53" s="93" t="n">
        <f aca="false">'SERV. INICIAIS'!E29</f>
        <v>0</v>
      </c>
      <c r="AG53" s="93" t="n">
        <f aca="false">'SERV. INICIAIS'!E30</f>
        <v>0</v>
      </c>
      <c r="AH53" s="93" t="n">
        <f aca="false">'SERV. INICIAIS'!E31</f>
        <v>0</v>
      </c>
      <c r="AI53" s="93" t="n">
        <f aca="false">'SERV. INICIAIS'!E32</f>
        <v>0</v>
      </c>
      <c r="AJ53" s="93" t="n">
        <f aca="false">'SERV. INICIAIS'!E33</f>
        <v>0</v>
      </c>
      <c r="AK53" s="93" t="n">
        <f aca="false">'SERV. INICIAIS'!E34</f>
        <v>0</v>
      </c>
      <c r="AL53" s="93" t="n">
        <f aca="false">'SERV. INICIAIS'!E35</f>
        <v>0</v>
      </c>
      <c r="AM53" s="93" t="n">
        <f aca="false">'SERV. INICIAIS'!E36</f>
        <v>0</v>
      </c>
      <c r="AN53" s="93" t="n">
        <f aca="false">'SERV. INICIAIS'!E37</f>
        <v>0</v>
      </c>
      <c r="AO53" s="93" t="n">
        <f aca="false">'SERV. INICIAIS'!E38</f>
        <v>0</v>
      </c>
      <c r="AP53" s="93" t="n">
        <f aca="false">'SERV. INICIAIS'!E39</f>
        <v>0</v>
      </c>
      <c r="AQ53" s="93" t="n">
        <f aca="false">'SERV. INICIAIS'!E40</f>
        <v>0</v>
      </c>
      <c r="AR53" s="93" t="n">
        <f aca="false">'SERV. INICIAIS'!E41</f>
        <v>0</v>
      </c>
      <c r="AS53" s="93" t="n">
        <f aca="false">'SERV. INICIAIS'!E42</f>
        <v>0</v>
      </c>
      <c r="AT53" s="93" t="n">
        <f aca="false">'SERV. INICIAIS'!E43</f>
        <v>0</v>
      </c>
      <c r="AU53" s="93" t="n">
        <f aca="false">'SERV. INICIAIS'!E44</f>
        <v>0</v>
      </c>
      <c r="AV53" s="93" t="n">
        <f aca="false">'SERV. INICIAIS'!E45</f>
        <v>0</v>
      </c>
      <c r="AW53" s="93" t="n">
        <f aca="false">'SERV. INICIAIS'!E46</f>
        <v>0</v>
      </c>
      <c r="AX53" s="93" t="n">
        <f aca="false">'SERV. INICIAIS'!E47</f>
        <v>0</v>
      </c>
      <c r="AY53" s="93" t="n">
        <f aca="false">'SERV. INICIAIS'!E48</f>
        <v>0</v>
      </c>
      <c r="AZ53" s="93" t="n">
        <f aca="false">'SERV. INICIAIS'!E49</f>
        <v>0</v>
      </c>
      <c r="BA53" s="93" t="n">
        <f aca="false">'SERV. INICIAIS'!E50</f>
        <v>0</v>
      </c>
      <c r="BB53" s="93" t="n">
        <f aca="false">'SERV. INICIAIS'!E51</f>
        <v>0</v>
      </c>
      <c r="BC53" s="93" t="n">
        <f aca="false">'SERV. INICIAIS'!E52</f>
        <v>0</v>
      </c>
      <c r="BD53" s="93" t="n">
        <f aca="false">'SERV. INICIAIS'!E53</f>
        <v>0</v>
      </c>
      <c r="BE53" s="93" t="n">
        <f aca="false">'SERV. INICIAIS'!E54</f>
        <v>0</v>
      </c>
      <c r="BF53" s="93" t="n">
        <f aca="false">'SERV. INICIAIS'!E55</f>
        <v>0</v>
      </c>
      <c r="BG53" s="93" t="n">
        <f aca="false">'SERV. INICIAIS'!E56</f>
        <v>0</v>
      </c>
      <c r="BH53" s="93" t="n">
        <f aca="false">'SERV. INICIAIS'!E57</f>
        <v>0</v>
      </c>
      <c r="BI53" s="93" t="n">
        <f aca="false">'SERV. INICIAIS'!E58</f>
        <v>0</v>
      </c>
      <c r="BJ53" s="93" t="n">
        <f aca="false">'SERV. INICIAIS'!E59</f>
        <v>0</v>
      </c>
      <c r="BK53" s="93" t="n">
        <f aca="false">'SERV. INICIAIS'!E60</f>
        <v>0</v>
      </c>
      <c r="BL53" s="93" t="n">
        <f aca="false">'SERV. INICIAIS'!E61</f>
        <v>0</v>
      </c>
      <c r="BM53" s="93" t="n">
        <f aca="false">'SERV. INICIAIS'!E62</f>
        <v>0</v>
      </c>
      <c r="BN53" s="93" t="n">
        <f aca="false">'SERV. INICIAIS'!E63</f>
        <v>0</v>
      </c>
      <c r="BO53" s="93" t="n">
        <f aca="false">'SERV. INICIAIS'!E64</f>
        <v>0</v>
      </c>
      <c r="BP53" s="93" t="n">
        <f aca="false">'SERV. INICIAIS'!E65</f>
        <v>0</v>
      </c>
      <c r="BQ53" s="93" t="n">
        <f aca="false">'SERV. INICIAIS'!E66</f>
        <v>0</v>
      </c>
      <c r="BR53" s="93" t="n">
        <f aca="false">'SERV. INICIAIS'!E67</f>
        <v>0</v>
      </c>
      <c r="BS53" s="93" t="n">
        <f aca="false">'SERV. INICIAIS'!E68</f>
        <v>0</v>
      </c>
      <c r="BT53" s="93" t="n">
        <f aca="false">'SERV. INICIAIS'!E69</f>
        <v>0</v>
      </c>
      <c r="BU53" s="93" t="n">
        <f aca="false">'SERV. INICIAIS'!E70</f>
        <v>0</v>
      </c>
      <c r="BV53" s="93" t="n">
        <f aca="false">'SERV. INICIAIS'!E71</f>
        <v>0</v>
      </c>
      <c r="BW53" s="93" t="n">
        <f aca="false">'SERV. INICIAIS'!E72</f>
        <v>0</v>
      </c>
      <c r="BX53" s="93" t="n">
        <f aca="false">'SERV. INICIAIS'!E73</f>
        <v>0</v>
      </c>
      <c r="BY53" s="93" t="n">
        <f aca="false">'SERV. INICIAIS'!E74</f>
        <v>0</v>
      </c>
      <c r="BZ53" s="93" t="n">
        <f aca="false">'SERV. INICIAIS'!E75</f>
        <v>0</v>
      </c>
      <c r="CA53" s="93" t="n">
        <f aca="false">'SERV. INICIAIS'!E76</f>
        <v>0</v>
      </c>
    </row>
    <row r="54" customFormat="false" ht="15" hidden="false" customHeight="false" outlineLevel="0" collapsed="false">
      <c r="A54" s="55" t="s">
        <v>280</v>
      </c>
      <c r="B54" s="55" t="s">
        <v>342</v>
      </c>
      <c r="C54" s="55" t="s">
        <v>343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280</v>
      </c>
      <c r="B55" s="55" t="s">
        <v>344</v>
      </c>
      <c r="C55" s="55" t="s">
        <v>345</v>
      </c>
      <c r="E55" s="45" t="n">
        <f aca="false">SUM(H55:CA55)</f>
        <v>0</v>
      </c>
      <c r="F55" s="45" t="str">
        <f aca="false">IF(D55="","",D55-E55)</f>
        <v/>
      </c>
    </row>
    <row r="56" customFormat="false" ht="15" hidden="false" customHeight="false" outlineLevel="0" collapsed="false">
      <c r="A56" s="55" t="s">
        <v>280</v>
      </c>
      <c r="B56" s="55" t="s">
        <v>344</v>
      </c>
      <c r="C56" s="55" t="s">
        <v>345</v>
      </c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 t="s">
        <v>280</v>
      </c>
      <c r="B57" s="55" t="s">
        <v>346</v>
      </c>
      <c r="C57" s="55" t="s">
        <v>347</v>
      </c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280</v>
      </c>
      <c r="B58" s="55"/>
      <c r="C58" s="113" t="s">
        <v>348</v>
      </c>
      <c r="D58" s="45"/>
      <c r="E58" s="45" t="n">
        <f aca="false">SUM(H58:CA58)</f>
        <v>91.4016069798236</v>
      </c>
      <c r="F58" s="45" t="str">
        <f aca="false">IF(D58="","",D58-E58)</f>
        <v/>
      </c>
      <c r="H58" s="114" t="n">
        <f aca="false">IF(H$1=DATE(2026,8,1),'VALOR POR PL'!$G$64,0)</f>
        <v>0</v>
      </c>
      <c r="I58" s="114" t="n">
        <f aca="false">IF(I$1=DATE(2026,8,1),'VALOR POR PL'!$G$64,0)</f>
        <v>0</v>
      </c>
      <c r="J58" s="114" t="n">
        <f aca="false">IF(J$1=DATE(2026,8,1),'VALOR POR PL'!$G$64,0)</f>
        <v>0</v>
      </c>
      <c r="K58" s="114" t="n">
        <f aca="false">IF(K$1=DATE(2026,8,1),'VALOR POR PL'!$G$64,0)</f>
        <v>0</v>
      </c>
      <c r="L58" s="114" t="n">
        <f aca="false">IF(L$1=DATE(2026,8,1),'VALOR POR PL'!$G$64,0)</f>
        <v>0</v>
      </c>
      <c r="M58" s="114" t="n">
        <f aca="false">IF(M$1=DATE(2026,8,1),'VALOR POR PL'!$G$64,0)</f>
        <v>0</v>
      </c>
      <c r="N58" s="114" t="n">
        <f aca="false">IF(N$1=DATE(2026,8,1),'VALOR POR PL'!$G$64,0)</f>
        <v>0</v>
      </c>
      <c r="O58" s="114" t="n">
        <f aca="false">IF(O$1=DATE(2026,8,1),'VALOR POR PL'!$G$64,0)</f>
        <v>0</v>
      </c>
      <c r="P58" s="114" t="n">
        <f aca="false">IF(P$1=DATE(2026,8,1),'VALOR POR PL'!$G$64,0)</f>
        <v>0</v>
      </c>
      <c r="Q58" s="114" t="n">
        <f aca="false">IF(Q$1=DATE(2026,8,1),'VALOR POR PL'!$G$64,0)</f>
        <v>0</v>
      </c>
      <c r="R58" s="114" t="n">
        <f aca="false">IF(R$1=DATE(2026,8,1),'VALOR POR PL'!$G$64,0)</f>
        <v>0</v>
      </c>
      <c r="S58" s="114" t="n">
        <f aca="false">IF(S$1=DATE(2026,8,1),'VALOR POR PL'!$G$64,0)</f>
        <v>0</v>
      </c>
      <c r="T58" s="114" t="n">
        <f aca="false">IF(T$1=DATE(2026,8,1),'VALOR POR PL'!$G$64,0)</f>
        <v>0</v>
      </c>
      <c r="U58" s="114" t="n">
        <f aca="false">IF(U$1=DATE(2026,8,1),'VALOR POR PL'!$G$64,0)</f>
        <v>0</v>
      </c>
      <c r="V58" s="114" t="n">
        <f aca="false">IF(V$1=DATE(2026,8,1),'VALOR POR PL'!$G$64,0)</f>
        <v>0</v>
      </c>
      <c r="W58" s="114" t="n">
        <f aca="false">IF(W$1=DATE(2026,8,1),'VALOR POR PL'!$G$64,0)</f>
        <v>0</v>
      </c>
      <c r="X58" s="114" t="n">
        <f aca="false">IF(X$1=DATE(2026,8,1),'VALOR POR PL'!$G$64,0)</f>
        <v>0</v>
      </c>
      <c r="Y58" s="114" t="n">
        <f aca="false">IF(Y$1=DATE(2026,8,1),'VALOR POR PL'!$G$64,0)</f>
        <v>0</v>
      </c>
      <c r="Z58" s="114" t="n">
        <f aca="false">IF(Z$1=DATE(2026,8,1),'VALOR POR PL'!$G$64,0)</f>
        <v>0</v>
      </c>
      <c r="AA58" s="114" t="n">
        <f aca="false">IF(AA$1=DATE(2026,8,1),'VALOR POR PL'!$G$64,0)</f>
        <v>0</v>
      </c>
      <c r="AB58" s="114" t="n">
        <f aca="false">IF(AB$1=DATE(2026,8,1),'VALOR POR PL'!$G$64,0)</f>
        <v>91.4016069798236</v>
      </c>
      <c r="AC58" s="114" t="n">
        <f aca="false">IF(AC$1=DATE(2026,8,1),'VALOR POR PL'!$G$64,0)</f>
        <v>0</v>
      </c>
      <c r="AD58" s="114" t="n">
        <f aca="false">IF(AD$1=DATE(2026,8,1),'VALOR POR PL'!$G$64,0)</f>
        <v>0</v>
      </c>
      <c r="AE58" s="114" t="n">
        <f aca="false">IF(AE$1=DATE(2026,8,1),'VALOR POR PL'!$G$64,0)</f>
        <v>0</v>
      </c>
      <c r="AF58" s="114" t="n">
        <f aca="false">IF(AF$1=DATE(2026,8,1),'VALOR POR PL'!$G$64,0)</f>
        <v>0</v>
      </c>
      <c r="AG58" s="114" t="n">
        <f aca="false">IF(AG$1=DATE(2026,8,1),'VALOR POR PL'!$G$64,0)</f>
        <v>0</v>
      </c>
      <c r="AH58" s="114" t="n">
        <f aca="false">IF(AH$1=DATE(2026,8,1),'VALOR POR PL'!$G$64,0)</f>
        <v>0</v>
      </c>
      <c r="AI58" s="114" t="n">
        <f aca="false">IF(AI$1=DATE(2026,8,1),'VALOR POR PL'!$G$64,0)</f>
        <v>0</v>
      </c>
      <c r="AJ58" s="114" t="n">
        <f aca="false">IF(AJ$1=DATE(2026,8,1),'VALOR POR PL'!$G$64,0)</f>
        <v>0</v>
      </c>
      <c r="AK58" s="114" t="n">
        <f aca="false">IF(AK$1=DATE(2026,8,1),'VALOR POR PL'!$G$64,0)</f>
        <v>0</v>
      </c>
      <c r="AL58" s="114" t="n">
        <f aca="false">IF(AL$1=DATE(2026,8,1),'VALOR POR PL'!$G$64,0)</f>
        <v>0</v>
      </c>
      <c r="AM58" s="114" t="n">
        <f aca="false">IF(AM$1=DATE(2026,8,1),'VALOR POR PL'!$G$64,0)</f>
        <v>0</v>
      </c>
      <c r="AN58" s="114" t="n">
        <f aca="false">IF(AN$1=DATE(2026,8,1),'VALOR POR PL'!$G$64,0)</f>
        <v>0</v>
      </c>
      <c r="AO58" s="114" t="n">
        <f aca="false">IF(AO$1=DATE(2026,8,1),'VALOR POR PL'!$G$64,0)</f>
        <v>0</v>
      </c>
      <c r="AP58" s="114" t="n">
        <f aca="false">IF(AP$1=DATE(2026,8,1),'VALOR POR PL'!$G$64,0)</f>
        <v>0</v>
      </c>
      <c r="AQ58" s="114" t="n">
        <f aca="false">IF(AQ$1=DATE(2026,8,1),'VALOR POR PL'!$G$64,0)</f>
        <v>0</v>
      </c>
      <c r="AR58" s="114" t="n">
        <f aca="false">IF(AR$1=DATE(2026,8,1),'VALOR POR PL'!$G$64,0)</f>
        <v>0</v>
      </c>
      <c r="AS58" s="114" t="n">
        <f aca="false">IF(AS$1=DATE(2026,8,1),'VALOR POR PL'!$G$64,0)</f>
        <v>0</v>
      </c>
      <c r="AT58" s="114" t="n">
        <f aca="false">IF(AT$1=DATE(2026,8,1),'VALOR POR PL'!$G$64,0)</f>
        <v>0</v>
      </c>
      <c r="AU58" s="114" t="n">
        <f aca="false">IF(AU$1=DATE(2026,8,1),'VALOR POR PL'!$G$64,0)</f>
        <v>0</v>
      </c>
      <c r="AV58" s="114" t="n">
        <f aca="false">IF(AV$1=DATE(2026,8,1),'VALOR POR PL'!$G$64,0)</f>
        <v>0</v>
      </c>
      <c r="AW58" s="114" t="n">
        <f aca="false">IF(AW$1=DATE(2026,8,1),'VALOR POR PL'!$G$64,0)</f>
        <v>0</v>
      </c>
      <c r="AX58" s="114" t="n">
        <f aca="false">IF(AX$1=DATE(2026,8,1),'VALOR POR PL'!$G$64,0)</f>
        <v>0</v>
      </c>
      <c r="AY58" s="114" t="n">
        <f aca="false">IF(AY$1=DATE(2026,8,1),'VALOR POR PL'!$G$64,0)</f>
        <v>0</v>
      </c>
      <c r="AZ58" s="114" t="n">
        <f aca="false">IF(AZ$1=DATE(2026,8,1),'VALOR POR PL'!$G$64,0)</f>
        <v>0</v>
      </c>
      <c r="BA58" s="114" t="n">
        <f aca="false">IF(BA$1=DATE(2026,8,1),'VALOR POR PL'!$G$64,0)</f>
        <v>0</v>
      </c>
      <c r="BB58" s="114" t="n">
        <f aca="false">IF(BB$1=DATE(2026,8,1),'VALOR POR PL'!$G$64,0)</f>
        <v>0</v>
      </c>
      <c r="BC58" s="114" t="n">
        <f aca="false">IF(BC$1=DATE(2026,8,1),'VALOR POR PL'!$G$64,0)</f>
        <v>0</v>
      </c>
      <c r="BD58" s="114" t="n">
        <f aca="false">IF(BD$1=DATE(2026,8,1),'VALOR POR PL'!$G$64,0)</f>
        <v>0</v>
      </c>
      <c r="BE58" s="114" t="n">
        <f aca="false">IF(BE$1=DATE(2026,8,1),'VALOR POR PL'!$G$64,0)</f>
        <v>0</v>
      </c>
      <c r="BF58" s="114" t="n">
        <f aca="false">IF(BF$1=DATE(2026,8,1),'VALOR POR PL'!$G$64,0)</f>
        <v>0</v>
      </c>
      <c r="BG58" s="114" t="n">
        <f aca="false">IF(BG$1=DATE(2026,8,1),'VALOR POR PL'!$G$64,0)</f>
        <v>0</v>
      </c>
      <c r="BH58" s="114" t="n">
        <f aca="false">IF(BH$1=DATE(2026,8,1),'VALOR POR PL'!$G$64,0)</f>
        <v>0</v>
      </c>
      <c r="BI58" s="114" t="n">
        <f aca="false">IF(BI$1=DATE(2026,8,1),'VALOR POR PL'!$G$64,0)</f>
        <v>0</v>
      </c>
      <c r="BJ58" s="114" t="n">
        <f aca="false">IF(BJ$1=DATE(2026,8,1),'VALOR POR PL'!$G$64,0)</f>
        <v>0</v>
      </c>
      <c r="BK58" s="114" t="n">
        <f aca="false">IF(BK$1=DATE(2026,8,1),'VALOR POR PL'!$G$64,0)</f>
        <v>0</v>
      </c>
      <c r="BL58" s="114" t="n">
        <f aca="false">IF(BL$1=DATE(2026,8,1),'VALOR POR PL'!$G$64,0)</f>
        <v>0</v>
      </c>
      <c r="BM58" s="114" t="n">
        <f aca="false">IF(BM$1=DATE(2026,8,1),'VALOR POR PL'!$G$64,0)</f>
        <v>0</v>
      </c>
      <c r="BN58" s="114" t="n">
        <f aca="false">IF(BN$1=DATE(2026,8,1),'VALOR POR PL'!$G$64,0)</f>
        <v>0</v>
      </c>
      <c r="BO58" s="114" t="n">
        <f aca="false">IF(BO$1=DATE(2026,8,1),'VALOR POR PL'!$G$64,0)</f>
        <v>0</v>
      </c>
      <c r="BP58" s="114" t="n">
        <f aca="false">IF(BP$1=DATE(2026,8,1),'VALOR POR PL'!$G$64,0)</f>
        <v>0</v>
      </c>
      <c r="BQ58" s="114" t="n">
        <f aca="false">IF(BQ$1=DATE(2026,8,1),'VALOR POR PL'!$G$64,0)</f>
        <v>0</v>
      </c>
      <c r="BR58" s="114" t="n">
        <f aca="false">IF(BR$1=DATE(2026,8,1),'VALOR POR PL'!$G$64,0)</f>
        <v>0</v>
      </c>
      <c r="BS58" s="114" t="n">
        <f aca="false">IF(BS$1=DATE(2026,8,1),'VALOR POR PL'!$G$64,0)</f>
        <v>0</v>
      </c>
      <c r="BT58" s="114" t="n">
        <f aca="false">IF(BT$1=DATE(2026,8,1),'VALOR POR PL'!$G$64,0)</f>
        <v>0</v>
      </c>
      <c r="BU58" s="114" t="n">
        <f aca="false">IF(BU$1=DATE(2026,8,1),'VALOR POR PL'!$G$64,0)</f>
        <v>0</v>
      </c>
      <c r="BV58" s="114" t="n">
        <f aca="false">IF(BV$1=DATE(2026,8,1),'VALOR POR PL'!$G$64,0)</f>
        <v>0</v>
      </c>
      <c r="BW58" s="114" t="n">
        <f aca="false">IF(BW$1=DATE(2026,8,1),'VALOR POR PL'!$G$64,0)</f>
        <v>0</v>
      </c>
      <c r="BX58" s="114" t="n">
        <f aca="false">IF(BX$1=DATE(2026,8,1),'VALOR POR PL'!$G$64,0)</f>
        <v>0</v>
      </c>
      <c r="BY58" s="114" t="n">
        <f aca="false">IF(BY$1=DATE(2026,8,1),'VALOR POR PL'!$G$64,0)</f>
        <v>0</v>
      </c>
      <c r="BZ58" s="114" t="n">
        <f aca="false">IF(BZ$1=DATE(2026,8,1),'VALOR POR PL'!$G$64,0)</f>
        <v>0</v>
      </c>
      <c r="CA58" s="114" t="n">
        <f aca="false">IF(CA$1=DATE(2026,8,1),'VALOR POR PL'!$G$64,0)</f>
        <v>0</v>
      </c>
    </row>
    <row r="59" customFormat="false" ht="15" hidden="false" customHeight="false" outlineLevel="0" collapsed="false">
      <c r="A59" s="55" t="s">
        <v>280</v>
      </c>
      <c r="B59" s="55"/>
      <c r="C59" s="115" t="s">
        <v>349</v>
      </c>
      <c r="D59" s="45"/>
      <c r="E59" s="45" t="n">
        <f aca="false">SUM(H59:CA59)</f>
        <v>3437.62484439545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3437.62484439545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350</v>
      </c>
      <c r="D61" s="61" t="n">
        <f aca="false">SUM(D2:D59)-D44</f>
        <v>130635.68498</v>
      </c>
      <c r="E61" s="61" t="n">
        <f aca="false">SUM(E2:E59)-E44</f>
        <v>130984.267473228</v>
      </c>
      <c r="H61" s="61" t="n">
        <f aca="false">SUM(H2:H59)-H44</f>
        <v>2880.24581847579</v>
      </c>
      <c r="I61" s="61" t="n">
        <f aca="false">SUM(I2:I59)-I44</f>
        <v>132.164575628081</v>
      </c>
      <c r="J61" s="61" t="n">
        <f aca="false">SUM(J2:J59)-J44</f>
        <v>305.669314817576</v>
      </c>
      <c r="K61" s="61" t="n">
        <f aca="false">SUM(K2:K59)-K44</f>
        <v>390.414728280886</v>
      </c>
      <c r="L61" s="61" t="n">
        <f aca="false">SUM(L2:L59)-L44</f>
        <v>535.219027710471</v>
      </c>
      <c r="M61" s="61" t="n">
        <f aca="false">SUM(M2:M59)-M44</f>
        <v>1041.62206514248</v>
      </c>
      <c r="N61" s="61" t="n">
        <f aca="false">SUM(N2:N59)-N44</f>
        <v>1133.48681835651</v>
      </c>
      <c r="O61" s="61" t="n">
        <f aca="false">SUM(O2:O59)-O44</f>
        <v>1647.99238478245</v>
      </c>
      <c r="P61" s="61" t="n">
        <f aca="false">SUM(P2:P59)-P44</f>
        <v>2182.35101166593</v>
      </c>
      <c r="Q61" s="61" t="n">
        <f aca="false">SUM(Q2:Q59)-Q44</f>
        <v>2247.70584050668</v>
      </c>
      <c r="R61" s="61" t="n">
        <f aca="false">SUM(R2:R59)-R44</f>
        <v>2644.7387013276</v>
      </c>
      <c r="S61" s="61" t="n">
        <f aca="false">SUM(S2:S59)-S44</f>
        <v>2617.84933173307</v>
      </c>
      <c r="T61" s="61" t="n">
        <f aca="false">SUM(T2:T59)-T44</f>
        <v>1823.6875051398</v>
      </c>
      <c r="U61" s="61" t="n">
        <f aca="false">SUM(U2:U59)-U44</f>
        <v>1336.01893558474</v>
      </c>
      <c r="V61" s="61" t="n">
        <f aca="false">SUM(V2:V59)-V44</f>
        <v>1128.62698421016</v>
      </c>
      <c r="W61" s="61" t="n">
        <f aca="false">SUM(W2:W59)-W44</f>
        <v>1624.4307682686</v>
      </c>
      <c r="X61" s="61" t="n">
        <f aca="false">SUM(X2:X59)-X44</f>
        <v>1382.39425650894</v>
      </c>
      <c r="Y61" s="61" t="n">
        <f aca="false">SUM(Y2:Y59)-Y44</f>
        <v>1890.95288011679</v>
      </c>
      <c r="Z61" s="61" t="n">
        <f aca="false">SUM(Z2:Z59)-Z44</f>
        <v>1693.70558181411</v>
      </c>
      <c r="AA61" s="61" t="n">
        <f aca="false">SUM(AA2:AA59)-AA44</f>
        <v>2458.52824093801</v>
      </c>
      <c r="AB61" s="61" t="n">
        <f aca="false">SUM(AB2:AB59)-AB44</f>
        <v>2031.10062516874</v>
      </c>
      <c r="AC61" s="61" t="n">
        <f aca="false">SUM(AC2:AC59)-AC44</f>
        <v>2157.19015004516</v>
      </c>
      <c r="AD61" s="61" t="n">
        <f aca="false">SUM(AD2:AD59)-AD44</f>
        <v>4726.22539149726</v>
      </c>
      <c r="AE61" s="61" t="n">
        <f aca="false">SUM(AE2:AE59)-AE44</f>
        <v>3429.58596638121</v>
      </c>
      <c r="AF61" s="61" t="n">
        <f aca="false">SUM(AF2:AF59)-AF44</f>
        <v>2286.70171620132</v>
      </c>
      <c r="AG61" s="61" t="n">
        <f aca="false">SUM(AG2:AG59)-AG44</f>
        <v>3255.53380934819</v>
      </c>
      <c r="AH61" s="61" t="n">
        <f aca="false">SUM(AH2:AH59)-AH44</f>
        <v>3979.19419382604</v>
      </c>
      <c r="AI61" s="61" t="n">
        <f aca="false">SUM(AI2:AI59)-AI44</f>
        <v>4396.10134523269</v>
      </c>
      <c r="AJ61" s="61" t="n">
        <f aca="false">SUM(AJ2:AJ59)-AJ44</f>
        <v>4515.35626486982</v>
      </c>
      <c r="AK61" s="61" t="n">
        <f aca="false">SUM(AK2:AK59)-AK44</f>
        <v>4299.67251853969</v>
      </c>
      <c r="AL61" s="61" t="n">
        <f aca="false">SUM(AL2:AL59)-AL44</f>
        <v>4358.64259755123</v>
      </c>
      <c r="AM61" s="61" t="n">
        <f aca="false">SUM(AM2:AM59)-AM44</f>
        <v>4129.37188094276</v>
      </c>
      <c r="AN61" s="61" t="n">
        <f aca="false">SUM(AN2:AN59)-AN44</f>
        <v>4028.47058348245</v>
      </c>
      <c r="AO61" s="61" t="n">
        <f aca="false">SUM(AO2:AO59)-AO44</f>
        <v>4109.08863284286</v>
      </c>
      <c r="AP61" s="61" t="n">
        <f aca="false">SUM(AP2:AP59)-AP44</f>
        <v>3840.89334213422</v>
      </c>
      <c r="AQ61" s="61" t="n">
        <f aca="false">SUM(AQ2:AQ59)-AQ44</f>
        <v>3918.73480915774</v>
      </c>
      <c r="AR61" s="61" t="n">
        <f aca="false">SUM(AR2:AR59)-AR44</f>
        <v>2868.72205633948</v>
      </c>
      <c r="AS61" s="61" t="n">
        <f aca="false">SUM(AS2:AS59)-AS44</f>
        <v>3643.125143198</v>
      </c>
      <c r="AT61" s="61" t="n">
        <f aca="false">SUM(AT2:AT59)-AT44</f>
        <v>3152.61033149043</v>
      </c>
      <c r="AU61" s="61" t="n">
        <f aca="false">SUM(AU2:AU59)-AU44</f>
        <v>3977.87737026521</v>
      </c>
      <c r="AV61" s="61" t="n">
        <f aca="false">SUM(AV2:AV59)-AV44</f>
        <v>3470.81157010324</v>
      </c>
      <c r="AW61" s="61" t="n">
        <f aca="false">SUM(AW2:AW59)-AW44</f>
        <v>3407.68894832627</v>
      </c>
      <c r="AX61" s="61" t="n">
        <f aca="false">SUM(AX2:AX59)-AX44</f>
        <v>2701.8155999316</v>
      </c>
      <c r="AY61" s="61" t="n">
        <f aca="false">SUM(AY2:AY59)-AY44</f>
        <v>2573.57715872668</v>
      </c>
      <c r="AZ61" s="61" t="n">
        <f aca="false">SUM(AZ2:AZ59)-AZ44</f>
        <v>2760.09804551674</v>
      </c>
      <c r="BA61" s="61" t="n">
        <f aca="false">SUM(BA2:BA59)-BA44</f>
        <v>2001.55034701518</v>
      </c>
      <c r="BB61" s="61" t="n">
        <f aca="false">SUM(BB2:BB59)-BB44</f>
        <v>1222.86195742475</v>
      </c>
      <c r="BC61" s="61" t="n">
        <f aca="false">SUM(BC2:BC59)-BC44</f>
        <v>997.124563827499</v>
      </c>
      <c r="BD61" s="61" t="n">
        <f aca="false">SUM(BD2:BD59)-BD44</f>
        <v>741.342207608071</v>
      </c>
      <c r="BE61" s="61" t="n">
        <f aca="false">SUM(BE2:BE59)-BE44</f>
        <v>337.368135610069</v>
      </c>
      <c r="BF61" s="61" t="n">
        <f aca="false">SUM(BF2:BF59)-BF44</f>
        <v>283.440309941183</v>
      </c>
      <c r="BG61" s="61" t="n">
        <f aca="false">SUM(BG2:BG59)-BG44</f>
        <v>95.5925532013104</v>
      </c>
      <c r="BH61" s="61" t="n">
        <f aca="false">SUM(BH2:BH59)-BH44</f>
        <v>1417.68688293493</v>
      </c>
      <c r="BI61" s="61" t="n">
        <f aca="false">SUM(BI2:BI59)-BI44</f>
        <v>12.6378927510229</v>
      </c>
      <c r="BJ61" s="61" t="n">
        <f aca="false">SUM(BJ2:BJ59)-BJ44</f>
        <v>495.142972668296</v>
      </c>
      <c r="BK61" s="61" t="n">
        <f aca="false">SUM(BK2:BK59)-BK44</f>
        <v>820.051130642425</v>
      </c>
      <c r="BL61" s="61" t="n">
        <f aca="false">SUM(BL2:BL59)-BL44</f>
        <v>0</v>
      </c>
      <c r="BM61" s="61" t="n">
        <f aca="false">SUM(BM2:BM59)-BM44</f>
        <v>5.84885308007281</v>
      </c>
      <c r="BN61" s="61" t="n">
        <f aca="false">SUM(BN2:BN59)-BN44</f>
        <v>0</v>
      </c>
      <c r="BO61" s="61" t="n">
        <f aca="false">SUM(BO2:BO59)-BO44</f>
        <v>0</v>
      </c>
      <c r="BP61" s="61" t="n">
        <f aca="false">SUM(BP2:BP59)-BP44</f>
        <v>0</v>
      </c>
      <c r="BQ61" s="61" t="n">
        <f aca="false">SUM(BQ2:BQ59)-BQ44</f>
        <v>0</v>
      </c>
      <c r="BR61" s="61" t="n">
        <f aca="false">SUM(BR2:BR59)-BR44</f>
        <v>0</v>
      </c>
      <c r="BS61" s="61" t="n">
        <f aca="false">SUM(BS2:BS59)-BS44</f>
        <v>0</v>
      </c>
      <c r="BT61" s="61" t="n">
        <f aca="false">SUM(BT2:BT59)-BT44</f>
        <v>0</v>
      </c>
      <c r="BU61" s="61" t="n">
        <f aca="false">SUM(BU2:BU59)-BU44</f>
        <v>0</v>
      </c>
      <c r="BV61" s="61" t="n">
        <f aca="false">SUM(BV2:BV59)-BV44</f>
        <v>3437.62484439545</v>
      </c>
      <c r="BW61" s="61" t="n">
        <f aca="false">SUM(BW2:BW59)-BW44</f>
        <v>0</v>
      </c>
      <c r="BX61" s="61" t="n">
        <f aca="false">SUM(BX2:BX59)-BX44</f>
        <v>0</v>
      </c>
      <c r="BY61" s="61" t="n">
        <f aca="false">SUM(BY2:BY59)-BY44</f>
        <v>0</v>
      </c>
      <c r="BZ61" s="61" t="n">
        <f aca="false">SUM(BZ2:BZ59)-BZ44</f>
        <v>0</v>
      </c>
      <c r="CA61" s="61" t="n">
        <f aca="false">SUM(CA2:CA59)-CA44</f>
        <v>0</v>
      </c>
    </row>
    <row r="62" customFormat="false" ht="15" hidden="false" customHeight="false" outlineLevel="0" collapsed="false">
      <c r="C62" s="42" t="s">
        <v>351</v>
      </c>
      <c r="D62" s="61" t="n">
        <f aca="false">D44</f>
        <v>12921.505153</v>
      </c>
      <c r="E62" s="61" t="n">
        <f aca="false">E44</f>
        <v>12572.922659772</v>
      </c>
      <c r="H62" s="61" t="n">
        <f aca="false">H44</f>
        <v>721.472601885354</v>
      </c>
      <c r="I62" s="61" t="n">
        <f aca="false">I44</f>
        <v>-15.4475774858953</v>
      </c>
      <c r="J62" s="61" t="n">
        <f aca="false">J44</f>
        <v>14.2264999680518</v>
      </c>
      <c r="K62" s="61" t="n">
        <f aca="false">K44</f>
        <v>54.4625190726977</v>
      </c>
      <c r="L62" s="61" t="n">
        <f aca="false">L44</f>
        <v>40.8858030059217</v>
      </c>
      <c r="M62" s="61" t="n">
        <f aca="false">M44</f>
        <v>54.2492783257661</v>
      </c>
      <c r="N62" s="61" t="n">
        <f aca="false">N44</f>
        <v>40.5709836274676</v>
      </c>
      <c r="O62" s="61" t="n">
        <f aca="false">O44</f>
        <v>103.229090164077</v>
      </c>
      <c r="P62" s="61" t="n">
        <f aca="false">P44</f>
        <v>81.1965750148352</v>
      </c>
      <c r="Q62" s="61" t="n">
        <f aca="false">Q44</f>
        <v>138.863086432213</v>
      </c>
      <c r="R62" s="61" t="n">
        <f aca="false">R44</f>
        <v>144.874373750364</v>
      </c>
      <c r="S62" s="61" t="n">
        <f aca="false">S44</f>
        <v>186.960134069497</v>
      </c>
      <c r="T62" s="61" t="n">
        <f aca="false">T44</f>
        <v>182.479243356531</v>
      </c>
      <c r="U62" s="61" t="n">
        <f aca="false">U44</f>
        <v>145.980408007528</v>
      </c>
      <c r="V62" s="61" t="n">
        <f aca="false">V44</f>
        <v>133.943663788482</v>
      </c>
      <c r="W62" s="61" t="n">
        <f aca="false">W44</f>
        <v>114.172505835159</v>
      </c>
      <c r="X62" s="61" t="n">
        <f aca="false">X44</f>
        <v>164.625626760407</v>
      </c>
      <c r="Y62" s="61" t="n">
        <f aca="false">Y44</f>
        <v>139.678687647311</v>
      </c>
      <c r="Z62" s="61" t="n">
        <f aca="false">Z44</f>
        <v>190.24594714678</v>
      </c>
      <c r="AA62" s="61" t="n">
        <f aca="false">AA44</f>
        <v>171.810100812539</v>
      </c>
      <c r="AB62" s="61" t="n">
        <f aca="false">AB44</f>
        <v>255.615052637504</v>
      </c>
      <c r="AC62" s="61" t="n">
        <f aca="false">AC44</f>
        <v>197.107410547632</v>
      </c>
      <c r="AD62" s="61" t="n">
        <f aca="false">AD44</f>
        <v>205.282970708231</v>
      </c>
      <c r="AE62" s="61" t="n">
        <f aca="false">AE44</f>
        <v>317.640645795838</v>
      </c>
      <c r="AF62" s="61" t="n">
        <f aca="false">AF44</f>
        <v>256.989871595627</v>
      </c>
      <c r="AG62" s="61" t="n">
        <f aca="false">AG44</f>
        <v>256.886044474943</v>
      </c>
      <c r="AH62" s="61" t="n">
        <f aca="false">AH44</f>
        <v>219.281650472613</v>
      </c>
      <c r="AI62" s="61" t="n">
        <f aca="false">AI44</f>
        <v>285.459461015452</v>
      </c>
      <c r="AJ62" s="61" t="n">
        <f aca="false">AJ44</f>
        <v>344.942377934924</v>
      </c>
      <c r="AK62" s="61" t="n">
        <f aca="false">AK44</f>
        <v>371.163824190699</v>
      </c>
      <c r="AL62" s="61" t="n">
        <f aca="false">AL44</f>
        <v>381.045774069319</v>
      </c>
      <c r="AM62" s="61" t="n">
        <f aca="false">AM44</f>
        <v>370.286278904079</v>
      </c>
      <c r="AN62" s="61" t="n">
        <f aca="false">AN44</f>
        <v>340.185517713758</v>
      </c>
      <c r="AO62" s="61" t="n">
        <f aca="false">AO44</f>
        <v>364.218786864804</v>
      </c>
      <c r="AP62" s="61" t="n">
        <f aca="false">AP44</f>
        <v>394.386560522071</v>
      </c>
      <c r="AQ62" s="61" t="n">
        <f aca="false">AQ44</f>
        <v>357.811725804423</v>
      </c>
      <c r="AR62" s="61" t="n">
        <f aca="false">AR44</f>
        <v>338.085838967031</v>
      </c>
      <c r="AS62" s="61" t="n">
        <f aca="false">AS44</f>
        <v>328.395295142786</v>
      </c>
      <c r="AT62" s="61" t="n">
        <f aca="false">AT44</f>
        <v>368.309185041219</v>
      </c>
      <c r="AU62" s="61" t="n">
        <f aca="false">AU44</f>
        <v>392.762518058113</v>
      </c>
      <c r="AV62" s="61" t="n">
        <f aca="false">AV44</f>
        <v>419.06213798906</v>
      </c>
      <c r="AW62" s="61" t="n">
        <f aca="false">AW44</f>
        <v>364.79014124729</v>
      </c>
      <c r="AX62" s="61" t="n">
        <f aca="false">AX44</f>
        <v>334.754727009385</v>
      </c>
      <c r="AY62" s="61" t="n">
        <f aca="false">AY44</f>
        <v>397.785928430362</v>
      </c>
      <c r="AZ62" s="61" t="n">
        <f aca="false">AZ44</f>
        <v>247.814574662143</v>
      </c>
      <c r="BA62" s="61" t="n">
        <f aca="false">BA44</f>
        <v>219.766413172101</v>
      </c>
      <c r="BB62" s="61" t="n">
        <f aca="false">BB44</f>
        <v>213.345839588865</v>
      </c>
      <c r="BC62" s="61" t="n">
        <f aca="false">BC44</f>
        <v>143.007520997815</v>
      </c>
      <c r="BD62" s="61" t="n">
        <f aca="false">BD44</f>
        <v>122.547941097045</v>
      </c>
      <c r="BE62" s="61" t="n">
        <f aca="false">BE44</f>
        <v>121.074797263953</v>
      </c>
      <c r="BF62" s="61" t="n">
        <f aca="false">BF44</f>
        <v>74.9709736314088</v>
      </c>
      <c r="BG62" s="61" t="n">
        <f aca="false">BG44</f>
        <v>100.318657805513</v>
      </c>
      <c r="BH62" s="61" t="n">
        <f aca="false">BH44</f>
        <v>16.8957480849038</v>
      </c>
      <c r="BI62" s="61" t="n">
        <f aca="false">BI44</f>
        <v>0</v>
      </c>
      <c r="BJ62" s="61" t="n">
        <f aca="false">BJ44</f>
        <v>128.787373018617</v>
      </c>
      <c r="BK62" s="61" t="n">
        <f aca="false">BK44</f>
        <v>0</v>
      </c>
      <c r="BL62" s="61" t="n">
        <f aca="false">BL44</f>
        <v>69.7070810481553</v>
      </c>
      <c r="BM62" s="61" t="n">
        <f aca="false">BM44</f>
        <v>51.3942137229708</v>
      </c>
      <c r="BN62" s="61" t="n">
        <f aca="false">BN44</f>
        <v>392.562249356288</v>
      </c>
      <c r="BO62" s="61" t="n">
        <f aca="false">BO44</f>
        <v>0</v>
      </c>
      <c r="BP62" s="61" t="n">
        <f aca="false">BP44</f>
        <v>0</v>
      </c>
      <c r="BQ62" s="61" t="n">
        <f aca="false">BQ44</f>
        <v>0</v>
      </c>
      <c r="BR62" s="61" t="n">
        <f aca="false">BR44</f>
        <v>0</v>
      </c>
      <c r="BS62" s="61" t="n">
        <f aca="false">BS44</f>
        <v>0</v>
      </c>
      <c r="BT62" s="61" t="n">
        <f aca="false">BT44</f>
        <v>0</v>
      </c>
      <c r="BU62" s="61" t="n">
        <f aca="false">BU44</f>
        <v>0</v>
      </c>
      <c r="BV62" s="61" t="n">
        <f aca="false">BV44</f>
        <v>0</v>
      </c>
      <c r="BW62" s="61" t="n">
        <f aca="false">BW44</f>
        <v>0</v>
      </c>
      <c r="BX62" s="61" t="n">
        <f aca="false">BX44</f>
        <v>0</v>
      </c>
      <c r="BY62" s="61" t="n">
        <f aca="false">BY44</f>
        <v>0</v>
      </c>
      <c r="BZ62" s="61" t="n">
        <f aca="false">BZ44</f>
        <v>0</v>
      </c>
      <c r="CA62" s="61" t="n">
        <f aca="false">CA44</f>
        <v>0</v>
      </c>
    </row>
    <row r="63" customFormat="false" ht="15" hidden="false" customHeight="false" outlineLevel="0" collapsed="false">
      <c r="C63" s="42" t="s">
        <v>352</v>
      </c>
      <c r="D63" s="61" t="n">
        <f aca="false">D61+D62</f>
        <v>143557.190133</v>
      </c>
      <c r="E63" s="61" t="n">
        <f aca="false">E61+E62</f>
        <v>143557.190133</v>
      </c>
      <c r="H63" s="61" t="n">
        <f aca="false">H61+H62</f>
        <v>3601.71842036115</v>
      </c>
      <c r="I63" s="61" t="n">
        <f aca="false">I61+I62</f>
        <v>116.716998142186</v>
      </c>
      <c r="J63" s="61" t="n">
        <f aca="false">J61+J62</f>
        <v>319.895814785628</v>
      </c>
      <c r="K63" s="61" t="n">
        <f aca="false">K61+K62</f>
        <v>444.877247353584</v>
      </c>
      <c r="L63" s="61" t="n">
        <f aca="false">L61+L62</f>
        <v>576.104830716393</v>
      </c>
      <c r="M63" s="61" t="n">
        <f aca="false">M61+M62</f>
        <v>1095.87134346825</v>
      </c>
      <c r="N63" s="61" t="n">
        <f aca="false">N61+N62</f>
        <v>1174.05780198398</v>
      </c>
      <c r="O63" s="61" t="n">
        <f aca="false">O61+O62</f>
        <v>1751.22147494653</v>
      </c>
      <c r="P63" s="61" t="n">
        <f aca="false">P61+P62</f>
        <v>2263.54758668076</v>
      </c>
      <c r="Q63" s="61" t="n">
        <f aca="false">Q61+Q62</f>
        <v>2386.5689269389</v>
      </c>
      <c r="R63" s="61" t="n">
        <f aca="false">R61+R62</f>
        <v>2789.61307507796</v>
      </c>
      <c r="S63" s="61" t="n">
        <f aca="false">S61+S62</f>
        <v>2804.80946580257</v>
      </c>
      <c r="T63" s="61" t="n">
        <f aca="false">T61+T62</f>
        <v>2006.16674849633</v>
      </c>
      <c r="U63" s="61" t="n">
        <f aca="false">U61+U62</f>
        <v>1481.99934359226</v>
      </c>
      <c r="V63" s="61" t="n">
        <f aca="false">V61+V62</f>
        <v>1262.57064799864</v>
      </c>
      <c r="W63" s="61" t="n">
        <f aca="false">W61+W62</f>
        <v>1738.60327410376</v>
      </c>
      <c r="X63" s="61" t="n">
        <f aca="false">X61+X62</f>
        <v>1547.01988326935</v>
      </c>
      <c r="Y63" s="61" t="n">
        <f aca="false">Y61+Y62</f>
        <v>2030.6315677641</v>
      </c>
      <c r="Z63" s="61" t="n">
        <f aca="false">Z61+Z62</f>
        <v>1883.95152896089</v>
      </c>
      <c r="AA63" s="61" t="n">
        <f aca="false">AA61+AA62</f>
        <v>2630.33834175055</v>
      </c>
      <c r="AB63" s="61" t="n">
        <f aca="false">AB61+AB62</f>
        <v>2286.71567780624</v>
      </c>
      <c r="AC63" s="61" t="n">
        <f aca="false">AC61+AC62</f>
        <v>2354.2975605928</v>
      </c>
      <c r="AD63" s="61" t="n">
        <f aca="false">AD61+AD62</f>
        <v>4931.50836220549</v>
      </c>
      <c r="AE63" s="61" t="n">
        <f aca="false">AE61+AE62</f>
        <v>3747.22661217704</v>
      </c>
      <c r="AF63" s="61" t="n">
        <f aca="false">AF61+AF62</f>
        <v>2543.69158779695</v>
      </c>
      <c r="AG63" s="61" t="n">
        <f aca="false">AG61+AG62</f>
        <v>3512.41985382314</v>
      </c>
      <c r="AH63" s="61" t="n">
        <f aca="false">AH61+AH62</f>
        <v>4198.47584429865</v>
      </c>
      <c r="AI63" s="61" t="n">
        <f aca="false">AI61+AI62</f>
        <v>4681.56080624814</v>
      </c>
      <c r="AJ63" s="61" t="n">
        <f aca="false">AJ61+AJ62</f>
        <v>4860.29864280475</v>
      </c>
      <c r="AK63" s="61" t="n">
        <f aca="false">AK61+AK62</f>
        <v>4670.83634273039</v>
      </c>
      <c r="AL63" s="61" t="n">
        <f aca="false">AL61+AL62</f>
        <v>4739.68837162055</v>
      </c>
      <c r="AM63" s="61" t="n">
        <f aca="false">AM61+AM62</f>
        <v>4499.65815984684</v>
      </c>
      <c r="AN63" s="61" t="n">
        <f aca="false">AN61+AN62</f>
        <v>4368.65610119621</v>
      </c>
      <c r="AO63" s="61" t="n">
        <f aca="false">AO61+AO62</f>
        <v>4473.30741970767</v>
      </c>
      <c r="AP63" s="61" t="n">
        <f aca="false">AP61+AP62</f>
        <v>4235.27990265629</v>
      </c>
      <c r="AQ63" s="61" t="n">
        <f aca="false">AQ61+AQ62</f>
        <v>4276.54653496217</v>
      </c>
      <c r="AR63" s="61" t="n">
        <f aca="false">AR61+AR62</f>
        <v>3206.80789530651</v>
      </c>
      <c r="AS63" s="61" t="n">
        <f aca="false">AS61+AS62</f>
        <v>3971.52043834078</v>
      </c>
      <c r="AT63" s="61" t="n">
        <f aca="false">AT61+AT62</f>
        <v>3520.91951653165</v>
      </c>
      <c r="AU63" s="61" t="n">
        <f aca="false">AU61+AU62</f>
        <v>4370.63988832333</v>
      </c>
      <c r="AV63" s="61" t="n">
        <f aca="false">AV61+AV62</f>
        <v>3889.8737080923</v>
      </c>
      <c r="AW63" s="61" t="n">
        <f aca="false">AW61+AW62</f>
        <v>3772.47908957356</v>
      </c>
      <c r="AX63" s="61" t="n">
        <f aca="false">AX61+AX62</f>
        <v>3036.57032694098</v>
      </c>
      <c r="AY63" s="61" t="n">
        <f aca="false">AY61+AY62</f>
        <v>2971.36308715704</v>
      </c>
      <c r="AZ63" s="61" t="n">
        <f aca="false">AZ61+AZ62</f>
        <v>3007.91262017888</v>
      </c>
      <c r="BA63" s="61" t="n">
        <f aca="false">BA61+BA62</f>
        <v>2221.31676018728</v>
      </c>
      <c r="BB63" s="61" t="n">
        <f aca="false">BB61+BB62</f>
        <v>1436.20779701362</v>
      </c>
      <c r="BC63" s="61" t="n">
        <f aca="false">BC61+BC62</f>
        <v>1140.13208482531</v>
      </c>
      <c r="BD63" s="61" t="n">
        <f aca="false">BD61+BD62</f>
        <v>863.890148705116</v>
      </c>
      <c r="BE63" s="61" t="n">
        <f aca="false">BE61+BE62</f>
        <v>458.442932874022</v>
      </c>
      <c r="BF63" s="61" t="n">
        <f aca="false">BF61+BF62</f>
        <v>358.411283572592</v>
      </c>
      <c r="BG63" s="61" t="n">
        <f aca="false">BG61+BG62</f>
        <v>195.911211006823</v>
      </c>
      <c r="BH63" s="61" t="n">
        <f aca="false">BH61+BH62</f>
        <v>1434.58263101984</v>
      </c>
      <c r="BI63" s="61" t="n">
        <f aca="false">BI61+BI62</f>
        <v>12.6378927510229</v>
      </c>
      <c r="BJ63" s="61" t="n">
        <f aca="false">BJ61+BJ62</f>
        <v>623.930345686913</v>
      </c>
      <c r="BK63" s="61" t="n">
        <f aca="false">BK61+BK62</f>
        <v>820.051130642425</v>
      </c>
      <c r="BL63" s="61" t="n">
        <f aca="false">BL61+BL62</f>
        <v>69.7070810481553</v>
      </c>
      <c r="BM63" s="61" t="n">
        <f aca="false">BM61+BM62</f>
        <v>57.2430668030436</v>
      </c>
      <c r="BN63" s="61" t="n">
        <f aca="false">BN61+BN62</f>
        <v>392.562249356288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3437.62484439545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"&amp;TEXT(MONTH('VALOR POR PL'!$P$5),"00")&amp;"/"&amp;YEAR('VALOR POR PL'!$P$5)</f>
        <v>INCORRIDO ATÉ -&gt; 09/2026</v>
      </c>
    </row>
    <row r="65" customFormat="false" ht="15" hidden="false" customHeight="false" outlineLevel="0" collapsed="false">
      <c r="C65" s="42" t="s">
        <v>353</v>
      </c>
      <c r="E65" s="116" t="n">
        <f aca="false">SUM(H65:CA65)</f>
        <v>183958248.391823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ACAB'!D5+PAVIMENTAÇÃO!C5+PAVIMENTAÇÃO!D5+'REV. FACHADA'!C5+'REV. FACHADA'!D5+FORRO!C5+FORRO!D5+LOUÇAS!C5+LOUÇAS!D5+PINTURA!C5+PINTURA!D5+PAISAGISMO!C5+PAISAGISMO!D5+LIMPEZA!C5+LIMPEZA!D5+'TAX. ADM'!C5+'TAX. ADM'!D5+H59*'VALOR POR PL'!$P$7+IF(H$1=DATE(2026,8,1),'VALOR POR PL'!$G$63,0)</f>
        <v>3987357.38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ACAB'!D6+PAVIMENTAÇÃO!C6+PAVIMENTAÇÃO!D6+'REV. FACHADA'!C6+'REV. FACHADA'!D6+FORRO!C6+FORRO!D6+LOUÇAS!C6+LOUÇAS!D6+PINTURA!C6+PINTURA!D6+PAISAGISMO!C6+PAISAGISMO!D6+LIMPEZA!C6+LIMPEZA!D6+'TAX. ADM'!C6+'TAX. ADM'!D6+I59*'VALOR POR PL'!$P$7+IF(I$1=DATE(2026,8,1),'VALOR POR PL'!$G$63,0)</f>
        <v>136455.71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ACAB'!D7+PAVIMENTAÇÃO!C7+PAVIMENTAÇÃO!D7+'REV. FACHADA'!C7+'REV. FACHADA'!D7+FORRO!C7+FORRO!D7+LOUÇAS!C7+LOUÇAS!D7+PINTURA!C7+PINTURA!D7+PAISAGISMO!C7+PAISAGISMO!D7+LIMPEZA!C7+LIMPEZA!D7+'TAX. ADM'!C7+'TAX. ADM'!D7+J59*'VALOR POR PL'!$P$7+IF(J$1=DATE(2026,8,1),'VALOR POR PL'!$G$63,0)</f>
        <v>375485.71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ACAB'!D8+PAVIMENTAÇÃO!C8+PAVIMENTAÇÃO!D8+'REV. FACHADA'!C8+'REV. FACHADA'!D8+FORRO!C8+FORRO!D8+LOUÇAS!C8+LOUÇAS!D8+PINTURA!C8+PINTURA!D8+PAISAGISMO!C8+PAISAGISMO!D8+LIMPEZA!C8+LIMPEZA!D8+'TAX. ADM'!C8+'TAX. ADM'!D8+K59*'VALOR POR PL'!$P$7+IF(K$1=DATE(2026,8,1),'VALOR POR PL'!$G$63,0)</f>
        <v>524237.12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ACAB'!D9+PAVIMENTAÇÃO!C9+PAVIMENTAÇÃO!D9+'REV. FACHADA'!C9+'REV. FACHADA'!D9+FORRO!C9+FORRO!D9+LOUÇAS!C9+LOUÇAS!D9+PINTURA!C9+PINTURA!D9+PAISAGISMO!C9+PAISAGISMO!D9+LIMPEZA!C9+LIMPEZA!D9+'TAX. ADM'!C9+'TAX. ADM'!D9+L59*'VALOR POR PL'!$P$7+IF(L$1=DATE(2026,8,1),'VALOR POR PL'!$G$63,0)</f>
        <v>682374.28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ACAB'!D10+PAVIMENTAÇÃO!C10+PAVIMENTAÇÃO!D10+'REV. FACHADA'!C10+'REV. FACHADA'!D10+FORRO!C10+FORRO!D10+LOUÇAS!C10+LOUÇAS!D10+PINTURA!C10+PINTURA!D10+PAISAGISMO!C10+PAISAGISMO!D10+LIMPEZA!C10+LIMPEZA!D10+'TAX. ADM'!C10+'TAX. ADM'!D10+M59*'VALOR POR PL'!$P$7+IF(M$1=DATE(2026,8,1),'VALOR POR PL'!$G$63,0)</f>
        <v>1305541.12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ACAB'!D11+PAVIMENTAÇÃO!C11+PAVIMENTAÇÃO!D11+'REV. FACHADA'!C11+'REV. FACHADA'!D11+FORRO!C11+FORRO!D11+LOUÇAS!C11+LOUÇAS!D11+PINTURA!C11+PINTURA!D11+PAISAGISMO!C11+PAISAGISMO!D11+LIMPEZA!C11+LIMPEZA!D11+'TAX. ADM'!C11+'TAX. ADM'!D11+N59*'VALOR POR PL'!$P$7+IF(N$1=DATE(2026,8,1),'VALOR POR PL'!$G$63,0)</f>
        <v>1408292.9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ACAB'!D12+PAVIMENTAÇÃO!C12+PAVIMENTAÇÃO!D12+'REV. FACHADA'!C12+'REV. FACHADA'!D12+FORRO!C12+FORRO!D12+LOUÇAS!C12+LOUÇAS!D12+PINTURA!C12+PINTURA!D12+PAISAGISMO!C12+PAISAGISMO!D12+LIMPEZA!C12+LIMPEZA!D12+'TAX. ADM'!C12+'TAX. ADM'!D12+O59*'VALOR POR PL'!$P$7+IF(O$1=DATE(2026,8,1),'VALOR POR PL'!$G$63,0)</f>
        <v>2119802.81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ACAB'!D13+PAVIMENTAÇÃO!C13+PAVIMENTAÇÃO!D13+'REV. FACHADA'!C13+'REV. FACHADA'!D13+FORRO!C13+FORRO!D13+LOUÇAS!C13+LOUÇAS!D13+PINTURA!C13+PINTURA!D13+PAISAGISMO!C13+PAISAGISMO!D13+LIMPEZA!C13+LIMPEZA!D13+'TAX. ADM'!C13+'TAX. ADM'!D13+P59*'VALOR POR PL'!$P$7+IF(P$1=DATE(2026,8,1),'VALOR POR PL'!$G$63,0)</f>
        <v>2754071.93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ACAB'!D14+PAVIMENTAÇÃO!C14+PAVIMENTAÇÃO!D14+'REV. FACHADA'!C14+'REV. FACHADA'!D14+FORRO!C14+FORRO!D14+LOUÇAS!C14+LOUÇAS!D14+PINTURA!C14+PINTURA!D14+PAISAGISMO!C14+PAISAGISMO!D14+LIMPEZA!C14+LIMPEZA!D14+'TAX. ADM'!C14+'TAX. ADM'!D14+Q59*'VALOR POR PL'!$P$7+IF(Q$1=DATE(2026,8,1),'VALOR POR PL'!$G$63,0)</f>
        <v>2908623.72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ACAB'!D15+PAVIMENTAÇÃO!C15+PAVIMENTAÇÃO!D15+'REV. FACHADA'!C15+'REV. FACHADA'!D15+FORRO!C15+FORRO!D15+LOUÇAS!C15+LOUÇAS!D15+PINTURA!C15+PINTURA!D15+PAISAGISMO!C15+PAISAGISMO!D15+LIMPEZA!C15+LIMPEZA!D15+'TAX. ADM'!C15+'TAX. ADM'!D15+R59*'VALOR POR PL'!$P$7+IF(R$1=DATE(2026,8,1),'VALOR POR PL'!$G$63,0)</f>
        <v>3409900.28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ACAB'!D16+PAVIMENTAÇÃO!C16+PAVIMENTAÇÃO!D16+'REV. FACHADA'!C16+'REV. FACHADA'!D16+FORRO!C16+FORRO!D16+LOUÇAS!C16+LOUÇAS!D16+PINTURA!C16+PINTURA!D16+PAISAGISMO!C16+PAISAGISMO!D16+LIMPEZA!C16+LIMPEZA!D16+'TAX. ADM'!C16+'TAX. ADM'!D16+S59*'VALOR POR PL'!$P$7+IF(S$1=DATE(2026,8,1),'VALOR POR PL'!$G$63,0)</f>
        <v>3437667.04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ACAB'!D17+PAVIMENTAÇÃO!C17+PAVIMENTAÇÃO!D17+'REV. FACHADA'!C17+'REV. FACHADA'!D17+FORRO!C17+FORRO!D17+LOUÇAS!C17+LOUÇAS!D17+PINTURA!C17+PINTURA!D17+PAISAGISMO!C17+PAISAGISMO!D17+LIMPEZA!C17+LIMPEZA!D17+'TAX. ADM'!C17+'TAX. ADM'!D17+T59*'VALOR POR PL'!$P$7+IF(T$1=DATE(2026,8,1),'VALOR POR PL'!$G$63,0)</f>
        <v>2463895.76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ACAB'!D18+PAVIMENTAÇÃO!C18+PAVIMENTAÇÃO!D18+'REV. FACHADA'!C18+'REV. FACHADA'!D18+FORRO!C18+FORRO!D18+LOUÇAS!C18+LOUÇAS!D18+PINTURA!C18+PINTURA!D18+PAISAGISMO!C18+PAISAGISMO!D18+LIMPEZA!C18+LIMPEZA!D18+'TAX. ADM'!C18+'TAX. ADM'!D18+U59*'VALOR POR PL'!$P$7+IF(U$1=DATE(2026,8,1),'VALOR POR PL'!$G$63,0)</f>
        <v>1833286.54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ACAB'!D19+PAVIMENTAÇÃO!C19+PAVIMENTAÇÃO!D19+'REV. FACHADA'!C19+'REV. FACHADA'!D19+FORRO!C19+FORRO!D19+LOUÇAS!C19+LOUÇAS!D19+PINTURA!C19+PINTURA!D19+PAISAGISMO!C19+PAISAGISMO!D19+LIMPEZA!C19+LIMPEZA!D19+'TAX. ADM'!C19+'TAX. ADM'!D19+V59*'VALOR POR PL'!$P$7+IF(V$1=DATE(2026,8,1),'VALOR POR PL'!$G$63,0)</f>
        <v>1566194.9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ACAB'!D20+PAVIMENTAÇÃO!C20+PAVIMENTAÇÃO!D20+'REV. FACHADA'!C20+'REV. FACHADA'!D20+FORRO!C20+FORRO!D20+LOUÇAS!C20+LOUÇAS!D20+PINTURA!C20+PINTURA!D20+PAISAGISMO!C20+PAISAGISMO!D20+LIMPEZA!C20+LIMPEZA!D20+'TAX. ADM'!C20+'TAX. ADM'!D20+W59*'VALOR POR PL'!$P$7+IF(W$1=DATE(2026,8,1),'VALOR POR PL'!$G$63,0)</f>
        <v>2168352.97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ACAB'!D21+PAVIMENTAÇÃO!C21+PAVIMENTAÇÃO!D21+'REV. FACHADA'!C21+'REV. FACHADA'!D21+FORRO!C21+FORRO!D21+LOUÇAS!C21+LOUÇAS!D21+PINTURA!C21+PINTURA!D21+PAISAGISMO!C21+PAISAGISMO!D21+LIMPEZA!C21+LIMPEZA!D21+'TAX. ADM'!C21+'TAX. ADM'!D21+X59*'VALOR POR PL'!$P$7+IF(X$1=DATE(2026,8,1),'VALOR POR PL'!$G$63,0)</f>
        <v>1948706.69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ACAB'!D22+PAVIMENTAÇÃO!C22+PAVIMENTAÇÃO!D22+'REV. FACHADA'!C22+'REV. FACHADA'!D22+FORRO!C22+FORRO!D22+LOUÇAS!C22+LOUÇAS!D22+PINTURA!C22+PINTURA!D22+PAISAGISMO!C22+PAISAGISMO!D22+LIMPEZA!C22+LIMPEZA!D22+'TAX. ADM'!C22+'TAX. ADM'!D22+Y59*'VALOR POR PL'!$P$7+IF(Y$1=DATE(2026,8,1),'VALOR POR PL'!$G$63,0)</f>
        <v>2580313.38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ACAB'!D23+PAVIMENTAÇÃO!C23+PAVIMENTAÇÃO!D23+'REV. FACHADA'!C23+'REV. FACHADA'!D23+FORRO!C23+FORRO!D23+LOUÇAS!C23+LOUÇAS!D23+PINTURA!C23+PINTURA!D23+PAISAGISMO!C23+PAISAGISMO!D23+LIMPEZA!C23+LIMPEZA!D23+'TAX. ADM'!C23+'TAX. ADM'!D23+Z59*'VALOR POR PL'!$P$7+IF(Z$1=DATE(2026,8,1),'VALOR POR PL'!$G$63,0)</f>
        <v>2412665.57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ACAB'!D24+PAVIMENTAÇÃO!C24+PAVIMENTAÇÃO!D24+'REV. FACHADA'!C24+'REV. FACHADA'!D24+FORRO!C24+FORRO!D24+LOUÇAS!C24+LOUÇAS!D24+PINTURA!C24+PINTURA!D24+PAISAGISMO!C24+PAISAGISMO!D24+LIMPEZA!C24+LIMPEZA!D24+'TAX. ADM'!C24+'TAX. ADM'!D24+AA59*'VALOR POR PL'!$P$7+IF(AA$1=DATE(2026,8,1),'VALOR POR PL'!$G$63,0)</f>
        <v>3389009.46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ACAB'!D25+PAVIMENTAÇÃO!C25+PAVIMENTAÇÃO!D25+'REV. FACHADA'!C25+'REV. FACHADA'!D25+FORRO!C25+FORRO!D25+LOUÇAS!C25+LOUÇAS!D25+PINTURA!C25+PINTURA!D25+PAISAGISMO!C25+PAISAGISMO!D25+LIMPEZA!C25+LIMPEZA!D25+'TAX. ADM'!C25+'TAX. ADM'!D25+AB59*'VALOR POR PL'!$P$7+IF(AB$1=DATE(2026,8,1),'VALOR POR PL'!$G$63,0)</f>
        <v>3000265.90997707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ACAB'!D26+PAVIMENTAÇÃO!C26+PAVIMENTAÇÃO!D26+'REV. FACHADA'!C26+'REV. FACHADA'!D26+FORRO!C26+FORRO!D26+LOUÇAS!C26+LOUÇAS!D26+PINTURA!C26+PINTURA!D26+PAISAGISMO!C26+PAISAGISMO!D26+LIMPEZA!C26+LIMPEZA!D26+'TAX. ADM'!C26+'TAX. ADM'!D26+AC59*'VALOR POR PL'!$P$7+IF(AC$1=DATE(2026,8,1),'VALOR POR PL'!$G$63,0)</f>
        <v>3059979.42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ACAB'!D27+PAVIMENTAÇÃO!C27+PAVIMENTAÇÃO!D27+'REV. FACHADA'!C27+'REV. FACHADA'!D27+FORRO!C27+FORRO!D27+LOUÇAS!C27+LOUÇAS!D27+PINTURA!C27+PINTURA!D27+PAISAGISMO!C27+PAISAGISMO!D27+LIMPEZA!C27+LIMPEZA!D27+'TAX. ADM'!C27+'TAX. ADM'!D27+AD59*'VALOR POR PL'!$P$7+IF(AD$1=DATE(2026,8,1),'VALOR POR PL'!$G$63,0)</f>
        <v>6409688.54170968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ACAB'!D28+PAVIMENTAÇÃO!C28+PAVIMENTAÇÃO!D28+'REV. FACHADA'!C28+'REV. FACHADA'!D28+FORRO!C28+FORRO!D28+LOUÇAS!C28+LOUÇAS!D28+PINTURA!C28+PINTURA!D28+PAISAGISMO!C28+PAISAGISMO!D28+LIMPEZA!C28+LIMPEZA!D28+'TAX. ADM'!C28+'TAX. ADM'!D28+AE59*'VALOR POR PL'!$P$7+IF(AE$1=DATE(2026,8,1),'VALOR POR PL'!$G$63,0)</f>
        <v>4870427.81136421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ACAB'!D29+PAVIMENTAÇÃO!C29+PAVIMENTAÇÃO!D29+'REV. FACHADA'!C29+'REV. FACHADA'!D29+FORRO!C29+FORRO!D29+LOUÇAS!C29+LOUÇAS!D29+PINTURA!C29+PINTURA!D29+PAISAGISMO!C29+PAISAGISMO!D29+LIMPEZA!C29+LIMPEZA!D29+'TAX. ADM'!C29+'TAX. ADM'!D29+AF59*'VALOR POR PL'!$P$7+IF(AF$1=DATE(2026,8,1),'VALOR POR PL'!$G$63,0)</f>
        <v>3306142.79170638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ACAB'!D30+PAVIMENTAÇÃO!C30+PAVIMENTAÇÃO!D30+'REV. FACHADA'!C30+'REV. FACHADA'!D30+FORRO!C30+FORRO!D30+LOUÇAS!C30+LOUÇAS!D30+PINTURA!C30+PINTURA!D30+PAISAGISMO!C30+PAISAGISMO!D30+LIMPEZA!C30+LIMPEZA!D30+'TAX. ADM'!C30+'TAX. ADM'!D30+AG59*'VALOR POR PL'!$P$7+IF(AG$1=DATE(2026,8,1),'VALOR POR PL'!$G$63,0)</f>
        <v>4565239.60564779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ACAB'!D31+PAVIMENTAÇÃO!C31+PAVIMENTAÇÃO!D31+'REV. FACHADA'!C31+'REV. FACHADA'!D31+FORRO!C31+FORRO!D31+LOUÇAS!C31+LOUÇAS!D31+PINTURA!C31+PINTURA!D31+PAISAGISMO!C31+PAISAGISMO!D31+LIMPEZA!C31+LIMPEZA!D31+'TAX. ADM'!C31+'TAX. ADM'!D31+AH59*'VALOR POR PL'!$P$7+IF(AH$1=DATE(2026,8,1),'VALOR POR PL'!$G$63,0)</f>
        <v>5456935.39082042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ACAB'!D32+PAVIMENTAÇÃO!C32+PAVIMENTAÇÃO!D32+'REV. FACHADA'!C32+'REV. FACHADA'!D32+FORRO!C32+FORRO!D32+LOUÇAS!C32+LOUÇAS!D32+PINTURA!C32+PINTURA!D32+PAISAGISMO!C32+PAISAGISMO!D32+LIMPEZA!C32+LIMPEZA!D32+'TAX. ADM'!C32+'TAX. ADM'!D32+AI59*'VALOR POR PL'!$P$7+IF(AI$1=DATE(2026,8,1),'VALOR POR PL'!$G$63,0)</f>
        <v>6084821.20543457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ACAB'!D33+PAVIMENTAÇÃO!C33+PAVIMENTAÇÃO!D33+'REV. FACHADA'!C33+'REV. FACHADA'!D33+FORRO!C33+FORRO!D33+LOUÇAS!C33+LOUÇAS!D33+PINTURA!C33+PINTURA!D33+PAISAGISMO!C33+PAISAGISMO!D33+LIMPEZA!C33+LIMPEZA!D33+'TAX. ADM'!C33+'TAX. ADM'!D33+AJ59*'VALOR POR PL'!$P$7+IF(AJ$1=DATE(2026,8,1),'VALOR POR PL'!$G$63,0)</f>
        <v>6317134.27859633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ACAB'!D34+PAVIMENTAÇÃO!C34+PAVIMENTAÇÃO!D34+'REV. FACHADA'!C34+'REV. FACHADA'!D34+FORRO!C34+FORRO!D34+LOUÇAS!C34+LOUÇAS!D34+PINTURA!C34+PINTURA!D34+PAISAGISMO!C34+PAISAGISMO!D34+LIMPEZA!C34+LIMPEZA!D34+'TAX. ADM'!C34+'TAX. ADM'!D34+AK59*'VALOR POR PL'!$P$7+IF(AK$1=DATE(2026,8,1),'VALOR POR PL'!$G$63,0)</f>
        <v>6070882.16977307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ACAB'!D35+PAVIMENTAÇÃO!C35+PAVIMENTAÇÃO!D35+'REV. FACHADA'!C35+'REV. FACHADA'!D35+FORRO!C35+FORRO!D35+LOUÇAS!C35+LOUÇAS!D35+PINTURA!C35+PINTURA!D35+PAISAGISMO!C35+PAISAGISMO!D35+LIMPEZA!C35+LIMPEZA!D35+'TAX. ADM'!C35+'TAX. ADM'!D35+AL59*'VALOR POR PL'!$P$7+IF(AL$1=DATE(2026,8,1),'VALOR POR PL'!$G$63,0)</f>
        <v>6160372.04350684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ACAB'!D36+PAVIMENTAÇÃO!C36+PAVIMENTAÇÃO!D36+'REV. FACHADA'!C36+'REV. FACHADA'!D36+FORRO!C36+FORRO!D36+LOUÇAS!C36+LOUÇAS!D36+PINTURA!C36+PINTURA!D36+PAISAGISMO!C36+PAISAGISMO!D36+LIMPEZA!C36+LIMPEZA!D36+'TAX. ADM'!C36+'TAX. ADM'!D36+AM59*'VALOR POR PL'!$P$7+IF(AM$1=DATE(2026,8,1),'VALOR POR PL'!$G$63,0)</f>
        <v>5848394.69599565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ACAB'!D37+PAVIMENTAÇÃO!C37+PAVIMENTAÇÃO!D37+'REV. FACHADA'!C37+'REV. FACHADA'!D37+FORRO!C37+FORRO!D37+LOUÇAS!C37+LOUÇAS!D37+PINTURA!C37+PINTURA!D37+PAISAGISMO!C37+PAISAGISMO!D37+LIMPEZA!C37+LIMPEZA!D37+'TAX. ADM'!C37+'TAX. ADM'!D37+AN59*'VALOR POR PL'!$P$7+IF(AN$1=DATE(2026,8,1),'VALOR POR PL'!$G$63,0)</f>
        <v>5678125.81828096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ACAB'!D38+PAVIMENTAÇÃO!C38+PAVIMENTAÇÃO!D38+'REV. FACHADA'!C38+'REV. FACHADA'!D38+FORRO!C38+FORRO!D38+LOUÇAS!C38+LOUÇAS!D38+PINTURA!C38+PINTURA!D38+PAISAGISMO!C38+PAISAGISMO!D38+LIMPEZA!C38+LIMPEZA!D38+'TAX. ADM'!C38+'TAX. ADM'!D38+AO59*'VALOR POR PL'!$P$7+IF(AO$1=DATE(2026,8,1),'VALOR POR PL'!$G$63,0)</f>
        <v>5814145.53230568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ACAB'!D39+PAVIMENTAÇÃO!C39+PAVIMENTAÇÃO!D39+'REV. FACHADA'!C39+'REV. FACHADA'!D39+FORRO!C39+FORRO!D39+LOUÇAS!C39+LOUÇAS!D39+PINTURA!C39+PINTURA!D39+PAISAGISMO!C39+PAISAGISMO!D39+LIMPEZA!C39+LIMPEZA!D39+'TAX. ADM'!C39+'TAX. ADM'!D39+AP59*'VALOR POR PL'!$P$7+IF(AP$1=DATE(2026,8,1),'VALOR POR PL'!$G$63,0)</f>
        <v>5504771.17123829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ACAB'!D40+PAVIMENTAÇÃO!C40+PAVIMENTAÇÃO!D40+'REV. FACHADA'!C40+'REV. FACHADA'!D40+FORRO!C40+FORRO!D40+LOUÇAS!C40+LOUÇAS!D40+PINTURA!C40+PINTURA!D40+PAISAGISMO!C40+PAISAGISMO!D40+LIMPEZA!C40+LIMPEZA!D40+'TAX. ADM'!C40+'TAX. ADM'!D40+AQ59*'VALOR POR PL'!$P$7+IF(AQ$1=DATE(2026,8,1),'VALOR POR PL'!$G$63,0)</f>
        <v>5558407.1464448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ACAB'!D41+PAVIMENTAÇÃO!C41+PAVIMENTAÇÃO!D41+'REV. FACHADA'!C41+'REV. FACHADA'!D41+FORRO!C41+FORRO!D41+LOUÇAS!C41+LOUÇAS!D41+PINTURA!C41+PINTURA!D41+PAISAGISMO!C41+PAISAGISMO!D41+LIMPEZA!C41+LIMPEZA!D41+'TAX. ADM'!C41+'TAX. ADM'!D41+AR59*'VALOR POR PL'!$P$7+IF(AR$1=DATE(2026,8,1),'VALOR POR PL'!$G$63,0)</f>
        <v>4168022.90746147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ACAB'!D42+PAVIMENTAÇÃO!C42+PAVIMENTAÇÃO!D42+'REV. FACHADA'!C42+'REV. FACHADA'!D42+FORRO!C42+FORRO!D42+LOUÇAS!C42+LOUÇAS!D42+PINTURA!C42+PINTURA!D42+PAISAGISMO!C42+PAISAGISMO!D42+LIMPEZA!C42+LIMPEZA!D42+'TAX. ADM'!C42+'TAX. ADM'!D42+AS59*'VALOR POR PL'!$P$7+IF(AS$1=DATE(2026,8,1),'VALOR POR PL'!$G$63,0)</f>
        <v>5161951.91756993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ACAB'!D43+PAVIMENTAÇÃO!C43+PAVIMENTAÇÃO!D43+'REV. FACHADA'!C43+'REV. FACHADA'!D43+FORRO!C43+FORRO!D43+LOUÇAS!C43+LOUÇAS!D43+PINTURA!C43+PINTURA!D43+PAISAGISMO!C43+PAISAGISMO!D43+LIMPEZA!C43+LIMPEZA!D43+'TAX. ADM'!C43+'TAX. ADM'!D43+AT59*'VALOR POR PL'!$P$7+IF(AT$1=DATE(2026,8,1),'VALOR POR PL'!$G$63,0)</f>
        <v>4576286.97425588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ACAB'!D44+PAVIMENTAÇÃO!C44+PAVIMENTAÇÃO!D44+'REV. FACHADA'!C44+'REV. FACHADA'!D44+FORRO!C44+FORRO!D44+LOUÇAS!C44+LOUÇAS!D44+PINTURA!C44+PINTURA!D44+PAISAGISMO!C44+PAISAGISMO!D44+LIMPEZA!C44+LIMPEZA!D44+'TAX. ADM'!C44+'TAX. ADM'!D44+AU59*'VALOR POR PL'!$P$7+IF(AU$1=DATE(2026,8,1),'VALOR POR PL'!$G$63,0)</f>
        <v>5680704.22972914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ACAB'!D45+PAVIMENTAÇÃO!C45+PAVIMENTAÇÃO!D45+'REV. FACHADA'!C45+'REV. FACHADA'!D45+FORRO!C45+FORRO!D45+LOUÇAS!C45+LOUÇAS!D45+PINTURA!C45+PINTURA!D45+PAISAGISMO!C45+PAISAGISMO!D45+LIMPEZA!C45+LIMPEZA!D45+'TAX. ADM'!C45+'TAX. ADM'!D45+AV59*'VALOR POR PL'!$P$7+IF(AV$1=DATE(2026,8,1),'VALOR POR PL'!$G$63,0)</f>
        <v>5055832.2331033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ACAB'!D46+PAVIMENTAÇÃO!C46+PAVIMENTAÇÃO!D46+'REV. FACHADA'!C46+'REV. FACHADA'!D46+FORRO!C46+FORRO!D46+LOUÇAS!C46+LOUÇAS!D46+PINTURA!C46+PINTURA!D46+PAISAGISMO!C46+PAISAGISMO!D46+LIMPEZA!C46+LIMPEZA!D46+'TAX. ADM'!C46+'TAX. ADM'!D46+AW59*'VALOR POR PL'!$P$7+IF(AW$1=DATE(2026,8,1),'VALOR POR PL'!$G$63,0)</f>
        <v>4903249.51684051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ACAB'!D47+PAVIMENTAÇÃO!C47+PAVIMENTAÇÃO!D47+'REV. FACHADA'!C47+'REV. FACHADA'!D47+FORRO!C47+FORRO!D47+LOUÇAS!C47+LOUÇAS!D47+PINTURA!C47+PINTURA!D47+PAISAGISMO!C47+PAISAGISMO!D47+LIMPEZA!C47+LIMPEZA!D47+'TAX. ADM'!C47+'TAX. ADM'!D47+AX59*'VALOR POR PL'!$P$7+IF(AX$1=DATE(2026,8,1),'VALOR POR PL'!$G$63,0)</f>
        <v>3946757.98987893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ACAB'!D48+PAVIMENTAÇÃO!C48+PAVIMENTAÇÃO!D48+'REV. FACHADA'!C48+'REV. FACHADA'!D48+FORRO!C48+FORRO!D48+LOUÇAS!C48+LOUÇAS!D48+PINTURA!C48+PINTURA!D48+PAISAGISMO!C48+PAISAGISMO!D48+LIMPEZA!C48+LIMPEZA!D48+'TAX. ADM'!C48+'TAX. ADM'!D48+AY59*'VALOR POR PL'!$P$7+IF(AY$1=DATE(2026,8,1),'VALOR POR PL'!$G$63,0)</f>
        <v>3862005.40162767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ACAB'!D49+PAVIMENTAÇÃO!C49+PAVIMENTAÇÃO!D49+'REV. FACHADA'!C49+'REV. FACHADA'!D49+FORRO!C49+FORRO!D49+LOUÇAS!C49+LOUÇAS!D49+PINTURA!C49+PINTURA!D49+PAISAGISMO!C49+PAISAGISMO!D49+LIMPEZA!C49+LIMPEZA!D49+'TAX. ADM'!C49+'TAX. ADM'!D49+AZ59*'VALOR POR PL'!$P$7+IF(AZ$1=DATE(2026,8,1),'VALOR POR PL'!$G$63,0)</f>
        <v>3909510.36477654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ACAB'!D50+PAVIMENTAÇÃO!C50+PAVIMENTAÇÃO!D50+'REV. FACHADA'!C50+'REV. FACHADA'!D50+FORRO!C50+FORRO!D50+LOUÇAS!C50+LOUÇAS!D50+PINTURA!C50+PINTURA!D50+PAISAGISMO!C50+PAISAGISMO!D50+LIMPEZA!C50+LIMPEZA!D50+'TAX. ADM'!C50+'TAX. ADM'!D50+BA59*'VALOR POR PL'!$P$7+IF(BA$1=DATE(2026,8,1),'VALOR POR PL'!$G$63,0)</f>
        <v>2887138.68851934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ACAB'!D51+PAVIMENTAÇÃO!C51+PAVIMENTAÇÃO!D51+'REV. FACHADA'!C51+'REV. FACHADA'!D51+FORRO!C51+FORRO!D51+LOUÇAS!C51+LOUÇAS!D51+PINTURA!C51+PINTURA!D51+PAISAGISMO!C51+PAISAGISMO!D51+LIMPEZA!C51+LIMPEZA!D51+'TAX. ADM'!C51+'TAX. ADM'!D51+BB59*'VALOR POR PL'!$P$7+IF(BB$1=DATE(2026,8,1),'VALOR POR PL'!$G$63,0)</f>
        <v>1866699.59450607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ACAB'!D52+PAVIMENTAÇÃO!C52+PAVIMENTAÇÃO!D52+'REV. FACHADA'!C52+'REV. FACHADA'!D52+FORRO!C52+FORRO!D52+LOUÇAS!C52+LOUÇAS!D52+PINTURA!C52+PINTURA!D52+PAISAGISMO!C52+PAISAGISMO!D52+LIMPEZA!C52+LIMPEZA!D52+'TAX. ADM'!C52+'TAX. ADM'!D52+BC59*'VALOR POR PL'!$P$7+IF(BC$1=DATE(2026,8,1),'VALOR POR PL'!$G$63,0)</f>
        <v>1481877.55619502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ACAB'!D53+PAVIMENTAÇÃO!C53+PAVIMENTAÇÃO!D53+'REV. FACHADA'!C53+'REV. FACHADA'!D53+FORRO!C53+FORRO!D53+LOUÇAS!C53+LOUÇAS!D53+PINTURA!C53+PINTURA!D53+PAISAGISMO!C53+PAISAGISMO!D53+LIMPEZA!C53+LIMPEZA!D53+'TAX. ADM'!C53+'TAX. ADM'!D53+BD59*'VALOR POR PL'!$P$7+IF(BD$1=DATE(2026,8,1),'VALOR POR PL'!$G$63,0)</f>
        <v>1122834.30965828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ACAB'!D54+PAVIMENTAÇÃO!C54+PAVIMENTAÇÃO!D54+'REV. FACHADA'!C54+'REV. FACHADA'!D54+FORRO!C54+FORRO!D54+LOUÇAS!C54+LOUÇAS!D54+PINTURA!C54+PINTURA!D54+PAISAGISMO!C54+PAISAGISMO!D54+LIMPEZA!C54+LIMPEZA!D54+'TAX. ADM'!C54+'TAX. ADM'!D54+BE59*'VALOR POR PL'!$P$7+IF(BE$1=DATE(2026,8,1),'VALOR POR PL'!$G$63,0)</f>
        <v>595857.534459547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ACAB'!D55+PAVIMENTAÇÃO!C55+PAVIMENTAÇÃO!D55+'REV. FACHADA'!C55+'REV. FACHADA'!D55+FORRO!C55+FORRO!D55+LOUÇAS!C55+LOUÇAS!D55+PINTURA!C55+PINTURA!D55+PAISAGISMO!C55+PAISAGISMO!D55+LIMPEZA!C55+LIMPEZA!D55+'TAX. ADM'!C55+'TAX. ADM'!D55+BF59*'VALOR POR PL'!$P$7+IF(BF$1=DATE(2026,8,1),'VALOR POR PL'!$G$63,0)</f>
        <v>465842.198533208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ACAB'!D56+PAVIMENTAÇÃO!C56+PAVIMENTAÇÃO!D56+'REV. FACHADA'!C56+'REV. FACHADA'!D56+FORRO!C56+FORRO!D56+LOUÇAS!C56+LOUÇAS!D56+PINTURA!C56+PINTURA!D56+PAISAGISMO!C56+PAISAGISMO!D56+LIMPEZA!C56+LIMPEZA!D56+'TAX. ADM'!C56+'TAX. ADM'!D56+BG59*'VALOR POR PL'!$P$7+IF(BG$1=DATE(2026,8,1),'VALOR POR PL'!$G$63,0)</f>
        <v>254634.02921643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ACAB'!D57+PAVIMENTAÇÃO!C57+PAVIMENTAÇÃO!D57+'REV. FACHADA'!C57+'REV. FACHADA'!D57+FORRO!C57+FORRO!D57+LOUÇAS!C57+LOUÇAS!D57+PINTURA!C57+PINTURA!D57+PAISAGISMO!C57+PAISAGISMO!D57+LIMPEZA!C57+LIMPEZA!D57+'TAX. ADM'!C57+'TAX. ADM'!D57+BH59*'VALOR POR PL'!$P$7+IF(BH$1=DATE(2026,8,1),'VALOR POR PL'!$G$63,0)</f>
        <v>1864587.29800698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ACAB'!D58+PAVIMENTAÇÃO!C58+PAVIMENTAÇÃO!D58+'REV. FACHADA'!C58+'REV. FACHADA'!D58+FORRO!C58+FORRO!D58+LOUÇAS!C58+LOUÇAS!D58+PINTURA!C58+PINTURA!D58+PAISAGISMO!C58+PAISAGISMO!D58+LIMPEZA!C58+LIMPEZA!D58+'TAX. ADM'!C58+'TAX. ADM'!D58+BI59*'VALOR POR PL'!$P$7+IF(BI$1=DATE(2026,8,1),'VALOR POR PL'!$G$63,0)</f>
        <v>16426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ACAB'!D59+PAVIMENTAÇÃO!C59+PAVIMENTAÇÃO!D59+'REV. FACHADA'!C59+'REV. FACHADA'!D59+FORRO!C59+FORRO!D59+LOUÇAS!C59+LOUÇAS!D59+PINTURA!C59+PINTURA!D59+PAISAGISMO!C59+PAISAGISMO!D59+LIMPEZA!C59+LIMPEZA!D59+'TAX. ADM'!C59+'TAX. ADM'!D59+BJ59*'VALOR POR PL'!$P$7+IF(BJ$1=DATE(2026,8,1),'VALOR POR PL'!$G$63,0)</f>
        <v>810948.4753638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ACAB'!D60+PAVIMENTAÇÃO!C60+PAVIMENTAÇÃO!D60+'REV. FACHADA'!C60+'REV. FACHADA'!D60+FORRO!C60+FORRO!D60+LOUÇAS!C60+LOUÇAS!D60+PINTURA!C60+PINTURA!D60+PAISAGISMO!C60+PAISAGISMO!D60+LIMPEZA!C60+LIMPEZA!D60+'TAX. ADM'!C60+'TAX. ADM'!D60+BK59*'VALOR POR PL'!$P$7+IF(BK$1=DATE(2026,8,1),'VALOR POR PL'!$G$63,0)</f>
        <v>1065854.89664345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ACAB'!D61+PAVIMENTAÇÃO!C61+PAVIMENTAÇÃO!D61+'REV. FACHADA'!C61+'REV. FACHADA'!D61+FORRO!C61+FORRO!D61+LOUÇAS!C61+LOUÇAS!D61+PINTURA!C61+PINTURA!D61+PAISAGISMO!C61+PAISAGISMO!D61+LIMPEZA!C61+LIMPEZA!D61+'TAX. ADM'!C61+'TAX. ADM'!D61+BL59*'VALOR POR PL'!$P$7+IF(BL$1=DATE(2026,8,1),'VALOR POR PL'!$G$63,0)</f>
        <v>90601.2209356914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ACAB'!D62+PAVIMENTAÇÃO!C62+PAVIMENTAÇÃO!D62+'REV. FACHADA'!C62+'REV. FACHADA'!D62+FORRO!C62+FORRO!D62+LOUÇAS!C62+LOUÇAS!D62+PINTURA!C62+PINTURA!D62+PAISAGISMO!C62+PAISAGISMO!D62+LIMPEZA!C62+LIMPEZA!D62+'TAX. ADM'!C62+'TAX. ADM'!D62+BM59*'VALOR POR PL'!$P$7+IF(BM$1=DATE(2026,8,1),'VALOR POR PL'!$G$63,0)</f>
        <v>74401.2181327215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ACAB'!D63+PAVIMENTAÇÃO!C63+PAVIMENTAÇÃO!D63+'REV. FACHADA'!C63+'REV. FACHADA'!D63+FORRO!C63+FORRO!D63+LOUÇAS!C63+LOUÇAS!D63+PINTURA!C63+PINTURA!D63+PAISAGISMO!C63+PAISAGISMO!D63+LIMPEZA!C63+LIMPEZA!D63+'TAX. ADM'!C63+'TAX. ADM'!D63+BN59*'VALOR POR PL'!$P$7+IF(BN$1=DATE(2026,8,1),'VALOR POR PL'!$G$63,0)</f>
        <v>510229.64310284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ACAB'!D64+PAVIMENTAÇÃO!C64+PAVIMENTAÇÃO!D64+'REV. FACHADA'!C64+'REV. FACHADA'!D64+FORRO!C64+FORRO!D64+LOUÇAS!C64+LOUÇAS!D64+PINTURA!C64+PINTURA!D64+PAISAGISMO!C64+PAISAGISMO!D64+LIMPEZA!C64+LIMPEZA!D64+'TAX. ADM'!C64+'TAX. ADM'!D64+BO59*'VALOR POR PL'!$P$7+IF(BO$1=DATE(2026,8,1),'VALOR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ACAB'!D65+PAVIMENTAÇÃO!C65+PAVIMENTAÇÃO!D65+'REV. FACHADA'!C65+'REV. FACHADA'!D65+FORRO!C65+FORRO!D65+LOUÇAS!C65+LOUÇAS!D65+PINTURA!C65+PINTURA!D65+PAISAGISMO!C65+PAISAGISMO!D65+LIMPEZA!C65+LIMPEZA!D65+'TAX. ADM'!C65+'TAX. ADM'!D65+BP59*'VALOR POR PL'!$P$7+IF(BP$1=DATE(2026,8,1),'VALOR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ACAB'!D66+PAVIMENTAÇÃO!C66+PAVIMENTAÇÃO!D66+'REV. FACHADA'!C66+'REV. FACHADA'!D66+FORRO!C66+FORRO!D66+LOUÇAS!C66+LOUÇAS!D66+PINTURA!C66+PINTURA!D66+PAISAGISMO!C66+PAISAGISMO!D66+LIMPEZA!C66+LIMPEZA!D66+'TAX. ADM'!C66+'TAX. ADM'!D66+BQ59*'VALOR POR PL'!$P$7+IF(BQ$1=DATE(2026,8,1),'VALOR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ACAB'!D67+PAVIMENTAÇÃO!C67+PAVIMENTAÇÃO!D67+'REV. FACHADA'!C67+'REV. FACHADA'!D67+FORRO!C67+FORRO!D67+LOUÇAS!C67+LOUÇAS!D67+PINTURA!C67+PINTURA!D67+PAISAGISMO!C67+PAISAGISMO!D67+LIMPEZA!C67+LIMPEZA!D67+'TAX. ADM'!C67+'TAX. ADM'!D67+BR59*'VALOR POR PL'!$P$7+IF(BR$1=DATE(2026,8,1),'VALOR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ACAB'!D68+PAVIMENTAÇÃO!C68+PAVIMENTAÇÃO!D68+'REV. FACHADA'!C68+'REV. FACHADA'!D68+FORRO!C68+FORRO!D68+LOUÇAS!C68+LOUÇAS!D68+PINTURA!C68+PINTURA!D68+PAISAGISMO!C68+PAISAGISMO!D68+LIMPEZA!C68+LIMPEZA!D68+'TAX. ADM'!C68+'TAX. ADM'!D68+BS59*'VALOR POR PL'!$P$7+IF(BS$1=DATE(2026,8,1),'VALOR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ACAB'!D69+PAVIMENTAÇÃO!C69+PAVIMENTAÇÃO!D69+'REV. FACHADA'!C69+'REV. FACHADA'!D69+FORRO!C69+FORRO!D69+LOUÇAS!C69+LOUÇAS!D69+PINTURA!C69+PINTURA!D69+PAISAGISMO!C69+PAISAGISMO!D69+LIMPEZA!C69+LIMPEZA!D69+'TAX. ADM'!C69+'TAX. ADM'!D69+BT59*'VALOR POR PL'!$P$7+IF(BT$1=DATE(2026,8,1),'VALOR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ACAB'!D70+PAVIMENTAÇÃO!C70+PAVIMENTAÇÃO!D70+'REV. FACHADA'!C70+'REV. FACHADA'!D70+FORRO!C70+FORRO!D70+LOUÇAS!C70+LOUÇAS!D70+PINTURA!C70+PINTURA!D70+PAISAGISMO!C70+PAISAGISMO!D70+LIMPEZA!C70+LIMPEZA!D70+'TAX. ADM'!C70+'TAX. ADM'!D70+BU59*'VALOR POR PL'!$P$7+IF(BU$1=DATE(2026,8,1),'VALOR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ACAB'!D71+PAVIMENTAÇÃO!C71+PAVIMENTAÇÃO!D71+'REV. FACHADA'!C71+'REV. FACHADA'!D71+FORRO!C71+FORRO!D71+LOUÇAS!C71+LOUÇAS!D71+PINTURA!C71+PINTURA!D71+PAISAGISMO!C71+PAISAGISMO!D71+LIMPEZA!C71+LIMPEZA!D71+'TAX. ADM'!C71+'TAX. ADM'!D71+BV59*'VALOR POR PL'!$P$7+IF(BV$1=DATE(2026,8,1),'VALOR POR PL'!$G$63,0)</f>
        <v>4468025.39050424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ACAB'!D72+PAVIMENTAÇÃO!C72+PAVIMENTAÇÃO!D72+'REV. FACHADA'!C72+'REV. FACHADA'!D72+FORRO!C72+FORRO!D72+LOUÇAS!C72+LOUÇAS!D72+PINTURA!C72+PINTURA!D72+PAISAGISMO!C72+PAISAGISMO!D72+LIMPEZA!C72+LIMPEZA!D72+'TAX. ADM'!C72+'TAX. ADM'!D72+BW59*'VALOR POR PL'!$P$7+IF(BW$1=DATE(2026,8,1),'VALOR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ACAB'!D73+PAVIMENTAÇÃO!C73+PAVIMENTAÇÃO!D73+'REV. FACHADA'!C73+'REV. FACHADA'!D73+FORRO!C73+FORRO!D73+LOUÇAS!C73+LOUÇAS!D73+PINTURA!C73+PINTURA!D73+PAISAGISMO!C73+PAISAGISMO!D73+LIMPEZA!C73+LIMPEZA!D73+'TAX. ADM'!C73+'TAX. ADM'!D73+BX59*'VALOR POR PL'!$P$7+IF(BX$1=DATE(2026,8,1),'VALOR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ACAB'!D74+PAVIMENTAÇÃO!C74+PAVIMENTAÇÃO!D74+'REV. FACHADA'!C74+'REV. FACHADA'!D74+FORRO!C74+FORRO!D74+LOUÇAS!C74+LOUÇAS!D74+PINTURA!C74+PINTURA!D74+PAISAGISMO!C74+PAISAGISMO!D74+LIMPEZA!C74+LIMPEZA!D74+'TAX. ADM'!C74+'TAX. ADM'!D74+BY59*'VALOR POR PL'!$P$7+IF(BY$1=DATE(2026,8,1),'VALOR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ACAB'!D75+PAVIMENTAÇÃO!C75+PAVIMENTAÇÃO!D75+'REV. FACHADA'!C75+'REV. FACHADA'!D75+FORRO!C75+FORRO!D75+LOUÇAS!C75+LOUÇAS!D75+PINTURA!C75+PINTURA!D75+PAISAGISMO!C75+PAISAGISMO!D75+LIMPEZA!C75+LIMPEZA!D75+'TAX. ADM'!C75+'TAX. ADM'!D75+BZ59*'VALOR POR PL'!$P$7+IF(BZ$1=DATE(2026,8,1),'VALOR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ACAB'!D76+PAVIMENTAÇÃO!C76+PAVIMENTAÇÃO!D76+'REV. FACHADA'!C76+'REV. FACHADA'!D76+FORRO!C76+FORRO!D76+LOUÇAS!C76+LOUÇAS!D76+PINTURA!C76+PINTURA!D76+PAISAGISMO!C76+PAISAGISMO!D76+LIMPEZA!C76+LIMPEZA!D76+'TAX. ADM'!C76+'TAX. ADM'!D76+CA59*'VALOR POR PL'!$P$7+IF(CA$1=DATE(2026,8,1),'VALOR POR PL'!$G$63,0)</f>
        <v>0</v>
      </c>
    </row>
    <row r="66" customFormat="false" ht="15" hidden="false" customHeight="false" outlineLevel="0" collapsed="false">
      <c r="C66" s="42" t="s">
        <v>354</v>
      </c>
      <c r="E66" s="116" t="n">
        <f aca="false">CA66</f>
        <v>183958248.391823</v>
      </c>
      <c r="H66" s="50" t="n">
        <f aca="false">H65</f>
        <v>3987357.38</v>
      </c>
      <c r="I66" s="50" t="n">
        <f aca="false">H66+I65</f>
        <v>4123813.09</v>
      </c>
      <c r="J66" s="50" t="n">
        <f aca="false">I66+J65</f>
        <v>4499298.8</v>
      </c>
      <c r="K66" s="50" t="n">
        <f aca="false">J66+K65</f>
        <v>5023535.92</v>
      </c>
      <c r="L66" s="50" t="n">
        <f aca="false">K66+L65</f>
        <v>5705910.2</v>
      </c>
      <c r="M66" s="50" t="n">
        <f aca="false">L66+M65</f>
        <v>7011451.32</v>
      </c>
      <c r="N66" s="50" t="n">
        <f aca="false">M66+N65</f>
        <v>8419744.22</v>
      </c>
      <c r="O66" s="50" t="n">
        <f aca="false">N66+O65</f>
        <v>10539547.03</v>
      </c>
      <c r="P66" s="50" t="n">
        <f aca="false">O66+P65</f>
        <v>13293618.96</v>
      </c>
      <c r="Q66" s="50" t="n">
        <f aca="false">P66+Q65</f>
        <v>16202242.68</v>
      </c>
      <c r="R66" s="50" t="n">
        <f aca="false">Q66+R65</f>
        <v>19612142.96</v>
      </c>
      <c r="S66" s="50" t="n">
        <f aca="false">R66+S65</f>
        <v>23049810</v>
      </c>
      <c r="T66" s="50" t="n">
        <f aca="false">S66+T65</f>
        <v>25513705.76</v>
      </c>
      <c r="U66" s="50" t="n">
        <f aca="false">T66+U65</f>
        <v>27346992.3</v>
      </c>
      <c r="V66" s="50" t="n">
        <f aca="false">U66+V65</f>
        <v>28913187.2</v>
      </c>
      <c r="W66" s="50" t="n">
        <f aca="false">V66+W65</f>
        <v>31081540.17</v>
      </c>
      <c r="X66" s="50" t="n">
        <f aca="false">W66+X65</f>
        <v>33030246.86</v>
      </c>
      <c r="Y66" s="50" t="n">
        <f aca="false">X66+Y65</f>
        <v>35610560.24</v>
      </c>
      <c r="Z66" s="50" t="n">
        <f aca="false">Y66+Z65</f>
        <v>38023225.81</v>
      </c>
      <c r="AA66" s="50" t="n">
        <f aca="false">Z66+AA65</f>
        <v>41412235.27</v>
      </c>
      <c r="AB66" s="50" t="n">
        <f aca="false">AA66+AB65</f>
        <v>44412501.1799771</v>
      </c>
      <c r="AC66" s="50" t="n">
        <f aca="false">AB66+AC65</f>
        <v>47472480.5999771</v>
      </c>
      <c r="AD66" s="50" t="n">
        <f aca="false">AC66+AD65</f>
        <v>53882169.1416868</v>
      </c>
      <c r="AE66" s="50" t="n">
        <f aca="false">AD66+AE65</f>
        <v>58752596.953051</v>
      </c>
      <c r="AF66" s="50" t="n">
        <f aca="false">AE66+AF65</f>
        <v>62058739.7447574</v>
      </c>
      <c r="AG66" s="50" t="n">
        <f aca="false">AF66+AG65</f>
        <v>66623979.3504052</v>
      </c>
      <c r="AH66" s="50" t="n">
        <f aca="false">AG66+AH65</f>
        <v>72080914.7412256</v>
      </c>
      <c r="AI66" s="50" t="n">
        <f aca="false">AH66+AI65</f>
        <v>78165735.9466602</v>
      </c>
      <c r="AJ66" s="50" t="n">
        <f aca="false">AI66+AJ65</f>
        <v>84482870.2252565</v>
      </c>
      <c r="AK66" s="50" t="n">
        <f aca="false">AJ66+AK65</f>
        <v>90553752.3950295</v>
      </c>
      <c r="AL66" s="50" t="n">
        <f aca="false">AK66+AL65</f>
        <v>96714124.4385364</v>
      </c>
      <c r="AM66" s="50" t="n">
        <f aca="false">AL66+AM65</f>
        <v>102562519.134532</v>
      </c>
      <c r="AN66" s="50" t="n">
        <f aca="false">AM66+AN65</f>
        <v>108240644.952813</v>
      </c>
      <c r="AO66" s="50" t="n">
        <f aca="false">AN66+AO65</f>
        <v>114054790.485119</v>
      </c>
      <c r="AP66" s="50" t="n">
        <f aca="false">AO66+AP65</f>
        <v>119559561.656357</v>
      </c>
      <c r="AQ66" s="50" t="n">
        <f aca="false">AP66+AQ65</f>
        <v>125117968.802802</v>
      </c>
      <c r="AR66" s="50" t="n">
        <f aca="false">AQ66+AR65</f>
        <v>129285991.710263</v>
      </c>
      <c r="AS66" s="50" t="n">
        <f aca="false">AR66+AS65</f>
        <v>134447943.627833</v>
      </c>
      <c r="AT66" s="50" t="n">
        <f aca="false">AS66+AT65</f>
        <v>139024230.602089</v>
      </c>
      <c r="AU66" s="50" t="n">
        <f aca="false">AT66+AU65</f>
        <v>144704934.831818</v>
      </c>
      <c r="AV66" s="50" t="n">
        <f aca="false">AU66+AV65</f>
        <v>149760767.064922</v>
      </c>
      <c r="AW66" s="50" t="n">
        <f aca="false">AV66+AW65</f>
        <v>154664016.581762</v>
      </c>
      <c r="AX66" s="50" t="n">
        <f aca="false">AW66+AX65</f>
        <v>158610774.571641</v>
      </c>
      <c r="AY66" s="50" t="n">
        <f aca="false">AX66+AY65</f>
        <v>162472779.973269</v>
      </c>
      <c r="AZ66" s="50" t="n">
        <f aca="false">AY66+AZ65</f>
        <v>166382290.338045</v>
      </c>
      <c r="BA66" s="50" t="n">
        <f aca="false">AZ66+BA65</f>
        <v>169269429.026564</v>
      </c>
      <c r="BB66" s="50" t="n">
        <f aca="false">BA66+BB65</f>
        <v>171136128.621071</v>
      </c>
      <c r="BC66" s="50" t="n">
        <f aca="false">BB66+BC65</f>
        <v>172618006.177266</v>
      </c>
      <c r="BD66" s="50" t="n">
        <f aca="false">BC66+BD65</f>
        <v>173740840.486924</v>
      </c>
      <c r="BE66" s="50" t="n">
        <f aca="false">BD66+BE65</f>
        <v>174336698.021383</v>
      </c>
      <c r="BF66" s="50" t="n">
        <f aca="false">BE66+BF65</f>
        <v>174802540.219917</v>
      </c>
      <c r="BG66" s="50" t="n">
        <f aca="false">BF66+BG65</f>
        <v>175057174.249133</v>
      </c>
      <c r="BH66" s="50" t="n">
        <f aca="false">BG66+BH65</f>
        <v>176921761.54714</v>
      </c>
      <c r="BI66" s="50" t="n">
        <f aca="false">BH66+BI65</f>
        <v>176938187.54714</v>
      </c>
      <c r="BJ66" s="50" t="n">
        <f aca="false">BI66+BJ65</f>
        <v>177749136.022504</v>
      </c>
      <c r="BK66" s="50" t="n">
        <f aca="false">BJ66+BK65</f>
        <v>178814990.919147</v>
      </c>
      <c r="BL66" s="50" t="n">
        <f aca="false">BK66+BL65</f>
        <v>178905592.140083</v>
      </c>
      <c r="BM66" s="50" t="n">
        <f aca="false">BL66+BM65</f>
        <v>178979993.358216</v>
      </c>
      <c r="BN66" s="50" t="n">
        <f aca="false">BM66+BN65</f>
        <v>179490223.001319</v>
      </c>
      <c r="BO66" s="50" t="n">
        <f aca="false">BN66+BO65</f>
        <v>179490223.001319</v>
      </c>
      <c r="BP66" s="50" t="n">
        <f aca="false">BO66+BP65</f>
        <v>179490223.001319</v>
      </c>
      <c r="BQ66" s="50" t="n">
        <f aca="false">BP66+BQ65</f>
        <v>179490223.001319</v>
      </c>
      <c r="BR66" s="50" t="n">
        <f aca="false">BQ66+BR65</f>
        <v>179490223.001319</v>
      </c>
      <c r="BS66" s="50" t="n">
        <f aca="false">BR66+BS65</f>
        <v>179490223.001319</v>
      </c>
      <c r="BT66" s="50" t="n">
        <f aca="false">BS66+BT65</f>
        <v>179490223.001319</v>
      </c>
      <c r="BU66" s="50" t="n">
        <f aca="false">BT66+BU65</f>
        <v>179490223.001319</v>
      </c>
      <c r="BV66" s="50" t="n">
        <f aca="false">BU66+BV65</f>
        <v>183958248.391823</v>
      </c>
      <c r="BW66" s="50" t="n">
        <f aca="false">BV66+BW65</f>
        <v>183958248.391823</v>
      </c>
      <c r="BX66" s="50" t="n">
        <f aca="false">BW66+BX65</f>
        <v>183958248.391823</v>
      </c>
      <c r="BY66" s="50" t="n">
        <f aca="false">BX66+BY65</f>
        <v>183958248.391823</v>
      </c>
      <c r="BZ66" s="50" t="n">
        <f aca="false">BY66+BZ65</f>
        <v>183958248.391823</v>
      </c>
      <c r="CA66" s="50" t="n">
        <f aca="false">BZ66+CA65</f>
        <v>183958248.391823</v>
      </c>
    </row>
    <row r="67" customFormat="false" ht="15" hidden="false" customHeight="false" outlineLevel="0" collapsed="false">
      <c r="C67" s="42" t="s">
        <v>355</v>
      </c>
      <c r="H67" s="117" t="n">
        <f aca="false">IF($E$66=0,0,H66/$E$66)</f>
        <v>0.0216753389144427</v>
      </c>
      <c r="I67" s="117" t="n">
        <f aca="false">IF($E$66=0,0,I66/$E$66)</f>
        <v>0.0224171143509502</v>
      </c>
      <c r="J67" s="117" t="n">
        <f aca="false">IF($E$66=0,0,J66/$E$66)</f>
        <v>0.0244582607158593</v>
      </c>
      <c r="K67" s="117" t="n">
        <f aca="false">IF($E$66=0,0,K66/$E$66)</f>
        <v>0.0273080221404375</v>
      </c>
      <c r="L67" s="117" t="n">
        <f aca="false">IF($E$66=0,0,L66/$E$66)</f>
        <v>0.0310174197127963</v>
      </c>
      <c r="M67" s="117" t="n">
        <f aca="false">IF($E$66=0,0,M66/$E$66)</f>
        <v>0.0381143622604295</v>
      </c>
      <c r="N67" s="117" t="n">
        <f aca="false">IF($E$66=0,0,N66/$E$66)</f>
        <v>0.0457698651384543</v>
      </c>
      <c r="O67" s="117" t="n">
        <f aca="false">IF($E$66=0,0,O66/$E$66)</f>
        <v>0.0572931473426037</v>
      </c>
      <c r="P67" s="117" t="n">
        <f aca="false">IF($E$66=0,0,P66/$E$66)</f>
        <v>0.0722643266948552</v>
      </c>
      <c r="Q67" s="117" t="n">
        <f aca="false">IF($E$66=0,0,Q66/$E$66)</f>
        <v>0.0880756520658424</v>
      </c>
      <c r="R67" s="117" t="n">
        <f aca="false">IF($E$66=0,0,R66/$E$66)</f>
        <v>0.106611924887581</v>
      </c>
      <c r="S67" s="117" t="n">
        <f aca="false">IF($E$66=0,0,S66/$E$66)</f>
        <v>0.125299138263727</v>
      </c>
      <c r="T67" s="117" t="n">
        <f aca="false">IF($E$66=0,0,T66/$E$66)</f>
        <v>0.138692915283999</v>
      </c>
      <c r="U67" s="117" t="n">
        <f aca="false">IF($E$66=0,0,U66/$E$66)</f>
        <v>0.148658690431495</v>
      </c>
      <c r="V67" s="117" t="n">
        <f aca="false">IF($E$66=0,0,V66/$E$66)</f>
        <v>0.157172551123754</v>
      </c>
      <c r="W67" s="117" t="n">
        <f aca="false">IF($E$66=0,0,W66/$E$66)</f>
        <v>0.168959752779325</v>
      </c>
      <c r="X67" s="117" t="n">
        <f aca="false">IF($E$66=0,0,X66/$E$66)</f>
        <v>0.179552953720493</v>
      </c>
      <c r="Y67" s="117" t="n">
        <f aca="false">IF($E$66=0,0,Y66/$E$66)</f>
        <v>0.193579578797419</v>
      </c>
      <c r="Z67" s="117" t="n">
        <f aca="false">IF($E$66=0,0,Z66/$E$66)</f>
        <v>0.206694867680041</v>
      </c>
      <c r="AA67" s="117" t="n">
        <f aca="false">IF($E$66=0,0,AA66/$E$66)</f>
        <v>0.225117577667916</v>
      </c>
      <c r="AB67" s="117" t="n">
        <f aca="false">IF($E$66=0,0,AB66/$E$66)</f>
        <v>0.241427071459065</v>
      </c>
      <c r="AC67" s="117" t="n">
        <f aca="false">IF($E$66=0,0,AC66/$E$66)</f>
        <v>0.258061168852091</v>
      </c>
      <c r="AD67" s="117" t="n">
        <f aca="false">IF($E$66=0,0,AD66/$E$66)</f>
        <v>0.292904338961307</v>
      </c>
      <c r="AE67" s="117" t="n">
        <f aca="false">IF($E$66=0,0,AE66/$E$66)</f>
        <v>0.319380062958148</v>
      </c>
      <c r="AF67" s="117" t="n">
        <f aca="false">IF($E$66=0,0,AF66/$E$66)</f>
        <v>0.337352308403019</v>
      </c>
      <c r="AG67" s="117" t="n">
        <f aca="false">IF($E$66=0,0,AG66/$E$66)</f>
        <v>0.362169024400032</v>
      </c>
      <c r="AH67" s="117" t="n">
        <f aca="false">IF($E$66=0,0,AH66/$E$66)</f>
        <v>0.391833013041614</v>
      </c>
      <c r="AI67" s="117" t="n">
        <f aca="false">IF($E$66=0,0,AI66/$E$66)</f>
        <v>0.424910199080449</v>
      </c>
      <c r="AJ67" s="117" t="n">
        <f aca="false">IF($E$66=0,0,AJ66/$E$66)</f>
        <v>0.45925024272525</v>
      </c>
      <c r="AK67" s="117" t="n">
        <f aca="false">IF($E$66=0,0,AK66/$E$66)</f>
        <v>0.49225165594181</v>
      </c>
      <c r="AL67" s="117" t="n">
        <f aca="false">IF($E$66=0,0,AL66/$E$66)</f>
        <v>0.52573953755278</v>
      </c>
      <c r="AM67" s="117" t="n">
        <f aca="false">IF($E$66=0,0,AM66/$E$66)</f>
        <v>0.55753150527982</v>
      </c>
      <c r="AN67" s="117" t="n">
        <f aca="false">IF($E$66=0,0,AN66/$E$66)</f>
        <v>0.588397888646261</v>
      </c>
      <c r="AO67" s="117" t="n">
        <f aca="false">IF($E$66=0,0,AO66/$E$66)</f>
        <v>0.620003677368068</v>
      </c>
      <c r="AP67" s="117" t="n">
        <f aca="false">IF($E$66=0,0,AP66/$E$66)</f>
        <v>0.649927702082162</v>
      </c>
      <c r="AQ67" s="117" t="n">
        <f aca="false">IF($E$66=0,0,AQ66/$E$66)</f>
        <v>0.680143292821022</v>
      </c>
      <c r="AR67" s="117" t="n">
        <f aca="false">IF($E$66=0,0,AR66/$E$66)</f>
        <v>0.702800732451474</v>
      </c>
      <c r="AS67" s="117" t="n">
        <f aca="false">IF($E$66=0,0,AS66/$E$66)</f>
        <v>0.73086118618321</v>
      </c>
      <c r="AT67" s="117" t="n">
        <f aca="false">IF($E$66=0,0,AT66/$E$66)</f>
        <v>0.75573795585384</v>
      </c>
      <c r="AU67" s="117" t="n">
        <f aca="false">IF($E$66=0,0,AU66/$E$66)</f>
        <v>0.786618355506425</v>
      </c>
      <c r="AV67" s="117" t="n">
        <f aca="false">IF($E$66=0,0,AV66/$E$66)</f>
        <v>0.814101940924866</v>
      </c>
      <c r="AW67" s="117" t="n">
        <f aca="false">IF($E$66=0,0,AW66/$E$66)</f>
        <v>0.840756084241108</v>
      </c>
      <c r="AX67" s="117" t="n">
        <f aca="false">IF($E$66=0,0,AX66/$E$66)</f>
        <v>0.862210724217199</v>
      </c>
      <c r="AY67" s="117" t="n">
        <f aca="false">IF($E$66=0,0,AY66/$E$66)</f>
        <v>0.883204647759033</v>
      </c>
      <c r="AZ67" s="117" t="n">
        <f aca="false">IF($E$66=0,0,AZ66/$E$66)</f>
        <v>0.904456809045378</v>
      </c>
      <c r="BA67" s="117" t="n">
        <f aca="false">IF($E$66=0,0,BA66/$E$66)</f>
        <v>0.920151341439326</v>
      </c>
      <c r="BB67" s="117" t="n">
        <f aca="false">IF($E$66=0,0,BB66/$E$66)</f>
        <v>0.930298750489069</v>
      </c>
      <c r="BC67" s="117" t="n">
        <f aca="false">IF($E$66=0,0,BC66/$E$66)</f>
        <v>0.938354260742889</v>
      </c>
      <c r="BD67" s="117" t="n">
        <f aca="false">IF($E$66=0,0,BD66/$E$66)</f>
        <v>0.94445800612791</v>
      </c>
      <c r="BE67" s="117" t="n">
        <f aca="false">IF($E$66=0,0,BE66/$E$66)</f>
        <v>0.947697097278585</v>
      </c>
      <c r="BF67" s="117" t="n">
        <f aca="false">IF($E$66=0,0,BF66/$E$66)</f>
        <v>0.950229422969907</v>
      </c>
      <c r="BG67" s="117" t="n">
        <f aca="false">IF($E$66=0,0,BG66/$E$66)</f>
        <v>0.951613617652355</v>
      </c>
      <c r="BH67" s="117" t="n">
        <f aca="false">IF($E$66=0,0,BH66/$E$66)</f>
        <v>0.961749544224321</v>
      </c>
      <c r="BI67" s="117" t="n">
        <f aca="false">IF($E$66=0,0,BI66/$E$66)</f>
        <v>0.961838836224781</v>
      </c>
      <c r="BJ67" s="117" t="n">
        <f aca="false">IF($E$66=0,0,BJ66/$E$66)</f>
        <v>0.966247165193192</v>
      </c>
      <c r="BK67" s="117" t="n">
        <f aca="false">IF($E$66=0,0,BK66/$E$66)</f>
        <v>0.972041169571692</v>
      </c>
      <c r="BL67" s="117" t="n">
        <f aca="false">IF($E$66=0,0,BL66/$E$66)</f>
        <v>0.972533679267385</v>
      </c>
      <c r="BM67" s="117" t="n">
        <f aca="false">IF($E$66=0,0,BM66/$E$66)</f>
        <v>0.97293812548702</v>
      </c>
      <c r="BN67" s="117" t="n">
        <f aca="false">IF($E$66=0,0,BN66/$E$66)</f>
        <v>0.975711742041664</v>
      </c>
      <c r="BO67" s="117" t="n">
        <f aca="false">IF($E$66=0,0,BO66/$E$66)</f>
        <v>0.975711742041664</v>
      </c>
      <c r="BP67" s="117" t="n">
        <f aca="false">IF($E$66=0,0,BP66/$E$66)</f>
        <v>0.975711742041664</v>
      </c>
      <c r="BQ67" s="117" t="n">
        <f aca="false">IF($E$66=0,0,BQ66/$E$66)</f>
        <v>0.975711742041664</v>
      </c>
      <c r="BR67" s="117" t="n">
        <f aca="false">IF($E$66=0,0,BR66/$E$66)</f>
        <v>0.975711742041664</v>
      </c>
      <c r="BS67" s="117" t="n">
        <f aca="false">IF($E$66=0,0,BS66/$E$66)</f>
        <v>0.975711742041664</v>
      </c>
      <c r="BT67" s="117" t="n">
        <f aca="false">IF($E$66=0,0,BT66/$E$66)</f>
        <v>0.975711742041664</v>
      </c>
      <c r="BU67" s="117" t="n">
        <f aca="false">IF($E$66=0,0,BU66/$E$66)</f>
        <v>0.975711742041664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8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TORRE CATHARINA</v>
      </c>
      <c r="C1" s="3" t="s">
        <v>356</v>
      </c>
    </row>
    <row r="3" customFormat="false" ht="45" hidden="false" customHeight="true" outlineLevel="0" collapsed="false">
      <c r="A3" s="54" t="s">
        <v>357</v>
      </c>
      <c r="B3" s="54" t="s">
        <v>358</v>
      </c>
      <c r="C3" s="54" t="s">
        <v>359</v>
      </c>
      <c r="D3" s="54" t="s">
        <v>360</v>
      </c>
      <c r="E3" s="54" t="s">
        <v>361</v>
      </c>
      <c r="F3" s="54" t="s">
        <v>362</v>
      </c>
      <c r="G3" s="54" t="s">
        <v>363</v>
      </c>
      <c r="I3" s="54" t="s">
        <v>364</v>
      </c>
      <c r="J3" s="54" t="s">
        <v>365</v>
      </c>
      <c r="K3" s="54" t="s">
        <v>366</v>
      </c>
      <c r="L3" s="54" t="s">
        <v>367</v>
      </c>
      <c r="M3" s="54" t="s">
        <v>368</v>
      </c>
      <c r="O3" s="62" t="s">
        <v>369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3601.71842036115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0.0250890841275474</v>
      </c>
      <c r="G4" s="117" t="n">
        <f aca="false">F4</f>
        <v>0.0250890841275474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3987357.38</v>
      </c>
      <c r="L4" s="65" t="n">
        <f aca="false">'MODELO PARA BI'!H66</f>
        <v>3987357.38</v>
      </c>
      <c r="M4" s="50" t="n">
        <f aca="false">J4</f>
        <v>0</v>
      </c>
      <c r="O4" s="121" t="s">
        <v>43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116.716998142186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0.000813034847185658</v>
      </c>
      <c r="G5" s="117" t="n">
        <f aca="false">G4+F5</f>
        <v>0.025902118974733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136455.71</v>
      </c>
      <c r="L5" s="65" t="n">
        <f aca="false">'MODELO PARA BI'!I66</f>
        <v>4123813.09</v>
      </c>
      <c r="M5" s="50" t="n">
        <f aca="false">M4+J5</f>
        <v>0</v>
      </c>
      <c r="O5" s="4" t="n">
        <v>0.0592083231929468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319.895814785628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0.00222835104594383</v>
      </c>
      <c r="G6" s="117" t="n">
        <f aca="false">G5+F6</f>
        <v>0.0281304700206768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375485.71</v>
      </c>
      <c r="L6" s="65" t="n">
        <f aca="false">'MODELO PARA BI'!J66</f>
        <v>4499298.8</v>
      </c>
      <c r="M6" s="50" t="n">
        <f aca="false">M5+J6</f>
        <v>0</v>
      </c>
      <c r="O6" s="4" t="n">
        <v>0.0822267383619026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444.877247353584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0.00309895482728119</v>
      </c>
      <c r="G7" s="117" t="n">
        <f aca="false">G6+F7</f>
        <v>0.031229424847958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524237.12</v>
      </c>
      <c r="L7" s="65" t="n">
        <f aca="false">'MODELO PARA BI'!K66</f>
        <v>5023535.92</v>
      </c>
      <c r="M7" s="50" t="n">
        <f aca="false">M6+J7</f>
        <v>0</v>
      </c>
      <c r="O7" s="4" t="n">
        <v>0.197756749338267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576.104830716393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0.00401306845155338</v>
      </c>
      <c r="G8" s="117" t="n">
        <f aca="false">G7+F8</f>
        <v>0.0352424932995114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682374.28</v>
      </c>
      <c r="L8" s="65" t="n">
        <f aca="false">'MODELO PARA BI'!L66</f>
        <v>5705910.2</v>
      </c>
      <c r="M8" s="50" t="n">
        <f aca="false">M7+J8</f>
        <v>0</v>
      </c>
      <c r="O8" s="4" t="n">
        <v>0.160715263051094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1095.87134346825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0.00763369178828988</v>
      </c>
      <c r="G9" s="117" t="n">
        <f aca="false">G8+F9</f>
        <v>0.0428761850878013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1305541.12</v>
      </c>
      <c r="L9" s="65" t="n">
        <f aca="false">'MODELO PARA BI'!M66</f>
        <v>7011451.32</v>
      </c>
      <c r="M9" s="50" t="n">
        <f aca="false">M8+J9</f>
        <v>0</v>
      </c>
      <c r="O9" s="4" t="n">
        <v>0.50009292605579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1174.05780198398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0.00817832809973685</v>
      </c>
      <c r="G10" s="117" t="n">
        <f aca="false">G9+F10</f>
        <v>0.0510545131875381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1408292.9</v>
      </c>
      <c r="L10" s="65" t="n">
        <f aca="false">'MODELO PARA BI'!N66</f>
        <v>8419744.22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1751.22147494653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0.0121987723033872</v>
      </c>
      <c r="G11" s="117" t="n">
        <f aca="false">G10+F11</f>
        <v>0.0632532854909253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2119802.81</v>
      </c>
      <c r="L11" s="65" t="n">
        <f aca="false">'MODELO PARA BI'!O66</f>
        <v>10539547.03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2263.54758668076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0.0157675668114128</v>
      </c>
      <c r="G12" s="117" t="n">
        <f aca="false">G11+F12</f>
        <v>0.0790208523023381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2754071.93</v>
      </c>
      <c r="L12" s="65" t="n">
        <f aca="false">'MODELO PARA BI'!P66</f>
        <v>13293618.96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2386.5689269389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0.0166245168544176</v>
      </c>
      <c r="G13" s="117" t="n">
        <f aca="false">G12+F13</f>
        <v>0.0956453691567557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2908623.72</v>
      </c>
      <c r="L13" s="65" t="n">
        <f aca="false">'MODELO PARA BI'!Q66</f>
        <v>16202242.68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2789.61307507796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0.019432067961859</v>
      </c>
      <c r="G14" s="117" t="n">
        <f aca="false">G13+F14</f>
        <v>0.115077437118615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3409900.28</v>
      </c>
      <c r="L14" s="65" t="n">
        <f aca="false">'MODELO PARA BI'!R66</f>
        <v>19612142.96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2804.80946580257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0.0195379239674727</v>
      </c>
      <c r="G15" s="117" t="n">
        <f aca="false">G14+F15</f>
        <v>0.134615361086087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3437667.04</v>
      </c>
      <c r="L15" s="65" t="n">
        <f aca="false">'MODELO PARA BI'!S66</f>
        <v>23049810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2006.16674849633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0.0139746866502311</v>
      </c>
      <c r="G16" s="117" t="n">
        <f aca="false">G15+F16</f>
        <v>0.148590047736319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2463895.76</v>
      </c>
      <c r="L16" s="65" t="n">
        <f aca="false">'MODELO PARA BI'!T66</f>
        <v>25513705.76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1481.99934359226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0.0103234072930743</v>
      </c>
      <c r="G17" s="117" t="n">
        <f aca="false">G16+F17</f>
        <v>0.158913455029393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1833286.54</v>
      </c>
      <c r="L17" s="65" t="n">
        <f aca="false">'MODELO PARA BI'!U66</f>
        <v>27346992.3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1262.57064799864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0.00879489663198979</v>
      </c>
      <c r="G18" s="117" t="n">
        <f aca="false">G17+F18</f>
        <v>0.167708351661383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1566194.9</v>
      </c>
      <c r="L18" s="65" t="n">
        <f aca="false">'MODELO PARA BI'!V66</f>
        <v>28913187.2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1738.60327410376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0.0121108756203226</v>
      </c>
      <c r="G19" s="117" t="n">
        <f aca="false">G18+F19</f>
        <v>0.179819227281705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2168352.97</v>
      </c>
      <c r="L19" s="65" t="n">
        <f aca="false">'MODELO PARA BI'!W66</f>
        <v>31081540.17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1547.01988326935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0.0107763315918631</v>
      </c>
      <c r="G20" s="117" t="n">
        <f aca="false">G19+F20</f>
        <v>0.190595558873568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1948706.69</v>
      </c>
      <c r="L20" s="65" t="n">
        <f aca="false">'MODELO PARA BI'!X66</f>
        <v>33030246.86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2030.6315677641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0.0141451052774354</v>
      </c>
      <c r="G21" s="117" t="n">
        <f aca="false">G20+F21</f>
        <v>0.204740664151004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2580313.38</v>
      </c>
      <c r="L21" s="65" t="n">
        <f aca="false">'MODELO PARA BI'!Y66</f>
        <v>35610560.24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1883.95152896089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0.0131233519353192</v>
      </c>
      <c r="G22" s="117" t="n">
        <f aca="false">G21+F22</f>
        <v>0.217864016086323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2412665.57</v>
      </c>
      <c r="L22" s="65" t="n">
        <f aca="false">'MODELO PARA BI'!Z66</f>
        <v>38023225.81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2630.33834175055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0.0183225816785188</v>
      </c>
      <c r="G23" s="117" t="n">
        <f aca="false">G22+F23</f>
        <v>0.236186597764842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3389009.46</v>
      </c>
      <c r="L23" s="65" t="n">
        <f aca="false">'MODELO PARA BI'!AA66</f>
        <v>41412235.27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2286.71567780624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0.0159289526054926</v>
      </c>
      <c r="G24" s="117" t="n">
        <f aca="false">G23+F24</f>
        <v>0.252115550370334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3000265.90997707</v>
      </c>
      <c r="L24" s="65" t="n">
        <f aca="false">'MODELO PARA BI'!AB66</f>
        <v>44412501.1799771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2354.2975605928</v>
      </c>
      <c r="E25" s="56" t="n">
        <f aca="false">IF(A25&gt;'VALOR POR PL'!$P$5,'MODELO PARA BI'!AC63,0)</f>
        <v>0</v>
      </c>
      <c r="F25" s="117" t="n">
        <f aca="false">IF('MODELO PARA BI'!$E$63=0,0,(D25+E25)/'MODELO PARA BI'!$E$63)</f>
        <v>0.0163997188744892</v>
      </c>
      <c r="G25" s="117" t="n">
        <f aca="false">G24+F25</f>
        <v>0.268515269244823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3059979.42</v>
      </c>
      <c r="L25" s="65" t="n">
        <f aca="false">'MODELO PARA BI'!AC66</f>
        <v>47472480.5999771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4931.50836220549</v>
      </c>
      <c r="F26" s="117" t="n">
        <f aca="false">IF('MODELO PARA BI'!$E$63=0,0,(D26+E26)/'MODELO PARA BI'!$E$63)</f>
        <v>0.0343522212829371</v>
      </c>
      <c r="G26" s="117" t="n">
        <f aca="false">G25+F26</f>
        <v>0.302867490527761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6409688.54170968</v>
      </c>
      <c r="L26" s="65" t="n">
        <f aca="false">'MODELO PARA BI'!AD66</f>
        <v>53882169.1416868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3747.22661217704</v>
      </c>
      <c r="F27" s="117" t="n">
        <f aca="false">IF('MODELO PARA BI'!$E$63=0,0,(D27+E27)/'MODELO PARA BI'!$E$63)</f>
        <v>0.0261026745418003</v>
      </c>
      <c r="G27" s="117" t="n">
        <f aca="false">G26+F27</f>
        <v>0.328970165069561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4870427.81136421</v>
      </c>
      <c r="L27" s="65" t="n">
        <f aca="false">'MODELO PARA BI'!AE66</f>
        <v>58752596.953051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2543.69158779695</v>
      </c>
      <c r="F28" s="117" t="n">
        <f aca="false">IF('MODELO PARA BI'!$E$63=0,0,(D28+E28)/'MODELO PARA BI'!$E$63)</f>
        <v>0.0177190120915596</v>
      </c>
      <c r="G28" s="117" t="n">
        <f aca="false">G27+F28</f>
        <v>0.34668917716112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3306142.79170638</v>
      </c>
      <c r="L28" s="65" t="n">
        <f aca="false">'MODELO PARA BI'!AF66</f>
        <v>62058739.7447574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3512.41985382314</v>
      </c>
      <c r="F29" s="117" t="n">
        <f aca="false">IF('MODELO PARA BI'!$E$63=0,0,(D29+E29)/'MODELO PARA BI'!$E$63)</f>
        <v>0.0244670423722352</v>
      </c>
      <c r="G29" s="117" t="n">
        <f aca="false">G28+F29</f>
        <v>0.371156219533356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4565239.60564779</v>
      </c>
      <c r="L29" s="65" t="n">
        <f aca="false">'MODELO PARA BI'!AG66</f>
        <v>66623979.3504052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4198.47584429865</v>
      </c>
      <c r="F30" s="117" t="n">
        <f aca="false">IF('MODELO PARA BI'!$E$63=0,0,(D30+E30)/'MODELO PARA BI'!$E$63)</f>
        <v>0.0292460157544804</v>
      </c>
      <c r="G30" s="117" t="n">
        <f aca="false">G29+F30</f>
        <v>0.400402235287836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5456935.39082042</v>
      </c>
      <c r="L30" s="65" t="n">
        <f aca="false">'MODELO PARA BI'!AH66</f>
        <v>72080914.7412256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4681.56080624814</v>
      </c>
      <c r="F31" s="117" t="n">
        <f aca="false">IF('MODELO PARA BI'!$E$63=0,0,(D31+E31)/'MODELO PARA BI'!$E$63)</f>
        <v>0.0326111203619328</v>
      </c>
      <c r="G31" s="117" t="n">
        <f aca="false">G30+F31</f>
        <v>0.433013355649769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6084821.20543457</v>
      </c>
      <c r="L31" s="65" t="n">
        <f aca="false">'MODELO PARA BI'!AI66</f>
        <v>78165735.9466602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4860.29864280475</v>
      </c>
      <c r="F32" s="117" t="n">
        <f aca="false">IF('MODELO PARA BI'!$E$63=0,0,(D32+E32)/'MODELO PARA BI'!$E$63)</f>
        <v>0.0338561839940018</v>
      </c>
      <c r="G32" s="117" t="n">
        <f aca="false">G31+F32</f>
        <v>0.466869539643771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6317134.27859633</v>
      </c>
      <c r="L32" s="65" t="n">
        <f aca="false">'MODELO PARA BI'!AJ66</f>
        <v>84482870.2252565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4670.83634273039</v>
      </c>
      <c r="F33" s="117" t="n">
        <f aca="false">IF('MODELO PARA BI'!$E$63=0,0,(D33+E33)/'MODELO PARA BI'!$E$63)</f>
        <v>0.0325364151973373</v>
      </c>
      <c r="G33" s="117" t="n">
        <f aca="false">G32+F33</f>
        <v>0.499405954841108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6070882.16977307</v>
      </c>
      <c r="L33" s="65" t="n">
        <f aca="false">'MODELO PARA BI'!AK66</f>
        <v>90553752.3950295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4739.68837162055</v>
      </c>
      <c r="F34" s="117" t="n">
        <f aca="false">IF('MODELO PARA BI'!$E$63=0,0,(D34+E34)/'MODELO PARA BI'!$E$63)</f>
        <v>0.0330160291325667</v>
      </c>
      <c r="G34" s="117" t="n">
        <f aca="false">G33+F34</f>
        <v>0.532421983973675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6160372.04350684</v>
      </c>
      <c r="L34" s="65" t="n">
        <f aca="false">'MODELO PARA BI'!AL66</f>
        <v>96714124.4385364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4499.65815984684</v>
      </c>
      <c r="F35" s="117" t="n">
        <f aca="false">IF('MODELO PARA BI'!$E$63=0,0,(D35+E35)/'MODELO PARA BI'!$E$63)</f>
        <v>0.0313440110918728</v>
      </c>
      <c r="G35" s="117" t="n">
        <f aca="false">G34+F35</f>
        <v>0.563765995065548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5848394.69599565</v>
      </c>
      <c r="L35" s="65" t="n">
        <f aca="false">'MODELO PARA BI'!AM66</f>
        <v>102562519.134532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4368.65610119621</v>
      </c>
      <c r="F36" s="117" t="n">
        <f aca="false">IF('MODELO PARA BI'!$E$63=0,0,(D36+E36)/'MODELO PARA BI'!$E$63)</f>
        <v>0.03043146844229</v>
      </c>
      <c r="G36" s="117" t="n">
        <f aca="false">G35+F36</f>
        <v>0.594197463507838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5678125.81828096</v>
      </c>
      <c r="L36" s="65" t="n">
        <f aca="false">'MODELO PARA BI'!AN66</f>
        <v>108240644.952813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4473.30741970767</v>
      </c>
      <c r="F37" s="117" t="n">
        <f aca="false">IF('MODELO PARA BI'!$E$63=0,0,(D37+E37)/'MODELO PARA BI'!$E$63)</f>
        <v>0.0311604553945597</v>
      </c>
      <c r="G37" s="117" t="n">
        <f aca="false">G36+F37</f>
        <v>0.625357918902397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5814145.53230568</v>
      </c>
      <c r="L37" s="65" t="n">
        <f aca="false">'MODELO PARA BI'!AO66</f>
        <v>114054790.485119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4235.27990265629</v>
      </c>
      <c r="F38" s="117" t="n">
        <f aca="false">IF('MODELO PARA BI'!$E$63=0,0,(D38+E38)/'MODELO PARA BI'!$E$63)</f>
        <v>0.0295023878548505</v>
      </c>
      <c r="G38" s="117" t="n">
        <f aca="false">G37+F38</f>
        <v>0.654860306757248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5504771.17123829</v>
      </c>
      <c r="L38" s="65" t="n">
        <f aca="false">'MODELO PARA BI'!AP66</f>
        <v>119559561.656357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4276.54653496217</v>
      </c>
      <c r="F39" s="117" t="n">
        <f aca="false">IF('MODELO PARA BI'!$E$63=0,0,(D39+E39)/'MODELO PARA BI'!$E$63)</f>
        <v>0.0297898456427025</v>
      </c>
      <c r="G39" s="117" t="n">
        <f aca="false">G38+F39</f>
        <v>0.68465015239995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5558407.1464448</v>
      </c>
      <c r="L39" s="65" t="n">
        <f aca="false">'MODELO PARA BI'!AQ66</f>
        <v>125117968.802802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3206.80789530651</v>
      </c>
      <c r="F40" s="117" t="n">
        <f aca="false">IF('MODELO PARA BI'!$E$63=0,0,(D40+E40)/'MODELO PARA BI'!$E$63)</f>
        <v>0.0223381907401192</v>
      </c>
      <c r="G40" s="117" t="n">
        <f aca="false">G39+F40</f>
        <v>0.70698834314007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4168022.90746147</v>
      </c>
      <c r="L40" s="65" t="n">
        <f aca="false">'MODELO PARA BI'!AR66</f>
        <v>129285991.710263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3971.52043834078</v>
      </c>
      <c r="F41" s="117" t="n">
        <f aca="false">IF('MODELO PARA BI'!$E$63=0,0,(D41+E41)/'MODELO PARA BI'!$E$63)</f>
        <v>0.0276650750454319</v>
      </c>
      <c r="G41" s="117" t="n">
        <f aca="false">G40+F41</f>
        <v>0.734653418185502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5161951.91756993</v>
      </c>
      <c r="L41" s="65" t="n">
        <f aca="false">'MODELO PARA BI'!AS66</f>
        <v>134447943.627833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3520.91951653165</v>
      </c>
      <c r="F42" s="117" t="n">
        <f aca="false">IF('MODELO PARA BI'!$E$63=0,0,(D42+E42)/'MODELO PARA BI'!$E$63)</f>
        <v>0.0245262498748385</v>
      </c>
      <c r="G42" s="117" t="n">
        <f aca="false">G41+F42</f>
        <v>0.75917966806034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4576286.97425588</v>
      </c>
      <c r="L42" s="65" t="n">
        <f aca="false">'MODELO PARA BI'!AT66</f>
        <v>139024230.602089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4370.63988832333</v>
      </c>
      <c r="F43" s="117" t="n">
        <f aca="false">IF('MODELO PARA BI'!$E$63=0,0,(D43+E43)/'MODELO PARA BI'!$E$63)</f>
        <v>0.0304452872355199</v>
      </c>
      <c r="G43" s="117" t="n">
        <f aca="false">G42+F43</f>
        <v>0.78962495529586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5680704.22972914</v>
      </c>
      <c r="L43" s="65" t="n">
        <f aca="false">'MODELO PARA BI'!AU66</f>
        <v>144704934.831818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3889.8737080923</v>
      </c>
      <c r="F44" s="117" t="n">
        <f aca="false">IF('MODELO PARA BI'!$E$63=0,0,(D44+E44)/'MODELO PARA BI'!$E$63)</f>
        <v>0.0270963349483818</v>
      </c>
      <c r="G44" s="117" t="n">
        <f aca="false">G43+F44</f>
        <v>0.816721290244242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5055832.2331033</v>
      </c>
      <c r="L44" s="65" t="n">
        <f aca="false">'MODELO PARA BI'!AV66</f>
        <v>149760767.064922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3772.47908957356</v>
      </c>
      <c r="F45" s="117" t="n">
        <f aca="false">IF('MODELO PARA BI'!$E$63=0,0,(D45+E45)/'MODELO PARA BI'!$E$63)</f>
        <v>0.0262785798891613</v>
      </c>
      <c r="G45" s="117" t="n">
        <f aca="false">G44+F45</f>
        <v>0.842999870133403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4903249.51684051</v>
      </c>
      <c r="L45" s="65" t="n">
        <f aca="false">'MODELO PARA BI'!AW66</f>
        <v>154664016.581762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3036.57032694098</v>
      </c>
      <c r="F46" s="117" t="n">
        <f aca="false">IF('MODELO PARA BI'!$E$63=0,0,(D46+E46)/'MODELO PARA BI'!$E$63)</f>
        <v>0.0211523388283633</v>
      </c>
      <c r="G46" s="117" t="n">
        <f aca="false">G45+F46</f>
        <v>0.864152208961766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3946757.98987893</v>
      </c>
      <c r="L46" s="65" t="n">
        <f aca="false">'MODELO PARA BI'!AX66</f>
        <v>158610774.571641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2971.36308715704</v>
      </c>
      <c r="F47" s="117" t="n">
        <f aca="false">IF('MODELO PARA BI'!$E$63=0,0,(D47+E47)/'MODELO PARA BI'!$E$63)</f>
        <v>0.0206981140018427</v>
      </c>
      <c r="G47" s="117" t="n">
        <f aca="false">G46+F47</f>
        <v>0.884850322963609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3862005.40162767</v>
      </c>
      <c r="L47" s="65" t="n">
        <f aca="false">'MODELO PARA BI'!AY66</f>
        <v>162472779.973269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3007.91262017888</v>
      </c>
      <c r="F48" s="117" t="n">
        <f aca="false">IF('MODELO PARA BI'!$E$63=0,0,(D48+E48)/'MODELO PARA BI'!$E$63)</f>
        <v>0.0209527131130957</v>
      </c>
      <c r="G48" s="117" t="n">
        <f aca="false">G47+F48</f>
        <v>0.905803036076705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3909510.36477654</v>
      </c>
      <c r="L48" s="65" t="n">
        <f aca="false">'MODELO PARA BI'!AZ66</f>
        <v>166382290.338045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2221.31676018728</v>
      </c>
      <c r="F49" s="117" t="n">
        <f aca="false">IF('MODELO PARA BI'!$E$63=0,0,(D49+E49)/'MODELO PARA BI'!$E$63)</f>
        <v>0.0154733925770581</v>
      </c>
      <c r="G49" s="117" t="n">
        <f aca="false">G48+F49</f>
        <v>0.921276428653763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2887138.68851934</v>
      </c>
      <c r="L49" s="65" t="n">
        <f aca="false">'MODELO PARA BI'!BA66</f>
        <v>169269429.026564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1436.20779701362</v>
      </c>
      <c r="F50" s="117" t="n">
        <f aca="false">IF('MODELO PARA BI'!$E$63=0,0,(D50+E50)/'MODELO PARA BI'!$E$63)</f>
        <v>0.0100044295634585</v>
      </c>
      <c r="G50" s="117" t="n">
        <f aca="false">G49+F50</f>
        <v>0.931280858217221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1866699.59450607</v>
      </c>
      <c r="L50" s="65" t="n">
        <f aca="false">'MODELO PARA BI'!BB66</f>
        <v>171136128.621071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1140.13208482531</v>
      </c>
      <c r="F51" s="117" t="n">
        <f aca="false">IF('MODELO PARA BI'!$E$63=0,0,(D51+E51)/'MODELO PARA BI'!$E$63)</f>
        <v>0.00794200613545743</v>
      </c>
      <c r="G51" s="117" t="n">
        <f aca="false">G50+F51</f>
        <v>0.939222864352679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1481877.55619502</v>
      </c>
      <c r="L51" s="65" t="n">
        <f aca="false">'MODELO PARA BI'!BC66</f>
        <v>172618006.177266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863.890148705116</v>
      </c>
      <c r="F52" s="117" t="n">
        <f aca="false">IF('MODELO PARA BI'!$E$63=0,0,(D52+E52)/'MODELO PARA BI'!$E$63)</f>
        <v>0.00601774211312409</v>
      </c>
      <c r="G52" s="117" t="n">
        <f aca="false">G51+F52</f>
        <v>0.945240606465803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1122834.30965828</v>
      </c>
      <c r="L52" s="65" t="n">
        <f aca="false">'MODELO PARA BI'!BD66</f>
        <v>173740840.486924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458.442932874022</v>
      </c>
      <c r="F53" s="117" t="n">
        <f aca="false">IF('MODELO PARA BI'!$E$63=0,0,(D53+E53)/'MODELO PARA BI'!$E$63)</f>
        <v>0.00319345156065881</v>
      </c>
      <c r="G53" s="117" t="n">
        <f aca="false">G52+F53</f>
        <v>0.948434058026462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595857.534459547</v>
      </c>
      <c r="L53" s="65" t="n">
        <f aca="false">'MODELO PARA BI'!BE66</f>
        <v>174336698.021383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358.411283572592</v>
      </c>
      <c r="F54" s="117" t="n">
        <f aca="false">IF('MODELO PARA BI'!$E$63=0,0,(D54+E54)/'MODELO PARA BI'!$E$63)</f>
        <v>0.00249664460024983</v>
      </c>
      <c r="G54" s="117" t="n">
        <f aca="false">G53+F54</f>
        <v>0.950930702626711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465842.198533208</v>
      </c>
      <c r="L54" s="65" t="n">
        <f aca="false">'MODELO PARA BI'!BF66</f>
        <v>174802540.219917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195.911211006823</v>
      </c>
      <c r="F55" s="117" t="n">
        <f aca="false">IF('MODELO PARA BI'!$E$63=0,0,(D55+E55)/'MODELO PARA BI'!$E$63)</f>
        <v>0.00136469103933644</v>
      </c>
      <c r="G55" s="117" t="n">
        <f aca="false">G54+F55</f>
        <v>0.952295393666048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254634.02921643</v>
      </c>
      <c r="L55" s="65" t="n">
        <f aca="false">'MODELO PARA BI'!BG66</f>
        <v>175057174.249133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1434.58263101984</v>
      </c>
      <c r="F56" s="117" t="n">
        <f aca="false">IF('MODELO PARA BI'!$E$63=0,0,(D56+E56)/'MODELO PARA BI'!$E$63)</f>
        <v>0.00999310887661393</v>
      </c>
      <c r="G56" s="117" t="n">
        <f aca="false">G55+F56</f>
        <v>0.962288502542662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1864587.29800698</v>
      </c>
      <c r="L56" s="65" t="n">
        <f aca="false">'MODELO PARA BI'!BH66</f>
        <v>176921761.54714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12.6378927510229</v>
      </c>
      <c r="F57" s="117" t="n">
        <f aca="false">IF('MODELO PARA BI'!$E$63=0,0,(D57+E57)/'MODELO PARA BI'!$E$63)</f>
        <v>8.80338542382614E-005</v>
      </c>
      <c r="G57" s="117" t="n">
        <f aca="false">G56+F57</f>
        <v>0.9623765363969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16426</v>
      </c>
      <c r="L57" s="65" t="n">
        <f aca="false">'MODELO PARA BI'!BI66</f>
        <v>176938187.54714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623.930345686913</v>
      </c>
      <c r="F58" s="117" t="n">
        <f aca="false">IF('MODELO PARA BI'!$E$63=0,0,(D58+E58)/'MODELO PARA BI'!$E$63)</f>
        <v>0.00434621453031274</v>
      </c>
      <c r="G58" s="117" t="n">
        <f aca="false">G57+F58</f>
        <v>0.966722750927213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810948.4753638</v>
      </c>
      <c r="L58" s="65" t="n">
        <f aca="false">'MODELO PARA BI'!BJ66</f>
        <v>177749136.022504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820.051130642425</v>
      </c>
      <c r="F59" s="117" t="n">
        <f aca="false">IF('MODELO PARA BI'!$E$63=0,0,(D59+E59)/'MODELO PARA BI'!$E$63)</f>
        <v>0.00571236543347415</v>
      </c>
      <c r="G59" s="117" t="n">
        <f aca="false">G58+F59</f>
        <v>0.972435116360687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1065854.89664345</v>
      </c>
      <c r="L59" s="65" t="n">
        <f aca="false">'MODELO PARA BI'!BK66</f>
        <v>178814990.919147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69.7070810481553</v>
      </c>
      <c r="F60" s="117" t="n">
        <f aca="false">IF('MODELO PARA BI'!$E$63=0,0,(D60+E60)/'MODELO PARA BI'!$E$63)</f>
        <v>0.000485570113092729</v>
      </c>
      <c r="G60" s="117" t="n">
        <f aca="false">G59+F60</f>
        <v>0.97292068647378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90601.2209356914</v>
      </c>
      <c r="L60" s="65" t="n">
        <f aca="false">'MODELO PARA BI'!BL66</f>
        <v>178905592.140083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57.2430668030436</v>
      </c>
      <c r="F61" s="117" t="n">
        <f aca="false">IF('MODELO PARA BI'!$E$63=0,0,(D61+E61)/'MODELO PARA BI'!$E$63)</f>
        <v>0.000398747473045483</v>
      </c>
      <c r="G61" s="117" t="n">
        <f aca="false">G60+F61</f>
        <v>0.973319433946825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74401.2181327215</v>
      </c>
      <c r="L61" s="65" t="n">
        <f aca="false">'MODELO PARA BI'!BM66</f>
        <v>178979993.358216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392.562249356288</v>
      </c>
      <c r="F62" s="117" t="n">
        <f aca="false">IF('MODELO PARA BI'!$E$63=0,0,(D62+E62)/'MODELO PARA BI'!$E$63)</f>
        <v>0.00273453561603285</v>
      </c>
      <c r="G62" s="117" t="n">
        <f aca="false">G61+F62</f>
        <v>0.976053969562858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510229.64310284</v>
      </c>
      <c r="L62" s="65" t="n">
        <f aca="false">'MODELO PARA BI'!BN66</f>
        <v>179490223.001319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0.976053969562858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179490223.001319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0.976053969562858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179490223.001319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0.976053969562858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179490223.001319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0.976053969562858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179490223.001319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0.976053969562858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179490223.001319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0.976053969562858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179490223.001319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0.976053969562858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179490223.001319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3437.62484439545</v>
      </c>
      <c r="F70" s="117" t="n">
        <f aca="false">IF('MODELO PARA BI'!$E$63=0,0,(D70+E70)/'MODELO PARA BI'!$E$63)</f>
        <v>0.0239460304371424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4468025.39050424</v>
      </c>
      <c r="L70" s="65" t="n">
        <f aca="false">'MODELO PARA BI'!BV66</f>
        <v>183958248.391823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183958248.391823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183958248.391823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183958248.391823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183958248.391823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183958248.391823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8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28.35" hidden="false" customHeight="false" outlineLevel="0" collapsed="false">
      <c r="A1" s="54" t="s">
        <v>357</v>
      </c>
      <c r="B1" s="54" t="s">
        <v>370</v>
      </c>
      <c r="C1" s="54" t="s">
        <v>371</v>
      </c>
      <c r="D1" s="54" t="s">
        <v>372</v>
      </c>
      <c r="E1" s="54" t="s">
        <v>373</v>
      </c>
    </row>
    <row r="2" customFormat="false" ht="15" hidden="false" customHeight="false" outlineLevel="0" collapsed="false">
      <c r="A2" s="122" t="n">
        <v>34547</v>
      </c>
      <c r="B2" s="43" t="n">
        <v>100</v>
      </c>
      <c r="D2" s="123" t="str">
        <f aca="false">IF(B2="","",IFERROR(B2/INDEX($B$2:$B$800,MATCH(DATE(YEAR(A2)-1,12,1),$A$2:$A$800,0))-1,""))</f>
        <v/>
      </c>
      <c r="E2" s="123" t="str">
        <f aca="false">IF(B2="","",IFERROR(B2/INDEX($B$2:$B$800,MATCH(DATE(YEAR(A2)-1,MONTH(A2),1),$A$2:$A$800,0))-1,""))</f>
        <v/>
      </c>
      <c r="G2" s="124" t="s">
        <v>374</v>
      </c>
    </row>
    <row r="3" customFormat="false" ht="15" hidden="false" customHeight="false" outlineLevel="0" collapsed="false">
      <c r="A3" s="122" t="n">
        <v>34578</v>
      </c>
      <c r="B3" s="43" t="n">
        <v>100.381</v>
      </c>
      <c r="C3" s="123" t="n">
        <f aca="false">IF(OR(B3="",B2=""),"",B3/B2-1)</f>
        <v>0.00381000000000009</v>
      </c>
      <c r="D3" s="123" t="str">
        <f aca="false">IF(B3="","",IFERROR(B3/INDEX($B$2:$B$800,MATCH(DATE(YEAR(A3)-1,12,1),$A$2:$A$800,0))-1,""))</f>
        <v/>
      </c>
      <c r="E3" s="123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2" t="n">
        <v>34608</v>
      </c>
      <c r="B4" s="43" t="n">
        <v>101.71</v>
      </c>
      <c r="C4" s="123" t="n">
        <f aca="false">IF(OR(B4="",B3=""),"",B4/B3-1)</f>
        <v>0.0132395572867374</v>
      </c>
      <c r="D4" s="123" t="str">
        <f aca="false">IF(B4="","",IFERROR(B4/INDEX($B$2:$B$800,MATCH(DATE(YEAR(A4)-1,12,1),$A$2:$A$800,0))-1,""))</f>
        <v/>
      </c>
      <c r="E4" s="123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2" t="n">
        <v>34639</v>
      </c>
      <c r="B5" s="43" t="n">
        <v>104.11</v>
      </c>
      <c r="C5" s="123" t="n">
        <f aca="false">IF(OR(B5="",B4=""),"",B5/B4-1)</f>
        <v>0.023596499852522</v>
      </c>
      <c r="D5" s="123" t="str">
        <f aca="false">IF(B5="","",IFERROR(B5/INDEX($B$2:$B$800,MATCH(DATE(YEAR(A5)-1,12,1),$A$2:$A$800,0))-1,""))</f>
        <v/>
      </c>
      <c r="E5" s="123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2" t="n">
        <v>34669</v>
      </c>
      <c r="B6" s="43" t="n">
        <v>105.487</v>
      </c>
      <c r="C6" s="123" t="n">
        <f aca="false">IF(OR(B6="",B5=""),"",B6/B5-1)</f>
        <v>0.0132263951589664</v>
      </c>
      <c r="D6" s="123" t="str">
        <f aca="false">IF(B6="","",IFERROR(B6/INDEX($B$2:$B$800,MATCH(DATE(YEAR(A6)-1,12,1),$A$2:$A$800,0))-1,""))</f>
        <v/>
      </c>
      <c r="E6" s="123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2" t="n">
        <v>34700</v>
      </c>
      <c r="B7" s="43" t="n">
        <v>109.176</v>
      </c>
      <c r="C7" s="123" t="n">
        <f aca="false">IF(OR(B7="",B6=""),"",B7/B6-1)</f>
        <v>0.0349711338837961</v>
      </c>
      <c r="D7" s="123" t="n">
        <f aca="false">IF(B7="","",IFERROR(B7/INDEX($B$2:$B$800,MATCH(DATE(YEAR(A7)-1,12,1),$A$2:$A$800,0))-1,""))</f>
        <v>0.0349711338837961</v>
      </c>
      <c r="E7" s="123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2" t="n">
        <v>34731</v>
      </c>
      <c r="B8" s="43" t="n">
        <v>111.453</v>
      </c>
      <c r="C8" s="123" t="n">
        <f aca="false">IF(OR(B8="",B7=""),"",B8/B7-1)</f>
        <v>0.0208562321389316</v>
      </c>
      <c r="D8" s="123" t="n">
        <f aca="false">IF(B8="","",IFERROR(B8/INDEX($B$2:$B$800,MATCH(DATE(YEAR(A8)-1,12,1),$A$2:$A$800,0))-1,""))</f>
        <v>0.05655673210917</v>
      </c>
      <c r="E8" s="123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2" t="n">
        <v>34759</v>
      </c>
      <c r="B9" s="43" t="n">
        <v>115.129</v>
      </c>
      <c r="C9" s="123" t="n">
        <f aca="false">IF(OR(B9="",B8=""),"",B9/B8-1)</f>
        <v>0.0329825128080896</v>
      </c>
      <c r="D9" s="123" t="n">
        <f aca="false">IF(B9="","",IFERROR(B9/INDEX($B$2:$B$800,MATCH(DATE(YEAR(A9)-1,12,1),$A$2:$A$800,0))-1,""))</f>
        <v>0.0914046280584338</v>
      </c>
      <c r="E9" s="123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2" t="n">
        <v>34790</v>
      </c>
      <c r="B10" s="43" t="n">
        <v>117.774</v>
      </c>
      <c r="C10" s="123" t="n">
        <f aca="false">IF(OR(B10="",B9=""),"",B10/B9-1)</f>
        <v>0.0229742289084418</v>
      </c>
      <c r="D10" s="123" t="n">
        <f aca="false">IF(B10="","",IFERROR(B10/INDEX($B$2:$B$800,MATCH(DATE(YEAR(A10)-1,12,1),$A$2:$A$800,0))-1,""))</f>
        <v>0.116478807815181</v>
      </c>
      <c r="E10" s="123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2" t="n">
        <v>34820</v>
      </c>
      <c r="B11" s="43" t="n">
        <v>128.098</v>
      </c>
      <c r="C11" s="123" t="n">
        <f aca="false">IF(OR(B11="",B10=""),"",B11/B10-1)</f>
        <v>0.0876594154906856</v>
      </c>
      <c r="D11" s="123" t="n">
        <f aca="false">IF(B11="","",IFERROR(B11/INDEX($B$2:$B$800,MATCH(DATE(YEAR(A11)-1,12,1),$A$2:$A$800,0))-1,""))</f>
        <v>0.214348687515997</v>
      </c>
      <c r="E11" s="123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2" t="n">
        <v>34851</v>
      </c>
      <c r="B12" s="43" t="n">
        <v>132.09</v>
      </c>
      <c r="C12" s="123" t="n">
        <f aca="false">IF(OR(B12="",B11=""),"",B12/B11-1)</f>
        <v>0.0311636403378663</v>
      </c>
      <c r="D12" s="123" t="n">
        <f aca="false">IF(B12="","",IFERROR(B12/INDEX($B$2:$B$800,MATCH(DATE(YEAR(A12)-1,12,1),$A$2:$A$800,0))-1,""))</f>
        <v>0.252192213258506</v>
      </c>
      <c r="E12" s="123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2" t="n">
        <v>34881</v>
      </c>
      <c r="B13" s="43" t="n">
        <v>133.524</v>
      </c>
      <c r="C13" s="123" t="n">
        <f aca="false">IF(OR(B13="",B12=""),"",B13/B12-1)</f>
        <v>0.0108562343856462</v>
      </c>
      <c r="D13" s="123" t="n">
        <f aca="false">IF(B13="","",IFERROR(B13/INDEX($B$2:$B$800,MATCH(DATE(YEAR(A13)-1,12,1),$A$2:$A$800,0))-1,""))</f>
        <v>0.265786305421521</v>
      </c>
      <c r="E13" s="123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2" t="n">
        <v>34912</v>
      </c>
      <c r="B14" s="43" t="n">
        <v>134.353</v>
      </c>
      <c r="C14" s="123" t="n">
        <f aca="false">IF(OR(B14="",B13=""),"",B14/B13-1)</f>
        <v>0.00620862167101044</v>
      </c>
      <c r="D14" s="123" t="n">
        <f aca="false">IF(B14="","",IFERROR(B14/INDEX($B$2:$B$800,MATCH(DATE(YEAR(A14)-1,12,1),$A$2:$A$800,0))-1,""))</f>
        <v>0.27364509370823</v>
      </c>
      <c r="E14" s="123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2" t="n">
        <v>34943</v>
      </c>
      <c r="B15" s="43" t="n">
        <v>135.318</v>
      </c>
      <c r="C15" s="123" t="n">
        <f aca="false">IF(OR(B15="",B14=""),"",B15/B14-1)</f>
        <v>0.00718257128608957</v>
      </c>
      <c r="D15" s="123" t="n">
        <f aca="false">IF(B15="","",IFERROR(B15/INDEX($B$2:$B$800,MATCH(DATE(YEAR(A15)-1,12,1),$A$2:$A$800,0))-1,""))</f>
        <v>0.282793140386967</v>
      </c>
      <c r="E15" s="123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2" t="n">
        <v>34973</v>
      </c>
      <c r="B16" s="43" t="n">
        <v>136.484</v>
      </c>
      <c r="C16" s="123" t="n">
        <f aca="false">IF(OR(B16="",B15=""),"",B16/B15-1)</f>
        <v>0.00861673982766509</v>
      </c>
      <c r="D16" s="123" t="n">
        <f aca="false">IF(B16="","",IFERROR(B16/INDEX($B$2:$B$800,MATCH(DATE(YEAR(A16)-1,12,1),$A$2:$A$800,0))-1,""))</f>
        <v>0.293846635130395</v>
      </c>
      <c r="E16" s="123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2" t="n">
        <v>35004</v>
      </c>
      <c r="B17" s="43" t="n">
        <v>137.478</v>
      </c>
      <c r="C17" s="123" t="n">
        <f aca="false">IF(OR(B17="",B16=""),"",B17/B16-1)</f>
        <v>0.00728290495589223</v>
      </c>
      <c r="D17" s="123" t="n">
        <f aca="false">IF(B17="","",IFERROR(B17/INDEX($B$2:$B$800,MATCH(DATE(YEAR(A17)-1,12,1),$A$2:$A$800,0))-1,""))</f>
        <v>0.303269597201551</v>
      </c>
      <c r="E17" s="123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2" t="n">
        <v>35034</v>
      </c>
      <c r="B18" s="43" t="n">
        <v>138.664</v>
      </c>
      <c r="C18" s="123" t="n">
        <f aca="false">IF(OR(B18="",B17=""),"",B18/B17-1)</f>
        <v>0.0086268348390286</v>
      </c>
      <c r="D18" s="123" t="n">
        <f aca="false">IF(B18="","",IFERROR(B18/INDEX($B$2:$B$800,MATCH(DATE(YEAR(A18)-1,12,1),$A$2:$A$800,0))-1,""))</f>
        <v>0.314512688767336</v>
      </c>
      <c r="E18" s="123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2" t="n">
        <v>35065</v>
      </c>
      <c r="B19" s="43" t="n">
        <v>140.766</v>
      </c>
      <c r="C19" s="123" t="n">
        <f aca="false">IF(OR(B19="",B18=""),"",B19/B18-1)</f>
        <v>0.0151589453643339</v>
      </c>
      <c r="D19" s="123" t="n">
        <f aca="false">IF(B19="","",IFERROR(B19/INDEX($B$2:$B$800,MATCH(DATE(YEAR(A19)-1,12,1),$A$2:$A$800,0))-1,""))</f>
        <v>0.0151589453643339</v>
      </c>
      <c r="E19" s="123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2" t="n">
        <v>35096</v>
      </c>
      <c r="B20" s="43" t="n">
        <v>140.929</v>
      </c>
      <c r="C20" s="123" t="n">
        <f aca="false">IF(OR(B20="",B19=""),"",B20/B19-1)</f>
        <v>0.0011579500731711</v>
      </c>
      <c r="D20" s="123" t="n">
        <f aca="false">IF(B20="","",IFERROR(B20/INDEX($B$2:$B$800,MATCH(DATE(YEAR(A20)-1,12,1),$A$2:$A$800,0))-1,""))</f>
        <v>0.016334448739399</v>
      </c>
      <c r="E20" s="123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2" t="n">
        <v>35125</v>
      </c>
      <c r="B21" s="43" t="n">
        <v>142.313</v>
      </c>
      <c r="C21" s="123" t="n">
        <f aca="false">IF(OR(B21="",B20=""),"",B21/B20-1)</f>
        <v>0.00982054793548515</v>
      </c>
      <c r="D21" s="123" t="n">
        <f aca="false">IF(B21="","",IFERROR(B21/INDEX($B$2:$B$800,MATCH(DATE(YEAR(A21)-1,12,1),$A$2:$A$800,0))-1,""))</f>
        <v>0.0263154099117291</v>
      </c>
      <c r="E21" s="123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2" t="n">
        <v>35156</v>
      </c>
      <c r="B22" s="43" t="n">
        <v>142.663</v>
      </c>
      <c r="C22" s="123" t="n">
        <f aca="false">IF(OR(B22="",B21=""),"",B22/B21-1)</f>
        <v>0.0024593677316902</v>
      </c>
      <c r="D22" s="123" t="n">
        <f aca="false">IF(B22="","",IFERROR(B22/INDEX($B$2:$B$800,MATCH(DATE(YEAR(A22)-1,12,1),$A$2:$A$800,0))-1,""))</f>
        <v>0.0288394969134023</v>
      </c>
      <c r="E22" s="123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2" t="n">
        <v>35186</v>
      </c>
      <c r="B23" s="43" t="n">
        <v>145.742</v>
      </c>
      <c r="C23" s="123" t="n">
        <f aca="false">IF(OR(B23="",B22=""),"",B23/B22-1)</f>
        <v>0.0215823303869958</v>
      </c>
      <c r="D23" s="123" t="n">
        <f aca="false">IF(B23="","",IFERROR(B23/INDEX($B$2:$B$800,MATCH(DATE(YEAR(A23)-1,12,1),$A$2:$A$800,0))-1,""))</f>
        <v>0.0510442508509779</v>
      </c>
      <c r="E23" s="123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2" t="n">
        <v>35217</v>
      </c>
      <c r="B24" s="43" t="n">
        <v>147.984</v>
      </c>
      <c r="C24" s="123" t="n">
        <f aca="false">IF(OR(B24="",B23=""),"",B24/B23-1)</f>
        <v>0.0153833486572164</v>
      </c>
      <c r="D24" s="123" t="n">
        <f aca="false">IF(B24="","",IFERROR(B24/INDEX($B$2:$B$800,MATCH(DATE(YEAR(A24)-1,12,1),$A$2:$A$800,0))-1,""))</f>
        <v>0.0672128310159812</v>
      </c>
      <c r="E24" s="123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2" t="n">
        <v>35247</v>
      </c>
      <c r="B25" s="43" t="n">
        <v>149.095</v>
      </c>
      <c r="C25" s="123" t="n">
        <f aca="false">IF(OR(B25="",B24=""),"",B25/B24-1)</f>
        <v>0.00750756838577127</v>
      </c>
      <c r="D25" s="123" t="n">
        <f aca="false">IF(B25="","",IFERROR(B25/INDEX($B$2:$B$800,MATCH(DATE(YEAR(A25)-1,12,1),$A$2:$A$800,0))-1,""))</f>
        <v>0.0752250043270064</v>
      </c>
      <c r="E25" s="123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2" t="n">
        <v>35278</v>
      </c>
      <c r="B26" s="43" t="n">
        <v>149.445</v>
      </c>
      <c r="C26" s="123" t="n">
        <f aca="false">IF(OR(B26="",B25=""),"",B26/B25-1)</f>
        <v>0.00234749656259425</v>
      </c>
      <c r="D26" s="123" t="n">
        <f aca="false">IF(B26="","",IFERROR(B26/INDEX($B$2:$B$800,MATCH(DATE(YEAR(A26)-1,12,1),$A$2:$A$800,0))-1,""))</f>
        <v>0.0777490913286794</v>
      </c>
      <c r="E26" s="123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2" t="n">
        <v>35309</v>
      </c>
      <c r="B27" s="43" t="n">
        <v>149.772</v>
      </c>
      <c r="C27" s="123" t="n">
        <f aca="false">IF(OR(B27="",B26=""),"",B27/B26-1)</f>
        <v>0.00218809595503355</v>
      </c>
      <c r="D27" s="123" t="n">
        <f aca="false">IF(B27="","",IFERROR(B27/INDEX($B$2:$B$800,MATCH(DATE(YEAR(A27)-1,12,1),$A$2:$A$800,0))-1,""))</f>
        <v>0.0801073097559568</v>
      </c>
      <c r="E27" s="123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2" t="n">
        <v>35339</v>
      </c>
      <c r="B28" s="43" t="n">
        <v>150.157</v>
      </c>
      <c r="C28" s="123" t="n">
        <f aca="false">IF(OR(B28="",B27=""),"",B28/B27-1)</f>
        <v>0.00257057393905424</v>
      </c>
      <c r="D28" s="123" t="n">
        <f aca="false">IF(B28="","",IFERROR(B28/INDEX($B$2:$B$800,MATCH(DATE(YEAR(A28)-1,12,1),$A$2:$A$800,0))-1,""))</f>
        <v>0.0828838054577974</v>
      </c>
      <c r="E28" s="123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2" t="n">
        <v>35370</v>
      </c>
      <c r="B29" s="43" t="n">
        <v>151.035</v>
      </c>
      <c r="C29" s="123" t="n">
        <f aca="false">IF(OR(B29="",B28=""),"",B29/B28-1)</f>
        <v>0.00584721325013149</v>
      </c>
      <c r="D29" s="123" t="n">
        <f aca="false">IF(B29="","",IFERROR(B29/INDEX($B$2:$B$800,MATCH(DATE(YEAR(A29)-1,12,1),$A$2:$A$800,0))-1,""))</f>
        <v>0.0892156579934231</v>
      </c>
      <c r="E29" s="123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2" t="n">
        <v>35400</v>
      </c>
      <c r="B30" s="43" t="n">
        <v>151.922</v>
      </c>
      <c r="C30" s="123" t="n">
        <f aca="false">IF(OR(B30="",B29=""),"",B30/B29-1)</f>
        <v>0.00587281093786207</v>
      </c>
      <c r="D30" s="123" t="n">
        <f aca="false">IF(B30="","",IFERROR(B30/INDEX($B$2:$B$800,MATCH(DATE(YEAR(A30)-1,12,1),$A$2:$A$800,0))-1,""))</f>
        <v>0.0956124156233775</v>
      </c>
      <c r="E30" s="123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2" t="n">
        <v>35431</v>
      </c>
      <c r="B31" s="43" t="n">
        <v>152.408</v>
      </c>
      <c r="C31" s="123" t="n">
        <f aca="false">IF(OR(B31="",B30=""),"",B31/B30-1)</f>
        <v>0.00319901001829881</v>
      </c>
      <c r="D31" s="123" t="n">
        <f aca="false">IF(B31="","",IFERROR(B31/INDEX($B$2:$B$800,MATCH(DATE(YEAR(A31)-1,12,1),$A$2:$A$800,0))-1,""))</f>
        <v>0.00319901001829881</v>
      </c>
      <c r="E31" s="123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2" t="n">
        <v>35462</v>
      </c>
      <c r="B32" s="43" t="n">
        <v>153.147</v>
      </c>
      <c r="C32" s="123" t="n">
        <f aca="false">IF(OR(B32="",B31=""),"",B32/B31-1)</f>
        <v>0.00484882683323717</v>
      </c>
      <c r="D32" s="123" t="n">
        <f aca="false">IF(B32="","",IFERROR(B32/INDEX($B$2:$B$800,MATCH(DATE(YEAR(A32)-1,12,1),$A$2:$A$800,0))-1,""))</f>
        <v>0.00806334829715238</v>
      </c>
      <c r="E32" s="123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2" t="n">
        <v>35490</v>
      </c>
      <c r="B33" s="43" t="n">
        <v>154.26</v>
      </c>
      <c r="C33" s="123" t="n">
        <f aca="false">IF(OR(B33="",B32=""),"",B33/B32-1)</f>
        <v>0.00726752727771363</v>
      </c>
      <c r="D33" s="123" t="n">
        <f aca="false">IF(B33="","",IFERROR(B33/INDEX($B$2:$B$800,MATCH(DATE(YEAR(A33)-1,12,1),$A$2:$A$800,0))-1,""))</f>
        <v>0.0153894761785653</v>
      </c>
      <c r="E33" s="123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2" t="n">
        <v>35521</v>
      </c>
      <c r="B34" s="43" t="n">
        <v>154.616</v>
      </c>
      <c r="C34" s="123" t="n">
        <f aca="false">IF(OR(B34="",B33=""),"",B34/B33-1)</f>
        <v>0.00230779203941411</v>
      </c>
      <c r="D34" s="123" t="n">
        <f aca="false">IF(B34="","",IFERROR(B34/INDEX($B$2:$B$800,MATCH(DATE(YEAR(A34)-1,12,1),$A$2:$A$800,0))-1,""))</f>
        <v>0.017732783928595</v>
      </c>
      <c r="E34" s="123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2" t="n">
        <v>35551</v>
      </c>
      <c r="B35" s="43" t="n">
        <v>155.953</v>
      </c>
      <c r="C35" s="123" t="n">
        <f aca="false">IF(OR(B35="",B34=""),"",B35/B34-1)</f>
        <v>0.00864722926475903</v>
      </c>
      <c r="D35" s="123" t="n">
        <f aca="false">IF(B35="","",IFERROR(B35/INDEX($B$2:$B$800,MATCH(DATE(YEAR(A35)-1,12,1),$A$2:$A$800,0))-1,""))</f>
        <v>0.026533352641487</v>
      </c>
      <c r="E35" s="123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2" t="n">
        <v>35582</v>
      </c>
      <c r="B36" s="43" t="n">
        <v>157.687</v>
      </c>
      <c r="C36" s="123" t="n">
        <f aca="false">IF(OR(B36="",B35=""),"",B36/B35-1)</f>
        <v>0.0111187344905197</v>
      </c>
      <c r="D36" s="123" t="n">
        <f aca="false">IF(B36="","",IFERROR(B36/INDEX($B$2:$B$800,MATCH(DATE(YEAR(A36)-1,12,1),$A$2:$A$800,0))-1,""))</f>
        <v>0.0379471044351707</v>
      </c>
      <c r="E36" s="123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2" t="n">
        <v>35612</v>
      </c>
      <c r="B37" s="43" t="n">
        <v>158.485</v>
      </c>
      <c r="C37" s="123" t="n">
        <f aca="false">IF(OR(B37="",B36=""),"",B37/B36-1)</f>
        <v>0.00506065813922518</v>
      </c>
      <c r="D37" s="123" t="n">
        <f aca="false">IF(B37="","",IFERROR(B37/INDEX($B$2:$B$800,MATCH(DATE(YEAR(A37)-1,12,1),$A$2:$A$800,0))-1,""))</f>
        <v>0.0431997998973159</v>
      </c>
      <c r="E37" s="123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2" t="n">
        <v>35643</v>
      </c>
      <c r="B38" s="43" t="n">
        <v>160.352</v>
      </c>
      <c r="C38" s="123" t="n">
        <f aca="false">IF(OR(B38="",B37=""),"",B38/B37-1)</f>
        <v>0.0117802946651102</v>
      </c>
      <c r="D38" s="123" t="n">
        <f aca="false">IF(B38="","",IFERROR(B38/INDEX($B$2:$B$800,MATCH(DATE(YEAR(A38)-1,12,1),$A$2:$A$800,0))-1,""))</f>
        <v>0.0554890009346902</v>
      </c>
      <c r="E38" s="123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2" t="n">
        <v>35674</v>
      </c>
      <c r="B39" s="43" t="n">
        <v>160.78</v>
      </c>
      <c r="C39" s="123" t="n">
        <f aca="false">IF(OR(B39="",B38=""),"",B39/B38-1)</f>
        <v>0.0026691279185791</v>
      </c>
      <c r="D39" s="123" t="n">
        <f aca="false">IF(B39="","",IFERROR(B39/INDEX($B$2:$B$800,MATCH(DATE(YEAR(A39)-1,12,1),$A$2:$A$800,0))-1,""))</f>
        <v>0.0583062360948381</v>
      </c>
      <c r="E39" s="123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2" t="n">
        <v>35704</v>
      </c>
      <c r="B40" s="43" t="n">
        <v>161.024</v>
      </c>
      <c r="C40" s="123" t="n">
        <f aca="false">IF(OR(B40="",B39=""),"",B40/B39-1)</f>
        <v>0.00151760169175263</v>
      </c>
      <c r="D40" s="123" t="n">
        <f aca="false">IF(B40="","",IFERROR(B40/INDEX($B$2:$B$800,MATCH(DATE(YEAR(A40)-1,12,1),$A$2:$A$800,0))-1,""))</f>
        <v>0.0599123234291281</v>
      </c>
      <c r="E40" s="123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2" t="n">
        <v>35735</v>
      </c>
      <c r="B41" s="43" t="n">
        <v>161.897</v>
      </c>
      <c r="C41" s="123" t="n">
        <f aca="false">IF(OR(B41="",B40=""),"",B41/B40-1)</f>
        <v>0.00542155206677264</v>
      </c>
      <c r="D41" s="123" t="n">
        <f aca="false">IF(B41="","",IFERROR(B41/INDEX($B$2:$B$800,MATCH(DATE(YEAR(A41)-1,12,1),$A$2:$A$800,0))-1,""))</f>
        <v>0.0656586932768131</v>
      </c>
      <c r="E41" s="123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2" t="n">
        <v>35765</v>
      </c>
      <c r="B42" s="43" t="n">
        <v>162.271</v>
      </c>
      <c r="C42" s="123" t="n">
        <f aca="false">IF(OR(B42="",B41=""),"",B42/B41-1)</f>
        <v>0.002310110749427</v>
      </c>
      <c r="D42" s="123" t="n">
        <f aca="false">IF(B42="","",IFERROR(B42/INDEX($B$2:$B$800,MATCH(DATE(YEAR(A42)-1,12,1),$A$2:$A$800,0))-1,""))</f>
        <v>0.0681204828793722</v>
      </c>
      <c r="E42" s="123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2" t="n">
        <v>35796</v>
      </c>
      <c r="B43" s="43" t="n">
        <v>162.805</v>
      </c>
      <c r="C43" s="123" t="n">
        <f aca="false">IF(OR(B43="",B42=""),"",B43/B42-1)</f>
        <v>0.00329079133055221</v>
      </c>
      <c r="D43" s="123" t="n">
        <f aca="false">IF(B43="","",IFERROR(B43/INDEX($B$2:$B$800,MATCH(DATE(YEAR(A43)-1,12,1),$A$2:$A$800,0))-1,""))</f>
        <v>0.00329079133055221</v>
      </c>
      <c r="E43" s="123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2" t="n">
        <v>35827</v>
      </c>
      <c r="B44" s="43" t="n">
        <v>163.593</v>
      </c>
      <c r="C44" s="123" t="n">
        <f aca="false">IF(OR(B44="",B43=""),"",B44/B43-1)</f>
        <v>0.00484014618715634</v>
      </c>
      <c r="D44" s="123" t="n">
        <f aca="false">IF(B44="","",IFERROR(B44/INDEX($B$2:$B$800,MATCH(DATE(YEAR(A44)-1,12,1),$A$2:$A$800,0))-1,""))</f>
        <v>0.00814686542881971</v>
      </c>
      <c r="E44" s="123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2" t="n">
        <v>35855</v>
      </c>
      <c r="B45" s="43" t="n">
        <v>164.361</v>
      </c>
      <c r="C45" s="123" t="n">
        <f aca="false">IF(OR(B45="",B44=""),"",B45/B44-1)</f>
        <v>0.00469457739634338</v>
      </c>
      <c r="D45" s="123" t="n">
        <f aca="false">IF(B45="","",IFERROR(B45/INDEX($B$2:$B$800,MATCH(DATE(YEAR(A45)-1,12,1),$A$2:$A$800,0))-1,""))</f>
        <v>0.0128796889154563</v>
      </c>
      <c r="E45" s="123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2" t="n">
        <v>35886</v>
      </c>
      <c r="B46" s="43" t="n">
        <v>163.535</v>
      </c>
      <c r="C46" s="123" t="n">
        <f aca="false">IF(OR(B46="",B45=""),"",B46/B45-1)</f>
        <v>-0.00502552308637694</v>
      </c>
      <c r="D46" s="123" t="n">
        <f aca="false">IF(B46="","",IFERROR(B46/INDEX($B$2:$B$800,MATCH(DATE(YEAR(A46)-1,12,1),$A$2:$A$800,0))-1,""))</f>
        <v>0.00778943865508941</v>
      </c>
      <c r="E46" s="123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2" t="n">
        <v>35916</v>
      </c>
      <c r="B47" s="43" t="n">
        <v>165.133</v>
      </c>
      <c r="C47" s="123" t="n">
        <f aca="false">IF(OR(B47="",B46=""),"",B47/B46-1)</f>
        <v>0.00977160852416925</v>
      </c>
      <c r="D47" s="123" t="n">
        <f aca="false">IF(B47="","",IFERROR(B47/INDEX($B$2:$B$800,MATCH(DATE(YEAR(A47)-1,12,1),$A$2:$A$800,0))-1,""))</f>
        <v>0.0176371625244192</v>
      </c>
      <c r="E47" s="123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2" t="n">
        <v>35947</v>
      </c>
      <c r="B48" s="43" t="n">
        <v>165.781</v>
      </c>
      <c r="C48" s="123" t="n">
        <f aca="false">IF(OR(B48="",B47=""),"",B48/B47-1)</f>
        <v>0.00392410965706436</v>
      </c>
      <c r="D48" s="123" t="n">
        <f aca="false">IF(B48="","",IFERROR(B48/INDEX($B$2:$B$800,MATCH(DATE(YEAR(A48)-1,12,1),$A$2:$A$800,0))-1,""))</f>
        <v>0.0216304823412687</v>
      </c>
      <c r="E48" s="123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2" t="n">
        <v>35977</v>
      </c>
      <c r="B49" s="43" t="n">
        <v>166.345</v>
      </c>
      <c r="C49" s="123" t="n">
        <f aca="false">IF(OR(B49="",B48=""),"",B49/B48-1)</f>
        <v>0.00340207864592434</v>
      </c>
      <c r="D49" s="123" t="n">
        <f aca="false">IF(B49="","",IFERROR(B49/INDEX($B$2:$B$800,MATCH(DATE(YEAR(A49)-1,12,1),$A$2:$A$800,0))-1,""))</f>
        <v>0.0251061495892675</v>
      </c>
      <c r="E49" s="123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2" t="n">
        <v>36008</v>
      </c>
      <c r="B50" s="43" t="n">
        <v>166.705</v>
      </c>
      <c r="C50" s="123" t="n">
        <f aca="false">IF(OR(B50="",B49=""),"",B50/B49-1)</f>
        <v>0.00216417686134252</v>
      </c>
      <c r="D50" s="123" t="n">
        <f aca="false">IF(B50="","",IFERROR(B50/INDEX($B$2:$B$800,MATCH(DATE(YEAR(A50)-1,12,1),$A$2:$A$800,0))-1,""))</f>
        <v>0.0273246605986284</v>
      </c>
      <c r="E50" s="123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2" t="n">
        <v>36039</v>
      </c>
      <c r="B51" s="43" t="n">
        <v>166.729</v>
      </c>
      <c r="C51" s="123" t="n">
        <f aca="false">IF(OR(B51="",B50=""),"",B51/B50-1)</f>
        <v>0.000143966887615754</v>
      </c>
      <c r="D51" s="123" t="n">
        <f aca="false">IF(B51="","",IFERROR(B51/INDEX($B$2:$B$800,MATCH(DATE(YEAR(A51)-1,12,1),$A$2:$A$800,0))-1,""))</f>
        <v>0.0274725613325857</v>
      </c>
      <c r="E51" s="123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2" t="n">
        <v>36069</v>
      </c>
      <c r="B52" s="43" t="n">
        <v>166.738</v>
      </c>
      <c r="C52" s="123" t="n">
        <f aca="false">IF(OR(B52="",B51=""),"",B52/B51-1)</f>
        <v>5.39798115504198E-005</v>
      </c>
      <c r="D52" s="123" t="n">
        <f aca="false">IF(B52="","",IFERROR(B52/INDEX($B$2:$B$800,MATCH(DATE(YEAR(A52)-1,12,1),$A$2:$A$800,0))-1,""))</f>
        <v>0.0275280241078197</v>
      </c>
      <c r="E52" s="123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2" t="n">
        <v>36100</v>
      </c>
      <c r="B53" s="43" t="n">
        <v>166.657</v>
      </c>
      <c r="C53" s="123" t="n">
        <f aca="false">IF(OR(B53="",B52=""),"",B53/B52-1)</f>
        <v>-0.000485792080989311</v>
      </c>
      <c r="D53" s="123" t="n">
        <f aca="false">IF(B53="","",IFERROR(B53/INDEX($B$2:$B$800,MATCH(DATE(YEAR(A53)-1,12,1),$A$2:$A$800,0))-1,""))</f>
        <v>0.0270288591307135</v>
      </c>
      <c r="E53" s="123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2" t="n">
        <v>36130</v>
      </c>
      <c r="B54" s="43" t="n">
        <v>166.733</v>
      </c>
      <c r="C54" s="123" t="n">
        <f aca="false">IF(OR(B54="",B53=""),"",B54/B53-1)</f>
        <v>0.00045602644953413</v>
      </c>
      <c r="D54" s="123" t="n">
        <f aca="false">IF(B54="","",IFERROR(B54/INDEX($B$2:$B$800,MATCH(DATE(YEAR(A54)-1,12,1),$A$2:$A$800,0))-1,""))</f>
        <v>0.0274972114549119</v>
      </c>
      <c r="E54" s="123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2" t="n">
        <v>36161</v>
      </c>
      <c r="B55" s="43" t="n">
        <v>167.648</v>
      </c>
      <c r="C55" s="123" t="n">
        <f aca="false">IF(OR(B55="",B54=""),"",B55/B54-1)</f>
        <v>0.00548781584929192</v>
      </c>
      <c r="D55" s="123" t="n">
        <f aca="false">IF(B55="","",IFERROR(B55/INDEX($B$2:$B$800,MATCH(DATE(YEAR(A55)-1,12,1),$A$2:$A$800,0))-1,""))</f>
        <v>0.00548781584929192</v>
      </c>
      <c r="E55" s="123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2" t="n">
        <v>36192</v>
      </c>
      <c r="B56" s="43" t="n">
        <v>169.288</v>
      </c>
      <c r="C56" s="123" t="n">
        <f aca="false">IF(OR(B56="",B55=""),"",B56/B55-1)</f>
        <v>0.00978240122160723</v>
      </c>
      <c r="D56" s="123" t="n">
        <f aca="false">IF(B56="","",IFERROR(B56/INDEX($B$2:$B$800,MATCH(DATE(YEAR(A56)-1,12,1),$A$2:$A$800,0))-1,""))</f>
        <v>0.0153239010873674</v>
      </c>
      <c r="E56" s="123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2" t="n">
        <v>36220</v>
      </c>
      <c r="B57" s="43" t="n">
        <v>170.221</v>
      </c>
      <c r="C57" s="123" t="n">
        <f aca="false">IF(OR(B57="",B56=""),"",B57/B56-1)</f>
        <v>0.00551131799064319</v>
      </c>
      <c r="D57" s="123" t="n">
        <f aca="false">IF(B57="","",IFERROR(B57/INDEX($B$2:$B$800,MATCH(DATE(YEAR(A57)-1,12,1),$A$2:$A$800,0))-1,""))</f>
        <v>0.0209196739697601</v>
      </c>
      <c r="E57" s="123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2" t="n">
        <v>36251</v>
      </c>
      <c r="B58" s="43" t="n">
        <v>171.1</v>
      </c>
      <c r="C58" s="123" t="n">
        <f aca="false">IF(OR(B58="",B57=""),"",B58/B57-1)</f>
        <v>0.00516387519753736</v>
      </c>
      <c r="D58" s="123" t="n">
        <f aca="false">IF(B58="","",IFERROR(B58/INDEX($B$2:$B$800,MATCH(DATE(YEAR(A58)-1,12,1),$A$2:$A$800,0))-1,""))</f>
        <v>0.0261915757528504</v>
      </c>
      <c r="E58" s="123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2" t="n">
        <v>36281</v>
      </c>
      <c r="B59" s="43" t="n">
        <v>172.578</v>
      </c>
      <c r="C59" s="123" t="n">
        <f aca="false">IF(OR(B59="",B58=""),"",B59/B58-1)</f>
        <v>0.00863822326125074</v>
      </c>
      <c r="D59" s="123" t="n">
        <f aca="false">IF(B59="","",IFERROR(B59/INDEX($B$2:$B$800,MATCH(DATE(YEAR(A59)-1,12,1),$A$2:$A$800,0))-1,""))</f>
        <v>0.0350560476930182</v>
      </c>
      <c r="E59" s="123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2" t="n">
        <v>36312</v>
      </c>
      <c r="B60" s="43" t="n">
        <v>173.279</v>
      </c>
      <c r="C60" s="123" t="n">
        <f aca="false">IF(OR(B60="",B59=""),"",B60/B59-1)</f>
        <v>0.00406193141651889</v>
      </c>
      <c r="D60" s="123" t="n">
        <f aca="false">IF(B60="","",IFERROR(B60/INDEX($B$2:$B$800,MATCH(DATE(YEAR(A60)-1,12,1),$A$2:$A$800,0))-1,""))</f>
        <v>0.0392603743710003</v>
      </c>
      <c r="E60" s="123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2" t="n">
        <v>36342</v>
      </c>
      <c r="B61" s="43" t="n">
        <v>174.074</v>
      </c>
      <c r="C61" s="123" t="n">
        <f aca="false">IF(OR(B61="",B60=""),"",B61/B60-1)</f>
        <v>0.00458797661574706</v>
      </c>
      <c r="D61" s="123" t="n">
        <f aca="false">IF(B61="","",IFERROR(B61/INDEX($B$2:$B$800,MATCH(DATE(YEAR(A61)-1,12,1),$A$2:$A$800,0))-1,""))</f>
        <v>0.0440284766662868</v>
      </c>
      <c r="E61" s="123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2" t="n">
        <v>36373</v>
      </c>
      <c r="B62" s="43" t="n">
        <v>175.28</v>
      </c>
      <c r="C62" s="123" t="n">
        <f aca="false">IF(OR(B62="",B61=""),"",B62/B61-1)</f>
        <v>0.00692808805450551</v>
      </c>
      <c r="D62" s="123" t="n">
        <f aca="false">IF(B62="","",IFERROR(B62/INDEX($B$2:$B$800,MATCH(DATE(YEAR(A62)-1,12,1),$A$2:$A$800,0))-1,""))</f>
        <v>0.0512615978840421</v>
      </c>
      <c r="E62" s="123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2" t="n">
        <v>36404</v>
      </c>
      <c r="B63" s="43" t="n">
        <v>176.785</v>
      </c>
      <c r="C63" s="123" t="n">
        <f aca="false">IF(OR(B63="",B62=""),"",B63/B62-1)</f>
        <v>0.00858626198083057</v>
      </c>
      <c r="D63" s="123" t="n">
        <f aca="false">IF(B63="","",IFERROR(B63/INDEX($B$2:$B$800,MATCH(DATE(YEAR(A63)-1,12,1),$A$2:$A$800,0))-1,""))</f>
        <v>0.0602880053738613</v>
      </c>
      <c r="E63" s="123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2" t="n">
        <v>36434</v>
      </c>
      <c r="B64" s="43" t="n">
        <v>178.574</v>
      </c>
      <c r="C64" s="123" t="n">
        <f aca="false">IF(OR(B64="",B63=""),"",B64/B63-1)</f>
        <v>0.0101196368470176</v>
      </c>
      <c r="D64" s="123" t="n">
        <f aca="false">IF(B64="","",IFERROR(B64/INDEX($B$2:$B$800,MATCH(DATE(YEAR(A64)-1,12,1),$A$2:$A$800,0))-1,""))</f>
        <v>0.0710177349414933</v>
      </c>
      <c r="E64" s="123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2" t="n">
        <v>36465</v>
      </c>
      <c r="B65" s="43" t="n">
        <v>180.207</v>
      </c>
      <c r="C65" s="123" t="n">
        <f aca="false">IF(OR(B65="",B64=""),"",B65/B64-1)</f>
        <v>0.00914466831677618</v>
      </c>
      <c r="D65" s="123" t="n">
        <f aca="false">IF(B65="","",IFERROR(B65/INDEX($B$2:$B$800,MATCH(DATE(YEAR(A65)-1,12,1),$A$2:$A$800,0))-1,""))</f>
        <v>0.0808118368889181</v>
      </c>
      <c r="E65" s="123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2" t="n">
        <v>36495</v>
      </c>
      <c r="B66" s="43" t="n">
        <v>182.084</v>
      </c>
      <c r="C66" s="123" t="n">
        <f aca="false">IF(OR(B66="",B65=""),"",B66/B65-1)</f>
        <v>0.0104157996082284</v>
      </c>
      <c r="D66" s="123" t="n">
        <f aca="false">IF(B66="","",IFERROR(B66/INDEX($B$2:$B$800,MATCH(DATE(YEAR(A66)-1,12,1),$A$2:$A$800,0))-1,""))</f>
        <v>0.0920693563961543</v>
      </c>
      <c r="E66" s="123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2" t="n">
        <v>36526</v>
      </c>
      <c r="B67" s="43" t="n">
        <v>184.039</v>
      </c>
      <c r="C67" s="123" t="n">
        <f aca="false">IF(OR(B67="",B66=""),"",B67/B66-1)</f>
        <v>0.0107368027943147</v>
      </c>
      <c r="D67" s="123" t="n">
        <f aca="false">IF(B67="","",IFERROR(B67/INDEX($B$2:$B$800,MATCH(DATE(YEAR(A67)-1,12,1),$A$2:$A$800,0))-1,""))</f>
        <v>0.0107368027943147</v>
      </c>
      <c r="E67" s="123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2" t="n">
        <v>36557</v>
      </c>
      <c r="B68" s="43" t="n">
        <v>185.461</v>
      </c>
      <c r="C68" s="123" t="n">
        <f aca="false">IF(OR(B68="",B67=""),"",B68/B67-1)</f>
        <v>0.00772662316139527</v>
      </c>
      <c r="D68" s="123" t="n">
        <f aca="false">IF(B68="","",IFERROR(B68/INDEX($B$2:$B$800,MATCH(DATE(YEAR(A68)-1,12,1),$A$2:$A$800,0))-1,""))</f>
        <v>0.0185463851848597</v>
      </c>
      <c r="E68" s="123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2" t="n">
        <v>36586</v>
      </c>
      <c r="B69" s="43" t="n">
        <v>186.492</v>
      </c>
      <c r="C69" s="123" t="n">
        <f aca="false">IF(OR(B69="",B68=""),"",B69/B68-1)</f>
        <v>0.00555912024630501</v>
      </c>
      <c r="D69" s="123" t="n">
        <f aca="false">IF(B69="","",IFERROR(B69/INDEX($B$2:$B$800,MATCH(DATE(YEAR(A69)-1,12,1),$A$2:$A$800,0))-1,""))</f>
        <v>0.0242086070165417</v>
      </c>
      <c r="E69" s="123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2" t="n">
        <v>36617</v>
      </c>
      <c r="B70" s="43" t="n">
        <v>187.604</v>
      </c>
      <c r="C70" s="123" t="n">
        <f aca="false">IF(OR(B70="",B69=""),"",B70/B69-1)</f>
        <v>0.00596272226154482</v>
      </c>
      <c r="D70" s="123" t="n">
        <f aca="false">IF(B70="","",IFERROR(B70/INDEX($B$2:$B$800,MATCH(DATE(YEAR(A70)-1,12,1),$A$2:$A$800,0))-1,""))</f>
        <v>0.0303156784780652</v>
      </c>
      <c r="E70" s="123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2" t="n">
        <v>36647</v>
      </c>
      <c r="B71" s="43" t="n">
        <v>190.136</v>
      </c>
      <c r="C71" s="123" t="n">
        <f aca="false">IF(OR(B71="",B70=""),"",B71/B70-1)</f>
        <v>0.0134965139336047</v>
      </c>
      <c r="D71" s="123" t="n">
        <f aca="false">IF(B71="","",IFERROR(B71/INDEX($B$2:$B$800,MATCH(DATE(YEAR(A71)-1,12,1),$A$2:$A$800,0))-1,""))</f>
        <v>0.0442213483886558</v>
      </c>
      <c r="E71" s="123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2" t="n">
        <v>36678</v>
      </c>
      <c r="B72" s="43" t="n">
        <v>191.527</v>
      </c>
      <c r="C72" s="123" t="n">
        <f aca="false">IF(OR(B72="",B71=""),"",B72/B71-1)</f>
        <v>0.00731581604746068</v>
      </c>
      <c r="D72" s="123" t="n">
        <f aca="false">IF(B72="","",IFERROR(B72/INDEX($B$2:$B$800,MATCH(DATE(YEAR(A72)-1,12,1),$A$2:$A$800,0))-1,""))</f>
        <v>0.0518606796862986</v>
      </c>
      <c r="E72" s="123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2" t="n">
        <v>36708</v>
      </c>
      <c r="B73" s="43" t="n">
        <v>192.104</v>
      </c>
      <c r="C73" s="123" t="n">
        <f aca="false">IF(OR(B73="",B72=""),"",B73/B72-1)</f>
        <v>0.00301263007304464</v>
      </c>
      <c r="D73" s="123" t="n">
        <f aca="false">IF(B73="","",IFERROR(B73/INDEX($B$2:$B$800,MATCH(DATE(YEAR(A73)-1,12,1),$A$2:$A$800,0))-1,""))</f>
        <v>0.0550295468025748</v>
      </c>
      <c r="E73" s="123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2" t="n">
        <v>36739</v>
      </c>
      <c r="B74" s="43" t="n">
        <v>192.846</v>
      </c>
      <c r="C74" s="123" t="n">
        <f aca="false">IF(OR(B74="",B73=""),"",B74/B73-1)</f>
        <v>0.00386249115062665</v>
      </c>
      <c r="D74" s="123" t="n">
        <f aca="false">IF(B74="","",IFERROR(B74/INDEX($B$2:$B$800,MATCH(DATE(YEAR(A74)-1,12,1),$A$2:$A$800,0))-1,""))</f>
        <v>0.0591045890907493</v>
      </c>
      <c r="E74" s="123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2" t="n">
        <v>36770</v>
      </c>
      <c r="B75" s="43" t="n">
        <v>193.342</v>
      </c>
      <c r="C75" s="123" t="n">
        <f aca="false">IF(OR(B75="",B74=""),"",B75/B74-1)</f>
        <v>0.00257200045632278</v>
      </c>
      <c r="D75" s="123" t="n">
        <f aca="false">IF(B75="","",IFERROR(B75/INDEX($B$2:$B$800,MATCH(DATE(YEAR(A75)-1,12,1),$A$2:$A$800,0))-1,""))</f>
        <v>0.0618286065771843</v>
      </c>
      <c r="E75" s="123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2" t="n">
        <v>36800</v>
      </c>
      <c r="B76" s="43" t="n">
        <v>193.984</v>
      </c>
      <c r="C76" s="123" t="n">
        <f aca="false">IF(OR(B76="",B75=""),"",B76/B75-1)</f>
        <v>0.00332054080334321</v>
      </c>
      <c r="D76" s="123" t="n">
        <f aca="false">IF(B76="","",IFERROR(B76/INDEX($B$2:$B$800,MATCH(DATE(YEAR(A76)-1,12,1),$A$2:$A$800,0))-1,""))</f>
        <v>0.0653544517914808</v>
      </c>
      <c r="E76" s="123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2" t="n">
        <v>36831</v>
      </c>
      <c r="B77" s="43" t="n">
        <v>194.789</v>
      </c>
      <c r="C77" s="123" t="n">
        <f aca="false">IF(OR(B77="",B76=""),"",B77/B76-1)</f>
        <v>0.00414982678983833</v>
      </c>
      <c r="D77" s="123" t="n">
        <f aca="false">IF(B77="","",IFERROR(B77/INDEX($B$2:$B$800,MATCH(DATE(YEAR(A77)-1,12,1),$A$2:$A$800,0))-1,""))</f>
        <v>0.0697754882361985</v>
      </c>
      <c r="E77" s="123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2" t="n">
        <v>36861</v>
      </c>
      <c r="B78" s="43" t="n">
        <v>196.037</v>
      </c>
      <c r="C78" s="123" t="n">
        <f aca="false">IF(OR(B78="",B77=""),"",B78/B77-1)</f>
        <v>0.00640693262966607</v>
      </c>
      <c r="D78" s="123" t="n">
        <f aca="false">IF(B78="","",IFERROR(B78/INDEX($B$2:$B$800,MATCH(DATE(YEAR(A78)-1,12,1),$A$2:$A$800,0))-1,""))</f>
        <v>0.076629467718196</v>
      </c>
      <c r="E78" s="123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2" t="n">
        <v>36892</v>
      </c>
      <c r="B79" s="43" t="n">
        <v>197.174</v>
      </c>
      <c r="C79" s="123" t="n">
        <f aca="false">IF(OR(B79="",B78=""),"",B79/B78-1)</f>
        <v>0.00579992552426334</v>
      </c>
      <c r="D79" s="123" t="n">
        <f aca="false">IF(B79="","",IFERROR(B79/INDEX($B$2:$B$800,MATCH(DATE(YEAR(A79)-1,12,1),$A$2:$A$800,0))-1,""))</f>
        <v>0.00579992552426334</v>
      </c>
      <c r="E79" s="123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2" t="n">
        <v>36923</v>
      </c>
      <c r="B80" s="43" t="n">
        <v>197.849</v>
      </c>
      <c r="C80" s="123" t="n">
        <f aca="false">IF(OR(B80="",B79=""),"",B80/B79-1)</f>
        <v>0.00342337224989087</v>
      </c>
      <c r="D80" s="123" t="n">
        <f aca="false">IF(B80="","",IFERROR(B80/INDEX($B$2:$B$800,MATCH(DATE(YEAR(A80)-1,12,1),$A$2:$A$800,0))-1,""))</f>
        <v>0.0092431530782453</v>
      </c>
      <c r="E80" s="123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2" t="n">
        <v>36951</v>
      </c>
      <c r="B81" s="43" t="n">
        <v>198.388</v>
      </c>
      <c r="C81" s="123" t="n">
        <f aca="false">IF(OR(B81="",B80=""),"",B81/B80-1)</f>
        <v>0.00272429984483114</v>
      </c>
      <c r="D81" s="123" t="n">
        <f aca="false">IF(B81="","",IFERROR(B81/INDEX($B$2:$B$800,MATCH(DATE(YEAR(A81)-1,12,1),$A$2:$A$800,0))-1,""))</f>
        <v>0.0119926340435734</v>
      </c>
      <c r="E81" s="123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2" t="n">
        <v>36982</v>
      </c>
      <c r="B82" s="43" t="n">
        <v>199.112</v>
      </c>
      <c r="C82" s="123" t="n">
        <f aca="false">IF(OR(B82="",B81=""),"",B82/B81-1)</f>
        <v>0.00364941427908949</v>
      </c>
      <c r="D82" s="123" t="n">
        <f aca="false">IF(B82="","",IFERROR(B82/INDEX($B$2:$B$800,MATCH(DATE(YEAR(A82)-1,12,1),$A$2:$A$800,0))-1,""))</f>
        <v>0.0156858144125853</v>
      </c>
      <c r="E82" s="123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2" t="n">
        <v>37012</v>
      </c>
      <c r="B83" s="43" t="n">
        <v>203.321</v>
      </c>
      <c r="C83" s="123" t="n">
        <f aca="false">IF(OR(B83="",B82=""),"",B83/B82-1)</f>
        <v>0.021138856522962</v>
      </c>
      <c r="D83" s="123" t="n">
        <f aca="false">IF(B83="","",IFERROR(B83/INDEX($B$2:$B$800,MATCH(DATE(YEAR(A83)-1,12,1),$A$2:$A$800,0))-1,""))</f>
        <v>0.0371562511158607</v>
      </c>
      <c r="E83" s="123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2" t="n">
        <v>37043</v>
      </c>
      <c r="B84" s="43" t="n">
        <v>205.682</v>
      </c>
      <c r="C84" s="123" t="n">
        <f aca="false">IF(OR(B84="",B83=""),"",B84/B83-1)</f>
        <v>0.0116121797551654</v>
      </c>
      <c r="D84" s="123" t="n">
        <f aca="false">IF(B84="","",IFERROR(B84/INDEX($B$2:$B$800,MATCH(DATE(YEAR(A84)-1,12,1),$A$2:$A$800,0))-1,""))</f>
        <v>0.0491998959380116</v>
      </c>
      <c r="E84" s="123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2" t="n">
        <v>37073</v>
      </c>
      <c r="B85" s="43" t="n">
        <v>206.742</v>
      </c>
      <c r="C85" s="123" t="n">
        <f aca="false">IF(OR(B85="",B84=""),"",B85/B84-1)</f>
        <v>0.00515358660456444</v>
      </c>
      <c r="D85" s="123" t="n">
        <f aca="false">IF(B85="","",IFERROR(B85/INDEX($B$2:$B$800,MATCH(DATE(YEAR(A85)-1,12,1),$A$2:$A$800,0))-1,""))</f>
        <v>0.0546070384672281</v>
      </c>
      <c r="E85" s="123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2" t="n">
        <v>37104</v>
      </c>
      <c r="B86" s="43" t="n">
        <v>208.026</v>
      </c>
      <c r="C86" s="123" t="n">
        <f aca="false">IF(OR(B86="",B85=""),"",B86/B85-1)</f>
        <v>0.0062106393475927</v>
      </c>
      <c r="D86" s="123" t="n">
        <f aca="false">IF(B86="","",IFERROR(B86/INDEX($B$2:$B$800,MATCH(DATE(YEAR(A86)-1,12,1),$A$2:$A$800,0))-1,""))</f>
        <v>0.0611568224365808</v>
      </c>
      <c r="E86" s="123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2" t="n">
        <v>37135</v>
      </c>
      <c r="B87" s="43" t="n">
        <v>209.174</v>
      </c>
      <c r="C87" s="123" t="n">
        <f aca="false">IF(OR(B87="",B86=""),"",B87/B86-1)</f>
        <v>0.00551854095161186</v>
      </c>
      <c r="D87" s="123" t="n">
        <f aca="false">IF(B87="","",IFERROR(B87/INDEX($B$2:$B$800,MATCH(DATE(YEAR(A87)-1,12,1),$A$2:$A$800,0))-1,""))</f>
        <v>0.0670128598172795</v>
      </c>
      <c r="E87" s="123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2" t="n">
        <v>37165</v>
      </c>
      <c r="B88" s="43" t="n">
        <v>211.122</v>
      </c>
      <c r="C88" s="123" t="n">
        <f aca="false">IF(OR(B88="",B87=""),"",B88/B87-1)</f>
        <v>0.0093128209050839</v>
      </c>
      <c r="D88" s="123" t="n">
        <f aca="false">IF(B88="","",IFERROR(B88/INDEX($B$2:$B$800,MATCH(DATE(YEAR(A88)-1,12,1),$A$2:$A$800,0))-1,""))</f>
        <v>0.076949759484179</v>
      </c>
      <c r="E88" s="123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2" t="n">
        <v>37196</v>
      </c>
      <c r="B89" s="43" t="n">
        <v>212.676</v>
      </c>
      <c r="C89" s="123" t="n">
        <f aca="false">IF(OR(B89="",B88=""),"",B89/B88-1)</f>
        <v>0.00736067297581489</v>
      </c>
      <c r="D89" s="123" t="n">
        <f aca="false">IF(B89="","",IFERROR(B89/INDEX($B$2:$B$800,MATCH(DATE(YEAR(A89)-1,12,1),$A$2:$A$800,0))-1,""))</f>
        <v>0.0848768344751245</v>
      </c>
      <c r="E89" s="123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2" t="n">
        <v>37226</v>
      </c>
      <c r="B90" s="43" t="n">
        <v>213.393</v>
      </c>
      <c r="C90" s="123" t="n">
        <f aca="false">IF(OR(B90="",B89=""),"",B90/B89-1)</f>
        <v>0.00337132539637763</v>
      </c>
      <c r="D90" s="123" t="n">
        <f aca="false">IF(B90="","",IFERROR(B90/INDEX($B$2:$B$800,MATCH(DATE(YEAR(A90)-1,12,1),$A$2:$A$800,0))-1,""))</f>
        <v>0.0885343072991323</v>
      </c>
      <c r="E90" s="123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2" t="n">
        <v>37257</v>
      </c>
      <c r="B91" s="43" t="n">
        <v>214.162</v>
      </c>
      <c r="C91" s="123" t="n">
        <f aca="false">IF(OR(B91="",B90=""),"",B91/B90-1)</f>
        <v>0.00360367959586316</v>
      </c>
      <c r="D91" s="123" t="n">
        <f aca="false">IF(B91="","",IFERROR(B91/INDEX($B$2:$B$800,MATCH(DATE(YEAR(A91)-1,12,1),$A$2:$A$800,0))-1,""))</f>
        <v>0.00360367959586316</v>
      </c>
      <c r="E91" s="123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2" t="n">
        <v>37288</v>
      </c>
      <c r="B92" s="43" t="n">
        <v>215.399</v>
      </c>
      <c r="C92" s="123" t="n">
        <f aca="false">IF(OR(B92="",B91=""),"",B92/B91-1)</f>
        <v>0.00577600134477629</v>
      </c>
      <c r="D92" s="123" t="n">
        <f aca="false">IF(B92="","",IFERROR(B92/INDEX($B$2:$B$800,MATCH(DATE(YEAR(A92)-1,12,1),$A$2:$A$800,0))-1,""))</f>
        <v>0.00940049579883118</v>
      </c>
      <c r="E92" s="123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2" t="n">
        <v>37316</v>
      </c>
      <c r="B93" s="43" t="n">
        <v>216.577</v>
      </c>
      <c r="C93" s="123" t="n">
        <f aca="false">IF(OR(B93="",B92=""),"",B93/B92-1)</f>
        <v>0.00546892046852587</v>
      </c>
      <c r="D93" s="123" t="n">
        <f aca="false">IF(B93="","",IFERROR(B93/INDEX($B$2:$B$800,MATCH(DATE(YEAR(A93)-1,12,1),$A$2:$A$800,0))-1,""))</f>
        <v>0.0149208268312455</v>
      </c>
      <c r="E93" s="123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2" t="n">
        <v>37347</v>
      </c>
      <c r="B94" s="43" t="n">
        <v>217.288</v>
      </c>
      <c r="C94" s="123" t="n">
        <f aca="false">IF(OR(B94="",B93=""),"",B94/B93-1)</f>
        <v>0.00328289707586693</v>
      </c>
      <c r="D94" s="123" t="n">
        <f aca="false">IF(B94="","",IFERROR(B94/INDEX($B$2:$B$800,MATCH(DATE(YEAR(A94)-1,12,1),$A$2:$A$800,0))-1,""))</f>
        <v>0.0182527074458863</v>
      </c>
      <c r="E94" s="123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2" t="n">
        <v>37377</v>
      </c>
      <c r="B95" s="43" t="n">
        <v>222.793</v>
      </c>
      <c r="C95" s="123" t="n">
        <f aca="false">IF(OR(B95="",B94=""),"",B95/B94-1)</f>
        <v>0.0253350392106328</v>
      </c>
      <c r="D95" s="123" t="n">
        <f aca="false">IF(B95="","",IFERROR(B95/INDEX($B$2:$B$800,MATCH(DATE(YEAR(A95)-1,12,1),$A$2:$A$800,0))-1,""))</f>
        <v>0.044050179715361</v>
      </c>
      <c r="E95" s="123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2" t="n">
        <v>37408</v>
      </c>
      <c r="B96" s="43" t="n">
        <v>224.054</v>
      </c>
      <c r="C96" s="123" t="n">
        <f aca="false">IF(OR(B96="",B95=""),"",B96/B95-1)</f>
        <v>0.00565996238661004</v>
      </c>
      <c r="D96" s="123" t="n">
        <f aca="false">IF(B96="","",IFERROR(B96/INDEX($B$2:$B$800,MATCH(DATE(YEAR(A96)-1,12,1),$A$2:$A$800,0))-1,""))</f>
        <v>0.0499594644622832</v>
      </c>
      <c r="E96" s="123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2" t="n">
        <v>37438</v>
      </c>
      <c r="B97" s="43" t="n">
        <v>224.712</v>
      </c>
      <c r="C97" s="123" t="n">
        <f aca="false">IF(OR(B97="",B96=""),"",B97/B96-1)</f>
        <v>0.0029367920233514</v>
      </c>
      <c r="D97" s="123" t="n">
        <f aca="false">IF(B97="","",IFERROR(B97/INDEX($B$2:$B$800,MATCH(DATE(YEAR(A97)-1,12,1),$A$2:$A$800,0))-1,""))</f>
        <v>0.0530429770423584</v>
      </c>
      <c r="E97" s="123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2" t="n">
        <v>37469</v>
      </c>
      <c r="B98" s="43" t="n">
        <v>226.968</v>
      </c>
      <c r="C98" s="123" t="n">
        <f aca="false">IF(OR(B98="",B97=""),"",B98/B97-1)</f>
        <v>0.0100395172487451</v>
      </c>
      <c r="D98" s="123" t="n">
        <f aca="false">IF(B98="","",IFERROR(B98/INDEX($B$2:$B$800,MATCH(DATE(YEAR(A98)-1,12,1),$A$2:$A$800,0))-1,""))</f>
        <v>0.0636150201740451</v>
      </c>
      <c r="E98" s="123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2" t="n">
        <v>37500</v>
      </c>
      <c r="B99" s="43" t="n">
        <v>228.576</v>
      </c>
      <c r="C99" s="123" t="n">
        <f aca="false">IF(OR(B99="",B98=""),"",B99/B98-1)</f>
        <v>0.00708469916464005</v>
      </c>
      <c r="D99" s="123" t="n">
        <f aca="false">IF(B99="","",IFERROR(B99/INDEX($B$2:$B$800,MATCH(DATE(YEAR(A99)-1,12,1),$A$2:$A$800,0))-1,""))</f>
        <v>0.0711504126189706</v>
      </c>
      <c r="E99" s="123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2" t="n">
        <v>37530</v>
      </c>
      <c r="B100" s="43" t="n">
        <v>231.167</v>
      </c>
      <c r="C100" s="123" t="n">
        <f aca="false">IF(OR(B100="",B99=""),"",B100/B99-1)</f>
        <v>0.0113353982920341</v>
      </c>
      <c r="D100" s="123" t="n">
        <f aca="false">IF(B100="","",IFERROR(B100/INDEX($B$2:$B$800,MATCH(DATE(YEAR(A100)-1,12,1),$A$2:$A$800,0))-1,""))</f>
        <v>0.0832923291766834</v>
      </c>
      <c r="E100" s="123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2" t="n">
        <v>37561</v>
      </c>
      <c r="B101" s="43" t="n">
        <v>236.83</v>
      </c>
      <c r="C101" s="123" t="n">
        <f aca="false">IF(OR(B101="",B100=""),"",B101/B100-1)</f>
        <v>0.0244974412437762</v>
      </c>
      <c r="D101" s="123" t="n">
        <f aca="false">IF(B101="","",IFERROR(B101/INDEX($B$2:$B$800,MATCH(DATE(YEAR(A101)-1,12,1),$A$2:$A$800,0))-1,""))</f>
        <v>0.109830219360523</v>
      </c>
      <c r="E101" s="123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2" t="n">
        <v>37591</v>
      </c>
      <c r="B102" s="43" t="n">
        <v>240.861</v>
      </c>
      <c r="C102" s="123" t="n">
        <f aca="false">IF(OR(B102="",B101=""),"",B102/B101-1)</f>
        <v>0.0170206477219945</v>
      </c>
      <c r="D102" s="123" t="n">
        <f aca="false">IF(B102="","",IFERROR(B102/INDEX($B$2:$B$800,MATCH(DATE(YEAR(A102)-1,12,1),$A$2:$A$800,0))-1,""))</f>
        <v>0.128720248555482</v>
      </c>
      <c r="E102" s="123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2" t="n">
        <v>37622</v>
      </c>
      <c r="B103" s="43" t="n">
        <v>244.489</v>
      </c>
      <c r="C103" s="123" t="n">
        <f aca="false">IF(OR(B103="",B102=""),"",B103/B102-1)</f>
        <v>0.0150626294833951</v>
      </c>
      <c r="D103" s="123" t="n">
        <f aca="false">IF(B103="","",IFERROR(B103/INDEX($B$2:$B$800,MATCH(DATE(YEAR(A103)-1,12,1),$A$2:$A$800,0))-1,""))</f>
        <v>0.0150626294833951</v>
      </c>
      <c r="E103" s="123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2" t="n">
        <v>37653</v>
      </c>
      <c r="B104" s="43" t="n">
        <v>247.898</v>
      </c>
      <c r="C104" s="123" t="n">
        <f aca="false">IF(OR(B104="",B103=""),"",B104/B103-1)</f>
        <v>0.01394336759527</v>
      </c>
      <c r="D104" s="123" t="n">
        <f aca="false">IF(B104="","",IFERROR(B104/INDEX($B$2:$B$800,MATCH(DATE(YEAR(A104)-1,12,1),$A$2:$A$800,0))-1,""))</f>
        <v>0.0292160208585035</v>
      </c>
      <c r="E104" s="123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2" t="n">
        <v>37681</v>
      </c>
      <c r="B105" s="43" t="n">
        <v>251.318</v>
      </c>
      <c r="C105" s="123" t="n">
        <f aca="false">IF(OR(B105="",B104=""),"",B105/B104-1)</f>
        <v>0.013795996740595</v>
      </c>
      <c r="D105" s="123" t="n">
        <f aca="false">IF(B105="","",IFERROR(B105/INDEX($B$2:$B$800,MATCH(DATE(YEAR(A105)-1,12,1),$A$2:$A$800,0))-1,""))</f>
        <v>0.0434150817276355</v>
      </c>
      <c r="E105" s="123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2" t="n">
        <v>37712</v>
      </c>
      <c r="B106" s="43" t="n">
        <v>253.585</v>
      </c>
      <c r="C106" s="123" t="n">
        <f aca="false">IF(OR(B106="",B105=""),"",B106/B105-1)</f>
        <v>0.00902044421808235</v>
      </c>
      <c r="D106" s="123" t="n">
        <f aca="false">IF(B106="","",IFERROR(B106/INDEX($B$2:$B$800,MATCH(DATE(YEAR(A106)-1,12,1),$A$2:$A$800,0))-1,""))</f>
        <v>0.0528271492686654</v>
      </c>
      <c r="E106" s="123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2" t="n">
        <v>37742</v>
      </c>
      <c r="B107" s="43" t="n">
        <v>260.778</v>
      </c>
      <c r="C107" s="123" t="n">
        <f aca="false">IF(OR(B107="",B106=""),"",B107/B106-1)</f>
        <v>0.0283652424236449</v>
      </c>
      <c r="D107" s="123" t="n">
        <f aca="false">IF(B107="","",IFERROR(B107/INDEX($B$2:$B$800,MATCH(DATE(YEAR(A107)-1,12,1),$A$2:$A$800,0))-1,""))</f>
        <v>0.0826908465878662</v>
      </c>
      <c r="E107" s="123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2" t="n">
        <v>37773</v>
      </c>
      <c r="B108" s="43" t="n">
        <v>263.516</v>
      </c>
      <c r="C108" s="123" t="n">
        <f aca="false">IF(OR(B108="",B107=""),"",B108/B107-1)</f>
        <v>0.0104993519391974</v>
      </c>
      <c r="D108" s="123" t="n">
        <f aca="false">IF(B108="","",IFERROR(B108/INDEX($B$2:$B$800,MATCH(DATE(YEAR(A108)-1,12,1),$A$2:$A$800,0))-1,""))</f>
        <v>0.0940583988275396</v>
      </c>
      <c r="E108" s="123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2" t="n">
        <v>37803</v>
      </c>
      <c r="B109" s="43" t="n">
        <v>266.132</v>
      </c>
      <c r="C109" s="123" t="n">
        <f aca="false">IF(OR(B109="",B108=""),"",B109/B108-1)</f>
        <v>0.00992729094248546</v>
      </c>
      <c r="D109" s="123" t="n">
        <f aca="false">IF(B109="","",IFERROR(B109/INDEX($B$2:$B$800,MATCH(DATE(YEAR(A109)-1,12,1),$A$2:$A$800,0))-1,""))</f>
        <v>0.10491943486077</v>
      </c>
      <c r="E109" s="123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2" t="n">
        <v>37834</v>
      </c>
      <c r="B110" s="43" t="n">
        <v>269.967</v>
      </c>
      <c r="C110" s="123" t="n">
        <f aca="false">IF(OR(B110="",B109=""),"",B110/B109-1)</f>
        <v>0.0144101423353824</v>
      </c>
      <c r="D110" s="123" t="n">
        <f aca="false">IF(B110="","",IFERROR(B110/INDEX($B$2:$B$800,MATCH(DATE(YEAR(A110)-1,12,1),$A$2:$A$800,0))-1,""))</f>
        <v>0.120841481186244</v>
      </c>
      <c r="E110" s="123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2" t="n">
        <v>37865</v>
      </c>
      <c r="B111" s="43" t="n">
        <v>270.555</v>
      </c>
      <c r="C111" s="123" t="n">
        <f aca="false">IF(OR(B111="",B110=""),"",B111/B110-1)</f>
        <v>0.00217804398315358</v>
      </c>
      <c r="D111" s="123" t="n">
        <f aca="false">IF(B111="","",IFERROR(B111/INDEX($B$2:$B$800,MATCH(DATE(YEAR(A111)-1,12,1),$A$2:$A$800,0))-1,""))</f>
        <v>0.123282723230411</v>
      </c>
      <c r="E111" s="123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2" t="n">
        <v>37895</v>
      </c>
      <c r="B112" s="43" t="n">
        <v>272.325</v>
      </c>
      <c r="C112" s="123" t="n">
        <f aca="false">IF(OR(B112="",B111=""),"",B112/B111-1)</f>
        <v>0.00654210788933862</v>
      </c>
      <c r="D112" s="123" t="n">
        <f aca="false">IF(B112="","",IFERROR(B112/INDEX($B$2:$B$800,MATCH(DATE(YEAR(A112)-1,12,1),$A$2:$A$800,0))-1,""))</f>
        <v>0.130631359996014</v>
      </c>
      <c r="E112" s="123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2" t="n">
        <v>37926</v>
      </c>
      <c r="B113" s="43" t="n">
        <v>275.152</v>
      </c>
      <c r="C113" s="123" t="n">
        <f aca="false">IF(OR(B113="",B112=""),"",B113/B112-1)</f>
        <v>0.0103809786101166</v>
      </c>
      <c r="D113" s="123" t="n">
        <f aca="false">IF(B113="","",IFERROR(B113/INDEX($B$2:$B$800,MATCH(DATE(YEAR(A113)-1,12,1),$A$2:$A$800,0))-1,""))</f>
        <v>0.14236841996006</v>
      </c>
      <c r="E113" s="123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2" t="n">
        <v>37956</v>
      </c>
      <c r="B114" s="43" t="n">
        <v>275.594</v>
      </c>
      <c r="C114" s="123" t="n">
        <f aca="false">IF(OR(B114="",B113=""),"",B114/B113-1)</f>
        <v>0.00160638483456421</v>
      </c>
      <c r="D114" s="123" t="n">
        <f aca="false">IF(B114="","",IFERROR(B114/INDEX($B$2:$B$800,MATCH(DATE(YEAR(A114)-1,12,1),$A$2:$A$800,0))-1,""))</f>
        <v>0.144203503265369</v>
      </c>
      <c r="E114" s="123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2" t="n">
        <v>37987</v>
      </c>
      <c r="B115" s="43" t="n">
        <v>276.49</v>
      </c>
      <c r="C115" s="123" t="n">
        <f aca="false">IF(OR(B115="",B114=""),"",B115/B114-1)</f>
        <v>0.00325115931406339</v>
      </c>
      <c r="D115" s="123" t="n">
        <f aca="false">IF(B115="","",IFERROR(B115/INDEX($B$2:$B$800,MATCH(DATE(YEAR(A115)-1,12,1),$A$2:$A$800,0))-1,""))</f>
        <v>0.00325115931406339</v>
      </c>
      <c r="E115" s="123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2" t="n">
        <v>38018</v>
      </c>
      <c r="B116" s="43" t="n">
        <v>279.243</v>
      </c>
      <c r="C116" s="123" t="n">
        <f aca="false">IF(OR(B116="",B115=""),"",B116/B115-1)</f>
        <v>0.00995696046873307</v>
      </c>
      <c r="D116" s="123" t="n">
        <f aca="false">IF(B116="","",IFERROR(B116/INDEX($B$2:$B$800,MATCH(DATE(YEAR(A116)-1,12,1),$A$2:$A$800,0))-1,""))</f>
        <v>0.0132404914475641</v>
      </c>
      <c r="E116" s="123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2" t="n">
        <v>38047</v>
      </c>
      <c r="B117" s="43" t="n">
        <v>282.47</v>
      </c>
      <c r="C117" s="123" t="n">
        <f aca="false">IF(OR(B117="",B116=""),"",B117/B116-1)</f>
        <v>0.0115562431287446</v>
      </c>
      <c r="D117" s="123" t="n">
        <f aca="false">IF(B117="","",IFERROR(B117/INDEX($B$2:$B$800,MATCH(DATE(YEAR(A117)-1,12,1),$A$2:$A$800,0))-1,""))</f>
        <v>0.024949744914621</v>
      </c>
      <c r="E117" s="123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2" t="n">
        <v>38078</v>
      </c>
      <c r="B118" s="43" t="n">
        <v>284.128</v>
      </c>
      <c r="C118" s="123" t="n">
        <f aca="false">IF(OR(B118="",B117=""),"",B118/B117-1)</f>
        <v>0.0058696498743227</v>
      </c>
      <c r="D118" s="123" t="n">
        <f aca="false">IF(B118="","",IFERROR(B118/INDEX($B$2:$B$800,MATCH(DATE(YEAR(A118)-1,12,1),$A$2:$A$800,0))-1,""))</f>
        <v>0.0309658410560463</v>
      </c>
      <c r="E118" s="123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2" t="n">
        <v>38108</v>
      </c>
      <c r="B119" s="43" t="n">
        <v>289.317</v>
      </c>
      <c r="C119" s="123" t="n">
        <f aca="false">IF(OR(B119="",B118=""),"",B119/B118-1)</f>
        <v>0.0182628955963511</v>
      </c>
      <c r="D119" s="123" t="n">
        <f aca="false">IF(B119="","",IFERROR(B119/INDEX($B$2:$B$800,MATCH(DATE(YEAR(A119)-1,12,1),$A$2:$A$800,0))-1,""))</f>
        <v>0.049794262574657</v>
      </c>
      <c r="E119" s="123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2" t="n">
        <v>38139</v>
      </c>
      <c r="B120" s="43" t="n">
        <v>291.348</v>
      </c>
      <c r="C120" s="123" t="n">
        <f aca="false">IF(OR(B120="",B119=""),"",B120/B119-1)</f>
        <v>0.00701998154273698</v>
      </c>
      <c r="D120" s="123" t="n">
        <f aca="false">IF(B120="","",IFERROR(B120/INDEX($B$2:$B$800,MATCH(DATE(YEAR(A120)-1,12,1),$A$2:$A$800,0))-1,""))</f>
        <v>0.0571637989216021</v>
      </c>
      <c r="E120" s="123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2" t="n">
        <v>38169</v>
      </c>
      <c r="B121" s="43" t="n">
        <v>294.625</v>
      </c>
      <c r="C121" s="123" t="n">
        <f aca="false">IF(OR(B121="",B120=""),"",B121/B120-1)</f>
        <v>0.0112477175062125</v>
      </c>
      <c r="D121" s="123" t="n">
        <f aca="false">IF(B121="","",IFERROR(B121/INDEX($B$2:$B$800,MATCH(DATE(YEAR(A121)-1,12,1),$A$2:$A$800,0))-1,""))</f>
        <v>0.0690544786896667</v>
      </c>
      <c r="E121" s="123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2" t="n">
        <v>38200</v>
      </c>
      <c r="B122" s="43" t="n">
        <v>297.003</v>
      </c>
      <c r="C122" s="123" t="n">
        <f aca="false">IF(OR(B122="",B121=""),"",B122/B121-1)</f>
        <v>0.00807127704709365</v>
      </c>
      <c r="D122" s="123" t="n">
        <f aca="false">IF(B122="","",IFERROR(B122/INDEX($B$2:$B$800,MATCH(DATE(YEAR(A122)-1,12,1),$A$2:$A$800,0))-1,""))</f>
        <v>0.0776831135656073</v>
      </c>
      <c r="E122" s="123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2" t="n">
        <v>38231</v>
      </c>
      <c r="B123" s="43" t="n">
        <v>298.722</v>
      </c>
      <c r="C123" s="123" t="n">
        <f aca="false">IF(OR(B123="",B122=""),"",B123/B122-1)</f>
        <v>0.00578782032504721</v>
      </c>
      <c r="D123" s="123" t="n">
        <f aca="false">IF(B123="","",IFERROR(B123/INDEX($B$2:$B$800,MATCH(DATE(YEAR(A123)-1,12,1),$A$2:$A$800,0))-1,""))</f>
        <v>0.0839205497942626</v>
      </c>
      <c r="E123" s="123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2" t="n">
        <v>38261</v>
      </c>
      <c r="B124" s="43" t="n">
        <v>302.275</v>
      </c>
      <c r="C124" s="123" t="n">
        <f aca="false">IF(OR(B124="",B123=""),"",B124/B123-1)</f>
        <v>0.0118940017809202</v>
      </c>
      <c r="D124" s="123" t="n">
        <f aca="false">IF(B124="","",IFERROR(B124/INDEX($B$2:$B$800,MATCH(DATE(YEAR(A124)-1,12,1),$A$2:$A$800,0))-1,""))</f>
        <v>0.0968127027438914</v>
      </c>
      <c r="E124" s="123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2" t="n">
        <v>38292</v>
      </c>
      <c r="B125" s="43" t="n">
        <v>304.429</v>
      </c>
      <c r="C125" s="123" t="n">
        <f aca="false">IF(OR(B125="",B124=""),"",B125/B124-1)</f>
        <v>0.00712596145893629</v>
      </c>
      <c r="D125" s="123" t="n">
        <f aca="false">IF(B125="","",IFERROR(B125/INDEX($B$2:$B$800,MATCH(DATE(YEAR(A125)-1,12,1),$A$2:$A$800,0))-1,""))</f>
        <v>0.104628547791316</v>
      </c>
      <c r="E125" s="123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2" t="n">
        <v>38322</v>
      </c>
      <c r="B126" s="43" t="n">
        <v>305.974</v>
      </c>
      <c r="C126" s="123" t="n">
        <f aca="false">IF(OR(B126="",B125=""),"",B126/B125-1)</f>
        <v>0.00507507497643145</v>
      </c>
      <c r="D126" s="123" t="n">
        <f aca="false">IF(B126="","",IFERROR(B126/INDEX($B$2:$B$800,MATCH(DATE(YEAR(A126)-1,12,1),$A$2:$A$800,0))-1,""))</f>
        <v>0.110234620492464</v>
      </c>
      <c r="E126" s="123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2" t="n">
        <v>38353</v>
      </c>
      <c r="B127" s="43" t="n">
        <v>308.284</v>
      </c>
      <c r="C127" s="123" t="n">
        <f aca="false">IF(OR(B127="",B126=""),"",B127/B126-1)</f>
        <v>0.00754966108231425</v>
      </c>
      <c r="D127" s="123" t="n">
        <f aca="false">IF(B127="","",IFERROR(B127/INDEX($B$2:$B$800,MATCH(DATE(YEAR(A127)-1,12,1),$A$2:$A$800,0))-1,""))</f>
        <v>0.00754966108231425</v>
      </c>
      <c r="E127" s="123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2" t="n">
        <v>38384</v>
      </c>
      <c r="B128" s="43" t="n">
        <v>309.646</v>
      </c>
      <c r="C128" s="123" t="n">
        <f aca="false">IF(OR(B128="",B127=""),"",B128/B127-1)</f>
        <v>0.00441800417796578</v>
      </c>
      <c r="D128" s="123" t="n">
        <f aca="false">IF(B128="","",IFERROR(B128/INDEX($B$2:$B$800,MATCH(DATE(YEAR(A128)-1,12,1),$A$2:$A$800,0))-1,""))</f>
        <v>0.012001019694484</v>
      </c>
      <c r="E128" s="123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2" t="n">
        <v>38412</v>
      </c>
      <c r="B129" s="43" t="n">
        <v>311.733</v>
      </c>
      <c r="C129" s="123" t="n">
        <f aca="false">IF(OR(B129="",B128=""),"",B129/B128-1)</f>
        <v>0.00673995465789967</v>
      </c>
      <c r="D129" s="123" t="n">
        <f aca="false">IF(B129="","",IFERROR(B129/INDEX($B$2:$B$800,MATCH(DATE(YEAR(A129)-1,12,1),$A$2:$A$800,0))-1,""))</f>
        <v>0.0188218606809729</v>
      </c>
      <c r="E129" s="123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2" t="n">
        <v>38443</v>
      </c>
      <c r="B130" s="43" t="n">
        <v>313.977</v>
      </c>
      <c r="C130" s="123" t="n">
        <f aca="false">IF(OR(B130="",B129=""),"",B130/B129-1)</f>
        <v>0.00719846791966194</v>
      </c>
      <c r="D130" s="123" t="n">
        <f aca="false">IF(B130="","",IFERROR(B130/INDEX($B$2:$B$800,MATCH(DATE(YEAR(A130)-1,12,1),$A$2:$A$800,0))-1,""))</f>
        <v>0.0261558171609353</v>
      </c>
      <c r="E130" s="123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2" t="n">
        <v>38473</v>
      </c>
      <c r="B131" s="43" t="n">
        <v>320.524</v>
      </c>
      <c r="C131" s="123" t="n">
        <f aca="false">IF(OR(B131="",B130=""),"",B131/B130-1)</f>
        <v>0.0208518458358415</v>
      </c>
      <c r="D131" s="123" t="n">
        <f aca="false">IF(B131="","",IFERROR(B131/INDEX($B$2:$B$800,MATCH(DATE(YEAR(A131)-1,12,1),$A$2:$A$800,0))-1,""))</f>
        <v>0.0475530600639271</v>
      </c>
      <c r="E131" s="123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2" t="n">
        <v>38504</v>
      </c>
      <c r="B132" s="43" t="n">
        <v>322.974</v>
      </c>
      <c r="C132" s="123" t="n">
        <f aca="false">IF(OR(B132="",B131=""),"",B132/B131-1)</f>
        <v>0.00764373338657953</v>
      </c>
      <c r="D132" s="123" t="n">
        <f aca="false">IF(B132="","",IFERROR(B132/INDEX($B$2:$B$800,MATCH(DATE(YEAR(A132)-1,12,1),$A$2:$A$800,0))-1,""))</f>
        <v>0.0555602763633511</v>
      </c>
      <c r="E132" s="123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2" t="n">
        <v>38534</v>
      </c>
      <c r="B133" s="43" t="n">
        <v>323.332</v>
      </c>
      <c r="C133" s="123" t="n">
        <f aca="false">IF(OR(B133="",B132=""),"",B133/B132-1)</f>
        <v>0.00110844835807211</v>
      </c>
      <c r="D133" s="123" t="n">
        <f aca="false">IF(B133="","",IFERROR(B133/INDEX($B$2:$B$800,MATCH(DATE(YEAR(A133)-1,12,1),$A$2:$A$800,0))-1,""))</f>
        <v>0.0567303104185324</v>
      </c>
      <c r="E133" s="123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2" t="n">
        <v>38565</v>
      </c>
      <c r="B134" s="43" t="n">
        <v>323.382</v>
      </c>
      <c r="C134" s="123" t="n">
        <f aca="false">IF(OR(B134="",B133=""),"",B134/B133-1)</f>
        <v>0.000154639812947721</v>
      </c>
      <c r="D134" s="123" t="n">
        <f aca="false">IF(B134="","",IFERROR(B134/INDEX($B$2:$B$800,MATCH(DATE(YEAR(A134)-1,12,1),$A$2:$A$800,0))-1,""))</f>
        <v>0.0568937229960715</v>
      </c>
      <c r="E134" s="123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2" t="n">
        <v>38596</v>
      </c>
      <c r="B135" s="43" t="n">
        <v>324.164</v>
      </c>
      <c r="C135" s="123" t="n">
        <f aca="false">IF(OR(B135="",B134=""),"",B135/B134-1)</f>
        <v>0.00241819272563104</v>
      </c>
      <c r="D135" s="123" t="n">
        <f aca="false">IF(B135="","",IFERROR(B135/INDEX($B$2:$B$800,MATCH(DATE(YEAR(A135)-1,12,1),$A$2:$A$800,0))-1,""))</f>
        <v>0.0594494957087857</v>
      </c>
      <c r="E135" s="123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2" t="n">
        <v>38626</v>
      </c>
      <c r="B136" s="43" t="n">
        <v>324.782</v>
      </c>
      <c r="C136" s="123" t="n">
        <f aca="false">IF(OR(B136="",B135=""),"",B136/B135-1)</f>
        <v>0.00190644241803528</v>
      </c>
      <c r="D136" s="123" t="n">
        <f aca="false">IF(B136="","",IFERROR(B136/INDEX($B$2:$B$800,MATCH(DATE(YEAR(A136)-1,12,1),$A$2:$A$800,0))-1,""))</f>
        <v>0.061469275167171</v>
      </c>
      <c r="E136" s="123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2" t="n">
        <v>38657</v>
      </c>
      <c r="B137" s="43" t="n">
        <v>325.703</v>
      </c>
      <c r="C137" s="123" t="n">
        <f aca="false">IF(OR(B137="",B136=""),"",B137/B136-1)</f>
        <v>0.00283574828654287</v>
      </c>
      <c r="D137" s="123" t="n">
        <f aca="false">IF(B137="","",IFERROR(B137/INDEX($B$2:$B$800,MATCH(DATE(YEAR(A137)-1,12,1),$A$2:$A$800,0))-1,""))</f>
        <v>0.0644793348454444</v>
      </c>
      <c r="E137" s="123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2" t="n">
        <v>38687</v>
      </c>
      <c r="B138" s="43" t="n">
        <v>326.915</v>
      </c>
      <c r="C138" s="123" t="n">
        <f aca="false">IF(OR(B138="",B137=""),"",B138/B137-1)</f>
        <v>0.0037211815672562</v>
      </c>
      <c r="D138" s="123" t="n">
        <f aca="false">IF(B138="","",IFERROR(B138/INDEX($B$2:$B$800,MATCH(DATE(YEAR(A138)-1,12,1),$A$2:$A$800,0))-1,""))</f>
        <v>0.0684404557249962</v>
      </c>
      <c r="E138" s="123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2" t="n">
        <v>38718</v>
      </c>
      <c r="B139" s="43" t="n">
        <v>328.042</v>
      </c>
      <c r="C139" s="123" t="n">
        <f aca="false">IF(OR(B139="",B138=""),"",B139/B138-1)</f>
        <v>0.00344737928819394</v>
      </c>
      <c r="D139" s="123" t="n">
        <f aca="false">IF(B139="","",IFERROR(B139/INDEX($B$2:$B$800,MATCH(DATE(YEAR(A139)-1,12,1),$A$2:$A$800,0))-1,""))</f>
        <v>0.00344737928819394</v>
      </c>
      <c r="E139" s="123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2" t="n">
        <v>38749</v>
      </c>
      <c r="B140" s="43" t="n">
        <v>328.651</v>
      </c>
      <c r="C140" s="123" t="n">
        <f aca="false">IF(OR(B140="",B139=""),"",B140/B139-1)</f>
        <v>0.00185646959840513</v>
      </c>
      <c r="D140" s="123" t="n">
        <f aca="false">IF(B140="","",IFERROR(B140/INDEX($B$2:$B$800,MATCH(DATE(YEAR(A140)-1,12,1),$A$2:$A$800,0))-1,""))</f>
        <v>0.00531024884144204</v>
      </c>
      <c r="E140" s="123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2" t="n">
        <v>38777</v>
      </c>
      <c r="B141" s="43" t="n">
        <v>329.32</v>
      </c>
      <c r="C141" s="123" t="n">
        <f aca="false">IF(OR(B141="",B140=""),"",B141/B140-1)</f>
        <v>0.00203559398875997</v>
      </c>
      <c r="D141" s="123" t="n">
        <f aca="false">IF(B141="","",IFERROR(B141/INDEX($B$2:$B$800,MATCH(DATE(YEAR(A141)-1,12,1),$A$2:$A$800,0))-1,""))</f>
        <v>0.00735665234082239</v>
      </c>
      <c r="E141" s="123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2" t="n">
        <v>38808</v>
      </c>
      <c r="B142" s="43" t="n">
        <v>330.501</v>
      </c>
      <c r="C142" s="123" t="n">
        <f aca="false">IF(OR(B142="",B141=""),"",B142/B141-1)</f>
        <v>0.00358617757803947</v>
      </c>
      <c r="D142" s="123" t="n">
        <f aca="false">IF(B142="","",IFERROR(B142/INDEX($B$2:$B$800,MATCH(DATE(YEAR(A142)-1,12,1),$A$2:$A$800,0))-1,""))</f>
        <v>0.010969212180536</v>
      </c>
      <c r="E142" s="123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2" t="n">
        <v>38838</v>
      </c>
      <c r="B143" s="43" t="n">
        <v>334.867</v>
      </c>
      <c r="C143" s="123" t="n">
        <f aca="false">IF(OR(B143="",B142=""),"",B143/B142-1)</f>
        <v>0.0132102474727762</v>
      </c>
      <c r="D143" s="123" t="n">
        <f aca="false">IF(B143="","",IFERROR(B143/INDEX($B$2:$B$800,MATCH(DATE(YEAR(A143)-1,12,1),$A$2:$A$800,0))-1,""))</f>
        <v>0.0243243656607988</v>
      </c>
      <c r="E143" s="123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2" t="n">
        <v>38869</v>
      </c>
      <c r="B144" s="43" t="n">
        <v>337.892</v>
      </c>
      <c r="C144" s="123" t="n">
        <f aca="false">IF(OR(B144="",B143=""),"",B144/B143-1)</f>
        <v>0.00903343715564686</v>
      </c>
      <c r="D144" s="123" t="n">
        <f aca="false">IF(B144="","",IFERROR(B144/INDEX($B$2:$B$800,MATCH(DATE(YEAR(A144)-1,12,1),$A$2:$A$800,0))-1,""))</f>
        <v>0.0335775354449932</v>
      </c>
      <c r="E144" s="123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2" t="n">
        <v>38899</v>
      </c>
      <c r="B145" s="43" t="n">
        <v>339.484</v>
      </c>
      <c r="C145" s="123" t="n">
        <f aca="false">IF(OR(B145="",B144=""),"",B145/B144-1)</f>
        <v>0.00471156464195666</v>
      </c>
      <c r="D145" s="123" t="n">
        <f aca="false">IF(B145="","",IFERROR(B145/INDEX($B$2:$B$800,MATCH(DATE(YEAR(A145)-1,12,1),$A$2:$A$800,0))-1,""))</f>
        <v>0.0384473028157164</v>
      </c>
      <c r="E145" s="123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2" t="n">
        <v>38930</v>
      </c>
      <c r="B146" s="43" t="n">
        <v>340.283</v>
      </c>
      <c r="C146" s="123" t="n">
        <f aca="false">IF(OR(B146="",B145=""),"",B146/B145-1)</f>
        <v>0.00235357189145891</v>
      </c>
      <c r="D146" s="123" t="n">
        <f aca="false">IF(B146="","",IFERROR(B146/INDEX($B$2:$B$800,MATCH(DATE(YEAR(A146)-1,12,1),$A$2:$A$800,0))-1,""))</f>
        <v>0.0408913631983849</v>
      </c>
      <c r="E146" s="123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2" t="n">
        <v>38961</v>
      </c>
      <c r="B147" s="43" t="n">
        <v>340.67</v>
      </c>
      <c r="C147" s="123" t="n">
        <f aca="false">IF(OR(B147="",B146=""),"",B147/B146-1)</f>
        <v>0.00113728866854945</v>
      </c>
      <c r="D147" s="123" t="n">
        <f aca="false">IF(B147="","",IFERROR(B147/INDEX($B$2:$B$800,MATCH(DATE(YEAR(A147)-1,12,1),$A$2:$A$800,0))-1,""))</f>
        <v>0.0420751571509415</v>
      </c>
      <c r="E147" s="123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2" t="n">
        <v>38991</v>
      </c>
      <c r="B148" s="43" t="n">
        <v>341.369</v>
      </c>
      <c r="C148" s="123" t="n">
        <f aca="false">IF(OR(B148="",B147=""),"",B148/B147-1)</f>
        <v>0.00205183902310147</v>
      </c>
      <c r="D148" s="123" t="n">
        <f aca="false">IF(B148="","",IFERROR(B148/INDEX($B$2:$B$800,MATCH(DATE(YEAR(A148)-1,12,1),$A$2:$A$800,0))-1,""))</f>
        <v>0.0442133276233883</v>
      </c>
      <c r="E148" s="123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2" t="n">
        <v>39022</v>
      </c>
      <c r="B149" s="43" t="n">
        <v>342.159</v>
      </c>
      <c r="C149" s="123" t="n">
        <f aca="false">IF(OR(B149="",B148=""),"",B149/B148-1)</f>
        <v>0.00231421130799792</v>
      </c>
      <c r="D149" s="123" t="n">
        <f aca="false">IF(B149="","",IFERROR(B149/INDEX($B$2:$B$800,MATCH(DATE(YEAR(A149)-1,12,1),$A$2:$A$800,0))-1,""))</f>
        <v>0.0466298579141367</v>
      </c>
      <c r="E149" s="123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2" t="n">
        <v>39052</v>
      </c>
      <c r="B150" s="43" t="n">
        <v>343.401</v>
      </c>
      <c r="C150" s="123" t="n">
        <f aca="false">IF(OR(B150="",B149=""),"",B150/B149-1)</f>
        <v>0.00362989136629466</v>
      </c>
      <c r="D150" s="123" t="n">
        <f aca="false">IF(B150="","",IFERROR(B150/INDEX($B$2:$B$800,MATCH(DATE(YEAR(A150)-1,12,1),$A$2:$A$800,0))-1,""))</f>
        <v>0.0504290105990854</v>
      </c>
      <c r="E150" s="123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2" t="n">
        <v>39083</v>
      </c>
      <c r="B151" s="43" t="n">
        <v>344.943</v>
      </c>
      <c r="C151" s="123" t="n">
        <f aca="false">IF(OR(B151="",B150=""),"",B151/B150-1)</f>
        <v>0.00449037713926281</v>
      </c>
      <c r="D151" s="123" t="n">
        <f aca="false">IF(B151="","",IFERROR(B151/INDEX($B$2:$B$800,MATCH(DATE(YEAR(A151)-1,12,1),$A$2:$A$800,0))-1,""))</f>
        <v>0.00449037713926281</v>
      </c>
      <c r="E151" s="123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2" t="n">
        <v>39114</v>
      </c>
      <c r="B152" s="43" t="n">
        <v>345.682</v>
      </c>
      <c r="C152" s="123" t="n">
        <f aca="false">IF(OR(B152="",B151=""),"",B152/B151-1)</f>
        <v>0.0021423829444287</v>
      </c>
      <c r="D152" s="123" t="n">
        <f aca="false">IF(B152="","",IFERROR(B152/INDEX($B$2:$B$800,MATCH(DATE(YEAR(A152)-1,12,1),$A$2:$A$800,0))-1,""))</f>
        <v>0.00664238019108865</v>
      </c>
      <c r="E152" s="123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2" t="n">
        <v>39142</v>
      </c>
      <c r="B153" s="43" t="n">
        <v>346.617</v>
      </c>
      <c r="C153" s="123" t="n">
        <f aca="false">IF(OR(B153="",B152=""),"",B153/B152-1)</f>
        <v>0.00270479805138835</v>
      </c>
      <c r="D153" s="123" t="n">
        <f aca="false">IF(B153="","",IFERROR(B153/INDEX($B$2:$B$800,MATCH(DATE(YEAR(A153)-1,12,1),$A$2:$A$800,0))-1,""))</f>
        <v>0.00936514453947424</v>
      </c>
      <c r="E153" s="123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2" t="n">
        <v>39173</v>
      </c>
      <c r="B154" s="43" t="n">
        <v>348.194</v>
      </c>
      <c r="C154" s="123" t="n">
        <f aca="false">IF(OR(B154="",B153=""),"",B154/B153-1)</f>
        <v>0.0045496902921669</v>
      </c>
      <c r="D154" s="123" t="n">
        <f aca="false">IF(B154="","",IFERROR(B154/INDEX($B$2:$B$800,MATCH(DATE(YEAR(A154)-1,12,1),$A$2:$A$800,0))-1,""))</f>
        <v>0.0139574433388372</v>
      </c>
      <c r="E154" s="123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2" t="n">
        <v>39203</v>
      </c>
      <c r="B155" s="43" t="n">
        <v>352.204</v>
      </c>
      <c r="C155" s="123" t="n">
        <f aca="false">IF(OR(B155="",B154=""),"",B155/B154-1)</f>
        <v>0.011516568349828</v>
      </c>
      <c r="D155" s="123" t="n">
        <f aca="false">IF(B155="","",IFERROR(B155/INDEX($B$2:$B$800,MATCH(DATE(YEAR(A155)-1,12,1),$A$2:$A$800,0))-1,""))</f>
        <v>0.0256347535388657</v>
      </c>
      <c r="E155" s="123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2" t="n">
        <v>39234</v>
      </c>
      <c r="B156" s="43" t="n">
        <v>355.456</v>
      </c>
      <c r="C156" s="123" t="n">
        <f aca="false">IF(OR(B156="",B155=""),"",B156/B155-1)</f>
        <v>0.00923328525513623</v>
      </c>
      <c r="D156" s="123" t="n">
        <f aca="false">IF(B156="","",IFERROR(B156/INDEX($B$2:$B$800,MATCH(DATE(YEAR(A156)-1,12,1),$A$2:$A$800,0))-1,""))</f>
        <v>0.0351047317858713</v>
      </c>
      <c r="E156" s="123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2" t="n">
        <v>39264</v>
      </c>
      <c r="B157" s="43" t="n">
        <v>356.545</v>
      </c>
      <c r="C157" s="123" t="n">
        <f aca="false">IF(OR(B157="",B156=""),"",B157/B156-1)</f>
        <v>0.00306367032769184</v>
      </c>
      <c r="D157" s="123" t="n">
        <f aca="false">IF(B157="","",IFERROR(B157/INDEX($B$2:$B$800,MATCH(DATE(YEAR(A157)-1,12,1),$A$2:$A$800,0))-1,""))</f>
        <v>0.038275951438697</v>
      </c>
      <c r="E157" s="123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2" t="n">
        <v>39295</v>
      </c>
      <c r="B158" s="43" t="n">
        <v>357.467</v>
      </c>
      <c r="C158" s="123" t="n">
        <f aca="false">IF(OR(B158="",B157=""),"",B158/B157-1)</f>
        <v>0.00258592884488618</v>
      </c>
      <c r="D158" s="123" t="n">
        <f aca="false">IF(B158="","",IFERROR(B158/INDEX($B$2:$B$800,MATCH(DATE(YEAR(A158)-1,12,1),$A$2:$A$800,0))-1,""))</f>
        <v>0.040960859170474</v>
      </c>
      <c r="E158" s="123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2" t="n">
        <v>39326</v>
      </c>
      <c r="B159" s="43" t="n">
        <v>359.276</v>
      </c>
      <c r="C159" s="123" t="n">
        <f aca="false">IF(OR(B159="",B158=""),"",B159/B158-1)</f>
        <v>0.00506060699309319</v>
      </c>
      <c r="D159" s="123" t="n">
        <f aca="false">IF(B159="","",IFERROR(B159/INDEX($B$2:$B$800,MATCH(DATE(YEAR(A159)-1,12,1),$A$2:$A$800,0))-1,""))</f>
        <v>0.0462287529739285</v>
      </c>
      <c r="E159" s="123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2" t="n">
        <v>39356</v>
      </c>
      <c r="B160" s="43" t="n">
        <v>361.102</v>
      </c>
      <c r="C160" s="123" t="n">
        <f aca="false">IF(OR(B160="",B159=""),"",B160/B159-1)</f>
        <v>0.00508244358097953</v>
      </c>
      <c r="D160" s="123" t="n">
        <f aca="false">IF(B160="","",IFERROR(B160/INDEX($B$2:$B$800,MATCH(DATE(YEAR(A160)-1,12,1),$A$2:$A$800,0))-1,""))</f>
        <v>0.0515461515837168</v>
      </c>
      <c r="E160" s="123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2" t="n">
        <v>39387</v>
      </c>
      <c r="B161" s="43" t="n">
        <v>362.403</v>
      </c>
      <c r="C161" s="123" t="n">
        <f aca="false">IF(OR(B161="",B160=""),"",B161/B160-1)</f>
        <v>0.00360286013370192</v>
      </c>
      <c r="D161" s="123" t="n">
        <f aca="false">IF(B161="","",IFERROR(B161/INDEX($B$2:$B$800,MATCH(DATE(YEAR(A161)-1,12,1),$A$2:$A$800,0))-1,""))</f>
        <v>0.0553347252920056</v>
      </c>
      <c r="E161" s="123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2" t="n">
        <v>39417</v>
      </c>
      <c r="B162" s="43" t="n">
        <v>364.525</v>
      </c>
      <c r="C162" s="123" t="n">
        <f aca="false">IF(OR(B162="",B161=""),"",B162/B161-1)</f>
        <v>0.00585535991699837</v>
      </c>
      <c r="D162" s="123" t="n">
        <f aca="false">IF(B162="","",IFERROR(B162/INDEX($B$2:$B$800,MATCH(DATE(YEAR(A162)-1,12,1),$A$2:$A$800,0))-1,""))</f>
        <v>0.0615140899414968</v>
      </c>
      <c r="E162" s="123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2" t="n">
        <v>39448</v>
      </c>
      <c r="B163" s="43" t="n">
        <v>365.906</v>
      </c>
      <c r="C163" s="123" t="n">
        <f aca="false">IF(OR(B163="",B162=""),"",B163/B162-1)</f>
        <v>0.00378849187298558</v>
      </c>
      <c r="D163" s="123" t="n">
        <f aca="false">IF(B163="","",IFERROR(B163/INDEX($B$2:$B$800,MATCH(DATE(YEAR(A163)-1,12,1),$A$2:$A$800,0))-1,""))</f>
        <v>0.00378849187298558</v>
      </c>
      <c r="E163" s="123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2" t="n">
        <v>39479</v>
      </c>
      <c r="B164" s="43" t="n">
        <v>367.382</v>
      </c>
      <c r="C164" s="123" t="n">
        <f aca="false">IF(OR(B164="",B163=""),"",B164/B163-1)</f>
        <v>0.00403382289440457</v>
      </c>
      <c r="D164" s="123" t="n">
        <f aca="false">IF(B164="","",IFERROR(B164/INDEX($B$2:$B$800,MATCH(DATE(YEAR(A164)-1,12,1),$A$2:$A$800,0))-1,""))</f>
        <v>0.00783759687264252</v>
      </c>
      <c r="E164" s="123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2" t="n">
        <v>39508</v>
      </c>
      <c r="B165" s="43" t="n">
        <v>369.812</v>
      </c>
      <c r="C165" s="123" t="n">
        <f aca="false">IF(OR(B165="",B164=""),"",B165/B164-1)</f>
        <v>0.00661436869525445</v>
      </c>
      <c r="D165" s="123" t="n">
        <f aca="false">IF(B165="","",IFERROR(B165/INDEX($B$2:$B$800,MATCH(DATE(YEAR(A165)-1,12,1),$A$2:$A$800,0))-1,""))</f>
        <v>0.0145038063232976</v>
      </c>
      <c r="E165" s="123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2" t="n">
        <v>39539</v>
      </c>
      <c r="B166" s="43" t="n">
        <v>373.031</v>
      </c>
      <c r="C166" s="123" t="n">
        <f aca="false">IF(OR(B166="",B165=""),"",B166/B165-1)</f>
        <v>0.00870442278779482</v>
      </c>
      <c r="D166" s="123" t="n">
        <f aca="false">IF(B166="","",IFERROR(B166/INDEX($B$2:$B$800,MATCH(DATE(YEAR(A166)-1,12,1),$A$2:$A$800,0))-1,""))</f>
        <v>0.0233344763733627</v>
      </c>
      <c r="E166" s="123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2" t="n">
        <v>39569</v>
      </c>
      <c r="B167" s="43" t="n">
        <v>380.582</v>
      </c>
      <c r="C167" s="123" t="n">
        <f aca="false">IF(OR(B167="",B166=""),"",B167/B166-1)</f>
        <v>0.0202422854936988</v>
      </c>
      <c r="D167" s="123" t="n">
        <f aca="false">IF(B167="","",IFERROR(B167/INDEX($B$2:$B$800,MATCH(DATE(YEAR(A167)-1,12,1),$A$2:$A$800,0))-1,""))</f>
        <v>0.0440491049996572</v>
      </c>
      <c r="E167" s="123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2" t="n">
        <v>39600</v>
      </c>
      <c r="B168" s="43" t="n">
        <v>387.906</v>
      </c>
      <c r="C168" s="123" t="n">
        <f aca="false">IF(OR(B168="",B167=""),"",B168/B167-1)</f>
        <v>0.0192442101833508</v>
      </c>
      <c r="D168" s="123" t="n">
        <f aca="false">IF(B168="","",IFERROR(B168/INDEX($B$2:$B$800,MATCH(DATE(YEAR(A168)-1,12,1),$A$2:$A$800,0))-1,""))</f>
        <v>0.0641410054180098</v>
      </c>
      <c r="E168" s="123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2" t="n">
        <v>39630</v>
      </c>
      <c r="B169" s="43" t="n">
        <v>393.556</v>
      </c>
      <c r="C169" s="123" t="n">
        <f aca="false">IF(OR(B169="",B168=""),"",B169/B168-1)</f>
        <v>0.0145653843972509</v>
      </c>
      <c r="D169" s="123" t="n">
        <f aca="false">IF(B169="","",IFERROR(B169/INDEX($B$2:$B$800,MATCH(DATE(YEAR(A169)-1,12,1),$A$2:$A$800,0))-1,""))</f>
        <v>0.0796406282148001</v>
      </c>
      <c r="E169" s="123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2" t="n">
        <v>39661</v>
      </c>
      <c r="B170" s="43" t="n">
        <v>398.202</v>
      </c>
      <c r="C170" s="123" t="n">
        <f aca="false">IF(OR(B170="",B169=""),"",B170/B169-1)</f>
        <v>0.0118051814735387</v>
      </c>
      <c r="D170" s="123" t="n">
        <f aca="false">IF(B170="","",IFERROR(B170/INDEX($B$2:$B$800,MATCH(DATE(YEAR(A170)-1,12,1),$A$2:$A$800,0))-1,""))</f>
        <v>0.0923859817570811</v>
      </c>
      <c r="E170" s="123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2" t="n">
        <v>39692</v>
      </c>
      <c r="B171" s="43" t="n">
        <v>401.975</v>
      </c>
      <c r="C171" s="123" t="n">
        <f aca="false">IF(OR(B171="",B170=""),"",B171/B170-1)</f>
        <v>0.00947509053194118</v>
      </c>
      <c r="D171" s="123" t="n">
        <f aca="false">IF(B171="","",IFERROR(B171/INDEX($B$2:$B$800,MATCH(DATE(YEAR(A171)-1,12,1),$A$2:$A$800,0))-1,""))</f>
        <v>0.102736437830053</v>
      </c>
      <c r="E171" s="123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2" t="n">
        <v>39722</v>
      </c>
      <c r="B172" s="43" t="n">
        <v>405.09</v>
      </c>
      <c r="C172" s="123" t="n">
        <f aca="false">IF(OR(B172="",B171=""),"",B172/B171-1)</f>
        <v>0.00774923813669992</v>
      </c>
      <c r="D172" s="123" t="n">
        <f aca="false">IF(B172="","",IFERROR(B172/INDEX($B$2:$B$800,MATCH(DATE(YEAR(A172)-1,12,1),$A$2:$A$800,0))-1,""))</f>
        <v>0.111281805088814</v>
      </c>
      <c r="E172" s="123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2" t="n">
        <v>39753</v>
      </c>
      <c r="B173" s="43" t="n">
        <v>407.109</v>
      </c>
      <c r="C173" s="123" t="n">
        <f aca="false">IF(OR(B173="",B172=""),"",B173/B172-1)</f>
        <v>0.0049840776123824</v>
      </c>
      <c r="D173" s="123" t="n">
        <f aca="false">IF(B173="","",IFERROR(B173/INDEX($B$2:$B$800,MATCH(DATE(YEAR(A173)-1,12,1),$A$2:$A$800,0))-1,""))</f>
        <v>0.116820519854605</v>
      </c>
      <c r="E173" s="123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2" t="n">
        <v>39783</v>
      </c>
      <c r="B174" s="43" t="n">
        <v>407.807</v>
      </c>
      <c r="C174" s="123" t="n">
        <f aca="false">IF(OR(B174="",B173=""),"",B174/B173-1)</f>
        <v>0.00171452854149634</v>
      </c>
      <c r="D174" s="123" t="n">
        <f aca="false">IF(B174="","",IFERROR(B174/INDEX($B$2:$B$800,MATCH(DATE(YEAR(A174)-1,12,1),$A$2:$A$800,0))-1,""))</f>
        <v>0.118735340511625</v>
      </c>
      <c r="E174" s="123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2" t="n">
        <v>39814</v>
      </c>
      <c r="B175" s="43" t="n">
        <v>409.166</v>
      </c>
      <c r="C175" s="123" t="n">
        <f aca="false">IF(OR(B175="",B174=""),"",B175/B174-1)</f>
        <v>0.00333245873660815</v>
      </c>
      <c r="D175" s="123" t="n">
        <f aca="false">IF(B175="","",IFERROR(B175/INDEX($B$2:$B$800,MATCH(DATE(YEAR(A175)-1,12,1),$A$2:$A$800,0))-1,""))</f>
        <v>0.00333245873660815</v>
      </c>
      <c r="E175" s="123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2" t="n">
        <v>39845</v>
      </c>
      <c r="B176" s="43" t="n">
        <v>410.262</v>
      </c>
      <c r="C176" s="123" t="n">
        <f aca="false">IF(OR(B176="",B175=""),"",B176/B175-1)</f>
        <v>0.00267861943563252</v>
      </c>
      <c r="D176" s="123" t="n">
        <f aca="false">IF(B176="","",IFERROR(B176/INDEX($B$2:$B$800,MATCH(DATE(YEAR(A176)-1,12,1),$A$2:$A$800,0))-1,""))</f>
        <v>0.00602000456098106</v>
      </c>
      <c r="E176" s="123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2" t="n">
        <v>39873</v>
      </c>
      <c r="B177" s="43" t="n">
        <v>409.216</v>
      </c>
      <c r="C177" s="123" t="n">
        <f aca="false">IF(OR(B177="",B176=""),"",B177/B176-1)</f>
        <v>-0.00254959026183266</v>
      </c>
      <c r="D177" s="123" t="n">
        <f aca="false">IF(B177="","",IFERROR(B177/INDEX($B$2:$B$800,MATCH(DATE(YEAR(A177)-1,12,1),$A$2:$A$800,0))-1,""))</f>
        <v>0.00345506575414345</v>
      </c>
      <c r="E177" s="123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2" t="n">
        <v>39904</v>
      </c>
      <c r="B178" s="43" t="n">
        <v>409.042</v>
      </c>
      <c r="C178" s="123" t="n">
        <f aca="false">IF(OR(B178="",B177=""),"",B178/B177-1)</f>
        <v>-0.000425203315608469</v>
      </c>
      <c r="D178" s="123" t="n">
        <f aca="false">IF(B178="","",IFERROR(B178/INDEX($B$2:$B$800,MATCH(DATE(YEAR(A178)-1,12,1),$A$2:$A$800,0))-1,""))</f>
        <v>0.00302839333312077</v>
      </c>
      <c r="E178" s="123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2" t="n">
        <v>39934</v>
      </c>
      <c r="B179" s="43" t="n">
        <v>414.742</v>
      </c>
      <c r="C179" s="123" t="n">
        <f aca="false">IF(OR(B179="",B178=""),"",B179/B178-1)</f>
        <v>0.0139349993399212</v>
      </c>
      <c r="D179" s="123" t="n">
        <f aca="false">IF(B179="","",IFERROR(B179/INDEX($B$2:$B$800,MATCH(DATE(YEAR(A179)-1,12,1),$A$2:$A$800,0))-1,""))</f>
        <v>0.01700559333214</v>
      </c>
      <c r="E179" s="123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2" t="n">
        <v>39965</v>
      </c>
      <c r="B180" s="43" t="n">
        <v>417.657</v>
      </c>
      <c r="C180" s="123" t="n">
        <f aca="false">IF(OR(B180="",B179=""),"",B180/B179-1)</f>
        <v>0.00702846588963735</v>
      </c>
      <c r="D180" s="123" t="n">
        <f aca="false">IF(B180="","",IFERROR(B180/INDEX($B$2:$B$800,MATCH(DATE(YEAR(A180)-1,12,1),$A$2:$A$800,0))-1,""))</f>
        <v>0.0241535824544452</v>
      </c>
      <c r="E180" s="123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2" t="n">
        <v>39995</v>
      </c>
      <c r="B181" s="43" t="n">
        <v>418.757</v>
      </c>
      <c r="C181" s="123" t="n">
        <f aca="false">IF(OR(B181="",B180=""),"",B181/B180-1)</f>
        <v>0.00263374012646755</v>
      </c>
      <c r="D181" s="123" t="n">
        <f aca="false">IF(B181="","",IFERROR(B181/INDEX($B$2:$B$800,MATCH(DATE(YEAR(A181)-1,12,1),$A$2:$A$800,0))-1,""))</f>
        <v>0.026850936840221</v>
      </c>
      <c r="E181" s="123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2" t="n">
        <v>40026</v>
      </c>
      <c r="B182" s="43" t="n">
        <v>418.528</v>
      </c>
      <c r="C182" s="123" t="n">
        <f aca="false">IF(OR(B182="",B181=""),"",B182/B181-1)</f>
        <v>-0.000546856530159512</v>
      </c>
      <c r="D182" s="123" t="n">
        <f aca="false">IF(B182="","",IFERROR(B182/INDEX($B$2:$B$800,MATCH(DATE(YEAR(A182)-1,12,1),$A$2:$A$800,0))-1,""))</f>
        <v>0.0262893966999096</v>
      </c>
      <c r="E182" s="123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2" t="n">
        <v>40057</v>
      </c>
      <c r="B183" s="43" t="n">
        <v>419.147</v>
      </c>
      <c r="C183" s="123" t="n">
        <f aca="false">IF(OR(B183="",B182=""),"",B183/B182-1)</f>
        <v>0.00147899304228138</v>
      </c>
      <c r="D183" s="123" t="n">
        <f aca="false">IF(B183="","",IFERROR(B183/INDEX($B$2:$B$800,MATCH(DATE(YEAR(A183)-1,12,1),$A$2:$A$800,0))-1,""))</f>
        <v>0.0278072715769959</v>
      </c>
      <c r="E183" s="123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2" t="n">
        <v>40087</v>
      </c>
      <c r="B184" s="43" t="n">
        <v>419.405</v>
      </c>
      <c r="C184" s="123" t="n">
        <f aca="false">IF(OR(B184="",B183=""),"",B184/B183-1)</f>
        <v>0.000615535838262016</v>
      </c>
      <c r="D184" s="123" t="n">
        <f aca="false">IF(B184="","",IFERROR(B184/INDEX($B$2:$B$800,MATCH(DATE(YEAR(A184)-1,12,1),$A$2:$A$800,0))-1,""))</f>
        <v>0.0284399237874777</v>
      </c>
      <c r="E184" s="123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2" t="n">
        <v>40118</v>
      </c>
      <c r="B185" s="43" t="n">
        <v>420.635</v>
      </c>
      <c r="C185" s="123" t="n">
        <f aca="false">IF(OR(B185="",B184=""),"",B185/B184-1)</f>
        <v>0.0029327261239136</v>
      </c>
      <c r="D185" s="123" t="n">
        <f aca="false">IF(B185="","",IFERROR(B185/INDEX($B$2:$B$800,MATCH(DATE(YEAR(A185)-1,12,1),$A$2:$A$800,0))-1,""))</f>
        <v>0.0314560564188451</v>
      </c>
      <c r="E185" s="123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2" t="n">
        <v>40148</v>
      </c>
      <c r="B186" s="43" t="n">
        <v>421.051</v>
      </c>
      <c r="C186" s="123" t="n">
        <f aca="false">IF(OR(B186="",B185=""),"",B186/B185-1)</f>
        <v>0.000988980945475282</v>
      </c>
      <c r="D186" s="123" t="n">
        <f aca="false">IF(B186="","",IFERROR(B186/INDEX($B$2:$B$800,MATCH(DATE(YEAR(A186)-1,12,1),$A$2:$A$800,0))-1,""))</f>
        <v>0.0324761468047385</v>
      </c>
      <c r="E186" s="123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2" t="n">
        <v>40179</v>
      </c>
      <c r="B187" s="43" t="n">
        <v>423.74</v>
      </c>
      <c r="C187" s="123" t="n">
        <f aca="false">IF(OR(B187="",B186=""),"",B187/B186-1)</f>
        <v>0.00638639974729904</v>
      </c>
      <c r="D187" s="123" t="n">
        <f aca="false">IF(B187="","",IFERROR(B187/INDEX($B$2:$B$800,MATCH(DATE(YEAR(A187)-1,12,1),$A$2:$A$800,0))-1,""))</f>
        <v>0.00638639974729904</v>
      </c>
      <c r="E187" s="123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2" t="n">
        <v>40210</v>
      </c>
      <c r="B188" s="43" t="n">
        <v>425.268</v>
      </c>
      <c r="C188" s="123" t="n">
        <f aca="false">IF(OR(B188="",B187=""),"",B188/B187-1)</f>
        <v>0.00360598480200114</v>
      </c>
      <c r="D188" s="123" t="n">
        <f aca="false">IF(B188="","",IFERROR(B188/INDEX($B$2:$B$800,MATCH(DATE(YEAR(A188)-1,12,1),$A$2:$A$800,0))-1,""))</f>
        <v>0.0100154138097284</v>
      </c>
      <c r="E188" s="123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2" t="n">
        <v>40238</v>
      </c>
      <c r="B189" s="43" t="n">
        <v>428.476</v>
      </c>
      <c r="C189" s="123" t="n">
        <f aca="false">IF(OR(B189="",B188=""),"",B189/B188-1)</f>
        <v>0.00754347846534431</v>
      </c>
      <c r="D189" s="123" t="n">
        <f aca="false">IF(B189="","",IFERROR(B189/INDEX($B$2:$B$800,MATCH(DATE(YEAR(A189)-1,12,1),$A$2:$A$800,0))-1,""))</f>
        <v>0.0176344433334679</v>
      </c>
      <c r="E189" s="123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2" t="n">
        <v>40269</v>
      </c>
      <c r="B190" s="43" t="n">
        <v>432.079</v>
      </c>
      <c r="C190" s="123" t="n">
        <f aca="false">IF(OR(B190="",B189=""),"",B190/B189-1)</f>
        <v>0.00840887237558241</v>
      </c>
      <c r="D190" s="123" t="n">
        <f aca="false">IF(B190="","",IFERROR(B190/INDEX($B$2:$B$800,MATCH(DATE(YEAR(A190)-1,12,1),$A$2:$A$800,0))-1,""))</f>
        <v>0.0261916014924559</v>
      </c>
      <c r="E190" s="123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2" t="n">
        <v>40299</v>
      </c>
      <c r="B191" s="43" t="n">
        <v>439.914</v>
      </c>
      <c r="C191" s="123" t="n">
        <f aca="false">IF(OR(B191="",B190=""),"",B191/B190-1)</f>
        <v>0.0181332580384606</v>
      </c>
      <c r="D191" s="123" t="n">
        <f aca="false">IF(B191="","",IFERROR(B191/INDEX($B$2:$B$800,MATCH(DATE(YEAR(A191)-1,12,1),$A$2:$A$800,0))-1,""))</f>
        <v>0.0447997985992197</v>
      </c>
      <c r="E191" s="123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2" t="n">
        <v>40330</v>
      </c>
      <c r="B192" s="43" t="n">
        <v>444.718</v>
      </c>
      <c r="C192" s="123" t="n">
        <f aca="false">IF(OR(B192="",B191=""),"",B192/B191-1)</f>
        <v>0.0109203162436295</v>
      </c>
      <c r="D192" s="123" t="n">
        <f aca="false">IF(B192="","",IFERROR(B192/INDEX($B$2:$B$800,MATCH(DATE(YEAR(A192)-1,12,1),$A$2:$A$800,0))-1,""))</f>
        <v>0.0562093428112034</v>
      </c>
      <c r="E192" s="123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2" t="n">
        <v>40360</v>
      </c>
      <c r="B193" s="43" t="n">
        <v>446.688</v>
      </c>
      <c r="C193" s="123" t="n">
        <f aca="false">IF(OR(B193="",B192=""),"",B193/B192-1)</f>
        <v>0.00442977347442652</v>
      </c>
      <c r="D193" s="123" t="n">
        <f aca="false">IF(B193="","",IFERROR(B193/INDEX($B$2:$B$800,MATCH(DATE(YEAR(A193)-1,12,1),$A$2:$A$800,0))-1,""))</f>
        <v>0.0608881109414299</v>
      </c>
      <c r="E193" s="123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2" t="n">
        <v>40391</v>
      </c>
      <c r="B194" s="43" t="n">
        <v>447.296</v>
      </c>
      <c r="C194" s="123" t="n">
        <f aca="false">IF(OR(B194="",B193=""),"",B194/B193-1)</f>
        <v>0.0013611290207034</v>
      </c>
      <c r="D194" s="123" t="n">
        <f aca="false">IF(B194="","",IFERROR(B194/INDEX($B$2:$B$800,MATCH(DATE(YEAR(A194)-1,12,1),$A$2:$A$800,0))-1,""))</f>
        <v>0.0623321165369517</v>
      </c>
      <c r="E194" s="123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2" t="n">
        <v>40422</v>
      </c>
      <c r="B195" s="43" t="n">
        <v>448.222</v>
      </c>
      <c r="C195" s="123" t="n">
        <f aca="false">IF(OR(B195="",B194=""),"",B195/B194-1)</f>
        <v>0.00207021748461855</v>
      </c>
      <c r="D195" s="123" t="n">
        <f aca="false">IF(B195="","",IFERROR(B195/INDEX($B$2:$B$800,MATCH(DATE(YEAR(A195)-1,12,1),$A$2:$A$800,0))-1,""))</f>
        <v>0.0645313750590784</v>
      </c>
      <c r="E195" s="123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2" t="n">
        <v>40452</v>
      </c>
      <c r="B196" s="43" t="n">
        <v>449.103</v>
      </c>
      <c r="C196" s="123" t="n">
        <f aca="false">IF(OR(B196="",B195=""),"",B196/B195-1)</f>
        <v>0.00196554385996239</v>
      </c>
      <c r="D196" s="123" t="n">
        <f aca="false">IF(B196="","",IFERROR(B196/INDEX($B$2:$B$800,MATCH(DATE(YEAR(A196)-1,12,1),$A$2:$A$800,0))-1,""))</f>
        <v>0.066623758167063</v>
      </c>
      <c r="E196" s="123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2" t="n">
        <v>40483</v>
      </c>
      <c r="B197" s="43" t="n">
        <v>450.763</v>
      </c>
      <c r="C197" s="123" t="n">
        <f aca="false">IF(OR(B197="",B196=""),"",B197/B196-1)</f>
        <v>0.0036962567606984</v>
      </c>
      <c r="D197" s="123" t="n">
        <f aca="false">IF(B197="","",IFERROR(B197/INDEX($B$2:$B$800,MATCH(DATE(YEAR(A197)-1,12,1),$A$2:$A$800,0))-1,""))</f>
        <v>0.0705662734443096</v>
      </c>
      <c r="E197" s="123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2" t="n">
        <v>40513</v>
      </c>
      <c r="B198" s="43" t="n">
        <v>453.766</v>
      </c>
      <c r="C198" s="123" t="n">
        <f aca="false">IF(OR(B198="",B197=""),"",B198/B197-1)</f>
        <v>0.00666203747867522</v>
      </c>
      <c r="D198" s="123" t="n">
        <f aca="false">IF(B198="","",IFERROR(B198/INDEX($B$2:$B$800,MATCH(DATE(YEAR(A198)-1,12,1),$A$2:$A$800,0))-1,""))</f>
        <v>0.0776984260814011</v>
      </c>
      <c r="E198" s="123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2" t="n">
        <v>40544</v>
      </c>
      <c r="B199" s="43" t="n">
        <v>455.619</v>
      </c>
      <c r="C199" s="123" t="n">
        <f aca="false">IF(OR(B199="",B198=""),"",B199/B198-1)</f>
        <v>0.00408360256167284</v>
      </c>
      <c r="D199" s="123" t="n">
        <f aca="false">IF(B199="","",IFERROR(B199/INDEX($B$2:$B$800,MATCH(DATE(YEAR(A199)-1,12,1),$A$2:$A$800,0))-1,""))</f>
        <v>0.00408360256167284</v>
      </c>
      <c r="E199" s="123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2" t="n">
        <v>40575</v>
      </c>
      <c r="B200" s="43" t="n">
        <v>456.917</v>
      </c>
      <c r="C200" s="123" t="n">
        <f aca="false">IF(OR(B200="",B199=""),"",B200/B199-1)</f>
        <v>0.00284887153520796</v>
      </c>
      <c r="D200" s="123" t="n">
        <f aca="false">IF(B200="","",IFERROR(B200/INDEX($B$2:$B$800,MATCH(DATE(YEAR(A200)-1,12,1),$A$2:$A$800,0))-1,""))</f>
        <v>0.00694410775597976</v>
      </c>
      <c r="E200" s="123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2" t="n">
        <v>40603</v>
      </c>
      <c r="B201" s="43" t="n">
        <v>458.887</v>
      </c>
      <c r="C201" s="123" t="n">
        <f aca="false">IF(OR(B201="",B200=""),"",B201/B200-1)</f>
        <v>0.00431150515301471</v>
      </c>
      <c r="D201" s="123" t="n">
        <f aca="false">IF(B201="","",IFERROR(B201/INDEX($B$2:$B$800,MATCH(DATE(YEAR(A201)-1,12,1),$A$2:$A$800,0))-1,""))</f>
        <v>0.0112855524653677</v>
      </c>
      <c r="E201" s="123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2" t="n">
        <v>40634</v>
      </c>
      <c r="B202" s="43" t="n">
        <v>463.766</v>
      </c>
      <c r="C202" s="123" t="n">
        <f aca="false">IF(OR(B202="",B201=""),"",B202/B201-1)</f>
        <v>0.0106322471545284</v>
      </c>
      <c r="D202" s="123" t="n">
        <f aca="false">IF(B202="","",IFERROR(B202/INDEX($B$2:$B$800,MATCH(DATE(YEAR(A202)-1,12,1),$A$2:$A$800,0))-1,""))</f>
        <v>0.0220377904029829</v>
      </c>
      <c r="E202" s="123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2" t="n">
        <v>40664</v>
      </c>
      <c r="B203" s="43" t="n">
        <v>477.405</v>
      </c>
      <c r="C203" s="123" t="n">
        <f aca="false">IF(OR(B203="",B202=""),"",B203/B202-1)</f>
        <v>0.0294092279296023</v>
      </c>
      <c r="D203" s="123" t="n">
        <f aca="false">IF(B203="","",IFERROR(B203/INDEX($B$2:$B$800,MATCH(DATE(YEAR(A203)-1,12,1),$A$2:$A$800,0))-1,""))</f>
        <v>0.0520951327336114</v>
      </c>
      <c r="E203" s="123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2" t="n">
        <v>40695</v>
      </c>
      <c r="B204" s="43" t="n">
        <v>479.183</v>
      </c>
      <c r="C204" s="123" t="n">
        <f aca="false">IF(OR(B204="",B203=""),"",B204/B203-1)</f>
        <v>0.00372430116986622</v>
      </c>
      <c r="D204" s="123" t="n">
        <f aca="false">IF(B204="","",IFERROR(B204/INDEX($B$2:$B$800,MATCH(DATE(YEAR(A204)-1,12,1),$A$2:$A$800,0))-1,""))</f>
        <v>0.0560134518672619</v>
      </c>
      <c r="E204" s="123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2" t="n">
        <v>40726</v>
      </c>
      <c r="B205" s="43" t="n">
        <v>481.33</v>
      </c>
      <c r="C205" s="123" t="n">
        <f aca="false">IF(OR(B205="",B204=""),"",B205/B204-1)</f>
        <v>0.00448054292410194</v>
      </c>
      <c r="D205" s="123" t="n">
        <f aca="false">IF(B205="","",IFERROR(B205/INDEX($B$2:$B$800,MATCH(DATE(YEAR(A205)-1,12,1),$A$2:$A$800,0))-1,""))</f>
        <v>0.0607449654667824</v>
      </c>
      <c r="E205" s="123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2" t="n">
        <v>40756</v>
      </c>
      <c r="B206" s="43" t="n">
        <v>481.966</v>
      </c>
      <c r="C206" s="123" t="n">
        <f aca="false">IF(OR(B206="",B205=""),"",B206/B205-1)</f>
        <v>0.00132133879043495</v>
      </c>
      <c r="D206" s="123" t="n">
        <f aca="false">IF(B206="","",IFERROR(B206/INDEX($B$2:$B$800,MATCH(DATE(YEAR(A206)-1,12,1),$A$2:$A$800,0))-1,""))</f>
        <v>0.0621465689364122</v>
      </c>
      <c r="E206" s="123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2" t="n">
        <v>40787</v>
      </c>
      <c r="B207" s="43" t="n">
        <v>482.658</v>
      </c>
      <c r="C207" s="123" t="n">
        <f aca="false">IF(OR(B207="",B206=""),"",B207/B206-1)</f>
        <v>0.00143578592680815</v>
      </c>
      <c r="D207" s="123" t="n">
        <f aca="false">IF(B207="","",IFERROR(B207/INDEX($B$2:$B$800,MATCH(DATE(YEAR(A207)-1,12,1),$A$2:$A$800,0))-1,""))</f>
        <v>0.0636715840322986</v>
      </c>
      <c r="E207" s="123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2" t="n">
        <v>40817</v>
      </c>
      <c r="B208" s="43" t="n">
        <v>483.758</v>
      </c>
      <c r="C208" s="123" t="n">
        <f aca="false">IF(OR(B208="",B207=""),"",B208/B207-1)</f>
        <v>0.00227904644696642</v>
      </c>
      <c r="D208" s="123" t="n">
        <f aca="false">IF(B208="","",IFERROR(B208/INDEX($B$2:$B$800,MATCH(DATE(YEAR(A208)-1,12,1),$A$2:$A$800,0))-1,""))</f>
        <v>0.0660957409766267</v>
      </c>
      <c r="E208" s="123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2" t="n">
        <v>40848</v>
      </c>
      <c r="B209" s="43" t="n">
        <v>487.221</v>
      </c>
      <c r="C209" s="123" t="n">
        <f aca="false">IF(OR(B209="",B208=""),"",B209/B208-1)</f>
        <v>0.00715853794665922</v>
      </c>
      <c r="D209" s="123" t="n">
        <f aca="false">IF(B209="","",IFERROR(B209/INDEX($B$2:$B$800,MATCH(DATE(YEAR(A209)-1,12,1),$A$2:$A$800,0))-1,""))</f>
        <v>0.0737274277931797</v>
      </c>
      <c r="E209" s="123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2" t="n">
        <v>40878</v>
      </c>
      <c r="B210" s="43" t="n">
        <v>487.749</v>
      </c>
      <c r="C210" s="123" t="n">
        <f aca="false">IF(OR(B210="",B209=""),"",B210/B209-1)</f>
        <v>0.00108369713128131</v>
      </c>
      <c r="D210" s="123" t="n">
        <f aca="false">IF(B210="","",IFERROR(B210/INDEX($B$2:$B$800,MATCH(DATE(YEAR(A210)-1,12,1),$A$2:$A$800,0))-1,""))</f>
        <v>0.0748910231264572</v>
      </c>
      <c r="E210" s="123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2" t="n">
        <v>40909</v>
      </c>
      <c r="B211" s="43" t="n">
        <v>492.106</v>
      </c>
      <c r="C211" s="123" t="n">
        <f aca="false">IF(OR(B211="",B210=""),"",B211/B210-1)</f>
        <v>0.00893287326063197</v>
      </c>
      <c r="D211" s="123" t="n">
        <f aca="false">IF(B211="","",IFERROR(B211/INDEX($B$2:$B$800,MATCH(DATE(YEAR(A211)-1,12,1),$A$2:$A$800,0))-1,""))</f>
        <v>0.00893287326063197</v>
      </c>
      <c r="E211" s="123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2" t="n">
        <v>40940</v>
      </c>
      <c r="B212" s="43" t="n">
        <v>493.584</v>
      </c>
      <c r="C212" s="123" t="n">
        <f aca="false">IF(OR(B212="",B211=""),"",B212/B211-1)</f>
        <v>0.00300341796279668</v>
      </c>
      <c r="D212" s="123" t="n">
        <f aca="false">IF(B212="","",IFERROR(B212/INDEX($B$2:$B$800,MATCH(DATE(YEAR(A212)-1,12,1),$A$2:$A$800,0))-1,""))</f>
        <v>0.0119631203754389</v>
      </c>
      <c r="E212" s="123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2" t="n">
        <v>40969</v>
      </c>
      <c r="B213" s="43" t="n">
        <v>496.079</v>
      </c>
      <c r="C213" s="123" t="n">
        <f aca="false">IF(OR(B213="",B212=""),"",B213/B212-1)</f>
        <v>0.00505486401504096</v>
      </c>
      <c r="D213" s="123" t="n">
        <f aca="false">IF(B213="","",IFERROR(B213/INDEX($B$2:$B$800,MATCH(DATE(YEAR(A213)-1,12,1),$A$2:$A$800,0))-1,""))</f>
        <v>0.0170784563371733</v>
      </c>
      <c r="E213" s="123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2" t="n">
        <v>41000</v>
      </c>
      <c r="B214" s="43" t="n">
        <v>499.791</v>
      </c>
      <c r="C214" s="123" t="n">
        <f aca="false">IF(OR(B214="",B213=""),"",B214/B213-1)</f>
        <v>0.00748267917005152</v>
      </c>
      <c r="D214" s="123" t="n">
        <f aca="false">IF(B214="","",IFERROR(B214/INDEX($B$2:$B$800,MATCH(DATE(YEAR(A214)-1,12,1),$A$2:$A$800,0))-1,""))</f>
        <v>0.0246889281167157</v>
      </c>
      <c r="E214" s="123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2" t="n">
        <v>41030</v>
      </c>
      <c r="B215" s="43" t="n">
        <v>509.184</v>
      </c>
      <c r="C215" s="123" t="n">
        <f aca="false">IF(OR(B215="",B214=""),"",B215/B214-1)</f>
        <v>0.0187938558317378</v>
      </c>
      <c r="D215" s="123" t="n">
        <f aca="false">IF(B215="","",IFERROR(B215/INDEX($B$2:$B$800,MATCH(DATE(YEAR(A215)-1,12,1),$A$2:$A$800,0))-1,""))</f>
        <v>0.0439467841041192</v>
      </c>
      <c r="E215" s="123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2" t="n">
        <v>41061</v>
      </c>
      <c r="B216" s="43" t="n">
        <v>512.903</v>
      </c>
      <c r="C216" s="123" t="n">
        <f aca="false">IF(OR(B216="",B215=""),"",B216/B215-1)</f>
        <v>0.0073038430115635</v>
      </c>
      <c r="D216" s="123" t="n">
        <f aca="false">IF(B216="","",IFERROR(B216/INDEX($B$2:$B$800,MATCH(DATE(YEAR(A216)-1,12,1),$A$2:$A$800,0))-1,""))</f>
        <v>0.0515716075276422</v>
      </c>
      <c r="E216" s="123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2" t="n">
        <v>41091</v>
      </c>
      <c r="B217" s="43" t="n">
        <v>516.318</v>
      </c>
      <c r="C217" s="123" t="n">
        <f aca="false">IF(OR(B217="",B216=""),"",B217/B216-1)</f>
        <v>0.00665817903190269</v>
      </c>
      <c r="D217" s="123" t="n">
        <f aca="false">IF(B217="","",IFERROR(B217/INDEX($B$2:$B$800,MATCH(DATE(YEAR(A217)-1,12,1),$A$2:$A$800,0))-1,""))</f>
        <v>0.0585731595554271</v>
      </c>
      <c r="E217" s="123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2" t="n">
        <v>41122</v>
      </c>
      <c r="B218" s="43" t="n">
        <v>517.657</v>
      </c>
      <c r="C218" s="123" t="n">
        <f aca="false">IF(OR(B218="",B217=""),"",B218/B217-1)</f>
        <v>0.00259336300496993</v>
      </c>
      <c r="D218" s="123" t="n">
        <f aca="false">IF(B218="","",IFERROR(B218/INDEX($B$2:$B$800,MATCH(DATE(YEAR(A218)-1,12,1),$A$2:$A$800,0))-1,""))</f>
        <v>0.0613184240254721</v>
      </c>
      <c r="E218" s="123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2" t="n">
        <v>41153</v>
      </c>
      <c r="B219" s="43" t="n">
        <v>518.816</v>
      </c>
      <c r="C219" s="123" t="n">
        <f aca="false">IF(OR(B219="",B218=""),"",B219/B218-1)</f>
        <v>0.00223893427501221</v>
      </c>
      <c r="D219" s="123" t="n">
        <f aca="false">IF(B219="","",IFERROR(B219/INDEX($B$2:$B$800,MATCH(DATE(YEAR(A219)-1,12,1),$A$2:$A$800,0))-1,""))</f>
        <v>0.0636946462217247</v>
      </c>
      <c r="E219" s="123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2" t="n">
        <v>41183</v>
      </c>
      <c r="B220" s="43" t="n">
        <v>519.907</v>
      </c>
      <c r="C220" s="123" t="n">
        <f aca="false">IF(OR(B220="",B219=""),"",B220/B219-1)</f>
        <v>0.00210286498488865</v>
      </c>
      <c r="D220" s="123" t="n">
        <f aca="false">IF(B220="","",IFERROR(B220/INDEX($B$2:$B$800,MATCH(DATE(YEAR(A220)-1,12,1),$A$2:$A$800,0))-1,""))</f>
        <v>0.065931452447878</v>
      </c>
      <c r="E220" s="123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2" t="n">
        <v>41214</v>
      </c>
      <c r="B221" s="43" t="n">
        <v>521.638</v>
      </c>
      <c r="C221" s="123" t="n">
        <f aca="false">IF(OR(B221="",B220=""),"",B221/B220-1)</f>
        <v>0.00332944161167292</v>
      </c>
      <c r="D221" s="123" t="n">
        <f aca="false">IF(B221="","",IFERROR(B221/INDEX($B$2:$B$800,MATCH(DATE(YEAR(A221)-1,12,1),$A$2:$A$800,0))-1,""))</f>
        <v>0.0694804089808487</v>
      </c>
      <c r="E221" s="123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2" t="n">
        <v>41244</v>
      </c>
      <c r="B222" s="43" t="n">
        <v>522.474</v>
      </c>
      <c r="C222" s="123" t="n">
        <f aca="false">IF(OR(B222="",B221=""),"",B222/B221-1)</f>
        <v>0.00160264397915788</v>
      </c>
      <c r="D222" s="123" t="n">
        <f aca="false">IF(B222="","",IFERROR(B222/INDEX($B$2:$B$800,MATCH(DATE(YEAR(A222)-1,12,1),$A$2:$A$800,0))-1,""))</f>
        <v>0.0711944053191294</v>
      </c>
      <c r="E222" s="123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2" t="n">
        <v>41275</v>
      </c>
      <c r="B223" s="43" t="n">
        <v>525.85</v>
      </c>
      <c r="C223" s="123" t="n">
        <f aca="false">IF(OR(B223="",B222=""),"",B223/B222-1)</f>
        <v>0.00646156555158717</v>
      </c>
      <c r="D223" s="123" t="n">
        <f aca="false">IF(B223="","",IFERROR(B223/INDEX($B$2:$B$800,MATCH(DATE(YEAR(A223)-1,12,1),$A$2:$A$800,0))-1,""))</f>
        <v>0.00646156555158717</v>
      </c>
      <c r="E223" s="123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2" t="n">
        <v>41306</v>
      </c>
      <c r="B224" s="43" t="n">
        <v>529.029</v>
      </c>
      <c r="C224" s="123" t="n">
        <f aca="false">IF(OR(B224="",B223=""),"",B224/B223-1)</f>
        <v>0.00604545022344771</v>
      </c>
      <c r="D224" s="123" t="n">
        <f aca="false">IF(B224="","",IFERROR(B224/INDEX($B$2:$B$800,MATCH(DATE(YEAR(A224)-1,12,1),$A$2:$A$800,0))-1,""))</f>
        <v>0.0125460788479426</v>
      </c>
      <c r="E224" s="123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2" t="n">
        <v>41334</v>
      </c>
      <c r="B225" s="43" t="n">
        <v>531.691</v>
      </c>
      <c r="C225" s="123" t="n">
        <f aca="false">IF(OR(B225="",B224=""),"",B225/B224-1)</f>
        <v>0.00503186025718816</v>
      </c>
      <c r="D225" s="123" t="n">
        <f aca="false">IF(B225="","",IFERROR(B225/INDEX($B$2:$B$800,MATCH(DATE(YEAR(A225)-1,12,1),$A$2:$A$800,0))-1,""))</f>
        <v>0.0176410692206692</v>
      </c>
      <c r="E225" s="123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2" t="n">
        <v>41365</v>
      </c>
      <c r="B226" s="43" t="n">
        <v>535.601</v>
      </c>
      <c r="C226" s="123" t="n">
        <f aca="false">IF(OR(B226="",B225=""),"",B226/B225-1)</f>
        <v>0.00735389540165232</v>
      </c>
      <c r="D226" s="123" t="n">
        <f aca="false">IF(B226="","",IFERROR(B226/INDEX($B$2:$B$800,MATCH(DATE(YEAR(A226)-1,12,1),$A$2:$A$800,0))-1,""))</f>
        <v>0.0251246952001438</v>
      </c>
      <c r="E226" s="123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2" t="n">
        <v>41395</v>
      </c>
      <c r="B227" s="43" t="n">
        <v>547.655</v>
      </c>
      <c r="C227" s="123" t="n">
        <f aca="false">IF(OR(B227="",B226=""),"",B227/B226-1)</f>
        <v>0.0225055591755803</v>
      </c>
      <c r="D227" s="123" t="n">
        <f aca="false">IF(B227="","",IFERROR(B227/INDEX($B$2:$B$800,MATCH(DATE(YEAR(A227)-1,12,1),$A$2:$A$800,0))-1,""))</f>
        <v>0.0481956996903195</v>
      </c>
      <c r="E227" s="123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2" t="n">
        <v>41426</v>
      </c>
      <c r="B228" s="43" t="n">
        <v>553.948</v>
      </c>
      <c r="C228" s="123" t="n">
        <f aca="false">IF(OR(B228="",B227=""),"",B228/B227-1)</f>
        <v>0.0114908108206808</v>
      </c>
      <c r="D228" s="123" t="n">
        <f aca="false">IF(B228="","",IFERROR(B228/INDEX($B$2:$B$800,MATCH(DATE(YEAR(A228)-1,12,1),$A$2:$A$800,0))-1,""))</f>
        <v>0.0602403181785121</v>
      </c>
      <c r="E228" s="123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2" t="n">
        <v>41456</v>
      </c>
      <c r="B229" s="43" t="n">
        <v>556.6</v>
      </c>
      <c r="C229" s="123" t="n">
        <f aca="false">IF(OR(B229="",B228=""),"",B229/B228-1)</f>
        <v>0.00478745297392536</v>
      </c>
      <c r="D229" s="123" t="n">
        <f aca="false">IF(B229="","",IFERROR(B229/INDEX($B$2:$B$800,MATCH(DATE(YEAR(A229)-1,12,1),$A$2:$A$800,0))-1,""))</f>
        <v>0.0653161688428514</v>
      </c>
      <c r="E229" s="123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2" t="n">
        <v>41487</v>
      </c>
      <c r="B230" s="43" t="n">
        <v>558.34</v>
      </c>
      <c r="C230" s="123" t="n">
        <f aca="false">IF(OR(B230="",B229=""),"",B230/B229-1)</f>
        <v>0.00312612288896874</v>
      </c>
      <c r="D230" s="123" t="n">
        <f aca="false">IF(B230="","",IFERROR(B230/INDEX($B$2:$B$800,MATCH(DATE(YEAR(A230)-1,12,1),$A$2:$A$800,0))-1,""))</f>
        <v>0.0686464781022595</v>
      </c>
      <c r="E230" s="123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2" t="n">
        <v>41518</v>
      </c>
      <c r="B231" s="43" t="n">
        <v>560.767</v>
      </c>
      <c r="C231" s="123" t="n">
        <f aca="false">IF(OR(B231="",B230=""),"",B231/B230-1)</f>
        <v>0.00434681376938784</v>
      </c>
      <c r="D231" s="123" t="n">
        <f aca="false">IF(B231="","",IFERROR(B231/INDEX($B$2:$B$800,MATCH(DATE(YEAR(A231)-1,12,1),$A$2:$A$800,0))-1,""))</f>
        <v>0.0732916853278824</v>
      </c>
      <c r="E231" s="123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2" t="n">
        <v>41548</v>
      </c>
      <c r="B232" s="43" t="n">
        <v>562.241</v>
      </c>
      <c r="C232" s="123" t="n">
        <f aca="false">IF(OR(B232="",B231=""),"",B232/B231-1)</f>
        <v>0.0026285426924193</v>
      </c>
      <c r="D232" s="123" t="n">
        <f aca="false">IF(B232="","",IFERROR(B232/INDEX($B$2:$B$800,MATCH(DATE(YEAR(A232)-1,12,1),$A$2:$A$800,0))-1,""))</f>
        <v>0.0761128783441853</v>
      </c>
      <c r="E232" s="123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2" t="n">
        <v>41579</v>
      </c>
      <c r="B233" s="43" t="n">
        <v>564.201</v>
      </c>
      <c r="C233" s="123" t="n">
        <f aca="false">IF(OR(B233="",B232=""),"",B233/B232-1)</f>
        <v>0.00348604957660514</v>
      </c>
      <c r="D233" s="123" t="n">
        <f aca="false">IF(B233="","",IFERROR(B233/INDEX($B$2:$B$800,MATCH(DATE(YEAR(A233)-1,12,1),$A$2:$A$800,0))-1,""))</f>
        <v>0.0798642611881164</v>
      </c>
      <c r="E233" s="123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2" t="n">
        <v>41609</v>
      </c>
      <c r="B234" s="43" t="n">
        <v>564.765</v>
      </c>
      <c r="C234" s="123" t="n">
        <f aca="false">IF(OR(B234="",B233=""),"",B234/B233-1)</f>
        <v>0.000999643743984757</v>
      </c>
      <c r="D234" s="123" t="n">
        <f aca="false">IF(B234="","",IFERROR(B234/INDEX($B$2:$B$800,MATCH(DATE(YEAR(A234)-1,12,1),$A$2:$A$800,0))-1,""))</f>
        <v>0.080943740741166</v>
      </c>
      <c r="E234" s="123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2" t="n">
        <v>41640</v>
      </c>
      <c r="B235" s="43" t="n">
        <v>569.72</v>
      </c>
      <c r="C235" s="123" t="n">
        <f aca="false">IF(OR(B235="",B234=""),"",B235/B234-1)</f>
        <v>0.0087735606845325</v>
      </c>
      <c r="D235" s="123" t="n">
        <f aca="false">IF(B235="","",IFERROR(B235/INDEX($B$2:$B$800,MATCH(DATE(YEAR(A235)-1,12,1),$A$2:$A$800,0))-1,""))</f>
        <v>0.0087735606845325</v>
      </c>
      <c r="E235" s="123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2" t="n">
        <v>41671</v>
      </c>
      <c r="B236" s="43" t="n">
        <v>571.577</v>
      </c>
      <c r="C236" s="123" t="n">
        <f aca="false">IF(OR(B236="",B235=""),"",B236/B235-1)</f>
        <v>0.00325949589271923</v>
      </c>
      <c r="D236" s="123" t="n">
        <f aca="false">IF(B236="","",IFERROR(B236/INDEX($B$2:$B$800,MATCH(DATE(YEAR(A236)-1,12,1),$A$2:$A$800,0))-1,""))</f>
        <v>0.0120616539622675</v>
      </c>
      <c r="E236" s="123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2" t="n">
        <v>41699</v>
      </c>
      <c r="B237" s="43" t="n">
        <v>573.156</v>
      </c>
      <c r="C237" s="123" t="n">
        <f aca="false">IF(OR(B237="",B236=""),"",B237/B236-1)</f>
        <v>0.0027625324322007</v>
      </c>
      <c r="D237" s="123" t="n">
        <f aca="false">IF(B237="","",IFERROR(B237/INDEX($B$2:$B$800,MATCH(DATE(YEAR(A237)-1,12,1),$A$2:$A$800,0))-1,""))</f>
        <v>0.014857507104725</v>
      </c>
      <c r="E237" s="123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2" t="n">
        <v>41730</v>
      </c>
      <c r="B238" s="43" t="n">
        <v>578.224</v>
      </c>
      <c r="C238" s="123" t="n">
        <f aca="false">IF(OR(B238="",B237=""),"",B238/B237-1)</f>
        <v>0.00884226981833924</v>
      </c>
      <c r="D238" s="123" t="n">
        <f aca="false">IF(B238="","",IFERROR(B238/INDEX($B$2:$B$800,MATCH(DATE(YEAR(A238)-1,12,1),$A$2:$A$800,0))-1,""))</f>
        <v>0.023831151009712</v>
      </c>
      <c r="E238" s="123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2" t="n">
        <v>41760</v>
      </c>
      <c r="B239" s="43" t="n">
        <v>590.099</v>
      </c>
      <c r="C239" s="123" t="n">
        <f aca="false">IF(OR(B239="",B238=""),"",B239/B238-1)</f>
        <v>0.0205370237139932</v>
      </c>
      <c r="D239" s="123" t="n">
        <f aca="false">IF(B239="","",IFERROR(B239/INDEX($B$2:$B$800,MATCH(DATE(YEAR(A239)-1,12,1),$A$2:$A$800,0))-1,""))</f>
        <v>0.0448575956371236</v>
      </c>
      <c r="E239" s="123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2" t="n">
        <v>41791</v>
      </c>
      <c r="B240" s="43" t="n">
        <v>594.013</v>
      </c>
      <c r="C240" s="123" t="n">
        <f aca="false">IF(OR(B240="",B239=""),"",B240/B239-1)</f>
        <v>0.00663278534618761</v>
      </c>
      <c r="D240" s="123" t="n">
        <f aca="false">IF(B240="","",IFERROR(B240/INDEX($B$2:$B$800,MATCH(DATE(YEAR(A240)-1,12,1),$A$2:$A$800,0))-1,""))</f>
        <v>0.0517879117863183</v>
      </c>
      <c r="E240" s="123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2" t="n">
        <v>41821</v>
      </c>
      <c r="B241" s="43" t="n">
        <v>598.441</v>
      </c>
      <c r="C241" s="123" t="n">
        <f aca="false">IF(OR(B241="",B240=""),"",B241/B240-1)</f>
        <v>0.00745438231149831</v>
      </c>
      <c r="D241" s="123" t="n">
        <f aca="false">IF(B241="","",IFERROR(B241/INDEX($B$2:$B$800,MATCH(DATE(YEAR(A241)-1,12,1),$A$2:$A$800,0))-1,""))</f>
        <v>0.0596283409913858</v>
      </c>
      <c r="E241" s="123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2" t="n">
        <v>41852</v>
      </c>
      <c r="B242" s="43" t="n">
        <v>598.898</v>
      </c>
      <c r="C242" s="123" t="n">
        <f aca="false">IF(OR(B242="",B241=""),"",B242/B241-1)</f>
        <v>0.000763650886219436</v>
      </c>
      <c r="D242" s="123" t="n">
        <f aca="false">IF(B242="","",IFERROR(B242/INDEX($B$2:$B$800,MATCH(DATE(YEAR(A242)-1,12,1),$A$2:$A$800,0))-1,""))</f>
        <v>0.0604375271130471</v>
      </c>
      <c r="E242" s="123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2" t="n">
        <v>41883</v>
      </c>
      <c r="B243" s="43" t="n">
        <v>599.823</v>
      </c>
      <c r="C243" s="123" t="n">
        <f aca="false">IF(OR(B243="",B242=""),"",B243/B242-1)</f>
        <v>0.00154450340458645</v>
      </c>
      <c r="D243" s="123" t="n">
        <f aca="false">IF(B243="","",IFERROR(B243/INDEX($B$2:$B$800,MATCH(DATE(YEAR(A243)-1,12,1),$A$2:$A$800,0))-1,""))</f>
        <v>0.0620753764840243</v>
      </c>
      <c r="E243" s="123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2" t="n">
        <v>41913</v>
      </c>
      <c r="B244" s="43" t="n">
        <v>600.865</v>
      </c>
      <c r="C244" s="123" t="n">
        <f aca="false">IF(OR(B244="",B243=""),"",B244/B243-1)</f>
        <v>0.00173717913451132</v>
      </c>
      <c r="D244" s="123" t="n">
        <f aca="false">IF(B244="","",IFERROR(B244/INDEX($B$2:$B$800,MATCH(DATE(YEAR(A244)-1,12,1),$A$2:$A$800,0))-1,""))</f>
        <v>0.0639203916673308</v>
      </c>
      <c r="E244" s="123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2" t="n">
        <v>41944</v>
      </c>
      <c r="B245" s="43" t="n">
        <v>603.524</v>
      </c>
      <c r="C245" s="123" t="n">
        <f aca="false">IF(OR(B245="",B244=""),"",B245/B244-1)</f>
        <v>0.00442528687808408</v>
      </c>
      <c r="D245" s="123" t="n">
        <f aca="false">IF(B245="","",IFERROR(B245/INDEX($B$2:$B$800,MATCH(DATE(YEAR(A245)-1,12,1),$A$2:$A$800,0))-1,""))</f>
        <v>0.0686285446159023</v>
      </c>
      <c r="E245" s="123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2" t="n">
        <v>41974</v>
      </c>
      <c r="B246" s="43" t="n">
        <v>604.026</v>
      </c>
      <c r="C246" s="123" t="n">
        <f aca="false">IF(OR(B246="",B245=""),"",B246/B245-1)</f>
        <v>0.000831781337610416</v>
      </c>
      <c r="D246" s="123" t="n">
        <f aca="false">IF(B246="","",IFERROR(B246/INDEX($B$2:$B$800,MATCH(DATE(YEAR(A246)-1,12,1),$A$2:$A$800,0))-1,""))</f>
        <v>0.0695174098961515</v>
      </c>
      <c r="E246" s="123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2" t="n">
        <v>42005</v>
      </c>
      <c r="B247" s="43" t="n">
        <v>609.568</v>
      </c>
      <c r="C247" s="123" t="n">
        <f aca="false">IF(OR(B247="",B246=""),"",B247/B246-1)</f>
        <v>0.00917510173403136</v>
      </c>
      <c r="D247" s="123" t="n">
        <f aca="false">IF(B247="","",IFERROR(B247/INDEX($B$2:$B$800,MATCH(DATE(YEAR(A247)-1,12,1),$A$2:$A$800,0))-1,""))</f>
        <v>0.00917510173403136</v>
      </c>
      <c r="E247" s="123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2" t="n">
        <v>42036</v>
      </c>
      <c r="B248" s="43" t="n">
        <v>611.447</v>
      </c>
      <c r="C248" s="123" t="n">
        <f aca="false">IF(OR(B248="",B247=""),"",B248/B247-1)</f>
        <v>0.00308251089296019</v>
      </c>
      <c r="D248" s="123" t="n">
        <f aca="false">IF(B248="","",IFERROR(B248/INDEX($B$2:$B$800,MATCH(DATE(YEAR(A248)-1,12,1),$A$2:$A$800,0))-1,""))</f>
        <v>0.0122858949780309</v>
      </c>
      <c r="E248" s="123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2" t="n">
        <v>42064</v>
      </c>
      <c r="B249" s="43" t="n">
        <v>615.248</v>
      </c>
      <c r="C249" s="123" t="n">
        <f aca="false">IF(OR(B249="",B248=""),"",B249/B248-1)</f>
        <v>0.006216401421546</v>
      </c>
      <c r="D249" s="123" t="n">
        <f aca="false">IF(B249="","",IFERROR(B249/INDEX($B$2:$B$800,MATCH(DATE(YEAR(A249)-1,12,1),$A$2:$A$800,0))-1,""))</f>
        <v>0.0185786704545832</v>
      </c>
      <c r="E249" s="123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2" t="n">
        <v>42095</v>
      </c>
      <c r="B250" s="43" t="n">
        <v>618.06</v>
      </c>
      <c r="C250" s="123" t="n">
        <f aca="false">IF(OR(B250="",B249=""),"",B250/B249-1)</f>
        <v>0.00457051465425318</v>
      </c>
      <c r="D250" s="123" t="n">
        <f aca="false">IF(B250="","",IFERROR(B250/INDEX($B$2:$B$800,MATCH(DATE(YEAR(A250)-1,12,1),$A$2:$A$800,0))-1,""))</f>
        <v>0.0232340991944056</v>
      </c>
      <c r="E250" s="123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2" t="n">
        <v>42125</v>
      </c>
      <c r="B251" s="43" t="n">
        <v>623.951</v>
      </c>
      <c r="C251" s="123" t="n">
        <f aca="false">IF(OR(B251="",B250=""),"",B251/B250-1)</f>
        <v>0.00953143707730653</v>
      </c>
      <c r="D251" s="123" t="n">
        <f aca="false">IF(B251="","",IFERROR(B251/INDEX($B$2:$B$800,MATCH(DATE(YEAR(A251)-1,12,1),$A$2:$A$800,0))-1,""))</f>
        <v>0.0329869906262315</v>
      </c>
      <c r="E251" s="123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2" t="n">
        <v>42156</v>
      </c>
      <c r="B252" s="43" t="n">
        <v>635.403</v>
      </c>
      <c r="C252" s="123" t="n">
        <f aca="false">IF(OR(B252="",B251=""),"",B252/B251-1)</f>
        <v>0.0183540053626006</v>
      </c>
      <c r="D252" s="123" t="n">
        <f aca="false">IF(B252="","",IFERROR(B252/INDEX($B$2:$B$800,MATCH(DATE(YEAR(A252)-1,12,1),$A$2:$A$800,0))-1,""))</f>
        <v>0.051946439391682</v>
      </c>
      <c r="E252" s="123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2" t="n">
        <v>42186</v>
      </c>
      <c r="B253" s="43" t="n">
        <v>638.88</v>
      </c>
      <c r="C253" s="123" t="n">
        <f aca="false">IF(OR(B253="",B252=""),"",B253/B252-1)</f>
        <v>0.00547211769538381</v>
      </c>
      <c r="D253" s="123" t="n">
        <f aca="false">IF(B253="","",IFERROR(B253/INDEX($B$2:$B$800,MATCH(DATE(YEAR(A253)-1,12,1),$A$2:$A$800,0))-1,""))</f>
        <v>0.0577028141172731</v>
      </c>
      <c r="E253" s="123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2" t="n">
        <v>42217</v>
      </c>
      <c r="B254" s="43" t="n">
        <v>642.644</v>
      </c>
      <c r="C254" s="123" t="n">
        <f aca="false">IF(OR(B254="",B253=""),"",B254/B253-1)</f>
        <v>0.00589156023040327</v>
      </c>
      <c r="D254" s="123" t="n">
        <f aca="false">IF(B254="","",IFERROR(B254/INDEX($B$2:$B$800,MATCH(DATE(YEAR(A254)-1,12,1),$A$2:$A$800,0))-1,""))</f>
        <v>0.063934333952512</v>
      </c>
      <c r="E254" s="123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2" t="n">
        <v>42248</v>
      </c>
      <c r="B255" s="43" t="n">
        <v>644.046</v>
      </c>
      <c r="C255" s="123" t="n">
        <f aca="false">IF(OR(B255="",B254=""),"",B255/B254-1)</f>
        <v>0.00218161221453883</v>
      </c>
      <c r="D255" s="123" t="n">
        <f aca="false">IF(B255="","",IFERROR(B255/INDEX($B$2:$B$800,MATCH(DATE(YEAR(A255)-1,12,1),$A$2:$A$800,0))-1,""))</f>
        <v>0.0662554260909301</v>
      </c>
      <c r="E255" s="123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2" t="n">
        <v>42278</v>
      </c>
      <c r="B256" s="43" t="n">
        <v>646.355</v>
      </c>
      <c r="C256" s="123" t="n">
        <f aca="false">IF(OR(B256="",B255=""),"",B256/B255-1)</f>
        <v>0.0035851476447335</v>
      </c>
      <c r="D256" s="123" t="n">
        <f aca="false">IF(B256="","",IFERROR(B256/INDEX($B$2:$B$800,MATCH(DATE(YEAR(A256)-1,12,1),$A$2:$A$800,0))-1,""))</f>
        <v>0.0700781092204641</v>
      </c>
      <c r="E256" s="123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2" t="n">
        <v>42309</v>
      </c>
      <c r="B257" s="43" t="n">
        <v>648.542</v>
      </c>
      <c r="C257" s="123" t="n">
        <f aca="false">IF(OR(B257="",B256=""),"",B257/B256-1)</f>
        <v>0.00338358951350259</v>
      </c>
      <c r="D257" s="123" t="n">
        <f aca="false">IF(B257="","",IFERROR(B257/INDEX($B$2:$B$800,MATCH(DATE(YEAR(A257)-1,12,1),$A$2:$A$800,0))-1,""))</f>
        <v>0.0736988142894512</v>
      </c>
      <c r="E257" s="123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2" t="n">
        <v>42339</v>
      </c>
      <c r="B258" s="43" t="n">
        <v>649.216</v>
      </c>
      <c r="C258" s="123" t="n">
        <f aca="false">IF(OR(B258="",B257=""),"",B258/B257-1)</f>
        <v>0.00103925420404538</v>
      </c>
      <c r="D258" s="123" t="n">
        <f aca="false">IF(B258="","",IFERROR(B258/INDEX($B$2:$B$800,MATCH(DATE(YEAR(A258)-1,12,1),$A$2:$A$800,0))-1,""))</f>
        <v>0.07481466029608</v>
      </c>
      <c r="E258" s="123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2" t="n">
        <v>42370</v>
      </c>
      <c r="B259" s="43" t="n">
        <v>651.759</v>
      </c>
      <c r="C259" s="123" t="n">
        <f aca="false">IF(OR(B259="",B258=""),"",B259/B258-1)</f>
        <v>0.00391703223580442</v>
      </c>
      <c r="D259" s="123" t="n">
        <f aca="false">IF(B259="","",IFERROR(B259/INDEX($B$2:$B$800,MATCH(DATE(YEAR(A259)-1,12,1),$A$2:$A$800,0))-1,""))</f>
        <v>0.00391703223580442</v>
      </c>
      <c r="E259" s="123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2" t="n">
        <v>42401</v>
      </c>
      <c r="B260" s="43" t="n">
        <v>655.263</v>
      </c>
      <c r="C260" s="123" t="n">
        <f aca="false">IF(OR(B260="",B259=""),"",B260/B259-1)</f>
        <v>0.00537622035138763</v>
      </c>
      <c r="D260" s="123" t="n">
        <f aca="false">IF(B260="","",IFERROR(B260/INDEX($B$2:$B$800,MATCH(DATE(YEAR(A260)-1,12,1),$A$2:$A$800,0))-1,""))</f>
        <v>0.00931431141561512</v>
      </c>
      <c r="E260" s="123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2" t="n">
        <v>42430</v>
      </c>
      <c r="B261" s="43" t="n">
        <v>659.446</v>
      </c>
      <c r="C261" s="123" t="n">
        <f aca="false">IF(OR(B261="",B260=""),"",B261/B260-1)</f>
        <v>0.00638369631735647</v>
      </c>
      <c r="D261" s="123" t="n">
        <f aca="false">IF(B261="","",IFERROR(B261/INDEX($B$2:$B$800,MATCH(DATE(YEAR(A261)-1,12,1),$A$2:$A$800,0))-1,""))</f>
        <v>0.0157574674684542</v>
      </c>
      <c r="E261" s="123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2" t="n">
        <v>42461</v>
      </c>
      <c r="B262" s="43" t="n">
        <v>663.057</v>
      </c>
      <c r="C262" s="123" t="n">
        <f aca="false">IF(OR(B262="",B261=""),"",B262/B261-1)</f>
        <v>0.00547580848166485</v>
      </c>
      <c r="D262" s="123" t="n">
        <f aca="false">IF(B262="","",IFERROR(B262/INDEX($B$2:$B$800,MATCH(DATE(YEAR(A262)-1,12,1),$A$2:$A$800,0))-1,""))</f>
        <v>0.0213195608241326</v>
      </c>
      <c r="E262" s="123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2" t="n">
        <v>42491</v>
      </c>
      <c r="B263" s="43" t="n">
        <v>663.61</v>
      </c>
      <c r="C263" s="123" t="n">
        <f aca="false">IF(OR(B263="",B262=""),"",B263/B262-1)</f>
        <v>0.00083401577843234</v>
      </c>
      <c r="D263" s="123" t="n">
        <f aca="false">IF(B263="","",IFERROR(B263/INDEX($B$2:$B$800,MATCH(DATE(YEAR(A263)-1,12,1),$A$2:$A$800,0))-1,""))</f>
        <v>0.0221713574526814</v>
      </c>
      <c r="E263" s="123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2" t="n">
        <v>42522</v>
      </c>
      <c r="B264" s="43" t="n">
        <v>676.42</v>
      </c>
      <c r="C264" s="123" t="n">
        <f aca="false">IF(OR(B264="",B263=""),"",B264/B263-1)</f>
        <v>0.0193035065776586</v>
      </c>
      <c r="D264" s="123" t="n">
        <f aca="false">IF(B264="","",IFERROR(B264/INDEX($B$2:$B$800,MATCH(DATE(YEAR(A264)-1,12,1),$A$2:$A$800,0))-1,""))</f>
        <v>0.0419028489747633</v>
      </c>
      <c r="E264" s="123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2" t="n">
        <v>42552</v>
      </c>
      <c r="B265" s="43" t="n">
        <v>679.751</v>
      </c>
      <c r="C265" s="123" t="n">
        <f aca="false">IF(OR(B265="",B264=""),"",B265/B264-1)</f>
        <v>0.00492445522012952</v>
      </c>
      <c r="D265" s="123" t="n">
        <f aca="false">IF(B265="","",IFERROR(B265/INDEX($B$2:$B$800,MATCH(DATE(YEAR(A265)-1,12,1),$A$2:$A$800,0))-1,""))</f>
        <v>0.0470336528982649</v>
      </c>
      <c r="E265" s="123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2" t="n">
        <v>42583</v>
      </c>
      <c r="B266" s="43" t="n">
        <v>681.756</v>
      </c>
      <c r="C266" s="123" t="n">
        <f aca="false">IF(OR(B266="",B265=""),"",B266/B265-1)</f>
        <v>0.00294960948935707</v>
      </c>
      <c r="D266" s="123" t="n">
        <f aca="false">IF(B266="","",IFERROR(B266/INDEX($B$2:$B$800,MATCH(DATE(YEAR(A266)-1,12,1),$A$2:$A$800,0))-1,""))</f>
        <v>0.05012199329653</v>
      </c>
      <c r="E266" s="123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2" t="n">
        <v>42614</v>
      </c>
      <c r="B267" s="43" t="n">
        <v>684.025</v>
      </c>
      <c r="C267" s="123" t="n">
        <f aca="false">IF(OR(B267="",B266=""),"",B267/B266-1)</f>
        <v>0.00332817019578857</v>
      </c>
      <c r="D267" s="123" t="n">
        <f aca="false">IF(B267="","",IFERROR(B267/INDEX($B$2:$B$800,MATCH(DATE(YEAR(A267)-1,12,1),$A$2:$A$800,0))-1,""))</f>
        <v>0.0536169780165614</v>
      </c>
      <c r="E267" s="123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2" t="n">
        <v>42644</v>
      </c>
      <c r="B268" s="43" t="n">
        <v>685.489</v>
      </c>
      <c r="C268" s="123" t="n">
        <f aca="false">IF(OR(B268="",B267=""),"",B268/B267-1)</f>
        <v>0.00214027265085348</v>
      </c>
      <c r="D268" s="123" t="n">
        <f aca="false">IF(B268="","",IFERROR(B268/INDEX($B$2:$B$800,MATCH(DATE(YEAR(A268)-1,12,1),$A$2:$A$800,0))-1,""))</f>
        <v>0.0558720056190851</v>
      </c>
      <c r="E268" s="123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2" t="n">
        <v>42675</v>
      </c>
      <c r="B269" s="43" t="n">
        <v>686.607</v>
      </c>
      <c r="C269" s="123" t="n">
        <f aca="false">IF(OR(B269="",B268=""),"",B269/B268-1)</f>
        <v>0.00163095250251999</v>
      </c>
      <c r="D269" s="123" t="n">
        <f aca="false">IF(B269="","",IFERROR(B269/INDEX($B$2:$B$800,MATCH(DATE(YEAR(A269)-1,12,1),$A$2:$A$800,0))-1,""))</f>
        <v>0.0575940827089905</v>
      </c>
      <c r="E269" s="123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2" t="n">
        <v>42705</v>
      </c>
      <c r="B270" s="43" t="n">
        <v>688.985</v>
      </c>
      <c r="C270" s="123" t="n">
        <f aca="false">IF(OR(B270="",B269=""),"",B270/B269-1)</f>
        <v>0.00346340774271159</v>
      </c>
      <c r="D270" s="123" t="n">
        <f aca="false">IF(B270="","",IFERROR(B270/INDEX($B$2:$B$800,MATCH(DATE(YEAR(A270)-1,12,1),$A$2:$A$800,0))-1,""))</f>
        <v>0.0612569622436909</v>
      </c>
      <c r="E270" s="123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2" t="n">
        <v>42736</v>
      </c>
      <c r="B271" s="43" t="n">
        <v>691.792</v>
      </c>
      <c r="C271" s="123" t="n">
        <f aca="false">IF(OR(B271="",B270=""),"",B271/B270-1)</f>
        <v>0.0040741090154357</v>
      </c>
      <c r="D271" s="123" t="n">
        <f aca="false">IF(B271="","",IFERROR(B271/INDEX($B$2:$B$800,MATCH(DATE(YEAR(A271)-1,12,1),$A$2:$A$800,0))-1,""))</f>
        <v>0.0040741090154357</v>
      </c>
      <c r="E271" s="123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2" t="n">
        <v>42767</v>
      </c>
      <c r="B272" s="43" t="n">
        <v>696.314</v>
      </c>
      <c r="C272" s="123" t="n">
        <f aca="false">IF(OR(B272="",B271=""),"",B272/B271-1)</f>
        <v>0.00653664685338939</v>
      </c>
      <c r="D272" s="123" t="n">
        <f aca="false">IF(B272="","",IFERROR(B272/INDEX($B$2:$B$800,MATCH(DATE(YEAR(A272)-1,12,1),$A$2:$A$800,0))-1,""))</f>
        <v>0.0106373868807013</v>
      </c>
      <c r="E272" s="123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2" t="n">
        <v>42795</v>
      </c>
      <c r="B273" s="43" t="n">
        <v>697.41</v>
      </c>
      <c r="C273" s="123" t="n">
        <f aca="false">IF(OR(B273="",B272=""),"",B273/B272-1)</f>
        <v>0.00157400253333995</v>
      </c>
      <c r="D273" s="123" t="n">
        <f aca="false">IF(B273="","",IFERROR(B273/INDEX($B$2:$B$800,MATCH(DATE(YEAR(A273)-1,12,1),$A$2:$A$800,0))-1,""))</f>
        <v>0.0122281326879394</v>
      </c>
      <c r="E273" s="123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2" t="n">
        <v>42826</v>
      </c>
      <c r="B274" s="43" t="n">
        <v>697.244</v>
      </c>
      <c r="C274" s="123" t="n">
        <f aca="false">IF(OR(B274="",B273=""),"",B274/B273-1)</f>
        <v>-0.000238023544256505</v>
      </c>
      <c r="D274" s="123" t="n">
        <f aca="false">IF(B274="","",IFERROR(B274/INDEX($B$2:$B$800,MATCH(DATE(YEAR(A274)-1,12,1),$A$2:$A$800,0))-1,""))</f>
        <v>0.0119871985602009</v>
      </c>
      <c r="E274" s="123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2" t="n">
        <v>42856</v>
      </c>
      <c r="B275" s="43" t="n">
        <v>701.664</v>
      </c>
      <c r="C275" s="123" t="n">
        <f aca="false">IF(OR(B275="",B274=""),"",B275/B274-1)</f>
        <v>0.00633924422440346</v>
      </c>
      <c r="D275" s="123" t="n">
        <f aca="false">IF(B275="","",IFERROR(B275/INDEX($B$2:$B$800,MATCH(DATE(YEAR(A275)-1,12,1),$A$2:$A$800,0))-1,""))</f>
        <v>0.0184024325638439</v>
      </c>
      <c r="E275" s="123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2" t="n">
        <v>42887</v>
      </c>
      <c r="B276" s="43" t="n">
        <v>708.197</v>
      </c>
      <c r="C276" s="123" t="n">
        <f aca="false">IF(OR(B276="",B275=""),"",B276/B275-1)</f>
        <v>0.00931072422127977</v>
      </c>
      <c r="D276" s="123" t="n">
        <f aca="false">IF(B276="","",IFERROR(B276/INDEX($B$2:$B$800,MATCH(DATE(YEAR(A276)-1,12,1),$A$2:$A$800,0))-1,""))</f>
        <v>0.0278844967597263</v>
      </c>
      <c r="E276" s="123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2" t="n">
        <v>42917</v>
      </c>
      <c r="B277" s="43" t="n">
        <v>710.355</v>
      </c>
      <c r="C277" s="123" t="n">
        <f aca="false">IF(OR(B277="",B276=""),"",B277/B276-1)</f>
        <v>0.00304717472680616</v>
      </c>
      <c r="D277" s="123" t="n">
        <f aca="false">IF(B277="","",IFERROR(B277/INDEX($B$2:$B$800,MATCH(DATE(YEAR(A277)-1,12,1),$A$2:$A$800,0))-1,""))</f>
        <v>0.0310166404203285</v>
      </c>
      <c r="E277" s="123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2" t="n">
        <v>42948</v>
      </c>
      <c r="B278" s="43" t="n">
        <v>712.884</v>
      </c>
      <c r="C278" s="123" t="n">
        <f aca="false">IF(OR(B278="",B277=""),"",B278/B277-1)</f>
        <v>0.00356019173511846</v>
      </c>
      <c r="D278" s="123" t="n">
        <f aca="false">IF(B278="","",IFERROR(B278/INDEX($B$2:$B$800,MATCH(DATE(YEAR(A278)-1,12,1),$A$2:$A$800,0))-1,""))</f>
        <v>0.0346872573423225</v>
      </c>
      <c r="E278" s="123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2" t="n">
        <v>42979</v>
      </c>
      <c r="B279" s="43" t="n">
        <v>713.33</v>
      </c>
      <c r="C279" s="123" t="n">
        <f aca="false">IF(OR(B279="",B278=""),"",B279/B278-1)</f>
        <v>0.000625627731861034</v>
      </c>
      <c r="D279" s="123" t="n">
        <f aca="false">IF(B279="","",IFERROR(B279/INDEX($B$2:$B$800,MATCH(DATE(YEAR(A279)-1,12,1),$A$2:$A$800,0))-1,""))</f>
        <v>0.0353345863843191</v>
      </c>
      <c r="E279" s="123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2" t="n">
        <v>43009</v>
      </c>
      <c r="B280" s="43" t="n">
        <v>715.527</v>
      </c>
      <c r="C280" s="123" t="n">
        <f aca="false">IF(OR(B280="",B279=""),"",B280/B279-1)</f>
        <v>0.00307992093421006</v>
      </c>
      <c r="D280" s="123" t="n">
        <f aca="false">IF(B280="","",IFERROR(B280/INDEX($B$2:$B$800,MATCH(DATE(YEAR(A280)-1,12,1),$A$2:$A$800,0))-1,""))</f>
        <v>0.0385233350508356</v>
      </c>
      <c r="E280" s="123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2" t="n">
        <v>43040</v>
      </c>
      <c r="B281" s="43" t="n">
        <v>717.751</v>
      </c>
      <c r="C281" s="123" t="n">
        <f aca="false">IF(OR(B281="",B280=""),"",B281/B280-1)</f>
        <v>0.00310819857252054</v>
      </c>
      <c r="D281" s="123" t="n">
        <f aca="false">IF(B281="","",IFERROR(B281/INDEX($B$2:$B$800,MATCH(DATE(YEAR(A281)-1,12,1),$A$2:$A$800,0))-1,""))</f>
        <v>0.0417512717983699</v>
      </c>
      <c r="E281" s="123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2" t="n">
        <v>43070</v>
      </c>
      <c r="B282" s="43" t="n">
        <v>718.276</v>
      </c>
      <c r="C282" s="123" t="n">
        <f aca="false">IF(OR(B282="",B281=""),"",B282/B281-1)</f>
        <v>0.000731451436500885</v>
      </c>
      <c r="D282" s="123" t="n">
        <f aca="false">IF(B282="","",IFERROR(B282/INDEX($B$2:$B$800,MATCH(DATE(YEAR(A282)-1,12,1),$A$2:$A$800,0))-1,""))</f>
        <v>0.0425132622626037</v>
      </c>
      <c r="E282" s="123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2" t="n">
        <v>43101</v>
      </c>
      <c r="B283" s="43" t="n">
        <v>720.495</v>
      </c>
      <c r="C283" s="123" t="n">
        <f aca="false">IF(OR(B283="",B282=""),"",B283/B282-1)</f>
        <v>0.00308934170151876</v>
      </c>
      <c r="D283" s="123" t="n">
        <f aca="false">IF(B283="","",IFERROR(B283/INDEX($B$2:$B$800,MATCH(DATE(YEAR(A283)-1,12,1),$A$2:$A$800,0))-1,""))</f>
        <v>0.00308934170151876</v>
      </c>
      <c r="E283" s="123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2" t="n">
        <v>43132</v>
      </c>
      <c r="B284" s="43" t="n">
        <v>721.414</v>
      </c>
      <c r="C284" s="123" t="n">
        <f aca="false">IF(OR(B284="",B283=""),"",B284/B283-1)</f>
        <v>0.00127551197440656</v>
      </c>
      <c r="D284" s="123" t="n">
        <f aca="false">IF(B284="","",IFERROR(B284/INDEX($B$2:$B$800,MATCH(DATE(YEAR(A284)-1,12,1),$A$2:$A$800,0))-1,""))</f>
        <v>0.00436879416825842</v>
      </c>
      <c r="E284" s="123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2" t="n">
        <v>43160</v>
      </c>
      <c r="B285" s="43" t="n">
        <v>723.163</v>
      </c>
      <c r="C285" s="123" t="n">
        <f aca="false">IF(OR(B285="",B284=""),"",B285/B284-1)</f>
        <v>0.00242440540383204</v>
      </c>
      <c r="D285" s="123" t="n">
        <f aca="false">IF(B285="","",IFERROR(B285/INDEX($B$2:$B$800,MATCH(DATE(YEAR(A285)-1,12,1),$A$2:$A$800,0))-1,""))</f>
        <v>0.0068037913002803</v>
      </c>
      <c r="E285" s="123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2" t="n">
        <v>43191</v>
      </c>
      <c r="B286" s="43" t="n">
        <v>725.245</v>
      </c>
      <c r="C286" s="123" t="n">
        <f aca="false">IF(OR(B286="",B285=""),"",B286/B285-1)</f>
        <v>0.00287901897635812</v>
      </c>
      <c r="D286" s="123" t="n">
        <f aca="false">IF(B286="","",IFERROR(B286/INDEX($B$2:$B$800,MATCH(DATE(YEAR(A286)-1,12,1),$A$2:$A$800,0))-1,""))</f>
        <v>0.00970239852090282</v>
      </c>
      <c r="E286" s="123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2" t="n">
        <v>43221</v>
      </c>
      <c r="B287" s="43" t="n">
        <v>726.923</v>
      </c>
      <c r="C287" s="123" t="n">
        <f aca="false">IF(OR(B287="",B286=""),"",B287/B286-1)</f>
        <v>0.00231370088728644</v>
      </c>
      <c r="D287" s="123" t="n">
        <f aca="false">IF(B287="","",IFERROR(B287/INDEX($B$2:$B$800,MATCH(DATE(YEAR(A287)-1,12,1),$A$2:$A$800,0))-1,""))</f>
        <v>0.0120385478562559</v>
      </c>
      <c r="E287" s="123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2" t="n">
        <v>43252</v>
      </c>
      <c r="B288" s="43" t="n">
        <v>733.984</v>
      </c>
      <c r="C288" s="123" t="n">
        <f aca="false">IF(OR(B288="",B287=""),"",B288/B287-1)</f>
        <v>0.00971354600143348</v>
      </c>
      <c r="D288" s="123" t="n">
        <f aca="false">IF(B288="","",IFERROR(B288/INDEX($B$2:$B$800,MATCH(DATE(YEAR(A288)-1,12,1),$A$2:$A$800,0))-1,""))</f>
        <v>0.0218690308460816</v>
      </c>
      <c r="E288" s="123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2" t="n">
        <v>43282</v>
      </c>
      <c r="B289" s="43" t="n">
        <v>738.487</v>
      </c>
      <c r="C289" s="123" t="n">
        <f aca="false">IF(OR(B289="",B288=""),"",B289/B288-1)</f>
        <v>0.00613501111740855</v>
      </c>
      <c r="D289" s="123" t="n">
        <f aca="false">IF(B289="","",IFERROR(B289/INDEX($B$2:$B$800,MATCH(DATE(YEAR(A289)-1,12,1),$A$2:$A$800,0))-1,""))</f>
        <v>0.0281382087108577</v>
      </c>
      <c r="E289" s="123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2" t="n">
        <v>43313</v>
      </c>
      <c r="B290" s="43" t="n">
        <v>739.583</v>
      </c>
      <c r="C290" s="123" t="n">
        <f aca="false">IF(OR(B290="",B289=""),"",B290/B289-1)</f>
        <v>0.00148411549560112</v>
      </c>
      <c r="D290" s="123" t="n">
        <f aca="false">IF(B290="","",IFERROR(B290/INDEX($B$2:$B$800,MATCH(DATE(YEAR(A290)-1,12,1),$A$2:$A$800,0))-1,""))</f>
        <v>0.0296640845580252</v>
      </c>
      <c r="E290" s="123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2" t="n">
        <v>43344</v>
      </c>
      <c r="B291" s="43" t="n">
        <v>741.305</v>
      </c>
      <c r="C291" s="123" t="n">
        <f aca="false">IF(OR(B291="",B290=""),"",B291/B290-1)</f>
        <v>0.00232833907756125</v>
      </c>
      <c r="D291" s="123" t="n">
        <f aca="false">IF(B291="","",IFERROR(B291/INDEX($B$2:$B$800,MATCH(DATE(YEAR(A291)-1,12,1),$A$2:$A$800,0))-1,""))</f>
        <v>0.0320614916828628</v>
      </c>
      <c r="E291" s="123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2" t="n">
        <v>43374</v>
      </c>
      <c r="B292" s="43" t="n">
        <v>743.866</v>
      </c>
      <c r="C292" s="123" t="n">
        <f aca="false">IF(OR(B292="",B291=""),"",B292/B291-1)</f>
        <v>0.00345471836828293</v>
      </c>
      <c r="D292" s="123" t="n">
        <f aca="false">IF(B292="","",IFERROR(B292/INDEX($B$2:$B$800,MATCH(DATE(YEAR(A292)-1,12,1),$A$2:$A$800,0))-1,""))</f>
        <v>0.0356269734753771</v>
      </c>
      <c r="E292" s="123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2" t="n">
        <v>43405</v>
      </c>
      <c r="B293" s="43" t="n">
        <v>744.865</v>
      </c>
      <c r="C293" s="123" t="n">
        <f aca="false">IF(OR(B293="",B292=""),"",B293/B292-1)</f>
        <v>0.00134298381697784</v>
      </c>
      <c r="D293" s="123" t="n">
        <f aca="false">IF(B293="","",IFERROR(B293/INDEX($B$2:$B$800,MATCH(DATE(YEAR(A293)-1,12,1),$A$2:$A$800,0))-1,""))</f>
        <v>0.0370178037411804</v>
      </c>
      <c r="E293" s="123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2" t="n">
        <v>43435</v>
      </c>
      <c r="B294" s="43" t="n">
        <v>745.856</v>
      </c>
      <c r="C294" s="123" t="n">
        <f aca="false">IF(OR(B294="",B293=""),"",B294/B293-1)</f>
        <v>0.00133044242916491</v>
      </c>
      <c r="D294" s="123" t="n">
        <f aca="false">IF(B294="","",IFERROR(B294/INDEX($B$2:$B$800,MATCH(DATE(YEAR(A294)-1,12,1),$A$2:$A$800,0))-1,""))</f>
        <v>0.0383974962270772</v>
      </c>
      <c r="E294" s="123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2" t="n">
        <v>43466</v>
      </c>
      <c r="B295" s="43" t="n">
        <v>749.517</v>
      </c>
      <c r="C295" s="123" t="n">
        <f aca="false">IF(OR(B295="",B294=""),"",B295/B294-1)</f>
        <v>0.00490845417882291</v>
      </c>
      <c r="D295" s="123" t="n">
        <f aca="false">IF(B295="","",IFERROR(B295/INDEX($B$2:$B$800,MATCH(DATE(YEAR(A295)-1,12,1),$A$2:$A$800,0))-1,""))</f>
        <v>0.00490845417882291</v>
      </c>
      <c r="E295" s="123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2" t="n">
        <v>43497</v>
      </c>
      <c r="B296" s="43" t="n">
        <v>750.18</v>
      </c>
      <c r="C296" s="123" t="n">
        <f aca="false">IF(OR(B296="",B295=""),"",B296/B295-1)</f>
        <v>0.000884569662862766</v>
      </c>
      <c r="D296" s="123" t="n">
        <f aca="false">IF(B296="","",IFERROR(B296/INDEX($B$2:$B$800,MATCH(DATE(YEAR(A296)-1,12,1),$A$2:$A$800,0))-1,""))</f>
        <v>0.00579736571134371</v>
      </c>
      <c r="E296" s="123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2" t="n">
        <v>43525</v>
      </c>
      <c r="B297" s="43" t="n">
        <v>752.524</v>
      </c>
      <c r="C297" s="123" t="n">
        <f aca="false">IF(OR(B297="",B296=""),"",B297/B296-1)</f>
        <v>0.00312458343330935</v>
      </c>
      <c r="D297" s="123" t="n">
        <f aca="false">IF(B297="","",IFERROR(B297/INDEX($B$2:$B$800,MATCH(DATE(YEAR(A297)-1,12,1),$A$2:$A$800,0))-1,""))</f>
        <v>0.00894006349751164</v>
      </c>
      <c r="E297" s="123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2" t="n">
        <v>43556</v>
      </c>
      <c r="B298" s="43" t="n">
        <v>755.373</v>
      </c>
      <c r="C298" s="123" t="n">
        <f aca="false">IF(OR(B298="",B297=""),"",B298/B297-1)</f>
        <v>0.00378592576449388</v>
      </c>
      <c r="D298" s="123" t="n">
        <f aca="false">IF(B298="","",IFERROR(B298/INDEX($B$2:$B$800,MATCH(DATE(YEAR(A298)-1,12,1),$A$2:$A$800,0))-1,""))</f>
        <v>0.0127598356787371</v>
      </c>
      <c r="E298" s="123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2" t="n">
        <v>43586</v>
      </c>
      <c r="B299" s="43" t="n">
        <v>755.625</v>
      </c>
      <c r="C299" s="123" t="n">
        <f aca="false">IF(OR(B299="",B298=""),"",B299/B298-1)</f>
        <v>0.000333610017832164</v>
      </c>
      <c r="D299" s="123" t="n">
        <f aca="false">IF(B299="","",IFERROR(B299/INDEX($B$2:$B$800,MATCH(DATE(YEAR(A299)-1,12,1),$A$2:$A$800,0))-1,""))</f>
        <v>0.0130977025055774</v>
      </c>
      <c r="E299" s="123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2" t="n">
        <v>43617</v>
      </c>
      <c r="B300" s="43" t="n">
        <v>762.304</v>
      </c>
      <c r="C300" s="123" t="n">
        <f aca="false">IF(OR(B300="",B299=""),"",B300/B299-1)</f>
        <v>0.00883904052936302</v>
      </c>
      <c r="D300" s="123" t="n">
        <f aca="false">IF(B300="","",IFERROR(B300/INDEX($B$2:$B$800,MATCH(DATE(YEAR(A300)-1,12,1),$A$2:$A$800,0))-1,""))</f>
        <v>0.0220525141582288</v>
      </c>
      <c r="E300" s="123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2" t="n">
        <v>43647</v>
      </c>
      <c r="B301" s="43" t="n">
        <v>766.699</v>
      </c>
      <c r="C301" s="123" t="n">
        <f aca="false">IF(OR(B301="",B300=""),"",B301/B300-1)</f>
        <v>0.00576541642179507</v>
      </c>
      <c r="D301" s="123" t="n">
        <f aca="false">IF(B301="","",IFERROR(B301/INDEX($B$2:$B$800,MATCH(DATE(YEAR(A301)-1,12,1),$A$2:$A$800,0))-1,""))</f>
        <v>0.0279450725072936</v>
      </c>
      <c r="E301" s="123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2" t="n">
        <v>43678</v>
      </c>
      <c r="B302" s="43" t="n">
        <v>769.951</v>
      </c>
      <c r="C302" s="123" t="n">
        <f aca="false">IF(OR(B302="",B301=""),"",B302/B301-1)</f>
        <v>0.00424156024724187</v>
      </c>
      <c r="D302" s="123" t="n">
        <f aca="false">IF(B302="","",IFERROR(B302/INDEX($B$2:$B$800,MATCH(DATE(YEAR(A302)-1,12,1),$A$2:$A$800,0))-1,""))</f>
        <v>0.0323051634631886</v>
      </c>
      <c r="E302" s="123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2" t="n">
        <v>43709</v>
      </c>
      <c r="B303" s="43" t="n">
        <v>773.52</v>
      </c>
      <c r="C303" s="123" t="n">
        <f aca="false">IF(OR(B303="",B302=""),"",B303/B302-1)</f>
        <v>0.00463535991251396</v>
      </c>
      <c r="D303" s="123" t="n">
        <f aca="false">IF(B303="","",IFERROR(B303/INDEX($B$2:$B$800,MATCH(DATE(YEAR(A303)-1,12,1),$A$2:$A$800,0))-1,""))</f>
        <v>0.037090269435387</v>
      </c>
      <c r="E303" s="123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2" t="n">
        <v>43739</v>
      </c>
      <c r="B304" s="43" t="n">
        <v>774.939</v>
      </c>
      <c r="C304" s="123" t="n">
        <f aca="false">IF(OR(B304="",B303=""),"",B304/B303-1)</f>
        <v>0.00183447098976108</v>
      </c>
      <c r="D304" s="123" t="n">
        <f aca="false">IF(B304="","",IFERROR(B304/INDEX($B$2:$B$800,MATCH(DATE(YEAR(A304)-1,12,1),$A$2:$A$800,0))-1,""))</f>
        <v>0.0389927814484297</v>
      </c>
      <c r="E304" s="123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2" t="n">
        <v>43770</v>
      </c>
      <c r="B305" s="43" t="n">
        <v>775.225</v>
      </c>
      <c r="C305" s="123" t="n">
        <f aca="false">IF(OR(B305="",B304=""),"",B305/B304-1)</f>
        <v>0.000369061306761065</v>
      </c>
      <c r="D305" s="123" t="n">
        <f aca="false">IF(B305="","",IFERROR(B305/INDEX($B$2:$B$800,MATCH(DATE(YEAR(A305)-1,12,1),$A$2:$A$800,0))-1,""))</f>
        <v>0.0393762334820662</v>
      </c>
      <c r="E305" s="123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2" t="n">
        <v>43800</v>
      </c>
      <c r="B306" s="43" t="n">
        <v>776.839</v>
      </c>
      <c r="C306" s="123" t="n">
        <f aca="false">IF(OR(B306="",B305=""),"",B306/B305-1)</f>
        <v>0.00208197620045802</v>
      </c>
      <c r="D306" s="123" t="n">
        <f aca="false">IF(B306="","",IFERROR(B306/INDEX($B$2:$B$800,MATCH(DATE(YEAR(A306)-1,12,1),$A$2:$A$800,0))-1,""))</f>
        <v>0.0415401900634975</v>
      </c>
      <c r="E306" s="123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2" t="n">
        <v>43831</v>
      </c>
      <c r="B307" s="43" t="n">
        <v>779.766</v>
      </c>
      <c r="C307" s="123" t="n">
        <f aca="false">IF(OR(B307="",B306=""),"",B307/B306-1)</f>
        <v>0.0037678334893072</v>
      </c>
      <c r="D307" s="123" t="n">
        <f aca="false">IF(B307="","",IFERROR(B307/INDEX($B$2:$B$800,MATCH(DATE(YEAR(A307)-1,12,1),$A$2:$A$800,0))-1,""))</f>
        <v>0.0037678334893072</v>
      </c>
      <c r="E307" s="123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2" t="n">
        <v>43862</v>
      </c>
      <c r="B308" s="43" t="n">
        <v>782.336</v>
      </c>
      <c r="C308" s="123" t="n">
        <f aca="false">IF(OR(B308="",B307=""),"",B308/B307-1)</f>
        <v>0.00329586055303777</v>
      </c>
      <c r="D308" s="123" t="n">
        <f aca="false">IF(B308="","",IFERROR(B308/INDEX($B$2:$B$800,MATCH(DATE(YEAR(A308)-1,12,1),$A$2:$A$800,0))-1,""))</f>
        <v>0.00707611229611271</v>
      </c>
      <c r="E308" s="123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2" t="n">
        <v>43891</v>
      </c>
      <c r="B309" s="43" t="n">
        <v>784.338</v>
      </c>
      <c r="C309" s="123" t="n">
        <f aca="false">IF(OR(B309="",B308=""),"",B309/B308-1)</f>
        <v>0.00255900278141352</v>
      </c>
      <c r="D309" s="123" t="n">
        <f aca="false">IF(B309="","",IFERROR(B309/INDEX($B$2:$B$800,MATCH(DATE(YEAR(A309)-1,12,1),$A$2:$A$800,0))-1,""))</f>
        <v>0.00965322286857373</v>
      </c>
      <c r="E309" s="123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2" t="n">
        <v>43922</v>
      </c>
      <c r="B310" s="43" t="n">
        <v>786.07</v>
      </c>
      <c r="C310" s="123" t="n">
        <f aca="false">IF(OR(B310="",B309=""),"",B310/B309-1)</f>
        <v>0.00220823165523032</v>
      </c>
      <c r="D310" s="123" t="n">
        <f aca="false">IF(B310="","",IFERROR(B310/INDEX($B$2:$B$800,MATCH(DATE(YEAR(A310)-1,12,1),$A$2:$A$800,0))-1,""))</f>
        <v>0.0118827710761173</v>
      </c>
      <c r="E310" s="123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2" t="n">
        <v>43952</v>
      </c>
      <c r="B311" s="43" t="n">
        <v>787.666</v>
      </c>
      <c r="C311" s="123" t="n">
        <f aca="false">IF(OR(B311="",B310=""),"",B311/B310-1)</f>
        <v>0.00203035353085612</v>
      </c>
      <c r="D311" s="123" t="n">
        <f aca="false">IF(B311="","",IFERROR(B311/INDEX($B$2:$B$800,MATCH(DATE(YEAR(A311)-1,12,1),$A$2:$A$800,0))-1,""))</f>
        <v>0.0139372508331843</v>
      </c>
      <c r="E311" s="123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2" t="n">
        <v>43983</v>
      </c>
      <c r="B312" s="43" t="n">
        <v>790.331</v>
      </c>
      <c r="C312" s="123" t="n">
        <f aca="false">IF(OR(B312="",B311=""),"",B312/B311-1)</f>
        <v>0.0033834137819837</v>
      </c>
      <c r="D312" s="123" t="n">
        <f aca="false">IF(B312="","",IFERROR(B312/INDEX($B$2:$B$800,MATCH(DATE(YEAR(A312)-1,12,1),$A$2:$A$800,0))-1,""))</f>
        <v>0.0173678201017198</v>
      </c>
      <c r="E312" s="123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2" t="n">
        <v>44013</v>
      </c>
      <c r="B313" s="43" t="n">
        <v>799.589</v>
      </c>
      <c r="C313" s="123" t="n">
        <f aca="false">IF(OR(B313="",B312=""),"",B313/B312-1)</f>
        <v>0.0117140792908288</v>
      </c>
      <c r="D313" s="123" t="n">
        <f aca="false">IF(B313="","",IFERROR(B313/INDEX($B$2:$B$800,MATCH(DATE(YEAR(A313)-1,12,1),$A$2:$A$800,0))-1,""))</f>
        <v>0.0292853474143291</v>
      </c>
      <c r="E313" s="123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2" t="n">
        <v>44044</v>
      </c>
      <c r="B314" s="43" t="n">
        <v>805.356</v>
      </c>
      <c r="C314" s="123" t="n">
        <f aca="false">IF(OR(B314="",B313=""),"",B314/B313-1)</f>
        <v>0.0072124553989612</v>
      </c>
      <c r="D314" s="123" t="n">
        <f aca="false">IF(B314="","",IFERROR(B314/INDEX($B$2:$B$800,MATCH(DATE(YEAR(A314)-1,12,1),$A$2:$A$800,0))-1,""))</f>
        <v>0.0367090220753592</v>
      </c>
      <c r="E314" s="123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2" t="n">
        <v>44075</v>
      </c>
      <c r="B315" s="43" t="n">
        <v>814.701</v>
      </c>
      <c r="C315" s="123" t="n">
        <f aca="false">IF(OR(B315="",B314=""),"",B315/B314-1)</f>
        <v>0.0116035641380954</v>
      </c>
      <c r="D315" s="123" t="n">
        <f aca="false">IF(B315="","",IFERROR(B315/INDEX($B$2:$B$800,MATCH(DATE(YEAR(A315)-1,12,1),$A$2:$A$800,0))-1,""))</f>
        <v>0.0487385417055528</v>
      </c>
      <c r="E315" s="123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2" t="n">
        <v>44105</v>
      </c>
      <c r="B316" s="43" t="n">
        <v>828.778</v>
      </c>
      <c r="C316" s="123" t="n">
        <f aca="false">IF(OR(B316="",B315=""),"",B316/B315-1)</f>
        <v>0.0172787317064789</v>
      </c>
      <c r="D316" s="123" t="n">
        <f aca="false">IF(B316="","",IFERROR(B316/INDEX($B$2:$B$800,MATCH(DATE(YEAR(A316)-1,12,1),$A$2:$A$800,0))-1,""))</f>
        <v>0.066859413597927</v>
      </c>
      <c r="E316" s="123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2" t="n">
        <v>44136</v>
      </c>
      <c r="B317" s="43" t="n">
        <v>839.382</v>
      </c>
      <c r="C317" s="123" t="n">
        <f aca="false">IF(OR(B317="",B316=""),"",B317/B316-1)</f>
        <v>0.0127947411731488</v>
      </c>
      <c r="D317" s="123" t="n">
        <f aca="false">IF(B317="","",IFERROR(B317/INDEX($B$2:$B$800,MATCH(DATE(YEAR(A317)-1,12,1),$A$2:$A$800,0))-1,""))</f>
        <v>0.0805096036630497</v>
      </c>
      <c r="E317" s="123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2" t="n">
        <v>44166</v>
      </c>
      <c r="B318" s="43" t="n">
        <v>845.268</v>
      </c>
      <c r="C318" s="123" t="n">
        <f aca="false">IF(OR(B318="",B317=""),"",B318/B317-1)</f>
        <v>0.00701230190783231</v>
      </c>
      <c r="D318" s="123" t="n">
        <f aca="false">IF(B318="","",IFERROR(B318/INDEX($B$2:$B$800,MATCH(DATE(YEAR(A318)-1,12,1),$A$2:$A$800,0))-1,""))</f>
        <v>0.0880864632182472</v>
      </c>
      <c r="E318" s="123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2" t="n">
        <v>44197</v>
      </c>
      <c r="B319" s="43" t="n">
        <v>852.809</v>
      </c>
      <c r="C319" s="123" t="n">
        <f aca="false">IF(OR(B319="",B318=""),"",B319/B318-1)</f>
        <v>0.00892143083613717</v>
      </c>
      <c r="D319" s="123" t="n">
        <f aca="false">IF(B319="","",IFERROR(B319/INDEX($B$2:$B$800,MATCH(DATE(YEAR(A319)-1,12,1),$A$2:$A$800,0))-1,""))</f>
        <v>0.00892143083613717</v>
      </c>
      <c r="E319" s="123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2" t="n">
        <v>44228</v>
      </c>
      <c r="B320" s="43" t="n">
        <v>868.929</v>
      </c>
      <c r="C320" s="123" t="n">
        <f aca="false">IF(OR(B320="",B319=""),"",B320/B319-1)</f>
        <v>0.018902239540155</v>
      </c>
      <c r="D320" s="123" t="n">
        <f aca="false">IF(B320="","",IFERROR(B320/INDEX($B$2:$B$800,MATCH(DATE(YEAR(A320)-1,12,1),$A$2:$A$800,0))-1,""))</f>
        <v>0.0279923053989977</v>
      </c>
      <c r="E320" s="123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2" t="n">
        <v>44256</v>
      </c>
      <c r="B321" s="43" t="n">
        <v>880.265</v>
      </c>
      <c r="C321" s="123" t="n">
        <f aca="false">IF(OR(B321="",B320=""),"",B321/B320-1)</f>
        <v>0.0130459450657074</v>
      </c>
      <c r="D321" s="123" t="n">
        <f aca="false">IF(B321="","",IFERROR(B321/INDEX($B$2:$B$800,MATCH(DATE(YEAR(A321)-1,12,1),$A$2:$A$800,0))-1,""))</f>
        <v>0.0414034365432028</v>
      </c>
      <c r="E321" s="123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2" t="n">
        <v>44287</v>
      </c>
      <c r="B322" s="43" t="n">
        <v>888.191</v>
      </c>
      <c r="C322" s="123" t="n">
        <f aca="false">IF(OR(B322="",B321=""),"",B322/B321-1)</f>
        <v>0.00900410671786345</v>
      </c>
      <c r="D322" s="123" t="n">
        <f aca="false">IF(B322="","",IFERROR(B322/INDEX($B$2:$B$800,MATCH(DATE(YEAR(A322)-1,12,1),$A$2:$A$800,0))-1,""))</f>
        <v>0.0507803442221875</v>
      </c>
      <c r="E322" s="123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2" t="n">
        <v>44317</v>
      </c>
      <c r="B323" s="43" t="n">
        <v>907.899</v>
      </c>
      <c r="C323" s="123" t="n">
        <f aca="false">IF(OR(B323="",B322=""),"",B323/B322-1)</f>
        <v>0.0221889210766604</v>
      </c>
      <c r="D323" s="123" t="n">
        <f aca="false">IF(B323="","",IFERROR(B323/INDEX($B$2:$B$800,MATCH(DATE(YEAR(A323)-1,12,1),$A$2:$A$800,0))-1,""))</f>
        <v>0.0740960263490396</v>
      </c>
      <c r="E323" s="123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2" t="n">
        <v>44348</v>
      </c>
      <c r="B324" s="43" t="n">
        <v>927.512</v>
      </c>
      <c r="C324" s="123" t="n">
        <f aca="false">IF(OR(B324="",B323=""),"",B324/B323-1)</f>
        <v>0.0216026231992765</v>
      </c>
      <c r="D324" s="123" t="n">
        <f aca="false">IF(B324="","",IFERROR(B324/INDEX($B$2:$B$800,MATCH(DATE(YEAR(A324)-1,12,1),$A$2:$A$800,0))-1,""))</f>
        <v>0.0972993180860979</v>
      </c>
      <c r="E324" s="123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2" t="n">
        <v>44378</v>
      </c>
      <c r="B325" s="43" t="n">
        <v>935.359</v>
      </c>
      <c r="C325" s="123" t="n">
        <f aca="false">IF(OR(B325="",B324=""),"",B325/B324-1)</f>
        <v>0.00846026789949894</v>
      </c>
      <c r="D325" s="123" t="n">
        <f aca="false">IF(B325="","",IFERROR(B325/INDEX($B$2:$B$800,MATCH(DATE(YEAR(A325)-1,12,1),$A$2:$A$800,0))-1,""))</f>
        <v>0.106582764283044</v>
      </c>
      <c r="E325" s="123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2" t="n">
        <v>44409</v>
      </c>
      <c r="B326" s="43" t="n">
        <v>939.699</v>
      </c>
      <c r="C326" s="123" t="n">
        <f aca="false">IF(OR(B326="",B325=""),"",B326/B325-1)</f>
        <v>0.00463992969544314</v>
      </c>
      <c r="D326" s="123" t="n">
        <f aca="false">IF(B326="","",IFERROR(B326/INDEX($B$2:$B$800,MATCH(DATE(YEAR(A326)-1,12,1),$A$2:$A$800,0))-1,""))</f>
        <v>0.111717230511506</v>
      </c>
      <c r="E326" s="123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2" t="n">
        <v>44440</v>
      </c>
      <c r="B327" s="43" t="n">
        <v>944.52</v>
      </c>
      <c r="C327" s="123" t="n">
        <f aca="false">IF(OR(B327="",B326=""),"",B327/B326-1)</f>
        <v>0.00513036621301088</v>
      </c>
      <c r="D327" s="123" t="n">
        <f aca="false">IF(B327="","",IFERROR(B327/INDEX($B$2:$B$800,MATCH(DATE(YEAR(A327)-1,12,1),$A$2:$A$800,0))-1,""))</f>
        <v>0.117420747029344</v>
      </c>
      <c r="E327" s="123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2" t="n">
        <v>44470</v>
      </c>
      <c r="B328" s="43" t="n">
        <v>952.596</v>
      </c>
      <c r="C328" s="123" t="n">
        <f aca="false">IF(OR(B328="",B327=""),"",B328/B327-1)</f>
        <v>0.00855037479354603</v>
      </c>
      <c r="D328" s="123" t="n">
        <f aca="false">IF(B328="","",IFERROR(B328/INDEX($B$2:$B$800,MATCH(DATE(YEAR(A328)-1,12,1),$A$2:$A$800,0))-1,""))</f>
        <v>0.12697511321853</v>
      </c>
      <c r="E328" s="123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2" t="n">
        <v>44501</v>
      </c>
      <c r="B329" s="43" t="n">
        <v>959.001</v>
      </c>
      <c r="C329" s="123" t="n">
        <f aca="false">IF(OR(B329="",B328=""),"",B329/B328-1)</f>
        <v>0.00672373178136376</v>
      </c>
      <c r="D329" s="123" t="n">
        <f aca="false">IF(B329="","",IFERROR(B329/INDEX($B$2:$B$800,MATCH(DATE(YEAR(A329)-1,12,1),$A$2:$A$800,0))-1,""))</f>
        <v>0.134552591604083</v>
      </c>
      <c r="E329" s="123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2" t="n">
        <v>44531</v>
      </c>
      <c r="B330" s="43" t="n">
        <v>962.321</v>
      </c>
      <c r="C330" s="123" t="n">
        <f aca="false">IF(OR(B330="",B329=""),"",B330/B329-1)</f>
        <v>0.00346193591039023</v>
      </c>
      <c r="D330" s="123" t="n">
        <f aca="false">IF(B330="","",IFERROR(B330/INDEX($B$2:$B$800,MATCH(DATE(YEAR(A330)-1,12,1),$A$2:$A$800,0))-1,""))</f>
        <v>0.138480339963183</v>
      </c>
      <c r="E330" s="123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2" t="n">
        <v>44562</v>
      </c>
      <c r="B331" s="43" t="n">
        <v>969.184</v>
      </c>
      <c r="C331" s="123" t="n">
        <f aca="false">IF(OR(B331="",B330=""),"",B331/B330-1)</f>
        <v>0.00713171592431205</v>
      </c>
      <c r="D331" s="123" t="n">
        <f aca="false">IF(B331="","",IFERROR(B331/INDEX($B$2:$B$800,MATCH(DATE(YEAR(A331)-1,12,1),$A$2:$A$800,0))-1,""))</f>
        <v>0.00713171592431205</v>
      </c>
      <c r="E331" s="123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2" t="n">
        <v>44593</v>
      </c>
      <c r="B332" s="43" t="n">
        <v>972.904</v>
      </c>
      <c r="C332" s="123" t="n">
        <f aca="false">IF(OR(B332="",B331=""),"",B332/B331-1)</f>
        <v>0.00383828045035828</v>
      </c>
      <c r="D332" s="123" t="n">
        <f aca="false">IF(B332="","",IFERROR(B332/INDEX($B$2:$B$800,MATCH(DATE(YEAR(A332)-1,12,1),$A$2:$A$800,0))-1,""))</f>
        <v>0.0109973699004802</v>
      </c>
      <c r="E332" s="123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2" t="n">
        <v>44621</v>
      </c>
      <c r="B333" s="43" t="n">
        <v>981.244</v>
      </c>
      <c r="C333" s="123" t="n">
        <f aca="false">IF(OR(B333="",B332=""),"",B333/B332-1)</f>
        <v>0.00857227434567021</v>
      </c>
      <c r="D333" s="123" t="n">
        <f aca="false">IF(B333="","",IFERROR(B333/INDEX($B$2:$B$800,MATCH(DATE(YEAR(A333)-1,12,1),$A$2:$A$800,0))-1,""))</f>
        <v>0.0196639167180182</v>
      </c>
      <c r="E333" s="123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2" t="n">
        <v>44652</v>
      </c>
      <c r="B334" s="43" t="n">
        <v>990.543</v>
      </c>
      <c r="C334" s="123" t="n">
        <f aca="false">IF(OR(B334="",B333=""),"",B334/B333-1)</f>
        <v>0.00947674584507019</v>
      </c>
      <c r="D334" s="123" t="n">
        <f aca="false">IF(B334="","",IFERROR(B334/INDEX($B$2:$B$800,MATCH(DATE(YEAR(A334)-1,12,1),$A$2:$A$800,0))-1,""))</f>
        <v>0.0293270125041436</v>
      </c>
      <c r="E334" s="123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2" t="n">
        <v>44682</v>
      </c>
      <c r="B335" s="43" t="n">
        <v>1013.164</v>
      </c>
      <c r="C335" s="123" t="n">
        <f aca="false">IF(OR(B335="",B334=""),"",B335/B334-1)</f>
        <v>0.0228369692178936</v>
      </c>
      <c r="D335" s="123" t="n">
        <f aca="false">IF(B335="","",IFERROR(B335/INDEX($B$2:$B$800,MATCH(DATE(YEAR(A335)-1,12,1),$A$2:$A$800,0))-1,""))</f>
        <v>0.052833721803847</v>
      </c>
      <c r="E335" s="123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2" t="n">
        <v>44713</v>
      </c>
      <c r="B336" s="43" t="n">
        <v>1034.824</v>
      </c>
      <c r="C336" s="123" t="n">
        <f aca="false">IF(OR(B336="",B335=""),"",B336/B335-1)</f>
        <v>0.0213785724719791</v>
      </c>
      <c r="D336" s="123" t="n">
        <f aca="false">IF(B336="","",IFERROR(B336/INDEX($B$2:$B$800,MATCH(DATE(YEAR(A336)-1,12,1),$A$2:$A$800,0))-1,""))</f>
        <v>0.075341803826374</v>
      </c>
      <c r="E336" s="123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2" t="n">
        <v>44743</v>
      </c>
      <c r="B337" s="43" t="n">
        <v>1043.76</v>
      </c>
      <c r="C337" s="123" t="n">
        <f aca="false">IF(OR(B337="",B336=""),"",B337/B336-1)</f>
        <v>0.00863528484070719</v>
      </c>
      <c r="D337" s="123" t="n">
        <f aca="false">IF(B337="","",IFERROR(B337/INDEX($B$2:$B$800,MATCH(DATE(YEAR(A337)-1,12,1),$A$2:$A$800,0))-1,""))</f>
        <v>0.0846276866035345</v>
      </c>
      <c r="E337" s="123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2" t="n">
        <v>44774</v>
      </c>
      <c r="B338" s="43" t="n">
        <v>1044.679</v>
      </c>
      <c r="C338" s="123" t="n">
        <f aca="false">IF(OR(B338="",B337=""),"",B338/B337-1)</f>
        <v>0.000880470606269723</v>
      </c>
      <c r="D338" s="123" t="n">
        <f aca="false">IF(B338="","",IFERROR(B338/INDEX($B$2:$B$800,MATCH(DATE(YEAR(A338)-1,12,1),$A$2:$A$800,0))-1,""))</f>
        <v>0.0855826694003352</v>
      </c>
      <c r="E338" s="123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2" t="n">
        <v>44805</v>
      </c>
      <c r="B339" s="43" t="n">
        <v>1045.616</v>
      </c>
      <c r="C339" s="123" t="n">
        <f aca="false">IF(OR(B339="",B338=""),"",B339/B338-1)</f>
        <v>0.000896926232842654</v>
      </c>
      <c r="D339" s="123" t="n">
        <f aca="false">IF(B339="","",IFERROR(B339/INDEX($B$2:$B$800,MATCH(DATE(YEAR(A339)-1,12,1),$A$2:$A$800,0))-1,""))</f>
        <v>0.0865563569744399</v>
      </c>
      <c r="E339" s="123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2" t="n">
        <v>44835</v>
      </c>
      <c r="B340" s="43" t="n">
        <v>1046.896</v>
      </c>
      <c r="C340" s="123" t="n">
        <f aca="false">IF(OR(B340="",B339=""),"",B340/B339-1)</f>
        <v>0.00122415877339299</v>
      </c>
      <c r="D340" s="123" t="n">
        <f aca="false">IF(B340="","",IFERROR(B340/INDEX($B$2:$B$800,MATCH(DATE(YEAR(A340)-1,12,1),$A$2:$A$800,0))-1,""))</f>
        <v>0.0878864744716159</v>
      </c>
      <c r="E340" s="123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2" t="n">
        <v>44866</v>
      </c>
      <c r="B341" s="43" t="n">
        <v>1050.701</v>
      </c>
      <c r="C341" s="123" t="n">
        <f aca="false">IF(OR(B341="",B340=""),"",B341/B340-1)</f>
        <v>0.00363455395760415</v>
      </c>
      <c r="D341" s="123" t="n">
        <f aca="false">IF(B341="","",IFERROR(B341/INDEX($B$2:$B$800,MATCH(DATE(YEAR(A341)-1,12,1),$A$2:$A$800,0))-1,""))</f>
        <v>0.0918404565628308</v>
      </c>
      <c r="E341" s="123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2" t="n">
        <v>44896</v>
      </c>
      <c r="B342" s="43" t="n">
        <v>1051.632</v>
      </c>
      <c r="C342" s="123" t="n">
        <f aca="false">IF(OR(B342="",B341=""),"",B342/B341-1)</f>
        <v>0.000886075106048212</v>
      </c>
      <c r="D342" s="123" t="n">
        <f aca="false">IF(B342="","",IFERROR(B342/INDEX($B$2:$B$800,MATCH(DATE(YEAR(A342)-1,12,1),$A$2:$A$800,0))-1,""))</f>
        <v>0.0928079092111676</v>
      </c>
      <c r="E342" s="123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2" t="n">
        <v>44927</v>
      </c>
      <c r="B343" s="43" t="n">
        <v>1056.418</v>
      </c>
      <c r="C343" s="123" t="n">
        <f aca="false">IF(OR(B343="",B342=""),"",B343/B342-1)</f>
        <v>0.00455102165015875</v>
      </c>
      <c r="D343" s="123" t="n">
        <f aca="false">IF(B343="","",IFERROR(B343/INDEX($B$2:$B$800,MATCH(DATE(YEAR(A343)-1,12,1),$A$2:$A$800,0))-1,""))</f>
        <v>0.00455102165015875</v>
      </c>
      <c r="E343" s="123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2" t="n">
        <v>44958</v>
      </c>
      <c r="B344" s="43" t="n">
        <v>1056.896</v>
      </c>
      <c r="C344" s="123" t="n">
        <f aca="false">IF(OR(B344="",B343=""),"",B344/B343-1)</f>
        <v>0.000452472411488714</v>
      </c>
      <c r="D344" s="123" t="n">
        <f aca="false">IF(B344="","",IFERROR(B344/INDEX($B$2:$B$800,MATCH(DATE(YEAR(A344)-1,12,1),$A$2:$A$800,0))-1,""))</f>
        <v>0.00500555327338836</v>
      </c>
      <c r="E344" s="123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2" t="n">
        <v>44986</v>
      </c>
      <c r="B345" s="43" t="n">
        <v>1060.116</v>
      </c>
      <c r="C345" s="123" t="n">
        <f aca="false">IF(OR(B345="",B344=""),"",B345/B344-1)</f>
        <v>0.00304665738161569</v>
      </c>
      <c r="D345" s="123" t="n">
        <f aca="false">IF(B345="","",IFERROR(B345/INDEX($B$2:$B$800,MATCH(DATE(YEAR(A345)-1,12,1),$A$2:$A$800,0))-1,""))</f>
        <v>0.00806746086083332</v>
      </c>
      <c r="E345" s="123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2" t="n">
        <v>45017</v>
      </c>
      <c r="B346" s="43" t="n">
        <v>1061.635</v>
      </c>
      <c r="C346" s="123" t="n">
        <f aca="false">IF(OR(B346="",B345=""),"",B346/B345-1)</f>
        <v>0.0014328620641515</v>
      </c>
      <c r="D346" s="123" t="n">
        <f aca="false">IF(B346="","",IFERROR(B346/INDEX($B$2:$B$800,MATCH(DATE(YEAR(A346)-1,12,1),$A$2:$A$800,0))-1,""))</f>
        <v>0.00951188248360646</v>
      </c>
      <c r="E346" s="123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2" t="n">
        <v>45047</v>
      </c>
      <c r="B347" s="43" t="n">
        <v>1067.919</v>
      </c>
      <c r="C347" s="123" t="n">
        <f aca="false">IF(OR(B347="",B346=""),"",B347/B346-1)</f>
        <v>0.00591917184343038</v>
      </c>
      <c r="D347" s="123" t="n">
        <f aca="false">IF(B347="","",IFERROR(B347/INDEX($B$2:$B$800,MATCH(DATE(YEAR(A347)-1,12,1),$A$2:$A$800,0))-1,""))</f>
        <v>0.0154873567940117</v>
      </c>
      <c r="E347" s="123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2" t="n">
        <v>45078</v>
      </c>
      <c r="B348" s="43" t="n">
        <v>1075.54</v>
      </c>
      <c r="C348" s="123" t="n">
        <f aca="false">IF(OR(B348="",B347=""),"",B348/B347-1)</f>
        <v>0.00713630902718254</v>
      </c>
      <c r="D348" s="123" t="n">
        <f aca="false">IF(B348="","",IFERROR(B348/INDEX($B$2:$B$800,MATCH(DATE(YEAR(A348)-1,12,1),$A$2:$A$800,0))-1,""))</f>
        <v>0.0227341883852905</v>
      </c>
      <c r="E348" s="123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2" t="n">
        <v>45108</v>
      </c>
      <c r="B349" s="43" t="n">
        <v>1076.626</v>
      </c>
      <c r="C349" s="123" t="n">
        <f aca="false">IF(OR(B349="",B348=""),"",B349/B348-1)</f>
        <v>0.0010097253472674</v>
      </c>
      <c r="D349" s="123" t="n">
        <f aca="false">IF(B349="","",IFERROR(B349/INDEX($B$2:$B$800,MATCH(DATE(YEAR(A349)-1,12,1),$A$2:$A$800,0))-1,""))</f>
        <v>0.0237668690188202</v>
      </c>
      <c r="E349" s="123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2" t="n">
        <v>45139</v>
      </c>
      <c r="B350" s="43" t="n">
        <v>1078.412</v>
      </c>
      <c r="C350" s="123" t="n">
        <f aca="false">IF(OR(B350="",B349=""),"",B350/B349-1)</f>
        <v>0.00165888618703258</v>
      </c>
      <c r="D350" s="123" t="n">
        <f aca="false">IF(B350="","",IFERROR(B350/INDEX($B$2:$B$800,MATCH(DATE(YEAR(A350)-1,12,1),$A$2:$A$800,0))-1,""))</f>
        <v>0.025465181736577</v>
      </c>
      <c r="E350" s="123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2" t="n">
        <v>45170</v>
      </c>
      <c r="B351" s="43" t="n">
        <v>1082.104</v>
      </c>
      <c r="C351" s="123" t="n">
        <f aca="false">IF(OR(B351="",B350=""),"",B351/B350-1)</f>
        <v>0.00342355240854153</v>
      </c>
      <c r="D351" s="123" t="n">
        <f aca="false">IF(B351="","",IFERROR(B351/INDEX($B$2:$B$800,MATCH(DATE(YEAR(A351)-1,12,1),$A$2:$A$800,0))-1,""))</f>
        <v>0.0289759155293867</v>
      </c>
      <c r="E351" s="123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2" t="n">
        <v>45200</v>
      </c>
      <c r="B352" s="43" t="n">
        <v>1084.242</v>
      </c>
      <c r="C352" s="123" t="n">
        <f aca="false">IF(OR(B352="",B351=""),"",B352/B351-1)</f>
        <v>0.00197578051647529</v>
      </c>
      <c r="D352" s="123" t="n">
        <f aca="false">IF(B352="","",IFERROR(B352/INDEX($B$2:$B$800,MATCH(DATE(YEAR(A352)-1,12,1),$A$2:$A$800,0))-1,""))</f>
        <v>0.0310089460952119</v>
      </c>
      <c r="E352" s="123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2" t="n">
        <v>45231</v>
      </c>
      <c r="B353" s="43" t="n">
        <v>1084.986</v>
      </c>
      <c r="C353" s="123" t="n">
        <f aca="false">IF(OR(B353="",B352=""),"",B353/B352-1)</f>
        <v>0.000686193672630342</v>
      </c>
      <c r="D353" s="123" t="n">
        <f aca="false">IF(B353="","",IFERROR(B353/INDEX($B$2:$B$800,MATCH(DATE(YEAR(A353)-1,12,1),$A$2:$A$800,0))-1,""))</f>
        <v>0.0317164179104479</v>
      </c>
      <c r="E353" s="123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2" t="n">
        <v>45261</v>
      </c>
      <c r="B354" s="43" t="n">
        <v>1088.312</v>
      </c>
      <c r="C354" s="123" t="n">
        <f aca="false">IF(OR(B354="",B353=""),"",B354/B353-1)</f>
        <v>0.00306547734256468</v>
      </c>
      <c r="D354" s="123" t="n">
        <f aca="false">IF(B354="","",IFERROR(B354/INDEX($B$2:$B$800,MATCH(DATE(YEAR(A354)-1,12,1),$A$2:$A$800,0))-1,""))</f>
        <v>0.0348791212135042</v>
      </c>
      <c r="E354" s="123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2" t="n">
        <v>45292</v>
      </c>
      <c r="B355" s="43" t="n">
        <v>1091.25</v>
      </c>
      <c r="C355" s="123" t="n">
        <f aca="false">IF(OR(B355="",B354=""),"",B355/B354-1)</f>
        <v>0.00269959349892313</v>
      </c>
      <c r="D355" s="123" t="n">
        <f aca="false">IF(B355="","",IFERROR(B355/INDEX($B$2:$B$800,MATCH(DATE(YEAR(A355)-1,12,1),$A$2:$A$800,0))-1,""))</f>
        <v>0.00269959349892313</v>
      </c>
      <c r="E355" s="123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2" t="n">
        <v>45323</v>
      </c>
      <c r="B356" s="43" t="n">
        <v>1092.685</v>
      </c>
      <c r="C356" s="123" t="n">
        <f aca="false">IF(OR(B356="",B355=""),"",B356/B355-1)</f>
        <v>0.00131500572737675</v>
      </c>
      <c r="D356" s="123" t="n">
        <f aca="false">IF(B356="","",IFERROR(B356/INDEX($B$2:$B$800,MATCH(DATE(YEAR(A356)-1,12,1),$A$2:$A$800,0))-1,""))</f>
        <v>0.00401814920721266</v>
      </c>
      <c r="E356" s="123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2" t="n">
        <v>45352</v>
      </c>
      <c r="B357" s="43" t="n">
        <v>1095.738</v>
      </c>
      <c r="C357" s="123" t="n">
        <f aca="false">IF(OR(B357="",B356=""),"",B357/B356-1)</f>
        <v>0.00279403487738938</v>
      </c>
      <c r="D357" s="123" t="n">
        <f aca="false">IF(B357="","",IFERROR(B357/INDEX($B$2:$B$800,MATCH(DATE(YEAR(A357)-1,12,1),$A$2:$A$800,0))-1,""))</f>
        <v>0.00682341093362937</v>
      </c>
      <c r="E357" s="123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2" t="n">
        <v>45383</v>
      </c>
      <c r="B358" s="43" t="n">
        <v>1101.389</v>
      </c>
      <c r="C358" s="123" t="n">
        <f aca="false">IF(OR(B358="",B357=""),"",B358/B357-1)</f>
        <v>0.00515725474520345</v>
      </c>
      <c r="D358" s="123" t="n">
        <f aca="false">IF(B358="","",IFERROR(B358/INDEX($B$2:$B$800,MATCH(DATE(YEAR(A358)-1,12,1),$A$2:$A$800,0))-1,""))</f>
        <v>0.0120158557472489</v>
      </c>
      <c r="E358" s="123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2" t="n">
        <v>45413</v>
      </c>
      <c r="B359" s="43" t="n">
        <v>1110.887</v>
      </c>
      <c r="C359" s="123" t="n">
        <f aca="false">IF(OR(B359="",B358=""),"",B359/B358-1)</f>
        <v>0.00862365612876115</v>
      </c>
      <c r="D359" s="123" t="n">
        <f aca="false">IF(B359="","",IFERROR(B359/INDEX($B$2:$B$800,MATCH(DATE(YEAR(A359)-1,12,1),$A$2:$A$800,0))-1,""))</f>
        <v>0.020743132484067</v>
      </c>
      <c r="E359" s="123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2" t="n">
        <v>45444</v>
      </c>
      <c r="B360" s="43" t="n">
        <v>1118.827</v>
      </c>
      <c r="C360" s="123" t="n">
        <f aca="false">IF(OR(B360="",B359=""),"",B360/B359-1)</f>
        <v>0.00714744163897874</v>
      </c>
      <c r="D360" s="123" t="n">
        <f aca="false">IF(B360="","",IFERROR(B360/INDEX($B$2:$B$800,MATCH(DATE(YEAR(A360)-1,12,1),$A$2:$A$800,0))-1,""))</f>
        <v>0.0280388344518852</v>
      </c>
      <c r="E360" s="123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2" t="n">
        <v>45474</v>
      </c>
      <c r="B361" s="43" t="n">
        <v>1126.916</v>
      </c>
      <c r="C361" s="123" t="n">
        <f aca="false">IF(OR(B361="",B360=""),"",B361/B360-1)</f>
        <v>0.00722989345090874</v>
      </c>
      <c r="D361" s="123" t="n">
        <f aca="false">IF(B361="","",IFERROR(B361/INDEX($B$2:$B$800,MATCH(DATE(YEAR(A361)-1,12,1),$A$2:$A$800,0))-1,""))</f>
        <v>0.0354714456883689</v>
      </c>
      <c r="E361" s="123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2" t="n">
        <v>45505</v>
      </c>
      <c r="B362" s="43" t="n">
        <v>1134.775</v>
      </c>
      <c r="C362" s="123" t="n">
        <f aca="false">IF(OR(B362="",B361=""),"",B362/B361-1)</f>
        <v>0.006973900450433</v>
      </c>
      <c r="D362" s="123" t="n">
        <f aca="false">IF(B362="","",IFERROR(B362/INDEX($B$2:$B$800,MATCH(DATE(YEAR(A362)-1,12,1),$A$2:$A$800,0))-1,""))</f>
        <v>0.0426927204698655</v>
      </c>
      <c r="E362" s="123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2" t="n">
        <v>45536</v>
      </c>
      <c r="B363" s="43" t="n">
        <v>1141.398</v>
      </c>
      <c r="C363" s="123" t="n">
        <f aca="false">IF(OR(B363="",B362=""),"",B363/B362-1)</f>
        <v>0.00583639928620205</v>
      </c>
      <c r="D363" s="123" t="n">
        <f aca="false">IF(B363="","",IFERROR(B363/INDEX($B$2:$B$800,MATCH(DATE(YEAR(A363)-1,12,1),$A$2:$A$800,0))-1,""))</f>
        <v>0.0487782915193438</v>
      </c>
      <c r="E363" s="123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2" t="n">
        <v>45566</v>
      </c>
      <c r="B364" s="43" t="n">
        <v>1149.17</v>
      </c>
      <c r="C364" s="123" t="n">
        <f aca="false">IF(OR(B364="",B363=""),"",B364/B363-1)</f>
        <v>0.0068091936379775</v>
      </c>
      <c r="D364" s="123" t="n">
        <f aca="false">IF(B364="","",IFERROR(B364/INDEX($B$2:$B$800,MATCH(DATE(YEAR(A364)-1,12,1),$A$2:$A$800,0))-1,""))</f>
        <v>0.055919625989606</v>
      </c>
      <c r="E364" s="123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2" t="n">
        <v>45597</v>
      </c>
      <c r="B365" s="43" t="n">
        <v>1153.725</v>
      </c>
      <c r="C365" s="123" t="n">
        <f aca="false">IF(OR(B365="",B364=""),"",B365/B364-1)</f>
        <v>0.00396373034450948</v>
      </c>
      <c r="D365" s="123" t="n">
        <f aca="false">IF(B365="","",IFERROR(B365/INDEX($B$2:$B$800,MATCH(DATE(YEAR(A365)-1,12,1),$A$2:$A$800,0))-1,""))</f>
        <v>0.0601050066525042</v>
      </c>
      <c r="E365" s="123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2" t="n">
        <v>45627</v>
      </c>
      <c r="B366" s="43" t="n">
        <v>1159.536</v>
      </c>
      <c r="C366" s="123" t="n">
        <f aca="false">IF(OR(B366="",B365=""),"",B366/B365-1)</f>
        <v>0.00503672885653006</v>
      </c>
      <c r="D366" s="123" t="n">
        <f aca="false">IF(B366="","",IFERROR(B366/INDEX($B$2:$B$800,MATCH(DATE(YEAR(A366)-1,12,1),$A$2:$A$800,0))-1,""))</f>
        <v>0.0654444681304627</v>
      </c>
      <c r="E366" s="123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2" t="n">
        <v>45658</v>
      </c>
      <c r="B367" s="43" t="n">
        <v>1169.116</v>
      </c>
      <c r="C367" s="123" t="n">
        <f aca="false">IF(OR(B367="",B366=""),"",B367/B366-1)</f>
        <v>0.00826192545983906</v>
      </c>
      <c r="D367" s="123" t="n">
        <f aca="false">IF(B367="","",IFERROR(B367/INDEX($B$2:$B$800,MATCH(DATE(YEAR(A367)-1,12,1),$A$2:$A$800,0))-1,""))</f>
        <v>0.00826192545983906</v>
      </c>
      <c r="E367" s="123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2" t="n">
        <v>45689</v>
      </c>
      <c r="B368" s="43" t="n">
        <v>1173.775</v>
      </c>
      <c r="C368" s="123" t="n">
        <f aca="false">IF(OR(B368="",B367=""),"",B368/B367-1)</f>
        <v>0.00398506221794936</v>
      </c>
      <c r="D368" s="123" t="n">
        <f aca="false">IF(B368="","",IFERROR(B368/INDEX($B$2:$B$800,MATCH(DATE(YEAR(A368)-1,12,1),$A$2:$A$800,0))-1,""))</f>
        <v>0.0122799119647858</v>
      </c>
      <c r="E368" s="123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2" t="n">
        <v>45717</v>
      </c>
      <c r="B369" s="43" t="n">
        <v>1178.386</v>
      </c>
      <c r="C369" s="123" t="n">
        <f aca="false">IF(OR(B369="",B368=""),"",B369/B368-1)</f>
        <v>0.0039283508338479</v>
      </c>
      <c r="D369" s="123" t="n">
        <f aca="false">IF(B369="","",IFERROR(B369/INDEX($B$2:$B$800,MATCH(DATE(YEAR(A369)-1,12,1),$A$2:$A$800,0))-1,""))</f>
        <v>0.0162565026010404</v>
      </c>
      <c r="E369" s="123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2" t="n">
        <v>45748</v>
      </c>
      <c r="B370" s="43" t="n">
        <v>1184.462</v>
      </c>
      <c r="C370" s="123" t="n">
        <f aca="false">IF(OR(B370="",B369=""),"",B370/B369-1)</f>
        <v>0.00515620518234261</v>
      </c>
      <c r="D370" s="123" t="n">
        <f aca="false">IF(B370="","",IFERROR(B370/INDEX($B$2:$B$800,MATCH(DATE(YEAR(A370)-1,12,1),$A$2:$A$800,0))-1,""))</f>
        <v>0.0214965296463412</v>
      </c>
      <c r="E370" s="123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2" t="n">
        <v>45778</v>
      </c>
      <c r="B371" s="43" t="n">
        <v>1191.327</v>
      </c>
      <c r="C371" s="123" t="n">
        <f aca="false">IF(OR(B371="",B370=""),"",B371/B370-1)</f>
        <v>0.00579588032372502</v>
      </c>
      <c r="D371" s="123" t="n">
        <f aca="false">IF(B371="","",IFERROR(B371/INDEX($B$2:$B$800,MATCH(DATE(YEAR(A371)-1,12,1),$A$2:$A$800,0))-1,""))</f>
        <v>0.027417001283272</v>
      </c>
      <c r="E371" s="123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2" t="n">
        <v>45809</v>
      </c>
      <c r="B372" s="43" t="n">
        <v>1199.509</v>
      </c>
      <c r="C372" s="123" t="n">
        <f aca="false">IF(OR(B372="",B371=""),"",B372/B371-1)</f>
        <v>0.00686797159805841</v>
      </c>
      <c r="D372" s="123" t="n">
        <f aca="false">IF(B372="","",IFERROR(B372/INDEX($B$2:$B$800,MATCH(DATE(YEAR(A372)-1,12,1),$A$2:$A$800,0))-1,""))</f>
        <v>0.0344732720674477</v>
      </c>
      <c r="E372" s="123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2" t="n">
        <v>45839</v>
      </c>
      <c r="B373" s="43" t="n">
        <v>1210.471</v>
      </c>
      <c r="C373" s="123" t="n">
        <f aca="false">IF(OR(B373="",B372=""),"",B373/B372-1)</f>
        <v>0.00913873926748354</v>
      </c>
      <c r="D373" s="123" t="n">
        <f aca="false">IF(B373="","",IFERROR(B373/INDEX($B$2:$B$800,MATCH(DATE(YEAR(A373)-1,12,1),$A$2:$A$800,0))-1,""))</f>
        <v>0.0439270535800527</v>
      </c>
      <c r="E373" s="123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2" t="n">
        <v>45870</v>
      </c>
      <c r="B374" s="43" t="n">
        <v>1216.706</v>
      </c>
      <c r="C374" s="123" t="n">
        <f aca="false">IF(OR(B374="",B373=""),"",B374/B373-1)</f>
        <v>0.00515088754707871</v>
      </c>
      <c r="D374" s="123" t="n">
        <f aca="false">IF(B374="","",IFERROR(B374/INDEX($B$2:$B$800,MATCH(DATE(YEAR(A374)-1,12,1),$A$2:$A$800,0))-1,""))</f>
        <v>0.0493042044403966</v>
      </c>
      <c r="E374" s="123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2" t="n">
        <v>45901</v>
      </c>
      <c r="B375" s="43" t="n">
        <v>1218.747</v>
      </c>
      <c r="C375" s="123" t="n">
        <f aca="false">IF(OR(B375="",B374=""),"",B375/B374-1)</f>
        <v>0.00167748001571466</v>
      </c>
      <c r="D375" s="123" t="n">
        <f aca="false">IF(B375="","",IFERROR(B375/INDEX($B$2:$B$800,MATCH(DATE(YEAR(A375)-1,12,1),$A$2:$A$800,0))-1,""))</f>
        <v>0.051064391273751</v>
      </c>
      <c r="E375" s="123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2" t="n">
        <v>45931</v>
      </c>
      <c r="B376" s="43" t="n">
        <v>1222.356</v>
      </c>
      <c r="C376" s="123" t="n">
        <f aca="false">IF(OR(B376="",B375=""),"",B376/B375-1)</f>
        <v>0.00296123805843207</v>
      </c>
      <c r="D376" s="123" t="n">
        <f aca="false">IF(B376="","",IFERROR(B376/INDEX($B$2:$B$800,MATCH(DATE(YEAR(A376)-1,12,1),$A$2:$A$800,0))-1,""))</f>
        <v>0.0541768431510534</v>
      </c>
      <c r="E376" s="123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2" t="n">
        <v>45962</v>
      </c>
      <c r="B377" s="43" t="n">
        <v>1225.633</v>
      </c>
      <c r="C377" s="123" t="n">
        <f aca="false">IF(OR(B377="",B376=""),"",B377/B376-1)</f>
        <v>0.00268088838276248</v>
      </c>
      <c r="D377" s="123" t="n">
        <f aca="false">IF(B377="","",IFERROR(B377/INDEX($B$2:$B$800,MATCH(DATE(YEAR(A377)-1,12,1),$A$2:$A$800,0))-1,""))</f>
        <v>0.0570029736032345</v>
      </c>
      <c r="E377" s="123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2" t="n">
        <v>45992</v>
      </c>
      <c r="B378" s="43" t="n">
        <v>1228.161</v>
      </c>
      <c r="C378" s="123" t="n">
        <f aca="false">IF(OR(B378="",B377=""),"",B378/B377-1)</f>
        <v>0.00206260764845601</v>
      </c>
      <c r="D378" s="123" t="n">
        <f aca="false">IF(B378="","",IFERROR(B378/INDEX($B$2:$B$800,MATCH(DATE(YEAR(A378)-1,12,1),$A$2:$A$800,0))-1,""))</f>
        <v>0.0591831560210292</v>
      </c>
      <c r="E378" s="123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2" t="n">
        <v>46023</v>
      </c>
      <c r="B379" s="43" t="n">
        <v>1237.036</v>
      </c>
      <c r="C379" s="123" t="n">
        <f aca="false">IF(OR(B379="",B378=""),"",B379/B378-1)</f>
        <v>0.00722625128138743</v>
      </c>
      <c r="D379" s="123" t="n">
        <f aca="false">IF(B379="","",IFERROR(B379/INDEX($B$2:$B$800,MATCH(DATE(YEAR(A379)-1,12,1),$A$2:$A$800,0))-1,""))</f>
        <v>0.00722625128138743</v>
      </c>
      <c r="E379" s="123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2" t="n">
        <v>46054</v>
      </c>
      <c r="B380" s="43" t="n">
        <v>1240.481</v>
      </c>
      <c r="C380" s="123" t="n">
        <f aca="false">IF(OR(B380="",B379=""),"",B380/B379-1)</f>
        <v>0.00278488257415299</v>
      </c>
      <c r="D380" s="123" t="n">
        <f aca="false">IF(B380="","",IFERROR(B380/INDEX($B$2:$B$800,MATCH(DATE(YEAR(A380)-1,12,1),$A$2:$A$800,0))-1,""))</f>
        <v>0.0100312581168103</v>
      </c>
      <c r="E380" s="123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2" t="n">
        <v>46082</v>
      </c>
      <c r="B381" s="43" t="n">
        <v>1247.181</v>
      </c>
      <c r="C381" s="123" t="n">
        <f aca="false">IF(OR(B381="",B380=""),"",B381/B380-1)</f>
        <v>0.0054011306904338</v>
      </c>
      <c r="D381" s="123" t="n">
        <f aca="false">IF(B381="","",IFERROR(B381/INDEX($B$2:$B$800,MATCH(DATE(YEAR(A381)-1,12,1),$A$2:$A$800,0))-1,""))</f>
        <v>0.0154865689433226</v>
      </c>
      <c r="E381" s="123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2" t="n">
        <v>46113</v>
      </c>
      <c r="B382" s="43" t="n">
        <v>1259.652</v>
      </c>
      <c r="C382" s="123" t="n">
        <f aca="false">IF(OR(B382="",B381=""),"",B382/B381-1)</f>
        <v>0.0099993505353273</v>
      </c>
      <c r="D382" s="123" t="n">
        <f aca="false">IF(B382="","",IFERROR(B382/INDEX($B$2:$B$800,MATCH(DATE(YEAR(A382)-1,12,1),$A$2:$A$800,0))-1,""))</f>
        <v>0.0256407751101035</v>
      </c>
      <c r="E382" s="123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2" t="n">
        <v>46143</v>
      </c>
      <c r="B383" s="43" t="n">
        <v>1270.695</v>
      </c>
      <c r="C383" s="123" t="n">
        <f aca="false">IF(OR(B383="",B382=""),"",B383/B382-1)</f>
        <v>0.00876670699526527</v>
      </c>
      <c r="D383" s="123" t="n">
        <f aca="false">IF(B383="","",IFERROR(B383/INDEX($B$2:$B$800,MATCH(DATE(YEAR(A383)-1,12,1),$A$2:$A$800,0))-1,""))</f>
        <v>0.0346322672678907</v>
      </c>
      <c r="E383" s="123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2" t="n">
        <v>46174</v>
      </c>
      <c r="B384" s="43" t="n">
        <v>1280.641</v>
      </c>
      <c r="C384" s="123" t="n">
        <f aca="false">IF(OR(B384="",B383=""),"",B384/B383-1)</f>
        <v>0.00782721266708397</v>
      </c>
      <c r="D384" s="123" t="n">
        <f aca="false">IF(B384="","",IFERROR(B384/INDEX($B$2:$B$800,MATCH(DATE(YEAR(A384)-1,12,1),$A$2:$A$800,0))-1,""))</f>
        <v>0.0427305540560237</v>
      </c>
      <c r="E384" s="123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2" t="n">
        <v>46204</v>
      </c>
      <c r="B385" s="43" t="n">
        <v>1288.431</v>
      </c>
      <c r="C385" s="123" t="n">
        <f aca="false">IF(OR(B385="",B384=""),"",B385/B384-1)</f>
        <v>0.00608289130209005</v>
      </c>
      <c r="D385" s="123" t="n">
        <f aca="false">IF(B385="","",IFERROR(B385/INDEX($B$2:$B$800,MATCH(DATE(YEAR(A385)-1,12,1),$A$2:$A$800,0))-1,""))</f>
        <v>0.0490733706737145</v>
      </c>
      <c r="E385" s="123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2" t="n">
        <v>46235</v>
      </c>
      <c r="B386" s="43" t="n">
        <v>1296.889</v>
      </c>
      <c r="C386" s="123" t="n">
        <f aca="false">IF(OR(B386="",B385=""),"",B386/B385-1)</f>
        <v>0.00656457350063744</v>
      </c>
      <c r="D386" s="123" t="n">
        <f aca="false">IF(B386="","",IFERROR(B386/INDEX($B$2:$B$800,MATCH(DATE(YEAR(A386)-1,12,1),$A$2:$A$800,0))-1,""))</f>
        <v>0.0559600899230637</v>
      </c>
      <c r="E386" s="123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2" t="n">
        <v>46266</v>
      </c>
      <c r="B387" s="43" t="n">
        <v>1299.742</v>
      </c>
      <c r="C387" s="123" t="n">
        <f aca="false">IF(OR(B387="",B386=""),"",B387/B386-1)</f>
        <v>0.00219987986635717</v>
      </c>
      <c r="D387" s="123" t="n">
        <f aca="false">IF(B387="","",IFERROR(B387/INDEX($B$2:$B$800,MATCH(DATE(YEAR(A387)-1,12,1),$A$2:$A$800,0))-1,""))</f>
        <v>0.0582830752645622</v>
      </c>
      <c r="E387" s="123" t="n">
        <f aca="false">IF(B387="","",IFERROR(B387/INDEX($B$2:$B$800,MATCH(DATE(YEAR(A387)-1,MONTH(A387),1),$A$2:$A$800,0))-1,""))</f>
        <v>0.0664575994853731</v>
      </c>
    </row>
    <row r="388" customFormat="false" ht="15" hidden="false" customHeight="false" outlineLevel="0" collapsed="false">
      <c r="A388" s="125"/>
      <c r="B388" s="126"/>
      <c r="C388" s="123" t="str">
        <f aca="false">IF(OR(B388="",B387=""),"",B388/B387-1)</f>
        <v/>
      </c>
      <c r="D388" s="123" t="str">
        <f aca="false">IF(B388="","",IFERROR(B388/INDEX($B$2:$B$800,MATCH(DATE(YEAR(A388)-1,12,1),$A$2:$A$800,0))-1,""))</f>
        <v/>
      </c>
      <c r="E388" s="123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5"/>
      <c r="B389" s="126"/>
      <c r="C389" s="123" t="str">
        <f aca="false">IF(OR(B389="",B388=""),"",B389/B388-1)</f>
        <v/>
      </c>
      <c r="D389" s="123" t="str">
        <f aca="false">IF(B389="","",IFERROR(B389/INDEX($B$2:$B$800,MATCH(DATE(YEAR(A389)-1,12,1),$A$2:$A$800,0))-1,""))</f>
        <v/>
      </c>
      <c r="E389" s="123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5"/>
      <c r="B390" s="126"/>
      <c r="C390" s="123" t="str">
        <f aca="false">IF(OR(B390="",B389=""),"",B390/B389-1)</f>
        <v/>
      </c>
      <c r="D390" s="123" t="str">
        <f aca="false">IF(B390="","",IFERROR(B390/INDEX($B$2:$B$800,MATCH(DATE(YEAR(A390)-1,12,1),$A$2:$A$800,0))-1,""))</f>
        <v/>
      </c>
      <c r="E390" s="123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5"/>
      <c r="B391" s="126"/>
      <c r="C391" s="123" t="str">
        <f aca="false">IF(OR(B391="",B390=""),"",B391/B390-1)</f>
        <v/>
      </c>
      <c r="D391" s="123" t="str">
        <f aca="false">IF(B391="","",IFERROR(B391/INDEX($B$2:$B$800,MATCH(DATE(YEAR(A391)-1,12,1),$A$2:$A$800,0))-1,""))</f>
        <v/>
      </c>
      <c r="E391" s="123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5"/>
      <c r="B392" s="126"/>
      <c r="C392" s="123" t="str">
        <f aca="false">IF(OR(B392="",B391=""),"",B392/B391-1)</f>
        <v/>
      </c>
      <c r="D392" s="123" t="str">
        <f aca="false">IF(B392="","",IFERROR(B392/INDEX($B$2:$B$800,MATCH(DATE(YEAR(A392)-1,12,1),$A$2:$A$800,0))-1,""))</f>
        <v/>
      </c>
      <c r="E392" s="123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5"/>
      <c r="B393" s="126"/>
      <c r="C393" s="123" t="str">
        <f aca="false">IF(OR(B393="",B392=""),"",B393/B392-1)</f>
        <v/>
      </c>
      <c r="D393" s="123" t="str">
        <f aca="false">IF(B393="","",IFERROR(B393/INDEX($B$2:$B$800,MATCH(DATE(YEAR(A393)-1,12,1),$A$2:$A$800,0))-1,""))</f>
        <v/>
      </c>
      <c r="E393" s="123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5"/>
      <c r="B394" s="126"/>
      <c r="C394" s="123" t="str">
        <f aca="false">IF(OR(B394="",B393=""),"",B394/B393-1)</f>
        <v/>
      </c>
      <c r="D394" s="123" t="str">
        <f aca="false">IF(B394="","",IFERROR(B394/INDEX($B$2:$B$800,MATCH(DATE(YEAR(A394)-1,12,1),$A$2:$A$800,0))-1,""))</f>
        <v/>
      </c>
      <c r="E394" s="123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5"/>
      <c r="B395" s="126"/>
      <c r="C395" s="123" t="str">
        <f aca="false">IF(OR(B395="",B394=""),"",B395/B394-1)</f>
        <v/>
      </c>
      <c r="D395" s="123" t="str">
        <f aca="false">IF(B395="","",IFERROR(B395/INDEX($B$2:$B$800,MATCH(DATE(YEAR(A395)-1,12,1),$A$2:$A$800,0))-1,""))</f>
        <v/>
      </c>
      <c r="E395" s="123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5"/>
      <c r="B396" s="126"/>
      <c r="C396" s="123" t="str">
        <f aca="false">IF(OR(B396="",B395=""),"",B396/B395-1)</f>
        <v/>
      </c>
      <c r="D396" s="123" t="str">
        <f aca="false">IF(B396="","",IFERROR(B396/INDEX($B$2:$B$800,MATCH(DATE(YEAR(A396)-1,12,1),$A$2:$A$800,0))-1,""))</f>
        <v/>
      </c>
      <c r="E396" s="123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5"/>
      <c r="B397" s="126"/>
      <c r="C397" s="123" t="str">
        <f aca="false">IF(OR(B397="",B396=""),"",B397/B396-1)</f>
        <v/>
      </c>
      <c r="D397" s="123" t="str">
        <f aca="false">IF(B397="","",IFERROR(B397/INDEX($B$2:$B$800,MATCH(DATE(YEAR(A397)-1,12,1),$A$2:$A$800,0))-1,""))</f>
        <v/>
      </c>
      <c r="E397" s="123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5"/>
      <c r="B398" s="126"/>
      <c r="C398" s="123" t="str">
        <f aca="false">IF(OR(B398="",B397=""),"",B398/B397-1)</f>
        <v/>
      </c>
      <c r="D398" s="123" t="str">
        <f aca="false">IF(B398="","",IFERROR(B398/INDEX($B$2:$B$800,MATCH(DATE(YEAR(A398)-1,12,1),$A$2:$A$800,0))-1,""))</f>
        <v/>
      </c>
      <c r="E398" s="123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5"/>
      <c r="B399" s="126"/>
      <c r="C399" s="123" t="str">
        <f aca="false">IF(OR(B399="",B398=""),"",B399/B398-1)</f>
        <v/>
      </c>
      <c r="D399" s="123" t="str">
        <f aca="false">IF(B399="","",IFERROR(B399/INDEX($B$2:$B$800,MATCH(DATE(YEAR(A399)-1,12,1),$A$2:$A$800,0))-1,""))</f>
        <v/>
      </c>
      <c r="E399" s="123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5"/>
      <c r="B400" s="126"/>
      <c r="C400" s="123" t="str">
        <f aca="false">IF(OR(B400="",B399=""),"",B400/B399-1)</f>
        <v/>
      </c>
      <c r="D400" s="123" t="str">
        <f aca="false">IF(B400="","",IFERROR(B400/INDEX($B$2:$B$800,MATCH(DATE(YEAR(A400)-1,12,1),$A$2:$A$800,0))-1,""))</f>
        <v/>
      </c>
      <c r="E400" s="123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5"/>
      <c r="B401" s="126"/>
      <c r="C401" s="123" t="str">
        <f aca="false">IF(OR(B401="",B400=""),"",B401/B400-1)</f>
        <v/>
      </c>
      <c r="D401" s="123" t="str">
        <f aca="false">IF(B401="","",IFERROR(B401/INDEX($B$2:$B$800,MATCH(DATE(YEAR(A401)-1,12,1),$A$2:$A$800,0))-1,""))</f>
        <v/>
      </c>
      <c r="E401" s="123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5"/>
      <c r="B402" s="126"/>
      <c r="C402" s="123" t="str">
        <f aca="false">IF(OR(B402="",B401=""),"",B402/B401-1)</f>
        <v/>
      </c>
      <c r="D402" s="123" t="str">
        <f aca="false">IF(B402="","",IFERROR(B402/INDEX($B$2:$B$800,MATCH(DATE(YEAR(A402)-1,12,1),$A$2:$A$800,0))-1,""))</f>
        <v/>
      </c>
      <c r="E402" s="123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5"/>
      <c r="B403" s="126"/>
      <c r="C403" s="123" t="str">
        <f aca="false">IF(OR(B403="",B402=""),"",B403/B402-1)</f>
        <v/>
      </c>
      <c r="D403" s="123" t="str">
        <f aca="false">IF(B403="","",IFERROR(B403/INDEX($B$2:$B$800,MATCH(DATE(YEAR(A403)-1,12,1),$A$2:$A$800,0))-1,""))</f>
        <v/>
      </c>
      <c r="E403" s="123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5"/>
      <c r="B404" s="126"/>
      <c r="C404" s="123" t="str">
        <f aca="false">IF(OR(B404="",B403=""),"",B404/B403-1)</f>
        <v/>
      </c>
      <c r="D404" s="123" t="str">
        <f aca="false">IF(B404="","",IFERROR(B404/INDEX($B$2:$B$800,MATCH(DATE(YEAR(A404)-1,12,1),$A$2:$A$800,0))-1,""))</f>
        <v/>
      </c>
      <c r="E404" s="123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5"/>
      <c r="B405" s="126"/>
      <c r="C405" s="123" t="str">
        <f aca="false">IF(OR(B405="",B404=""),"",B405/B404-1)</f>
        <v/>
      </c>
      <c r="D405" s="123" t="str">
        <f aca="false">IF(B405="","",IFERROR(B405/INDEX($B$2:$B$800,MATCH(DATE(YEAR(A405)-1,12,1),$A$2:$A$800,0))-1,""))</f>
        <v/>
      </c>
      <c r="E405" s="123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5"/>
      <c r="B406" s="126"/>
      <c r="C406" s="123" t="str">
        <f aca="false">IF(OR(B406="",B405=""),"",B406/B405-1)</f>
        <v/>
      </c>
      <c r="D406" s="123" t="str">
        <f aca="false">IF(B406="","",IFERROR(B406/INDEX($B$2:$B$800,MATCH(DATE(YEAR(A406)-1,12,1),$A$2:$A$800,0))-1,""))</f>
        <v/>
      </c>
      <c r="E406" s="123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5"/>
      <c r="B407" s="126"/>
      <c r="C407" s="123" t="str">
        <f aca="false">IF(OR(B407="",B406=""),"",B407/B406-1)</f>
        <v/>
      </c>
      <c r="D407" s="123" t="str">
        <f aca="false">IF(B407="","",IFERROR(B407/INDEX($B$2:$B$800,MATCH(DATE(YEAR(A407)-1,12,1),$A$2:$A$800,0))-1,""))</f>
        <v/>
      </c>
      <c r="E407" s="123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5"/>
      <c r="B408" s="126"/>
      <c r="C408" s="123" t="str">
        <f aca="false">IF(OR(B408="",B407=""),"",B408/B407-1)</f>
        <v/>
      </c>
      <c r="D408" s="123" t="str">
        <f aca="false">IF(B408="","",IFERROR(B408/INDEX($B$2:$B$800,MATCH(DATE(YEAR(A408)-1,12,1),$A$2:$A$800,0))-1,""))</f>
        <v/>
      </c>
      <c r="E408" s="123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5"/>
      <c r="B409" s="126"/>
      <c r="C409" s="123" t="str">
        <f aca="false">IF(OR(B409="",B408=""),"",B409/B408-1)</f>
        <v/>
      </c>
      <c r="D409" s="123" t="str">
        <f aca="false">IF(B409="","",IFERROR(B409/INDEX($B$2:$B$800,MATCH(DATE(YEAR(A409)-1,12,1),$A$2:$A$800,0))-1,""))</f>
        <v/>
      </c>
      <c r="E409" s="123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5"/>
      <c r="B410" s="126"/>
      <c r="C410" s="123" t="str">
        <f aca="false">IF(OR(B410="",B409=""),"",B410/B409-1)</f>
        <v/>
      </c>
      <c r="D410" s="123" t="str">
        <f aca="false">IF(B410="","",IFERROR(B410/INDEX($B$2:$B$800,MATCH(DATE(YEAR(A410)-1,12,1),$A$2:$A$800,0))-1,""))</f>
        <v/>
      </c>
      <c r="E410" s="123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5"/>
      <c r="B411" s="126"/>
      <c r="C411" s="123" t="str">
        <f aca="false">IF(OR(B411="",B410=""),"",B411/B410-1)</f>
        <v/>
      </c>
      <c r="D411" s="123" t="str">
        <f aca="false">IF(B411="","",IFERROR(B411/INDEX($B$2:$B$800,MATCH(DATE(YEAR(A411)-1,12,1),$A$2:$A$800,0))-1,""))</f>
        <v/>
      </c>
      <c r="E411" s="123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5"/>
      <c r="B412" s="126"/>
      <c r="C412" s="123" t="str">
        <f aca="false">IF(OR(B412="",B411=""),"",B412/B411-1)</f>
        <v/>
      </c>
      <c r="D412" s="123" t="str">
        <f aca="false">IF(B412="","",IFERROR(B412/INDEX($B$2:$B$800,MATCH(DATE(YEAR(A412)-1,12,1),$A$2:$A$800,0))-1,""))</f>
        <v/>
      </c>
      <c r="E412" s="123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5"/>
      <c r="B413" s="126"/>
      <c r="C413" s="123" t="str">
        <f aca="false">IF(OR(B413="",B412=""),"",B413/B412-1)</f>
        <v/>
      </c>
      <c r="D413" s="123" t="str">
        <f aca="false">IF(B413="","",IFERROR(B413/INDEX($B$2:$B$800,MATCH(DATE(YEAR(A413)-1,12,1),$A$2:$A$800,0))-1,""))</f>
        <v/>
      </c>
      <c r="E413" s="123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5"/>
      <c r="B414" s="126"/>
      <c r="C414" s="123" t="str">
        <f aca="false">IF(OR(B414="",B413=""),"",B414/B413-1)</f>
        <v/>
      </c>
      <c r="D414" s="123" t="str">
        <f aca="false">IF(B414="","",IFERROR(B414/INDEX($B$2:$B$800,MATCH(DATE(YEAR(A414)-1,12,1),$A$2:$A$800,0))-1,""))</f>
        <v/>
      </c>
      <c r="E414" s="123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5"/>
      <c r="B415" s="126"/>
      <c r="C415" s="123" t="str">
        <f aca="false">IF(OR(B415="",B414=""),"",B415/B414-1)</f>
        <v/>
      </c>
      <c r="D415" s="123" t="str">
        <f aca="false">IF(B415="","",IFERROR(B415/INDEX($B$2:$B$800,MATCH(DATE(YEAR(A415)-1,12,1),$A$2:$A$800,0))-1,""))</f>
        <v/>
      </c>
      <c r="E415" s="123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5"/>
      <c r="B416" s="126"/>
      <c r="C416" s="123" t="str">
        <f aca="false">IF(OR(B416="",B415=""),"",B416/B415-1)</f>
        <v/>
      </c>
      <c r="D416" s="123" t="str">
        <f aca="false">IF(B416="","",IFERROR(B416/INDEX($B$2:$B$800,MATCH(DATE(YEAR(A416)-1,12,1),$A$2:$A$800,0))-1,""))</f>
        <v/>
      </c>
      <c r="E416" s="123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5"/>
      <c r="B417" s="126"/>
      <c r="C417" s="123" t="str">
        <f aca="false">IF(OR(B417="",B416=""),"",B417/B416-1)</f>
        <v/>
      </c>
      <c r="D417" s="123" t="str">
        <f aca="false">IF(B417="","",IFERROR(B417/INDEX($B$2:$B$800,MATCH(DATE(YEAR(A417)-1,12,1),$A$2:$A$800,0))-1,""))</f>
        <v/>
      </c>
      <c r="E417" s="123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5"/>
      <c r="B418" s="126"/>
      <c r="C418" s="123" t="str">
        <f aca="false">IF(OR(B418="",B417=""),"",B418/B417-1)</f>
        <v/>
      </c>
      <c r="D418" s="123" t="str">
        <f aca="false">IF(B418="","",IFERROR(B418/INDEX($B$2:$B$800,MATCH(DATE(YEAR(A418)-1,12,1),$A$2:$A$800,0))-1,""))</f>
        <v/>
      </c>
      <c r="E418" s="123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5"/>
      <c r="B419" s="126"/>
      <c r="C419" s="123" t="str">
        <f aca="false">IF(OR(B419="",B418=""),"",B419/B418-1)</f>
        <v/>
      </c>
      <c r="D419" s="123" t="str">
        <f aca="false">IF(B419="","",IFERROR(B419/INDEX($B$2:$B$800,MATCH(DATE(YEAR(A419)-1,12,1),$A$2:$A$800,0))-1,""))</f>
        <v/>
      </c>
      <c r="E419" s="123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5"/>
      <c r="B420" s="126"/>
      <c r="C420" s="123" t="str">
        <f aca="false">IF(OR(B420="",B419=""),"",B420/B419-1)</f>
        <v/>
      </c>
      <c r="D420" s="123" t="str">
        <f aca="false">IF(B420="","",IFERROR(B420/INDEX($B$2:$B$800,MATCH(DATE(YEAR(A420)-1,12,1),$A$2:$A$800,0))-1,""))</f>
        <v/>
      </c>
      <c r="E420" s="123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5"/>
      <c r="B421" s="126"/>
      <c r="C421" s="123" t="str">
        <f aca="false">IF(OR(B421="",B420=""),"",B421/B420-1)</f>
        <v/>
      </c>
      <c r="D421" s="123" t="str">
        <f aca="false">IF(B421="","",IFERROR(B421/INDEX($B$2:$B$800,MATCH(DATE(YEAR(A421)-1,12,1),$A$2:$A$800,0))-1,""))</f>
        <v/>
      </c>
      <c r="E421" s="123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5"/>
      <c r="B422" s="126"/>
      <c r="C422" s="123" t="str">
        <f aca="false">IF(OR(B422="",B421=""),"",B422/B421-1)</f>
        <v/>
      </c>
      <c r="D422" s="123" t="str">
        <f aca="false">IF(B422="","",IFERROR(B422/INDEX($B$2:$B$800,MATCH(DATE(YEAR(A422)-1,12,1),$A$2:$A$800,0))-1,""))</f>
        <v/>
      </c>
      <c r="E422" s="123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5"/>
      <c r="B423" s="126"/>
      <c r="C423" s="123" t="str">
        <f aca="false">IF(OR(B423="",B422=""),"",B423/B422-1)</f>
        <v/>
      </c>
      <c r="D423" s="123" t="str">
        <f aca="false">IF(B423="","",IFERROR(B423/INDEX($B$2:$B$800,MATCH(DATE(YEAR(A423)-1,12,1),$A$2:$A$800,0))-1,""))</f>
        <v/>
      </c>
      <c r="E423" s="123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5"/>
      <c r="B424" s="126"/>
      <c r="C424" s="123" t="str">
        <f aca="false">IF(OR(B424="",B423=""),"",B424/B423-1)</f>
        <v/>
      </c>
      <c r="D424" s="123" t="str">
        <f aca="false">IF(B424="","",IFERROR(B424/INDEX($B$2:$B$800,MATCH(DATE(YEAR(A424)-1,12,1),$A$2:$A$800,0))-1,""))</f>
        <v/>
      </c>
      <c r="E424" s="123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5"/>
      <c r="B425" s="126"/>
      <c r="C425" s="123" t="str">
        <f aca="false">IF(OR(B425="",B424=""),"",B425/B424-1)</f>
        <v/>
      </c>
      <c r="D425" s="123" t="str">
        <f aca="false">IF(B425="","",IFERROR(B425/INDEX($B$2:$B$800,MATCH(DATE(YEAR(A425)-1,12,1),$A$2:$A$800,0))-1,""))</f>
        <v/>
      </c>
      <c r="E425" s="123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5"/>
      <c r="B426" s="126"/>
      <c r="C426" s="123" t="str">
        <f aca="false">IF(OR(B426="",B425=""),"",B426/B425-1)</f>
        <v/>
      </c>
      <c r="D426" s="123" t="str">
        <f aca="false">IF(B426="","",IFERROR(B426/INDEX($B$2:$B$800,MATCH(DATE(YEAR(A426)-1,12,1),$A$2:$A$800,0))-1,""))</f>
        <v/>
      </c>
      <c r="E426" s="123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5"/>
      <c r="B427" s="126"/>
      <c r="C427" s="123" t="str">
        <f aca="false">IF(OR(B427="",B426=""),"",B427/B426-1)</f>
        <v/>
      </c>
      <c r="D427" s="123" t="str">
        <f aca="false">IF(B427="","",IFERROR(B427/INDEX($B$2:$B$800,MATCH(DATE(YEAR(A427)-1,12,1),$A$2:$A$800,0))-1,""))</f>
        <v/>
      </c>
      <c r="E427" s="123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5"/>
      <c r="B428" s="126"/>
      <c r="C428" s="123" t="str">
        <f aca="false">IF(OR(B428="",B427=""),"",B428/B427-1)</f>
        <v/>
      </c>
      <c r="D428" s="123" t="str">
        <f aca="false">IF(B428="","",IFERROR(B428/INDEX($B$2:$B$800,MATCH(DATE(YEAR(A428)-1,12,1),$A$2:$A$800,0))-1,""))</f>
        <v/>
      </c>
      <c r="E428" s="123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5"/>
      <c r="B429" s="126"/>
      <c r="C429" s="123" t="str">
        <f aca="false">IF(OR(B429="",B428=""),"",B429/B428-1)</f>
        <v/>
      </c>
      <c r="D429" s="123" t="str">
        <f aca="false">IF(B429="","",IFERROR(B429/INDEX($B$2:$B$800,MATCH(DATE(YEAR(A429)-1,12,1),$A$2:$A$800,0))-1,""))</f>
        <v/>
      </c>
      <c r="E429" s="123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5"/>
      <c r="B430" s="126"/>
      <c r="C430" s="123" t="str">
        <f aca="false">IF(OR(B430="",B429=""),"",B430/B429-1)</f>
        <v/>
      </c>
      <c r="D430" s="123" t="str">
        <f aca="false">IF(B430="","",IFERROR(B430/INDEX($B$2:$B$800,MATCH(DATE(YEAR(A430)-1,12,1),$A$2:$A$800,0))-1,""))</f>
        <v/>
      </c>
      <c r="E430" s="123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5"/>
      <c r="B431" s="126"/>
      <c r="C431" s="123" t="str">
        <f aca="false">IF(OR(B431="",B430=""),"",B431/B430-1)</f>
        <v/>
      </c>
      <c r="D431" s="123" t="str">
        <f aca="false">IF(B431="","",IFERROR(B431/INDEX($B$2:$B$800,MATCH(DATE(YEAR(A431)-1,12,1),$A$2:$A$800,0))-1,""))</f>
        <v/>
      </c>
      <c r="E431" s="123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5"/>
      <c r="B432" s="126"/>
      <c r="C432" s="123" t="str">
        <f aca="false">IF(OR(B432="",B431=""),"",B432/B431-1)</f>
        <v/>
      </c>
      <c r="D432" s="123" t="str">
        <f aca="false">IF(B432="","",IFERROR(B432/INDEX($B$2:$B$800,MATCH(DATE(YEAR(A432)-1,12,1),$A$2:$A$800,0))-1,""))</f>
        <v/>
      </c>
      <c r="E432" s="123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5"/>
      <c r="B433" s="126"/>
      <c r="C433" s="123" t="str">
        <f aca="false">IF(OR(B433="",B432=""),"",B433/B432-1)</f>
        <v/>
      </c>
      <c r="D433" s="123" t="str">
        <f aca="false">IF(B433="","",IFERROR(B433/INDEX($B$2:$B$800,MATCH(DATE(YEAR(A433)-1,12,1),$A$2:$A$800,0))-1,""))</f>
        <v/>
      </c>
      <c r="E433" s="123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5"/>
      <c r="B434" s="126"/>
      <c r="C434" s="123" t="str">
        <f aca="false">IF(OR(B434="",B433=""),"",B434/B433-1)</f>
        <v/>
      </c>
      <c r="D434" s="123" t="str">
        <f aca="false">IF(B434="","",IFERROR(B434/INDEX($B$2:$B$800,MATCH(DATE(YEAR(A434)-1,12,1),$A$2:$A$800,0))-1,""))</f>
        <v/>
      </c>
      <c r="E434" s="123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5"/>
      <c r="B435" s="126"/>
      <c r="C435" s="123" t="str">
        <f aca="false">IF(OR(B435="",B434=""),"",B435/B434-1)</f>
        <v/>
      </c>
      <c r="D435" s="123" t="str">
        <f aca="false">IF(B435="","",IFERROR(B435/INDEX($B$2:$B$800,MATCH(DATE(YEAR(A435)-1,12,1),$A$2:$A$800,0))-1,""))</f>
        <v/>
      </c>
      <c r="E435" s="123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5"/>
      <c r="B436" s="126"/>
      <c r="C436" s="123" t="str">
        <f aca="false">IF(OR(B436="",B435=""),"",B436/B435-1)</f>
        <v/>
      </c>
      <c r="D436" s="123" t="str">
        <f aca="false">IF(B436="","",IFERROR(B436/INDEX($B$2:$B$800,MATCH(DATE(YEAR(A436)-1,12,1),$A$2:$A$800,0))-1,""))</f>
        <v/>
      </c>
      <c r="E436" s="123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5"/>
      <c r="B437" s="126"/>
      <c r="C437" s="123" t="str">
        <f aca="false">IF(OR(B437="",B436=""),"",B437/B436-1)</f>
        <v/>
      </c>
      <c r="D437" s="123" t="str">
        <f aca="false">IF(B437="","",IFERROR(B437/INDEX($B$2:$B$800,MATCH(DATE(YEAR(A437)-1,12,1),$A$2:$A$800,0))-1,""))</f>
        <v/>
      </c>
      <c r="E437" s="123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5"/>
      <c r="B438" s="126"/>
      <c r="C438" s="123" t="str">
        <f aca="false">IF(OR(B438="",B437=""),"",B438/B437-1)</f>
        <v/>
      </c>
      <c r="D438" s="123" t="str">
        <f aca="false">IF(B438="","",IFERROR(B438/INDEX($B$2:$B$800,MATCH(DATE(YEAR(A438)-1,12,1),$A$2:$A$800,0))-1,""))</f>
        <v/>
      </c>
      <c r="E438" s="123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5"/>
      <c r="B439" s="126"/>
      <c r="C439" s="123" t="str">
        <f aca="false">IF(OR(B439="",B438=""),"",B439/B438-1)</f>
        <v/>
      </c>
      <c r="D439" s="123" t="str">
        <f aca="false">IF(B439="","",IFERROR(B439/INDEX($B$2:$B$800,MATCH(DATE(YEAR(A439)-1,12,1),$A$2:$A$800,0))-1,""))</f>
        <v/>
      </c>
      <c r="E439" s="123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5"/>
      <c r="B440" s="126"/>
      <c r="C440" s="123" t="str">
        <f aca="false">IF(OR(B440="",B439=""),"",B440/B439-1)</f>
        <v/>
      </c>
      <c r="D440" s="123" t="str">
        <f aca="false">IF(B440="","",IFERROR(B440/INDEX($B$2:$B$800,MATCH(DATE(YEAR(A440)-1,12,1),$A$2:$A$800,0))-1,""))</f>
        <v/>
      </c>
      <c r="E440" s="123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5"/>
      <c r="B441" s="126"/>
      <c r="C441" s="123" t="str">
        <f aca="false">IF(OR(B441="",B440=""),"",B441/B440-1)</f>
        <v/>
      </c>
      <c r="D441" s="123" t="str">
        <f aca="false">IF(B441="","",IFERROR(B441/INDEX($B$2:$B$800,MATCH(DATE(YEAR(A441)-1,12,1),$A$2:$A$800,0))-1,""))</f>
        <v/>
      </c>
      <c r="E441" s="123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5"/>
      <c r="B442" s="126"/>
      <c r="C442" s="123" t="str">
        <f aca="false">IF(OR(B442="",B441=""),"",B442/B441-1)</f>
        <v/>
      </c>
      <c r="D442" s="123" t="str">
        <f aca="false">IF(B442="","",IFERROR(B442/INDEX($B$2:$B$800,MATCH(DATE(YEAR(A442)-1,12,1),$A$2:$A$800,0))-1,""))</f>
        <v/>
      </c>
      <c r="E442" s="123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5"/>
      <c r="B443" s="126"/>
      <c r="C443" s="123" t="str">
        <f aca="false">IF(OR(B443="",B442=""),"",B443/B442-1)</f>
        <v/>
      </c>
      <c r="D443" s="123" t="str">
        <f aca="false">IF(B443="","",IFERROR(B443/INDEX($B$2:$B$800,MATCH(DATE(YEAR(A443)-1,12,1),$A$2:$A$800,0))-1,""))</f>
        <v/>
      </c>
      <c r="E443" s="123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5"/>
      <c r="B444" s="126"/>
      <c r="C444" s="123" t="str">
        <f aca="false">IF(OR(B444="",B443=""),"",B444/B443-1)</f>
        <v/>
      </c>
      <c r="D444" s="123" t="str">
        <f aca="false">IF(B444="","",IFERROR(B444/INDEX($B$2:$B$800,MATCH(DATE(YEAR(A444)-1,12,1),$A$2:$A$800,0))-1,""))</f>
        <v/>
      </c>
      <c r="E444" s="123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5"/>
      <c r="B445" s="126"/>
      <c r="C445" s="123" t="str">
        <f aca="false">IF(OR(B445="",B444=""),"",B445/B444-1)</f>
        <v/>
      </c>
      <c r="D445" s="123" t="str">
        <f aca="false">IF(B445="","",IFERROR(B445/INDEX($B$2:$B$800,MATCH(DATE(YEAR(A445)-1,12,1),$A$2:$A$800,0))-1,""))</f>
        <v/>
      </c>
      <c r="E445" s="123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5"/>
      <c r="B446" s="126"/>
      <c r="C446" s="123" t="str">
        <f aca="false">IF(OR(B446="",B445=""),"",B446/B445-1)</f>
        <v/>
      </c>
      <c r="D446" s="123" t="str">
        <f aca="false">IF(B446="","",IFERROR(B446/INDEX($B$2:$B$800,MATCH(DATE(YEAR(A446)-1,12,1),$A$2:$A$800,0))-1,""))</f>
        <v/>
      </c>
      <c r="E446" s="123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5"/>
      <c r="B447" s="126"/>
      <c r="C447" s="123" t="str">
        <f aca="false">IF(OR(B447="",B446=""),"",B447/B446-1)</f>
        <v/>
      </c>
      <c r="D447" s="123" t="str">
        <f aca="false">IF(B447="","",IFERROR(B447/INDEX($B$2:$B$800,MATCH(DATE(YEAR(A447)-1,12,1),$A$2:$A$800,0))-1,""))</f>
        <v/>
      </c>
      <c r="E447" s="123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5"/>
      <c r="B448" s="126"/>
      <c r="C448" s="123" t="str">
        <f aca="false">IF(OR(B448="",B447=""),"",B448/B447-1)</f>
        <v/>
      </c>
      <c r="D448" s="123" t="str">
        <f aca="false">IF(B448="","",IFERROR(B448/INDEX($B$2:$B$800,MATCH(DATE(YEAR(A448)-1,12,1),$A$2:$A$800,0))-1,""))</f>
        <v/>
      </c>
      <c r="E448" s="123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5"/>
      <c r="B449" s="126"/>
      <c r="C449" s="123" t="str">
        <f aca="false">IF(OR(B449="",B448=""),"",B449/B448-1)</f>
        <v/>
      </c>
      <c r="D449" s="123" t="str">
        <f aca="false">IF(B449="","",IFERROR(B449/INDEX($B$2:$B$800,MATCH(DATE(YEAR(A449)-1,12,1),$A$2:$A$800,0))-1,""))</f>
        <v/>
      </c>
      <c r="E449" s="123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5"/>
      <c r="B450" s="126"/>
      <c r="C450" s="123" t="str">
        <f aca="false">IF(OR(B450="",B449=""),"",B450/B449-1)</f>
        <v/>
      </c>
      <c r="D450" s="123" t="str">
        <f aca="false">IF(B450="","",IFERROR(B450/INDEX($B$2:$B$800,MATCH(DATE(YEAR(A450)-1,12,1),$A$2:$A$800,0))-1,""))</f>
        <v/>
      </c>
      <c r="E450" s="123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5"/>
      <c r="B451" s="126"/>
      <c r="C451" s="123" t="str">
        <f aca="false">IF(OR(B451="",B450=""),"",B451/B450-1)</f>
        <v/>
      </c>
      <c r="D451" s="123" t="str">
        <f aca="false">IF(B451="","",IFERROR(B451/INDEX($B$2:$B$800,MATCH(DATE(YEAR(A451)-1,12,1),$A$2:$A$800,0))-1,""))</f>
        <v/>
      </c>
      <c r="E451" s="123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5"/>
      <c r="B452" s="126"/>
      <c r="C452" s="123" t="str">
        <f aca="false">IF(OR(B452="",B451=""),"",B452/B451-1)</f>
        <v/>
      </c>
      <c r="D452" s="123" t="str">
        <f aca="false">IF(B452="","",IFERROR(B452/INDEX($B$2:$B$800,MATCH(DATE(YEAR(A452)-1,12,1),$A$2:$A$800,0))-1,""))</f>
        <v/>
      </c>
      <c r="E452" s="123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5"/>
      <c r="B453" s="126"/>
      <c r="C453" s="123" t="str">
        <f aca="false">IF(OR(B453="",B452=""),"",B453/B452-1)</f>
        <v/>
      </c>
      <c r="D453" s="123" t="str">
        <f aca="false">IF(B453="","",IFERROR(B453/INDEX($B$2:$B$800,MATCH(DATE(YEAR(A453)-1,12,1),$A$2:$A$800,0))-1,""))</f>
        <v/>
      </c>
      <c r="E453" s="123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5"/>
      <c r="B454" s="126"/>
      <c r="C454" s="123" t="str">
        <f aca="false">IF(OR(B454="",B453=""),"",B454/B453-1)</f>
        <v/>
      </c>
      <c r="D454" s="123" t="str">
        <f aca="false">IF(B454="","",IFERROR(B454/INDEX($B$2:$B$800,MATCH(DATE(YEAR(A454)-1,12,1),$A$2:$A$800,0))-1,""))</f>
        <v/>
      </c>
      <c r="E454" s="123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5"/>
      <c r="B455" s="126"/>
      <c r="C455" s="123" t="str">
        <f aca="false">IF(OR(B455="",B454=""),"",B455/B454-1)</f>
        <v/>
      </c>
      <c r="D455" s="123" t="str">
        <f aca="false">IF(B455="","",IFERROR(B455/INDEX($B$2:$B$800,MATCH(DATE(YEAR(A455)-1,12,1),$A$2:$A$800,0))-1,""))</f>
        <v/>
      </c>
      <c r="E455" s="123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5"/>
      <c r="B456" s="126"/>
      <c r="C456" s="123" t="str">
        <f aca="false">IF(OR(B456="",B455=""),"",B456/B455-1)</f>
        <v/>
      </c>
      <c r="D456" s="123" t="str">
        <f aca="false">IF(B456="","",IFERROR(B456/INDEX($B$2:$B$800,MATCH(DATE(YEAR(A456)-1,12,1),$A$2:$A$800,0))-1,""))</f>
        <v/>
      </c>
      <c r="E456" s="123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5"/>
      <c r="B457" s="126"/>
      <c r="C457" s="123" t="str">
        <f aca="false">IF(OR(B457="",B456=""),"",B457/B456-1)</f>
        <v/>
      </c>
      <c r="D457" s="123" t="str">
        <f aca="false">IF(B457="","",IFERROR(B457/INDEX($B$2:$B$800,MATCH(DATE(YEAR(A457)-1,12,1),$A$2:$A$800,0))-1,""))</f>
        <v/>
      </c>
      <c r="E457" s="123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5"/>
      <c r="B458" s="126"/>
      <c r="C458" s="123" t="str">
        <f aca="false">IF(OR(B458="",B457=""),"",B458/B457-1)</f>
        <v/>
      </c>
      <c r="D458" s="123" t="str">
        <f aca="false">IF(B458="","",IFERROR(B458/INDEX($B$2:$B$800,MATCH(DATE(YEAR(A458)-1,12,1),$A$2:$A$800,0))-1,""))</f>
        <v/>
      </c>
      <c r="E458" s="123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5"/>
      <c r="B459" s="126"/>
      <c r="C459" s="123" t="str">
        <f aca="false">IF(OR(B459="",B458=""),"",B459/B458-1)</f>
        <v/>
      </c>
      <c r="D459" s="123" t="str">
        <f aca="false">IF(B459="","",IFERROR(B459/INDEX($B$2:$B$800,MATCH(DATE(YEAR(A459)-1,12,1),$A$2:$A$800,0))-1,""))</f>
        <v/>
      </c>
      <c r="E459" s="123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5"/>
      <c r="B460" s="126"/>
      <c r="C460" s="123" t="str">
        <f aca="false">IF(OR(B460="",B459=""),"",B460/B459-1)</f>
        <v/>
      </c>
      <c r="D460" s="123" t="str">
        <f aca="false">IF(B460="","",IFERROR(B460/INDEX($B$2:$B$800,MATCH(DATE(YEAR(A460)-1,12,1),$A$2:$A$800,0))-1,""))</f>
        <v/>
      </c>
      <c r="E460" s="123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5"/>
      <c r="B461" s="126"/>
      <c r="C461" s="123" t="str">
        <f aca="false">IF(OR(B461="",B460=""),"",B461/B460-1)</f>
        <v/>
      </c>
      <c r="D461" s="123" t="str">
        <f aca="false">IF(B461="","",IFERROR(B461/INDEX($B$2:$B$800,MATCH(DATE(YEAR(A461)-1,12,1),$A$2:$A$800,0))-1,""))</f>
        <v/>
      </c>
      <c r="E461" s="123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5"/>
      <c r="B462" s="126"/>
      <c r="C462" s="123" t="str">
        <f aca="false">IF(OR(B462="",B461=""),"",B462/B461-1)</f>
        <v/>
      </c>
      <c r="D462" s="123" t="str">
        <f aca="false">IF(B462="","",IFERROR(B462/INDEX($B$2:$B$800,MATCH(DATE(YEAR(A462)-1,12,1),$A$2:$A$800,0))-1,""))</f>
        <v/>
      </c>
      <c r="E462" s="123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5"/>
      <c r="B463" s="126"/>
      <c r="C463" s="123" t="str">
        <f aca="false">IF(OR(B463="",B462=""),"",B463/B462-1)</f>
        <v/>
      </c>
      <c r="D463" s="123" t="str">
        <f aca="false">IF(B463="","",IFERROR(B463/INDEX($B$2:$B$800,MATCH(DATE(YEAR(A463)-1,12,1),$A$2:$A$800,0))-1,""))</f>
        <v/>
      </c>
      <c r="E463" s="123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5"/>
      <c r="B464" s="126"/>
      <c r="C464" s="123" t="str">
        <f aca="false">IF(OR(B464="",B463=""),"",B464/B463-1)</f>
        <v/>
      </c>
      <c r="D464" s="123" t="str">
        <f aca="false">IF(B464="","",IFERROR(B464/INDEX($B$2:$B$800,MATCH(DATE(YEAR(A464)-1,12,1),$A$2:$A$800,0))-1,""))</f>
        <v/>
      </c>
      <c r="E464" s="123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5"/>
      <c r="B465" s="126"/>
      <c r="C465" s="123" t="str">
        <f aca="false">IF(OR(B465="",B464=""),"",B465/B464-1)</f>
        <v/>
      </c>
      <c r="D465" s="123" t="str">
        <f aca="false">IF(B465="","",IFERROR(B465/INDEX($B$2:$B$800,MATCH(DATE(YEAR(A465)-1,12,1),$A$2:$A$800,0))-1,""))</f>
        <v/>
      </c>
      <c r="E465" s="123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5"/>
      <c r="B466" s="126"/>
      <c r="C466" s="123" t="str">
        <f aca="false">IF(OR(B466="",B465=""),"",B466/B465-1)</f>
        <v/>
      </c>
      <c r="D466" s="123" t="str">
        <f aca="false">IF(B466="","",IFERROR(B466/INDEX($B$2:$B$800,MATCH(DATE(YEAR(A466)-1,12,1),$A$2:$A$800,0))-1,""))</f>
        <v/>
      </c>
      <c r="E466" s="123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5"/>
      <c r="B467" s="126"/>
      <c r="C467" s="123" t="str">
        <f aca="false">IF(OR(B467="",B466=""),"",B467/B466-1)</f>
        <v/>
      </c>
      <c r="D467" s="123" t="str">
        <f aca="false">IF(B467="","",IFERROR(B467/INDEX($B$2:$B$800,MATCH(DATE(YEAR(A467)-1,12,1),$A$2:$A$800,0))-1,""))</f>
        <v/>
      </c>
      <c r="E467" s="123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5"/>
      <c r="B468" s="126"/>
      <c r="C468" s="123" t="str">
        <f aca="false">IF(OR(B468="",B467=""),"",B468/B467-1)</f>
        <v/>
      </c>
      <c r="D468" s="123" t="str">
        <f aca="false">IF(B468="","",IFERROR(B468/INDEX($B$2:$B$800,MATCH(DATE(YEAR(A468)-1,12,1),$A$2:$A$800,0))-1,""))</f>
        <v/>
      </c>
      <c r="E468" s="123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5"/>
      <c r="B469" s="126"/>
      <c r="C469" s="123" t="str">
        <f aca="false">IF(OR(B469="",B468=""),"",B469/B468-1)</f>
        <v/>
      </c>
      <c r="D469" s="123" t="str">
        <f aca="false">IF(B469="","",IFERROR(B469/INDEX($B$2:$B$800,MATCH(DATE(YEAR(A469)-1,12,1),$A$2:$A$800,0))-1,""))</f>
        <v/>
      </c>
      <c r="E469" s="123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5"/>
      <c r="B470" s="126"/>
      <c r="C470" s="123" t="str">
        <f aca="false">IF(OR(B470="",B469=""),"",B470/B469-1)</f>
        <v/>
      </c>
      <c r="D470" s="123" t="str">
        <f aca="false">IF(B470="","",IFERROR(B470/INDEX($B$2:$B$800,MATCH(DATE(YEAR(A470)-1,12,1),$A$2:$A$800,0))-1,""))</f>
        <v/>
      </c>
      <c r="E470" s="123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5"/>
      <c r="B471" s="126"/>
      <c r="C471" s="123" t="str">
        <f aca="false">IF(OR(B471="",B470=""),"",B471/B470-1)</f>
        <v/>
      </c>
      <c r="D471" s="123" t="str">
        <f aca="false">IF(B471="","",IFERROR(B471/INDEX($B$2:$B$800,MATCH(DATE(YEAR(A471)-1,12,1),$A$2:$A$800,0))-1,""))</f>
        <v/>
      </c>
      <c r="E471" s="123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5"/>
      <c r="B472" s="126"/>
      <c r="C472" s="123" t="str">
        <f aca="false">IF(OR(B472="",B471=""),"",B472/B471-1)</f>
        <v/>
      </c>
      <c r="D472" s="123" t="str">
        <f aca="false">IF(B472="","",IFERROR(B472/INDEX($B$2:$B$800,MATCH(DATE(YEAR(A472)-1,12,1),$A$2:$A$800,0))-1,""))</f>
        <v/>
      </c>
      <c r="E472" s="123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5"/>
      <c r="B473" s="126"/>
      <c r="C473" s="123" t="str">
        <f aca="false">IF(OR(B473="",B472=""),"",B473/B472-1)</f>
        <v/>
      </c>
      <c r="D473" s="123" t="str">
        <f aca="false">IF(B473="","",IFERROR(B473/INDEX($B$2:$B$800,MATCH(DATE(YEAR(A473)-1,12,1),$A$2:$A$800,0))-1,""))</f>
        <v/>
      </c>
      <c r="E473" s="123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5"/>
      <c r="B474" s="126"/>
      <c r="C474" s="123" t="str">
        <f aca="false">IF(OR(B474="",B473=""),"",B474/B473-1)</f>
        <v/>
      </c>
      <c r="D474" s="123" t="str">
        <f aca="false">IF(B474="","",IFERROR(B474/INDEX($B$2:$B$800,MATCH(DATE(YEAR(A474)-1,12,1),$A$2:$A$800,0))-1,""))</f>
        <v/>
      </c>
      <c r="E474" s="123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5"/>
      <c r="B475" s="126"/>
      <c r="C475" s="123" t="str">
        <f aca="false">IF(OR(B475="",B474=""),"",B475/B474-1)</f>
        <v/>
      </c>
      <c r="D475" s="123" t="str">
        <f aca="false">IF(B475="","",IFERROR(B475/INDEX($B$2:$B$800,MATCH(DATE(YEAR(A475)-1,12,1),$A$2:$A$800,0))-1,""))</f>
        <v/>
      </c>
      <c r="E475" s="123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5"/>
      <c r="B476" s="126"/>
      <c r="C476" s="123" t="str">
        <f aca="false">IF(OR(B476="",B475=""),"",B476/B475-1)</f>
        <v/>
      </c>
      <c r="D476" s="123" t="str">
        <f aca="false">IF(B476="","",IFERROR(B476/INDEX($B$2:$B$800,MATCH(DATE(YEAR(A476)-1,12,1),$A$2:$A$800,0))-1,""))</f>
        <v/>
      </c>
      <c r="E476" s="123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5"/>
      <c r="B477" s="126"/>
      <c r="C477" s="123" t="str">
        <f aca="false">IF(OR(B477="",B476=""),"",B477/B476-1)</f>
        <v/>
      </c>
      <c r="D477" s="123" t="str">
        <f aca="false">IF(B477="","",IFERROR(B477/INDEX($B$2:$B$800,MATCH(DATE(YEAR(A477)-1,12,1),$A$2:$A$800,0))-1,""))</f>
        <v/>
      </c>
      <c r="E477" s="123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5"/>
      <c r="B478" s="126"/>
      <c r="C478" s="123" t="str">
        <f aca="false">IF(OR(B478="",B477=""),"",B478/B477-1)</f>
        <v/>
      </c>
      <c r="D478" s="123" t="str">
        <f aca="false">IF(B478="","",IFERROR(B478/INDEX($B$2:$B$800,MATCH(DATE(YEAR(A478)-1,12,1),$A$2:$A$800,0))-1,""))</f>
        <v/>
      </c>
      <c r="E478" s="123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5"/>
      <c r="B479" s="126"/>
      <c r="C479" s="123" t="str">
        <f aca="false">IF(OR(B479="",B478=""),"",B479/B478-1)</f>
        <v/>
      </c>
      <c r="D479" s="123" t="str">
        <f aca="false">IF(B479="","",IFERROR(B479/INDEX($B$2:$B$800,MATCH(DATE(YEAR(A479)-1,12,1),$A$2:$A$800,0))-1,""))</f>
        <v/>
      </c>
      <c r="E479" s="123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5"/>
      <c r="B480" s="126"/>
      <c r="C480" s="123" t="str">
        <f aca="false">IF(OR(B480="",B479=""),"",B480/B479-1)</f>
        <v/>
      </c>
      <c r="D480" s="123" t="str">
        <f aca="false">IF(B480="","",IFERROR(B480/INDEX($B$2:$B$800,MATCH(DATE(YEAR(A480)-1,12,1),$A$2:$A$800,0))-1,""))</f>
        <v/>
      </c>
      <c r="E480" s="123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5"/>
      <c r="B481" s="126"/>
      <c r="C481" s="123" t="str">
        <f aca="false">IF(OR(B481="",B480=""),"",B481/B480-1)</f>
        <v/>
      </c>
      <c r="D481" s="123" t="str">
        <f aca="false">IF(B481="","",IFERROR(B481/INDEX($B$2:$B$800,MATCH(DATE(YEAR(A481)-1,12,1),$A$2:$A$800,0))-1,""))</f>
        <v/>
      </c>
      <c r="E481" s="123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5"/>
      <c r="B482" s="126"/>
      <c r="C482" s="123" t="str">
        <f aca="false">IF(OR(B482="",B481=""),"",B482/B481-1)</f>
        <v/>
      </c>
      <c r="D482" s="123" t="str">
        <f aca="false">IF(B482="","",IFERROR(B482/INDEX($B$2:$B$800,MATCH(DATE(YEAR(A482)-1,12,1),$A$2:$A$800,0))-1,""))</f>
        <v/>
      </c>
      <c r="E482" s="123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5"/>
      <c r="B483" s="126"/>
      <c r="C483" s="123" t="str">
        <f aca="false">IF(OR(B483="",B482=""),"",B483/B482-1)</f>
        <v/>
      </c>
      <c r="D483" s="123" t="str">
        <f aca="false">IF(B483="","",IFERROR(B483/INDEX($B$2:$B$800,MATCH(DATE(YEAR(A483)-1,12,1),$A$2:$A$800,0))-1,""))</f>
        <v/>
      </c>
      <c r="E483" s="123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5"/>
      <c r="B484" s="126"/>
      <c r="C484" s="123" t="str">
        <f aca="false">IF(OR(B484="",B483=""),"",B484/B483-1)</f>
        <v/>
      </c>
      <c r="D484" s="123" t="str">
        <f aca="false">IF(B484="","",IFERROR(B484/INDEX($B$2:$B$800,MATCH(DATE(YEAR(A484)-1,12,1),$A$2:$A$800,0))-1,""))</f>
        <v/>
      </c>
      <c r="E484" s="123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5"/>
      <c r="B485" s="126"/>
      <c r="C485" s="123" t="str">
        <f aca="false">IF(OR(B485="",B484=""),"",B485/B484-1)</f>
        <v/>
      </c>
      <c r="D485" s="123" t="str">
        <f aca="false">IF(B485="","",IFERROR(B485/INDEX($B$2:$B$800,MATCH(DATE(YEAR(A485)-1,12,1),$A$2:$A$800,0))-1,""))</f>
        <v/>
      </c>
      <c r="E485" s="123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5"/>
      <c r="B486" s="126"/>
      <c r="C486" s="123" t="str">
        <f aca="false">IF(OR(B486="",B485=""),"",B486/B485-1)</f>
        <v/>
      </c>
      <c r="D486" s="123" t="str">
        <f aca="false">IF(B486="","",IFERROR(B486/INDEX($B$2:$B$800,MATCH(DATE(YEAR(A486)-1,12,1),$A$2:$A$800,0))-1,""))</f>
        <v/>
      </c>
      <c r="E486" s="123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5"/>
      <c r="B487" s="126"/>
      <c r="C487" s="123" t="str">
        <f aca="false">IF(OR(B487="",B486=""),"",B487/B486-1)</f>
        <v/>
      </c>
      <c r="D487" s="123" t="str">
        <f aca="false">IF(B487="","",IFERROR(B487/INDEX($B$2:$B$800,MATCH(DATE(YEAR(A487)-1,12,1),$A$2:$A$800,0))-1,""))</f>
        <v/>
      </c>
      <c r="E487" s="123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5"/>
      <c r="B488" s="126"/>
      <c r="C488" s="123" t="str">
        <f aca="false">IF(OR(B488="",B487=""),"",B488/B487-1)</f>
        <v/>
      </c>
      <c r="D488" s="123" t="str">
        <f aca="false">IF(B488="","",IFERROR(B488/INDEX($B$2:$B$800,MATCH(DATE(YEAR(A488)-1,12,1),$A$2:$A$800,0))-1,""))</f>
        <v/>
      </c>
      <c r="E488" s="123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5"/>
      <c r="B489" s="126"/>
      <c r="C489" s="123" t="str">
        <f aca="false">IF(OR(B489="",B488=""),"",B489/B488-1)</f>
        <v/>
      </c>
      <c r="D489" s="123" t="str">
        <f aca="false">IF(B489="","",IFERROR(B489/INDEX($B$2:$B$800,MATCH(DATE(YEAR(A489)-1,12,1),$A$2:$A$800,0))-1,""))</f>
        <v/>
      </c>
      <c r="E489" s="123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5"/>
      <c r="B490" s="126"/>
      <c r="C490" s="123" t="str">
        <f aca="false">IF(OR(B490="",B489=""),"",B490/B489-1)</f>
        <v/>
      </c>
      <c r="D490" s="123" t="str">
        <f aca="false">IF(B490="","",IFERROR(B490/INDEX($B$2:$B$800,MATCH(DATE(YEAR(A490)-1,12,1),$A$2:$A$800,0))-1,""))</f>
        <v/>
      </c>
      <c r="E490" s="123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5"/>
      <c r="B491" s="126"/>
      <c r="C491" s="123" t="str">
        <f aca="false">IF(OR(B491="",B490=""),"",B491/B490-1)</f>
        <v/>
      </c>
      <c r="D491" s="123" t="str">
        <f aca="false">IF(B491="","",IFERROR(B491/INDEX($B$2:$B$800,MATCH(DATE(YEAR(A491)-1,12,1),$A$2:$A$800,0))-1,""))</f>
        <v/>
      </c>
      <c r="E491" s="123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5"/>
      <c r="B492" s="126"/>
      <c r="C492" s="123" t="str">
        <f aca="false">IF(OR(B492="",B491=""),"",B492/B491-1)</f>
        <v/>
      </c>
      <c r="D492" s="123" t="str">
        <f aca="false">IF(B492="","",IFERROR(B492/INDEX($B$2:$B$800,MATCH(DATE(YEAR(A492)-1,12,1),$A$2:$A$800,0))-1,""))</f>
        <v/>
      </c>
      <c r="E492" s="123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5"/>
      <c r="B493" s="126"/>
      <c r="C493" s="123" t="str">
        <f aca="false">IF(OR(B493="",B492=""),"",B493/B492-1)</f>
        <v/>
      </c>
      <c r="D493" s="123" t="str">
        <f aca="false">IF(B493="","",IFERROR(B493/INDEX($B$2:$B$800,MATCH(DATE(YEAR(A493)-1,12,1),$A$2:$A$800,0))-1,""))</f>
        <v/>
      </c>
      <c r="E493" s="123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5"/>
      <c r="B494" s="126"/>
      <c r="C494" s="123" t="str">
        <f aca="false">IF(OR(B494="",B493=""),"",B494/B493-1)</f>
        <v/>
      </c>
      <c r="D494" s="123" t="str">
        <f aca="false">IF(B494="","",IFERROR(B494/INDEX($B$2:$B$800,MATCH(DATE(YEAR(A494)-1,12,1),$A$2:$A$800,0))-1,""))</f>
        <v/>
      </c>
      <c r="E494" s="123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5"/>
      <c r="B495" s="126"/>
      <c r="C495" s="123" t="str">
        <f aca="false">IF(OR(B495="",B494=""),"",B495/B494-1)</f>
        <v/>
      </c>
      <c r="D495" s="123" t="str">
        <f aca="false">IF(B495="","",IFERROR(B495/INDEX($B$2:$B$800,MATCH(DATE(YEAR(A495)-1,12,1),$A$2:$A$800,0))-1,""))</f>
        <v/>
      </c>
      <c r="E495" s="123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5"/>
      <c r="B496" s="126"/>
      <c r="C496" s="123" t="str">
        <f aca="false">IF(OR(B496="",B495=""),"",B496/B495-1)</f>
        <v/>
      </c>
      <c r="D496" s="123" t="str">
        <f aca="false">IF(B496="","",IFERROR(B496/INDEX($B$2:$B$800,MATCH(DATE(YEAR(A496)-1,12,1),$A$2:$A$800,0))-1,""))</f>
        <v/>
      </c>
      <c r="E496" s="123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5"/>
      <c r="B497" s="126"/>
      <c r="C497" s="123" t="str">
        <f aca="false">IF(OR(B497="",B496=""),"",B497/B496-1)</f>
        <v/>
      </c>
      <c r="D497" s="123" t="str">
        <f aca="false">IF(B497="","",IFERROR(B497/INDEX($B$2:$B$800,MATCH(DATE(YEAR(A497)-1,12,1),$A$2:$A$800,0))-1,""))</f>
        <v/>
      </c>
      <c r="E497" s="123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5"/>
      <c r="B498" s="126"/>
      <c r="C498" s="123" t="str">
        <f aca="false">IF(OR(B498="",B497=""),"",B498/B497-1)</f>
        <v/>
      </c>
      <c r="D498" s="123" t="str">
        <f aca="false">IF(B498="","",IFERROR(B498/INDEX($B$2:$B$800,MATCH(DATE(YEAR(A498)-1,12,1),$A$2:$A$800,0))-1,""))</f>
        <v/>
      </c>
      <c r="E498" s="123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5"/>
      <c r="B499" s="126"/>
      <c r="C499" s="123" t="str">
        <f aca="false">IF(OR(B499="",B498=""),"",B499/B498-1)</f>
        <v/>
      </c>
      <c r="D499" s="123" t="str">
        <f aca="false">IF(B499="","",IFERROR(B499/INDEX($B$2:$B$800,MATCH(DATE(YEAR(A499)-1,12,1),$A$2:$A$800,0))-1,""))</f>
        <v/>
      </c>
      <c r="E499" s="123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5"/>
      <c r="B500" s="126"/>
      <c r="C500" s="123" t="str">
        <f aca="false">IF(OR(B500="",B499=""),"",B500/B499-1)</f>
        <v/>
      </c>
      <c r="D500" s="123" t="str">
        <f aca="false">IF(B500="","",IFERROR(B500/INDEX($B$2:$B$800,MATCH(DATE(YEAR(A500)-1,12,1),$A$2:$A$800,0))-1,""))</f>
        <v/>
      </c>
      <c r="E500" s="123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5"/>
      <c r="B501" s="126"/>
      <c r="C501" s="123" t="str">
        <f aca="false">IF(OR(B501="",B500=""),"",B501/B500-1)</f>
        <v/>
      </c>
      <c r="D501" s="123" t="str">
        <f aca="false">IF(B501="","",IFERROR(B501/INDEX($B$2:$B$800,MATCH(DATE(YEAR(A501)-1,12,1),$A$2:$A$800,0))-1,""))</f>
        <v/>
      </c>
      <c r="E501" s="123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5"/>
      <c r="B502" s="126"/>
      <c r="C502" s="123" t="str">
        <f aca="false">IF(OR(B502="",B501=""),"",B502/B501-1)</f>
        <v/>
      </c>
      <c r="D502" s="123" t="str">
        <f aca="false">IF(B502="","",IFERROR(B502/INDEX($B$2:$B$800,MATCH(DATE(YEAR(A502)-1,12,1),$A$2:$A$800,0))-1,""))</f>
        <v/>
      </c>
      <c r="E502" s="123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5"/>
      <c r="B503" s="126"/>
      <c r="C503" s="123" t="str">
        <f aca="false">IF(OR(B503="",B502=""),"",B503/B502-1)</f>
        <v/>
      </c>
      <c r="D503" s="123" t="str">
        <f aca="false">IF(B503="","",IFERROR(B503/INDEX($B$2:$B$800,MATCH(DATE(YEAR(A503)-1,12,1),$A$2:$A$800,0))-1,""))</f>
        <v/>
      </c>
      <c r="E503" s="123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5"/>
      <c r="B504" s="126"/>
      <c r="C504" s="123" t="str">
        <f aca="false">IF(OR(B504="",B503=""),"",B504/B503-1)</f>
        <v/>
      </c>
      <c r="D504" s="123" t="str">
        <f aca="false">IF(B504="","",IFERROR(B504/INDEX($B$2:$B$800,MATCH(DATE(YEAR(A504)-1,12,1),$A$2:$A$800,0))-1,""))</f>
        <v/>
      </c>
      <c r="E504" s="123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5"/>
      <c r="B505" s="126"/>
      <c r="C505" s="123" t="str">
        <f aca="false">IF(OR(B505="",B504=""),"",B505/B504-1)</f>
        <v/>
      </c>
      <c r="D505" s="123" t="str">
        <f aca="false">IF(B505="","",IFERROR(B505/INDEX($B$2:$B$800,MATCH(DATE(YEAR(A505)-1,12,1),$A$2:$A$800,0))-1,""))</f>
        <v/>
      </c>
      <c r="E505" s="123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5"/>
      <c r="B506" s="126"/>
      <c r="C506" s="123" t="str">
        <f aca="false">IF(OR(B506="",B505=""),"",B506/B505-1)</f>
        <v/>
      </c>
      <c r="D506" s="123" t="str">
        <f aca="false">IF(B506="","",IFERROR(B506/INDEX($B$2:$B$800,MATCH(DATE(YEAR(A506)-1,12,1),$A$2:$A$800,0))-1,""))</f>
        <v/>
      </c>
      <c r="E506" s="123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5"/>
      <c r="B507" s="126"/>
      <c r="C507" s="123" t="str">
        <f aca="false">IF(OR(B507="",B506=""),"",B507/B506-1)</f>
        <v/>
      </c>
      <c r="D507" s="123" t="str">
        <f aca="false">IF(B507="","",IFERROR(B507/INDEX($B$2:$B$800,MATCH(DATE(YEAR(A507)-1,12,1),$A$2:$A$800,0))-1,""))</f>
        <v/>
      </c>
      <c r="E507" s="123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5"/>
      <c r="B508" s="126"/>
      <c r="C508" s="123" t="str">
        <f aca="false">IF(OR(B508="",B507=""),"",B508/B507-1)</f>
        <v/>
      </c>
      <c r="D508" s="123" t="str">
        <f aca="false">IF(B508="","",IFERROR(B508/INDEX($B$2:$B$800,MATCH(DATE(YEAR(A508)-1,12,1),$A$2:$A$800,0))-1,""))</f>
        <v/>
      </c>
      <c r="E508" s="123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5"/>
      <c r="B509" s="126"/>
      <c r="C509" s="123" t="str">
        <f aca="false">IF(OR(B509="",B508=""),"",B509/B508-1)</f>
        <v/>
      </c>
      <c r="D509" s="123" t="str">
        <f aca="false">IF(B509="","",IFERROR(B509/INDEX($B$2:$B$800,MATCH(DATE(YEAR(A509)-1,12,1),$A$2:$A$800,0))-1,""))</f>
        <v/>
      </c>
      <c r="E509" s="123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5"/>
      <c r="B510" s="126"/>
      <c r="C510" s="123" t="str">
        <f aca="false">IF(OR(B510="",B509=""),"",B510/B509-1)</f>
        <v/>
      </c>
      <c r="D510" s="123" t="str">
        <f aca="false">IF(B510="","",IFERROR(B510/INDEX($B$2:$B$800,MATCH(DATE(YEAR(A510)-1,12,1),$A$2:$A$800,0))-1,""))</f>
        <v/>
      </c>
      <c r="E510" s="123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5"/>
      <c r="B511" s="126"/>
      <c r="C511" s="123" t="str">
        <f aca="false">IF(OR(B511="",B510=""),"",B511/B510-1)</f>
        <v/>
      </c>
      <c r="D511" s="123" t="str">
        <f aca="false">IF(B511="","",IFERROR(B511/INDEX($B$2:$B$800,MATCH(DATE(YEAR(A511)-1,12,1),$A$2:$A$800,0))-1,""))</f>
        <v/>
      </c>
      <c r="E511" s="123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5"/>
      <c r="B512" s="126"/>
      <c r="C512" s="123" t="str">
        <f aca="false">IF(OR(B512="",B511=""),"",B512/B511-1)</f>
        <v/>
      </c>
      <c r="D512" s="123" t="str">
        <f aca="false">IF(B512="","",IFERROR(B512/INDEX($B$2:$B$800,MATCH(DATE(YEAR(A512)-1,12,1),$A$2:$A$800,0))-1,""))</f>
        <v/>
      </c>
      <c r="E512" s="123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5"/>
      <c r="B513" s="126"/>
      <c r="C513" s="123" t="str">
        <f aca="false">IF(OR(B513="",B512=""),"",B513/B512-1)</f>
        <v/>
      </c>
      <c r="D513" s="123" t="str">
        <f aca="false">IF(B513="","",IFERROR(B513/INDEX($B$2:$B$800,MATCH(DATE(YEAR(A513)-1,12,1),$A$2:$A$800,0))-1,""))</f>
        <v/>
      </c>
      <c r="E513" s="123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5"/>
      <c r="B514" s="126"/>
      <c r="C514" s="123" t="str">
        <f aca="false">IF(OR(B514="",B513=""),"",B514/B513-1)</f>
        <v/>
      </c>
      <c r="D514" s="123" t="str">
        <f aca="false">IF(B514="","",IFERROR(B514/INDEX($B$2:$B$800,MATCH(DATE(YEAR(A514)-1,12,1),$A$2:$A$800,0))-1,""))</f>
        <v/>
      </c>
      <c r="E514" s="123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5"/>
      <c r="B515" s="126"/>
      <c r="C515" s="123" t="str">
        <f aca="false">IF(OR(B515="",B514=""),"",B515/B514-1)</f>
        <v/>
      </c>
      <c r="D515" s="123" t="str">
        <f aca="false">IF(B515="","",IFERROR(B515/INDEX($B$2:$B$800,MATCH(DATE(YEAR(A515)-1,12,1),$A$2:$A$800,0))-1,""))</f>
        <v/>
      </c>
      <c r="E515" s="123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5"/>
      <c r="B516" s="126"/>
      <c r="C516" s="123" t="str">
        <f aca="false">IF(OR(B516="",B515=""),"",B516/B515-1)</f>
        <v/>
      </c>
      <c r="D516" s="123" t="str">
        <f aca="false">IF(B516="","",IFERROR(B516/INDEX($B$2:$B$800,MATCH(DATE(YEAR(A516)-1,12,1),$A$2:$A$800,0))-1,""))</f>
        <v/>
      </c>
      <c r="E516" s="123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5"/>
      <c r="B517" s="126"/>
      <c r="C517" s="123" t="str">
        <f aca="false">IF(OR(B517="",B516=""),"",B517/B516-1)</f>
        <v/>
      </c>
      <c r="D517" s="123" t="str">
        <f aca="false">IF(B517="","",IFERROR(B517/INDEX($B$2:$B$800,MATCH(DATE(YEAR(A517)-1,12,1),$A$2:$A$800,0))-1,""))</f>
        <v/>
      </c>
      <c r="E517" s="123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5"/>
      <c r="B518" s="126"/>
      <c r="C518" s="123" t="str">
        <f aca="false">IF(OR(B518="",B517=""),"",B518/B517-1)</f>
        <v/>
      </c>
      <c r="D518" s="123" t="str">
        <f aca="false">IF(B518="","",IFERROR(B518/INDEX($B$2:$B$800,MATCH(DATE(YEAR(A518)-1,12,1),$A$2:$A$800,0))-1,""))</f>
        <v/>
      </c>
      <c r="E518" s="123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5"/>
      <c r="B519" s="126"/>
      <c r="C519" s="123" t="str">
        <f aca="false">IF(OR(B519="",B518=""),"",B519/B518-1)</f>
        <v/>
      </c>
      <c r="D519" s="123" t="str">
        <f aca="false">IF(B519="","",IFERROR(B519/INDEX($B$2:$B$800,MATCH(DATE(YEAR(A519)-1,12,1),$A$2:$A$800,0))-1,""))</f>
        <v/>
      </c>
      <c r="E519" s="123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5"/>
      <c r="B520" s="126"/>
      <c r="C520" s="123" t="str">
        <f aca="false">IF(OR(B520="",B519=""),"",B520/B519-1)</f>
        <v/>
      </c>
      <c r="D520" s="123" t="str">
        <f aca="false">IF(B520="","",IFERROR(B520/INDEX($B$2:$B$800,MATCH(DATE(YEAR(A520)-1,12,1),$A$2:$A$800,0))-1,""))</f>
        <v/>
      </c>
      <c r="E520" s="123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5"/>
      <c r="B521" s="126"/>
      <c r="C521" s="123" t="str">
        <f aca="false">IF(OR(B521="",B520=""),"",B521/B520-1)</f>
        <v/>
      </c>
      <c r="D521" s="123" t="str">
        <f aca="false">IF(B521="","",IFERROR(B521/INDEX($B$2:$B$800,MATCH(DATE(YEAR(A521)-1,12,1),$A$2:$A$800,0))-1,""))</f>
        <v/>
      </c>
      <c r="E521" s="123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5"/>
      <c r="B522" s="126"/>
      <c r="C522" s="123" t="str">
        <f aca="false">IF(OR(B522="",B521=""),"",B522/B521-1)</f>
        <v/>
      </c>
      <c r="D522" s="123" t="str">
        <f aca="false">IF(B522="","",IFERROR(B522/INDEX($B$2:$B$800,MATCH(DATE(YEAR(A522)-1,12,1),$A$2:$A$800,0))-1,""))</f>
        <v/>
      </c>
      <c r="E522" s="123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5"/>
      <c r="B523" s="126"/>
      <c r="C523" s="123" t="str">
        <f aca="false">IF(OR(B523="",B522=""),"",B523/B522-1)</f>
        <v/>
      </c>
      <c r="D523" s="123" t="str">
        <f aca="false">IF(B523="","",IFERROR(B523/INDEX($B$2:$B$800,MATCH(DATE(YEAR(A523)-1,12,1),$A$2:$A$800,0))-1,""))</f>
        <v/>
      </c>
      <c r="E523" s="123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5"/>
      <c r="B524" s="126"/>
      <c r="C524" s="123" t="str">
        <f aca="false">IF(OR(B524="",B523=""),"",B524/B523-1)</f>
        <v/>
      </c>
      <c r="D524" s="123" t="str">
        <f aca="false">IF(B524="","",IFERROR(B524/INDEX($B$2:$B$800,MATCH(DATE(YEAR(A524)-1,12,1),$A$2:$A$800,0))-1,""))</f>
        <v/>
      </c>
      <c r="E524" s="123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5"/>
      <c r="B525" s="126"/>
      <c r="C525" s="123" t="str">
        <f aca="false">IF(OR(B525="",B524=""),"",B525/B524-1)</f>
        <v/>
      </c>
      <c r="D525" s="123" t="str">
        <f aca="false">IF(B525="","",IFERROR(B525/INDEX($B$2:$B$800,MATCH(DATE(YEAR(A525)-1,12,1),$A$2:$A$800,0))-1,""))</f>
        <v/>
      </c>
      <c r="E525" s="123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5"/>
      <c r="B526" s="126"/>
      <c r="C526" s="123" t="str">
        <f aca="false">IF(OR(B526="",B525=""),"",B526/B525-1)</f>
        <v/>
      </c>
      <c r="D526" s="123" t="str">
        <f aca="false">IF(B526="","",IFERROR(B526/INDEX($B$2:$B$800,MATCH(DATE(YEAR(A526)-1,12,1),$A$2:$A$800,0))-1,""))</f>
        <v/>
      </c>
      <c r="E526" s="123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5"/>
      <c r="B527" s="126"/>
      <c r="C527" s="123" t="str">
        <f aca="false">IF(OR(B527="",B526=""),"",B527/B526-1)</f>
        <v/>
      </c>
      <c r="D527" s="123" t="str">
        <f aca="false">IF(B527="","",IFERROR(B527/INDEX($B$2:$B$800,MATCH(DATE(YEAR(A527)-1,12,1),$A$2:$A$800,0))-1,""))</f>
        <v/>
      </c>
      <c r="E527" s="123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5"/>
      <c r="B528" s="126"/>
      <c r="C528" s="123" t="str">
        <f aca="false">IF(OR(B528="",B527=""),"",B528/B527-1)</f>
        <v/>
      </c>
      <c r="D528" s="123" t="str">
        <f aca="false">IF(B528="","",IFERROR(B528/INDEX($B$2:$B$800,MATCH(DATE(YEAR(A528)-1,12,1),$A$2:$A$800,0))-1,""))</f>
        <v/>
      </c>
      <c r="E528" s="123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5"/>
      <c r="B529" s="126"/>
      <c r="C529" s="123" t="str">
        <f aca="false">IF(OR(B529="",B528=""),"",B529/B528-1)</f>
        <v/>
      </c>
      <c r="D529" s="123" t="str">
        <f aca="false">IF(B529="","",IFERROR(B529/INDEX($B$2:$B$800,MATCH(DATE(YEAR(A529)-1,12,1),$A$2:$A$800,0))-1,""))</f>
        <v/>
      </c>
      <c r="E529" s="123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5"/>
      <c r="B530" s="126"/>
      <c r="C530" s="123" t="str">
        <f aca="false">IF(OR(B530="",B529=""),"",B530/B529-1)</f>
        <v/>
      </c>
      <c r="D530" s="123" t="str">
        <f aca="false">IF(B530="","",IFERROR(B530/INDEX($B$2:$B$800,MATCH(DATE(YEAR(A530)-1,12,1),$A$2:$A$800,0))-1,""))</f>
        <v/>
      </c>
      <c r="E530" s="123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5"/>
      <c r="B531" s="126"/>
      <c r="C531" s="123" t="str">
        <f aca="false">IF(OR(B531="",B530=""),"",B531/B530-1)</f>
        <v/>
      </c>
      <c r="D531" s="123" t="str">
        <f aca="false">IF(B531="","",IFERROR(B531/INDEX($B$2:$B$800,MATCH(DATE(YEAR(A531)-1,12,1),$A$2:$A$800,0))-1,""))</f>
        <v/>
      </c>
      <c r="E531" s="123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5"/>
      <c r="B532" s="126"/>
      <c r="C532" s="123" t="str">
        <f aca="false">IF(OR(B532="",B531=""),"",B532/B531-1)</f>
        <v/>
      </c>
      <c r="D532" s="123" t="str">
        <f aca="false">IF(B532="","",IFERROR(B532/INDEX($B$2:$B$800,MATCH(DATE(YEAR(A532)-1,12,1),$A$2:$A$800,0))-1,""))</f>
        <v/>
      </c>
      <c r="E532" s="123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5"/>
      <c r="B533" s="126"/>
      <c r="C533" s="123" t="str">
        <f aca="false">IF(OR(B533="",B532=""),"",B533/B532-1)</f>
        <v/>
      </c>
      <c r="D533" s="123" t="str">
        <f aca="false">IF(B533="","",IFERROR(B533/INDEX($B$2:$B$800,MATCH(DATE(YEAR(A533)-1,12,1),$A$2:$A$800,0))-1,""))</f>
        <v/>
      </c>
      <c r="E533" s="123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5"/>
      <c r="B534" s="126"/>
      <c r="C534" s="123" t="str">
        <f aca="false">IF(OR(B534="",B533=""),"",B534/B533-1)</f>
        <v/>
      </c>
      <c r="D534" s="123" t="str">
        <f aca="false">IF(B534="","",IFERROR(B534/INDEX($B$2:$B$800,MATCH(DATE(YEAR(A534)-1,12,1),$A$2:$A$800,0))-1,""))</f>
        <v/>
      </c>
      <c r="E534" s="123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5"/>
      <c r="B535" s="126"/>
      <c r="C535" s="123" t="str">
        <f aca="false">IF(OR(B535="",B534=""),"",B535/B534-1)</f>
        <v/>
      </c>
      <c r="D535" s="123" t="str">
        <f aca="false">IF(B535="","",IFERROR(B535/INDEX($B$2:$B$800,MATCH(DATE(YEAR(A535)-1,12,1),$A$2:$A$800,0))-1,""))</f>
        <v/>
      </c>
      <c r="E535" s="123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5"/>
      <c r="B536" s="126"/>
      <c r="C536" s="123" t="str">
        <f aca="false">IF(OR(B536="",B535=""),"",B536/B535-1)</f>
        <v/>
      </c>
      <c r="D536" s="123" t="str">
        <f aca="false">IF(B536="","",IFERROR(B536/INDEX($B$2:$B$800,MATCH(DATE(YEAR(A536)-1,12,1),$A$2:$A$800,0))-1,""))</f>
        <v/>
      </c>
      <c r="E536" s="123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5"/>
      <c r="B537" s="126"/>
      <c r="C537" s="123" t="str">
        <f aca="false">IF(OR(B537="",B536=""),"",B537/B536-1)</f>
        <v/>
      </c>
      <c r="D537" s="123" t="str">
        <f aca="false">IF(B537="","",IFERROR(B537/INDEX($B$2:$B$800,MATCH(DATE(YEAR(A537)-1,12,1),$A$2:$A$800,0))-1,""))</f>
        <v/>
      </c>
      <c r="E537" s="123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5"/>
      <c r="B538" s="126"/>
      <c r="C538" s="123" t="str">
        <f aca="false">IF(OR(B538="",B537=""),"",B538/B537-1)</f>
        <v/>
      </c>
      <c r="D538" s="123" t="str">
        <f aca="false">IF(B538="","",IFERROR(B538/INDEX($B$2:$B$800,MATCH(DATE(YEAR(A538)-1,12,1),$A$2:$A$800,0))-1,""))</f>
        <v/>
      </c>
      <c r="E538" s="123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5"/>
      <c r="B539" s="126"/>
      <c r="C539" s="123" t="str">
        <f aca="false">IF(OR(B539="",B538=""),"",B539/B538-1)</f>
        <v/>
      </c>
      <c r="D539" s="123" t="str">
        <f aca="false">IF(B539="","",IFERROR(B539/INDEX($B$2:$B$800,MATCH(DATE(YEAR(A539)-1,12,1),$A$2:$A$800,0))-1,""))</f>
        <v/>
      </c>
      <c r="E539" s="123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5"/>
      <c r="B540" s="126"/>
      <c r="C540" s="123" t="str">
        <f aca="false">IF(OR(B540="",B539=""),"",B540/B539-1)</f>
        <v/>
      </c>
      <c r="D540" s="123" t="str">
        <f aca="false">IF(B540="","",IFERROR(B540/INDEX($B$2:$B$800,MATCH(DATE(YEAR(A540)-1,12,1),$A$2:$A$800,0))-1,""))</f>
        <v/>
      </c>
      <c r="E540" s="123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5"/>
      <c r="B541" s="126"/>
      <c r="C541" s="123" t="str">
        <f aca="false">IF(OR(B541="",B540=""),"",B541/B540-1)</f>
        <v/>
      </c>
      <c r="D541" s="123" t="str">
        <f aca="false">IF(B541="","",IFERROR(B541/INDEX($B$2:$B$800,MATCH(DATE(YEAR(A541)-1,12,1),$A$2:$A$800,0))-1,""))</f>
        <v/>
      </c>
      <c r="E541" s="123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5"/>
      <c r="B542" s="126"/>
      <c r="C542" s="123" t="str">
        <f aca="false">IF(OR(B542="",B541=""),"",B542/B541-1)</f>
        <v/>
      </c>
      <c r="D542" s="123" t="str">
        <f aca="false">IF(B542="","",IFERROR(B542/INDEX($B$2:$B$800,MATCH(DATE(YEAR(A542)-1,12,1),$A$2:$A$800,0))-1,""))</f>
        <v/>
      </c>
      <c r="E542" s="123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5"/>
      <c r="B543" s="126"/>
      <c r="C543" s="123" t="str">
        <f aca="false">IF(OR(B543="",B542=""),"",B543/B542-1)</f>
        <v/>
      </c>
      <c r="D543" s="123" t="str">
        <f aca="false">IF(B543="","",IFERROR(B543/INDEX($B$2:$B$800,MATCH(DATE(YEAR(A543)-1,12,1),$A$2:$A$800,0))-1,""))</f>
        <v/>
      </c>
      <c r="E543" s="123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5"/>
      <c r="B544" s="126"/>
      <c r="C544" s="123" t="str">
        <f aca="false">IF(OR(B544="",B543=""),"",B544/B543-1)</f>
        <v/>
      </c>
      <c r="D544" s="123" t="str">
        <f aca="false">IF(B544="","",IFERROR(B544/INDEX($B$2:$B$800,MATCH(DATE(YEAR(A544)-1,12,1),$A$2:$A$800,0))-1,""))</f>
        <v/>
      </c>
      <c r="E544" s="123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5"/>
      <c r="B545" s="126"/>
      <c r="C545" s="123" t="str">
        <f aca="false">IF(OR(B545="",B544=""),"",B545/B544-1)</f>
        <v/>
      </c>
      <c r="D545" s="123" t="str">
        <f aca="false">IF(B545="","",IFERROR(B545/INDEX($B$2:$B$800,MATCH(DATE(YEAR(A545)-1,12,1),$A$2:$A$800,0))-1,""))</f>
        <v/>
      </c>
      <c r="E545" s="123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5"/>
      <c r="B546" s="126"/>
      <c r="C546" s="123" t="str">
        <f aca="false">IF(OR(B546="",B545=""),"",B546/B545-1)</f>
        <v/>
      </c>
      <c r="D546" s="123" t="str">
        <f aca="false">IF(B546="","",IFERROR(B546/INDEX($B$2:$B$800,MATCH(DATE(YEAR(A546)-1,12,1),$A$2:$A$800,0))-1,""))</f>
        <v/>
      </c>
      <c r="E546" s="123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5"/>
      <c r="B547" s="126"/>
      <c r="C547" s="123" t="str">
        <f aca="false">IF(OR(B547="",B546=""),"",B547/B546-1)</f>
        <v/>
      </c>
      <c r="D547" s="123" t="str">
        <f aca="false">IF(B547="","",IFERROR(B547/INDEX($B$2:$B$800,MATCH(DATE(YEAR(A547)-1,12,1),$A$2:$A$800,0))-1,""))</f>
        <v/>
      </c>
      <c r="E547" s="123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5"/>
      <c r="B548" s="126"/>
      <c r="C548" s="123" t="str">
        <f aca="false">IF(OR(B548="",B547=""),"",B548/B547-1)</f>
        <v/>
      </c>
      <c r="D548" s="123" t="str">
        <f aca="false">IF(B548="","",IFERROR(B548/INDEX($B$2:$B$800,MATCH(DATE(YEAR(A548)-1,12,1),$A$2:$A$800,0))-1,""))</f>
        <v/>
      </c>
      <c r="E548" s="123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5"/>
      <c r="B549" s="126"/>
      <c r="C549" s="123" t="str">
        <f aca="false">IF(OR(B549="",B548=""),"",B549/B548-1)</f>
        <v/>
      </c>
      <c r="D549" s="123" t="str">
        <f aca="false">IF(B549="","",IFERROR(B549/INDEX($B$2:$B$800,MATCH(DATE(YEAR(A549)-1,12,1),$A$2:$A$800,0))-1,""))</f>
        <v/>
      </c>
      <c r="E549" s="123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5"/>
      <c r="B550" s="126"/>
      <c r="C550" s="123" t="str">
        <f aca="false">IF(OR(B550="",B549=""),"",B550/B549-1)</f>
        <v/>
      </c>
      <c r="D550" s="123" t="str">
        <f aca="false">IF(B550="","",IFERROR(B550/INDEX($B$2:$B$800,MATCH(DATE(YEAR(A550)-1,12,1),$A$2:$A$800,0))-1,""))</f>
        <v/>
      </c>
      <c r="E550" s="123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5"/>
      <c r="B551" s="126"/>
      <c r="C551" s="123" t="str">
        <f aca="false">IF(OR(B551="",B550=""),"",B551/B550-1)</f>
        <v/>
      </c>
      <c r="D551" s="123" t="str">
        <f aca="false">IF(B551="","",IFERROR(B551/INDEX($B$2:$B$800,MATCH(DATE(YEAR(A551)-1,12,1),$A$2:$A$800,0))-1,""))</f>
        <v/>
      </c>
      <c r="E551" s="123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5"/>
      <c r="B552" s="126"/>
      <c r="C552" s="123" t="str">
        <f aca="false">IF(OR(B552="",B551=""),"",B552/B551-1)</f>
        <v/>
      </c>
      <c r="D552" s="123" t="str">
        <f aca="false">IF(B552="","",IFERROR(B552/INDEX($B$2:$B$800,MATCH(DATE(YEAR(A552)-1,12,1),$A$2:$A$800,0))-1,""))</f>
        <v/>
      </c>
      <c r="E552" s="123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5"/>
      <c r="B553" s="126"/>
      <c r="C553" s="123" t="str">
        <f aca="false">IF(OR(B553="",B552=""),"",B553/B552-1)</f>
        <v/>
      </c>
      <c r="D553" s="123" t="str">
        <f aca="false">IF(B553="","",IFERROR(B553/INDEX($B$2:$B$800,MATCH(DATE(YEAR(A553)-1,12,1),$A$2:$A$800,0))-1,""))</f>
        <v/>
      </c>
      <c r="E553" s="123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5"/>
      <c r="B554" s="126"/>
      <c r="C554" s="123" t="str">
        <f aca="false">IF(OR(B554="",B553=""),"",B554/B553-1)</f>
        <v/>
      </c>
      <c r="D554" s="123" t="str">
        <f aca="false">IF(B554="","",IFERROR(B554/INDEX($B$2:$B$800,MATCH(DATE(YEAR(A554)-1,12,1),$A$2:$A$800,0))-1,""))</f>
        <v/>
      </c>
      <c r="E554" s="123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5"/>
      <c r="B555" s="126"/>
      <c r="C555" s="123" t="str">
        <f aca="false">IF(OR(B555="",B554=""),"",B555/B554-1)</f>
        <v/>
      </c>
      <c r="D555" s="123" t="str">
        <f aca="false">IF(B555="","",IFERROR(B555/INDEX($B$2:$B$800,MATCH(DATE(YEAR(A555)-1,12,1),$A$2:$A$800,0))-1,""))</f>
        <v/>
      </c>
      <c r="E555" s="123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5"/>
      <c r="B556" s="126"/>
      <c r="C556" s="123" t="str">
        <f aca="false">IF(OR(B556="",B555=""),"",B556/B555-1)</f>
        <v/>
      </c>
      <c r="D556" s="123" t="str">
        <f aca="false">IF(B556="","",IFERROR(B556/INDEX($B$2:$B$800,MATCH(DATE(YEAR(A556)-1,12,1),$A$2:$A$800,0))-1,""))</f>
        <v/>
      </c>
      <c r="E556" s="123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5"/>
      <c r="B557" s="126"/>
      <c r="C557" s="123" t="str">
        <f aca="false">IF(OR(B557="",B556=""),"",B557/B556-1)</f>
        <v/>
      </c>
      <c r="D557" s="123" t="str">
        <f aca="false">IF(B557="","",IFERROR(B557/INDEX($B$2:$B$800,MATCH(DATE(YEAR(A557)-1,12,1),$A$2:$A$800,0))-1,""))</f>
        <v/>
      </c>
      <c r="E557" s="123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5"/>
      <c r="B558" s="126"/>
      <c r="C558" s="123" t="str">
        <f aca="false">IF(OR(B558="",B557=""),"",B558/B557-1)</f>
        <v/>
      </c>
      <c r="D558" s="123" t="str">
        <f aca="false">IF(B558="","",IFERROR(B558/INDEX($B$2:$B$800,MATCH(DATE(YEAR(A558)-1,12,1),$A$2:$A$800,0))-1,""))</f>
        <v/>
      </c>
      <c r="E558" s="123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5"/>
      <c r="B559" s="126"/>
      <c r="C559" s="123" t="str">
        <f aca="false">IF(OR(B559="",B558=""),"",B559/B558-1)</f>
        <v/>
      </c>
      <c r="D559" s="123" t="str">
        <f aca="false">IF(B559="","",IFERROR(B559/INDEX($B$2:$B$800,MATCH(DATE(YEAR(A559)-1,12,1),$A$2:$A$800,0))-1,""))</f>
        <v/>
      </c>
      <c r="E559" s="123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5"/>
      <c r="B560" s="126"/>
      <c r="C560" s="123" t="str">
        <f aca="false">IF(OR(B560="",B559=""),"",B560/B559-1)</f>
        <v/>
      </c>
      <c r="D560" s="123" t="str">
        <f aca="false">IF(B560="","",IFERROR(B560/INDEX($B$2:$B$800,MATCH(DATE(YEAR(A560)-1,12,1),$A$2:$A$800,0))-1,""))</f>
        <v/>
      </c>
      <c r="E560" s="123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5"/>
      <c r="B561" s="126"/>
      <c r="C561" s="123" t="str">
        <f aca="false">IF(OR(B561="",B560=""),"",B561/B560-1)</f>
        <v/>
      </c>
      <c r="D561" s="123" t="str">
        <f aca="false">IF(B561="","",IFERROR(B561/INDEX($B$2:$B$800,MATCH(DATE(YEAR(A561)-1,12,1),$A$2:$A$800,0))-1,""))</f>
        <v/>
      </c>
      <c r="E561" s="123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5"/>
      <c r="B562" s="126"/>
      <c r="C562" s="123" t="str">
        <f aca="false">IF(OR(B562="",B561=""),"",B562/B561-1)</f>
        <v/>
      </c>
      <c r="D562" s="123" t="str">
        <f aca="false">IF(B562="","",IFERROR(B562/INDEX($B$2:$B$800,MATCH(DATE(YEAR(A562)-1,12,1),$A$2:$A$800,0))-1,""))</f>
        <v/>
      </c>
      <c r="E562" s="123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5"/>
      <c r="B563" s="126"/>
      <c r="C563" s="123" t="str">
        <f aca="false">IF(OR(B563="",B562=""),"",B563/B562-1)</f>
        <v/>
      </c>
      <c r="D563" s="123" t="str">
        <f aca="false">IF(B563="","",IFERROR(B563/INDEX($B$2:$B$800,MATCH(DATE(YEAR(A563)-1,12,1),$A$2:$A$800,0))-1,""))</f>
        <v/>
      </c>
      <c r="E563" s="123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5"/>
      <c r="B564" s="126"/>
      <c r="C564" s="123" t="str">
        <f aca="false">IF(OR(B564="",B563=""),"",B564/B563-1)</f>
        <v/>
      </c>
      <c r="D564" s="123" t="str">
        <f aca="false">IF(B564="","",IFERROR(B564/INDEX($B$2:$B$800,MATCH(DATE(YEAR(A564)-1,12,1),$A$2:$A$800,0))-1,""))</f>
        <v/>
      </c>
      <c r="E564" s="123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5"/>
      <c r="B565" s="126"/>
      <c r="C565" s="123" t="str">
        <f aca="false">IF(OR(B565="",B564=""),"",B565/B564-1)</f>
        <v/>
      </c>
      <c r="D565" s="123" t="str">
        <f aca="false">IF(B565="","",IFERROR(B565/INDEX($B$2:$B$800,MATCH(DATE(YEAR(A565)-1,12,1),$A$2:$A$800,0))-1,""))</f>
        <v/>
      </c>
      <c r="E565" s="123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5"/>
      <c r="B566" s="126"/>
      <c r="C566" s="123" t="str">
        <f aca="false">IF(OR(B566="",B565=""),"",B566/B565-1)</f>
        <v/>
      </c>
      <c r="D566" s="123" t="str">
        <f aca="false">IF(B566="","",IFERROR(B566/INDEX($B$2:$B$800,MATCH(DATE(YEAR(A566)-1,12,1),$A$2:$A$800,0))-1,""))</f>
        <v/>
      </c>
      <c r="E566" s="123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5"/>
      <c r="B567" s="126"/>
      <c r="C567" s="123" t="str">
        <f aca="false">IF(OR(B567="",B566=""),"",B567/B566-1)</f>
        <v/>
      </c>
      <c r="D567" s="123" t="str">
        <f aca="false">IF(B567="","",IFERROR(B567/INDEX($B$2:$B$800,MATCH(DATE(YEAR(A567)-1,12,1),$A$2:$A$800,0))-1,""))</f>
        <v/>
      </c>
      <c r="E567" s="123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5"/>
      <c r="B568" s="126"/>
      <c r="C568" s="123" t="str">
        <f aca="false">IF(OR(B568="",B567=""),"",B568/B567-1)</f>
        <v/>
      </c>
      <c r="D568" s="123" t="str">
        <f aca="false">IF(B568="","",IFERROR(B568/INDEX($B$2:$B$800,MATCH(DATE(YEAR(A568)-1,12,1),$A$2:$A$800,0))-1,""))</f>
        <v/>
      </c>
      <c r="E568" s="123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5"/>
      <c r="B569" s="126"/>
      <c r="C569" s="123" t="str">
        <f aca="false">IF(OR(B569="",B568=""),"",B569/B568-1)</f>
        <v/>
      </c>
      <c r="D569" s="123" t="str">
        <f aca="false">IF(B569="","",IFERROR(B569/INDEX($B$2:$B$800,MATCH(DATE(YEAR(A569)-1,12,1),$A$2:$A$800,0))-1,""))</f>
        <v/>
      </c>
      <c r="E569" s="123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5"/>
      <c r="B570" s="126"/>
      <c r="C570" s="123" t="str">
        <f aca="false">IF(OR(B570="",B569=""),"",B570/B569-1)</f>
        <v/>
      </c>
      <c r="D570" s="123" t="str">
        <f aca="false">IF(B570="","",IFERROR(B570/INDEX($B$2:$B$800,MATCH(DATE(YEAR(A570)-1,12,1),$A$2:$A$800,0))-1,""))</f>
        <v/>
      </c>
      <c r="E570" s="123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5"/>
      <c r="B571" s="126"/>
      <c r="C571" s="123" t="str">
        <f aca="false">IF(OR(B571="",B570=""),"",B571/B570-1)</f>
        <v/>
      </c>
      <c r="D571" s="123" t="str">
        <f aca="false">IF(B571="","",IFERROR(B571/INDEX($B$2:$B$800,MATCH(DATE(YEAR(A571)-1,12,1),$A$2:$A$800,0))-1,""))</f>
        <v/>
      </c>
      <c r="E571" s="123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5"/>
      <c r="B572" s="126"/>
      <c r="C572" s="123" t="str">
        <f aca="false">IF(OR(B572="",B571=""),"",B572/B571-1)</f>
        <v/>
      </c>
      <c r="D572" s="123" t="str">
        <f aca="false">IF(B572="","",IFERROR(B572/INDEX($B$2:$B$800,MATCH(DATE(YEAR(A572)-1,12,1),$A$2:$A$800,0))-1,""))</f>
        <v/>
      </c>
      <c r="E572" s="123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5"/>
      <c r="B573" s="126"/>
      <c r="C573" s="123" t="str">
        <f aca="false">IF(OR(B573="",B572=""),"",B573/B572-1)</f>
        <v/>
      </c>
      <c r="D573" s="123" t="str">
        <f aca="false">IF(B573="","",IFERROR(B573/INDEX($B$2:$B$800,MATCH(DATE(YEAR(A573)-1,12,1),$A$2:$A$800,0))-1,""))</f>
        <v/>
      </c>
      <c r="E573" s="123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5"/>
      <c r="B574" s="126"/>
      <c r="C574" s="123" t="str">
        <f aca="false">IF(OR(B574="",B573=""),"",B574/B573-1)</f>
        <v/>
      </c>
      <c r="D574" s="123" t="str">
        <f aca="false">IF(B574="","",IFERROR(B574/INDEX($B$2:$B$800,MATCH(DATE(YEAR(A574)-1,12,1),$A$2:$A$800,0))-1,""))</f>
        <v/>
      </c>
      <c r="E574" s="123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5"/>
      <c r="B575" s="126"/>
      <c r="C575" s="123" t="str">
        <f aca="false">IF(OR(B575="",B574=""),"",B575/B574-1)</f>
        <v/>
      </c>
      <c r="D575" s="123" t="str">
        <f aca="false">IF(B575="","",IFERROR(B575/INDEX($B$2:$B$800,MATCH(DATE(YEAR(A575)-1,12,1),$A$2:$A$800,0))-1,""))</f>
        <v/>
      </c>
      <c r="E575" s="123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5"/>
      <c r="B576" s="126"/>
      <c r="C576" s="123" t="str">
        <f aca="false">IF(OR(B576="",B575=""),"",B576/B575-1)</f>
        <v/>
      </c>
      <c r="D576" s="123" t="str">
        <f aca="false">IF(B576="","",IFERROR(B576/INDEX($B$2:$B$800,MATCH(DATE(YEAR(A576)-1,12,1),$A$2:$A$800,0))-1,""))</f>
        <v/>
      </c>
      <c r="E576" s="123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5"/>
      <c r="B577" s="126"/>
      <c r="C577" s="123" t="str">
        <f aca="false">IF(OR(B577="",B576=""),"",B577/B576-1)</f>
        <v/>
      </c>
      <c r="D577" s="123" t="str">
        <f aca="false">IF(B577="","",IFERROR(B577/INDEX($B$2:$B$800,MATCH(DATE(YEAR(A577)-1,12,1),$A$2:$A$800,0))-1,""))</f>
        <v/>
      </c>
      <c r="E577" s="123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5"/>
      <c r="B578" s="126"/>
      <c r="C578" s="123" t="str">
        <f aca="false">IF(OR(B578="",B577=""),"",B578/B577-1)</f>
        <v/>
      </c>
      <c r="D578" s="123" t="str">
        <f aca="false">IF(B578="","",IFERROR(B578/INDEX($B$2:$B$800,MATCH(DATE(YEAR(A578)-1,12,1),$A$2:$A$800,0))-1,""))</f>
        <v/>
      </c>
      <c r="E578" s="123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5"/>
      <c r="B579" s="126"/>
      <c r="C579" s="123" t="str">
        <f aca="false">IF(OR(B579="",B578=""),"",B579/B578-1)</f>
        <v/>
      </c>
      <c r="D579" s="123" t="str">
        <f aca="false">IF(B579="","",IFERROR(B579/INDEX($B$2:$B$800,MATCH(DATE(YEAR(A579)-1,12,1),$A$2:$A$800,0))-1,""))</f>
        <v/>
      </c>
      <c r="E579" s="123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5"/>
      <c r="B580" s="126"/>
      <c r="C580" s="123" t="str">
        <f aca="false">IF(OR(B580="",B579=""),"",B580/B579-1)</f>
        <v/>
      </c>
      <c r="D580" s="123" t="str">
        <f aca="false">IF(B580="","",IFERROR(B580/INDEX($B$2:$B$800,MATCH(DATE(YEAR(A580)-1,12,1),$A$2:$A$800,0))-1,""))</f>
        <v/>
      </c>
      <c r="E580" s="123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5"/>
      <c r="B581" s="126"/>
      <c r="C581" s="123" t="str">
        <f aca="false">IF(OR(B581="",B580=""),"",B581/B580-1)</f>
        <v/>
      </c>
      <c r="D581" s="123" t="str">
        <f aca="false">IF(B581="","",IFERROR(B581/INDEX($B$2:$B$800,MATCH(DATE(YEAR(A581)-1,12,1),$A$2:$A$800,0))-1,""))</f>
        <v/>
      </c>
      <c r="E581" s="123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5"/>
      <c r="B582" s="126"/>
      <c r="C582" s="123" t="str">
        <f aca="false">IF(OR(B582="",B581=""),"",B582/B581-1)</f>
        <v/>
      </c>
      <c r="D582" s="123" t="str">
        <f aca="false">IF(B582="","",IFERROR(B582/INDEX($B$2:$B$800,MATCH(DATE(YEAR(A582)-1,12,1),$A$2:$A$800,0))-1,""))</f>
        <v/>
      </c>
      <c r="E582" s="123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5"/>
      <c r="B583" s="126"/>
      <c r="C583" s="123" t="str">
        <f aca="false">IF(OR(B583="",B582=""),"",B583/B582-1)</f>
        <v/>
      </c>
      <c r="D583" s="123" t="str">
        <f aca="false">IF(B583="","",IFERROR(B583/INDEX($B$2:$B$800,MATCH(DATE(YEAR(A583)-1,12,1),$A$2:$A$800,0))-1,""))</f>
        <v/>
      </c>
      <c r="E583" s="123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5"/>
      <c r="B584" s="126"/>
      <c r="C584" s="123" t="str">
        <f aca="false">IF(OR(B584="",B583=""),"",B584/B583-1)</f>
        <v/>
      </c>
      <c r="D584" s="123" t="str">
        <f aca="false">IF(B584="","",IFERROR(B584/INDEX($B$2:$B$800,MATCH(DATE(YEAR(A584)-1,12,1),$A$2:$A$800,0))-1,""))</f>
        <v/>
      </c>
      <c r="E584" s="123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5"/>
      <c r="B585" s="126"/>
      <c r="C585" s="123" t="str">
        <f aca="false">IF(OR(B585="",B584=""),"",B585/B584-1)</f>
        <v/>
      </c>
      <c r="D585" s="123" t="str">
        <f aca="false">IF(B585="","",IFERROR(B585/INDEX($B$2:$B$800,MATCH(DATE(YEAR(A585)-1,12,1),$A$2:$A$800,0))-1,""))</f>
        <v/>
      </c>
      <c r="E585" s="123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5"/>
      <c r="B586" s="126"/>
      <c r="C586" s="123" t="str">
        <f aca="false">IF(OR(B586="",B585=""),"",B586/B585-1)</f>
        <v/>
      </c>
      <c r="D586" s="123" t="str">
        <f aca="false">IF(B586="","",IFERROR(B586/INDEX($B$2:$B$800,MATCH(DATE(YEAR(A586)-1,12,1),$A$2:$A$800,0))-1,""))</f>
        <v/>
      </c>
      <c r="E586" s="123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5"/>
      <c r="B587" s="126"/>
      <c r="C587" s="123" t="str">
        <f aca="false">IF(OR(B587="",B586=""),"",B587/B586-1)</f>
        <v/>
      </c>
      <c r="D587" s="123" t="str">
        <f aca="false">IF(B587="","",IFERROR(B587/INDEX($B$2:$B$800,MATCH(DATE(YEAR(A587)-1,12,1),$A$2:$A$800,0))-1,""))</f>
        <v/>
      </c>
      <c r="E587" s="123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5"/>
      <c r="B588" s="126"/>
      <c r="C588" s="123" t="str">
        <f aca="false">IF(OR(B588="",B587=""),"",B588/B587-1)</f>
        <v/>
      </c>
      <c r="D588" s="123" t="str">
        <f aca="false">IF(B588="","",IFERROR(B588/INDEX($B$2:$B$800,MATCH(DATE(YEAR(A588)-1,12,1),$A$2:$A$800,0))-1,""))</f>
        <v/>
      </c>
      <c r="E588" s="123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5"/>
      <c r="B589" s="126"/>
      <c r="C589" s="123" t="str">
        <f aca="false">IF(OR(B589="",B588=""),"",B589/B588-1)</f>
        <v/>
      </c>
      <c r="D589" s="123" t="str">
        <f aca="false">IF(B589="","",IFERROR(B589/INDEX($B$2:$B$800,MATCH(DATE(YEAR(A589)-1,12,1),$A$2:$A$800,0))-1,""))</f>
        <v/>
      </c>
      <c r="E589" s="123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5"/>
      <c r="B590" s="126"/>
      <c r="C590" s="123" t="str">
        <f aca="false">IF(OR(B590="",B589=""),"",B590/B589-1)</f>
        <v/>
      </c>
      <c r="D590" s="123" t="str">
        <f aca="false">IF(B590="","",IFERROR(B590/INDEX($B$2:$B$800,MATCH(DATE(YEAR(A590)-1,12,1),$A$2:$A$800,0))-1,""))</f>
        <v/>
      </c>
      <c r="E590" s="123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5"/>
      <c r="B591" s="126"/>
      <c r="C591" s="123" t="str">
        <f aca="false">IF(OR(B591="",B590=""),"",B591/B590-1)</f>
        <v/>
      </c>
      <c r="D591" s="123" t="str">
        <f aca="false">IF(B591="","",IFERROR(B591/INDEX($B$2:$B$800,MATCH(DATE(YEAR(A591)-1,12,1),$A$2:$A$800,0))-1,""))</f>
        <v/>
      </c>
      <c r="E591" s="123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5"/>
      <c r="B592" s="126"/>
      <c r="C592" s="123" t="str">
        <f aca="false">IF(OR(B592="",B591=""),"",B592/B591-1)</f>
        <v/>
      </c>
      <c r="D592" s="123" t="str">
        <f aca="false">IF(B592="","",IFERROR(B592/INDEX($B$2:$B$800,MATCH(DATE(YEAR(A592)-1,12,1),$A$2:$A$800,0))-1,""))</f>
        <v/>
      </c>
      <c r="E592" s="123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5"/>
      <c r="B593" s="126"/>
      <c r="C593" s="123" t="str">
        <f aca="false">IF(OR(B593="",B592=""),"",B593/B592-1)</f>
        <v/>
      </c>
      <c r="D593" s="123" t="str">
        <f aca="false">IF(B593="","",IFERROR(B593/INDEX($B$2:$B$800,MATCH(DATE(YEAR(A593)-1,12,1),$A$2:$A$800,0))-1,""))</f>
        <v/>
      </c>
      <c r="E593" s="123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5"/>
      <c r="B594" s="126"/>
      <c r="C594" s="123" t="str">
        <f aca="false">IF(OR(B594="",B593=""),"",B594/B593-1)</f>
        <v/>
      </c>
      <c r="D594" s="123" t="str">
        <f aca="false">IF(B594="","",IFERROR(B594/INDEX($B$2:$B$800,MATCH(DATE(YEAR(A594)-1,12,1),$A$2:$A$800,0))-1,""))</f>
        <v/>
      </c>
      <c r="E594" s="123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5"/>
      <c r="B595" s="126"/>
      <c r="C595" s="123" t="str">
        <f aca="false">IF(OR(B595="",B594=""),"",B595/B594-1)</f>
        <v/>
      </c>
      <c r="D595" s="123" t="str">
        <f aca="false">IF(B595="","",IFERROR(B595/INDEX($B$2:$B$800,MATCH(DATE(YEAR(A595)-1,12,1),$A$2:$A$800,0))-1,""))</f>
        <v/>
      </c>
      <c r="E595" s="123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5"/>
      <c r="B596" s="126"/>
      <c r="C596" s="123" t="str">
        <f aca="false">IF(OR(B596="",B595=""),"",B596/B595-1)</f>
        <v/>
      </c>
      <c r="D596" s="123" t="str">
        <f aca="false">IF(B596="","",IFERROR(B596/INDEX($B$2:$B$800,MATCH(DATE(YEAR(A596)-1,12,1),$A$2:$A$800,0))-1,""))</f>
        <v/>
      </c>
      <c r="E596" s="123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5"/>
      <c r="B597" s="126"/>
      <c r="C597" s="123" t="str">
        <f aca="false">IF(OR(B597="",B596=""),"",B597/B596-1)</f>
        <v/>
      </c>
      <c r="D597" s="123" t="str">
        <f aca="false">IF(B597="","",IFERROR(B597/INDEX($B$2:$B$800,MATCH(DATE(YEAR(A597)-1,12,1),$A$2:$A$800,0))-1,""))</f>
        <v/>
      </c>
      <c r="E597" s="123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5"/>
      <c r="B598" s="126"/>
      <c r="C598" s="123" t="str">
        <f aca="false">IF(OR(B598="",B597=""),"",B598/B597-1)</f>
        <v/>
      </c>
      <c r="D598" s="123" t="str">
        <f aca="false">IF(B598="","",IFERROR(B598/INDEX($B$2:$B$800,MATCH(DATE(YEAR(A598)-1,12,1),$A$2:$A$800,0))-1,""))</f>
        <v/>
      </c>
      <c r="E598" s="123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5"/>
      <c r="B599" s="126"/>
      <c r="C599" s="123" t="str">
        <f aca="false">IF(OR(B599="",B598=""),"",B599/B598-1)</f>
        <v/>
      </c>
      <c r="D599" s="123" t="str">
        <f aca="false">IF(B599="","",IFERROR(B599/INDEX($B$2:$B$800,MATCH(DATE(YEAR(A599)-1,12,1),$A$2:$A$800,0))-1,""))</f>
        <v/>
      </c>
      <c r="E599" s="123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5"/>
      <c r="B600" s="126"/>
      <c r="C600" s="123" t="str">
        <f aca="false">IF(OR(B600="",B599=""),"",B600/B599-1)</f>
        <v/>
      </c>
      <c r="D600" s="123" t="str">
        <f aca="false">IF(B600="","",IFERROR(B600/INDEX($B$2:$B$800,MATCH(DATE(YEAR(A600)-1,12,1),$A$2:$A$800,0))-1,""))</f>
        <v/>
      </c>
      <c r="E600" s="123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5"/>
      <c r="B601" s="126"/>
      <c r="C601" s="123" t="str">
        <f aca="false">IF(OR(B601="",B600=""),"",B601/B600-1)</f>
        <v/>
      </c>
      <c r="D601" s="123" t="str">
        <f aca="false">IF(B601="","",IFERROR(B601/INDEX($B$2:$B$800,MATCH(DATE(YEAR(A601)-1,12,1),$A$2:$A$800,0))-1,""))</f>
        <v/>
      </c>
      <c r="E601" s="123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5"/>
      <c r="B602" s="126"/>
      <c r="C602" s="123" t="str">
        <f aca="false">IF(OR(B602="",B601=""),"",B602/B601-1)</f>
        <v/>
      </c>
      <c r="D602" s="123" t="str">
        <f aca="false">IF(B602="","",IFERROR(B602/INDEX($B$2:$B$800,MATCH(DATE(YEAR(A602)-1,12,1),$A$2:$A$800,0))-1,""))</f>
        <v/>
      </c>
      <c r="E602" s="123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5"/>
      <c r="B603" s="126"/>
      <c r="C603" s="123" t="str">
        <f aca="false">IF(OR(B603="",B602=""),"",B603/B602-1)</f>
        <v/>
      </c>
      <c r="D603" s="123" t="str">
        <f aca="false">IF(B603="","",IFERROR(B603/INDEX($B$2:$B$800,MATCH(DATE(YEAR(A603)-1,12,1),$A$2:$A$800,0))-1,""))</f>
        <v/>
      </c>
      <c r="E603" s="123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5"/>
      <c r="B604" s="126"/>
      <c r="C604" s="123" t="str">
        <f aca="false">IF(OR(B604="",B603=""),"",B604/B603-1)</f>
        <v/>
      </c>
      <c r="D604" s="123" t="str">
        <f aca="false">IF(B604="","",IFERROR(B604/INDEX($B$2:$B$800,MATCH(DATE(YEAR(A604)-1,12,1),$A$2:$A$800,0))-1,""))</f>
        <v/>
      </c>
      <c r="E604" s="123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5"/>
      <c r="B605" s="126"/>
      <c r="C605" s="123" t="str">
        <f aca="false">IF(OR(B605="",B604=""),"",B605/B604-1)</f>
        <v/>
      </c>
      <c r="D605" s="123" t="str">
        <f aca="false">IF(B605="","",IFERROR(B605/INDEX($B$2:$B$800,MATCH(DATE(YEAR(A605)-1,12,1),$A$2:$A$800,0))-1,""))</f>
        <v/>
      </c>
      <c r="E605" s="123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5"/>
      <c r="B606" s="126"/>
      <c r="C606" s="123" t="str">
        <f aca="false">IF(OR(B606="",B605=""),"",B606/B605-1)</f>
        <v/>
      </c>
      <c r="D606" s="123" t="str">
        <f aca="false">IF(B606="","",IFERROR(B606/INDEX($B$2:$B$800,MATCH(DATE(YEAR(A606)-1,12,1),$A$2:$A$800,0))-1,""))</f>
        <v/>
      </c>
      <c r="E606" s="123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5"/>
      <c r="B607" s="126"/>
      <c r="C607" s="123" t="str">
        <f aca="false">IF(OR(B607="",B606=""),"",B607/B606-1)</f>
        <v/>
      </c>
      <c r="D607" s="123" t="str">
        <f aca="false">IF(B607="","",IFERROR(B607/INDEX($B$2:$B$800,MATCH(DATE(YEAR(A607)-1,12,1),$A$2:$A$800,0))-1,""))</f>
        <v/>
      </c>
      <c r="E607" s="123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5"/>
      <c r="B608" s="126"/>
      <c r="C608" s="123" t="str">
        <f aca="false">IF(OR(B608="",B607=""),"",B608/B607-1)</f>
        <v/>
      </c>
      <c r="D608" s="123" t="str">
        <f aca="false">IF(B608="","",IFERROR(B608/INDEX($B$2:$B$800,MATCH(DATE(YEAR(A608)-1,12,1),$A$2:$A$800,0))-1,""))</f>
        <v/>
      </c>
      <c r="E608" s="123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5"/>
      <c r="B609" s="126"/>
      <c r="C609" s="123" t="str">
        <f aca="false">IF(OR(B609="",B608=""),"",B609/B608-1)</f>
        <v/>
      </c>
      <c r="D609" s="123" t="str">
        <f aca="false">IF(B609="","",IFERROR(B609/INDEX($B$2:$B$800,MATCH(DATE(YEAR(A609)-1,12,1),$A$2:$A$800,0))-1,""))</f>
        <v/>
      </c>
      <c r="E609" s="123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5"/>
      <c r="B610" s="126"/>
      <c r="C610" s="123" t="str">
        <f aca="false">IF(OR(B610="",B609=""),"",B610/B609-1)</f>
        <v/>
      </c>
      <c r="D610" s="123" t="str">
        <f aca="false">IF(B610="","",IFERROR(B610/INDEX($B$2:$B$800,MATCH(DATE(YEAR(A610)-1,12,1),$A$2:$A$800,0))-1,""))</f>
        <v/>
      </c>
      <c r="E610" s="123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5"/>
      <c r="B611" s="126"/>
      <c r="C611" s="123" t="str">
        <f aca="false">IF(OR(B611="",B610=""),"",B611/B610-1)</f>
        <v/>
      </c>
      <c r="D611" s="123" t="str">
        <f aca="false">IF(B611="","",IFERROR(B611/INDEX($B$2:$B$800,MATCH(DATE(YEAR(A611)-1,12,1),$A$2:$A$800,0))-1,""))</f>
        <v/>
      </c>
      <c r="E611" s="123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5"/>
      <c r="B612" s="126"/>
      <c r="C612" s="123" t="str">
        <f aca="false">IF(OR(B612="",B611=""),"",B612/B611-1)</f>
        <v/>
      </c>
      <c r="D612" s="123" t="str">
        <f aca="false">IF(B612="","",IFERROR(B612/INDEX($B$2:$B$800,MATCH(DATE(YEAR(A612)-1,12,1),$A$2:$A$800,0))-1,""))</f>
        <v/>
      </c>
      <c r="E612" s="123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5"/>
      <c r="B613" s="126"/>
      <c r="C613" s="123" t="str">
        <f aca="false">IF(OR(B613="",B612=""),"",B613/B612-1)</f>
        <v/>
      </c>
      <c r="D613" s="123" t="str">
        <f aca="false">IF(B613="","",IFERROR(B613/INDEX($B$2:$B$800,MATCH(DATE(YEAR(A613)-1,12,1),$A$2:$A$800,0))-1,""))</f>
        <v/>
      </c>
      <c r="E613" s="123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5"/>
      <c r="B614" s="126"/>
      <c r="C614" s="123" t="str">
        <f aca="false">IF(OR(B614="",B613=""),"",B614/B613-1)</f>
        <v/>
      </c>
      <c r="D614" s="123" t="str">
        <f aca="false">IF(B614="","",IFERROR(B614/INDEX($B$2:$B$800,MATCH(DATE(YEAR(A614)-1,12,1),$A$2:$A$800,0))-1,""))</f>
        <v/>
      </c>
      <c r="E614" s="123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5"/>
      <c r="B615" s="126"/>
      <c r="C615" s="123" t="str">
        <f aca="false">IF(OR(B615="",B614=""),"",B615/B614-1)</f>
        <v/>
      </c>
      <c r="D615" s="123" t="str">
        <f aca="false">IF(B615="","",IFERROR(B615/INDEX($B$2:$B$800,MATCH(DATE(YEAR(A615)-1,12,1),$A$2:$A$800,0))-1,""))</f>
        <v/>
      </c>
      <c r="E615" s="123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5"/>
      <c r="B616" s="126"/>
      <c r="C616" s="123" t="str">
        <f aca="false">IF(OR(B616="",B615=""),"",B616/B615-1)</f>
        <v/>
      </c>
      <c r="D616" s="123" t="str">
        <f aca="false">IF(B616="","",IFERROR(B616/INDEX($B$2:$B$800,MATCH(DATE(YEAR(A616)-1,12,1),$A$2:$A$800,0))-1,""))</f>
        <v/>
      </c>
      <c r="E616" s="123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5"/>
      <c r="B617" s="126"/>
      <c r="C617" s="123" t="str">
        <f aca="false">IF(OR(B617="",B616=""),"",B617/B616-1)</f>
        <v/>
      </c>
      <c r="D617" s="123" t="str">
        <f aca="false">IF(B617="","",IFERROR(B617/INDEX($B$2:$B$800,MATCH(DATE(YEAR(A617)-1,12,1),$A$2:$A$800,0))-1,""))</f>
        <v/>
      </c>
      <c r="E617" s="123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5"/>
      <c r="B618" s="126"/>
      <c r="C618" s="123" t="str">
        <f aca="false">IF(OR(B618="",B617=""),"",B618/B617-1)</f>
        <v/>
      </c>
      <c r="D618" s="123" t="str">
        <f aca="false">IF(B618="","",IFERROR(B618/INDEX($B$2:$B$800,MATCH(DATE(YEAR(A618)-1,12,1),$A$2:$A$800,0))-1,""))</f>
        <v/>
      </c>
      <c r="E618" s="123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5"/>
      <c r="B619" s="126"/>
      <c r="C619" s="123" t="str">
        <f aca="false">IF(OR(B619="",B618=""),"",B619/B618-1)</f>
        <v/>
      </c>
      <c r="D619" s="123" t="str">
        <f aca="false">IF(B619="","",IFERROR(B619/INDEX($B$2:$B$800,MATCH(DATE(YEAR(A619)-1,12,1),$A$2:$A$800,0))-1,""))</f>
        <v/>
      </c>
      <c r="E619" s="123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5"/>
      <c r="B620" s="126"/>
      <c r="C620" s="123" t="str">
        <f aca="false">IF(OR(B620="",B619=""),"",B620/B619-1)</f>
        <v/>
      </c>
      <c r="D620" s="123" t="str">
        <f aca="false">IF(B620="","",IFERROR(B620/INDEX($B$2:$B$800,MATCH(DATE(YEAR(A620)-1,12,1),$A$2:$A$800,0))-1,""))</f>
        <v/>
      </c>
      <c r="E620" s="123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5"/>
      <c r="B621" s="126"/>
      <c r="C621" s="123" t="str">
        <f aca="false">IF(OR(B621="",B620=""),"",B621/B620-1)</f>
        <v/>
      </c>
      <c r="D621" s="123" t="str">
        <f aca="false">IF(B621="","",IFERROR(B621/INDEX($B$2:$B$800,MATCH(DATE(YEAR(A621)-1,12,1),$A$2:$A$800,0))-1,""))</f>
        <v/>
      </c>
      <c r="E621" s="123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5"/>
      <c r="B622" s="126"/>
      <c r="C622" s="123" t="str">
        <f aca="false">IF(OR(B622="",B621=""),"",B622/B621-1)</f>
        <v/>
      </c>
      <c r="D622" s="123" t="str">
        <f aca="false">IF(B622="","",IFERROR(B622/INDEX($B$2:$B$800,MATCH(DATE(YEAR(A622)-1,12,1),$A$2:$A$800,0))-1,""))</f>
        <v/>
      </c>
      <c r="E622" s="123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5"/>
      <c r="B623" s="126"/>
      <c r="C623" s="123" t="str">
        <f aca="false">IF(OR(B623="",B622=""),"",B623/B622-1)</f>
        <v/>
      </c>
      <c r="D623" s="123" t="str">
        <f aca="false">IF(B623="","",IFERROR(B623/INDEX($B$2:$B$800,MATCH(DATE(YEAR(A623)-1,12,1),$A$2:$A$800,0))-1,""))</f>
        <v/>
      </c>
      <c r="E623" s="123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5"/>
      <c r="B624" s="126"/>
      <c r="C624" s="123" t="str">
        <f aca="false">IF(OR(B624="",B623=""),"",B624/B623-1)</f>
        <v/>
      </c>
      <c r="D624" s="123" t="str">
        <f aca="false">IF(B624="","",IFERROR(B624/INDEX($B$2:$B$800,MATCH(DATE(YEAR(A624)-1,12,1),$A$2:$A$800,0))-1,""))</f>
        <v/>
      </c>
      <c r="E624" s="123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5"/>
      <c r="B625" s="126"/>
      <c r="C625" s="123" t="str">
        <f aca="false">IF(OR(B625="",B624=""),"",B625/B624-1)</f>
        <v/>
      </c>
      <c r="D625" s="123" t="str">
        <f aca="false">IF(B625="","",IFERROR(B625/INDEX($B$2:$B$800,MATCH(DATE(YEAR(A625)-1,12,1),$A$2:$A$800,0))-1,""))</f>
        <v/>
      </c>
      <c r="E625" s="123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5"/>
      <c r="B626" s="126"/>
      <c r="C626" s="123" t="str">
        <f aca="false">IF(OR(B626="",B625=""),"",B626/B625-1)</f>
        <v/>
      </c>
      <c r="D626" s="123" t="str">
        <f aca="false">IF(B626="","",IFERROR(B626/INDEX($B$2:$B$800,MATCH(DATE(YEAR(A626)-1,12,1),$A$2:$A$800,0))-1,""))</f>
        <v/>
      </c>
      <c r="E626" s="123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5"/>
      <c r="B627" s="126"/>
      <c r="C627" s="123" t="str">
        <f aca="false">IF(OR(B627="",B626=""),"",B627/B626-1)</f>
        <v/>
      </c>
      <c r="D627" s="123" t="str">
        <f aca="false">IF(B627="","",IFERROR(B627/INDEX($B$2:$B$800,MATCH(DATE(YEAR(A627)-1,12,1),$A$2:$A$800,0))-1,""))</f>
        <v/>
      </c>
      <c r="E627" s="123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5"/>
      <c r="B628" s="126"/>
      <c r="C628" s="123" t="str">
        <f aca="false">IF(OR(B628="",B627=""),"",B628/B627-1)</f>
        <v/>
      </c>
      <c r="D628" s="123" t="str">
        <f aca="false">IF(B628="","",IFERROR(B628/INDEX($B$2:$B$800,MATCH(DATE(YEAR(A628)-1,12,1),$A$2:$A$800,0))-1,""))</f>
        <v/>
      </c>
      <c r="E628" s="123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5"/>
      <c r="B629" s="126"/>
      <c r="C629" s="123" t="str">
        <f aca="false">IF(OR(B629="",B628=""),"",B629/B628-1)</f>
        <v/>
      </c>
      <c r="D629" s="123" t="str">
        <f aca="false">IF(B629="","",IFERROR(B629/INDEX($B$2:$B$800,MATCH(DATE(YEAR(A629)-1,12,1),$A$2:$A$800,0))-1,""))</f>
        <v/>
      </c>
      <c r="E629" s="123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5"/>
      <c r="B630" s="126"/>
      <c r="C630" s="123" t="str">
        <f aca="false">IF(OR(B630="",B629=""),"",B630/B629-1)</f>
        <v/>
      </c>
      <c r="D630" s="123" t="str">
        <f aca="false">IF(B630="","",IFERROR(B630/INDEX($B$2:$B$800,MATCH(DATE(YEAR(A630)-1,12,1),$A$2:$A$800,0))-1,""))</f>
        <v/>
      </c>
      <c r="E630" s="123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5"/>
      <c r="B631" s="126"/>
      <c r="C631" s="123" t="str">
        <f aca="false">IF(OR(B631="",B630=""),"",B631/B630-1)</f>
        <v/>
      </c>
      <c r="D631" s="123" t="str">
        <f aca="false">IF(B631="","",IFERROR(B631/INDEX($B$2:$B$800,MATCH(DATE(YEAR(A631)-1,12,1),$A$2:$A$800,0))-1,""))</f>
        <v/>
      </c>
      <c r="E631" s="123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5"/>
      <c r="B632" s="126"/>
      <c r="C632" s="123" t="str">
        <f aca="false">IF(OR(B632="",B631=""),"",B632/B631-1)</f>
        <v/>
      </c>
      <c r="D632" s="123" t="str">
        <f aca="false">IF(B632="","",IFERROR(B632/INDEX($B$2:$B$800,MATCH(DATE(YEAR(A632)-1,12,1),$A$2:$A$800,0))-1,""))</f>
        <v/>
      </c>
      <c r="E632" s="123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5"/>
      <c r="B633" s="126"/>
      <c r="C633" s="123" t="str">
        <f aca="false">IF(OR(B633="",B632=""),"",B633/B632-1)</f>
        <v/>
      </c>
      <c r="D633" s="123" t="str">
        <f aca="false">IF(B633="","",IFERROR(B633/INDEX($B$2:$B$800,MATCH(DATE(YEAR(A633)-1,12,1),$A$2:$A$800,0))-1,""))</f>
        <v/>
      </c>
      <c r="E633" s="123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5"/>
      <c r="B634" s="126"/>
      <c r="C634" s="123" t="str">
        <f aca="false">IF(OR(B634="",B633=""),"",B634/B633-1)</f>
        <v/>
      </c>
      <c r="D634" s="123" t="str">
        <f aca="false">IF(B634="","",IFERROR(B634/INDEX($B$2:$B$800,MATCH(DATE(YEAR(A634)-1,12,1),$A$2:$A$800,0))-1,""))</f>
        <v/>
      </c>
      <c r="E634" s="123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5"/>
      <c r="B635" s="126"/>
      <c r="C635" s="123" t="str">
        <f aca="false">IF(OR(B635="",B634=""),"",B635/B634-1)</f>
        <v/>
      </c>
      <c r="D635" s="123" t="str">
        <f aca="false">IF(B635="","",IFERROR(B635/INDEX($B$2:$B$800,MATCH(DATE(YEAR(A635)-1,12,1),$A$2:$A$800,0))-1,""))</f>
        <v/>
      </c>
      <c r="E635" s="123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5"/>
      <c r="B636" s="126"/>
      <c r="C636" s="123" t="str">
        <f aca="false">IF(OR(B636="",B635=""),"",B636/B635-1)</f>
        <v/>
      </c>
      <c r="D636" s="123" t="str">
        <f aca="false">IF(B636="","",IFERROR(B636/INDEX($B$2:$B$800,MATCH(DATE(YEAR(A636)-1,12,1),$A$2:$A$800,0))-1,""))</f>
        <v/>
      </c>
      <c r="E636" s="123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5"/>
      <c r="B637" s="126"/>
      <c r="C637" s="123" t="str">
        <f aca="false">IF(OR(B637="",B636=""),"",B637/B636-1)</f>
        <v/>
      </c>
      <c r="D637" s="123" t="str">
        <f aca="false">IF(B637="","",IFERROR(B637/INDEX($B$2:$B$800,MATCH(DATE(YEAR(A637)-1,12,1),$A$2:$A$800,0))-1,""))</f>
        <v/>
      </c>
      <c r="E637" s="123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5"/>
      <c r="B638" s="126"/>
      <c r="C638" s="123" t="str">
        <f aca="false">IF(OR(B638="",B637=""),"",B638/B637-1)</f>
        <v/>
      </c>
      <c r="D638" s="123" t="str">
        <f aca="false">IF(B638="","",IFERROR(B638/INDEX($B$2:$B$800,MATCH(DATE(YEAR(A638)-1,12,1),$A$2:$A$800,0))-1,""))</f>
        <v/>
      </c>
      <c r="E638" s="123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5"/>
      <c r="B639" s="126"/>
      <c r="C639" s="123" t="str">
        <f aca="false">IF(OR(B639="",B638=""),"",B639/B638-1)</f>
        <v/>
      </c>
      <c r="D639" s="123" t="str">
        <f aca="false">IF(B639="","",IFERROR(B639/INDEX($B$2:$B$800,MATCH(DATE(YEAR(A639)-1,12,1),$A$2:$A$800,0))-1,""))</f>
        <v/>
      </c>
      <c r="E639" s="123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5"/>
      <c r="B640" s="126"/>
      <c r="C640" s="123" t="str">
        <f aca="false">IF(OR(B640="",B639=""),"",B640/B639-1)</f>
        <v/>
      </c>
      <c r="D640" s="123" t="str">
        <f aca="false">IF(B640="","",IFERROR(B640/INDEX($B$2:$B$800,MATCH(DATE(YEAR(A640)-1,12,1),$A$2:$A$800,0))-1,""))</f>
        <v/>
      </c>
      <c r="E640" s="123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5"/>
      <c r="B641" s="126"/>
      <c r="C641" s="123" t="str">
        <f aca="false">IF(OR(B641="",B640=""),"",B641/B640-1)</f>
        <v/>
      </c>
      <c r="D641" s="123" t="str">
        <f aca="false">IF(B641="","",IFERROR(B641/INDEX($B$2:$B$800,MATCH(DATE(YEAR(A641)-1,12,1),$A$2:$A$800,0))-1,""))</f>
        <v/>
      </c>
      <c r="E641" s="123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5"/>
      <c r="B642" s="126"/>
      <c r="C642" s="123" t="str">
        <f aca="false">IF(OR(B642="",B641=""),"",B642/B641-1)</f>
        <v/>
      </c>
      <c r="D642" s="123" t="str">
        <f aca="false">IF(B642="","",IFERROR(B642/INDEX($B$2:$B$800,MATCH(DATE(YEAR(A642)-1,12,1),$A$2:$A$800,0))-1,""))</f>
        <v/>
      </c>
      <c r="E642" s="123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5"/>
      <c r="B643" s="126"/>
      <c r="C643" s="123" t="str">
        <f aca="false">IF(OR(B643="",B642=""),"",B643/B642-1)</f>
        <v/>
      </c>
      <c r="D643" s="123" t="str">
        <f aca="false">IF(B643="","",IFERROR(B643/INDEX($B$2:$B$800,MATCH(DATE(YEAR(A643)-1,12,1),$A$2:$A$800,0))-1,""))</f>
        <v/>
      </c>
      <c r="E643" s="123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5"/>
      <c r="B644" s="126"/>
      <c r="C644" s="123" t="str">
        <f aca="false">IF(OR(B644="",B643=""),"",B644/B643-1)</f>
        <v/>
      </c>
      <c r="D644" s="123" t="str">
        <f aca="false">IF(B644="","",IFERROR(B644/INDEX($B$2:$B$800,MATCH(DATE(YEAR(A644)-1,12,1),$A$2:$A$800,0))-1,""))</f>
        <v/>
      </c>
      <c r="E644" s="123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5"/>
      <c r="B645" s="126"/>
      <c r="C645" s="123" t="str">
        <f aca="false">IF(OR(B645="",B644=""),"",B645/B644-1)</f>
        <v/>
      </c>
      <c r="D645" s="123" t="str">
        <f aca="false">IF(B645="","",IFERROR(B645/INDEX($B$2:$B$800,MATCH(DATE(YEAR(A645)-1,12,1),$A$2:$A$800,0))-1,""))</f>
        <v/>
      </c>
      <c r="E645" s="123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5"/>
      <c r="B646" s="126"/>
      <c r="C646" s="123" t="str">
        <f aca="false">IF(OR(B646="",B645=""),"",B646/B645-1)</f>
        <v/>
      </c>
      <c r="D646" s="123" t="str">
        <f aca="false">IF(B646="","",IFERROR(B646/INDEX($B$2:$B$800,MATCH(DATE(YEAR(A646)-1,12,1),$A$2:$A$800,0))-1,""))</f>
        <v/>
      </c>
      <c r="E646" s="123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5"/>
      <c r="B647" s="126"/>
      <c r="C647" s="123" t="str">
        <f aca="false">IF(OR(B647="",B646=""),"",B647/B646-1)</f>
        <v/>
      </c>
      <c r="D647" s="123" t="str">
        <f aca="false">IF(B647="","",IFERROR(B647/INDEX($B$2:$B$800,MATCH(DATE(YEAR(A647)-1,12,1),$A$2:$A$800,0))-1,""))</f>
        <v/>
      </c>
      <c r="E647" s="123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5"/>
      <c r="B648" s="126"/>
      <c r="C648" s="123" t="str">
        <f aca="false">IF(OR(B648="",B647=""),"",B648/B647-1)</f>
        <v/>
      </c>
      <c r="D648" s="123" t="str">
        <f aca="false">IF(B648="","",IFERROR(B648/INDEX($B$2:$B$800,MATCH(DATE(YEAR(A648)-1,12,1),$A$2:$A$800,0))-1,""))</f>
        <v/>
      </c>
      <c r="E648" s="123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5"/>
      <c r="B649" s="126"/>
      <c r="C649" s="123" t="str">
        <f aca="false">IF(OR(B649="",B648=""),"",B649/B648-1)</f>
        <v/>
      </c>
      <c r="D649" s="123" t="str">
        <f aca="false">IF(B649="","",IFERROR(B649/INDEX($B$2:$B$800,MATCH(DATE(YEAR(A649)-1,12,1),$A$2:$A$800,0))-1,""))</f>
        <v/>
      </c>
      <c r="E649" s="123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5"/>
      <c r="B650" s="126"/>
      <c r="C650" s="123" t="str">
        <f aca="false">IF(OR(B650="",B649=""),"",B650/B649-1)</f>
        <v/>
      </c>
      <c r="D650" s="123" t="str">
        <f aca="false">IF(B650="","",IFERROR(B650/INDEX($B$2:$B$800,MATCH(DATE(YEAR(A650)-1,12,1),$A$2:$A$800,0))-1,""))</f>
        <v/>
      </c>
      <c r="E650" s="123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5"/>
      <c r="B651" s="126"/>
      <c r="C651" s="123" t="str">
        <f aca="false">IF(OR(B651="",B650=""),"",B651/B650-1)</f>
        <v/>
      </c>
      <c r="D651" s="123" t="str">
        <f aca="false">IF(B651="","",IFERROR(B651/INDEX($B$2:$B$800,MATCH(DATE(YEAR(A651)-1,12,1),$A$2:$A$800,0))-1,""))</f>
        <v/>
      </c>
      <c r="E651" s="123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5"/>
      <c r="B652" s="126"/>
      <c r="C652" s="123" t="str">
        <f aca="false">IF(OR(B652="",B651=""),"",B652/B651-1)</f>
        <v/>
      </c>
      <c r="D652" s="123" t="str">
        <f aca="false">IF(B652="","",IFERROR(B652/INDEX($B$2:$B$800,MATCH(DATE(YEAR(A652)-1,12,1),$A$2:$A$800,0))-1,""))</f>
        <v/>
      </c>
      <c r="E652" s="123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5"/>
      <c r="B653" s="126"/>
      <c r="C653" s="123" t="str">
        <f aca="false">IF(OR(B653="",B652=""),"",B653/B652-1)</f>
        <v/>
      </c>
      <c r="D653" s="123" t="str">
        <f aca="false">IF(B653="","",IFERROR(B653/INDEX($B$2:$B$800,MATCH(DATE(YEAR(A653)-1,12,1),$A$2:$A$800,0))-1,""))</f>
        <v/>
      </c>
      <c r="E653" s="123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5"/>
      <c r="B654" s="126"/>
      <c r="C654" s="123" t="str">
        <f aca="false">IF(OR(B654="",B653=""),"",B654/B653-1)</f>
        <v/>
      </c>
      <c r="D654" s="123" t="str">
        <f aca="false">IF(B654="","",IFERROR(B654/INDEX($B$2:$B$800,MATCH(DATE(YEAR(A654)-1,12,1),$A$2:$A$800,0))-1,""))</f>
        <v/>
      </c>
      <c r="E654" s="123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5"/>
      <c r="B655" s="126"/>
      <c r="C655" s="123" t="str">
        <f aca="false">IF(OR(B655="",B654=""),"",B655/B654-1)</f>
        <v/>
      </c>
      <c r="D655" s="123" t="str">
        <f aca="false">IF(B655="","",IFERROR(B655/INDEX($B$2:$B$800,MATCH(DATE(YEAR(A655)-1,12,1),$A$2:$A$800,0))-1,""))</f>
        <v/>
      </c>
      <c r="E655" s="123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5"/>
      <c r="B656" s="126"/>
      <c r="C656" s="123" t="str">
        <f aca="false">IF(OR(B656="",B655=""),"",B656/B655-1)</f>
        <v/>
      </c>
      <c r="D656" s="123" t="str">
        <f aca="false">IF(B656="","",IFERROR(B656/INDEX($B$2:$B$800,MATCH(DATE(YEAR(A656)-1,12,1),$A$2:$A$800,0))-1,""))</f>
        <v/>
      </c>
      <c r="E656" s="123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5"/>
      <c r="B657" s="126"/>
      <c r="C657" s="123" t="str">
        <f aca="false">IF(OR(B657="",B656=""),"",B657/B656-1)</f>
        <v/>
      </c>
      <c r="D657" s="123" t="str">
        <f aca="false">IF(B657="","",IFERROR(B657/INDEX($B$2:$B$800,MATCH(DATE(YEAR(A657)-1,12,1),$A$2:$A$800,0))-1,""))</f>
        <v/>
      </c>
      <c r="E657" s="123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5"/>
      <c r="B658" s="126"/>
      <c r="C658" s="123" t="str">
        <f aca="false">IF(OR(B658="",B657=""),"",B658/B657-1)</f>
        <v/>
      </c>
      <c r="D658" s="123" t="str">
        <f aca="false">IF(B658="","",IFERROR(B658/INDEX($B$2:$B$800,MATCH(DATE(YEAR(A658)-1,12,1),$A$2:$A$800,0))-1,""))</f>
        <v/>
      </c>
      <c r="E658" s="123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5"/>
      <c r="B659" s="126"/>
      <c r="C659" s="123" t="str">
        <f aca="false">IF(OR(B659="",B658=""),"",B659/B658-1)</f>
        <v/>
      </c>
      <c r="D659" s="123" t="str">
        <f aca="false">IF(B659="","",IFERROR(B659/INDEX($B$2:$B$800,MATCH(DATE(YEAR(A659)-1,12,1),$A$2:$A$800,0))-1,""))</f>
        <v/>
      </c>
      <c r="E659" s="123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5"/>
      <c r="B660" s="126"/>
      <c r="C660" s="123" t="str">
        <f aca="false">IF(OR(B660="",B659=""),"",B660/B659-1)</f>
        <v/>
      </c>
      <c r="D660" s="123" t="str">
        <f aca="false">IF(B660="","",IFERROR(B660/INDEX($B$2:$B$800,MATCH(DATE(YEAR(A660)-1,12,1),$A$2:$A$800,0))-1,""))</f>
        <v/>
      </c>
      <c r="E660" s="123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5"/>
      <c r="B661" s="126"/>
      <c r="C661" s="123" t="str">
        <f aca="false">IF(OR(B661="",B660=""),"",B661/B660-1)</f>
        <v/>
      </c>
      <c r="D661" s="123" t="str">
        <f aca="false">IF(B661="","",IFERROR(B661/INDEX($B$2:$B$800,MATCH(DATE(YEAR(A661)-1,12,1),$A$2:$A$800,0))-1,""))</f>
        <v/>
      </c>
      <c r="E661" s="123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5"/>
      <c r="B662" s="126"/>
      <c r="C662" s="123" t="str">
        <f aca="false">IF(OR(B662="",B661=""),"",B662/B661-1)</f>
        <v/>
      </c>
      <c r="D662" s="123" t="str">
        <f aca="false">IF(B662="","",IFERROR(B662/INDEX($B$2:$B$800,MATCH(DATE(YEAR(A662)-1,12,1),$A$2:$A$800,0))-1,""))</f>
        <v/>
      </c>
      <c r="E662" s="123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5"/>
      <c r="B663" s="126"/>
      <c r="C663" s="123" t="str">
        <f aca="false">IF(OR(B663="",B662=""),"",B663/B662-1)</f>
        <v/>
      </c>
      <c r="D663" s="123" t="str">
        <f aca="false">IF(B663="","",IFERROR(B663/INDEX($B$2:$B$800,MATCH(DATE(YEAR(A663)-1,12,1),$A$2:$A$800,0))-1,""))</f>
        <v/>
      </c>
      <c r="E663" s="123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5"/>
      <c r="B664" s="126"/>
      <c r="C664" s="123" t="str">
        <f aca="false">IF(OR(B664="",B663=""),"",B664/B663-1)</f>
        <v/>
      </c>
      <c r="D664" s="123" t="str">
        <f aca="false">IF(B664="","",IFERROR(B664/INDEX($B$2:$B$800,MATCH(DATE(YEAR(A664)-1,12,1),$A$2:$A$800,0))-1,""))</f>
        <v/>
      </c>
      <c r="E664" s="123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5"/>
      <c r="B665" s="126"/>
      <c r="C665" s="123" t="str">
        <f aca="false">IF(OR(B665="",B664=""),"",B665/B664-1)</f>
        <v/>
      </c>
      <c r="D665" s="123" t="str">
        <f aca="false">IF(B665="","",IFERROR(B665/INDEX($B$2:$B$800,MATCH(DATE(YEAR(A665)-1,12,1),$A$2:$A$800,0))-1,""))</f>
        <v/>
      </c>
      <c r="E665" s="123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5"/>
      <c r="B666" s="126"/>
      <c r="C666" s="123" t="str">
        <f aca="false">IF(OR(B666="",B665=""),"",B666/B665-1)</f>
        <v/>
      </c>
      <c r="D666" s="123" t="str">
        <f aca="false">IF(B666="","",IFERROR(B666/INDEX($B$2:$B$800,MATCH(DATE(YEAR(A666)-1,12,1),$A$2:$A$800,0))-1,""))</f>
        <v/>
      </c>
      <c r="E666" s="123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5"/>
      <c r="B667" s="126"/>
      <c r="C667" s="123" t="str">
        <f aca="false">IF(OR(B667="",B666=""),"",B667/B666-1)</f>
        <v/>
      </c>
      <c r="D667" s="123" t="str">
        <f aca="false">IF(B667="","",IFERROR(B667/INDEX($B$2:$B$800,MATCH(DATE(YEAR(A667)-1,12,1),$A$2:$A$800,0))-1,""))</f>
        <v/>
      </c>
      <c r="E667" s="123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5"/>
      <c r="B668" s="126"/>
      <c r="C668" s="123" t="str">
        <f aca="false">IF(OR(B668="",B667=""),"",B668/B667-1)</f>
        <v/>
      </c>
      <c r="D668" s="123" t="str">
        <f aca="false">IF(B668="","",IFERROR(B668/INDEX($B$2:$B$800,MATCH(DATE(YEAR(A668)-1,12,1),$A$2:$A$800,0))-1,""))</f>
        <v/>
      </c>
      <c r="E668" s="123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5"/>
      <c r="B669" s="126"/>
      <c r="C669" s="123" t="str">
        <f aca="false">IF(OR(B669="",B668=""),"",B669/B668-1)</f>
        <v/>
      </c>
      <c r="D669" s="123" t="str">
        <f aca="false">IF(B669="","",IFERROR(B669/INDEX($B$2:$B$800,MATCH(DATE(YEAR(A669)-1,12,1),$A$2:$A$800,0))-1,""))</f>
        <v/>
      </c>
      <c r="E669" s="123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5"/>
      <c r="B670" s="126"/>
      <c r="C670" s="123" t="str">
        <f aca="false">IF(OR(B670="",B669=""),"",B670/B669-1)</f>
        <v/>
      </c>
      <c r="D670" s="123" t="str">
        <f aca="false">IF(B670="","",IFERROR(B670/INDEX($B$2:$B$800,MATCH(DATE(YEAR(A670)-1,12,1),$A$2:$A$800,0))-1,""))</f>
        <v/>
      </c>
      <c r="E670" s="123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5"/>
      <c r="B671" s="126"/>
      <c r="C671" s="123" t="str">
        <f aca="false">IF(OR(B671="",B670=""),"",B671/B670-1)</f>
        <v/>
      </c>
      <c r="D671" s="123" t="str">
        <f aca="false">IF(B671="","",IFERROR(B671/INDEX($B$2:$B$800,MATCH(DATE(YEAR(A671)-1,12,1),$A$2:$A$800,0))-1,""))</f>
        <v/>
      </c>
      <c r="E671" s="123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5"/>
      <c r="B672" s="126"/>
      <c r="C672" s="123" t="str">
        <f aca="false">IF(OR(B672="",B671=""),"",B672/B671-1)</f>
        <v/>
      </c>
      <c r="D672" s="123" t="str">
        <f aca="false">IF(B672="","",IFERROR(B672/INDEX($B$2:$B$800,MATCH(DATE(YEAR(A672)-1,12,1),$A$2:$A$800,0))-1,""))</f>
        <v/>
      </c>
      <c r="E672" s="123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5"/>
      <c r="B673" s="126"/>
      <c r="C673" s="123" t="str">
        <f aca="false">IF(OR(B673="",B672=""),"",B673/B672-1)</f>
        <v/>
      </c>
      <c r="D673" s="123" t="str">
        <f aca="false">IF(B673="","",IFERROR(B673/INDEX($B$2:$B$800,MATCH(DATE(YEAR(A673)-1,12,1),$A$2:$A$800,0))-1,""))</f>
        <v/>
      </c>
      <c r="E673" s="123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5"/>
      <c r="B674" s="126"/>
      <c r="C674" s="123" t="str">
        <f aca="false">IF(OR(B674="",B673=""),"",B674/B673-1)</f>
        <v/>
      </c>
      <c r="D674" s="123" t="str">
        <f aca="false">IF(B674="","",IFERROR(B674/INDEX($B$2:$B$800,MATCH(DATE(YEAR(A674)-1,12,1),$A$2:$A$800,0))-1,""))</f>
        <v/>
      </c>
      <c r="E674" s="123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5"/>
      <c r="B675" s="126"/>
      <c r="C675" s="123" t="str">
        <f aca="false">IF(OR(B675="",B674=""),"",B675/B674-1)</f>
        <v/>
      </c>
      <c r="D675" s="123" t="str">
        <f aca="false">IF(B675="","",IFERROR(B675/INDEX($B$2:$B$800,MATCH(DATE(YEAR(A675)-1,12,1),$A$2:$A$800,0))-1,""))</f>
        <v/>
      </c>
      <c r="E675" s="123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5"/>
      <c r="B676" s="126"/>
      <c r="C676" s="123" t="str">
        <f aca="false">IF(OR(B676="",B675=""),"",B676/B675-1)</f>
        <v/>
      </c>
      <c r="D676" s="123" t="str">
        <f aca="false">IF(B676="","",IFERROR(B676/INDEX($B$2:$B$800,MATCH(DATE(YEAR(A676)-1,12,1),$A$2:$A$800,0))-1,""))</f>
        <v/>
      </c>
      <c r="E676" s="123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5"/>
      <c r="B677" s="126"/>
      <c r="C677" s="123" t="str">
        <f aca="false">IF(OR(B677="",B676=""),"",B677/B676-1)</f>
        <v/>
      </c>
      <c r="D677" s="123" t="str">
        <f aca="false">IF(B677="","",IFERROR(B677/INDEX($B$2:$B$800,MATCH(DATE(YEAR(A677)-1,12,1),$A$2:$A$800,0))-1,""))</f>
        <v/>
      </c>
      <c r="E677" s="123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5"/>
      <c r="B678" s="126"/>
      <c r="C678" s="123" t="str">
        <f aca="false">IF(OR(B678="",B677=""),"",B678/B677-1)</f>
        <v/>
      </c>
      <c r="D678" s="123" t="str">
        <f aca="false">IF(B678="","",IFERROR(B678/INDEX($B$2:$B$800,MATCH(DATE(YEAR(A678)-1,12,1),$A$2:$A$800,0))-1,""))</f>
        <v/>
      </c>
      <c r="E678" s="123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5"/>
      <c r="B679" s="126"/>
      <c r="C679" s="123" t="str">
        <f aca="false">IF(OR(B679="",B678=""),"",B679/B678-1)</f>
        <v/>
      </c>
      <c r="D679" s="123" t="str">
        <f aca="false">IF(B679="","",IFERROR(B679/INDEX($B$2:$B$800,MATCH(DATE(YEAR(A679)-1,12,1),$A$2:$A$800,0))-1,""))</f>
        <v/>
      </c>
      <c r="E679" s="123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5"/>
      <c r="B680" s="126"/>
      <c r="C680" s="123" t="str">
        <f aca="false">IF(OR(B680="",B679=""),"",B680/B679-1)</f>
        <v/>
      </c>
      <c r="D680" s="123" t="str">
        <f aca="false">IF(B680="","",IFERROR(B680/INDEX($B$2:$B$800,MATCH(DATE(YEAR(A680)-1,12,1),$A$2:$A$800,0))-1,""))</f>
        <v/>
      </c>
      <c r="E680" s="123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5"/>
      <c r="B681" s="126"/>
      <c r="C681" s="123" t="str">
        <f aca="false">IF(OR(B681="",B680=""),"",B681/B680-1)</f>
        <v/>
      </c>
      <c r="D681" s="123" t="str">
        <f aca="false">IF(B681="","",IFERROR(B681/INDEX($B$2:$B$800,MATCH(DATE(YEAR(A681)-1,12,1),$A$2:$A$800,0))-1,""))</f>
        <v/>
      </c>
      <c r="E681" s="123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5"/>
      <c r="B682" s="126"/>
      <c r="C682" s="123" t="str">
        <f aca="false">IF(OR(B682="",B681=""),"",B682/B681-1)</f>
        <v/>
      </c>
      <c r="D682" s="123" t="str">
        <f aca="false">IF(B682="","",IFERROR(B682/INDEX($B$2:$B$800,MATCH(DATE(YEAR(A682)-1,12,1),$A$2:$A$800,0))-1,""))</f>
        <v/>
      </c>
      <c r="E682" s="123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5"/>
      <c r="B683" s="126"/>
      <c r="C683" s="123" t="str">
        <f aca="false">IF(OR(B683="",B682=""),"",B683/B682-1)</f>
        <v/>
      </c>
      <c r="D683" s="123" t="str">
        <f aca="false">IF(B683="","",IFERROR(B683/INDEX($B$2:$B$800,MATCH(DATE(YEAR(A683)-1,12,1),$A$2:$A$800,0))-1,""))</f>
        <v/>
      </c>
      <c r="E683" s="123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5"/>
      <c r="B684" s="126"/>
      <c r="C684" s="123" t="str">
        <f aca="false">IF(OR(B684="",B683=""),"",B684/B683-1)</f>
        <v/>
      </c>
      <c r="D684" s="123" t="str">
        <f aca="false">IF(B684="","",IFERROR(B684/INDEX($B$2:$B$800,MATCH(DATE(YEAR(A684)-1,12,1),$A$2:$A$800,0))-1,""))</f>
        <v/>
      </c>
      <c r="E684" s="123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5"/>
      <c r="B685" s="126"/>
      <c r="C685" s="123" t="str">
        <f aca="false">IF(OR(B685="",B684=""),"",B685/B684-1)</f>
        <v/>
      </c>
      <c r="D685" s="123" t="str">
        <f aca="false">IF(B685="","",IFERROR(B685/INDEX($B$2:$B$800,MATCH(DATE(YEAR(A685)-1,12,1),$A$2:$A$800,0))-1,""))</f>
        <v/>
      </c>
      <c r="E685" s="123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5"/>
      <c r="B686" s="126"/>
      <c r="C686" s="123" t="str">
        <f aca="false">IF(OR(B686="",B685=""),"",B686/B685-1)</f>
        <v/>
      </c>
      <c r="D686" s="123" t="str">
        <f aca="false">IF(B686="","",IFERROR(B686/INDEX($B$2:$B$800,MATCH(DATE(YEAR(A686)-1,12,1),$A$2:$A$800,0))-1,""))</f>
        <v/>
      </c>
      <c r="E686" s="123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5"/>
      <c r="B687" s="126"/>
      <c r="C687" s="123" t="str">
        <f aca="false">IF(OR(B687="",B686=""),"",B687/B686-1)</f>
        <v/>
      </c>
      <c r="D687" s="123" t="str">
        <f aca="false">IF(B687="","",IFERROR(B687/INDEX($B$2:$B$800,MATCH(DATE(YEAR(A687)-1,12,1),$A$2:$A$800,0))-1,""))</f>
        <v/>
      </c>
      <c r="E687" s="123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5"/>
      <c r="B688" s="126"/>
      <c r="C688" s="123" t="str">
        <f aca="false">IF(OR(B688="",B687=""),"",B688/B687-1)</f>
        <v/>
      </c>
      <c r="D688" s="123" t="str">
        <f aca="false">IF(B688="","",IFERROR(B688/INDEX($B$2:$B$800,MATCH(DATE(YEAR(A688)-1,12,1),$A$2:$A$800,0))-1,""))</f>
        <v/>
      </c>
      <c r="E688" s="123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5"/>
      <c r="B689" s="126"/>
      <c r="C689" s="123" t="str">
        <f aca="false">IF(OR(B689="",B688=""),"",B689/B688-1)</f>
        <v/>
      </c>
      <c r="D689" s="123" t="str">
        <f aca="false">IF(B689="","",IFERROR(B689/INDEX($B$2:$B$800,MATCH(DATE(YEAR(A689)-1,12,1),$A$2:$A$800,0))-1,""))</f>
        <v/>
      </c>
      <c r="E689" s="123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5"/>
      <c r="B690" s="126"/>
      <c r="C690" s="123" t="str">
        <f aca="false">IF(OR(B690="",B689=""),"",B690/B689-1)</f>
        <v/>
      </c>
      <c r="D690" s="123" t="str">
        <f aca="false">IF(B690="","",IFERROR(B690/INDEX($B$2:$B$800,MATCH(DATE(YEAR(A690)-1,12,1),$A$2:$A$800,0))-1,""))</f>
        <v/>
      </c>
      <c r="E690" s="123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5"/>
      <c r="B691" s="126"/>
      <c r="C691" s="123" t="str">
        <f aca="false">IF(OR(B691="",B690=""),"",B691/B690-1)</f>
        <v/>
      </c>
      <c r="D691" s="123" t="str">
        <f aca="false">IF(B691="","",IFERROR(B691/INDEX($B$2:$B$800,MATCH(DATE(YEAR(A691)-1,12,1),$A$2:$A$800,0))-1,""))</f>
        <v/>
      </c>
      <c r="E691" s="123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5"/>
      <c r="B692" s="126"/>
      <c r="C692" s="123" t="str">
        <f aca="false">IF(OR(B692="",B691=""),"",B692/B691-1)</f>
        <v/>
      </c>
      <c r="D692" s="123" t="str">
        <f aca="false">IF(B692="","",IFERROR(B692/INDEX($B$2:$B$800,MATCH(DATE(YEAR(A692)-1,12,1),$A$2:$A$800,0))-1,""))</f>
        <v/>
      </c>
      <c r="E692" s="123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5"/>
      <c r="B693" s="126"/>
      <c r="C693" s="123" t="str">
        <f aca="false">IF(OR(B693="",B692=""),"",B693/B692-1)</f>
        <v/>
      </c>
      <c r="D693" s="123" t="str">
        <f aca="false">IF(B693="","",IFERROR(B693/INDEX($B$2:$B$800,MATCH(DATE(YEAR(A693)-1,12,1),$A$2:$A$800,0))-1,""))</f>
        <v/>
      </c>
      <c r="E693" s="123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5"/>
      <c r="B694" s="126"/>
      <c r="C694" s="123" t="str">
        <f aca="false">IF(OR(B694="",B693=""),"",B694/B693-1)</f>
        <v/>
      </c>
      <c r="D694" s="123" t="str">
        <f aca="false">IF(B694="","",IFERROR(B694/INDEX($B$2:$B$800,MATCH(DATE(YEAR(A694)-1,12,1),$A$2:$A$800,0))-1,""))</f>
        <v/>
      </c>
      <c r="E694" s="123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5"/>
      <c r="B695" s="126"/>
      <c r="C695" s="123" t="str">
        <f aca="false">IF(OR(B695="",B694=""),"",B695/B694-1)</f>
        <v/>
      </c>
      <c r="D695" s="123" t="str">
        <f aca="false">IF(B695="","",IFERROR(B695/INDEX($B$2:$B$800,MATCH(DATE(YEAR(A695)-1,12,1),$A$2:$A$800,0))-1,""))</f>
        <v/>
      </c>
      <c r="E695" s="123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5"/>
      <c r="B696" s="126"/>
      <c r="C696" s="123" t="str">
        <f aca="false">IF(OR(B696="",B695=""),"",B696/B695-1)</f>
        <v/>
      </c>
      <c r="D696" s="123" t="str">
        <f aca="false">IF(B696="","",IFERROR(B696/INDEX($B$2:$B$800,MATCH(DATE(YEAR(A696)-1,12,1),$A$2:$A$800,0))-1,""))</f>
        <v/>
      </c>
      <c r="E696" s="123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5"/>
      <c r="B697" s="126"/>
      <c r="C697" s="123" t="str">
        <f aca="false">IF(OR(B697="",B696=""),"",B697/B696-1)</f>
        <v/>
      </c>
      <c r="D697" s="123" t="str">
        <f aca="false">IF(B697="","",IFERROR(B697/INDEX($B$2:$B$800,MATCH(DATE(YEAR(A697)-1,12,1),$A$2:$A$800,0))-1,""))</f>
        <v/>
      </c>
      <c r="E697" s="123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5"/>
      <c r="B698" s="126"/>
      <c r="C698" s="123" t="str">
        <f aca="false">IF(OR(B698="",B697=""),"",B698/B697-1)</f>
        <v/>
      </c>
      <c r="D698" s="123" t="str">
        <f aca="false">IF(B698="","",IFERROR(B698/INDEX($B$2:$B$800,MATCH(DATE(YEAR(A698)-1,12,1),$A$2:$A$800,0))-1,""))</f>
        <v/>
      </c>
      <c r="E698" s="123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5"/>
      <c r="B699" s="126"/>
      <c r="C699" s="123" t="str">
        <f aca="false">IF(OR(B699="",B698=""),"",B699/B698-1)</f>
        <v/>
      </c>
      <c r="D699" s="123" t="str">
        <f aca="false">IF(B699="","",IFERROR(B699/INDEX($B$2:$B$800,MATCH(DATE(YEAR(A699)-1,12,1),$A$2:$A$800,0))-1,""))</f>
        <v/>
      </c>
      <c r="E699" s="123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5"/>
      <c r="B700" s="126"/>
      <c r="C700" s="123" t="str">
        <f aca="false">IF(OR(B700="",B699=""),"",B700/B699-1)</f>
        <v/>
      </c>
      <c r="D700" s="123" t="str">
        <f aca="false">IF(B700="","",IFERROR(B700/INDEX($B$2:$B$800,MATCH(DATE(YEAR(A700)-1,12,1),$A$2:$A$800,0))-1,""))</f>
        <v/>
      </c>
      <c r="E700" s="123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5"/>
      <c r="B701" s="126"/>
      <c r="C701" s="123" t="str">
        <f aca="false">IF(OR(B701="",B700=""),"",B701/B700-1)</f>
        <v/>
      </c>
      <c r="D701" s="123" t="str">
        <f aca="false">IF(B701="","",IFERROR(B701/INDEX($B$2:$B$800,MATCH(DATE(YEAR(A701)-1,12,1),$A$2:$A$800,0))-1,""))</f>
        <v/>
      </c>
      <c r="E701" s="123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5"/>
      <c r="B702" s="126"/>
      <c r="C702" s="123" t="str">
        <f aca="false">IF(OR(B702="",B701=""),"",B702/B701-1)</f>
        <v/>
      </c>
      <c r="D702" s="123" t="str">
        <f aca="false">IF(B702="","",IFERROR(B702/INDEX($B$2:$B$800,MATCH(DATE(YEAR(A702)-1,12,1),$A$2:$A$800,0))-1,""))</f>
        <v/>
      </c>
      <c r="E702" s="123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5"/>
      <c r="B703" s="126"/>
      <c r="C703" s="123" t="str">
        <f aca="false">IF(OR(B703="",B702=""),"",B703/B702-1)</f>
        <v/>
      </c>
      <c r="D703" s="123" t="str">
        <f aca="false">IF(B703="","",IFERROR(B703/INDEX($B$2:$B$800,MATCH(DATE(YEAR(A703)-1,12,1),$A$2:$A$800,0))-1,""))</f>
        <v/>
      </c>
      <c r="E703" s="123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5"/>
      <c r="B704" s="126"/>
      <c r="C704" s="123" t="str">
        <f aca="false">IF(OR(B704="",B703=""),"",B704/B703-1)</f>
        <v/>
      </c>
      <c r="D704" s="123" t="str">
        <f aca="false">IF(B704="","",IFERROR(B704/INDEX($B$2:$B$800,MATCH(DATE(YEAR(A704)-1,12,1),$A$2:$A$800,0))-1,""))</f>
        <v/>
      </c>
      <c r="E704" s="123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5"/>
      <c r="B705" s="126"/>
      <c r="C705" s="123" t="str">
        <f aca="false">IF(OR(B705="",B704=""),"",B705/B704-1)</f>
        <v/>
      </c>
      <c r="D705" s="123" t="str">
        <f aca="false">IF(B705="","",IFERROR(B705/INDEX($B$2:$B$800,MATCH(DATE(YEAR(A705)-1,12,1),$A$2:$A$800,0))-1,""))</f>
        <v/>
      </c>
      <c r="E705" s="123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5"/>
      <c r="B706" s="126"/>
      <c r="C706" s="123" t="str">
        <f aca="false">IF(OR(B706="",B705=""),"",B706/B705-1)</f>
        <v/>
      </c>
      <c r="D706" s="123" t="str">
        <f aca="false">IF(B706="","",IFERROR(B706/INDEX($B$2:$B$800,MATCH(DATE(YEAR(A706)-1,12,1),$A$2:$A$800,0))-1,""))</f>
        <v/>
      </c>
      <c r="E706" s="123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5"/>
      <c r="B707" s="126"/>
      <c r="C707" s="123" t="str">
        <f aca="false">IF(OR(B707="",B706=""),"",B707/B706-1)</f>
        <v/>
      </c>
      <c r="D707" s="123" t="str">
        <f aca="false">IF(B707="","",IFERROR(B707/INDEX($B$2:$B$800,MATCH(DATE(YEAR(A707)-1,12,1),$A$2:$A$800,0))-1,""))</f>
        <v/>
      </c>
      <c r="E707" s="123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5"/>
      <c r="B708" s="126"/>
      <c r="C708" s="123" t="str">
        <f aca="false">IF(OR(B708="",B707=""),"",B708/B707-1)</f>
        <v/>
      </c>
      <c r="D708" s="123" t="str">
        <f aca="false">IF(B708="","",IFERROR(B708/INDEX($B$2:$B$800,MATCH(DATE(YEAR(A708)-1,12,1),$A$2:$A$800,0))-1,""))</f>
        <v/>
      </c>
      <c r="E708" s="123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5"/>
      <c r="B709" s="126"/>
      <c r="C709" s="123" t="str">
        <f aca="false">IF(OR(B709="",B708=""),"",B709/B708-1)</f>
        <v/>
      </c>
      <c r="D709" s="123" t="str">
        <f aca="false">IF(B709="","",IFERROR(B709/INDEX($B$2:$B$800,MATCH(DATE(YEAR(A709)-1,12,1),$A$2:$A$800,0))-1,""))</f>
        <v/>
      </c>
      <c r="E709" s="123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5"/>
      <c r="B710" s="126"/>
      <c r="C710" s="123" t="str">
        <f aca="false">IF(OR(B710="",B709=""),"",B710/B709-1)</f>
        <v/>
      </c>
      <c r="D710" s="123" t="str">
        <f aca="false">IF(B710="","",IFERROR(B710/INDEX($B$2:$B$800,MATCH(DATE(YEAR(A710)-1,12,1),$A$2:$A$800,0))-1,""))</f>
        <v/>
      </c>
      <c r="E710" s="123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5"/>
      <c r="B711" s="126"/>
      <c r="C711" s="123" t="str">
        <f aca="false">IF(OR(B711="",B710=""),"",B711/B710-1)</f>
        <v/>
      </c>
      <c r="D711" s="123" t="str">
        <f aca="false">IF(B711="","",IFERROR(B711/INDEX($B$2:$B$800,MATCH(DATE(YEAR(A711)-1,12,1),$A$2:$A$800,0))-1,""))</f>
        <v/>
      </c>
      <c r="E711" s="123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5"/>
      <c r="B712" s="126"/>
      <c r="C712" s="123" t="str">
        <f aca="false">IF(OR(B712="",B711=""),"",B712/B711-1)</f>
        <v/>
      </c>
      <c r="D712" s="123" t="str">
        <f aca="false">IF(B712="","",IFERROR(B712/INDEX($B$2:$B$800,MATCH(DATE(YEAR(A712)-1,12,1),$A$2:$A$800,0))-1,""))</f>
        <v/>
      </c>
      <c r="E712" s="123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5"/>
      <c r="B713" s="126"/>
      <c r="C713" s="123" t="str">
        <f aca="false">IF(OR(B713="",B712=""),"",B713/B712-1)</f>
        <v/>
      </c>
      <c r="D713" s="123" t="str">
        <f aca="false">IF(B713="","",IFERROR(B713/INDEX($B$2:$B$800,MATCH(DATE(YEAR(A713)-1,12,1),$A$2:$A$800,0))-1,""))</f>
        <v/>
      </c>
      <c r="E713" s="123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5"/>
      <c r="B714" s="126"/>
      <c r="C714" s="123" t="str">
        <f aca="false">IF(OR(B714="",B713=""),"",B714/B713-1)</f>
        <v/>
      </c>
      <c r="D714" s="123" t="str">
        <f aca="false">IF(B714="","",IFERROR(B714/INDEX($B$2:$B$800,MATCH(DATE(YEAR(A714)-1,12,1),$A$2:$A$800,0))-1,""))</f>
        <v/>
      </c>
      <c r="E714" s="123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5"/>
      <c r="B715" s="126"/>
      <c r="C715" s="123" t="str">
        <f aca="false">IF(OR(B715="",B714=""),"",B715/B714-1)</f>
        <v/>
      </c>
      <c r="D715" s="123" t="str">
        <f aca="false">IF(B715="","",IFERROR(B715/INDEX($B$2:$B$800,MATCH(DATE(YEAR(A715)-1,12,1),$A$2:$A$800,0))-1,""))</f>
        <v/>
      </c>
      <c r="E715" s="123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5"/>
      <c r="B716" s="126"/>
      <c r="C716" s="123" t="str">
        <f aca="false">IF(OR(B716="",B715=""),"",B716/B715-1)</f>
        <v/>
      </c>
      <c r="D716" s="123" t="str">
        <f aca="false">IF(B716="","",IFERROR(B716/INDEX($B$2:$B$800,MATCH(DATE(YEAR(A716)-1,12,1),$A$2:$A$800,0))-1,""))</f>
        <v/>
      </c>
      <c r="E716" s="123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5"/>
      <c r="B717" s="126"/>
      <c r="C717" s="123" t="str">
        <f aca="false">IF(OR(B717="",B716=""),"",B717/B716-1)</f>
        <v/>
      </c>
      <c r="D717" s="123" t="str">
        <f aca="false">IF(B717="","",IFERROR(B717/INDEX($B$2:$B$800,MATCH(DATE(YEAR(A717)-1,12,1),$A$2:$A$800,0))-1,""))</f>
        <v/>
      </c>
      <c r="E717" s="123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5"/>
      <c r="B718" s="126"/>
      <c r="C718" s="123" t="str">
        <f aca="false">IF(OR(B718="",B717=""),"",B718/B717-1)</f>
        <v/>
      </c>
      <c r="D718" s="123" t="str">
        <f aca="false">IF(B718="","",IFERROR(B718/INDEX($B$2:$B$800,MATCH(DATE(YEAR(A718)-1,12,1),$A$2:$A$800,0))-1,""))</f>
        <v/>
      </c>
      <c r="E718" s="123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5"/>
      <c r="B719" s="126"/>
      <c r="C719" s="123" t="str">
        <f aca="false">IF(OR(B719="",B718=""),"",B719/B718-1)</f>
        <v/>
      </c>
      <c r="D719" s="123" t="str">
        <f aca="false">IF(B719="","",IFERROR(B719/INDEX($B$2:$B$800,MATCH(DATE(YEAR(A719)-1,12,1),$A$2:$A$800,0))-1,""))</f>
        <v/>
      </c>
      <c r="E719" s="123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5"/>
      <c r="B720" s="126"/>
      <c r="C720" s="123" t="str">
        <f aca="false">IF(OR(B720="",B719=""),"",B720/B719-1)</f>
        <v/>
      </c>
      <c r="D720" s="123" t="str">
        <f aca="false">IF(B720="","",IFERROR(B720/INDEX($B$2:$B$800,MATCH(DATE(YEAR(A720)-1,12,1),$A$2:$A$800,0))-1,""))</f>
        <v/>
      </c>
      <c r="E720" s="123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5"/>
      <c r="B721" s="126"/>
      <c r="C721" s="123" t="str">
        <f aca="false">IF(OR(B721="",B720=""),"",B721/B720-1)</f>
        <v/>
      </c>
      <c r="D721" s="123" t="str">
        <f aca="false">IF(B721="","",IFERROR(B721/INDEX($B$2:$B$800,MATCH(DATE(YEAR(A721)-1,12,1),$A$2:$A$800,0))-1,""))</f>
        <v/>
      </c>
      <c r="E721" s="123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5"/>
      <c r="B722" s="126"/>
      <c r="C722" s="123" t="str">
        <f aca="false">IF(OR(B722="",B721=""),"",B722/B721-1)</f>
        <v/>
      </c>
      <c r="D722" s="123" t="str">
        <f aca="false">IF(B722="","",IFERROR(B722/INDEX($B$2:$B$800,MATCH(DATE(YEAR(A722)-1,12,1),$A$2:$A$800,0))-1,""))</f>
        <v/>
      </c>
      <c r="E722" s="123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5"/>
      <c r="B723" s="126"/>
      <c r="C723" s="123" t="str">
        <f aca="false">IF(OR(B723="",B722=""),"",B723/B722-1)</f>
        <v/>
      </c>
      <c r="D723" s="123" t="str">
        <f aca="false">IF(B723="","",IFERROR(B723/INDEX($B$2:$B$800,MATCH(DATE(YEAR(A723)-1,12,1),$A$2:$A$800,0))-1,""))</f>
        <v/>
      </c>
      <c r="E723" s="123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5"/>
      <c r="B724" s="126"/>
      <c r="C724" s="123" t="str">
        <f aca="false">IF(OR(B724="",B723=""),"",B724/B723-1)</f>
        <v/>
      </c>
      <c r="D724" s="123" t="str">
        <f aca="false">IF(B724="","",IFERROR(B724/INDEX($B$2:$B$800,MATCH(DATE(YEAR(A724)-1,12,1),$A$2:$A$800,0))-1,""))</f>
        <v/>
      </c>
      <c r="E724" s="123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5"/>
      <c r="B725" s="126"/>
      <c r="C725" s="123" t="str">
        <f aca="false">IF(OR(B725="",B724=""),"",B725/B724-1)</f>
        <v/>
      </c>
      <c r="D725" s="123" t="str">
        <f aca="false">IF(B725="","",IFERROR(B725/INDEX($B$2:$B$800,MATCH(DATE(YEAR(A725)-1,12,1),$A$2:$A$800,0))-1,""))</f>
        <v/>
      </c>
      <c r="E725" s="123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5"/>
      <c r="B726" s="126"/>
      <c r="C726" s="123" t="str">
        <f aca="false">IF(OR(B726="",B725=""),"",B726/B725-1)</f>
        <v/>
      </c>
      <c r="D726" s="123" t="str">
        <f aca="false">IF(B726="","",IFERROR(B726/INDEX($B$2:$B$800,MATCH(DATE(YEAR(A726)-1,12,1),$A$2:$A$800,0))-1,""))</f>
        <v/>
      </c>
      <c r="E726" s="123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5"/>
      <c r="B727" s="126"/>
      <c r="C727" s="123" t="str">
        <f aca="false">IF(OR(B727="",B726=""),"",B727/B726-1)</f>
        <v/>
      </c>
      <c r="D727" s="123" t="str">
        <f aca="false">IF(B727="","",IFERROR(B727/INDEX($B$2:$B$800,MATCH(DATE(YEAR(A727)-1,12,1),$A$2:$A$800,0))-1,""))</f>
        <v/>
      </c>
      <c r="E727" s="123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5"/>
      <c r="B728" s="126"/>
      <c r="C728" s="123" t="str">
        <f aca="false">IF(OR(B728="",B727=""),"",B728/B727-1)</f>
        <v/>
      </c>
      <c r="D728" s="123" t="str">
        <f aca="false">IF(B728="","",IFERROR(B728/INDEX($B$2:$B$800,MATCH(DATE(YEAR(A728)-1,12,1),$A$2:$A$800,0))-1,""))</f>
        <v/>
      </c>
      <c r="E728" s="123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5"/>
      <c r="B729" s="126"/>
      <c r="C729" s="123" t="str">
        <f aca="false">IF(OR(B729="",B728=""),"",B729/B728-1)</f>
        <v/>
      </c>
      <c r="D729" s="123" t="str">
        <f aca="false">IF(B729="","",IFERROR(B729/INDEX($B$2:$B$800,MATCH(DATE(YEAR(A729)-1,12,1),$A$2:$A$800,0))-1,""))</f>
        <v/>
      </c>
      <c r="E729" s="123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5"/>
      <c r="B730" s="126"/>
      <c r="C730" s="123" t="str">
        <f aca="false">IF(OR(B730="",B729=""),"",B730/B729-1)</f>
        <v/>
      </c>
      <c r="D730" s="123" t="str">
        <f aca="false">IF(B730="","",IFERROR(B730/INDEX($B$2:$B$800,MATCH(DATE(YEAR(A730)-1,12,1),$A$2:$A$800,0))-1,""))</f>
        <v/>
      </c>
      <c r="E730" s="123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5"/>
      <c r="B731" s="126"/>
      <c r="C731" s="123" t="str">
        <f aca="false">IF(OR(B731="",B730=""),"",B731/B730-1)</f>
        <v/>
      </c>
      <c r="D731" s="123" t="str">
        <f aca="false">IF(B731="","",IFERROR(B731/INDEX($B$2:$B$800,MATCH(DATE(YEAR(A731)-1,12,1),$A$2:$A$800,0))-1,""))</f>
        <v/>
      </c>
      <c r="E731" s="123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5"/>
      <c r="B732" s="126"/>
      <c r="C732" s="123" t="str">
        <f aca="false">IF(OR(B732="",B731=""),"",B732/B731-1)</f>
        <v/>
      </c>
      <c r="D732" s="123" t="str">
        <f aca="false">IF(B732="","",IFERROR(B732/INDEX($B$2:$B$800,MATCH(DATE(YEAR(A732)-1,12,1),$A$2:$A$800,0))-1,""))</f>
        <v/>
      </c>
      <c r="E732" s="123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5"/>
      <c r="B733" s="126"/>
      <c r="C733" s="123" t="str">
        <f aca="false">IF(OR(B733="",B732=""),"",B733/B732-1)</f>
        <v/>
      </c>
      <c r="D733" s="123" t="str">
        <f aca="false">IF(B733="","",IFERROR(B733/INDEX($B$2:$B$800,MATCH(DATE(YEAR(A733)-1,12,1),$A$2:$A$800,0))-1,""))</f>
        <v/>
      </c>
      <c r="E733" s="123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5"/>
      <c r="B734" s="126"/>
      <c r="C734" s="123" t="str">
        <f aca="false">IF(OR(B734="",B733=""),"",B734/B733-1)</f>
        <v/>
      </c>
      <c r="D734" s="123" t="str">
        <f aca="false">IF(B734="","",IFERROR(B734/INDEX($B$2:$B$800,MATCH(DATE(YEAR(A734)-1,12,1),$A$2:$A$800,0))-1,""))</f>
        <v/>
      </c>
      <c r="E734" s="123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5"/>
      <c r="B735" s="126"/>
      <c r="C735" s="123" t="str">
        <f aca="false">IF(OR(B735="",B734=""),"",B735/B734-1)</f>
        <v/>
      </c>
      <c r="D735" s="123" t="str">
        <f aca="false">IF(B735="","",IFERROR(B735/INDEX($B$2:$B$800,MATCH(DATE(YEAR(A735)-1,12,1),$A$2:$A$800,0))-1,""))</f>
        <v/>
      </c>
      <c r="E735" s="123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5"/>
      <c r="B736" s="126"/>
      <c r="C736" s="123" t="str">
        <f aca="false">IF(OR(B736="",B735=""),"",B736/B735-1)</f>
        <v/>
      </c>
      <c r="D736" s="123" t="str">
        <f aca="false">IF(B736="","",IFERROR(B736/INDEX($B$2:$B$800,MATCH(DATE(YEAR(A736)-1,12,1),$A$2:$A$800,0))-1,""))</f>
        <v/>
      </c>
      <c r="E736" s="123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5"/>
      <c r="B737" s="126"/>
      <c r="C737" s="123" t="str">
        <f aca="false">IF(OR(B737="",B736=""),"",B737/B736-1)</f>
        <v/>
      </c>
      <c r="D737" s="123" t="str">
        <f aca="false">IF(B737="","",IFERROR(B737/INDEX($B$2:$B$800,MATCH(DATE(YEAR(A737)-1,12,1),$A$2:$A$800,0))-1,""))</f>
        <v/>
      </c>
      <c r="E737" s="123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5"/>
      <c r="B738" s="126"/>
      <c r="C738" s="123" t="str">
        <f aca="false">IF(OR(B738="",B737=""),"",B738/B737-1)</f>
        <v/>
      </c>
      <c r="D738" s="123" t="str">
        <f aca="false">IF(B738="","",IFERROR(B738/INDEX($B$2:$B$800,MATCH(DATE(YEAR(A738)-1,12,1),$A$2:$A$800,0))-1,""))</f>
        <v/>
      </c>
      <c r="E738" s="123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5"/>
      <c r="B739" s="126"/>
      <c r="C739" s="123" t="str">
        <f aca="false">IF(OR(B739="",B738=""),"",B739/B738-1)</f>
        <v/>
      </c>
      <c r="D739" s="123" t="str">
        <f aca="false">IF(B739="","",IFERROR(B739/INDEX($B$2:$B$800,MATCH(DATE(YEAR(A739)-1,12,1),$A$2:$A$800,0))-1,""))</f>
        <v/>
      </c>
      <c r="E739" s="123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5"/>
      <c r="B740" s="126"/>
      <c r="C740" s="123" t="str">
        <f aca="false">IF(OR(B740="",B739=""),"",B740/B739-1)</f>
        <v/>
      </c>
      <c r="D740" s="123" t="str">
        <f aca="false">IF(B740="","",IFERROR(B740/INDEX($B$2:$B$800,MATCH(DATE(YEAR(A740)-1,12,1),$A$2:$A$800,0))-1,""))</f>
        <v/>
      </c>
      <c r="E740" s="123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5"/>
      <c r="B741" s="126"/>
      <c r="C741" s="123" t="str">
        <f aca="false">IF(OR(B741="",B740=""),"",B741/B740-1)</f>
        <v/>
      </c>
      <c r="D741" s="123" t="str">
        <f aca="false">IF(B741="","",IFERROR(B741/INDEX($B$2:$B$800,MATCH(DATE(YEAR(A741)-1,12,1),$A$2:$A$800,0))-1,""))</f>
        <v/>
      </c>
      <c r="E741" s="123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5"/>
      <c r="B742" s="126"/>
      <c r="C742" s="123" t="str">
        <f aca="false">IF(OR(B742="",B741=""),"",B742/B741-1)</f>
        <v/>
      </c>
      <c r="D742" s="123" t="str">
        <f aca="false">IF(B742="","",IFERROR(B742/INDEX($B$2:$B$800,MATCH(DATE(YEAR(A742)-1,12,1),$A$2:$A$800,0))-1,""))</f>
        <v/>
      </c>
      <c r="E742" s="123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5"/>
      <c r="B743" s="126"/>
      <c r="C743" s="123" t="str">
        <f aca="false">IF(OR(B743="",B742=""),"",B743/B742-1)</f>
        <v/>
      </c>
      <c r="D743" s="123" t="str">
        <f aca="false">IF(B743="","",IFERROR(B743/INDEX($B$2:$B$800,MATCH(DATE(YEAR(A743)-1,12,1),$A$2:$A$800,0))-1,""))</f>
        <v/>
      </c>
      <c r="E743" s="123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5"/>
      <c r="B744" s="126"/>
      <c r="C744" s="123" t="str">
        <f aca="false">IF(OR(B744="",B743=""),"",B744/B743-1)</f>
        <v/>
      </c>
      <c r="D744" s="123" t="str">
        <f aca="false">IF(B744="","",IFERROR(B744/INDEX($B$2:$B$800,MATCH(DATE(YEAR(A744)-1,12,1),$A$2:$A$800,0))-1,""))</f>
        <v/>
      </c>
      <c r="E744" s="123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5"/>
      <c r="B745" s="126"/>
      <c r="C745" s="123" t="str">
        <f aca="false">IF(OR(B745="",B744=""),"",B745/B744-1)</f>
        <v/>
      </c>
      <c r="D745" s="123" t="str">
        <f aca="false">IF(B745="","",IFERROR(B745/INDEX($B$2:$B$800,MATCH(DATE(YEAR(A745)-1,12,1),$A$2:$A$800,0))-1,""))</f>
        <v/>
      </c>
      <c r="E745" s="123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5"/>
      <c r="B746" s="126"/>
      <c r="C746" s="123" t="str">
        <f aca="false">IF(OR(B746="",B745=""),"",B746/B745-1)</f>
        <v/>
      </c>
      <c r="D746" s="123" t="str">
        <f aca="false">IF(B746="","",IFERROR(B746/INDEX($B$2:$B$800,MATCH(DATE(YEAR(A746)-1,12,1),$A$2:$A$800,0))-1,""))</f>
        <v/>
      </c>
      <c r="E746" s="123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5"/>
      <c r="B747" s="126"/>
      <c r="C747" s="123" t="str">
        <f aca="false">IF(OR(B747="",B746=""),"",B747/B746-1)</f>
        <v/>
      </c>
      <c r="D747" s="123" t="str">
        <f aca="false">IF(B747="","",IFERROR(B747/INDEX($B$2:$B$800,MATCH(DATE(YEAR(A747)-1,12,1),$A$2:$A$800,0))-1,""))</f>
        <v/>
      </c>
      <c r="E747" s="123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5"/>
      <c r="B748" s="126"/>
      <c r="C748" s="123" t="str">
        <f aca="false">IF(OR(B748="",B747=""),"",B748/B747-1)</f>
        <v/>
      </c>
      <c r="D748" s="123" t="str">
        <f aca="false">IF(B748="","",IFERROR(B748/INDEX($B$2:$B$800,MATCH(DATE(YEAR(A748)-1,12,1),$A$2:$A$800,0))-1,""))</f>
        <v/>
      </c>
      <c r="E748" s="123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5"/>
      <c r="B749" s="126"/>
      <c r="C749" s="123" t="str">
        <f aca="false">IF(OR(B749="",B748=""),"",B749/B748-1)</f>
        <v/>
      </c>
      <c r="D749" s="123" t="str">
        <f aca="false">IF(B749="","",IFERROR(B749/INDEX($B$2:$B$800,MATCH(DATE(YEAR(A749)-1,12,1),$A$2:$A$800,0))-1,""))</f>
        <v/>
      </c>
      <c r="E749" s="123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5"/>
      <c r="B750" s="126"/>
      <c r="C750" s="123" t="str">
        <f aca="false">IF(OR(B750="",B749=""),"",B750/B749-1)</f>
        <v/>
      </c>
      <c r="D750" s="123" t="str">
        <f aca="false">IF(B750="","",IFERROR(B750/INDEX($B$2:$B$800,MATCH(DATE(YEAR(A750)-1,12,1),$A$2:$A$800,0))-1,""))</f>
        <v/>
      </c>
      <c r="E750" s="123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5"/>
      <c r="B751" s="126"/>
      <c r="C751" s="123" t="str">
        <f aca="false">IF(OR(B751="",B750=""),"",B751/B750-1)</f>
        <v/>
      </c>
      <c r="D751" s="123" t="str">
        <f aca="false">IF(B751="","",IFERROR(B751/INDEX($B$2:$B$800,MATCH(DATE(YEAR(A751)-1,12,1),$A$2:$A$800,0))-1,""))</f>
        <v/>
      </c>
      <c r="E751" s="123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5"/>
      <c r="B752" s="126"/>
      <c r="C752" s="123" t="str">
        <f aca="false">IF(OR(B752="",B751=""),"",B752/B751-1)</f>
        <v/>
      </c>
      <c r="D752" s="123" t="str">
        <f aca="false">IF(B752="","",IFERROR(B752/INDEX($B$2:$B$800,MATCH(DATE(YEAR(A752)-1,12,1),$A$2:$A$800,0))-1,""))</f>
        <v/>
      </c>
      <c r="E752" s="123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5"/>
      <c r="B753" s="126"/>
      <c r="C753" s="123" t="str">
        <f aca="false">IF(OR(B753="",B752=""),"",B753/B752-1)</f>
        <v/>
      </c>
      <c r="D753" s="123" t="str">
        <f aca="false">IF(B753="","",IFERROR(B753/INDEX($B$2:$B$800,MATCH(DATE(YEAR(A753)-1,12,1),$A$2:$A$800,0))-1,""))</f>
        <v/>
      </c>
      <c r="E753" s="123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5"/>
      <c r="B754" s="126"/>
      <c r="C754" s="123" t="str">
        <f aca="false">IF(OR(B754="",B753=""),"",B754/B753-1)</f>
        <v/>
      </c>
      <c r="D754" s="123" t="str">
        <f aca="false">IF(B754="","",IFERROR(B754/INDEX($B$2:$B$800,MATCH(DATE(YEAR(A754)-1,12,1),$A$2:$A$800,0))-1,""))</f>
        <v/>
      </c>
      <c r="E754" s="123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5"/>
      <c r="B755" s="126"/>
      <c r="C755" s="123" t="str">
        <f aca="false">IF(OR(B755="",B754=""),"",B755/B754-1)</f>
        <v/>
      </c>
      <c r="D755" s="123" t="str">
        <f aca="false">IF(B755="","",IFERROR(B755/INDEX($B$2:$B$800,MATCH(DATE(YEAR(A755)-1,12,1),$A$2:$A$800,0))-1,""))</f>
        <v/>
      </c>
      <c r="E755" s="123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5"/>
      <c r="B756" s="126"/>
      <c r="C756" s="123" t="str">
        <f aca="false">IF(OR(B756="",B755=""),"",B756/B755-1)</f>
        <v/>
      </c>
      <c r="D756" s="123" t="str">
        <f aca="false">IF(B756="","",IFERROR(B756/INDEX($B$2:$B$800,MATCH(DATE(YEAR(A756)-1,12,1),$A$2:$A$800,0))-1,""))</f>
        <v/>
      </c>
      <c r="E756" s="123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5"/>
      <c r="B757" s="126"/>
      <c r="C757" s="123" t="str">
        <f aca="false">IF(OR(B757="",B756=""),"",B757/B756-1)</f>
        <v/>
      </c>
      <c r="D757" s="123" t="str">
        <f aca="false">IF(B757="","",IFERROR(B757/INDEX($B$2:$B$800,MATCH(DATE(YEAR(A757)-1,12,1),$A$2:$A$800,0))-1,""))</f>
        <v/>
      </c>
      <c r="E757" s="123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5"/>
      <c r="B758" s="126"/>
      <c r="C758" s="123" t="str">
        <f aca="false">IF(OR(B758="",B757=""),"",B758/B757-1)</f>
        <v/>
      </c>
      <c r="D758" s="123" t="str">
        <f aca="false">IF(B758="","",IFERROR(B758/INDEX($B$2:$B$800,MATCH(DATE(YEAR(A758)-1,12,1),$A$2:$A$800,0))-1,""))</f>
        <v/>
      </c>
      <c r="E758" s="123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5"/>
      <c r="B759" s="126"/>
      <c r="C759" s="123" t="str">
        <f aca="false">IF(OR(B759="",B758=""),"",B759/B758-1)</f>
        <v/>
      </c>
      <c r="D759" s="123" t="str">
        <f aca="false">IF(B759="","",IFERROR(B759/INDEX($B$2:$B$800,MATCH(DATE(YEAR(A759)-1,12,1),$A$2:$A$800,0))-1,""))</f>
        <v/>
      </c>
      <c r="E759" s="123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5"/>
      <c r="B760" s="126"/>
      <c r="C760" s="123" t="str">
        <f aca="false">IF(OR(B760="",B759=""),"",B760/B759-1)</f>
        <v/>
      </c>
      <c r="D760" s="123" t="str">
        <f aca="false">IF(B760="","",IFERROR(B760/INDEX($B$2:$B$800,MATCH(DATE(YEAR(A760)-1,12,1),$A$2:$A$800,0))-1,""))</f>
        <v/>
      </c>
      <c r="E760" s="123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5"/>
      <c r="B761" s="126"/>
      <c r="C761" s="123" t="str">
        <f aca="false">IF(OR(B761="",B760=""),"",B761/B760-1)</f>
        <v/>
      </c>
      <c r="D761" s="123" t="str">
        <f aca="false">IF(B761="","",IFERROR(B761/INDEX($B$2:$B$800,MATCH(DATE(YEAR(A761)-1,12,1),$A$2:$A$800,0))-1,""))</f>
        <v/>
      </c>
      <c r="E761" s="123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5"/>
      <c r="B762" s="126"/>
      <c r="C762" s="123" t="str">
        <f aca="false">IF(OR(B762="",B761=""),"",B762/B761-1)</f>
        <v/>
      </c>
      <c r="D762" s="123" t="str">
        <f aca="false">IF(B762="","",IFERROR(B762/INDEX($B$2:$B$800,MATCH(DATE(YEAR(A762)-1,12,1),$A$2:$A$800,0))-1,""))</f>
        <v/>
      </c>
      <c r="E762" s="123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5"/>
      <c r="B763" s="126"/>
      <c r="C763" s="123" t="str">
        <f aca="false">IF(OR(B763="",B762=""),"",B763/B762-1)</f>
        <v/>
      </c>
      <c r="D763" s="123" t="str">
        <f aca="false">IF(B763="","",IFERROR(B763/INDEX($B$2:$B$800,MATCH(DATE(YEAR(A763)-1,12,1),$A$2:$A$800,0))-1,""))</f>
        <v/>
      </c>
      <c r="E763" s="123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5"/>
      <c r="B764" s="126"/>
      <c r="C764" s="123" t="str">
        <f aca="false">IF(OR(B764="",B763=""),"",B764/B763-1)</f>
        <v/>
      </c>
      <c r="D764" s="123" t="str">
        <f aca="false">IF(B764="","",IFERROR(B764/INDEX($B$2:$B$800,MATCH(DATE(YEAR(A764)-1,12,1),$A$2:$A$800,0))-1,""))</f>
        <v/>
      </c>
      <c r="E764" s="123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5"/>
      <c r="B765" s="126"/>
      <c r="C765" s="123" t="str">
        <f aca="false">IF(OR(B765="",B764=""),"",B765/B764-1)</f>
        <v/>
      </c>
      <c r="D765" s="123" t="str">
        <f aca="false">IF(B765="","",IFERROR(B765/INDEX($B$2:$B$800,MATCH(DATE(YEAR(A765)-1,12,1),$A$2:$A$800,0))-1,""))</f>
        <v/>
      </c>
      <c r="E765" s="123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5"/>
      <c r="B766" s="126"/>
      <c r="C766" s="123" t="str">
        <f aca="false">IF(OR(B766="",B765=""),"",B766/B765-1)</f>
        <v/>
      </c>
      <c r="D766" s="123" t="str">
        <f aca="false">IF(B766="","",IFERROR(B766/INDEX($B$2:$B$800,MATCH(DATE(YEAR(A766)-1,12,1),$A$2:$A$800,0))-1,""))</f>
        <v/>
      </c>
      <c r="E766" s="123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5"/>
      <c r="B767" s="126"/>
      <c r="C767" s="123" t="str">
        <f aca="false">IF(OR(B767="",B766=""),"",B767/B766-1)</f>
        <v/>
      </c>
      <c r="D767" s="123" t="str">
        <f aca="false">IF(B767="","",IFERROR(B767/INDEX($B$2:$B$800,MATCH(DATE(YEAR(A767)-1,12,1),$A$2:$A$800,0))-1,""))</f>
        <v/>
      </c>
      <c r="E767" s="123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5"/>
      <c r="B768" s="126"/>
      <c r="C768" s="123" t="str">
        <f aca="false">IF(OR(B768="",B767=""),"",B768/B767-1)</f>
        <v/>
      </c>
      <c r="D768" s="123" t="str">
        <f aca="false">IF(B768="","",IFERROR(B768/INDEX($B$2:$B$800,MATCH(DATE(YEAR(A768)-1,12,1),$A$2:$A$800,0))-1,""))</f>
        <v/>
      </c>
      <c r="E768" s="123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5"/>
      <c r="B769" s="126"/>
      <c r="C769" s="123" t="str">
        <f aca="false">IF(OR(B769="",B768=""),"",B769/B768-1)</f>
        <v/>
      </c>
      <c r="D769" s="123" t="str">
        <f aca="false">IF(B769="","",IFERROR(B769/INDEX($B$2:$B$800,MATCH(DATE(YEAR(A769)-1,12,1),$A$2:$A$800,0))-1,""))</f>
        <v/>
      </c>
      <c r="E769" s="123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5"/>
      <c r="B770" s="126"/>
      <c r="C770" s="123" t="str">
        <f aca="false">IF(OR(B770="",B769=""),"",B770/B769-1)</f>
        <v/>
      </c>
      <c r="D770" s="123" t="str">
        <f aca="false">IF(B770="","",IFERROR(B770/INDEX($B$2:$B$800,MATCH(DATE(YEAR(A770)-1,12,1),$A$2:$A$800,0))-1,""))</f>
        <v/>
      </c>
      <c r="E770" s="123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5"/>
      <c r="B771" s="126"/>
      <c r="C771" s="123" t="str">
        <f aca="false">IF(OR(B771="",B770=""),"",B771/B770-1)</f>
        <v/>
      </c>
      <c r="D771" s="123" t="str">
        <f aca="false">IF(B771="","",IFERROR(B771/INDEX($B$2:$B$800,MATCH(DATE(YEAR(A771)-1,12,1),$A$2:$A$800,0))-1,""))</f>
        <v/>
      </c>
      <c r="E771" s="123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5"/>
      <c r="B772" s="126"/>
      <c r="C772" s="123" t="str">
        <f aca="false">IF(OR(B772="",B771=""),"",B772/B771-1)</f>
        <v/>
      </c>
      <c r="D772" s="123" t="str">
        <f aca="false">IF(B772="","",IFERROR(B772/INDEX($B$2:$B$800,MATCH(DATE(YEAR(A772)-1,12,1),$A$2:$A$800,0))-1,""))</f>
        <v/>
      </c>
      <c r="E772" s="123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5"/>
      <c r="B773" s="126"/>
      <c r="C773" s="123" t="str">
        <f aca="false">IF(OR(B773="",B772=""),"",B773/B772-1)</f>
        <v/>
      </c>
      <c r="D773" s="123" t="str">
        <f aca="false">IF(B773="","",IFERROR(B773/INDEX($B$2:$B$800,MATCH(DATE(YEAR(A773)-1,12,1),$A$2:$A$800,0))-1,""))</f>
        <v/>
      </c>
      <c r="E773" s="123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5"/>
      <c r="B774" s="126"/>
      <c r="C774" s="123" t="str">
        <f aca="false">IF(OR(B774="",B773=""),"",B774/B773-1)</f>
        <v/>
      </c>
      <c r="D774" s="123" t="str">
        <f aca="false">IF(B774="","",IFERROR(B774/INDEX($B$2:$B$800,MATCH(DATE(YEAR(A774)-1,12,1),$A$2:$A$800,0))-1,""))</f>
        <v/>
      </c>
      <c r="E774" s="123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5"/>
      <c r="B775" s="126"/>
      <c r="C775" s="123" t="str">
        <f aca="false">IF(OR(B775="",B774=""),"",B775/B774-1)</f>
        <v/>
      </c>
      <c r="D775" s="123" t="str">
        <f aca="false">IF(B775="","",IFERROR(B775/INDEX($B$2:$B$800,MATCH(DATE(YEAR(A775)-1,12,1),$A$2:$A$800,0))-1,""))</f>
        <v/>
      </c>
      <c r="E775" s="123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5"/>
      <c r="B776" s="126"/>
      <c r="C776" s="123" t="str">
        <f aca="false">IF(OR(B776="",B775=""),"",B776/B775-1)</f>
        <v/>
      </c>
      <c r="D776" s="123" t="str">
        <f aca="false">IF(B776="","",IFERROR(B776/INDEX($B$2:$B$800,MATCH(DATE(YEAR(A776)-1,12,1),$A$2:$A$800,0))-1,""))</f>
        <v/>
      </c>
      <c r="E776" s="123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5"/>
      <c r="B777" s="126"/>
      <c r="C777" s="123" t="str">
        <f aca="false">IF(OR(B777="",B776=""),"",B777/B776-1)</f>
        <v/>
      </c>
      <c r="D777" s="123" t="str">
        <f aca="false">IF(B777="","",IFERROR(B777/INDEX($B$2:$B$800,MATCH(DATE(YEAR(A777)-1,12,1),$A$2:$A$800,0))-1,""))</f>
        <v/>
      </c>
      <c r="E777" s="123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5"/>
      <c r="B778" s="126"/>
      <c r="C778" s="123" t="str">
        <f aca="false">IF(OR(B778="",B777=""),"",B778/B777-1)</f>
        <v/>
      </c>
      <c r="D778" s="123" t="str">
        <f aca="false">IF(B778="","",IFERROR(B778/INDEX($B$2:$B$800,MATCH(DATE(YEAR(A778)-1,12,1),$A$2:$A$800,0))-1,""))</f>
        <v/>
      </c>
      <c r="E778" s="123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5"/>
      <c r="B779" s="126"/>
      <c r="C779" s="123" t="str">
        <f aca="false">IF(OR(B779="",B778=""),"",B779/B778-1)</f>
        <v/>
      </c>
      <c r="D779" s="123" t="str">
        <f aca="false">IF(B779="","",IFERROR(B779/INDEX($B$2:$B$800,MATCH(DATE(YEAR(A779)-1,12,1),$A$2:$A$800,0))-1,""))</f>
        <v/>
      </c>
      <c r="E779" s="123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5"/>
      <c r="B780" s="126"/>
      <c r="C780" s="123" t="str">
        <f aca="false">IF(OR(B780="",B779=""),"",B780/B779-1)</f>
        <v/>
      </c>
      <c r="D780" s="123" t="str">
        <f aca="false">IF(B780="","",IFERROR(B780/INDEX($B$2:$B$800,MATCH(DATE(YEAR(A780)-1,12,1),$A$2:$A$800,0))-1,""))</f>
        <v/>
      </c>
      <c r="E780" s="123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5"/>
      <c r="B781" s="126"/>
      <c r="C781" s="123" t="str">
        <f aca="false">IF(OR(B781="",B780=""),"",B781/B780-1)</f>
        <v/>
      </c>
      <c r="D781" s="123" t="str">
        <f aca="false">IF(B781="","",IFERROR(B781/INDEX($B$2:$B$800,MATCH(DATE(YEAR(A781)-1,12,1),$A$2:$A$800,0))-1,""))</f>
        <v/>
      </c>
      <c r="E781" s="123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5"/>
      <c r="B782" s="126"/>
      <c r="C782" s="123" t="str">
        <f aca="false">IF(OR(B782="",B781=""),"",B782/B781-1)</f>
        <v/>
      </c>
      <c r="D782" s="123" t="str">
        <f aca="false">IF(B782="","",IFERROR(B782/INDEX($B$2:$B$800,MATCH(DATE(YEAR(A782)-1,12,1),$A$2:$A$800,0))-1,""))</f>
        <v/>
      </c>
      <c r="E782" s="123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5"/>
      <c r="B783" s="126"/>
      <c r="C783" s="123" t="str">
        <f aca="false">IF(OR(B783="",B782=""),"",B783/B782-1)</f>
        <v/>
      </c>
      <c r="D783" s="123" t="str">
        <f aca="false">IF(B783="","",IFERROR(B783/INDEX($B$2:$B$800,MATCH(DATE(YEAR(A783)-1,12,1),$A$2:$A$800,0))-1,""))</f>
        <v/>
      </c>
      <c r="E783" s="123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5"/>
      <c r="B784" s="126"/>
      <c r="C784" s="123" t="str">
        <f aca="false">IF(OR(B784="",B783=""),"",B784/B783-1)</f>
        <v/>
      </c>
      <c r="D784" s="123" t="str">
        <f aca="false">IF(B784="","",IFERROR(B784/INDEX($B$2:$B$800,MATCH(DATE(YEAR(A784)-1,12,1),$A$2:$A$800,0))-1,""))</f>
        <v/>
      </c>
      <c r="E784" s="123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5"/>
      <c r="B785" s="126"/>
      <c r="C785" s="123" t="str">
        <f aca="false">IF(OR(B785="",B784=""),"",B785/B784-1)</f>
        <v/>
      </c>
      <c r="D785" s="123" t="str">
        <f aca="false">IF(B785="","",IFERROR(B785/INDEX($B$2:$B$800,MATCH(DATE(YEAR(A785)-1,12,1),$A$2:$A$800,0))-1,""))</f>
        <v/>
      </c>
      <c r="E785" s="123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5"/>
      <c r="B786" s="126"/>
      <c r="C786" s="123" t="str">
        <f aca="false">IF(OR(B786="",B785=""),"",B786/B785-1)</f>
        <v/>
      </c>
      <c r="D786" s="123" t="str">
        <f aca="false">IF(B786="","",IFERROR(B786/INDEX($B$2:$B$800,MATCH(DATE(YEAR(A786)-1,12,1),$A$2:$A$800,0))-1,""))</f>
        <v/>
      </c>
      <c r="E786" s="123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5"/>
      <c r="B787" s="126"/>
      <c r="C787" s="123" t="str">
        <f aca="false">IF(OR(B787="",B786=""),"",B787/B786-1)</f>
        <v/>
      </c>
      <c r="D787" s="123" t="str">
        <f aca="false">IF(B787="","",IFERROR(B787/INDEX($B$2:$B$800,MATCH(DATE(YEAR(A787)-1,12,1),$A$2:$A$800,0))-1,""))</f>
        <v/>
      </c>
      <c r="E787" s="123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5"/>
      <c r="B788" s="126"/>
      <c r="C788" s="123" t="str">
        <f aca="false">IF(OR(B788="",B787=""),"",B788/B787-1)</f>
        <v/>
      </c>
      <c r="D788" s="123" t="str">
        <f aca="false">IF(B788="","",IFERROR(B788/INDEX($B$2:$B$800,MATCH(DATE(YEAR(A788)-1,12,1),$A$2:$A$800,0))-1,""))</f>
        <v/>
      </c>
      <c r="E788" s="123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5"/>
      <c r="B789" s="126"/>
      <c r="C789" s="123" t="str">
        <f aca="false">IF(OR(B789="",B788=""),"",B789/B788-1)</f>
        <v/>
      </c>
      <c r="D789" s="123" t="str">
        <f aca="false">IF(B789="","",IFERROR(B789/INDEX($B$2:$B$800,MATCH(DATE(YEAR(A789)-1,12,1),$A$2:$A$800,0))-1,""))</f>
        <v/>
      </c>
      <c r="E789" s="123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5"/>
      <c r="B790" s="126"/>
      <c r="C790" s="123" t="str">
        <f aca="false">IF(OR(B790="",B789=""),"",B790/B789-1)</f>
        <v/>
      </c>
      <c r="D790" s="123" t="str">
        <f aca="false">IF(B790="","",IFERROR(B790/INDEX($B$2:$B$800,MATCH(DATE(YEAR(A790)-1,12,1),$A$2:$A$800,0))-1,""))</f>
        <v/>
      </c>
      <c r="E790" s="123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5"/>
      <c r="B791" s="126"/>
      <c r="C791" s="123" t="str">
        <f aca="false">IF(OR(B791="",B790=""),"",B791/B790-1)</f>
        <v/>
      </c>
      <c r="D791" s="123" t="str">
        <f aca="false">IF(B791="","",IFERROR(B791/INDEX($B$2:$B$800,MATCH(DATE(YEAR(A791)-1,12,1),$A$2:$A$800,0))-1,""))</f>
        <v/>
      </c>
      <c r="E791" s="123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5"/>
      <c r="B792" s="126"/>
      <c r="C792" s="123" t="str">
        <f aca="false">IF(OR(B792="",B791=""),"",B792/B791-1)</f>
        <v/>
      </c>
      <c r="D792" s="123" t="str">
        <f aca="false">IF(B792="","",IFERROR(B792/INDEX($B$2:$B$800,MATCH(DATE(YEAR(A792)-1,12,1),$A$2:$A$800,0))-1,""))</f>
        <v/>
      </c>
      <c r="E792" s="123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5"/>
      <c r="B793" s="126"/>
      <c r="C793" s="123" t="str">
        <f aca="false">IF(OR(B793="",B792=""),"",B793/B792-1)</f>
        <v/>
      </c>
      <c r="D793" s="123" t="str">
        <f aca="false">IF(B793="","",IFERROR(B793/INDEX($B$2:$B$800,MATCH(DATE(YEAR(A793)-1,12,1),$A$2:$A$800,0))-1,""))</f>
        <v/>
      </c>
      <c r="E793" s="123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5"/>
      <c r="B794" s="126"/>
      <c r="C794" s="123" t="str">
        <f aca="false">IF(OR(B794="",B793=""),"",B794/B793-1)</f>
        <v/>
      </c>
      <c r="D794" s="123" t="str">
        <f aca="false">IF(B794="","",IFERROR(B794/INDEX($B$2:$B$800,MATCH(DATE(YEAR(A794)-1,12,1),$A$2:$A$800,0))-1,""))</f>
        <v/>
      </c>
      <c r="E794" s="123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5"/>
      <c r="B795" s="126"/>
      <c r="C795" s="123" t="str">
        <f aca="false">IF(OR(B795="",B794=""),"",B795/B794-1)</f>
        <v/>
      </c>
      <c r="D795" s="123" t="str">
        <f aca="false">IF(B795="","",IFERROR(B795/INDEX($B$2:$B$800,MATCH(DATE(YEAR(A795)-1,12,1),$A$2:$A$800,0))-1,""))</f>
        <v/>
      </c>
      <c r="E795" s="123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5"/>
      <c r="B796" s="126"/>
      <c r="C796" s="123" t="str">
        <f aca="false">IF(OR(B796="",B795=""),"",B796/B795-1)</f>
        <v/>
      </c>
      <c r="D796" s="123" t="str">
        <f aca="false">IF(B796="","",IFERROR(B796/INDEX($B$2:$B$800,MATCH(DATE(YEAR(A796)-1,12,1),$A$2:$A$800,0))-1,""))</f>
        <v/>
      </c>
      <c r="E796" s="123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5"/>
      <c r="B797" s="126"/>
      <c r="C797" s="123" t="str">
        <f aca="false">IF(OR(B797="",B796=""),"",B797/B796-1)</f>
        <v/>
      </c>
      <c r="D797" s="123" t="str">
        <f aca="false">IF(B797="","",IFERROR(B797/INDEX($B$2:$B$800,MATCH(DATE(YEAR(A797)-1,12,1),$A$2:$A$800,0))-1,""))</f>
        <v/>
      </c>
      <c r="E797" s="123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5"/>
      <c r="B798" s="126"/>
      <c r="C798" s="123" t="str">
        <f aca="false">IF(OR(B798="",B797=""),"",B798/B797-1)</f>
        <v/>
      </c>
      <c r="D798" s="123" t="str">
        <f aca="false">IF(B798="","",IFERROR(B798/INDEX($B$2:$B$800,MATCH(DATE(YEAR(A798)-1,12,1),$A$2:$A$800,0))-1,""))</f>
        <v/>
      </c>
      <c r="E798" s="123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5"/>
      <c r="B799" s="126"/>
      <c r="C799" s="123" t="str">
        <f aca="false">IF(OR(B799="",B798=""),"",B799/B798-1)</f>
        <v/>
      </c>
      <c r="D799" s="123" t="str">
        <f aca="false">IF(B799="","",IFERROR(B799/INDEX($B$2:$B$800,MATCH(DATE(YEAR(A799)-1,12,1),$A$2:$A$800,0))-1,""))</f>
        <v/>
      </c>
      <c r="E799" s="123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5"/>
      <c r="B800" s="126"/>
      <c r="C800" s="123" t="str">
        <f aca="false">IF(OR(B800="",B799=""),"",B800/B799-1)</f>
        <v/>
      </c>
      <c r="D800" s="123" t="str">
        <f aca="false">IF(B800="","",IFERROR(B800/INDEX($B$2:$B$800,MATCH(DATE(YEAR(A800)-1,12,1),$A$2:$A$800,0))-1,""))</f>
        <v/>
      </c>
      <c r="E800" s="123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P1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375</v>
      </c>
    </row>
    <row r="2" customFormat="false" ht="15" hidden="false" customHeight="false" outlineLevel="0" collapsed="false">
      <c r="J2" s="2" t="s">
        <v>376</v>
      </c>
      <c r="M2" s="2" t="s">
        <v>377</v>
      </c>
      <c r="P2" s="2" t="s">
        <v>378</v>
      </c>
      <c r="S2" s="2" t="s">
        <v>379</v>
      </c>
      <c r="V2" s="2" t="s">
        <v>380</v>
      </c>
      <c r="Y2" s="2" t="s">
        <v>381</v>
      </c>
      <c r="AB2" s="2" t="s">
        <v>382</v>
      </c>
      <c r="AE2" s="2" t="s">
        <v>383</v>
      </c>
      <c r="AH2" s="2" t="s">
        <v>384</v>
      </c>
      <c r="AK2" s="2" t="s">
        <v>385</v>
      </c>
      <c r="AN2" s="2" t="s">
        <v>386</v>
      </c>
      <c r="AQ2" s="2" t="s">
        <v>387</v>
      </c>
      <c r="AT2" s="2" t="s">
        <v>388</v>
      </c>
      <c r="AW2" s="2" t="s">
        <v>389</v>
      </c>
      <c r="AZ2" s="2" t="s">
        <v>390</v>
      </c>
      <c r="BC2" s="2" t="s">
        <v>391</v>
      </c>
      <c r="BF2" s="2" t="s">
        <v>392</v>
      </c>
      <c r="BI2" s="2" t="s">
        <v>393</v>
      </c>
      <c r="BL2" s="2" t="s">
        <v>394</v>
      </c>
      <c r="BO2" s="2" t="s">
        <v>395</v>
      </c>
      <c r="BR2" s="2" t="s">
        <v>396</v>
      </c>
      <c r="BU2" s="2" t="s">
        <v>397</v>
      </c>
      <c r="BX2" s="2" t="s">
        <v>398</v>
      </c>
      <c r="CA2" s="2" t="s">
        <v>399</v>
      </c>
      <c r="CD2" s="2" t="s">
        <v>400</v>
      </c>
      <c r="CG2" s="2" t="s">
        <v>401</v>
      </c>
      <c r="CJ2" s="2" t="s">
        <v>402</v>
      </c>
      <c r="CM2" s="2" t="s">
        <v>403</v>
      </c>
      <c r="CP2" s="2" t="s">
        <v>404</v>
      </c>
      <c r="CS2" s="2" t="s">
        <v>405</v>
      </c>
      <c r="CV2" s="2" t="s">
        <v>406</v>
      </c>
      <c r="CY2" s="2" t="s">
        <v>407</v>
      </c>
      <c r="DB2" s="2" t="s">
        <v>408</v>
      </c>
      <c r="DE2" s="2" t="s">
        <v>409</v>
      </c>
      <c r="DH2" s="2" t="s">
        <v>410</v>
      </c>
      <c r="DK2" s="2" t="s">
        <v>411</v>
      </c>
      <c r="DN2" s="2" t="s">
        <v>412</v>
      </c>
      <c r="DQ2" s="2" t="s">
        <v>413</v>
      </c>
      <c r="DT2" s="2" t="s">
        <v>414</v>
      </c>
      <c r="DW2" s="2" t="s">
        <v>415</v>
      </c>
      <c r="DZ2" s="2" t="s">
        <v>416</v>
      </c>
      <c r="EC2" s="2" t="s">
        <v>417</v>
      </c>
      <c r="EF2" s="2" t="s">
        <v>418</v>
      </c>
      <c r="EI2" s="2" t="s">
        <v>419</v>
      </c>
      <c r="EL2" s="2" t="s">
        <v>420</v>
      </c>
      <c r="EO2" s="2" t="s">
        <v>421</v>
      </c>
    </row>
    <row r="3" customFormat="false" ht="15" hidden="false" customHeight="false" outlineLevel="0" collapsed="false">
      <c r="A3" s="2" t="s">
        <v>422</v>
      </c>
      <c r="B3" s="2" t="s">
        <v>423</v>
      </c>
      <c r="C3" s="2" t="s">
        <v>424</v>
      </c>
      <c r="D3" s="2" t="s">
        <v>425</v>
      </c>
      <c r="E3" s="2" t="s">
        <v>426</v>
      </c>
      <c r="F3" s="2" t="s">
        <v>427</v>
      </c>
      <c r="G3" s="2" t="s">
        <v>428</v>
      </c>
      <c r="H3" s="2" t="s">
        <v>429</v>
      </c>
      <c r="I3" s="2" t="s">
        <v>430</v>
      </c>
      <c r="J3" s="2" t="s">
        <v>431</v>
      </c>
      <c r="K3" s="2" t="s">
        <v>432</v>
      </c>
      <c r="L3" s="2" t="s">
        <v>430</v>
      </c>
      <c r="M3" s="2" t="s">
        <v>431</v>
      </c>
      <c r="N3" s="2" t="s">
        <v>432</v>
      </c>
      <c r="O3" s="2" t="s">
        <v>430</v>
      </c>
      <c r="P3" s="2" t="s">
        <v>431</v>
      </c>
      <c r="Q3" s="2" t="s">
        <v>432</v>
      </c>
      <c r="R3" s="2" t="s">
        <v>430</v>
      </c>
      <c r="S3" s="2" t="s">
        <v>431</v>
      </c>
      <c r="T3" s="2" t="s">
        <v>432</v>
      </c>
      <c r="U3" s="2" t="s">
        <v>430</v>
      </c>
      <c r="V3" s="2" t="s">
        <v>431</v>
      </c>
      <c r="W3" s="2" t="s">
        <v>432</v>
      </c>
      <c r="X3" s="2" t="s">
        <v>430</v>
      </c>
      <c r="Y3" s="2" t="s">
        <v>431</v>
      </c>
      <c r="Z3" s="2" t="s">
        <v>432</v>
      </c>
      <c r="AA3" s="2" t="s">
        <v>430</v>
      </c>
      <c r="AB3" s="2" t="s">
        <v>431</v>
      </c>
      <c r="AC3" s="2" t="s">
        <v>432</v>
      </c>
      <c r="AD3" s="2" t="s">
        <v>430</v>
      </c>
      <c r="AE3" s="2" t="s">
        <v>431</v>
      </c>
      <c r="AF3" s="2" t="s">
        <v>432</v>
      </c>
      <c r="AG3" s="2" t="s">
        <v>430</v>
      </c>
      <c r="AH3" s="2" t="s">
        <v>431</v>
      </c>
      <c r="AI3" s="2" t="s">
        <v>432</v>
      </c>
      <c r="AJ3" s="2" t="s">
        <v>430</v>
      </c>
      <c r="AK3" s="2" t="s">
        <v>431</v>
      </c>
      <c r="AL3" s="2" t="s">
        <v>432</v>
      </c>
      <c r="AM3" s="2" t="s">
        <v>430</v>
      </c>
      <c r="AN3" s="2" t="s">
        <v>431</v>
      </c>
      <c r="AO3" s="2" t="s">
        <v>432</v>
      </c>
      <c r="AP3" s="2" t="s">
        <v>430</v>
      </c>
      <c r="AQ3" s="2" t="s">
        <v>431</v>
      </c>
      <c r="AR3" s="2" t="s">
        <v>432</v>
      </c>
      <c r="AS3" s="2" t="s">
        <v>430</v>
      </c>
      <c r="AT3" s="2" t="s">
        <v>431</v>
      </c>
      <c r="AU3" s="2" t="s">
        <v>432</v>
      </c>
      <c r="AV3" s="2" t="s">
        <v>430</v>
      </c>
      <c r="AW3" s="2" t="s">
        <v>431</v>
      </c>
      <c r="AX3" s="2" t="s">
        <v>432</v>
      </c>
      <c r="AY3" s="2" t="s">
        <v>430</v>
      </c>
      <c r="AZ3" s="2" t="s">
        <v>431</v>
      </c>
      <c r="BA3" s="2" t="s">
        <v>432</v>
      </c>
      <c r="BB3" s="2" t="s">
        <v>430</v>
      </c>
      <c r="BC3" s="2" t="s">
        <v>431</v>
      </c>
      <c r="BD3" s="2" t="s">
        <v>432</v>
      </c>
      <c r="BE3" s="2" t="s">
        <v>430</v>
      </c>
      <c r="BF3" s="2" t="s">
        <v>431</v>
      </c>
      <c r="BG3" s="2" t="s">
        <v>432</v>
      </c>
      <c r="BH3" s="2" t="s">
        <v>430</v>
      </c>
      <c r="BI3" s="2" t="s">
        <v>431</v>
      </c>
      <c r="BJ3" s="2" t="s">
        <v>432</v>
      </c>
      <c r="BK3" s="2" t="s">
        <v>430</v>
      </c>
      <c r="BL3" s="2" t="s">
        <v>431</v>
      </c>
      <c r="BM3" s="2" t="s">
        <v>432</v>
      </c>
      <c r="BN3" s="2" t="s">
        <v>430</v>
      </c>
      <c r="BO3" s="2" t="s">
        <v>431</v>
      </c>
      <c r="BP3" s="2" t="s">
        <v>432</v>
      </c>
      <c r="BQ3" s="2" t="s">
        <v>430</v>
      </c>
      <c r="BR3" s="2" t="s">
        <v>431</v>
      </c>
      <c r="BS3" s="2" t="s">
        <v>432</v>
      </c>
      <c r="BT3" s="2" t="s">
        <v>430</v>
      </c>
      <c r="BU3" s="2" t="s">
        <v>431</v>
      </c>
      <c r="BV3" s="2" t="s">
        <v>432</v>
      </c>
      <c r="BW3" s="2" t="s">
        <v>430</v>
      </c>
      <c r="BX3" s="2" t="s">
        <v>431</v>
      </c>
      <c r="BY3" s="2" t="s">
        <v>432</v>
      </c>
      <c r="BZ3" s="2" t="s">
        <v>430</v>
      </c>
      <c r="CA3" s="2" t="s">
        <v>431</v>
      </c>
      <c r="CB3" s="2" t="s">
        <v>432</v>
      </c>
      <c r="CC3" s="2" t="s">
        <v>430</v>
      </c>
      <c r="CD3" s="2" t="s">
        <v>431</v>
      </c>
      <c r="CE3" s="2" t="s">
        <v>432</v>
      </c>
      <c r="CF3" s="2" t="s">
        <v>430</v>
      </c>
      <c r="CG3" s="2" t="s">
        <v>431</v>
      </c>
      <c r="CH3" s="2" t="s">
        <v>432</v>
      </c>
      <c r="CI3" s="2" t="s">
        <v>430</v>
      </c>
      <c r="CJ3" s="2" t="s">
        <v>431</v>
      </c>
      <c r="CK3" s="2" t="s">
        <v>432</v>
      </c>
      <c r="CL3" s="2" t="s">
        <v>430</v>
      </c>
      <c r="CM3" s="2" t="s">
        <v>431</v>
      </c>
      <c r="CN3" s="2" t="s">
        <v>432</v>
      </c>
      <c r="CO3" s="2" t="s">
        <v>430</v>
      </c>
      <c r="CP3" s="2" t="s">
        <v>431</v>
      </c>
      <c r="CQ3" s="2" t="s">
        <v>432</v>
      </c>
      <c r="CR3" s="2" t="s">
        <v>430</v>
      </c>
      <c r="CS3" s="2" t="s">
        <v>431</v>
      </c>
      <c r="CT3" s="2" t="s">
        <v>432</v>
      </c>
      <c r="CU3" s="2" t="s">
        <v>430</v>
      </c>
      <c r="CV3" s="2" t="s">
        <v>431</v>
      </c>
      <c r="CW3" s="2" t="s">
        <v>432</v>
      </c>
      <c r="CX3" s="2" t="s">
        <v>430</v>
      </c>
      <c r="CY3" s="2" t="s">
        <v>431</v>
      </c>
      <c r="CZ3" s="2" t="s">
        <v>432</v>
      </c>
      <c r="DA3" s="2" t="s">
        <v>430</v>
      </c>
      <c r="DB3" s="2" t="s">
        <v>431</v>
      </c>
      <c r="DC3" s="2" t="s">
        <v>432</v>
      </c>
      <c r="DD3" s="2" t="s">
        <v>430</v>
      </c>
      <c r="DE3" s="2" t="s">
        <v>431</v>
      </c>
      <c r="DF3" s="2" t="s">
        <v>432</v>
      </c>
      <c r="DG3" s="2" t="s">
        <v>430</v>
      </c>
      <c r="DH3" s="2" t="s">
        <v>431</v>
      </c>
      <c r="DI3" s="2" t="s">
        <v>432</v>
      </c>
      <c r="DJ3" s="2" t="s">
        <v>430</v>
      </c>
      <c r="DK3" s="2" t="s">
        <v>431</v>
      </c>
      <c r="DL3" s="2" t="s">
        <v>432</v>
      </c>
      <c r="DM3" s="2" t="s">
        <v>430</v>
      </c>
      <c r="DN3" s="2" t="s">
        <v>431</v>
      </c>
      <c r="DO3" s="2" t="s">
        <v>432</v>
      </c>
      <c r="DP3" s="2" t="s">
        <v>430</v>
      </c>
      <c r="DQ3" s="2" t="s">
        <v>431</v>
      </c>
      <c r="DR3" s="2" t="s">
        <v>432</v>
      </c>
      <c r="DS3" s="2" t="s">
        <v>430</v>
      </c>
      <c r="DT3" s="2" t="s">
        <v>431</v>
      </c>
      <c r="DU3" s="2" t="s">
        <v>432</v>
      </c>
      <c r="DV3" s="2" t="s">
        <v>430</v>
      </c>
      <c r="DW3" s="2" t="s">
        <v>431</v>
      </c>
      <c r="DX3" s="2" t="s">
        <v>432</v>
      </c>
      <c r="DY3" s="2" t="s">
        <v>430</v>
      </c>
      <c r="DZ3" s="2" t="s">
        <v>431</v>
      </c>
      <c r="EA3" s="2" t="s">
        <v>432</v>
      </c>
      <c r="EB3" s="2" t="s">
        <v>430</v>
      </c>
      <c r="EC3" s="2" t="s">
        <v>431</v>
      </c>
      <c r="ED3" s="2" t="s">
        <v>432</v>
      </c>
      <c r="EE3" s="2" t="s">
        <v>430</v>
      </c>
      <c r="EF3" s="2" t="s">
        <v>431</v>
      </c>
      <c r="EG3" s="2" t="s">
        <v>432</v>
      </c>
      <c r="EH3" s="2" t="s">
        <v>430</v>
      </c>
      <c r="EI3" s="2" t="s">
        <v>431</v>
      </c>
      <c r="EJ3" s="2" t="s">
        <v>432</v>
      </c>
      <c r="EK3" s="2" t="s">
        <v>430</v>
      </c>
      <c r="EL3" s="2" t="s">
        <v>431</v>
      </c>
      <c r="EM3" s="2" t="s">
        <v>432</v>
      </c>
      <c r="EN3" s="2" t="s">
        <v>430</v>
      </c>
      <c r="EO3" s="2" t="s">
        <v>431</v>
      </c>
      <c r="EP3" s="2" t="s">
        <v>432</v>
      </c>
    </row>
    <row r="4" customFormat="false" ht="15" hidden="false" customHeight="false" outlineLevel="0" collapsed="false">
      <c r="A4" s="2" t="n">
        <v>1</v>
      </c>
      <c r="B4" s="2" t="s">
        <v>222</v>
      </c>
      <c r="C4" s="2" t="s">
        <v>80</v>
      </c>
      <c r="D4" s="2" t="s">
        <v>433</v>
      </c>
      <c r="E4" s="2" t="s">
        <v>433</v>
      </c>
      <c r="F4" s="2" t="n">
        <v>15093038.8449528</v>
      </c>
      <c r="G4" s="2" t="n">
        <v>0</v>
      </c>
      <c r="H4" s="2" t="n">
        <v>15093038.8449528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 customFormat="false" ht="15" hidden="false" customHeight="false" outlineLevel="0" collapsed="false">
      <c r="A5" s="2" t="n">
        <v>1</v>
      </c>
      <c r="B5" s="2" t="s">
        <v>125</v>
      </c>
      <c r="C5" s="2" t="s">
        <v>63</v>
      </c>
      <c r="D5" s="2" t="s">
        <v>433</v>
      </c>
      <c r="E5" s="2" t="s">
        <v>433</v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 customFormat="false" ht="15" hidden="false" customHeight="false" outlineLevel="0" collapsed="false">
      <c r="A6" s="2" t="n">
        <v>2</v>
      </c>
      <c r="B6" s="2" t="s">
        <v>434</v>
      </c>
      <c r="C6" s="2" t="s">
        <v>435</v>
      </c>
      <c r="D6" s="2" t="s">
        <v>433</v>
      </c>
      <c r="E6" s="2" t="s">
        <v>433</v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 customFormat="false" ht="15" hidden="false" customHeight="false" outlineLevel="0" collapsed="false">
      <c r="A7" s="2" t="n">
        <v>3</v>
      </c>
      <c r="B7" s="2" t="s">
        <v>436</v>
      </c>
      <c r="C7" s="2" t="s">
        <v>437</v>
      </c>
      <c r="D7" s="2" t="s">
        <v>433</v>
      </c>
      <c r="E7" s="2" t="s">
        <v>433</v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 customFormat="false" ht="15" hidden="false" customHeight="false" outlineLevel="0" collapsed="false">
      <c r="A8" s="2" t="n">
        <v>4</v>
      </c>
      <c r="B8" s="2" t="s">
        <v>438</v>
      </c>
      <c r="C8" s="2" t="s">
        <v>439</v>
      </c>
      <c r="D8" s="2" t="s">
        <v>433</v>
      </c>
      <c r="E8" s="2" t="s">
        <v>433</v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 customFormat="false" ht="15" hidden="false" customHeight="false" outlineLevel="0" collapsed="false">
      <c r="A9" s="2" t="n">
        <v>1</v>
      </c>
      <c r="B9" s="2" t="s">
        <v>128</v>
      </c>
      <c r="C9" s="2" t="s">
        <v>64</v>
      </c>
      <c r="D9" s="2" t="s">
        <v>433</v>
      </c>
      <c r="E9" s="2" t="s">
        <v>433</v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 customFormat="false" ht="15" hidden="false" customHeight="false" outlineLevel="0" collapsed="false">
      <c r="A10" s="2" t="n">
        <v>2</v>
      </c>
      <c r="B10" s="2" t="s">
        <v>440</v>
      </c>
      <c r="C10" s="2" t="s">
        <v>441</v>
      </c>
      <c r="D10" s="2" t="s">
        <v>433</v>
      </c>
      <c r="E10" s="2" t="s">
        <v>433</v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 customFormat="false" ht="15" hidden="false" customHeight="false" outlineLevel="0" collapsed="false">
      <c r="A11" s="2" t="n">
        <v>3</v>
      </c>
      <c r="B11" s="2" t="s">
        <v>442</v>
      </c>
      <c r="C11" s="2" t="s">
        <v>443</v>
      </c>
      <c r="D11" s="2" t="s">
        <v>433</v>
      </c>
      <c r="E11" s="2" t="s">
        <v>433</v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 customFormat="false" ht="15" hidden="false" customHeight="false" outlineLevel="0" collapsed="false">
      <c r="A12" s="2" t="n">
        <v>3</v>
      </c>
      <c r="B12" s="2" t="s">
        <v>444</v>
      </c>
      <c r="C12" s="2" t="s">
        <v>445</v>
      </c>
      <c r="D12" s="2" t="s">
        <v>433</v>
      </c>
      <c r="E12" s="2" t="s">
        <v>433</v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 customFormat="false" ht="15" hidden="false" customHeight="false" outlineLevel="0" collapsed="false">
      <c r="A13" s="2" t="n">
        <v>1</v>
      </c>
      <c r="B13" s="2" t="s">
        <v>130</v>
      </c>
      <c r="C13" s="2" t="s">
        <v>66</v>
      </c>
      <c r="D13" s="2" t="s">
        <v>433</v>
      </c>
      <c r="E13" s="2" t="s">
        <v>433</v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 customFormat="false" ht="15" hidden="false" customHeight="false" outlineLevel="0" collapsed="false">
      <c r="A14" s="2" t="n">
        <v>2</v>
      </c>
      <c r="B14" s="2" t="s">
        <v>446</v>
      </c>
      <c r="C14" s="2" t="s">
        <v>447</v>
      </c>
      <c r="D14" s="2" t="s">
        <v>433</v>
      </c>
      <c r="E14" s="2" t="s">
        <v>433</v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 customFormat="false" ht="15" hidden="false" customHeight="false" outlineLevel="0" collapsed="false">
      <c r="A15" s="2" t="n">
        <v>3</v>
      </c>
      <c r="B15" s="2" t="s">
        <v>448</v>
      </c>
      <c r="C15" s="2" t="s">
        <v>449</v>
      </c>
      <c r="D15" s="2" t="s">
        <v>433</v>
      </c>
      <c r="E15" s="2" t="s">
        <v>433</v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 customFormat="false" ht="15" hidden="false" customHeight="false" outlineLevel="0" collapsed="false">
      <c r="A16" s="2" t="n">
        <v>1</v>
      </c>
      <c r="B16" s="2" t="s">
        <v>132</v>
      </c>
      <c r="C16" s="2" t="s">
        <v>67</v>
      </c>
      <c r="D16" s="2" t="s">
        <v>433</v>
      </c>
      <c r="E16" s="2" t="s">
        <v>433</v>
      </c>
      <c r="F16" s="2" t="n">
        <v>863304.96087824</v>
      </c>
      <c r="G16" s="2" t="n">
        <v>0</v>
      </c>
      <c r="H16" s="2" t="n">
        <v>863304.96087824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 customFormat="false" ht="15" hidden="false" customHeight="false" outlineLevel="0" collapsed="false">
      <c r="A17" s="2" t="n">
        <v>2</v>
      </c>
      <c r="B17" s="2" t="s">
        <v>450</v>
      </c>
      <c r="C17" s="2" t="s">
        <v>451</v>
      </c>
      <c r="D17" s="2" t="s">
        <v>433</v>
      </c>
      <c r="E17" s="2" t="s">
        <v>433</v>
      </c>
      <c r="F17" s="2" t="n">
        <v>87839.1525387188</v>
      </c>
      <c r="G17" s="2" t="n">
        <v>0</v>
      </c>
      <c r="H17" s="2" t="n">
        <v>87839.1525387188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 customFormat="false" ht="15" hidden="false" customHeight="false" outlineLevel="0" collapsed="false">
      <c r="A18" s="2" t="n">
        <v>3</v>
      </c>
      <c r="B18" s="2" t="s">
        <v>452</v>
      </c>
      <c r="C18" s="2" t="s">
        <v>453</v>
      </c>
      <c r="D18" s="2" t="s">
        <v>433</v>
      </c>
      <c r="E18" s="2" t="s">
        <v>433</v>
      </c>
      <c r="F18" s="2" t="n">
        <v>77198.0525387188</v>
      </c>
      <c r="G18" s="2" t="n">
        <v>0</v>
      </c>
      <c r="H18" s="2" t="n">
        <v>77198.0525387188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 customFormat="false" ht="15" hidden="false" customHeight="false" outlineLevel="0" collapsed="false">
      <c r="A19" s="2" t="n">
        <v>3</v>
      </c>
      <c r="B19" s="2" t="s">
        <v>454</v>
      </c>
      <c r="C19" s="2" t="s">
        <v>455</v>
      </c>
      <c r="D19" s="2" t="s">
        <v>433</v>
      </c>
      <c r="E19" s="2" t="s">
        <v>433</v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 customFormat="false" ht="15" hidden="false" customHeight="false" outlineLevel="0" collapsed="false">
      <c r="A20" s="2" t="n">
        <v>3</v>
      </c>
      <c r="B20" s="2" t="s">
        <v>456</v>
      </c>
      <c r="C20" s="2" t="s">
        <v>457</v>
      </c>
      <c r="D20" s="2" t="s">
        <v>433</v>
      </c>
      <c r="E20" s="2" t="s">
        <v>433</v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 customFormat="false" ht="15" hidden="false" customHeight="false" outlineLevel="0" collapsed="false">
      <c r="A21" s="2" t="n">
        <v>2</v>
      </c>
      <c r="B21" s="2" t="s">
        <v>458</v>
      </c>
      <c r="C21" s="2" t="s">
        <v>459</v>
      </c>
      <c r="D21" s="2" t="s">
        <v>433</v>
      </c>
      <c r="E21" s="2" t="s">
        <v>433</v>
      </c>
      <c r="F21" s="2" t="n">
        <v>273654.789075898</v>
      </c>
      <c r="G21" s="2" t="n">
        <v>0</v>
      </c>
      <c r="H21" s="2" t="n">
        <v>273654.789075898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 customFormat="false" ht="15" hidden="false" customHeight="false" outlineLevel="0" collapsed="false">
      <c r="A22" s="2" t="n">
        <v>3</v>
      </c>
      <c r="B22" s="2" t="s">
        <v>460</v>
      </c>
      <c r="C22" s="2" t="s">
        <v>461</v>
      </c>
      <c r="D22" s="2" t="s">
        <v>433</v>
      </c>
      <c r="E22" s="2" t="s">
        <v>433</v>
      </c>
      <c r="F22" s="2" t="n">
        <v>273654.789075898</v>
      </c>
      <c r="G22" s="2" t="n">
        <v>0</v>
      </c>
      <c r="H22" s="2" t="n">
        <v>273654.789075898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 customFormat="false" ht="15" hidden="false" customHeight="false" outlineLevel="0" collapsed="false">
      <c r="A23" s="2" t="n">
        <v>4</v>
      </c>
      <c r="B23" s="2" t="s">
        <v>462</v>
      </c>
      <c r="C23" s="2" t="s">
        <v>463</v>
      </c>
      <c r="D23" s="2" t="s">
        <v>433</v>
      </c>
      <c r="E23" s="2" t="s">
        <v>433</v>
      </c>
      <c r="F23" s="2" t="n">
        <v>81462.2999684398</v>
      </c>
      <c r="G23" s="2" t="n">
        <v>0</v>
      </c>
      <c r="H23" s="2" t="n">
        <v>81462.2999684398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 customFormat="false" ht="15" hidden="false" customHeight="false" outlineLevel="0" collapsed="false">
      <c r="A24" s="2" t="n">
        <v>4</v>
      </c>
      <c r="B24" s="2" t="s">
        <v>464</v>
      </c>
      <c r="C24" s="2" t="s">
        <v>465</v>
      </c>
      <c r="D24" s="2" t="s">
        <v>433</v>
      </c>
      <c r="E24" s="2" t="s">
        <v>433</v>
      </c>
      <c r="F24" s="2" t="n">
        <v>64999.1566431719</v>
      </c>
      <c r="G24" s="2" t="n">
        <v>0</v>
      </c>
      <c r="H24" s="2" t="n">
        <v>64999.1566431719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 customFormat="false" ht="15" hidden="false" customHeight="false" outlineLevel="0" collapsed="false">
      <c r="A25" s="2" t="n">
        <v>4</v>
      </c>
      <c r="B25" s="2" t="s">
        <v>466</v>
      </c>
      <c r="C25" s="2" t="s">
        <v>467</v>
      </c>
      <c r="D25" s="2" t="s">
        <v>433</v>
      </c>
      <c r="E25" s="2" t="s">
        <v>433</v>
      </c>
      <c r="F25" s="2" t="n">
        <v>1843.3816299172</v>
      </c>
      <c r="G25" s="2" t="n">
        <v>0</v>
      </c>
      <c r="H25" s="2" t="n">
        <v>1843.3816299172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 customFormat="false" ht="15" hidden="false" customHeight="false" outlineLevel="0" collapsed="false">
      <c r="A26" s="2" t="n">
        <v>4</v>
      </c>
      <c r="B26" s="2" t="s">
        <v>468</v>
      </c>
      <c r="C26" s="2" t="s">
        <v>469</v>
      </c>
      <c r="D26" s="2" t="s">
        <v>433</v>
      </c>
      <c r="E26" s="2" t="s">
        <v>433</v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 customFormat="false" ht="15" hidden="false" customHeight="false" outlineLevel="0" collapsed="false">
      <c r="A27" s="2" t="n">
        <v>4</v>
      </c>
      <c r="B27" s="2" t="s">
        <v>470</v>
      </c>
      <c r="C27" s="2" t="s">
        <v>471</v>
      </c>
      <c r="D27" s="2" t="s">
        <v>433</v>
      </c>
      <c r="E27" s="2" t="s">
        <v>433</v>
      </c>
      <c r="F27" s="2" t="n">
        <v>47927.9223778471</v>
      </c>
      <c r="G27" s="2" t="n">
        <v>0</v>
      </c>
      <c r="H27" s="2" t="n">
        <v>47927.9223778471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 customFormat="false" ht="15" hidden="false" customHeight="false" outlineLevel="0" collapsed="false">
      <c r="A28" s="2" t="n">
        <v>4</v>
      </c>
      <c r="B28" s="2" t="s">
        <v>472</v>
      </c>
      <c r="C28" s="2" t="s">
        <v>473</v>
      </c>
      <c r="D28" s="2" t="s">
        <v>433</v>
      </c>
      <c r="E28" s="2" t="s">
        <v>433</v>
      </c>
      <c r="F28" s="2" t="n">
        <v>22120.5795590064</v>
      </c>
      <c r="G28" s="2" t="n">
        <v>0</v>
      </c>
      <c r="H28" s="2" t="n">
        <v>22120.5795590064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 customFormat="false" ht="15" hidden="false" customHeight="false" outlineLevel="0" collapsed="false">
      <c r="A29" s="2" t="n">
        <v>2</v>
      </c>
      <c r="B29" s="2" t="s">
        <v>474</v>
      </c>
      <c r="C29" s="2" t="s">
        <v>475</v>
      </c>
      <c r="D29" s="2" t="s">
        <v>433</v>
      </c>
      <c r="E29" s="2" t="s">
        <v>433</v>
      </c>
      <c r="F29" s="2" t="n">
        <v>186736.850903618</v>
      </c>
      <c r="G29" s="2" t="n">
        <v>0</v>
      </c>
      <c r="H29" s="2" t="n">
        <v>186736.850903618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 customFormat="false" ht="15" hidden="false" customHeight="false" outlineLevel="0" collapsed="false">
      <c r="A30" s="2" t="n">
        <v>3</v>
      </c>
      <c r="B30" s="2" t="s">
        <v>476</v>
      </c>
      <c r="C30" s="2" t="s">
        <v>461</v>
      </c>
      <c r="D30" s="2" t="s">
        <v>433</v>
      </c>
      <c r="E30" s="2" t="s">
        <v>433</v>
      </c>
      <c r="F30" s="2" t="n">
        <v>186736.850903618</v>
      </c>
      <c r="G30" s="2" t="n">
        <v>0</v>
      </c>
      <c r="H30" s="2" t="n">
        <v>186736.850903618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 customFormat="false" ht="15" hidden="false" customHeight="false" outlineLevel="0" collapsed="false">
      <c r="A31" s="2" t="n">
        <v>4</v>
      </c>
      <c r="B31" s="2" t="s">
        <v>477</v>
      </c>
      <c r="C31" s="2" t="s">
        <v>463</v>
      </c>
      <c r="D31" s="2" t="s">
        <v>433</v>
      </c>
      <c r="E31" s="2" t="s">
        <v>433</v>
      </c>
      <c r="F31" s="2" t="n">
        <v>55243.7616245865</v>
      </c>
      <c r="G31" s="2" t="n">
        <v>0</v>
      </c>
      <c r="H31" s="2" t="n">
        <v>55243.7616245865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 customFormat="false" ht="15" hidden="false" customHeight="false" outlineLevel="0" collapsed="false">
      <c r="A32" s="2" t="n">
        <v>4</v>
      </c>
      <c r="B32" s="2" t="s">
        <v>478</v>
      </c>
      <c r="C32" s="2" t="s">
        <v>465</v>
      </c>
      <c r="D32" s="2" t="s">
        <v>433</v>
      </c>
      <c r="E32" s="2" t="s">
        <v>433</v>
      </c>
      <c r="F32" s="2" t="n">
        <v>45480.9114316366</v>
      </c>
      <c r="G32" s="2" t="n">
        <v>0</v>
      </c>
      <c r="H32" s="2" t="n">
        <v>45480.9114316366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 customFormat="false" ht="15" hidden="false" customHeight="false" outlineLevel="0" collapsed="false">
      <c r="A33" s="2" t="n">
        <v>4</v>
      </c>
      <c r="B33" s="2" t="s">
        <v>479</v>
      </c>
      <c r="C33" s="2" t="s">
        <v>469</v>
      </c>
      <c r="D33" s="2" t="s">
        <v>433</v>
      </c>
      <c r="E33" s="2" t="s">
        <v>433</v>
      </c>
      <c r="F33" s="2" t="n">
        <v>46077.952418247</v>
      </c>
      <c r="G33" s="2" t="n">
        <v>0</v>
      </c>
      <c r="H33" s="2" t="n">
        <v>46077.952418247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 customFormat="false" ht="15" hidden="false" customHeight="false" outlineLevel="0" collapsed="false">
      <c r="A34" s="2" t="n">
        <v>4</v>
      </c>
      <c r="B34" s="2" t="s">
        <v>480</v>
      </c>
      <c r="C34" s="2" t="s">
        <v>471</v>
      </c>
      <c r="D34" s="2" t="s">
        <v>433</v>
      </c>
      <c r="E34" s="2" t="s">
        <v>433</v>
      </c>
      <c r="F34" s="2" t="n">
        <v>39934.2254291474</v>
      </c>
      <c r="G34" s="2" t="n">
        <v>0</v>
      </c>
      <c r="H34" s="2" t="n">
        <v>39934.2254291474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 customFormat="false" ht="15" hidden="false" customHeight="false" outlineLevel="0" collapsed="false">
      <c r="A35" s="2" t="n">
        <v>2</v>
      </c>
      <c r="B35" s="2" t="s">
        <v>481</v>
      </c>
      <c r="C35" s="2" t="s">
        <v>482</v>
      </c>
      <c r="D35" s="2" t="s">
        <v>433</v>
      </c>
      <c r="E35" s="2" t="s">
        <v>433</v>
      </c>
      <c r="F35" s="2" t="n">
        <v>28126.7714509482</v>
      </c>
      <c r="G35" s="2" t="n">
        <v>0</v>
      </c>
      <c r="H35" s="2" t="n">
        <v>28126.7714509482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 customFormat="false" ht="15" hidden="false" customHeight="false" outlineLevel="0" collapsed="false">
      <c r="A36" s="2" t="n">
        <v>3</v>
      </c>
      <c r="B36" s="2" t="s">
        <v>483</v>
      </c>
      <c r="C36" s="2" t="s">
        <v>484</v>
      </c>
      <c r="D36" s="2" t="s">
        <v>433</v>
      </c>
      <c r="E36" s="2" t="s">
        <v>433</v>
      </c>
      <c r="F36" s="2" t="n">
        <v>9215.59048364939</v>
      </c>
      <c r="G36" s="2" t="n">
        <v>0</v>
      </c>
      <c r="H36" s="2" t="n">
        <v>9215.59048364939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 customFormat="false" ht="15" hidden="false" customHeight="false" outlineLevel="0" collapsed="false">
      <c r="A37" s="2" t="n">
        <v>3</v>
      </c>
      <c r="B37" s="2" t="s">
        <v>485</v>
      </c>
      <c r="C37" s="2" t="s">
        <v>486</v>
      </c>
      <c r="D37" s="2" t="s">
        <v>433</v>
      </c>
      <c r="E37" s="2" t="s">
        <v>433</v>
      </c>
      <c r="F37" s="2" t="n">
        <v>9215.59048364939</v>
      </c>
      <c r="G37" s="2" t="n">
        <v>0</v>
      </c>
      <c r="H37" s="2" t="n">
        <v>9215.59048364939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 customFormat="false" ht="15" hidden="false" customHeight="false" outlineLevel="0" collapsed="false">
      <c r="A38" s="2" t="n">
        <v>3</v>
      </c>
      <c r="B38" s="2" t="s">
        <v>487</v>
      </c>
      <c r="C38" s="2" t="s">
        <v>488</v>
      </c>
      <c r="D38" s="2" t="s">
        <v>433</v>
      </c>
      <c r="E38" s="2" t="s">
        <v>433</v>
      </c>
      <c r="F38" s="2" t="n">
        <v>9215.59048364939</v>
      </c>
      <c r="G38" s="2" t="n">
        <v>0</v>
      </c>
      <c r="H38" s="2" t="n">
        <v>9215.59048364939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 customFormat="false" ht="15" hidden="false" customHeight="false" outlineLevel="0" collapsed="false">
      <c r="A39" s="2" t="n">
        <v>3</v>
      </c>
      <c r="B39" s="2" t="s">
        <v>489</v>
      </c>
      <c r="C39" s="2" t="s">
        <v>490</v>
      </c>
      <c r="D39" s="2" t="s">
        <v>433</v>
      </c>
      <c r="E39" s="2" t="s">
        <v>433</v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 customFormat="false" ht="15" hidden="false" customHeight="false" outlineLevel="0" collapsed="false">
      <c r="A40" s="2" t="n">
        <v>2</v>
      </c>
      <c r="B40" s="2" t="s">
        <v>491</v>
      </c>
      <c r="C40" s="2" t="s">
        <v>492</v>
      </c>
      <c r="D40" s="2" t="s">
        <v>433</v>
      </c>
      <c r="E40" s="2" t="s">
        <v>433</v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 customFormat="false" ht="15" hidden="false" customHeight="false" outlineLevel="0" collapsed="false">
      <c r="A41" s="2" t="n">
        <v>3</v>
      </c>
      <c r="B41" s="2" t="s">
        <v>493</v>
      </c>
      <c r="C41" s="2" t="s">
        <v>494</v>
      </c>
      <c r="D41" s="2" t="s">
        <v>433</v>
      </c>
      <c r="E41" s="2" t="s">
        <v>433</v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 customFormat="false" ht="15" hidden="false" customHeight="false" outlineLevel="0" collapsed="false">
      <c r="A42" s="2" t="n">
        <v>4</v>
      </c>
      <c r="B42" s="2" t="s">
        <v>495</v>
      </c>
      <c r="C42" s="2" t="s">
        <v>496</v>
      </c>
      <c r="D42" s="2" t="s">
        <v>433</v>
      </c>
      <c r="E42" s="2" t="s">
        <v>433</v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 customFormat="false" ht="15" hidden="false" customHeight="false" outlineLevel="0" collapsed="false">
      <c r="A43" s="2" t="n">
        <v>4</v>
      </c>
      <c r="B43" s="2" t="s">
        <v>497</v>
      </c>
      <c r="C43" s="2" t="s">
        <v>498</v>
      </c>
      <c r="D43" s="2" t="s">
        <v>433</v>
      </c>
      <c r="E43" s="2" t="s">
        <v>433</v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 customFormat="false" ht="15" hidden="false" customHeight="false" outlineLevel="0" collapsed="false">
      <c r="A44" s="2" t="n">
        <v>4</v>
      </c>
      <c r="B44" s="2" t="s">
        <v>499</v>
      </c>
      <c r="C44" s="2" t="s">
        <v>500</v>
      </c>
      <c r="D44" s="2" t="s">
        <v>433</v>
      </c>
      <c r="E44" s="2" t="s">
        <v>433</v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 customFormat="false" ht="15" hidden="false" customHeight="false" outlineLevel="0" collapsed="false">
      <c r="A45" s="2" t="n">
        <v>4</v>
      </c>
      <c r="B45" s="2" t="s">
        <v>501</v>
      </c>
      <c r="C45" s="2" t="s">
        <v>502</v>
      </c>
      <c r="D45" s="2" t="s">
        <v>433</v>
      </c>
      <c r="E45" s="2" t="s">
        <v>433</v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 customFormat="false" ht="15" hidden="false" customHeight="false" outlineLevel="0" collapsed="false">
      <c r="A46" s="2" t="n">
        <v>4</v>
      </c>
      <c r="B46" s="2" t="s">
        <v>503</v>
      </c>
      <c r="C46" s="2" t="s">
        <v>504</v>
      </c>
      <c r="D46" s="2" t="s">
        <v>433</v>
      </c>
      <c r="E46" s="2" t="s">
        <v>433</v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 customFormat="false" ht="15" hidden="false" customHeight="false" outlineLevel="0" collapsed="false">
      <c r="A47" s="2" t="n">
        <v>4</v>
      </c>
      <c r="B47" s="2" t="s">
        <v>505</v>
      </c>
      <c r="C47" s="2" t="s">
        <v>506</v>
      </c>
      <c r="D47" s="2" t="s">
        <v>433</v>
      </c>
      <c r="E47" s="2" t="s">
        <v>433</v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 customFormat="false" ht="15" hidden="false" customHeight="false" outlineLevel="0" collapsed="false">
      <c r="A48" s="2" t="n">
        <v>4</v>
      </c>
      <c r="B48" s="2" t="s">
        <v>507</v>
      </c>
      <c r="C48" s="2" t="s">
        <v>508</v>
      </c>
      <c r="D48" s="2" t="s">
        <v>433</v>
      </c>
      <c r="E48" s="2" t="s">
        <v>433</v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 customFormat="false" ht="15" hidden="false" customHeight="false" outlineLevel="0" collapsed="false">
      <c r="A49" s="2" t="n">
        <v>3</v>
      </c>
      <c r="B49" s="2" t="s">
        <v>509</v>
      </c>
      <c r="C49" s="2" t="s">
        <v>510</v>
      </c>
      <c r="D49" s="2" t="s">
        <v>433</v>
      </c>
      <c r="E49" s="2" t="s">
        <v>433</v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 customFormat="false" ht="15" hidden="false" customHeight="false" outlineLevel="0" collapsed="false">
      <c r="A50" s="2" t="n">
        <v>4</v>
      </c>
      <c r="B50" s="2" t="s">
        <v>511</v>
      </c>
      <c r="C50" s="2" t="s">
        <v>512</v>
      </c>
      <c r="D50" s="2" t="s">
        <v>433</v>
      </c>
      <c r="E50" s="2" t="s">
        <v>433</v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 customFormat="false" ht="15" hidden="false" customHeight="false" outlineLevel="0" collapsed="false">
      <c r="A51" s="2" t="n">
        <v>4</v>
      </c>
      <c r="B51" s="2" t="s">
        <v>513</v>
      </c>
      <c r="C51" s="2" t="s">
        <v>514</v>
      </c>
      <c r="D51" s="2" t="s">
        <v>433</v>
      </c>
      <c r="E51" s="2" t="s">
        <v>433</v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 customFormat="false" ht="15" hidden="false" customHeight="false" outlineLevel="0" collapsed="false">
      <c r="A52" s="2" t="n">
        <v>3</v>
      </c>
      <c r="B52" s="2" t="s">
        <v>515</v>
      </c>
      <c r="C52" s="2" t="s">
        <v>516</v>
      </c>
      <c r="D52" s="2" t="s">
        <v>433</v>
      </c>
      <c r="E52" s="2" t="s">
        <v>433</v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 customFormat="false" ht="15" hidden="false" customHeight="false" outlineLevel="0" collapsed="false">
      <c r="A53" s="2" t="n">
        <v>4</v>
      </c>
      <c r="B53" s="2" t="s">
        <v>517</v>
      </c>
      <c r="C53" s="2" t="s">
        <v>498</v>
      </c>
      <c r="D53" s="2" t="s">
        <v>433</v>
      </c>
      <c r="E53" s="2" t="s">
        <v>433</v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 customFormat="false" ht="15" hidden="false" customHeight="false" outlineLevel="0" collapsed="false">
      <c r="A54" s="2" t="n">
        <v>4</v>
      </c>
      <c r="B54" s="2" t="s">
        <v>518</v>
      </c>
      <c r="C54" s="2" t="s">
        <v>500</v>
      </c>
      <c r="D54" s="2" t="s">
        <v>433</v>
      </c>
      <c r="E54" s="2" t="s">
        <v>433</v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 customFormat="false" ht="15" hidden="false" customHeight="false" outlineLevel="0" collapsed="false">
      <c r="A55" s="2" t="n">
        <v>4</v>
      </c>
      <c r="B55" s="2" t="s">
        <v>519</v>
      </c>
      <c r="C55" s="2" t="s">
        <v>520</v>
      </c>
      <c r="D55" s="2" t="s">
        <v>433</v>
      </c>
      <c r="E55" s="2" t="s">
        <v>433</v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 customFormat="false" ht="15" hidden="false" customHeight="false" outlineLevel="0" collapsed="false">
      <c r="A56" s="2" t="n">
        <v>4</v>
      </c>
      <c r="B56" s="2" t="s">
        <v>521</v>
      </c>
      <c r="C56" s="2" t="s">
        <v>522</v>
      </c>
      <c r="D56" s="2" t="s">
        <v>433</v>
      </c>
      <c r="E56" s="2" t="s">
        <v>433</v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 customFormat="false" ht="15" hidden="false" customHeight="false" outlineLevel="0" collapsed="false">
      <c r="A57" s="2" t="n">
        <v>4</v>
      </c>
      <c r="B57" s="2" t="s">
        <v>523</v>
      </c>
      <c r="C57" s="2" t="s">
        <v>524</v>
      </c>
      <c r="D57" s="2" t="s">
        <v>433</v>
      </c>
      <c r="E57" s="2" t="s">
        <v>433</v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 customFormat="false" ht="15" hidden="false" customHeight="false" outlineLevel="0" collapsed="false">
      <c r="A58" s="2" t="n">
        <v>3</v>
      </c>
      <c r="B58" s="2" t="s">
        <v>525</v>
      </c>
      <c r="C58" s="2" t="s">
        <v>526</v>
      </c>
      <c r="D58" s="2" t="s">
        <v>433</v>
      </c>
      <c r="E58" s="2" t="s">
        <v>433</v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 customFormat="false" ht="15" hidden="false" customHeight="false" outlineLevel="0" collapsed="false">
      <c r="A59" s="2" t="n">
        <v>4</v>
      </c>
      <c r="B59" s="2" t="s">
        <v>527</v>
      </c>
      <c r="C59" s="2" t="s">
        <v>528</v>
      </c>
      <c r="D59" s="2" t="s">
        <v>433</v>
      </c>
      <c r="E59" s="2" t="s">
        <v>433</v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 customFormat="false" ht="15" hidden="false" customHeight="false" outlineLevel="0" collapsed="false">
      <c r="A60" s="2" t="n">
        <v>4</v>
      </c>
      <c r="B60" s="2" t="s">
        <v>529</v>
      </c>
      <c r="C60" s="2" t="s">
        <v>530</v>
      </c>
      <c r="D60" s="2" t="s">
        <v>433</v>
      </c>
      <c r="E60" s="2" t="s">
        <v>433</v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 customFormat="false" ht="15" hidden="false" customHeight="false" outlineLevel="0" collapsed="false">
      <c r="A61" s="2" t="n">
        <v>4</v>
      </c>
      <c r="B61" s="2" t="s">
        <v>531</v>
      </c>
      <c r="C61" s="2" t="s">
        <v>532</v>
      </c>
      <c r="D61" s="2" t="s">
        <v>433</v>
      </c>
      <c r="E61" s="2" t="s">
        <v>433</v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 customFormat="false" ht="15" hidden="false" customHeight="false" outlineLevel="0" collapsed="false">
      <c r="A62" s="2" t="n">
        <v>4</v>
      </c>
      <c r="B62" s="2" t="s">
        <v>533</v>
      </c>
      <c r="C62" s="2" t="s">
        <v>534</v>
      </c>
      <c r="D62" s="2" t="s">
        <v>433</v>
      </c>
      <c r="E62" s="2" t="s">
        <v>433</v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 customFormat="false" ht="15" hidden="false" customHeight="false" outlineLevel="0" collapsed="false">
      <c r="A63" s="2" t="n">
        <v>4</v>
      </c>
      <c r="B63" s="2" t="s">
        <v>535</v>
      </c>
      <c r="C63" s="2" t="s">
        <v>536</v>
      </c>
      <c r="D63" s="2" t="s">
        <v>433</v>
      </c>
      <c r="E63" s="2" t="s">
        <v>433</v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 customFormat="false" ht="15" hidden="false" customHeight="false" outlineLevel="0" collapsed="false">
      <c r="A64" s="2" t="n">
        <v>4</v>
      </c>
      <c r="B64" s="2" t="s">
        <v>537</v>
      </c>
      <c r="C64" s="2" t="s">
        <v>538</v>
      </c>
      <c r="D64" s="2" t="s">
        <v>433</v>
      </c>
      <c r="E64" s="2" t="s">
        <v>433</v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 customFormat="false" ht="15" hidden="false" customHeight="false" outlineLevel="0" collapsed="false">
      <c r="A65" s="2" t="n">
        <v>3</v>
      </c>
      <c r="B65" s="2" t="s">
        <v>539</v>
      </c>
      <c r="C65" s="2" t="s">
        <v>540</v>
      </c>
      <c r="D65" s="2" t="s">
        <v>433</v>
      </c>
      <c r="E65" s="2" t="s">
        <v>433</v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 customFormat="false" ht="15" hidden="false" customHeight="false" outlineLevel="0" collapsed="false">
      <c r="A66" s="2" t="n">
        <v>4</v>
      </c>
      <c r="B66" s="2" t="s">
        <v>541</v>
      </c>
      <c r="C66" s="2" t="s">
        <v>496</v>
      </c>
      <c r="D66" s="2" t="s">
        <v>433</v>
      </c>
      <c r="E66" s="2" t="s">
        <v>433</v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 customFormat="false" ht="15" hidden="false" customHeight="false" outlineLevel="0" collapsed="false">
      <c r="A67" s="2" t="n">
        <v>4</v>
      </c>
      <c r="B67" s="2" t="s">
        <v>542</v>
      </c>
      <c r="C67" s="2" t="s">
        <v>498</v>
      </c>
      <c r="D67" s="2" t="s">
        <v>433</v>
      </c>
      <c r="E67" s="2" t="s">
        <v>433</v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 customFormat="false" ht="15" hidden="false" customHeight="false" outlineLevel="0" collapsed="false">
      <c r="A68" s="2" t="n">
        <v>4</v>
      </c>
      <c r="B68" s="2" t="s">
        <v>543</v>
      </c>
      <c r="C68" s="2" t="s">
        <v>500</v>
      </c>
      <c r="D68" s="2" t="s">
        <v>433</v>
      </c>
      <c r="E68" s="2" t="s">
        <v>433</v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 customFormat="false" ht="15" hidden="false" customHeight="false" outlineLevel="0" collapsed="false">
      <c r="A69" s="2" t="n">
        <v>4</v>
      </c>
      <c r="B69" s="2" t="s">
        <v>544</v>
      </c>
      <c r="C69" s="2" t="s">
        <v>504</v>
      </c>
      <c r="D69" s="2" t="s">
        <v>433</v>
      </c>
      <c r="E69" s="2" t="s">
        <v>433</v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 customFormat="false" ht="15" hidden="false" customHeight="false" outlineLevel="0" collapsed="false">
      <c r="A70" s="2" t="n">
        <v>4</v>
      </c>
      <c r="B70" s="2" t="s">
        <v>545</v>
      </c>
      <c r="C70" s="2" t="s">
        <v>506</v>
      </c>
      <c r="D70" s="2" t="s">
        <v>433</v>
      </c>
      <c r="E70" s="2" t="s">
        <v>433</v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 customFormat="false" ht="15" hidden="false" customHeight="false" outlineLevel="0" collapsed="false">
      <c r="A71" s="2" t="n">
        <v>4</v>
      </c>
      <c r="B71" s="2" t="s">
        <v>546</v>
      </c>
      <c r="C71" s="2" t="s">
        <v>547</v>
      </c>
      <c r="D71" s="2" t="s">
        <v>433</v>
      </c>
      <c r="E71" s="2" t="s">
        <v>433</v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 customFormat="false" ht="15" hidden="false" customHeight="false" outlineLevel="0" collapsed="false">
      <c r="A72" s="2" t="n">
        <v>2</v>
      </c>
      <c r="B72" s="2" t="s">
        <v>548</v>
      </c>
      <c r="C72" s="2" t="s">
        <v>549</v>
      </c>
      <c r="D72" s="2" t="s">
        <v>433</v>
      </c>
      <c r="E72" s="2" t="s">
        <v>433</v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 customFormat="false" ht="15" hidden="false" customHeight="false" outlineLevel="0" collapsed="false">
      <c r="A73" s="2" t="n">
        <v>3</v>
      </c>
      <c r="B73" s="2" t="s">
        <v>550</v>
      </c>
      <c r="C73" s="2" t="s">
        <v>551</v>
      </c>
      <c r="D73" s="2" t="s">
        <v>433</v>
      </c>
      <c r="E73" s="2" t="s">
        <v>433</v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 customFormat="false" ht="15" hidden="false" customHeight="false" outlineLevel="0" collapsed="false">
      <c r="A74" s="2" t="n">
        <v>2</v>
      </c>
      <c r="B74" s="2" t="s">
        <v>552</v>
      </c>
      <c r="C74" s="2" t="s">
        <v>553</v>
      </c>
      <c r="D74" s="2" t="s">
        <v>433</v>
      </c>
      <c r="E74" s="2" t="s">
        <v>433</v>
      </c>
      <c r="F74" s="2" t="n">
        <v>72567.1469090568</v>
      </c>
      <c r="G74" s="2" t="n">
        <v>0</v>
      </c>
      <c r="H74" s="2" t="n">
        <v>72567.1469090568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 customFormat="false" ht="15" hidden="false" customHeight="false" outlineLevel="0" collapsed="false">
      <c r="A75" s="2" t="n">
        <v>3</v>
      </c>
      <c r="B75" s="2" t="s">
        <v>554</v>
      </c>
      <c r="C75" s="2" t="s">
        <v>555</v>
      </c>
      <c r="D75" s="2" t="s">
        <v>433</v>
      </c>
      <c r="E75" s="2" t="s">
        <v>433</v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 customFormat="false" ht="15" hidden="false" customHeight="false" outlineLevel="0" collapsed="false">
      <c r="A76" s="2" t="n">
        <v>3</v>
      </c>
      <c r="B76" s="2" t="s">
        <v>556</v>
      </c>
      <c r="C76" s="2" t="s">
        <v>557</v>
      </c>
      <c r="D76" s="2" t="s">
        <v>433</v>
      </c>
      <c r="E76" s="2" t="s">
        <v>433</v>
      </c>
      <c r="F76" s="2" t="n">
        <v>27567.1469090568</v>
      </c>
      <c r="G76" s="2" t="n">
        <v>0</v>
      </c>
      <c r="H76" s="2" t="n">
        <v>27567.1469090568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 customFormat="false" ht="15" hidden="false" customHeight="false" outlineLevel="0" collapsed="false">
      <c r="A77" s="2" t="n">
        <v>1</v>
      </c>
      <c r="B77" s="2" t="s">
        <v>134</v>
      </c>
      <c r="C77" s="2" t="s">
        <v>135</v>
      </c>
      <c r="D77" s="2" t="s">
        <v>433</v>
      </c>
      <c r="E77" s="2" t="s">
        <v>433</v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 customFormat="false" ht="15" hidden="false" customHeight="false" outlineLevel="0" collapsed="false">
      <c r="A78" s="2" t="n">
        <v>2</v>
      </c>
      <c r="B78" s="2" t="s">
        <v>558</v>
      </c>
      <c r="C78" s="2" t="s">
        <v>559</v>
      </c>
      <c r="D78" s="2" t="s">
        <v>433</v>
      </c>
      <c r="E78" s="2" t="s">
        <v>433</v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 customFormat="false" ht="15" hidden="false" customHeight="false" outlineLevel="0" collapsed="false">
      <c r="A79" s="2" t="n">
        <v>3</v>
      </c>
      <c r="B79" s="2" t="s">
        <v>560</v>
      </c>
      <c r="C79" s="2" t="s">
        <v>561</v>
      </c>
      <c r="D79" s="2" t="s">
        <v>433</v>
      </c>
      <c r="E79" s="2" t="s">
        <v>433</v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 customFormat="false" ht="15" hidden="false" customHeight="false" outlineLevel="0" collapsed="false">
      <c r="A80" s="2" t="n">
        <v>3</v>
      </c>
      <c r="B80" s="2" t="s">
        <v>562</v>
      </c>
      <c r="C80" s="2" t="s">
        <v>563</v>
      </c>
      <c r="D80" s="2" t="s">
        <v>433</v>
      </c>
      <c r="E80" s="2" t="s">
        <v>433</v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 customFormat="false" ht="15" hidden="false" customHeight="false" outlineLevel="0" collapsed="false">
      <c r="A81" s="2" t="n">
        <v>3</v>
      </c>
      <c r="B81" s="2" t="s">
        <v>564</v>
      </c>
      <c r="C81" s="2" t="s">
        <v>565</v>
      </c>
      <c r="D81" s="2" t="s">
        <v>433</v>
      </c>
      <c r="E81" s="2" t="s">
        <v>433</v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 customFormat="false" ht="15" hidden="false" customHeight="false" outlineLevel="0" collapsed="false">
      <c r="A82" s="2" t="n">
        <v>1</v>
      </c>
      <c r="B82" s="2" t="s">
        <v>137</v>
      </c>
      <c r="C82" s="2" t="s">
        <v>70</v>
      </c>
      <c r="D82" s="2" t="s">
        <v>433</v>
      </c>
      <c r="E82" s="2" t="s">
        <v>433</v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 customFormat="false" ht="15" hidden="false" customHeight="false" outlineLevel="0" collapsed="false">
      <c r="A83" s="2" t="n">
        <v>2</v>
      </c>
      <c r="B83" s="2" t="s">
        <v>566</v>
      </c>
      <c r="C83" s="2" t="s">
        <v>567</v>
      </c>
      <c r="D83" s="2" t="s">
        <v>433</v>
      </c>
      <c r="E83" s="2" t="s">
        <v>433</v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 customFormat="false" ht="15" hidden="false" customHeight="false" outlineLevel="0" collapsed="false">
      <c r="A84" s="2" t="n">
        <v>2</v>
      </c>
      <c r="B84" s="2" t="s">
        <v>568</v>
      </c>
      <c r="C84" s="2" t="s">
        <v>569</v>
      </c>
      <c r="D84" s="2" t="s">
        <v>433</v>
      </c>
      <c r="E84" s="2" t="s">
        <v>433</v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 customFormat="false" ht="15" hidden="false" customHeight="false" outlineLevel="0" collapsed="false">
      <c r="A85" s="2" t="n">
        <v>2</v>
      </c>
      <c r="B85" s="2" t="s">
        <v>570</v>
      </c>
      <c r="C85" s="2" t="s">
        <v>571</v>
      </c>
      <c r="D85" s="2" t="s">
        <v>433</v>
      </c>
      <c r="E85" s="2" t="s">
        <v>433</v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 customFormat="false" ht="15" hidden="false" customHeight="false" outlineLevel="0" collapsed="false">
      <c r="A86" s="2" t="n">
        <v>2</v>
      </c>
      <c r="B86" s="2" t="s">
        <v>572</v>
      </c>
      <c r="C86" s="2" t="s">
        <v>573</v>
      </c>
      <c r="D86" s="2" t="s">
        <v>433</v>
      </c>
      <c r="E86" s="2" t="s">
        <v>433</v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 customFormat="false" ht="15" hidden="false" customHeight="false" outlineLevel="0" collapsed="false">
      <c r="A87" s="2" t="n">
        <v>1</v>
      </c>
      <c r="B87" s="2" t="s">
        <v>139</v>
      </c>
      <c r="C87" s="2" t="s">
        <v>83</v>
      </c>
      <c r="D87" s="2" t="s">
        <v>433</v>
      </c>
      <c r="E87" s="2" t="s">
        <v>433</v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 customFormat="false" ht="15" hidden="false" customHeight="false" outlineLevel="0" collapsed="false">
      <c r="A88" s="2" t="n">
        <v>2</v>
      </c>
      <c r="B88" s="2" t="s">
        <v>574</v>
      </c>
      <c r="C88" s="2" t="s">
        <v>575</v>
      </c>
      <c r="D88" s="2" t="s">
        <v>433</v>
      </c>
      <c r="E88" s="2" t="s">
        <v>433</v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 customFormat="false" ht="15" hidden="false" customHeight="false" outlineLevel="0" collapsed="false">
      <c r="A89" s="2" t="n">
        <v>2</v>
      </c>
      <c r="B89" s="2" t="s">
        <v>576</v>
      </c>
      <c r="C89" s="2" t="s">
        <v>577</v>
      </c>
      <c r="D89" s="2" t="s">
        <v>433</v>
      </c>
      <c r="E89" s="2" t="s">
        <v>433</v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 customFormat="false" ht="15" hidden="false" customHeight="false" outlineLevel="0" collapsed="false">
      <c r="A90" s="2" t="n">
        <v>2</v>
      </c>
      <c r="B90" s="2" t="s">
        <v>578</v>
      </c>
      <c r="C90" s="2" t="s">
        <v>579</v>
      </c>
      <c r="D90" s="2" t="s">
        <v>433</v>
      </c>
      <c r="E90" s="2" t="s">
        <v>433</v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 customFormat="false" ht="15" hidden="false" customHeight="false" outlineLevel="0" collapsed="false">
      <c r="A91" s="2" t="n">
        <v>2</v>
      </c>
      <c r="B91" s="2" t="s">
        <v>580</v>
      </c>
      <c r="C91" s="2" t="s">
        <v>581</v>
      </c>
      <c r="D91" s="2" t="s">
        <v>433</v>
      </c>
      <c r="E91" s="2" t="s">
        <v>433</v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 customFormat="false" ht="15" hidden="false" customHeight="false" outlineLevel="0" collapsed="false">
      <c r="A92" s="2" t="n">
        <v>2</v>
      </c>
      <c r="B92" s="2" t="s">
        <v>582</v>
      </c>
      <c r="C92" s="2" t="s">
        <v>583</v>
      </c>
      <c r="D92" s="2" t="s">
        <v>433</v>
      </c>
      <c r="E92" s="2" t="s">
        <v>433</v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 customFormat="false" ht="15" hidden="false" customHeight="false" outlineLevel="0" collapsed="false">
      <c r="A93" s="2" t="n">
        <v>1</v>
      </c>
      <c r="B93" s="2" t="s">
        <v>141</v>
      </c>
      <c r="C93" s="2" t="s">
        <v>79</v>
      </c>
      <c r="D93" s="2" t="s">
        <v>433</v>
      </c>
      <c r="E93" s="2" t="s">
        <v>433</v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 customFormat="false" ht="15" hidden="false" customHeight="false" outlineLevel="0" collapsed="false">
      <c r="A94" s="2" t="n">
        <v>2</v>
      </c>
      <c r="B94" s="2" t="s">
        <v>584</v>
      </c>
      <c r="C94" s="2" t="s">
        <v>585</v>
      </c>
      <c r="D94" s="2" t="s">
        <v>433</v>
      </c>
      <c r="E94" s="2" t="s">
        <v>433</v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 customFormat="false" ht="15" hidden="false" customHeight="false" outlineLevel="0" collapsed="false">
      <c r="A95" s="2" t="n">
        <v>2</v>
      </c>
      <c r="B95" s="2" t="s">
        <v>586</v>
      </c>
      <c r="C95" s="2" t="s">
        <v>587</v>
      </c>
      <c r="D95" s="2" t="s">
        <v>433</v>
      </c>
      <c r="E95" s="2" t="s">
        <v>433</v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 customFormat="false" ht="15" hidden="false" customHeight="false" outlineLevel="0" collapsed="false">
      <c r="A96" s="2" t="n">
        <v>2</v>
      </c>
      <c r="B96" s="2" t="s">
        <v>588</v>
      </c>
      <c r="C96" s="2" t="s">
        <v>589</v>
      </c>
      <c r="D96" s="2" t="s">
        <v>433</v>
      </c>
      <c r="E96" s="2" t="s">
        <v>433</v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 customFormat="false" ht="15" hidden="false" customHeight="false" outlineLevel="0" collapsed="false">
      <c r="A97" s="2" t="n">
        <v>2</v>
      </c>
      <c r="B97" s="2" t="s">
        <v>590</v>
      </c>
      <c r="C97" s="2" t="s">
        <v>591</v>
      </c>
      <c r="D97" s="2" t="s">
        <v>433</v>
      </c>
      <c r="E97" s="2" t="s">
        <v>433</v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 customFormat="false" ht="15" hidden="false" customHeight="false" outlineLevel="0" collapsed="false">
      <c r="A98" s="2" t="n">
        <v>1</v>
      </c>
      <c r="B98" s="2" t="s">
        <v>143</v>
      </c>
      <c r="C98" s="2" t="s">
        <v>69</v>
      </c>
      <c r="D98" s="2" t="s">
        <v>433</v>
      </c>
      <c r="E98" s="2" t="s">
        <v>433</v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 customFormat="false" ht="15" hidden="false" customHeight="false" outlineLevel="0" collapsed="false">
      <c r="A99" s="2" t="n">
        <v>2</v>
      </c>
      <c r="B99" s="2" t="s">
        <v>592</v>
      </c>
      <c r="C99" s="2" t="s">
        <v>593</v>
      </c>
      <c r="D99" s="2" t="s">
        <v>433</v>
      </c>
      <c r="E99" s="2" t="s">
        <v>433</v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 customFormat="false" ht="15" hidden="false" customHeight="false" outlineLevel="0" collapsed="false">
      <c r="A100" s="2" t="n">
        <v>3</v>
      </c>
      <c r="B100" s="2" t="s">
        <v>594</v>
      </c>
      <c r="C100" s="2" t="s">
        <v>595</v>
      </c>
      <c r="D100" s="2" t="s">
        <v>433</v>
      </c>
      <c r="E100" s="2" t="s">
        <v>433</v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 customFormat="false" ht="15" hidden="false" customHeight="false" outlineLevel="0" collapsed="false">
      <c r="A101" s="2" t="n">
        <v>3</v>
      </c>
      <c r="B101" s="2" t="s">
        <v>596</v>
      </c>
      <c r="C101" s="2" t="s">
        <v>597</v>
      </c>
      <c r="D101" s="2" t="s">
        <v>433</v>
      </c>
      <c r="E101" s="2" t="s">
        <v>433</v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 customFormat="false" ht="15" hidden="false" customHeight="false" outlineLevel="0" collapsed="false">
      <c r="A102" s="2" t="n">
        <v>2</v>
      </c>
      <c r="B102" s="2" t="s">
        <v>598</v>
      </c>
      <c r="C102" s="2" t="s">
        <v>599</v>
      </c>
      <c r="D102" s="2" t="s">
        <v>433</v>
      </c>
      <c r="E102" s="2" t="s">
        <v>433</v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 customFormat="false" ht="15" hidden="false" customHeight="false" outlineLevel="0" collapsed="false">
      <c r="A103" s="2" t="n">
        <v>3</v>
      </c>
      <c r="B103" s="2" t="s">
        <v>600</v>
      </c>
      <c r="C103" s="2" t="s">
        <v>601</v>
      </c>
      <c r="D103" s="2" t="s">
        <v>433</v>
      </c>
      <c r="E103" s="2" t="s">
        <v>433</v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 customFormat="false" ht="15" hidden="false" customHeight="false" outlineLevel="0" collapsed="false">
      <c r="A104" s="2" t="n">
        <v>2</v>
      </c>
      <c r="B104" s="2" t="s">
        <v>602</v>
      </c>
      <c r="C104" s="2" t="s">
        <v>603</v>
      </c>
      <c r="D104" s="2" t="s">
        <v>433</v>
      </c>
      <c r="E104" s="2" t="s">
        <v>433</v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 customFormat="false" ht="15" hidden="false" customHeight="false" outlineLevel="0" collapsed="false">
      <c r="A105" s="2" t="n">
        <v>3</v>
      </c>
      <c r="B105" s="2" t="s">
        <v>604</v>
      </c>
      <c r="C105" s="2" t="s">
        <v>605</v>
      </c>
      <c r="D105" s="2" t="s">
        <v>433</v>
      </c>
      <c r="E105" s="2" t="s">
        <v>433</v>
      </c>
      <c r="F105" s="2" t="n">
        <v>76500</v>
      </c>
      <c r="G105" s="2" t="n">
        <v>0</v>
      </c>
      <c r="H105" s="2" t="n">
        <v>76500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 customFormat="false" ht="15" hidden="false" customHeight="false" outlineLevel="0" collapsed="false">
      <c r="A106" s="2" t="n">
        <v>3</v>
      </c>
      <c r="B106" s="2" t="s">
        <v>606</v>
      </c>
      <c r="C106" s="2" t="s">
        <v>607</v>
      </c>
      <c r="D106" s="2" t="s">
        <v>433</v>
      </c>
      <c r="E106" s="2" t="s">
        <v>433</v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 customFormat="false" ht="15" hidden="false" customHeight="false" outlineLevel="0" collapsed="false">
      <c r="A107" s="2" t="n">
        <v>3</v>
      </c>
      <c r="B107" s="2" t="s">
        <v>608</v>
      </c>
      <c r="C107" s="2" t="s">
        <v>609</v>
      </c>
      <c r="D107" s="2" t="s">
        <v>433</v>
      </c>
      <c r="E107" s="2" t="s">
        <v>433</v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 customFormat="false" ht="15" hidden="false" customHeight="false" outlineLevel="0" collapsed="false">
      <c r="A108" s="2" t="n">
        <v>3</v>
      </c>
      <c r="B108" s="2" t="s">
        <v>610</v>
      </c>
      <c r="C108" s="2" t="s">
        <v>611</v>
      </c>
      <c r="D108" s="2" t="s">
        <v>433</v>
      </c>
      <c r="E108" s="2" t="s">
        <v>433</v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 customFormat="false" ht="15" hidden="false" customHeight="false" outlineLevel="0" collapsed="false">
      <c r="A109" s="2" t="n">
        <v>3</v>
      </c>
      <c r="B109" s="2" t="s">
        <v>612</v>
      </c>
      <c r="C109" s="2" t="s">
        <v>613</v>
      </c>
      <c r="D109" s="2" t="s">
        <v>433</v>
      </c>
      <c r="E109" s="2" t="s">
        <v>433</v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 customFormat="false" ht="15" hidden="false" customHeight="false" outlineLevel="0" collapsed="false">
      <c r="A110" s="2" t="n">
        <v>3</v>
      </c>
      <c r="B110" s="2" t="s">
        <v>614</v>
      </c>
      <c r="C110" s="2" t="s">
        <v>615</v>
      </c>
      <c r="D110" s="2" t="s">
        <v>433</v>
      </c>
      <c r="E110" s="2" t="s">
        <v>433</v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 customFormat="false" ht="15" hidden="false" customHeight="false" outlineLevel="0" collapsed="false">
      <c r="A111" s="2" t="n">
        <v>3</v>
      </c>
      <c r="B111" s="2" t="s">
        <v>616</v>
      </c>
      <c r="C111" s="2" t="s">
        <v>617</v>
      </c>
      <c r="D111" s="2" t="s">
        <v>433</v>
      </c>
      <c r="E111" s="2" t="s">
        <v>433</v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 customFormat="false" ht="15" hidden="false" customHeight="false" outlineLevel="0" collapsed="false">
      <c r="A112" s="2" t="n">
        <v>3</v>
      </c>
      <c r="B112" s="2" t="s">
        <v>618</v>
      </c>
      <c r="C112" s="2" t="s">
        <v>619</v>
      </c>
      <c r="D112" s="2" t="s">
        <v>433</v>
      </c>
      <c r="E112" s="2" t="s">
        <v>433</v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 customFormat="false" ht="15" hidden="false" customHeight="false" outlineLevel="0" collapsed="false">
      <c r="A113" s="2" t="n">
        <v>3</v>
      </c>
      <c r="B113" s="2" t="s">
        <v>620</v>
      </c>
      <c r="C113" s="2" t="s">
        <v>621</v>
      </c>
      <c r="D113" s="2" t="s">
        <v>433</v>
      </c>
      <c r="E113" s="2" t="s">
        <v>433</v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 customFormat="false" ht="15" hidden="false" customHeight="false" outlineLevel="0" collapsed="false">
      <c r="A114" s="2" t="n">
        <v>3</v>
      </c>
      <c r="B114" s="2" t="s">
        <v>622</v>
      </c>
      <c r="C114" s="2" t="s">
        <v>623</v>
      </c>
      <c r="D114" s="2" t="s">
        <v>433</v>
      </c>
      <c r="E114" s="2" t="s">
        <v>433</v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 customFormat="false" ht="15" hidden="false" customHeight="false" outlineLevel="0" collapsed="false">
      <c r="A115" s="2" t="n">
        <v>3</v>
      </c>
      <c r="B115" s="2" t="s">
        <v>624</v>
      </c>
      <c r="C115" s="2" t="s">
        <v>625</v>
      </c>
      <c r="D115" s="2" t="s">
        <v>433</v>
      </c>
      <c r="E115" s="2" t="s">
        <v>433</v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 customFormat="false" ht="15" hidden="false" customHeight="false" outlineLevel="0" collapsed="false">
      <c r="A116" s="2" t="n">
        <v>1</v>
      </c>
      <c r="B116" s="2" t="s">
        <v>145</v>
      </c>
      <c r="C116" s="2" t="s">
        <v>82</v>
      </c>
      <c r="D116" s="2" t="s">
        <v>433</v>
      </c>
      <c r="E116" s="2" t="s">
        <v>433</v>
      </c>
      <c r="F116" s="2" t="n">
        <v>18808583.522784</v>
      </c>
      <c r="G116" s="2" t="n">
        <v>0</v>
      </c>
      <c r="H116" s="2" t="n">
        <v>18808583.522784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 customFormat="false" ht="15" hidden="false" customHeight="false" outlineLevel="0" collapsed="false">
      <c r="A117" s="2" t="n">
        <v>2</v>
      </c>
      <c r="B117" s="2" t="s">
        <v>626</v>
      </c>
      <c r="C117" s="2" t="s">
        <v>627</v>
      </c>
      <c r="D117" s="2" t="s">
        <v>433</v>
      </c>
      <c r="E117" s="2" t="s">
        <v>433</v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 customFormat="false" ht="15" hidden="false" customHeight="false" outlineLevel="0" collapsed="false">
      <c r="A118" s="2" t="n">
        <v>3</v>
      </c>
      <c r="B118" s="2" t="s">
        <v>628</v>
      </c>
      <c r="C118" s="2" t="s">
        <v>629</v>
      </c>
      <c r="D118" s="2" t="s">
        <v>433</v>
      </c>
      <c r="E118" s="2" t="s">
        <v>433</v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 customFormat="false" ht="15" hidden="false" customHeight="false" outlineLevel="0" collapsed="false">
      <c r="A119" s="2" t="n">
        <v>3</v>
      </c>
      <c r="B119" s="2" t="s">
        <v>630</v>
      </c>
      <c r="C119" s="2" t="s">
        <v>631</v>
      </c>
      <c r="D119" s="2" t="s">
        <v>433</v>
      </c>
      <c r="E119" s="2" t="s">
        <v>433</v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 customFormat="false" ht="15" hidden="false" customHeight="false" outlineLevel="0" collapsed="false">
      <c r="A120" s="2" t="n">
        <v>3</v>
      </c>
      <c r="B120" s="2" t="s">
        <v>632</v>
      </c>
      <c r="C120" s="2" t="s">
        <v>633</v>
      </c>
      <c r="D120" s="2" t="s">
        <v>433</v>
      </c>
      <c r="E120" s="2" t="s">
        <v>433</v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 customFormat="false" ht="15" hidden="false" customHeight="false" outlineLevel="0" collapsed="false">
      <c r="A121" s="2" t="n">
        <v>2</v>
      </c>
      <c r="B121" s="2" t="s">
        <v>634</v>
      </c>
      <c r="C121" s="2" t="s">
        <v>635</v>
      </c>
      <c r="D121" s="2" t="s">
        <v>433</v>
      </c>
      <c r="E121" s="2" t="s">
        <v>433</v>
      </c>
      <c r="F121" s="2" t="n">
        <v>7498231.4418512</v>
      </c>
      <c r="G121" s="2" t="n">
        <v>0</v>
      </c>
      <c r="H121" s="2" t="n">
        <v>7498231.4418512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 customFormat="false" ht="15" hidden="false" customHeight="false" outlineLevel="0" collapsed="false">
      <c r="A122" s="2" t="n">
        <v>3</v>
      </c>
      <c r="B122" s="2" t="s">
        <v>636</v>
      </c>
      <c r="C122" s="2" t="s">
        <v>637</v>
      </c>
      <c r="D122" s="2" t="s">
        <v>433</v>
      </c>
      <c r="E122" s="2" t="s">
        <v>433</v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 customFormat="false" ht="15" hidden="false" customHeight="false" outlineLevel="0" collapsed="false">
      <c r="A123" s="2" t="n">
        <v>3</v>
      </c>
      <c r="B123" s="2" t="s">
        <v>638</v>
      </c>
      <c r="C123" s="2" t="s">
        <v>639</v>
      </c>
      <c r="D123" s="2" t="s">
        <v>433</v>
      </c>
      <c r="E123" s="2" t="s">
        <v>433</v>
      </c>
      <c r="F123" s="2" t="n">
        <v>1267109.2479722</v>
      </c>
      <c r="G123" s="2" t="n">
        <v>0</v>
      </c>
      <c r="H123" s="2" t="n">
        <v>1267109.2479722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 customFormat="false" ht="15" hidden="false" customHeight="false" outlineLevel="0" collapsed="false">
      <c r="A124" s="2" t="n">
        <v>3</v>
      </c>
      <c r="B124" s="2" t="s">
        <v>640</v>
      </c>
      <c r="C124" s="2" t="s">
        <v>641</v>
      </c>
      <c r="D124" s="2" t="s">
        <v>433</v>
      </c>
      <c r="E124" s="2" t="s">
        <v>433</v>
      </c>
      <c r="F124" s="2" t="n">
        <v>1132878.1461843</v>
      </c>
      <c r="G124" s="2" t="n">
        <v>0</v>
      </c>
      <c r="H124" s="2" t="n">
        <v>1132878.1461843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 customFormat="false" ht="15" hidden="false" customHeight="false" outlineLevel="0" collapsed="false">
      <c r="A125" s="2" t="n">
        <v>3</v>
      </c>
      <c r="B125" s="2" t="s">
        <v>642</v>
      </c>
      <c r="C125" s="2" t="s">
        <v>643</v>
      </c>
      <c r="D125" s="2" t="s">
        <v>433</v>
      </c>
      <c r="E125" s="2" t="s">
        <v>433</v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 customFormat="false" ht="15" hidden="false" customHeight="false" outlineLevel="0" collapsed="false">
      <c r="A126" s="2" t="n">
        <v>3</v>
      </c>
      <c r="B126" s="2" t="s">
        <v>644</v>
      </c>
      <c r="C126" s="2" t="s">
        <v>645</v>
      </c>
      <c r="D126" s="2" t="s">
        <v>433</v>
      </c>
      <c r="E126" s="2" t="s">
        <v>433</v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 customFormat="false" ht="15" hidden="false" customHeight="false" outlineLevel="0" collapsed="false">
      <c r="A127" s="2" t="n">
        <v>3</v>
      </c>
      <c r="B127" s="2" t="s">
        <v>646</v>
      </c>
      <c r="C127" s="2" t="s">
        <v>647</v>
      </c>
      <c r="D127" s="2" t="s">
        <v>433</v>
      </c>
      <c r="E127" s="2" t="s">
        <v>433</v>
      </c>
      <c r="F127" s="2" t="n">
        <v>315267.158770112</v>
      </c>
      <c r="G127" s="2" t="n">
        <v>0</v>
      </c>
      <c r="H127" s="2" t="n">
        <v>315267.158770112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 customFormat="false" ht="15" hidden="false" customHeight="false" outlineLevel="0" collapsed="false">
      <c r="A128" s="2" t="n">
        <v>3</v>
      </c>
      <c r="B128" s="2" t="s">
        <v>648</v>
      </c>
      <c r="C128" s="2" t="s">
        <v>649</v>
      </c>
      <c r="D128" s="2" t="s">
        <v>433</v>
      </c>
      <c r="E128" s="2" t="s">
        <v>433</v>
      </c>
      <c r="F128" s="2" t="n">
        <v>919627.459429593</v>
      </c>
      <c r="G128" s="2" t="n">
        <v>0</v>
      </c>
      <c r="H128" s="2" t="n">
        <v>919627.459429593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 customFormat="false" ht="15" hidden="false" customHeight="false" outlineLevel="0" collapsed="false">
      <c r="A129" s="2" t="n">
        <v>3</v>
      </c>
      <c r="B129" s="2" t="s">
        <v>650</v>
      </c>
      <c r="C129" s="2" t="s">
        <v>651</v>
      </c>
      <c r="D129" s="2" t="s">
        <v>433</v>
      </c>
      <c r="E129" s="2" t="s">
        <v>433</v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 customFormat="false" ht="15" hidden="false" customHeight="false" outlineLevel="0" collapsed="false">
      <c r="A130" s="2" t="n">
        <v>3</v>
      </c>
      <c r="B130" s="2" t="s">
        <v>652</v>
      </c>
      <c r="C130" s="2" t="s">
        <v>653</v>
      </c>
      <c r="D130" s="2" t="s">
        <v>433</v>
      </c>
      <c r="E130" s="2" t="s">
        <v>433</v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 customFormat="false" ht="15" hidden="false" customHeight="false" outlineLevel="0" collapsed="false">
      <c r="A131" s="2" t="n">
        <v>2</v>
      </c>
      <c r="B131" s="2" t="s">
        <v>654</v>
      </c>
      <c r="C131" s="2" t="s">
        <v>655</v>
      </c>
      <c r="D131" s="2" t="s">
        <v>433</v>
      </c>
      <c r="E131" s="2" t="s">
        <v>433</v>
      </c>
      <c r="F131" s="2" t="n">
        <v>1187969.07372045</v>
      </c>
      <c r="G131" s="2" t="n">
        <v>0</v>
      </c>
      <c r="H131" s="2" t="n">
        <v>1187969.07372045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 customFormat="false" ht="15" hidden="false" customHeight="false" outlineLevel="0" collapsed="false">
      <c r="A132" s="2" t="n">
        <v>3</v>
      </c>
      <c r="B132" s="2" t="s">
        <v>656</v>
      </c>
      <c r="C132" s="2" t="s">
        <v>657</v>
      </c>
      <c r="D132" s="2" t="s">
        <v>433</v>
      </c>
      <c r="E132" s="2" t="s">
        <v>433</v>
      </c>
      <c r="F132" s="2" t="n">
        <v>449231.225467864</v>
      </c>
      <c r="G132" s="2" t="n">
        <v>0</v>
      </c>
      <c r="H132" s="2" t="n">
        <v>449231.225467864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 customFormat="false" ht="15" hidden="false" customHeight="false" outlineLevel="0" collapsed="false">
      <c r="A133" s="2" t="n">
        <v>3</v>
      </c>
      <c r="B133" s="2" t="s">
        <v>658</v>
      </c>
      <c r="C133" s="2" t="s">
        <v>659</v>
      </c>
      <c r="D133" s="2" t="s">
        <v>433</v>
      </c>
      <c r="E133" s="2" t="s">
        <v>433</v>
      </c>
      <c r="F133" s="2" t="n">
        <v>115224.794895833</v>
      </c>
      <c r="G133" s="2" t="n">
        <v>0</v>
      </c>
      <c r="H133" s="2" t="n">
        <v>115224.794895833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 customFormat="false" ht="15" hidden="false" customHeight="false" outlineLevel="0" collapsed="false">
      <c r="A134" s="2" t="n">
        <v>3</v>
      </c>
      <c r="B134" s="2" t="s">
        <v>660</v>
      </c>
      <c r="C134" s="2" t="s">
        <v>661</v>
      </c>
      <c r="D134" s="2" t="s">
        <v>433</v>
      </c>
      <c r="E134" s="2" t="s">
        <v>433</v>
      </c>
      <c r="F134" s="2" t="n">
        <v>623513.053356757</v>
      </c>
      <c r="G134" s="2" t="n">
        <v>0</v>
      </c>
      <c r="H134" s="2" t="n">
        <v>623513.053356757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 customFormat="false" ht="15" hidden="false" customHeight="false" outlineLevel="0" collapsed="false">
      <c r="A135" s="2" t="n">
        <v>2</v>
      </c>
      <c r="B135" s="2" t="s">
        <v>662</v>
      </c>
      <c r="C135" s="2" t="s">
        <v>663</v>
      </c>
      <c r="D135" s="2" t="s">
        <v>433</v>
      </c>
      <c r="E135" s="2" t="s">
        <v>433</v>
      </c>
      <c r="F135" s="2" t="n">
        <v>2084054.50433346</v>
      </c>
      <c r="G135" s="2" t="n">
        <v>0</v>
      </c>
      <c r="H135" s="2" t="n">
        <v>2084054.50433346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 customFormat="false" ht="15" hidden="false" customHeight="false" outlineLevel="0" collapsed="false">
      <c r="A136" s="2" t="n">
        <v>3</v>
      </c>
      <c r="B136" s="2" t="s">
        <v>664</v>
      </c>
      <c r="C136" s="2" t="s">
        <v>665</v>
      </c>
      <c r="D136" s="2" t="s">
        <v>433</v>
      </c>
      <c r="E136" s="2" t="s">
        <v>433</v>
      </c>
      <c r="F136" s="2" t="n">
        <v>495618.444689254</v>
      </c>
      <c r="G136" s="2" t="n">
        <v>0</v>
      </c>
      <c r="H136" s="2" t="n">
        <v>495618.444689254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 customFormat="false" ht="15" hidden="false" customHeight="false" outlineLevel="0" collapsed="false">
      <c r="A137" s="2" t="n">
        <v>3</v>
      </c>
      <c r="B137" s="2" t="s">
        <v>666</v>
      </c>
      <c r="C137" s="2" t="s">
        <v>667</v>
      </c>
      <c r="D137" s="2" t="s">
        <v>433</v>
      </c>
      <c r="E137" s="2" t="s">
        <v>433</v>
      </c>
      <c r="F137" s="2" t="n">
        <v>285987.867975983</v>
      </c>
      <c r="G137" s="2" t="n">
        <v>0</v>
      </c>
      <c r="H137" s="2" t="n">
        <v>285987.867975983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 customFormat="false" ht="15" hidden="false" customHeight="false" outlineLevel="0" collapsed="false">
      <c r="A138" s="2" t="n">
        <v>3</v>
      </c>
      <c r="B138" s="2" t="s">
        <v>668</v>
      </c>
      <c r="C138" s="2" t="s">
        <v>669</v>
      </c>
      <c r="D138" s="2" t="s">
        <v>433</v>
      </c>
      <c r="E138" s="2" t="s">
        <v>433</v>
      </c>
      <c r="F138" s="2" t="n">
        <v>292926.912790412</v>
      </c>
      <c r="G138" s="2" t="n">
        <v>0</v>
      </c>
      <c r="H138" s="2" t="n">
        <v>292926.912790412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 customFormat="false" ht="15" hidden="false" customHeight="false" outlineLevel="0" collapsed="false">
      <c r="A139" s="2" t="n">
        <v>3</v>
      </c>
      <c r="B139" s="2" t="s">
        <v>670</v>
      </c>
      <c r="C139" s="2" t="s">
        <v>671</v>
      </c>
      <c r="D139" s="2" t="s">
        <v>433</v>
      </c>
      <c r="E139" s="2" t="s">
        <v>433</v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 customFormat="false" ht="15" hidden="false" customHeight="false" outlineLevel="0" collapsed="false">
      <c r="A140" s="2" t="n">
        <v>3</v>
      </c>
      <c r="B140" s="2" t="s">
        <v>672</v>
      </c>
      <c r="C140" s="2" t="s">
        <v>673</v>
      </c>
      <c r="D140" s="2" t="s">
        <v>433</v>
      </c>
      <c r="E140" s="2" t="s">
        <v>433</v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 customFormat="false" ht="15" hidden="false" customHeight="false" outlineLevel="0" collapsed="false">
      <c r="A141" s="2" t="n">
        <v>3</v>
      </c>
      <c r="B141" s="2" t="s">
        <v>674</v>
      </c>
      <c r="C141" s="2" t="s">
        <v>675</v>
      </c>
      <c r="D141" s="2" t="s">
        <v>433</v>
      </c>
      <c r="E141" s="2" t="s">
        <v>433</v>
      </c>
      <c r="F141" s="2" t="n">
        <v>484908.732976189</v>
      </c>
      <c r="G141" s="2" t="n">
        <v>0</v>
      </c>
      <c r="H141" s="2" t="n">
        <v>484908.732976189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 customFormat="false" ht="15" hidden="false" customHeight="false" outlineLevel="0" collapsed="false">
      <c r="A142" s="2" t="n">
        <v>2</v>
      </c>
      <c r="B142" s="2" t="s">
        <v>676</v>
      </c>
      <c r="C142" s="2" t="s">
        <v>677</v>
      </c>
      <c r="D142" s="2" t="s">
        <v>433</v>
      </c>
      <c r="E142" s="2" t="s">
        <v>433</v>
      </c>
      <c r="F142" s="2" t="n">
        <v>7055199.60434541</v>
      </c>
      <c r="G142" s="2" t="n">
        <v>0</v>
      </c>
      <c r="H142" s="2" t="n">
        <v>7055199.60434541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 customFormat="false" ht="15" hidden="false" customHeight="false" outlineLevel="0" collapsed="false">
      <c r="A143" s="2" t="n">
        <v>3</v>
      </c>
      <c r="B143" s="2" t="s">
        <v>678</v>
      </c>
      <c r="C143" s="2" t="s">
        <v>679</v>
      </c>
      <c r="D143" s="2" t="s">
        <v>433</v>
      </c>
      <c r="E143" s="2" t="s">
        <v>433</v>
      </c>
      <c r="F143" s="2" t="n">
        <v>826210.422599949</v>
      </c>
      <c r="G143" s="2" t="n">
        <v>0</v>
      </c>
      <c r="H143" s="2" t="n">
        <v>826210.422599949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 customFormat="false" ht="15" hidden="false" customHeight="false" outlineLevel="0" collapsed="false">
      <c r="A144" s="2" t="n">
        <v>3</v>
      </c>
      <c r="B144" s="2" t="s">
        <v>680</v>
      </c>
      <c r="C144" s="2" t="s">
        <v>681</v>
      </c>
      <c r="D144" s="2" t="s">
        <v>433</v>
      </c>
      <c r="E144" s="2" t="s">
        <v>433</v>
      </c>
      <c r="F144" s="2" t="n">
        <v>469900.593396761</v>
      </c>
      <c r="G144" s="2" t="n">
        <v>0</v>
      </c>
      <c r="H144" s="2" t="n">
        <v>469900.593396761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 customFormat="false" ht="15" hidden="false" customHeight="false" outlineLevel="0" collapsed="false">
      <c r="A145" s="2" t="n">
        <v>3</v>
      </c>
      <c r="B145" s="2" t="s">
        <v>682</v>
      </c>
      <c r="C145" s="2" t="s">
        <v>683</v>
      </c>
      <c r="D145" s="2" t="s">
        <v>433</v>
      </c>
      <c r="E145" s="2" t="s">
        <v>433</v>
      </c>
      <c r="F145" s="2" t="n">
        <v>219953.469249548</v>
      </c>
      <c r="G145" s="2" t="n">
        <v>0</v>
      </c>
      <c r="H145" s="2" t="n">
        <v>219953.469249548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 customFormat="false" ht="15" hidden="false" customHeight="false" outlineLevel="0" collapsed="false">
      <c r="A146" s="2" t="n">
        <v>3</v>
      </c>
      <c r="B146" s="2" t="s">
        <v>684</v>
      </c>
      <c r="C146" s="2" t="s">
        <v>685</v>
      </c>
      <c r="D146" s="2" t="s">
        <v>433</v>
      </c>
      <c r="E146" s="2" t="s">
        <v>433</v>
      </c>
      <c r="F146" s="2" t="n">
        <v>779835.027339306</v>
      </c>
      <c r="G146" s="2" t="n">
        <v>0</v>
      </c>
      <c r="H146" s="2" t="n">
        <v>779835.027339306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 customFormat="false" ht="15" hidden="false" customHeight="false" outlineLevel="0" collapsed="false">
      <c r="A147" s="2" t="n">
        <v>3</v>
      </c>
      <c r="B147" s="2" t="s">
        <v>686</v>
      </c>
      <c r="C147" s="2" t="s">
        <v>687</v>
      </c>
      <c r="D147" s="2" t="s">
        <v>433</v>
      </c>
      <c r="E147" s="2" t="s">
        <v>433</v>
      </c>
      <c r="F147" s="2" t="n">
        <v>169964.044420105</v>
      </c>
      <c r="G147" s="2" t="n">
        <v>0</v>
      </c>
      <c r="H147" s="2" t="n">
        <v>169964.044420105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 customFormat="false" ht="15" hidden="false" customHeight="false" outlineLevel="0" collapsed="false">
      <c r="A148" s="2" t="n">
        <v>3</v>
      </c>
      <c r="B148" s="2" t="s">
        <v>688</v>
      </c>
      <c r="C148" s="2" t="s">
        <v>689</v>
      </c>
      <c r="D148" s="2" t="s">
        <v>433</v>
      </c>
      <c r="E148" s="2" t="s">
        <v>433</v>
      </c>
      <c r="F148" s="2" t="n">
        <v>359923.858771987</v>
      </c>
      <c r="G148" s="2" t="n">
        <v>0</v>
      </c>
      <c r="H148" s="2" t="n">
        <v>359923.858771987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 customFormat="false" ht="15" hidden="false" customHeight="false" outlineLevel="0" collapsed="false">
      <c r="A149" s="2" t="n">
        <v>3</v>
      </c>
      <c r="B149" s="2" t="s">
        <v>690</v>
      </c>
      <c r="C149" s="2" t="s">
        <v>691</v>
      </c>
      <c r="D149" s="2" t="s">
        <v>433</v>
      </c>
      <c r="E149" s="2" t="s">
        <v>433</v>
      </c>
      <c r="F149" s="2" t="n">
        <v>360394.703452648</v>
      </c>
      <c r="G149" s="2" t="n">
        <v>0</v>
      </c>
      <c r="H149" s="2" t="n">
        <v>360394.703452648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 customFormat="false" ht="15" hidden="false" customHeight="false" outlineLevel="0" collapsed="false">
      <c r="A150" s="2" t="n">
        <v>3</v>
      </c>
      <c r="B150" s="2" t="s">
        <v>692</v>
      </c>
      <c r="C150" s="2" t="s">
        <v>693</v>
      </c>
      <c r="D150" s="2" t="s">
        <v>433</v>
      </c>
      <c r="E150" s="2" t="s">
        <v>433</v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 customFormat="false" ht="15" hidden="false" customHeight="false" outlineLevel="0" collapsed="false">
      <c r="A151" s="2" t="n">
        <v>3</v>
      </c>
      <c r="B151" s="2" t="s">
        <v>694</v>
      </c>
      <c r="C151" s="2" t="s">
        <v>695</v>
      </c>
      <c r="D151" s="2" t="s">
        <v>433</v>
      </c>
      <c r="E151" s="2" t="s">
        <v>433</v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 customFormat="false" ht="15" hidden="false" customHeight="false" outlineLevel="0" collapsed="false">
      <c r="A152" s="2" t="n">
        <v>3</v>
      </c>
      <c r="B152" s="2" t="s">
        <v>696</v>
      </c>
      <c r="C152" s="2" t="s">
        <v>697</v>
      </c>
      <c r="D152" s="2" t="s">
        <v>433</v>
      </c>
      <c r="E152" s="2" t="s">
        <v>433</v>
      </c>
      <c r="F152" s="2" t="n">
        <v>533126.98127855</v>
      </c>
      <c r="G152" s="2" t="n">
        <v>0</v>
      </c>
      <c r="H152" s="2" t="n">
        <v>533126.98127855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 customFormat="false" ht="15" hidden="false" customHeight="false" outlineLevel="0" collapsed="false">
      <c r="A153" s="2" t="n">
        <v>3</v>
      </c>
      <c r="B153" s="2" t="s">
        <v>698</v>
      </c>
      <c r="C153" s="2" t="s">
        <v>699</v>
      </c>
      <c r="D153" s="2" t="s">
        <v>433</v>
      </c>
      <c r="E153" s="2" t="s">
        <v>433</v>
      </c>
      <c r="F153" s="2" t="n">
        <v>699636.001282909</v>
      </c>
      <c r="G153" s="2" t="n">
        <v>0</v>
      </c>
      <c r="H153" s="2" t="n">
        <v>699636.001282909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 customFormat="false" ht="15" hidden="false" customHeight="false" outlineLevel="0" collapsed="false">
      <c r="A154" s="2" t="n">
        <v>3</v>
      </c>
      <c r="B154" s="2" t="s">
        <v>700</v>
      </c>
      <c r="C154" s="2" t="s">
        <v>701</v>
      </c>
      <c r="D154" s="2" t="s">
        <v>433</v>
      </c>
      <c r="E154" s="2" t="s">
        <v>433</v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 customFormat="false" ht="15" hidden="false" customHeight="false" outlineLevel="0" collapsed="false">
      <c r="A155" s="2" t="n">
        <v>3</v>
      </c>
      <c r="B155" s="2" t="s">
        <v>702</v>
      </c>
      <c r="C155" s="2" t="s">
        <v>703</v>
      </c>
      <c r="D155" s="2" t="s">
        <v>433</v>
      </c>
      <c r="E155" s="2" t="s">
        <v>433</v>
      </c>
      <c r="F155" s="2" t="n">
        <v>1022952.63823941</v>
      </c>
      <c r="G155" s="2" t="n">
        <v>0</v>
      </c>
      <c r="H155" s="2" t="n">
        <v>1022952.63823941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 customFormat="false" ht="15" hidden="false" customHeight="false" outlineLevel="0" collapsed="false">
      <c r="A156" s="2" t="n">
        <v>2</v>
      </c>
      <c r="B156" s="2" t="s">
        <v>704</v>
      </c>
      <c r="C156" s="2" t="s">
        <v>705</v>
      </c>
      <c r="D156" s="2" t="s">
        <v>433</v>
      </c>
      <c r="E156" s="2" t="s">
        <v>433</v>
      </c>
      <c r="F156" s="2" t="n">
        <v>906248.898533453</v>
      </c>
      <c r="G156" s="2" t="n">
        <v>0</v>
      </c>
      <c r="H156" s="2" t="n">
        <v>906248.898533453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 customFormat="false" ht="15" hidden="false" customHeight="false" outlineLevel="0" collapsed="false">
      <c r="A157" s="2" t="n">
        <v>3</v>
      </c>
      <c r="B157" s="2" t="s">
        <v>706</v>
      </c>
      <c r="C157" s="2" t="s">
        <v>707</v>
      </c>
      <c r="D157" s="2" t="s">
        <v>433</v>
      </c>
      <c r="E157" s="2" t="s">
        <v>433</v>
      </c>
      <c r="F157" s="2" t="n">
        <v>242069.773656153</v>
      </c>
      <c r="G157" s="2" t="n">
        <v>0</v>
      </c>
      <c r="H157" s="2" t="n">
        <v>242069.773656153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 customFormat="false" ht="15" hidden="false" customHeight="false" outlineLevel="0" collapsed="false">
      <c r="A158" s="2" t="n">
        <v>3</v>
      </c>
      <c r="B158" s="2" t="s">
        <v>708</v>
      </c>
      <c r="C158" s="2" t="s">
        <v>709</v>
      </c>
      <c r="D158" s="2" t="s">
        <v>433</v>
      </c>
      <c r="E158" s="2" t="s">
        <v>433</v>
      </c>
      <c r="F158" s="2" t="n">
        <v>418120.518133355</v>
      </c>
      <c r="G158" s="2" t="n">
        <v>0</v>
      </c>
      <c r="H158" s="2" t="n">
        <v>418120.518133355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 customFormat="false" ht="15" hidden="false" customHeight="false" outlineLevel="0" collapsed="false">
      <c r="A159" s="2" t="n">
        <v>3</v>
      </c>
      <c r="B159" s="2" t="s">
        <v>710</v>
      </c>
      <c r="C159" s="2" t="s">
        <v>711</v>
      </c>
      <c r="D159" s="2" t="s">
        <v>433</v>
      </c>
      <c r="E159" s="2" t="s">
        <v>433</v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 customFormat="false" ht="15" hidden="false" customHeight="false" outlineLevel="0" collapsed="false">
      <c r="A160" s="2" t="n">
        <v>3</v>
      </c>
      <c r="B160" s="2" t="s">
        <v>712</v>
      </c>
      <c r="C160" s="2" t="s">
        <v>713</v>
      </c>
      <c r="D160" s="2" t="s">
        <v>433</v>
      </c>
      <c r="E160" s="2" t="s">
        <v>433</v>
      </c>
      <c r="F160" s="2" t="n">
        <v>246058.606743946</v>
      </c>
      <c r="G160" s="2" t="n">
        <v>0</v>
      </c>
      <c r="H160" s="2" t="n">
        <v>246058.606743946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 customFormat="false" ht="15" hidden="false" customHeight="false" outlineLevel="0" collapsed="false">
      <c r="A161" s="2" t="n">
        <v>1</v>
      </c>
      <c r="B161" s="2" t="s">
        <v>147</v>
      </c>
      <c r="C161" s="2" t="s">
        <v>78</v>
      </c>
      <c r="D161" s="2" t="s">
        <v>433</v>
      </c>
      <c r="E161" s="2" t="s">
        <v>433</v>
      </c>
      <c r="F161" s="2" t="n">
        <v>6685927.13702231</v>
      </c>
      <c r="G161" s="2" t="n">
        <v>0</v>
      </c>
      <c r="H161" s="2" t="n">
        <v>6685927.13702231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 customFormat="false" ht="15" hidden="false" customHeight="false" outlineLevel="0" collapsed="false">
      <c r="A162" s="2" t="n">
        <v>2</v>
      </c>
      <c r="B162" s="2" t="s">
        <v>714</v>
      </c>
      <c r="C162" s="2" t="s">
        <v>715</v>
      </c>
      <c r="D162" s="2" t="s">
        <v>433</v>
      </c>
      <c r="E162" s="2" t="s">
        <v>433</v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 customFormat="false" ht="15" hidden="false" customHeight="false" outlineLevel="0" collapsed="false">
      <c r="A163" s="2" t="n">
        <v>3</v>
      </c>
      <c r="B163" s="2" t="s">
        <v>716</v>
      </c>
      <c r="C163" s="2" t="s">
        <v>717</v>
      </c>
      <c r="D163" s="2" t="s">
        <v>433</v>
      </c>
      <c r="E163" s="2" t="s">
        <v>433</v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 customFormat="false" ht="15" hidden="false" customHeight="false" outlineLevel="0" collapsed="false">
      <c r="A164" s="2" t="n">
        <v>2</v>
      </c>
      <c r="B164" s="2" t="s">
        <v>718</v>
      </c>
      <c r="C164" s="2" t="s">
        <v>719</v>
      </c>
      <c r="D164" s="2" t="s">
        <v>433</v>
      </c>
      <c r="E164" s="2" t="s">
        <v>433</v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 customFormat="false" ht="15" hidden="false" customHeight="false" outlineLevel="0" collapsed="false">
      <c r="A165" s="2" t="n">
        <v>3</v>
      </c>
      <c r="B165" s="2" t="s">
        <v>720</v>
      </c>
      <c r="C165" s="2" t="s">
        <v>721</v>
      </c>
      <c r="D165" s="2" t="s">
        <v>433</v>
      </c>
      <c r="E165" s="2" t="s">
        <v>433</v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 customFormat="false" ht="15" hidden="false" customHeight="false" outlineLevel="0" collapsed="false">
      <c r="A166" s="2" t="n">
        <v>3</v>
      </c>
      <c r="B166" s="2" t="s">
        <v>722</v>
      </c>
      <c r="C166" s="2" t="s">
        <v>723</v>
      </c>
      <c r="D166" s="2" t="s">
        <v>433</v>
      </c>
      <c r="E166" s="2" t="s">
        <v>433</v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 customFormat="false" ht="15" hidden="false" customHeight="false" outlineLevel="0" collapsed="false">
      <c r="A167" s="2" t="n">
        <v>3</v>
      </c>
      <c r="B167" s="2" t="s">
        <v>724</v>
      </c>
      <c r="C167" s="2" t="s">
        <v>725</v>
      </c>
      <c r="D167" s="2" t="s">
        <v>433</v>
      </c>
      <c r="E167" s="2" t="s">
        <v>433</v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 customFormat="false" ht="15" hidden="false" customHeight="false" outlineLevel="0" collapsed="false">
      <c r="A168" s="2" t="n">
        <v>2</v>
      </c>
      <c r="B168" s="2" t="s">
        <v>726</v>
      </c>
      <c r="C168" s="2" t="s">
        <v>727</v>
      </c>
      <c r="D168" s="2" t="s">
        <v>433</v>
      </c>
      <c r="E168" s="2" t="s">
        <v>433</v>
      </c>
      <c r="F168" s="2" t="n">
        <v>1039193.79562015</v>
      </c>
      <c r="G168" s="2" t="n">
        <v>0</v>
      </c>
      <c r="H168" s="2" t="n">
        <v>1039193.79562015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 customFormat="false" ht="15" hidden="false" customHeight="false" outlineLevel="0" collapsed="false">
      <c r="A169" s="2" t="n">
        <v>3</v>
      </c>
      <c r="B169" s="2" t="s">
        <v>728</v>
      </c>
      <c r="C169" s="2" t="s">
        <v>729</v>
      </c>
      <c r="D169" s="2" t="s">
        <v>433</v>
      </c>
      <c r="E169" s="2" t="s">
        <v>433</v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 customFormat="false" ht="15" hidden="false" customHeight="false" outlineLevel="0" collapsed="false">
      <c r="A170" s="2" t="n">
        <v>4</v>
      </c>
      <c r="B170" s="2" t="s">
        <v>730</v>
      </c>
      <c r="C170" s="2" t="s">
        <v>731</v>
      </c>
      <c r="D170" s="2" t="s">
        <v>433</v>
      </c>
      <c r="E170" s="2" t="s">
        <v>433</v>
      </c>
      <c r="F170" s="2" t="n">
        <v>56916</v>
      </c>
      <c r="G170" s="2" t="n">
        <v>0</v>
      </c>
      <c r="H170" s="2" t="n">
        <v>56916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 customFormat="false" ht="15" hidden="false" customHeight="false" outlineLevel="0" collapsed="false">
      <c r="A171" s="2" t="n">
        <v>4</v>
      </c>
      <c r="B171" s="2" t="s">
        <v>732</v>
      </c>
      <c r="C171" s="2" t="s">
        <v>733</v>
      </c>
      <c r="D171" s="2" t="s">
        <v>433</v>
      </c>
      <c r="E171" s="2" t="s">
        <v>433</v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 customFormat="false" ht="15" hidden="false" customHeight="false" outlineLevel="0" collapsed="false">
      <c r="A172" s="2" t="n">
        <v>4</v>
      </c>
      <c r="B172" s="2" t="s">
        <v>734</v>
      </c>
      <c r="C172" s="2" t="s">
        <v>735</v>
      </c>
      <c r="D172" s="2" t="s">
        <v>433</v>
      </c>
      <c r="E172" s="2" t="s">
        <v>433</v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 customFormat="false" ht="15" hidden="false" customHeight="false" outlineLevel="0" collapsed="false">
      <c r="A173" s="2" t="n">
        <v>4</v>
      </c>
      <c r="B173" s="2" t="s">
        <v>736</v>
      </c>
      <c r="C173" s="2" t="s">
        <v>737</v>
      </c>
      <c r="D173" s="2" t="s">
        <v>433</v>
      </c>
      <c r="E173" s="2" t="s">
        <v>433</v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 customFormat="false" ht="15" hidden="false" customHeight="false" outlineLevel="0" collapsed="false">
      <c r="A174" s="2" t="n">
        <v>4</v>
      </c>
      <c r="B174" s="2" t="s">
        <v>738</v>
      </c>
      <c r="C174" s="2" t="s">
        <v>739</v>
      </c>
      <c r="D174" s="2" t="s">
        <v>433</v>
      </c>
      <c r="E174" s="2" t="s">
        <v>433</v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 customFormat="false" ht="15" hidden="false" customHeight="false" outlineLevel="0" collapsed="false">
      <c r="A175" s="2" t="n">
        <v>3</v>
      </c>
      <c r="B175" s="2" t="s">
        <v>740</v>
      </c>
      <c r="C175" s="2" t="s">
        <v>741</v>
      </c>
      <c r="D175" s="2" t="s">
        <v>433</v>
      </c>
      <c r="E175" s="2" t="s">
        <v>433</v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 customFormat="false" ht="15" hidden="false" customHeight="false" outlineLevel="0" collapsed="false">
      <c r="A176" s="2" t="n">
        <v>4</v>
      </c>
      <c r="B176" s="2" t="s">
        <v>742</v>
      </c>
      <c r="C176" s="2" t="s">
        <v>743</v>
      </c>
      <c r="D176" s="2" t="s">
        <v>433</v>
      </c>
      <c r="E176" s="2" t="s">
        <v>433</v>
      </c>
      <c r="F176" s="2" t="n">
        <v>95000</v>
      </c>
      <c r="G176" s="2" t="n">
        <v>0</v>
      </c>
      <c r="H176" s="2" t="n">
        <v>95000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 customFormat="false" ht="15" hidden="false" customHeight="false" outlineLevel="0" collapsed="false">
      <c r="A177" s="2" t="n">
        <v>4</v>
      </c>
      <c r="B177" s="2" t="s">
        <v>744</v>
      </c>
      <c r="C177" s="2" t="s">
        <v>745</v>
      </c>
      <c r="D177" s="2" t="s">
        <v>433</v>
      </c>
      <c r="E177" s="2" t="s">
        <v>433</v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 customFormat="false" ht="15" hidden="false" customHeight="false" outlineLevel="0" collapsed="false">
      <c r="A178" s="2" t="n">
        <v>3</v>
      </c>
      <c r="B178" s="2" t="s">
        <v>746</v>
      </c>
      <c r="C178" s="2" t="s">
        <v>747</v>
      </c>
      <c r="D178" s="2" t="s">
        <v>433</v>
      </c>
      <c r="E178" s="2" t="s">
        <v>433</v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 customFormat="false" ht="15" hidden="false" customHeight="false" outlineLevel="0" collapsed="false">
      <c r="A179" s="2" t="n">
        <v>4</v>
      </c>
      <c r="B179" s="2" t="s">
        <v>748</v>
      </c>
      <c r="C179" s="2" t="s">
        <v>749</v>
      </c>
      <c r="D179" s="2" t="s">
        <v>433</v>
      </c>
      <c r="E179" s="2" t="s">
        <v>433</v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 customFormat="false" ht="15" hidden="false" customHeight="false" outlineLevel="0" collapsed="false">
      <c r="A180" s="2" t="n">
        <v>4</v>
      </c>
      <c r="B180" s="2" t="s">
        <v>750</v>
      </c>
      <c r="C180" s="2" t="s">
        <v>751</v>
      </c>
      <c r="D180" s="2" t="s">
        <v>433</v>
      </c>
      <c r="E180" s="2" t="s">
        <v>433</v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 customFormat="false" ht="15" hidden="false" customHeight="false" outlineLevel="0" collapsed="false">
      <c r="A181" s="2" t="n">
        <v>4</v>
      </c>
      <c r="B181" s="2" t="s">
        <v>752</v>
      </c>
      <c r="C181" s="2" t="s">
        <v>753</v>
      </c>
      <c r="D181" s="2" t="s">
        <v>433</v>
      </c>
      <c r="E181" s="2" t="s">
        <v>433</v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 customFormat="false" ht="15" hidden="false" customHeight="false" outlineLevel="0" collapsed="false">
      <c r="A182" s="2" t="n">
        <v>4</v>
      </c>
      <c r="B182" s="2" t="s">
        <v>754</v>
      </c>
      <c r="C182" s="2" t="s">
        <v>755</v>
      </c>
      <c r="D182" s="2" t="s">
        <v>433</v>
      </c>
      <c r="E182" s="2" t="s">
        <v>433</v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 customFormat="false" ht="15" hidden="false" customHeight="false" outlineLevel="0" collapsed="false">
      <c r="A183" s="2" t="n">
        <v>4</v>
      </c>
      <c r="B183" s="2" t="s">
        <v>756</v>
      </c>
      <c r="C183" s="2" t="s">
        <v>757</v>
      </c>
      <c r="D183" s="2" t="s">
        <v>433</v>
      </c>
      <c r="E183" s="2" t="s">
        <v>433</v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 customFormat="false" ht="15" hidden="false" customHeight="false" outlineLevel="0" collapsed="false">
      <c r="A184" s="2" t="n">
        <v>4</v>
      </c>
      <c r="B184" s="2" t="s">
        <v>758</v>
      </c>
      <c r="C184" s="2" t="s">
        <v>759</v>
      </c>
      <c r="D184" s="2" t="s">
        <v>433</v>
      </c>
      <c r="E184" s="2" t="s">
        <v>433</v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 customFormat="false" ht="15" hidden="false" customHeight="false" outlineLevel="0" collapsed="false">
      <c r="A185" s="2" t="n">
        <v>4</v>
      </c>
      <c r="B185" s="2" t="s">
        <v>760</v>
      </c>
      <c r="C185" s="2" t="s">
        <v>761</v>
      </c>
      <c r="D185" s="2" t="s">
        <v>433</v>
      </c>
      <c r="E185" s="2" t="s">
        <v>433</v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 customFormat="false" ht="15" hidden="false" customHeight="false" outlineLevel="0" collapsed="false">
      <c r="A186" s="2" t="n">
        <v>3</v>
      </c>
      <c r="B186" s="2" t="s">
        <v>762</v>
      </c>
      <c r="C186" s="2" t="s">
        <v>763</v>
      </c>
      <c r="D186" s="2" t="s">
        <v>433</v>
      </c>
      <c r="E186" s="2" t="s">
        <v>433</v>
      </c>
      <c r="F186" s="2" t="n">
        <v>129291.307710538</v>
      </c>
      <c r="G186" s="2" t="n">
        <v>0</v>
      </c>
      <c r="H186" s="2" t="n">
        <v>129291.307710538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 customFormat="false" ht="15" hidden="false" customHeight="false" outlineLevel="0" collapsed="false">
      <c r="A187" s="2" t="n">
        <v>4</v>
      </c>
      <c r="B187" s="2" t="s">
        <v>764</v>
      </c>
      <c r="C187" s="2" t="s">
        <v>765</v>
      </c>
      <c r="D187" s="2" t="s">
        <v>433</v>
      </c>
      <c r="E187" s="2" t="s">
        <v>433</v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 customFormat="false" ht="15" hidden="false" customHeight="false" outlineLevel="0" collapsed="false">
      <c r="A188" s="2" t="n">
        <v>4</v>
      </c>
      <c r="B188" s="2" t="s">
        <v>766</v>
      </c>
      <c r="C188" s="2" t="s">
        <v>767</v>
      </c>
      <c r="D188" s="2" t="s">
        <v>433</v>
      </c>
      <c r="E188" s="2" t="s">
        <v>433</v>
      </c>
      <c r="F188" s="2" t="n">
        <v>31248.0450540305</v>
      </c>
      <c r="G188" s="2" t="n">
        <v>0</v>
      </c>
      <c r="H188" s="2" t="n">
        <v>31248.0450540305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 customFormat="false" ht="15" hidden="false" customHeight="false" outlineLevel="0" collapsed="false">
      <c r="A189" s="2" t="n">
        <v>4</v>
      </c>
      <c r="B189" s="2" t="s">
        <v>768</v>
      </c>
      <c r="C189" s="2" t="s">
        <v>769</v>
      </c>
      <c r="D189" s="2" t="s">
        <v>433</v>
      </c>
      <c r="E189" s="2" t="s">
        <v>433</v>
      </c>
      <c r="F189" s="2" t="n">
        <v>8101.34501400791</v>
      </c>
      <c r="G189" s="2" t="n">
        <v>0</v>
      </c>
      <c r="H189" s="2" t="n">
        <v>8101.34501400791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 customFormat="false" ht="15" hidden="false" customHeight="false" outlineLevel="0" collapsed="false">
      <c r="A190" s="2" t="n">
        <v>4</v>
      </c>
      <c r="B190" s="2" t="s">
        <v>770</v>
      </c>
      <c r="C190" s="2" t="s">
        <v>771</v>
      </c>
      <c r="D190" s="2" t="s">
        <v>433</v>
      </c>
      <c r="E190" s="2" t="s">
        <v>433</v>
      </c>
      <c r="F190" s="2" t="n">
        <v>48053.9176425</v>
      </c>
      <c r="G190" s="2" t="n">
        <v>0</v>
      </c>
      <c r="H190" s="2" t="n">
        <v>48053.9176425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 customFormat="false" ht="15" hidden="false" customHeight="false" outlineLevel="0" collapsed="false">
      <c r="A191" s="2" t="n">
        <v>3</v>
      </c>
      <c r="B191" s="2" t="s">
        <v>772</v>
      </c>
      <c r="C191" s="2" t="s">
        <v>773</v>
      </c>
      <c r="D191" s="2" t="s">
        <v>433</v>
      </c>
      <c r="E191" s="2" t="s">
        <v>433</v>
      </c>
      <c r="F191" s="2" t="n">
        <v>182000.809909615</v>
      </c>
      <c r="G191" s="2" t="n">
        <v>0</v>
      </c>
      <c r="H191" s="2" t="n">
        <v>182000.809909615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 customFormat="false" ht="15" hidden="false" customHeight="false" outlineLevel="0" collapsed="false">
      <c r="A192" s="2" t="n">
        <v>4</v>
      </c>
      <c r="B192" s="2" t="s">
        <v>774</v>
      </c>
      <c r="C192" s="2" t="s">
        <v>775</v>
      </c>
      <c r="D192" s="2" t="s">
        <v>433</v>
      </c>
      <c r="E192" s="2" t="s">
        <v>433</v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 customFormat="false" ht="15" hidden="false" customHeight="false" outlineLevel="0" collapsed="false">
      <c r="A193" s="2" t="n">
        <v>4</v>
      </c>
      <c r="B193" s="2" t="s">
        <v>776</v>
      </c>
      <c r="C193" s="2" t="s">
        <v>767</v>
      </c>
      <c r="D193" s="2" t="s">
        <v>433</v>
      </c>
      <c r="E193" s="2" t="s">
        <v>433</v>
      </c>
      <c r="F193" s="2" t="n">
        <v>46538.3387048073</v>
      </c>
      <c r="G193" s="2" t="n">
        <v>0</v>
      </c>
      <c r="H193" s="2" t="n">
        <v>46538.3387048073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 customFormat="false" ht="15" hidden="false" customHeight="false" outlineLevel="0" collapsed="false">
      <c r="A194" s="2" t="n">
        <v>4</v>
      </c>
      <c r="B194" s="2" t="s">
        <v>777</v>
      </c>
      <c r="C194" s="2" t="s">
        <v>769</v>
      </c>
      <c r="D194" s="2" t="s">
        <v>433</v>
      </c>
      <c r="E194" s="2" t="s">
        <v>433</v>
      </c>
      <c r="F194" s="2" t="n">
        <v>46538.3387048073</v>
      </c>
      <c r="G194" s="2" t="n">
        <v>0</v>
      </c>
      <c r="H194" s="2" t="n">
        <v>46538.3387048073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 customFormat="false" ht="15" hidden="false" customHeight="false" outlineLevel="0" collapsed="false">
      <c r="A195" s="2" t="n">
        <v>4</v>
      </c>
      <c r="B195" s="2" t="s">
        <v>778</v>
      </c>
      <c r="C195" s="2" t="s">
        <v>771</v>
      </c>
      <c r="D195" s="2" t="s">
        <v>433</v>
      </c>
      <c r="E195" s="2" t="s">
        <v>433</v>
      </c>
      <c r="F195" s="2" t="n">
        <v>48796.1325</v>
      </c>
      <c r="G195" s="2" t="n">
        <v>0</v>
      </c>
      <c r="H195" s="2" t="n">
        <v>48796.1325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 customFormat="false" ht="15" hidden="false" customHeight="false" outlineLevel="0" collapsed="false">
      <c r="A196" s="2" t="n">
        <v>3</v>
      </c>
      <c r="B196" s="2" t="s">
        <v>779</v>
      </c>
      <c r="C196" s="2" t="s">
        <v>780</v>
      </c>
      <c r="D196" s="2" t="s">
        <v>433</v>
      </c>
      <c r="E196" s="2" t="s">
        <v>433</v>
      </c>
      <c r="F196" s="2" t="n">
        <v>143664.678</v>
      </c>
      <c r="G196" s="2" t="n">
        <v>0</v>
      </c>
      <c r="H196" s="2" t="n">
        <v>143664.678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 customFormat="false" ht="15" hidden="false" customHeight="false" outlineLevel="0" collapsed="false">
      <c r="A197" s="2" t="n">
        <v>4</v>
      </c>
      <c r="B197" s="2" t="s">
        <v>781</v>
      </c>
      <c r="C197" s="2" t="s">
        <v>782</v>
      </c>
      <c r="D197" s="2" t="s">
        <v>433</v>
      </c>
      <c r="E197" s="2" t="s">
        <v>433</v>
      </c>
      <c r="F197" s="2" t="n">
        <v>143664.678</v>
      </c>
      <c r="G197" s="2" t="n">
        <v>0</v>
      </c>
      <c r="H197" s="2" t="n">
        <v>143664.678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 customFormat="false" ht="15" hidden="false" customHeight="false" outlineLevel="0" collapsed="false">
      <c r="A198" s="2" t="n">
        <v>2</v>
      </c>
      <c r="B198" s="2" t="s">
        <v>783</v>
      </c>
      <c r="C198" s="2" t="s">
        <v>784</v>
      </c>
      <c r="D198" s="2" t="s">
        <v>433</v>
      </c>
      <c r="E198" s="2" t="s">
        <v>433</v>
      </c>
      <c r="F198" s="2" t="n">
        <v>2665998.2964223</v>
      </c>
      <c r="G198" s="2" t="n">
        <v>0</v>
      </c>
      <c r="H198" s="2" t="n">
        <v>2665998.2964223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 customFormat="false" ht="15" hidden="false" customHeight="false" outlineLevel="0" collapsed="false">
      <c r="A199" s="2" t="n">
        <v>3</v>
      </c>
      <c r="B199" s="2" t="s">
        <v>785</v>
      </c>
      <c r="C199" s="2" t="s">
        <v>786</v>
      </c>
      <c r="D199" s="2" t="s">
        <v>433</v>
      </c>
      <c r="E199" s="2" t="s">
        <v>433</v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 customFormat="false" ht="15" hidden="false" customHeight="false" outlineLevel="0" collapsed="false">
      <c r="A200" s="2" t="n">
        <v>4</v>
      </c>
      <c r="B200" s="2" t="s">
        <v>787</v>
      </c>
      <c r="C200" s="2" t="s">
        <v>788</v>
      </c>
      <c r="D200" s="2" t="s">
        <v>433</v>
      </c>
      <c r="E200" s="2" t="s">
        <v>433</v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 customFormat="false" ht="15" hidden="false" customHeight="false" outlineLevel="0" collapsed="false">
      <c r="A201" s="2" t="n">
        <v>4</v>
      </c>
      <c r="B201" s="2" t="s">
        <v>789</v>
      </c>
      <c r="C201" s="2" t="s">
        <v>790</v>
      </c>
      <c r="D201" s="2" t="s">
        <v>433</v>
      </c>
      <c r="E201" s="2" t="s">
        <v>433</v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 customFormat="false" ht="15" hidden="false" customHeight="false" outlineLevel="0" collapsed="false">
      <c r="A202" s="2" t="n">
        <v>4</v>
      </c>
      <c r="B202" s="2" t="s">
        <v>791</v>
      </c>
      <c r="C202" s="2" t="s">
        <v>767</v>
      </c>
      <c r="D202" s="2" t="s">
        <v>433</v>
      </c>
      <c r="E202" s="2" t="s">
        <v>433</v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 customFormat="false" ht="15" hidden="false" customHeight="false" outlineLevel="0" collapsed="false">
      <c r="A203" s="2" t="n">
        <v>4</v>
      </c>
      <c r="B203" s="2" t="s">
        <v>792</v>
      </c>
      <c r="C203" s="2" t="s">
        <v>793</v>
      </c>
      <c r="D203" s="2" t="s">
        <v>433</v>
      </c>
      <c r="E203" s="2" t="s">
        <v>433</v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 customFormat="false" ht="15" hidden="false" customHeight="false" outlineLevel="0" collapsed="false">
      <c r="A204" s="2" t="n">
        <v>4</v>
      </c>
      <c r="B204" s="2" t="s">
        <v>794</v>
      </c>
      <c r="C204" s="2" t="s">
        <v>769</v>
      </c>
      <c r="D204" s="2" t="s">
        <v>433</v>
      </c>
      <c r="E204" s="2" t="s">
        <v>433</v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 customFormat="false" ht="15" hidden="false" customHeight="false" outlineLevel="0" collapsed="false">
      <c r="A205" s="2" t="n">
        <v>4</v>
      </c>
      <c r="B205" s="2" t="s">
        <v>795</v>
      </c>
      <c r="C205" s="2" t="s">
        <v>796</v>
      </c>
      <c r="D205" s="2" t="s">
        <v>433</v>
      </c>
      <c r="E205" s="2" t="s">
        <v>433</v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 customFormat="false" ht="15" hidden="false" customHeight="false" outlineLevel="0" collapsed="false">
      <c r="A206" s="2" t="n">
        <v>4</v>
      </c>
      <c r="B206" s="2" t="s">
        <v>797</v>
      </c>
      <c r="C206" s="2" t="s">
        <v>798</v>
      </c>
      <c r="D206" s="2" t="s">
        <v>433</v>
      </c>
      <c r="E206" s="2" t="s">
        <v>433</v>
      </c>
      <c r="F206" s="2" t="n">
        <v>8511.93278594041</v>
      </c>
      <c r="G206" s="2" t="n">
        <v>0</v>
      </c>
      <c r="H206" s="2" t="n">
        <v>8511.93278594041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 customFormat="false" ht="15" hidden="false" customHeight="false" outlineLevel="0" collapsed="false">
      <c r="A207" s="2" t="n">
        <v>4</v>
      </c>
      <c r="B207" s="2" t="s">
        <v>799</v>
      </c>
      <c r="C207" s="2" t="s">
        <v>800</v>
      </c>
      <c r="D207" s="2" t="s">
        <v>433</v>
      </c>
      <c r="E207" s="2" t="s">
        <v>433</v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 customFormat="false" ht="15" hidden="false" customHeight="false" outlineLevel="0" collapsed="false">
      <c r="A208" s="2" t="n">
        <v>4</v>
      </c>
      <c r="B208" s="2" t="s">
        <v>801</v>
      </c>
      <c r="C208" s="2" t="s">
        <v>802</v>
      </c>
      <c r="D208" s="2" t="s">
        <v>433</v>
      </c>
      <c r="E208" s="2" t="s">
        <v>433</v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 customFormat="false" ht="15" hidden="false" customHeight="false" outlineLevel="0" collapsed="false">
      <c r="A209" s="2" t="n">
        <v>4</v>
      </c>
      <c r="B209" s="2" t="s">
        <v>803</v>
      </c>
      <c r="C209" s="2" t="s">
        <v>804</v>
      </c>
      <c r="D209" s="2" t="s">
        <v>433</v>
      </c>
      <c r="E209" s="2" t="s">
        <v>433</v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 customFormat="false" ht="15" hidden="false" customHeight="false" outlineLevel="0" collapsed="false">
      <c r="A210" s="2" t="n">
        <v>4</v>
      </c>
      <c r="B210" s="2" t="s">
        <v>805</v>
      </c>
      <c r="C210" s="2" t="s">
        <v>806</v>
      </c>
      <c r="D210" s="2" t="s">
        <v>433</v>
      </c>
      <c r="E210" s="2" t="s">
        <v>433</v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 customFormat="false" ht="15" hidden="false" customHeight="false" outlineLevel="0" collapsed="false">
      <c r="A211" s="2" t="n">
        <v>4</v>
      </c>
      <c r="B211" s="2" t="s">
        <v>807</v>
      </c>
      <c r="C211" s="2" t="s">
        <v>808</v>
      </c>
      <c r="D211" s="2" t="s">
        <v>433</v>
      </c>
      <c r="E211" s="2" t="s">
        <v>433</v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 customFormat="false" ht="15" hidden="false" customHeight="false" outlineLevel="0" collapsed="false">
      <c r="A212" s="2" t="n">
        <v>3</v>
      </c>
      <c r="B212" s="2" t="s">
        <v>809</v>
      </c>
      <c r="C212" s="2" t="s">
        <v>810</v>
      </c>
      <c r="D212" s="2" t="s">
        <v>433</v>
      </c>
      <c r="E212" s="2" t="s">
        <v>433</v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 customFormat="false" ht="15" hidden="false" customHeight="false" outlineLevel="0" collapsed="false">
      <c r="A213" s="2" t="n">
        <v>4</v>
      </c>
      <c r="B213" s="2" t="s">
        <v>811</v>
      </c>
      <c r="C213" s="2" t="s">
        <v>812</v>
      </c>
      <c r="D213" s="2" t="s">
        <v>433</v>
      </c>
      <c r="E213" s="2" t="s">
        <v>433</v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 customFormat="false" ht="15" hidden="false" customHeight="false" outlineLevel="0" collapsed="false">
      <c r="A214" s="2" t="n">
        <v>3</v>
      </c>
      <c r="B214" s="2" t="s">
        <v>813</v>
      </c>
      <c r="C214" s="2" t="s">
        <v>814</v>
      </c>
      <c r="D214" s="2" t="s">
        <v>433</v>
      </c>
      <c r="E214" s="2" t="s">
        <v>433</v>
      </c>
      <c r="F214" s="2" t="n">
        <v>1187436.36363636</v>
      </c>
      <c r="G214" s="2" t="n">
        <v>0</v>
      </c>
      <c r="H214" s="2" t="n">
        <v>1187436.36363636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 customFormat="false" ht="15" hidden="false" customHeight="false" outlineLevel="0" collapsed="false">
      <c r="A215" s="2" t="n">
        <v>4</v>
      </c>
      <c r="B215" s="2" t="s">
        <v>815</v>
      </c>
      <c r="C215" s="2" t="s">
        <v>816</v>
      </c>
      <c r="D215" s="2" t="s">
        <v>433</v>
      </c>
      <c r="E215" s="2" t="s">
        <v>433</v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 customFormat="false" ht="15" hidden="false" customHeight="false" outlineLevel="0" collapsed="false">
      <c r="A216" s="2" t="n">
        <v>4</v>
      </c>
      <c r="B216" s="2" t="s">
        <v>817</v>
      </c>
      <c r="C216" s="2" t="s">
        <v>818</v>
      </c>
      <c r="D216" s="2" t="s">
        <v>433</v>
      </c>
      <c r="E216" s="2" t="s">
        <v>433</v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 customFormat="false" ht="15" hidden="false" customHeight="false" outlineLevel="0" collapsed="false">
      <c r="A217" s="2" t="n">
        <v>4</v>
      </c>
      <c r="B217" s="2" t="s">
        <v>819</v>
      </c>
      <c r="C217" s="2" t="s">
        <v>820</v>
      </c>
      <c r="D217" s="2" t="s">
        <v>433</v>
      </c>
      <c r="E217" s="2" t="s">
        <v>433</v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 customFormat="false" ht="15" hidden="false" customHeight="false" outlineLevel="0" collapsed="false">
      <c r="A218" s="2" t="n">
        <v>4</v>
      </c>
      <c r="B218" s="2" t="s">
        <v>821</v>
      </c>
      <c r="C218" s="2" t="s">
        <v>822</v>
      </c>
      <c r="D218" s="2" t="s">
        <v>433</v>
      </c>
      <c r="E218" s="2" t="s">
        <v>433</v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 customFormat="false" ht="15" hidden="false" customHeight="false" outlineLevel="0" collapsed="false">
      <c r="A219" s="2" t="n">
        <v>4</v>
      </c>
      <c r="B219" s="2" t="s">
        <v>823</v>
      </c>
      <c r="C219" s="2" t="s">
        <v>824</v>
      </c>
      <c r="D219" s="2" t="s">
        <v>433</v>
      </c>
      <c r="E219" s="2" t="s">
        <v>433</v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 customFormat="false" ht="15" hidden="false" customHeight="false" outlineLevel="0" collapsed="false">
      <c r="A220" s="2" t="n">
        <v>4</v>
      </c>
      <c r="B220" s="2" t="s">
        <v>825</v>
      </c>
      <c r="C220" s="2" t="s">
        <v>826</v>
      </c>
      <c r="D220" s="2" t="s">
        <v>433</v>
      </c>
      <c r="E220" s="2" t="s">
        <v>433</v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 customFormat="false" ht="15" hidden="false" customHeight="false" outlineLevel="0" collapsed="false">
      <c r="A221" s="2" t="n">
        <v>4</v>
      </c>
      <c r="B221" s="2" t="s">
        <v>827</v>
      </c>
      <c r="C221" s="2" t="s">
        <v>828</v>
      </c>
      <c r="D221" s="2" t="s">
        <v>433</v>
      </c>
      <c r="E221" s="2" t="s">
        <v>433</v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 customFormat="false" ht="15" hidden="false" customHeight="false" outlineLevel="0" collapsed="false">
      <c r="A222" s="2" t="n">
        <v>4</v>
      </c>
      <c r="B222" s="2" t="s">
        <v>829</v>
      </c>
      <c r="C222" s="2" t="s">
        <v>830</v>
      </c>
      <c r="D222" s="2" t="s">
        <v>433</v>
      </c>
      <c r="E222" s="2" t="s">
        <v>433</v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 customFormat="false" ht="15" hidden="false" customHeight="false" outlineLevel="0" collapsed="false">
      <c r="A223" s="2" t="n">
        <v>4</v>
      </c>
      <c r="B223" s="2" t="s">
        <v>831</v>
      </c>
      <c r="C223" s="2" t="s">
        <v>832</v>
      </c>
      <c r="D223" s="2" t="s">
        <v>433</v>
      </c>
      <c r="E223" s="2" t="s">
        <v>433</v>
      </c>
      <c r="F223" s="2" t="n">
        <v>79036.3636363636</v>
      </c>
      <c r="G223" s="2" t="n">
        <v>0</v>
      </c>
      <c r="H223" s="2" t="n">
        <v>79036.3636363636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 customFormat="false" ht="15" hidden="false" customHeight="false" outlineLevel="0" collapsed="false">
      <c r="A224" s="2" t="n">
        <v>4</v>
      </c>
      <c r="B224" s="2" t="s">
        <v>833</v>
      </c>
      <c r="C224" s="2" t="s">
        <v>834</v>
      </c>
      <c r="D224" s="2" t="s">
        <v>433</v>
      </c>
      <c r="E224" s="2" t="s">
        <v>433</v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 customFormat="false" ht="15" hidden="false" customHeight="false" outlineLevel="0" collapsed="false">
      <c r="A225" s="2" t="n">
        <v>4</v>
      </c>
      <c r="B225" s="2" t="s">
        <v>835</v>
      </c>
      <c r="C225" s="2" t="s">
        <v>836</v>
      </c>
      <c r="D225" s="2" t="s">
        <v>433</v>
      </c>
      <c r="E225" s="2" t="s">
        <v>433</v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 customFormat="false" ht="15" hidden="false" customHeight="false" outlineLevel="0" collapsed="false">
      <c r="A226" s="2" t="n">
        <v>4</v>
      </c>
      <c r="B226" s="2" t="s">
        <v>837</v>
      </c>
      <c r="C226" s="2" t="s">
        <v>838</v>
      </c>
      <c r="D226" s="2" t="s">
        <v>433</v>
      </c>
      <c r="E226" s="2" t="s">
        <v>433</v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 customFormat="false" ht="15" hidden="false" customHeight="false" outlineLevel="0" collapsed="false">
      <c r="A227" s="2" t="n">
        <v>4</v>
      </c>
      <c r="B227" s="2" t="s">
        <v>839</v>
      </c>
      <c r="C227" s="2" t="s">
        <v>840</v>
      </c>
      <c r="D227" s="2" t="s">
        <v>433</v>
      </c>
      <c r="E227" s="2" t="s">
        <v>433</v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 customFormat="false" ht="15" hidden="false" customHeight="false" outlineLevel="0" collapsed="false">
      <c r="A228" s="2" t="n">
        <v>4</v>
      </c>
      <c r="B228" s="2" t="s">
        <v>841</v>
      </c>
      <c r="C228" s="2" t="s">
        <v>842</v>
      </c>
      <c r="D228" s="2" t="s">
        <v>433</v>
      </c>
      <c r="E228" s="2" t="s">
        <v>433</v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 customFormat="false" ht="15" hidden="false" customHeight="false" outlineLevel="0" collapsed="false">
      <c r="A229" s="2" t="n">
        <v>4</v>
      </c>
      <c r="B229" s="2" t="s">
        <v>843</v>
      </c>
      <c r="C229" s="2" t="s">
        <v>844</v>
      </c>
      <c r="D229" s="2" t="s">
        <v>433</v>
      </c>
      <c r="E229" s="2" t="s">
        <v>433</v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 customFormat="false" ht="15" hidden="false" customHeight="false" outlineLevel="0" collapsed="false">
      <c r="A230" s="2" t="n">
        <v>4</v>
      </c>
      <c r="B230" s="2" t="s">
        <v>845</v>
      </c>
      <c r="C230" s="2" t="s">
        <v>846</v>
      </c>
      <c r="D230" s="2" t="s">
        <v>433</v>
      </c>
      <c r="E230" s="2" t="s">
        <v>433</v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 customFormat="false" ht="15" hidden="false" customHeight="false" outlineLevel="0" collapsed="false">
      <c r="A231" s="2" t="n">
        <v>4</v>
      </c>
      <c r="B231" s="2" t="s">
        <v>847</v>
      </c>
      <c r="C231" s="2" t="s">
        <v>848</v>
      </c>
      <c r="D231" s="2" t="s">
        <v>433</v>
      </c>
      <c r="E231" s="2" t="s">
        <v>433</v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 customFormat="false" ht="15" hidden="false" customHeight="false" outlineLevel="0" collapsed="false">
      <c r="A232" s="2" t="n">
        <v>4</v>
      </c>
      <c r="B232" s="2" t="s">
        <v>849</v>
      </c>
      <c r="C232" s="2" t="s">
        <v>850</v>
      </c>
      <c r="D232" s="2" t="s">
        <v>433</v>
      </c>
      <c r="E232" s="2" t="s">
        <v>433</v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 customFormat="false" ht="15" hidden="false" customHeight="false" outlineLevel="0" collapsed="false">
      <c r="A233" s="2" t="n">
        <v>4</v>
      </c>
      <c r="B233" s="2" t="s">
        <v>851</v>
      </c>
      <c r="C233" s="2" t="s">
        <v>852</v>
      </c>
      <c r="D233" s="2" t="s">
        <v>433</v>
      </c>
      <c r="E233" s="2" t="s">
        <v>433</v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 customFormat="false" ht="15" hidden="false" customHeight="false" outlineLevel="0" collapsed="false">
      <c r="A234" s="2" t="n">
        <v>4</v>
      </c>
      <c r="B234" s="2" t="s">
        <v>853</v>
      </c>
      <c r="C234" s="2" t="s">
        <v>854</v>
      </c>
      <c r="D234" s="2" t="s">
        <v>433</v>
      </c>
      <c r="E234" s="2" t="s">
        <v>433</v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 customFormat="false" ht="15" hidden="false" customHeight="false" outlineLevel="0" collapsed="false">
      <c r="A235" s="2" t="n">
        <v>4</v>
      </c>
      <c r="B235" s="2" t="s">
        <v>855</v>
      </c>
      <c r="C235" s="2" t="s">
        <v>856</v>
      </c>
      <c r="D235" s="2" t="s">
        <v>433</v>
      </c>
      <c r="E235" s="2" t="s">
        <v>433</v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 customFormat="false" ht="15" hidden="false" customHeight="false" outlineLevel="0" collapsed="false">
      <c r="A236" s="2" t="n">
        <v>4</v>
      </c>
      <c r="B236" s="2" t="s">
        <v>857</v>
      </c>
      <c r="C236" s="2" t="s">
        <v>858</v>
      </c>
      <c r="D236" s="2" t="s">
        <v>433</v>
      </c>
      <c r="E236" s="2" t="s">
        <v>433</v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 customFormat="false" ht="15" hidden="false" customHeight="false" outlineLevel="0" collapsed="false">
      <c r="A237" s="2" t="n">
        <v>4</v>
      </c>
      <c r="B237" s="2" t="s">
        <v>859</v>
      </c>
      <c r="C237" s="2" t="s">
        <v>860</v>
      </c>
      <c r="D237" s="2" t="s">
        <v>433</v>
      </c>
      <c r="E237" s="2" t="s">
        <v>433</v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 customFormat="false" ht="15" hidden="false" customHeight="false" outlineLevel="0" collapsed="false">
      <c r="A238" s="2" t="n">
        <v>4</v>
      </c>
      <c r="B238" s="2" t="s">
        <v>861</v>
      </c>
      <c r="C238" s="2" t="s">
        <v>862</v>
      </c>
      <c r="D238" s="2" t="s">
        <v>433</v>
      </c>
      <c r="E238" s="2" t="s">
        <v>433</v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 customFormat="false" ht="15" hidden="false" customHeight="false" outlineLevel="0" collapsed="false">
      <c r="A239" s="2" t="n">
        <v>4</v>
      </c>
      <c r="B239" s="2" t="s">
        <v>863</v>
      </c>
      <c r="C239" s="2" t="s">
        <v>864</v>
      </c>
      <c r="D239" s="2" t="s">
        <v>433</v>
      </c>
      <c r="E239" s="2" t="s">
        <v>433</v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 customFormat="false" ht="15" hidden="false" customHeight="false" outlineLevel="0" collapsed="false">
      <c r="A240" s="2" t="n">
        <v>2</v>
      </c>
      <c r="B240" s="2" t="s">
        <v>865</v>
      </c>
      <c r="C240" s="2" t="s">
        <v>866</v>
      </c>
      <c r="D240" s="2" t="s">
        <v>433</v>
      </c>
      <c r="E240" s="2" t="s">
        <v>433</v>
      </c>
      <c r="F240" s="2" t="n">
        <v>1156048.18752929</v>
      </c>
      <c r="G240" s="2" t="n">
        <v>0</v>
      </c>
      <c r="H240" s="2" t="n">
        <v>1156048.18752929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 customFormat="false" ht="15" hidden="false" customHeight="false" outlineLevel="0" collapsed="false">
      <c r="A241" s="2" t="n">
        <v>3</v>
      </c>
      <c r="B241" s="2" t="s">
        <v>867</v>
      </c>
      <c r="C241" s="2" t="s">
        <v>868</v>
      </c>
      <c r="D241" s="2" t="s">
        <v>433</v>
      </c>
      <c r="E241" s="2" t="s">
        <v>433</v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 customFormat="false" ht="15" hidden="false" customHeight="false" outlineLevel="0" collapsed="false">
      <c r="A242" s="2" t="n">
        <v>4</v>
      </c>
      <c r="B242" s="2" t="s">
        <v>869</v>
      </c>
      <c r="C242" s="2" t="s">
        <v>870</v>
      </c>
      <c r="D242" s="2" t="s">
        <v>433</v>
      </c>
      <c r="E242" s="2" t="s">
        <v>433</v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 customFormat="false" ht="15" hidden="false" customHeight="false" outlineLevel="0" collapsed="false">
      <c r="A243" s="2" t="n">
        <v>3</v>
      </c>
      <c r="B243" s="2" t="s">
        <v>871</v>
      </c>
      <c r="C243" s="2" t="s">
        <v>872</v>
      </c>
      <c r="D243" s="2" t="s">
        <v>433</v>
      </c>
      <c r="E243" s="2" t="s">
        <v>433</v>
      </c>
      <c r="F243" s="2" t="n">
        <v>622799.512214849</v>
      </c>
      <c r="G243" s="2" t="n">
        <v>0</v>
      </c>
      <c r="H243" s="2" t="n">
        <v>622799.512214849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 customFormat="false" ht="15" hidden="false" customHeight="false" outlineLevel="0" collapsed="false">
      <c r="A244" s="2" t="n">
        <v>4</v>
      </c>
      <c r="B244" s="2" t="s">
        <v>873</v>
      </c>
      <c r="C244" s="2" t="s">
        <v>874</v>
      </c>
      <c r="D244" s="2" t="s">
        <v>433</v>
      </c>
      <c r="E244" s="2" t="s">
        <v>433</v>
      </c>
      <c r="F244" s="2" t="n">
        <v>507646.098188</v>
      </c>
      <c r="G244" s="2" t="n">
        <v>0</v>
      </c>
      <c r="H244" s="2" t="n">
        <v>507646.098188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 customFormat="false" ht="15" hidden="false" customHeight="false" outlineLevel="0" collapsed="false">
      <c r="A245" s="2" t="n">
        <v>4</v>
      </c>
      <c r="B245" s="2" t="s">
        <v>875</v>
      </c>
      <c r="C245" s="2" t="s">
        <v>876</v>
      </c>
      <c r="D245" s="2" t="s">
        <v>433</v>
      </c>
      <c r="E245" s="2" t="s">
        <v>433</v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 customFormat="false" ht="15" hidden="false" customHeight="false" outlineLevel="0" collapsed="false">
      <c r="A246" s="2" t="n">
        <v>4</v>
      </c>
      <c r="B246" s="2" t="s">
        <v>877</v>
      </c>
      <c r="C246" s="2" t="s">
        <v>878</v>
      </c>
      <c r="D246" s="2" t="s">
        <v>433</v>
      </c>
      <c r="E246" s="2" t="s">
        <v>433</v>
      </c>
      <c r="F246" s="2" t="n">
        <v>57576.7070134246</v>
      </c>
      <c r="G246" s="2" t="n">
        <v>0</v>
      </c>
      <c r="H246" s="2" t="n">
        <v>57576.7070134246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 customFormat="false" ht="15" hidden="false" customHeight="false" outlineLevel="0" collapsed="false">
      <c r="A247" s="2" t="n">
        <v>3</v>
      </c>
      <c r="B247" s="2" t="s">
        <v>879</v>
      </c>
      <c r="C247" s="2" t="s">
        <v>880</v>
      </c>
      <c r="D247" s="2" t="s">
        <v>433</v>
      </c>
      <c r="E247" s="2" t="s">
        <v>433</v>
      </c>
      <c r="F247" s="2" t="n">
        <v>530848.675314445</v>
      </c>
      <c r="G247" s="2" t="n">
        <v>0</v>
      </c>
      <c r="H247" s="2" t="n">
        <v>530848.675314445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 customFormat="false" ht="15" hidden="false" customHeight="false" outlineLevel="0" collapsed="false">
      <c r="A248" s="2" t="n">
        <v>4</v>
      </c>
      <c r="B248" s="2" t="s">
        <v>881</v>
      </c>
      <c r="C248" s="2" t="s">
        <v>882</v>
      </c>
      <c r="D248" s="2" t="s">
        <v>433</v>
      </c>
      <c r="E248" s="2" t="s">
        <v>433</v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 customFormat="false" ht="15" hidden="false" customHeight="false" outlineLevel="0" collapsed="false">
      <c r="A249" s="2" t="n">
        <v>4</v>
      </c>
      <c r="B249" s="2" t="s">
        <v>883</v>
      </c>
      <c r="C249" s="2" t="s">
        <v>884</v>
      </c>
      <c r="D249" s="2" t="s">
        <v>433</v>
      </c>
      <c r="E249" s="2" t="s">
        <v>433</v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 customFormat="false" ht="15" hidden="false" customHeight="false" outlineLevel="0" collapsed="false">
      <c r="A250" s="2" t="n">
        <v>4</v>
      </c>
      <c r="B250" s="2" t="s">
        <v>885</v>
      </c>
      <c r="C250" s="2" t="s">
        <v>886</v>
      </c>
      <c r="D250" s="2" t="s">
        <v>433</v>
      </c>
      <c r="E250" s="2" t="s">
        <v>433</v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 customFormat="false" ht="15" hidden="false" customHeight="false" outlineLevel="0" collapsed="false">
      <c r="A251" s="2" t="n">
        <v>4</v>
      </c>
      <c r="B251" s="2" t="s">
        <v>887</v>
      </c>
      <c r="C251" s="2" t="s">
        <v>888</v>
      </c>
      <c r="D251" s="2" t="s">
        <v>433</v>
      </c>
      <c r="E251" s="2" t="s">
        <v>433</v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 customFormat="false" ht="15" hidden="false" customHeight="false" outlineLevel="0" collapsed="false">
      <c r="A252" s="2" t="n">
        <v>4</v>
      </c>
      <c r="B252" s="2" t="s">
        <v>889</v>
      </c>
      <c r="C252" s="2" t="s">
        <v>767</v>
      </c>
      <c r="D252" s="2" t="s">
        <v>433</v>
      </c>
      <c r="E252" s="2" t="s">
        <v>433</v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 customFormat="false" ht="15" hidden="false" customHeight="false" outlineLevel="0" collapsed="false">
      <c r="A253" s="2" t="n">
        <v>4</v>
      </c>
      <c r="B253" s="2" t="s">
        <v>890</v>
      </c>
      <c r="C253" s="2" t="s">
        <v>769</v>
      </c>
      <c r="D253" s="2" t="s">
        <v>433</v>
      </c>
      <c r="E253" s="2" t="s">
        <v>433</v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 customFormat="false" ht="15" hidden="false" customHeight="false" outlineLevel="0" collapsed="false">
      <c r="A254" s="2" t="n">
        <v>4</v>
      </c>
      <c r="B254" s="2" t="s">
        <v>891</v>
      </c>
      <c r="C254" s="2" t="s">
        <v>892</v>
      </c>
      <c r="D254" s="2" t="s">
        <v>433</v>
      </c>
      <c r="E254" s="2" t="s">
        <v>433</v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 customFormat="false" ht="15" hidden="false" customHeight="false" outlineLevel="0" collapsed="false">
      <c r="A255" s="2" t="n">
        <v>4</v>
      </c>
      <c r="B255" s="2" t="s">
        <v>893</v>
      </c>
      <c r="C255" s="2" t="s">
        <v>894</v>
      </c>
      <c r="D255" s="2" t="s">
        <v>433</v>
      </c>
      <c r="E255" s="2" t="s">
        <v>433</v>
      </c>
      <c r="F255" s="2" t="n">
        <v>184278.675314445</v>
      </c>
      <c r="G255" s="2" t="n">
        <v>0</v>
      </c>
      <c r="H255" s="2" t="n">
        <v>184278.675314445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 customFormat="false" ht="15" hidden="false" customHeight="false" outlineLevel="0" collapsed="false">
      <c r="A256" s="2" t="n">
        <v>2</v>
      </c>
      <c r="B256" s="2" t="s">
        <v>895</v>
      </c>
      <c r="C256" s="2" t="s">
        <v>896</v>
      </c>
      <c r="D256" s="2" t="s">
        <v>433</v>
      </c>
      <c r="E256" s="2" t="s">
        <v>433</v>
      </c>
      <c r="F256" s="2" t="n">
        <v>580006.857450561</v>
      </c>
      <c r="G256" s="2" t="n">
        <v>0</v>
      </c>
      <c r="H256" s="2" t="n">
        <v>580006.857450561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 customFormat="false" ht="15" hidden="false" customHeight="false" outlineLevel="0" collapsed="false">
      <c r="A257" s="2" t="n">
        <v>3</v>
      </c>
      <c r="B257" s="2" t="s">
        <v>897</v>
      </c>
      <c r="C257" s="2" t="s">
        <v>898</v>
      </c>
      <c r="D257" s="2" t="s">
        <v>433</v>
      </c>
      <c r="E257" s="2" t="s">
        <v>433</v>
      </c>
      <c r="F257" s="2" t="n">
        <v>50898.30100295</v>
      </c>
      <c r="G257" s="2" t="n">
        <v>0</v>
      </c>
      <c r="H257" s="2" t="n">
        <v>50898.30100295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 customFormat="false" ht="15" hidden="false" customHeight="false" outlineLevel="0" collapsed="false">
      <c r="A258" s="2" t="n">
        <v>3</v>
      </c>
      <c r="B258" s="2" t="s">
        <v>899</v>
      </c>
      <c r="C258" s="2" t="s">
        <v>900</v>
      </c>
      <c r="D258" s="2" t="s">
        <v>433</v>
      </c>
      <c r="E258" s="2" t="s">
        <v>433</v>
      </c>
      <c r="F258" s="2" t="n">
        <v>33337.7597349169</v>
      </c>
      <c r="G258" s="2" t="n">
        <v>0</v>
      </c>
      <c r="H258" s="2" t="n">
        <v>33337.7597349169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 customFormat="false" ht="15" hidden="false" customHeight="false" outlineLevel="0" collapsed="false">
      <c r="A259" s="2" t="n">
        <v>3</v>
      </c>
      <c r="B259" s="2" t="s">
        <v>901</v>
      </c>
      <c r="C259" s="2" t="s">
        <v>902</v>
      </c>
      <c r="D259" s="2" t="s">
        <v>433</v>
      </c>
      <c r="E259" s="2" t="s">
        <v>433</v>
      </c>
      <c r="F259" s="2" t="n">
        <v>25270.8182213601</v>
      </c>
      <c r="G259" s="2" t="n">
        <v>0</v>
      </c>
      <c r="H259" s="2" t="n">
        <v>25270.8182213601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 customFormat="false" ht="15" hidden="false" customHeight="false" outlineLevel="0" collapsed="false">
      <c r="A260" s="2" t="n">
        <v>3</v>
      </c>
      <c r="B260" s="2" t="s">
        <v>903</v>
      </c>
      <c r="C260" s="2" t="s">
        <v>904</v>
      </c>
      <c r="D260" s="2" t="s">
        <v>433</v>
      </c>
      <c r="E260" s="2" t="s">
        <v>433</v>
      </c>
      <c r="F260" s="2" t="n">
        <v>26334.8984913341</v>
      </c>
      <c r="G260" s="2" t="n">
        <v>0</v>
      </c>
      <c r="H260" s="2" t="n">
        <v>26334.8984913341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 customFormat="false" ht="15" hidden="false" customHeight="false" outlineLevel="0" collapsed="false">
      <c r="A261" s="2" t="n">
        <v>3</v>
      </c>
      <c r="B261" s="2" t="s">
        <v>905</v>
      </c>
      <c r="C261" s="2" t="s">
        <v>906</v>
      </c>
      <c r="D261" s="2" t="s">
        <v>433</v>
      </c>
      <c r="E261" s="2" t="s">
        <v>433</v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 customFormat="false" ht="15" hidden="false" customHeight="false" outlineLevel="0" collapsed="false">
      <c r="A262" s="2" t="n">
        <v>3</v>
      </c>
      <c r="B262" s="2" t="s">
        <v>907</v>
      </c>
      <c r="C262" s="2" t="s">
        <v>908</v>
      </c>
      <c r="D262" s="2" t="s">
        <v>433</v>
      </c>
      <c r="E262" s="2" t="s">
        <v>433</v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 customFormat="false" ht="15" hidden="false" customHeight="false" outlineLevel="0" collapsed="false">
      <c r="A263" s="2" t="n">
        <v>3</v>
      </c>
      <c r="B263" s="2" t="s">
        <v>909</v>
      </c>
      <c r="C263" s="2" t="s">
        <v>910</v>
      </c>
      <c r="D263" s="2" t="s">
        <v>433</v>
      </c>
      <c r="E263" s="2" t="s">
        <v>433</v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 customFormat="false" ht="15" hidden="false" customHeight="false" outlineLevel="0" collapsed="false">
      <c r="A264" s="2" t="n">
        <v>1</v>
      </c>
      <c r="B264" s="2" t="s">
        <v>149</v>
      </c>
      <c r="C264" s="2" t="s">
        <v>81</v>
      </c>
      <c r="D264" s="2" t="s">
        <v>911</v>
      </c>
      <c r="E264" s="2" t="s">
        <v>912</v>
      </c>
      <c r="F264" s="2" t="n">
        <v>25566.717680038</v>
      </c>
      <c r="G264" s="2" t="n">
        <v>0</v>
      </c>
      <c r="H264" s="2" t="n">
        <v>25566.717680038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 customFormat="false" ht="15" hidden="false" customHeight="false" outlineLevel="0" collapsed="false">
      <c r="A265" s="2" t="n">
        <v>2</v>
      </c>
      <c r="B265" s="2" t="s">
        <v>913</v>
      </c>
      <c r="C265" s="2" t="s">
        <v>914</v>
      </c>
      <c r="D265" s="2" t="s">
        <v>911</v>
      </c>
      <c r="E265" s="2" t="s">
        <v>912</v>
      </c>
      <c r="F265" s="2" t="n">
        <v>25566.717680038</v>
      </c>
      <c r="G265" s="2" t="n">
        <v>0</v>
      </c>
      <c r="H265" s="2" t="n">
        <v>25566.717680038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 customFormat="false" ht="15" hidden="false" customHeight="false" outlineLevel="0" collapsed="false">
      <c r="A266" s="2" t="n">
        <v>3</v>
      </c>
      <c r="B266" s="2" t="s">
        <v>915</v>
      </c>
      <c r="C266" s="2" t="s">
        <v>914</v>
      </c>
      <c r="D266" s="2" t="s">
        <v>911</v>
      </c>
      <c r="E266" s="2" t="s">
        <v>912</v>
      </c>
      <c r="F266" s="2" t="n">
        <v>25566.717680038</v>
      </c>
      <c r="G266" s="2" t="n">
        <v>0</v>
      </c>
      <c r="H266" s="2" t="n">
        <v>25566.717680038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 customFormat="false" ht="15" hidden="false" customHeight="false" outlineLevel="0" collapsed="false">
      <c r="A267" s="2" t="n">
        <v>1</v>
      </c>
      <c r="B267" s="2" t="s">
        <v>152</v>
      </c>
      <c r="C267" s="2" t="s">
        <v>72</v>
      </c>
      <c r="D267" s="2" t="s">
        <v>911</v>
      </c>
      <c r="E267" s="2" t="s">
        <v>916</v>
      </c>
      <c r="F267" s="2" t="n">
        <v>3516929.76351239</v>
      </c>
      <c r="G267" s="2" t="n">
        <v>0</v>
      </c>
      <c r="H267" s="2" t="n">
        <v>3516929.76351239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88.21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 customFormat="false" ht="15" hidden="false" customHeight="false" outlineLevel="0" collapsed="false">
      <c r="A268" s="2" t="n">
        <v>2</v>
      </c>
      <c r="B268" s="2" t="s">
        <v>917</v>
      </c>
      <c r="C268" s="2" t="s">
        <v>918</v>
      </c>
      <c r="D268" s="2" t="s">
        <v>911</v>
      </c>
      <c r="E268" s="2" t="s">
        <v>916</v>
      </c>
      <c r="F268" s="2" t="n">
        <v>3516929.76351239</v>
      </c>
      <c r="G268" s="2" t="n">
        <v>0</v>
      </c>
      <c r="H268" s="2" t="n">
        <v>3516929.76351239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88.21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 customFormat="false" ht="15" hidden="false" customHeight="false" outlineLevel="0" collapsed="false">
      <c r="A269" s="2" t="n">
        <v>3</v>
      </c>
      <c r="B269" s="2" t="s">
        <v>919</v>
      </c>
      <c r="C269" s="2" t="s">
        <v>920</v>
      </c>
      <c r="D269" s="2" t="s">
        <v>911</v>
      </c>
      <c r="E269" s="2" t="s">
        <v>916</v>
      </c>
      <c r="F269" s="2" t="n">
        <v>1401718.87053723</v>
      </c>
      <c r="G269" s="2" t="n">
        <v>0</v>
      </c>
      <c r="H269" s="2" t="n">
        <v>1401718.87053723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88.21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 customFormat="false" ht="15" hidden="false" customHeight="false" outlineLevel="0" collapsed="false">
      <c r="A270" s="2" t="n">
        <v>4</v>
      </c>
      <c r="B270" s="2" t="s">
        <v>921</v>
      </c>
      <c r="C270" s="2" t="s">
        <v>922</v>
      </c>
      <c r="D270" s="2" t="s">
        <v>911</v>
      </c>
      <c r="E270" s="2" t="s">
        <v>916</v>
      </c>
      <c r="F270" s="2" t="n">
        <v>277980</v>
      </c>
      <c r="G270" s="2" t="n">
        <v>0</v>
      </c>
      <c r="H270" s="2" t="n">
        <v>277980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88.21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 customFormat="false" ht="15" hidden="false" customHeight="false" outlineLevel="0" collapsed="false">
      <c r="A271" s="2" t="n">
        <v>4</v>
      </c>
      <c r="B271" s="2" t="s">
        <v>923</v>
      </c>
      <c r="C271" s="2" t="s">
        <v>924</v>
      </c>
      <c r="D271" s="2" t="s">
        <v>911</v>
      </c>
      <c r="E271" s="2" t="s">
        <v>916</v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88.21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 customFormat="false" ht="15" hidden="false" customHeight="false" outlineLevel="0" collapsed="false">
      <c r="A272" s="2" t="n">
        <v>4</v>
      </c>
      <c r="B272" s="2" t="s">
        <v>925</v>
      </c>
      <c r="C272" s="2" t="s">
        <v>926</v>
      </c>
      <c r="D272" s="2" t="s">
        <v>911</v>
      </c>
      <c r="E272" s="2" t="s">
        <v>916</v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88.21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 customFormat="false" ht="15" hidden="false" customHeight="false" outlineLevel="0" collapsed="false">
      <c r="A273" s="2" t="n">
        <v>4</v>
      </c>
      <c r="B273" s="2" t="s">
        <v>927</v>
      </c>
      <c r="C273" s="2" t="s">
        <v>928</v>
      </c>
      <c r="D273" s="2" t="s">
        <v>911</v>
      </c>
      <c r="E273" s="2" t="s">
        <v>916</v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88.21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 customFormat="false" ht="15" hidden="false" customHeight="false" outlineLevel="0" collapsed="false">
      <c r="A274" s="2" t="n">
        <v>4</v>
      </c>
      <c r="B274" s="2" t="s">
        <v>929</v>
      </c>
      <c r="C274" s="2" t="s">
        <v>930</v>
      </c>
      <c r="D274" s="2" t="s">
        <v>911</v>
      </c>
      <c r="E274" s="2" t="s">
        <v>916</v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88.21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 customFormat="false" ht="15" hidden="false" customHeight="false" outlineLevel="0" collapsed="false">
      <c r="A275" s="2" t="n">
        <v>4</v>
      </c>
      <c r="B275" s="2" t="s">
        <v>931</v>
      </c>
      <c r="C275" s="2" t="s">
        <v>932</v>
      </c>
      <c r="D275" s="2" t="s">
        <v>911</v>
      </c>
      <c r="E275" s="2" t="s">
        <v>916</v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88.21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 customFormat="false" ht="15" hidden="false" customHeight="false" outlineLevel="0" collapsed="false">
      <c r="A276" s="2" t="n">
        <v>4</v>
      </c>
      <c r="B276" s="2" t="s">
        <v>933</v>
      </c>
      <c r="C276" s="2" t="s">
        <v>934</v>
      </c>
      <c r="D276" s="2" t="s">
        <v>911</v>
      </c>
      <c r="E276" s="2" t="s">
        <v>916</v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88.21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 customFormat="false" ht="15" hidden="false" customHeight="false" outlineLevel="0" collapsed="false">
      <c r="A277" s="2" t="n">
        <v>4</v>
      </c>
      <c r="B277" s="2" t="s">
        <v>935</v>
      </c>
      <c r="C277" s="2" t="s">
        <v>936</v>
      </c>
      <c r="D277" s="2" t="s">
        <v>911</v>
      </c>
      <c r="E277" s="2" t="s">
        <v>916</v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88.21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 customFormat="false" ht="15" hidden="false" customHeight="false" outlineLevel="0" collapsed="false">
      <c r="A278" s="2" t="n">
        <v>4</v>
      </c>
      <c r="B278" s="2" t="s">
        <v>937</v>
      </c>
      <c r="C278" s="2" t="s">
        <v>938</v>
      </c>
      <c r="D278" s="2" t="s">
        <v>911</v>
      </c>
      <c r="E278" s="2" t="s">
        <v>916</v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88.21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 customFormat="false" ht="15" hidden="false" customHeight="false" outlineLevel="0" collapsed="false">
      <c r="A279" s="2" t="n">
        <v>4</v>
      </c>
      <c r="B279" s="2" t="s">
        <v>939</v>
      </c>
      <c r="C279" s="2" t="s">
        <v>940</v>
      </c>
      <c r="D279" s="2" t="s">
        <v>911</v>
      </c>
      <c r="E279" s="2" t="s">
        <v>916</v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88.21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 customFormat="false" ht="15" hidden="false" customHeight="false" outlineLevel="0" collapsed="false">
      <c r="A280" s="2" t="n">
        <v>4</v>
      </c>
      <c r="B280" s="2" t="s">
        <v>941</v>
      </c>
      <c r="C280" s="2" t="s">
        <v>942</v>
      </c>
      <c r="D280" s="2" t="s">
        <v>911</v>
      </c>
      <c r="E280" s="2" t="s">
        <v>916</v>
      </c>
      <c r="F280" s="2" t="n">
        <v>8365.73057005686</v>
      </c>
      <c r="G280" s="2" t="n">
        <v>0</v>
      </c>
      <c r="H280" s="2" t="n">
        <v>8365.73057005686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88.21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 customFormat="false" ht="15" hidden="false" customHeight="false" outlineLevel="0" collapsed="false">
      <c r="A281" s="2" t="n">
        <v>4</v>
      </c>
      <c r="B281" s="2" t="s">
        <v>943</v>
      </c>
      <c r="C281" s="2" t="s">
        <v>944</v>
      </c>
      <c r="D281" s="2" t="s">
        <v>911</v>
      </c>
      <c r="E281" s="2" t="s">
        <v>916</v>
      </c>
      <c r="F281" s="2" t="n">
        <v>352610.01491717</v>
      </c>
      <c r="G281" s="2" t="n">
        <v>0</v>
      </c>
      <c r="H281" s="2" t="n">
        <v>352610.01491717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88.21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 customFormat="false" ht="15" hidden="false" customHeight="false" outlineLevel="0" collapsed="false">
      <c r="A282" s="2" t="n">
        <v>4</v>
      </c>
      <c r="B282" s="2" t="s">
        <v>945</v>
      </c>
      <c r="C282" s="2" t="s">
        <v>946</v>
      </c>
      <c r="D282" s="2" t="s">
        <v>911</v>
      </c>
      <c r="E282" s="2" t="s">
        <v>916</v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88.21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 customFormat="false" ht="15" hidden="false" customHeight="false" outlineLevel="0" collapsed="false">
      <c r="A283" s="2" t="n">
        <v>4</v>
      </c>
      <c r="B283" s="2" t="s">
        <v>947</v>
      </c>
      <c r="C283" s="2" t="s">
        <v>948</v>
      </c>
      <c r="D283" s="2" t="s">
        <v>911</v>
      </c>
      <c r="E283" s="2" t="s">
        <v>916</v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88.21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 customFormat="false" ht="15" hidden="false" customHeight="false" outlineLevel="0" collapsed="false">
      <c r="A284" s="2" t="n">
        <v>4</v>
      </c>
      <c r="B284" s="2" t="s">
        <v>949</v>
      </c>
      <c r="C284" s="2" t="s">
        <v>950</v>
      </c>
      <c r="D284" s="2" t="s">
        <v>911</v>
      </c>
      <c r="E284" s="2" t="s">
        <v>916</v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88.21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 customFormat="false" ht="15" hidden="false" customHeight="false" outlineLevel="0" collapsed="false">
      <c r="A285" s="2" t="n">
        <v>3</v>
      </c>
      <c r="B285" s="2" t="s">
        <v>951</v>
      </c>
      <c r="C285" s="2" t="s">
        <v>952</v>
      </c>
      <c r="D285" s="2" t="s">
        <v>911</v>
      </c>
      <c r="E285" s="2" t="s">
        <v>916</v>
      </c>
      <c r="F285" s="2" t="n">
        <v>1034914.8947393</v>
      </c>
      <c r="G285" s="2" t="n">
        <v>0</v>
      </c>
      <c r="H285" s="2" t="n">
        <v>1034914.8947393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88.21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 customFormat="false" ht="15" hidden="false" customHeight="false" outlineLevel="0" collapsed="false">
      <c r="A286" s="2" t="n">
        <v>4</v>
      </c>
      <c r="B286" s="2" t="s">
        <v>953</v>
      </c>
      <c r="C286" s="2" t="s">
        <v>954</v>
      </c>
      <c r="D286" s="2" t="s">
        <v>911</v>
      </c>
      <c r="E286" s="2" t="s">
        <v>916</v>
      </c>
      <c r="F286" s="2" t="n">
        <v>56580</v>
      </c>
      <c r="G286" s="2" t="n">
        <v>0</v>
      </c>
      <c r="H286" s="2" t="n">
        <v>56580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88.21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 customFormat="false" ht="15" hidden="false" customHeight="false" outlineLevel="0" collapsed="false">
      <c r="A287" s="2" t="n">
        <v>4</v>
      </c>
      <c r="B287" s="2" t="s">
        <v>955</v>
      </c>
      <c r="C287" s="2" t="s">
        <v>956</v>
      </c>
      <c r="D287" s="2" t="s">
        <v>911</v>
      </c>
      <c r="E287" s="2" t="s">
        <v>916</v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88.21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 customFormat="false" ht="15" hidden="false" customHeight="false" outlineLevel="0" collapsed="false">
      <c r="A288" s="2" t="n">
        <v>4</v>
      </c>
      <c r="B288" s="2" t="s">
        <v>957</v>
      </c>
      <c r="C288" s="2" t="s">
        <v>958</v>
      </c>
      <c r="D288" s="2" t="s">
        <v>911</v>
      </c>
      <c r="E288" s="2" t="s">
        <v>916</v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88.21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 customFormat="false" ht="15" hidden="false" customHeight="false" outlineLevel="0" collapsed="false">
      <c r="A289" s="2" t="n">
        <v>4</v>
      </c>
      <c r="B289" s="2" t="s">
        <v>959</v>
      </c>
      <c r="C289" s="2" t="s">
        <v>960</v>
      </c>
      <c r="D289" s="2" t="s">
        <v>911</v>
      </c>
      <c r="E289" s="2" t="s">
        <v>916</v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88.21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 customFormat="false" ht="15" hidden="false" customHeight="false" outlineLevel="0" collapsed="false">
      <c r="A290" s="2" t="n">
        <v>4</v>
      </c>
      <c r="B290" s="2" t="s">
        <v>961</v>
      </c>
      <c r="C290" s="2" t="s">
        <v>938</v>
      </c>
      <c r="D290" s="2" t="s">
        <v>911</v>
      </c>
      <c r="E290" s="2" t="s">
        <v>916</v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88.21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 customFormat="false" ht="15" hidden="false" customHeight="false" outlineLevel="0" collapsed="false">
      <c r="A291" s="2" t="n">
        <v>4</v>
      </c>
      <c r="B291" s="2" t="s">
        <v>962</v>
      </c>
      <c r="C291" s="2" t="s">
        <v>940</v>
      </c>
      <c r="D291" s="2" t="s">
        <v>911</v>
      </c>
      <c r="E291" s="2" t="s">
        <v>916</v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88.21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 customFormat="false" ht="15" hidden="false" customHeight="false" outlineLevel="0" collapsed="false">
      <c r="A292" s="2" t="n">
        <v>4</v>
      </c>
      <c r="B292" s="2" t="s">
        <v>963</v>
      </c>
      <c r="C292" s="2" t="s">
        <v>942</v>
      </c>
      <c r="D292" s="2" t="s">
        <v>911</v>
      </c>
      <c r="E292" s="2" t="s">
        <v>916</v>
      </c>
      <c r="F292" s="2" t="n">
        <v>10038.8766840682</v>
      </c>
      <c r="G292" s="2" t="n">
        <v>0</v>
      </c>
      <c r="H292" s="2" t="n">
        <v>10038.8766840682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88.21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 customFormat="false" ht="15" hidden="false" customHeight="false" outlineLevel="0" collapsed="false">
      <c r="A293" s="2" t="n">
        <v>4</v>
      </c>
      <c r="B293" s="2" t="s">
        <v>964</v>
      </c>
      <c r="C293" s="2" t="s">
        <v>944</v>
      </c>
      <c r="D293" s="2" t="s">
        <v>911</v>
      </c>
      <c r="E293" s="2" t="s">
        <v>916</v>
      </c>
      <c r="F293" s="2" t="n">
        <v>240524.765373977</v>
      </c>
      <c r="G293" s="2" t="n">
        <v>0</v>
      </c>
      <c r="H293" s="2" t="n">
        <v>240524.765373977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88.21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 customFormat="false" ht="15" hidden="false" customHeight="false" outlineLevel="0" collapsed="false">
      <c r="A294" s="2" t="n">
        <v>4</v>
      </c>
      <c r="B294" s="2" t="s">
        <v>965</v>
      </c>
      <c r="C294" s="2" t="s">
        <v>946</v>
      </c>
      <c r="D294" s="2" t="s">
        <v>911</v>
      </c>
      <c r="E294" s="2" t="s">
        <v>916</v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88.21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 customFormat="false" ht="15" hidden="false" customHeight="false" outlineLevel="0" collapsed="false">
      <c r="A295" s="2" t="n">
        <v>4</v>
      </c>
      <c r="B295" s="2" t="s">
        <v>966</v>
      </c>
      <c r="C295" s="2" t="s">
        <v>948</v>
      </c>
      <c r="D295" s="2" t="s">
        <v>911</v>
      </c>
      <c r="E295" s="2" t="s">
        <v>916</v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88.21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 customFormat="false" ht="15" hidden="false" customHeight="false" outlineLevel="0" collapsed="false">
      <c r="A296" s="2" t="n">
        <v>3</v>
      </c>
      <c r="B296" s="2" t="s">
        <v>967</v>
      </c>
      <c r="C296" s="2" t="s">
        <v>968</v>
      </c>
      <c r="D296" s="2" t="s">
        <v>911</v>
      </c>
      <c r="E296" s="2" t="s">
        <v>916</v>
      </c>
      <c r="F296" s="2" t="n">
        <v>269945.023217626</v>
      </c>
      <c r="G296" s="2" t="n">
        <v>0</v>
      </c>
      <c r="H296" s="2" t="n">
        <v>269945.023217626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88.21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 customFormat="false" ht="15" hidden="false" customHeight="false" outlineLevel="0" collapsed="false">
      <c r="A297" s="2" t="n">
        <v>4</v>
      </c>
      <c r="B297" s="2" t="s">
        <v>969</v>
      </c>
      <c r="C297" s="2" t="s">
        <v>970</v>
      </c>
      <c r="D297" s="2" t="s">
        <v>911</v>
      </c>
      <c r="E297" s="2" t="s">
        <v>916</v>
      </c>
      <c r="F297" s="2" t="n">
        <v>59471.6834915072</v>
      </c>
      <c r="G297" s="2" t="n">
        <v>0</v>
      </c>
      <c r="H297" s="2" t="n">
        <v>59471.6834915072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88.21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 customFormat="false" ht="15" hidden="false" customHeight="false" outlineLevel="0" collapsed="false">
      <c r="A298" s="2" t="n">
        <v>4</v>
      </c>
      <c r="B298" s="2" t="s">
        <v>971</v>
      </c>
      <c r="C298" s="2" t="s">
        <v>972</v>
      </c>
      <c r="D298" s="2" t="s">
        <v>911</v>
      </c>
      <c r="E298" s="2" t="s">
        <v>916</v>
      </c>
      <c r="F298" s="2" t="n">
        <v>2777.56003159721</v>
      </c>
      <c r="G298" s="2" t="n">
        <v>0</v>
      </c>
      <c r="H298" s="2" t="n">
        <v>2777.56003159721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88.21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 customFormat="false" ht="15" hidden="false" customHeight="false" outlineLevel="0" collapsed="false">
      <c r="A299" s="2" t="n">
        <v>4</v>
      </c>
      <c r="B299" s="2" t="s">
        <v>973</v>
      </c>
      <c r="C299" s="2" t="s">
        <v>974</v>
      </c>
      <c r="D299" s="2" t="s">
        <v>911</v>
      </c>
      <c r="E299" s="2" t="s">
        <v>916</v>
      </c>
      <c r="F299" s="2" t="n">
        <v>3830.57625769809</v>
      </c>
      <c r="G299" s="2" t="n">
        <v>0</v>
      </c>
      <c r="H299" s="2" t="n">
        <v>3830.57625769809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88.21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 customFormat="false" ht="15" hidden="false" customHeight="false" outlineLevel="0" collapsed="false">
      <c r="A300" s="2" t="n">
        <v>4</v>
      </c>
      <c r="B300" s="2" t="s">
        <v>975</v>
      </c>
      <c r="C300" s="2" t="s">
        <v>976</v>
      </c>
      <c r="D300" s="2" t="s">
        <v>911</v>
      </c>
      <c r="E300" s="2" t="s">
        <v>916</v>
      </c>
      <c r="F300" s="2" t="n">
        <v>116574.923436824</v>
      </c>
      <c r="G300" s="2" t="n">
        <v>0</v>
      </c>
      <c r="H300" s="2" t="n">
        <v>116574.923436824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88.21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 customFormat="false" ht="15" hidden="false" customHeight="false" outlineLevel="0" collapsed="false">
      <c r="A301" s="2" t="n">
        <v>4</v>
      </c>
      <c r="B301" s="2" t="s">
        <v>977</v>
      </c>
      <c r="C301" s="2" t="s">
        <v>978</v>
      </c>
      <c r="D301" s="2" t="s">
        <v>911</v>
      </c>
      <c r="E301" s="2" t="s">
        <v>916</v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88.21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 customFormat="false" ht="15" hidden="false" customHeight="false" outlineLevel="0" collapsed="false">
      <c r="A302" s="2" t="n">
        <v>3</v>
      </c>
      <c r="B302" s="2" t="s">
        <v>979</v>
      </c>
      <c r="C302" s="2" t="s">
        <v>980</v>
      </c>
      <c r="D302" s="2" t="s">
        <v>911</v>
      </c>
      <c r="E302" s="2" t="s">
        <v>916</v>
      </c>
      <c r="F302" s="2" t="n">
        <v>478845.519572375</v>
      </c>
      <c r="G302" s="2" t="n">
        <v>0</v>
      </c>
      <c r="H302" s="2" t="n">
        <v>478845.519572375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88.21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 customFormat="false" ht="15" hidden="false" customHeight="false" outlineLevel="0" collapsed="false">
      <c r="A303" s="2" t="n">
        <v>4</v>
      </c>
      <c r="B303" s="2" t="s">
        <v>981</v>
      </c>
      <c r="C303" s="2" t="s">
        <v>982</v>
      </c>
      <c r="D303" s="2" t="s">
        <v>911</v>
      </c>
      <c r="E303" s="2" t="s">
        <v>916</v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88.21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 customFormat="false" ht="15" hidden="false" customHeight="false" outlineLevel="0" collapsed="false">
      <c r="A304" s="2" t="n">
        <v>4</v>
      </c>
      <c r="B304" s="2" t="s">
        <v>983</v>
      </c>
      <c r="C304" s="2" t="s">
        <v>984</v>
      </c>
      <c r="D304" s="2" t="s">
        <v>911</v>
      </c>
      <c r="E304" s="2" t="s">
        <v>916</v>
      </c>
      <c r="F304" s="2" t="n">
        <v>136406.349206349</v>
      </c>
      <c r="G304" s="2" t="n">
        <v>0</v>
      </c>
      <c r="H304" s="2" t="n">
        <v>136406.349206349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88.21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 customFormat="false" ht="15" hidden="false" customHeight="false" outlineLevel="0" collapsed="false">
      <c r="A305" s="2" t="n">
        <v>4</v>
      </c>
      <c r="B305" s="2" t="s">
        <v>985</v>
      </c>
      <c r="C305" s="2" t="s">
        <v>986</v>
      </c>
      <c r="D305" s="2" t="s">
        <v>911</v>
      </c>
      <c r="E305" s="2" t="s">
        <v>916</v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88.21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 customFormat="false" ht="15" hidden="false" customHeight="false" outlineLevel="0" collapsed="false">
      <c r="A306" s="2" t="n">
        <v>4</v>
      </c>
      <c r="B306" s="2" t="s">
        <v>987</v>
      </c>
      <c r="C306" s="2" t="s">
        <v>988</v>
      </c>
      <c r="D306" s="2" t="s">
        <v>911</v>
      </c>
      <c r="E306" s="2" t="s">
        <v>916</v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88.21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 customFormat="false" ht="15" hidden="false" customHeight="false" outlineLevel="0" collapsed="false">
      <c r="A307" s="2" t="n">
        <v>4</v>
      </c>
      <c r="B307" s="2" t="s">
        <v>989</v>
      </c>
      <c r="C307" s="2" t="s">
        <v>990</v>
      </c>
      <c r="D307" s="2" t="s">
        <v>911</v>
      </c>
      <c r="E307" s="2" t="s">
        <v>916</v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88.21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 customFormat="false" ht="15" hidden="false" customHeight="false" outlineLevel="0" collapsed="false">
      <c r="A308" s="2" t="n">
        <v>4</v>
      </c>
      <c r="B308" s="2" t="s">
        <v>991</v>
      </c>
      <c r="C308" s="2" t="s">
        <v>992</v>
      </c>
      <c r="D308" s="2" t="s">
        <v>911</v>
      </c>
      <c r="E308" s="2" t="s">
        <v>916</v>
      </c>
      <c r="F308" s="2" t="n">
        <v>21199.9703660256</v>
      </c>
      <c r="G308" s="2" t="n">
        <v>0</v>
      </c>
      <c r="H308" s="2" t="n">
        <v>21199.9703660256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88.21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 customFormat="false" ht="15" hidden="false" customHeight="false" outlineLevel="0" collapsed="false">
      <c r="A309" s="2" t="n">
        <v>4</v>
      </c>
      <c r="B309" s="2" t="s">
        <v>993</v>
      </c>
      <c r="C309" s="2" t="s">
        <v>994</v>
      </c>
      <c r="D309" s="2" t="s">
        <v>911</v>
      </c>
      <c r="E309" s="2" t="s">
        <v>916</v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88.21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 customFormat="false" ht="15" hidden="false" customHeight="false" outlineLevel="0" collapsed="false">
      <c r="A310" s="2" t="n">
        <v>4</v>
      </c>
      <c r="B310" s="2" t="s">
        <v>995</v>
      </c>
      <c r="C310" s="2" t="s">
        <v>996</v>
      </c>
      <c r="D310" s="2" t="s">
        <v>911</v>
      </c>
      <c r="E310" s="2" t="s">
        <v>916</v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88.21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 customFormat="false" ht="15" hidden="false" customHeight="false" outlineLevel="0" collapsed="false">
      <c r="A311" s="2" t="n">
        <v>4</v>
      </c>
      <c r="B311" s="2" t="s">
        <v>997</v>
      </c>
      <c r="C311" s="2" t="s">
        <v>998</v>
      </c>
      <c r="D311" s="2" t="s">
        <v>911</v>
      </c>
      <c r="E311" s="2" t="s">
        <v>916</v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88.21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 customFormat="false" ht="15" hidden="false" customHeight="false" outlineLevel="0" collapsed="false">
      <c r="A312" s="2" t="n">
        <v>3</v>
      </c>
      <c r="B312" s="2" t="s">
        <v>999</v>
      </c>
      <c r="C312" s="2" t="s">
        <v>1000</v>
      </c>
      <c r="D312" s="2" t="s">
        <v>911</v>
      </c>
      <c r="E312" s="2" t="s">
        <v>916</v>
      </c>
      <c r="F312" s="2" t="n">
        <v>216979.455445863</v>
      </c>
      <c r="G312" s="2" t="n">
        <v>0</v>
      </c>
      <c r="H312" s="2" t="n">
        <v>216979.455445863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88.21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 customFormat="false" ht="15" hidden="false" customHeight="false" outlineLevel="0" collapsed="false">
      <c r="A313" s="2" t="n">
        <v>4</v>
      </c>
      <c r="B313" s="2" t="s">
        <v>1001</v>
      </c>
      <c r="C313" s="2" t="s">
        <v>1002</v>
      </c>
      <c r="D313" s="2" t="s">
        <v>911</v>
      </c>
      <c r="E313" s="2" t="s">
        <v>916</v>
      </c>
      <c r="F313" s="2" t="n">
        <v>70222.8433638687</v>
      </c>
      <c r="G313" s="2" t="n">
        <v>0</v>
      </c>
      <c r="H313" s="2" t="n">
        <v>70222.8433638687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88.21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 customFormat="false" ht="15" hidden="false" customHeight="false" outlineLevel="0" collapsed="false">
      <c r="A314" s="2" t="n">
        <v>4</v>
      </c>
      <c r="B314" s="2" t="s">
        <v>1003</v>
      </c>
      <c r="C314" s="2" t="s">
        <v>972</v>
      </c>
      <c r="D314" s="2" t="s">
        <v>911</v>
      </c>
      <c r="E314" s="2" t="s">
        <v>916</v>
      </c>
      <c r="F314" s="2" t="n">
        <v>840.716840176579</v>
      </c>
      <c r="G314" s="2" t="n">
        <v>0</v>
      </c>
      <c r="H314" s="2" t="n">
        <v>840.716840176579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88.21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 customFormat="false" ht="15" hidden="false" customHeight="false" outlineLevel="0" collapsed="false">
      <c r="A315" s="2" t="n">
        <v>4</v>
      </c>
      <c r="B315" s="2" t="s">
        <v>1004</v>
      </c>
      <c r="C315" s="2" t="s">
        <v>974</v>
      </c>
      <c r="D315" s="2" t="s">
        <v>911</v>
      </c>
      <c r="E315" s="2" t="s">
        <v>916</v>
      </c>
      <c r="F315" s="2" t="n">
        <v>718.155069354121</v>
      </c>
      <c r="G315" s="2" t="n">
        <v>0</v>
      </c>
      <c r="H315" s="2" t="n">
        <v>718.155069354121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88.21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 customFormat="false" ht="15" hidden="false" customHeight="false" outlineLevel="0" collapsed="false">
      <c r="A316" s="2" t="n">
        <v>4</v>
      </c>
      <c r="B316" s="2" t="s">
        <v>1005</v>
      </c>
      <c r="C316" s="2" t="s">
        <v>944</v>
      </c>
      <c r="D316" s="2" t="s">
        <v>911</v>
      </c>
      <c r="E316" s="2" t="s">
        <v>916</v>
      </c>
      <c r="F316" s="2" t="n">
        <v>83030.5581724634</v>
      </c>
      <c r="G316" s="2" t="n">
        <v>0</v>
      </c>
      <c r="H316" s="2" t="n">
        <v>83030.5581724634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88.21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 customFormat="false" ht="15" hidden="false" customHeight="false" outlineLevel="0" collapsed="false">
      <c r="A317" s="2" t="n">
        <v>4</v>
      </c>
      <c r="B317" s="2" t="s">
        <v>1006</v>
      </c>
      <c r="C317" s="2" t="s">
        <v>978</v>
      </c>
      <c r="D317" s="2" t="s">
        <v>911</v>
      </c>
      <c r="E317" s="2" t="s">
        <v>916</v>
      </c>
      <c r="F317" s="2" t="n">
        <v>62167.182</v>
      </c>
      <c r="G317" s="2" t="n">
        <v>0</v>
      </c>
      <c r="H317" s="2" t="n">
        <v>62167.182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88.21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 customFormat="false" ht="15" hidden="false" customHeight="false" outlineLevel="0" collapsed="false">
      <c r="A318" s="2" t="n">
        <v>3</v>
      </c>
      <c r="B318" s="2" t="s">
        <v>1007</v>
      </c>
      <c r="C318" s="2" t="s">
        <v>1008</v>
      </c>
      <c r="D318" s="2" t="s">
        <v>911</v>
      </c>
      <c r="E318" s="2" t="s">
        <v>916</v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88.21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 customFormat="false" ht="15" hidden="false" customHeight="false" outlineLevel="0" collapsed="false">
      <c r="A319" s="2" t="n">
        <v>4</v>
      </c>
      <c r="B319" s="2" t="s">
        <v>1009</v>
      </c>
      <c r="C319" s="2" t="s">
        <v>1010</v>
      </c>
      <c r="D319" s="2" t="s">
        <v>911</v>
      </c>
      <c r="E319" s="2" t="s">
        <v>916</v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88.21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 customFormat="false" ht="15" hidden="false" customHeight="false" outlineLevel="0" collapsed="false">
      <c r="A320" s="2" t="n">
        <v>4</v>
      </c>
      <c r="B320" s="2" t="s">
        <v>1011</v>
      </c>
      <c r="C320" s="2" t="s">
        <v>1012</v>
      </c>
      <c r="D320" s="2" t="s">
        <v>911</v>
      </c>
      <c r="E320" s="2" t="s">
        <v>916</v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88.21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 customFormat="false" ht="15" hidden="false" customHeight="false" outlineLevel="0" collapsed="false">
      <c r="A321" s="2" t="n">
        <v>3</v>
      </c>
      <c r="B321" s="2" t="s">
        <v>1013</v>
      </c>
      <c r="C321" s="2" t="s">
        <v>1014</v>
      </c>
      <c r="D321" s="2" t="s">
        <v>911</v>
      </c>
      <c r="E321" s="2" t="s">
        <v>916</v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88.21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 customFormat="false" ht="15" hidden="false" customHeight="false" outlineLevel="0" collapsed="false">
      <c r="A322" s="2" t="n">
        <v>4</v>
      </c>
      <c r="B322" s="2" t="s">
        <v>1015</v>
      </c>
      <c r="C322" s="2" t="s">
        <v>1016</v>
      </c>
      <c r="D322" s="2" t="s">
        <v>911</v>
      </c>
      <c r="E322" s="2" t="s">
        <v>916</v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88.21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 customFormat="false" ht="15" hidden="false" customHeight="false" outlineLevel="0" collapsed="false">
      <c r="A323" s="2" t="n">
        <v>4</v>
      </c>
      <c r="B323" s="2" t="s">
        <v>1017</v>
      </c>
      <c r="C323" s="2" t="s">
        <v>1018</v>
      </c>
      <c r="D323" s="2" t="s">
        <v>911</v>
      </c>
      <c r="E323" s="2" t="s">
        <v>916</v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88.21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 customFormat="false" ht="15" hidden="false" customHeight="false" outlineLevel="0" collapsed="false">
      <c r="A324" s="2" t="n">
        <v>4</v>
      </c>
      <c r="B324" s="2" t="s">
        <v>1019</v>
      </c>
      <c r="C324" s="2" t="s">
        <v>1020</v>
      </c>
      <c r="D324" s="2" t="s">
        <v>911</v>
      </c>
      <c r="E324" s="2" t="s">
        <v>916</v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88.21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 customFormat="false" ht="15" hidden="false" customHeight="false" outlineLevel="0" collapsed="false">
      <c r="A325" s="2" t="n">
        <v>1</v>
      </c>
      <c r="B325" s="2" t="s">
        <v>154</v>
      </c>
      <c r="C325" s="2" t="s">
        <v>71</v>
      </c>
      <c r="D325" s="2" t="s">
        <v>1021</v>
      </c>
      <c r="E325" s="2" t="s">
        <v>1022</v>
      </c>
      <c r="F325" s="2" t="n">
        <v>1921505.72603081</v>
      </c>
      <c r="G325" s="2" t="n">
        <v>0</v>
      </c>
      <c r="H325" s="2" t="n">
        <v>1921505.72603081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86.96</v>
      </c>
      <c r="AK325" s="2" t="n">
        <v>86.96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98.85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 customFormat="false" ht="15" hidden="false" customHeight="false" outlineLevel="0" collapsed="false">
      <c r="A326" s="2" t="n">
        <v>2</v>
      </c>
      <c r="B326" s="2" t="s">
        <v>1023</v>
      </c>
      <c r="C326" s="2" t="s">
        <v>1024</v>
      </c>
      <c r="D326" s="2" t="s">
        <v>1021</v>
      </c>
      <c r="E326" s="2" t="s">
        <v>1022</v>
      </c>
      <c r="F326" s="2" t="n">
        <v>1921505.72603081</v>
      </c>
      <c r="G326" s="2" t="n">
        <v>0</v>
      </c>
      <c r="H326" s="2" t="n">
        <v>1921505.72603081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86.96</v>
      </c>
      <c r="AK326" s="2" t="n">
        <v>86.96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98.85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 customFormat="false" ht="15" hidden="false" customHeight="false" outlineLevel="0" collapsed="false">
      <c r="A327" s="2" t="n">
        <v>3</v>
      </c>
      <c r="B327" s="2" t="s">
        <v>1025</v>
      </c>
      <c r="C327" s="2" t="s">
        <v>1026</v>
      </c>
      <c r="D327" s="2" t="s">
        <v>1021</v>
      </c>
      <c r="E327" s="2" t="s">
        <v>1022</v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86.96</v>
      </c>
      <c r="AK327" s="2" t="n">
        <v>86.96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98.85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 customFormat="false" ht="15" hidden="false" customHeight="false" outlineLevel="0" collapsed="false">
      <c r="A328" s="2" t="n">
        <v>3</v>
      </c>
      <c r="B328" s="2" t="s">
        <v>1027</v>
      </c>
      <c r="C328" s="2" t="s">
        <v>1028</v>
      </c>
      <c r="D328" s="2" t="s">
        <v>1021</v>
      </c>
      <c r="E328" s="2" t="s">
        <v>1022</v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86.96</v>
      </c>
      <c r="AK328" s="2" t="n">
        <v>86.96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98.85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 customFormat="false" ht="15" hidden="false" customHeight="false" outlineLevel="0" collapsed="false">
      <c r="A329" s="2" t="n">
        <v>3</v>
      </c>
      <c r="B329" s="2" t="s">
        <v>1029</v>
      </c>
      <c r="C329" s="2" t="s">
        <v>1030</v>
      </c>
      <c r="D329" s="2" t="s">
        <v>1021</v>
      </c>
      <c r="E329" s="2" t="s">
        <v>1022</v>
      </c>
      <c r="F329" s="2" t="n">
        <v>180691.116033809</v>
      </c>
      <c r="G329" s="2" t="n">
        <v>0</v>
      </c>
      <c r="H329" s="2" t="n">
        <v>180691.116033809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86.96</v>
      </c>
      <c r="AK329" s="2" t="n">
        <v>86.96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98.85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 customFormat="false" ht="15" hidden="false" customHeight="false" outlineLevel="0" collapsed="false">
      <c r="A330" s="2" t="n">
        <v>3</v>
      </c>
      <c r="B330" s="2" t="s">
        <v>1031</v>
      </c>
      <c r="C330" s="2" t="s">
        <v>1032</v>
      </c>
      <c r="D330" s="2" t="s">
        <v>1021</v>
      </c>
      <c r="E330" s="2" t="s">
        <v>1022</v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86.96</v>
      </c>
      <c r="AK330" s="2" t="n">
        <v>86.96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98.85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 customFormat="false" ht="15" hidden="false" customHeight="false" outlineLevel="0" collapsed="false">
      <c r="A331" s="2" t="n">
        <v>3</v>
      </c>
      <c r="B331" s="2" t="s">
        <v>1033</v>
      </c>
      <c r="C331" s="2" t="s">
        <v>1034</v>
      </c>
      <c r="D331" s="2" t="s">
        <v>1021</v>
      </c>
      <c r="E331" s="2" t="s">
        <v>1022</v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86.96</v>
      </c>
      <c r="AK331" s="2" t="n">
        <v>86.96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98.85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 customFormat="false" ht="15" hidden="false" customHeight="false" outlineLevel="0" collapsed="false">
      <c r="A332" s="2" t="n">
        <v>1</v>
      </c>
      <c r="B332" s="2" t="s">
        <v>156</v>
      </c>
      <c r="C332" s="2" t="s">
        <v>73</v>
      </c>
      <c r="D332" s="2" t="s">
        <v>1035</v>
      </c>
      <c r="E332" s="2" t="s">
        <v>1036</v>
      </c>
      <c r="F332" s="2" t="n">
        <v>6569078.52195866</v>
      </c>
      <c r="G332" s="2" t="n">
        <v>0</v>
      </c>
      <c r="H332" s="2" t="n">
        <v>6569078.52195866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</v>
      </c>
      <c r="Y332" s="2" t="n">
        <v>89.9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 customFormat="false" ht="15" hidden="false" customHeight="false" outlineLevel="0" collapsed="false">
      <c r="A333" s="2" t="n">
        <v>2</v>
      </c>
      <c r="B333" s="2" t="s">
        <v>1037</v>
      </c>
      <c r="C333" s="2" t="s">
        <v>1038</v>
      </c>
      <c r="D333" s="2" t="s">
        <v>1035</v>
      </c>
      <c r="E333" s="2" t="s">
        <v>1036</v>
      </c>
      <c r="F333" s="2" t="n">
        <v>6569078.52195866</v>
      </c>
      <c r="G333" s="2" t="n">
        <v>0</v>
      </c>
      <c r="H333" s="2" t="n">
        <v>6569078.52195866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</v>
      </c>
      <c r="Y333" s="2" t="n">
        <v>89.9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 customFormat="false" ht="15" hidden="false" customHeight="false" outlineLevel="0" collapsed="false">
      <c r="A334" s="2" t="n">
        <v>3</v>
      </c>
      <c r="B334" s="2" t="s">
        <v>1039</v>
      </c>
      <c r="C334" s="2" t="s">
        <v>1040</v>
      </c>
      <c r="D334" s="2" t="s">
        <v>1035</v>
      </c>
      <c r="E334" s="2" t="s">
        <v>1036</v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</v>
      </c>
      <c r="Y334" s="2" t="n">
        <v>89.9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 customFormat="false" ht="15" hidden="false" customHeight="false" outlineLevel="0" collapsed="false">
      <c r="A335" s="2" t="n">
        <v>4</v>
      </c>
      <c r="B335" s="2" t="s">
        <v>1041</v>
      </c>
      <c r="C335" s="2" t="s">
        <v>1042</v>
      </c>
      <c r="D335" s="2" t="s">
        <v>1035</v>
      </c>
      <c r="E335" s="2" t="s">
        <v>1036</v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</v>
      </c>
      <c r="Y335" s="2" t="n">
        <v>89.9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 customFormat="false" ht="15" hidden="false" customHeight="false" outlineLevel="0" collapsed="false">
      <c r="A336" s="2" t="n">
        <v>4</v>
      </c>
      <c r="B336" s="2" t="s">
        <v>1043</v>
      </c>
      <c r="C336" s="2" t="s">
        <v>1044</v>
      </c>
      <c r="D336" s="2" t="s">
        <v>1035</v>
      </c>
      <c r="E336" s="2" t="s">
        <v>1036</v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</v>
      </c>
      <c r="Y336" s="2" t="n">
        <v>89.9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 customFormat="false" ht="15" hidden="false" customHeight="false" outlineLevel="0" collapsed="false">
      <c r="A337" s="2" t="n">
        <v>3</v>
      </c>
      <c r="B337" s="2" t="s">
        <v>1045</v>
      </c>
      <c r="C337" s="2" t="s">
        <v>1046</v>
      </c>
      <c r="D337" s="2" t="s">
        <v>1035</v>
      </c>
      <c r="E337" s="2" t="s">
        <v>1036</v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</v>
      </c>
      <c r="Y337" s="2" t="n">
        <v>89.9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 customFormat="false" ht="15" hidden="false" customHeight="false" outlineLevel="0" collapsed="false">
      <c r="A338" s="2" t="n">
        <v>4</v>
      </c>
      <c r="B338" s="2" t="s">
        <v>1047</v>
      </c>
      <c r="C338" s="2" t="s">
        <v>1048</v>
      </c>
      <c r="D338" s="2" t="s">
        <v>1035</v>
      </c>
      <c r="E338" s="2" t="s">
        <v>1036</v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</v>
      </c>
      <c r="Y338" s="2" t="n">
        <v>89.9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 customFormat="false" ht="15" hidden="false" customHeight="false" outlineLevel="0" collapsed="false">
      <c r="A339" s="2" t="n">
        <v>4</v>
      </c>
      <c r="B339" s="2" t="s">
        <v>1049</v>
      </c>
      <c r="C339" s="2" t="s">
        <v>1050</v>
      </c>
      <c r="D339" s="2" t="s">
        <v>1035</v>
      </c>
      <c r="E339" s="2" t="s">
        <v>1036</v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</v>
      </c>
      <c r="Y339" s="2" t="n">
        <v>89.9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 customFormat="false" ht="15" hidden="false" customHeight="false" outlineLevel="0" collapsed="false">
      <c r="A340" s="2" t="n">
        <v>4</v>
      </c>
      <c r="B340" s="2" t="s">
        <v>1051</v>
      </c>
      <c r="C340" s="2" t="s">
        <v>1052</v>
      </c>
      <c r="D340" s="2" t="s">
        <v>1035</v>
      </c>
      <c r="E340" s="2" t="s">
        <v>1036</v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</v>
      </c>
      <c r="Y340" s="2" t="n">
        <v>89.9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 customFormat="false" ht="15" hidden="false" customHeight="false" outlineLevel="0" collapsed="false">
      <c r="A341" s="2" t="n">
        <v>4</v>
      </c>
      <c r="B341" s="2" t="s">
        <v>1053</v>
      </c>
      <c r="C341" s="2" t="s">
        <v>1054</v>
      </c>
      <c r="D341" s="2" t="s">
        <v>1035</v>
      </c>
      <c r="E341" s="2" t="s">
        <v>1036</v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</v>
      </c>
      <c r="Y341" s="2" t="n">
        <v>89.9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 customFormat="false" ht="15" hidden="false" customHeight="false" outlineLevel="0" collapsed="false">
      <c r="A342" s="2" t="n">
        <v>4</v>
      </c>
      <c r="B342" s="2" t="s">
        <v>1055</v>
      </c>
      <c r="C342" s="2" t="s">
        <v>1056</v>
      </c>
      <c r="D342" s="2" t="s">
        <v>1035</v>
      </c>
      <c r="E342" s="2" t="s">
        <v>1036</v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</v>
      </c>
      <c r="Y342" s="2" t="n">
        <v>89.9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 customFormat="false" ht="15" hidden="false" customHeight="false" outlineLevel="0" collapsed="false">
      <c r="A343" s="2" t="n">
        <v>4</v>
      </c>
      <c r="B343" s="2" t="s">
        <v>1057</v>
      </c>
      <c r="C343" s="2" t="s">
        <v>1058</v>
      </c>
      <c r="D343" s="2" t="s">
        <v>1035</v>
      </c>
      <c r="E343" s="2" t="s">
        <v>1036</v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</v>
      </c>
      <c r="Y343" s="2" t="n">
        <v>89.9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 customFormat="false" ht="15" hidden="false" customHeight="false" outlineLevel="0" collapsed="false">
      <c r="A344" s="2" t="n">
        <v>4</v>
      </c>
      <c r="B344" s="2" t="s">
        <v>1059</v>
      </c>
      <c r="C344" s="2" t="s">
        <v>1060</v>
      </c>
      <c r="D344" s="2" t="s">
        <v>1035</v>
      </c>
      <c r="E344" s="2" t="s">
        <v>1036</v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</v>
      </c>
      <c r="Y344" s="2" t="n">
        <v>89.9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 customFormat="false" ht="15" hidden="false" customHeight="false" outlineLevel="0" collapsed="false">
      <c r="A345" s="2" t="n">
        <v>4</v>
      </c>
      <c r="B345" s="2" t="s">
        <v>1061</v>
      </c>
      <c r="C345" s="2" t="s">
        <v>1062</v>
      </c>
      <c r="D345" s="2" t="s">
        <v>1035</v>
      </c>
      <c r="E345" s="2" t="s">
        <v>1036</v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</v>
      </c>
      <c r="Y345" s="2" t="n">
        <v>89.9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 customFormat="false" ht="15" hidden="false" customHeight="false" outlineLevel="0" collapsed="false">
      <c r="A346" s="2" t="n">
        <v>4</v>
      </c>
      <c r="B346" s="2" t="s">
        <v>1063</v>
      </c>
      <c r="C346" s="2" t="s">
        <v>1064</v>
      </c>
      <c r="D346" s="2" t="s">
        <v>1035</v>
      </c>
      <c r="E346" s="2" t="s">
        <v>1036</v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</v>
      </c>
      <c r="Y346" s="2" t="n">
        <v>89.9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 customFormat="false" ht="15" hidden="false" customHeight="false" outlineLevel="0" collapsed="false">
      <c r="A347" s="2" t="n">
        <v>4</v>
      </c>
      <c r="B347" s="2" t="s">
        <v>1065</v>
      </c>
      <c r="C347" s="2" t="s">
        <v>1066</v>
      </c>
      <c r="D347" s="2" t="s">
        <v>1035</v>
      </c>
      <c r="E347" s="2" t="s">
        <v>1036</v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</v>
      </c>
      <c r="Y347" s="2" t="n">
        <v>89.9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 customFormat="false" ht="15" hidden="false" customHeight="false" outlineLevel="0" collapsed="false">
      <c r="A348" s="2" t="n">
        <v>4</v>
      </c>
      <c r="B348" s="2" t="s">
        <v>1067</v>
      </c>
      <c r="C348" s="2" t="s">
        <v>1068</v>
      </c>
      <c r="D348" s="2" t="s">
        <v>1035</v>
      </c>
      <c r="E348" s="2" t="s">
        <v>1036</v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</v>
      </c>
      <c r="Y348" s="2" t="n">
        <v>89.9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 customFormat="false" ht="15" hidden="false" customHeight="false" outlineLevel="0" collapsed="false">
      <c r="A349" s="2" t="n">
        <v>4</v>
      </c>
      <c r="B349" s="2" t="s">
        <v>1069</v>
      </c>
      <c r="C349" s="2" t="s">
        <v>1070</v>
      </c>
      <c r="D349" s="2" t="s">
        <v>1035</v>
      </c>
      <c r="E349" s="2" t="s">
        <v>1036</v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</v>
      </c>
      <c r="Y349" s="2" t="n">
        <v>89.9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 customFormat="false" ht="15" hidden="false" customHeight="false" outlineLevel="0" collapsed="false">
      <c r="A350" s="2" t="n">
        <v>4</v>
      </c>
      <c r="B350" s="2" t="s">
        <v>1071</v>
      </c>
      <c r="C350" s="2" t="s">
        <v>1072</v>
      </c>
      <c r="D350" s="2" t="s">
        <v>1035</v>
      </c>
      <c r="E350" s="2" t="s">
        <v>1036</v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</v>
      </c>
      <c r="Y350" s="2" t="n">
        <v>89.9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 customFormat="false" ht="15" hidden="false" customHeight="false" outlineLevel="0" collapsed="false">
      <c r="A351" s="2" t="n">
        <v>4</v>
      </c>
      <c r="B351" s="2" t="s">
        <v>1073</v>
      </c>
      <c r="C351" s="2" t="s">
        <v>1074</v>
      </c>
      <c r="D351" s="2" t="s">
        <v>1035</v>
      </c>
      <c r="E351" s="2" t="s">
        <v>1036</v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</v>
      </c>
      <c r="Y351" s="2" t="n">
        <v>89.9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 customFormat="false" ht="15" hidden="false" customHeight="false" outlineLevel="0" collapsed="false">
      <c r="A352" s="2" t="n">
        <v>4</v>
      </c>
      <c r="B352" s="2" t="s">
        <v>1075</v>
      </c>
      <c r="C352" s="2" t="s">
        <v>1076</v>
      </c>
      <c r="D352" s="2" t="s">
        <v>1035</v>
      </c>
      <c r="E352" s="2" t="s">
        <v>1036</v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</v>
      </c>
      <c r="Y352" s="2" t="n">
        <v>89.9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 customFormat="false" ht="15" hidden="false" customHeight="false" outlineLevel="0" collapsed="false">
      <c r="A353" s="2" t="n">
        <v>3</v>
      </c>
      <c r="B353" s="2" t="s">
        <v>1077</v>
      </c>
      <c r="C353" s="2" t="s">
        <v>1078</v>
      </c>
      <c r="D353" s="2" t="s">
        <v>1035</v>
      </c>
      <c r="E353" s="2" t="s">
        <v>1036</v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</v>
      </c>
      <c r="Y353" s="2" t="n">
        <v>89.9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 customFormat="false" ht="15" hidden="false" customHeight="false" outlineLevel="0" collapsed="false">
      <c r="A354" s="2" t="n">
        <v>4</v>
      </c>
      <c r="B354" s="2" t="s">
        <v>1079</v>
      </c>
      <c r="C354" s="2" t="s">
        <v>1080</v>
      </c>
      <c r="D354" s="2" t="s">
        <v>1035</v>
      </c>
      <c r="E354" s="2" t="s">
        <v>1036</v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</v>
      </c>
      <c r="Y354" s="2" t="n">
        <v>89.9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 customFormat="false" ht="15" hidden="false" customHeight="false" outlineLevel="0" collapsed="false">
      <c r="A355" s="2" t="n">
        <v>4</v>
      </c>
      <c r="B355" s="2" t="s">
        <v>1081</v>
      </c>
      <c r="C355" s="2" t="s">
        <v>1082</v>
      </c>
      <c r="D355" s="2" t="s">
        <v>1035</v>
      </c>
      <c r="E355" s="2" t="s">
        <v>1036</v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</v>
      </c>
      <c r="Y355" s="2" t="n">
        <v>89.9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 customFormat="false" ht="15" hidden="false" customHeight="false" outlineLevel="0" collapsed="false">
      <c r="A356" s="2" t="n">
        <v>4</v>
      </c>
      <c r="B356" s="2" t="s">
        <v>1083</v>
      </c>
      <c r="C356" s="2" t="s">
        <v>1052</v>
      </c>
      <c r="D356" s="2" t="s">
        <v>1035</v>
      </c>
      <c r="E356" s="2" t="s">
        <v>1036</v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</v>
      </c>
      <c r="Y356" s="2" t="n">
        <v>89.9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 customFormat="false" ht="15" hidden="false" customHeight="false" outlineLevel="0" collapsed="false">
      <c r="A357" s="2" t="n">
        <v>4</v>
      </c>
      <c r="B357" s="2" t="s">
        <v>1084</v>
      </c>
      <c r="C357" s="2" t="s">
        <v>1085</v>
      </c>
      <c r="D357" s="2" t="s">
        <v>1035</v>
      </c>
      <c r="E357" s="2" t="s">
        <v>1036</v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</v>
      </c>
      <c r="Y357" s="2" t="n">
        <v>89.9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 customFormat="false" ht="15" hidden="false" customHeight="false" outlineLevel="0" collapsed="false">
      <c r="A358" s="2" t="n">
        <v>4</v>
      </c>
      <c r="B358" s="2" t="s">
        <v>1086</v>
      </c>
      <c r="C358" s="2" t="s">
        <v>1056</v>
      </c>
      <c r="D358" s="2" t="s">
        <v>1035</v>
      </c>
      <c r="E358" s="2" t="s">
        <v>1036</v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</v>
      </c>
      <c r="Y358" s="2" t="n">
        <v>89.9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 customFormat="false" ht="15" hidden="false" customHeight="false" outlineLevel="0" collapsed="false">
      <c r="A359" s="2" t="n">
        <v>4</v>
      </c>
      <c r="B359" s="2" t="s">
        <v>1087</v>
      </c>
      <c r="C359" s="2" t="s">
        <v>1058</v>
      </c>
      <c r="D359" s="2" t="s">
        <v>1035</v>
      </c>
      <c r="E359" s="2" t="s">
        <v>1036</v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</v>
      </c>
      <c r="Y359" s="2" t="n">
        <v>89.9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 customFormat="false" ht="15" hidden="false" customHeight="false" outlineLevel="0" collapsed="false">
      <c r="A360" s="2" t="n">
        <v>4</v>
      </c>
      <c r="B360" s="2" t="s">
        <v>1088</v>
      </c>
      <c r="C360" s="2" t="s">
        <v>1060</v>
      </c>
      <c r="D360" s="2" t="s">
        <v>1035</v>
      </c>
      <c r="E360" s="2" t="s">
        <v>1036</v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</v>
      </c>
      <c r="Y360" s="2" t="n">
        <v>89.9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 customFormat="false" ht="15" hidden="false" customHeight="false" outlineLevel="0" collapsed="false">
      <c r="A361" s="2" t="n">
        <v>4</v>
      </c>
      <c r="B361" s="2" t="s">
        <v>1089</v>
      </c>
      <c r="C361" s="2" t="s">
        <v>1062</v>
      </c>
      <c r="D361" s="2" t="s">
        <v>1035</v>
      </c>
      <c r="E361" s="2" t="s">
        <v>1036</v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</v>
      </c>
      <c r="Y361" s="2" t="n">
        <v>89.9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 customFormat="false" ht="15" hidden="false" customHeight="false" outlineLevel="0" collapsed="false">
      <c r="A362" s="2" t="n">
        <v>4</v>
      </c>
      <c r="B362" s="2" t="s">
        <v>1090</v>
      </c>
      <c r="C362" s="2" t="s">
        <v>1064</v>
      </c>
      <c r="D362" s="2" t="s">
        <v>1035</v>
      </c>
      <c r="E362" s="2" t="s">
        <v>1036</v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</v>
      </c>
      <c r="Y362" s="2" t="n">
        <v>89.9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 customFormat="false" ht="15" hidden="false" customHeight="false" outlineLevel="0" collapsed="false">
      <c r="A363" s="2" t="n">
        <v>4</v>
      </c>
      <c r="B363" s="2" t="s">
        <v>1091</v>
      </c>
      <c r="C363" s="2" t="s">
        <v>1066</v>
      </c>
      <c r="D363" s="2" t="s">
        <v>1035</v>
      </c>
      <c r="E363" s="2" t="s">
        <v>1036</v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</v>
      </c>
      <c r="Y363" s="2" t="n">
        <v>89.9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 customFormat="false" ht="15" hidden="false" customHeight="false" outlineLevel="0" collapsed="false">
      <c r="A364" s="2" t="n">
        <v>4</v>
      </c>
      <c r="B364" s="2" t="s">
        <v>1092</v>
      </c>
      <c r="C364" s="2" t="s">
        <v>1068</v>
      </c>
      <c r="D364" s="2" t="s">
        <v>1035</v>
      </c>
      <c r="E364" s="2" t="s">
        <v>1036</v>
      </c>
      <c r="F364" s="2" t="n">
        <v>14688</v>
      </c>
      <c r="G364" s="2" t="n">
        <v>0</v>
      </c>
      <c r="H364" s="2" t="n">
        <v>14688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</v>
      </c>
      <c r="Y364" s="2" t="n">
        <v>89.9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 customFormat="false" ht="15" hidden="false" customHeight="false" outlineLevel="0" collapsed="false">
      <c r="A365" s="2" t="n">
        <v>4</v>
      </c>
      <c r="B365" s="2" t="s">
        <v>1093</v>
      </c>
      <c r="C365" s="2" t="s">
        <v>1070</v>
      </c>
      <c r="D365" s="2" t="s">
        <v>1035</v>
      </c>
      <c r="E365" s="2" t="s">
        <v>1036</v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</v>
      </c>
      <c r="Y365" s="2" t="n">
        <v>89.9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 customFormat="false" ht="15" hidden="false" customHeight="false" outlineLevel="0" collapsed="false">
      <c r="A366" s="2" t="n">
        <v>4</v>
      </c>
      <c r="B366" s="2" t="s">
        <v>1094</v>
      </c>
      <c r="C366" s="2" t="s">
        <v>1072</v>
      </c>
      <c r="D366" s="2" t="s">
        <v>1035</v>
      </c>
      <c r="E366" s="2" t="s">
        <v>1036</v>
      </c>
      <c r="F366" s="2" t="n">
        <v>96563.2</v>
      </c>
      <c r="G366" s="2" t="n">
        <v>0</v>
      </c>
      <c r="H366" s="2" t="n">
        <v>96563.2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</v>
      </c>
      <c r="Y366" s="2" t="n">
        <v>89.9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 customFormat="false" ht="15" hidden="false" customHeight="false" outlineLevel="0" collapsed="false">
      <c r="A367" s="2" t="n">
        <v>4</v>
      </c>
      <c r="B367" s="2" t="s">
        <v>1095</v>
      </c>
      <c r="C367" s="2" t="s">
        <v>1074</v>
      </c>
      <c r="D367" s="2" t="s">
        <v>1035</v>
      </c>
      <c r="E367" s="2" t="s">
        <v>1036</v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</v>
      </c>
      <c r="Y367" s="2" t="n">
        <v>89.9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 customFormat="false" ht="15" hidden="false" customHeight="false" outlineLevel="0" collapsed="false">
      <c r="A368" s="2" t="n">
        <v>4</v>
      </c>
      <c r="B368" s="2" t="s">
        <v>1096</v>
      </c>
      <c r="C368" s="2" t="s">
        <v>1076</v>
      </c>
      <c r="D368" s="2" t="s">
        <v>1035</v>
      </c>
      <c r="E368" s="2" t="s">
        <v>1036</v>
      </c>
      <c r="F368" s="2" t="n">
        <v>304704</v>
      </c>
      <c r="G368" s="2" t="n">
        <v>0</v>
      </c>
      <c r="H368" s="2" t="n">
        <v>304704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</v>
      </c>
      <c r="Y368" s="2" t="n">
        <v>89.9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 customFormat="false" ht="15" hidden="false" customHeight="false" outlineLevel="0" collapsed="false">
      <c r="A369" s="2" t="n">
        <v>3</v>
      </c>
      <c r="B369" s="2" t="s">
        <v>1097</v>
      </c>
      <c r="C369" s="2" t="s">
        <v>1098</v>
      </c>
      <c r="D369" s="2" t="s">
        <v>1035</v>
      </c>
      <c r="E369" s="2" t="s">
        <v>1036</v>
      </c>
      <c r="F369" s="2" t="n">
        <v>90745.856</v>
      </c>
      <c r="G369" s="2" t="n">
        <v>0</v>
      </c>
      <c r="H369" s="2" t="n">
        <v>90745.856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</v>
      </c>
      <c r="Y369" s="2" t="n">
        <v>89.9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 customFormat="false" ht="15" hidden="false" customHeight="false" outlineLevel="0" collapsed="false">
      <c r="A370" s="2" t="n">
        <v>4</v>
      </c>
      <c r="B370" s="2" t="s">
        <v>1099</v>
      </c>
      <c r="C370" s="2" t="s">
        <v>1100</v>
      </c>
      <c r="D370" s="2" t="s">
        <v>1035</v>
      </c>
      <c r="E370" s="2" t="s">
        <v>1036</v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</v>
      </c>
      <c r="Y370" s="2" t="n">
        <v>89.9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 customFormat="false" ht="15" hidden="false" customHeight="false" outlineLevel="0" collapsed="false">
      <c r="A371" s="2" t="n">
        <v>4</v>
      </c>
      <c r="B371" s="2" t="s">
        <v>1101</v>
      </c>
      <c r="C371" s="2" t="s">
        <v>1102</v>
      </c>
      <c r="D371" s="2" t="s">
        <v>1035</v>
      </c>
      <c r="E371" s="2" t="s">
        <v>1036</v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</v>
      </c>
      <c r="Y371" s="2" t="n">
        <v>89.9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 customFormat="false" ht="15" hidden="false" customHeight="false" outlineLevel="0" collapsed="false">
      <c r="A372" s="2" t="n">
        <v>4</v>
      </c>
      <c r="B372" s="2" t="s">
        <v>1103</v>
      </c>
      <c r="C372" s="2" t="s">
        <v>1104</v>
      </c>
      <c r="D372" s="2" t="s">
        <v>1035</v>
      </c>
      <c r="E372" s="2" t="s">
        <v>1036</v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</v>
      </c>
      <c r="Y372" s="2" t="n">
        <v>89.9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 customFormat="false" ht="15" hidden="false" customHeight="false" outlineLevel="0" collapsed="false">
      <c r="A373" s="2" t="n">
        <v>4</v>
      </c>
      <c r="B373" s="2" t="s">
        <v>1105</v>
      </c>
      <c r="C373" s="2" t="s">
        <v>1106</v>
      </c>
      <c r="D373" s="2" t="s">
        <v>1035</v>
      </c>
      <c r="E373" s="2" t="s">
        <v>1036</v>
      </c>
      <c r="F373" s="2" t="n">
        <v>9821.184</v>
      </c>
      <c r="G373" s="2" t="n">
        <v>0</v>
      </c>
      <c r="H373" s="2" t="n">
        <v>9821.184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</v>
      </c>
      <c r="Y373" s="2" t="n">
        <v>89.9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 customFormat="false" ht="15" hidden="false" customHeight="false" outlineLevel="0" collapsed="false">
      <c r="A374" s="2" t="n">
        <v>4</v>
      </c>
      <c r="B374" s="2" t="s">
        <v>1107</v>
      </c>
      <c r="C374" s="2" t="s">
        <v>1108</v>
      </c>
      <c r="D374" s="2" t="s">
        <v>1035</v>
      </c>
      <c r="E374" s="2" t="s">
        <v>1036</v>
      </c>
      <c r="F374" s="2" t="n">
        <v>52992</v>
      </c>
      <c r="G374" s="2" t="n">
        <v>0</v>
      </c>
      <c r="H374" s="2" t="n">
        <v>52992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</v>
      </c>
      <c r="Y374" s="2" t="n">
        <v>89.9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 customFormat="false" ht="15" hidden="false" customHeight="false" outlineLevel="0" collapsed="false">
      <c r="A375" s="2" t="n">
        <v>3</v>
      </c>
      <c r="B375" s="2" t="s">
        <v>1109</v>
      </c>
      <c r="C375" s="2" t="s">
        <v>1110</v>
      </c>
      <c r="D375" s="2" t="s">
        <v>1035</v>
      </c>
      <c r="E375" s="2" t="s">
        <v>1036</v>
      </c>
      <c r="F375" s="2" t="n">
        <v>4503714.47395866</v>
      </c>
      <c r="G375" s="2" t="n">
        <v>0</v>
      </c>
      <c r="H375" s="2" t="n">
        <v>4503714.47395866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</v>
      </c>
      <c r="Y375" s="2" t="n">
        <v>89.9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 customFormat="false" ht="15" hidden="false" customHeight="false" outlineLevel="0" collapsed="false">
      <c r="A376" s="2" t="n">
        <v>4</v>
      </c>
      <c r="B376" s="2" t="s">
        <v>1111</v>
      </c>
      <c r="C376" s="2" t="s">
        <v>1112</v>
      </c>
      <c r="D376" s="2" t="s">
        <v>1035</v>
      </c>
      <c r="E376" s="2" t="s">
        <v>1036</v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</v>
      </c>
      <c r="Y376" s="2" t="n">
        <v>89.9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 customFormat="false" ht="15" hidden="false" customHeight="false" outlineLevel="0" collapsed="false">
      <c r="A377" s="2" t="n">
        <v>4</v>
      </c>
      <c r="B377" s="2" t="s">
        <v>1113</v>
      </c>
      <c r="C377" s="2" t="s">
        <v>1114</v>
      </c>
      <c r="D377" s="2" t="s">
        <v>1035</v>
      </c>
      <c r="E377" s="2" t="s">
        <v>1036</v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</v>
      </c>
      <c r="Y377" s="2" t="n">
        <v>89.9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 customFormat="false" ht="15" hidden="false" customHeight="false" outlineLevel="0" collapsed="false">
      <c r="A378" s="2" t="n">
        <v>4</v>
      </c>
      <c r="B378" s="2" t="s">
        <v>1115</v>
      </c>
      <c r="C378" s="2" t="s">
        <v>1116</v>
      </c>
      <c r="D378" s="2" t="s">
        <v>1035</v>
      </c>
      <c r="E378" s="2" t="s">
        <v>1036</v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</v>
      </c>
      <c r="Y378" s="2" t="n">
        <v>89.9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 customFormat="false" ht="15" hidden="false" customHeight="false" outlineLevel="0" collapsed="false">
      <c r="A379" s="2" t="n">
        <v>4</v>
      </c>
      <c r="B379" s="2" t="s">
        <v>1117</v>
      </c>
      <c r="C379" s="2" t="s">
        <v>1118</v>
      </c>
      <c r="D379" s="2" t="s">
        <v>1035</v>
      </c>
      <c r="E379" s="2" t="s">
        <v>1036</v>
      </c>
      <c r="F379" s="2" t="n">
        <v>347830.859224288</v>
      </c>
      <c r="G379" s="2" t="n">
        <v>0</v>
      </c>
      <c r="H379" s="2" t="n">
        <v>347830.859224288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</v>
      </c>
      <c r="Y379" s="2" t="n">
        <v>89.9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 customFormat="false" ht="15" hidden="false" customHeight="false" outlineLevel="0" collapsed="false">
      <c r="A380" s="2" t="n">
        <v>4</v>
      </c>
      <c r="B380" s="2" t="s">
        <v>1119</v>
      </c>
      <c r="C380" s="2" t="s">
        <v>1120</v>
      </c>
      <c r="D380" s="2" t="s">
        <v>1035</v>
      </c>
      <c r="E380" s="2" t="s">
        <v>1036</v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</v>
      </c>
      <c r="Y380" s="2" t="n">
        <v>89.9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 customFormat="false" ht="15" hidden="false" customHeight="false" outlineLevel="0" collapsed="false">
      <c r="A381" s="2" t="n">
        <v>4</v>
      </c>
      <c r="B381" s="2" t="s">
        <v>1121</v>
      </c>
      <c r="C381" s="2" t="s">
        <v>1122</v>
      </c>
      <c r="D381" s="2" t="s">
        <v>1035</v>
      </c>
      <c r="E381" s="2" t="s">
        <v>1036</v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</v>
      </c>
      <c r="Y381" s="2" t="n">
        <v>89.9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 customFormat="false" ht="15" hidden="false" customHeight="false" outlineLevel="0" collapsed="false">
      <c r="A382" s="2" t="n">
        <v>4</v>
      </c>
      <c r="B382" s="2" t="s">
        <v>1123</v>
      </c>
      <c r="C382" s="2" t="s">
        <v>1124</v>
      </c>
      <c r="D382" s="2" t="s">
        <v>1035</v>
      </c>
      <c r="E382" s="2" t="s">
        <v>1036</v>
      </c>
      <c r="F382" s="2" t="n">
        <v>3127700.55063311</v>
      </c>
      <c r="G382" s="2" t="n">
        <v>0</v>
      </c>
      <c r="H382" s="2" t="n">
        <v>3127700.55063311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</v>
      </c>
      <c r="Y382" s="2" t="n">
        <v>89.9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 customFormat="false" ht="15" hidden="false" customHeight="false" outlineLevel="0" collapsed="false">
      <c r="A383" s="2" t="n">
        <v>4</v>
      </c>
      <c r="B383" s="2" t="s">
        <v>1125</v>
      </c>
      <c r="C383" s="2" t="s">
        <v>1126</v>
      </c>
      <c r="D383" s="2" t="s">
        <v>1035</v>
      </c>
      <c r="E383" s="2" t="s">
        <v>1036</v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</v>
      </c>
      <c r="Y383" s="2" t="n">
        <v>89.9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 customFormat="false" ht="15" hidden="false" customHeight="false" outlineLevel="0" collapsed="false">
      <c r="A384" s="2" t="n">
        <v>4</v>
      </c>
      <c r="B384" s="2" t="s">
        <v>1127</v>
      </c>
      <c r="C384" s="2" t="s">
        <v>1128</v>
      </c>
      <c r="D384" s="2" t="s">
        <v>1035</v>
      </c>
      <c r="E384" s="2" t="s">
        <v>1036</v>
      </c>
      <c r="F384" s="2" t="n">
        <v>776256.464101258</v>
      </c>
      <c r="G384" s="2" t="n">
        <v>0</v>
      </c>
      <c r="H384" s="2" t="n">
        <v>776256.464101258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</v>
      </c>
      <c r="Y384" s="2" t="n">
        <v>89.9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 customFormat="false" ht="15" hidden="false" customHeight="false" outlineLevel="0" collapsed="false">
      <c r="A385" s="2" t="n">
        <v>4</v>
      </c>
      <c r="B385" s="2" t="s">
        <v>1129</v>
      </c>
      <c r="C385" s="2" t="s">
        <v>1130</v>
      </c>
      <c r="D385" s="2" t="s">
        <v>1035</v>
      </c>
      <c r="E385" s="2" t="s">
        <v>1036</v>
      </c>
      <c r="F385" s="2" t="n">
        <v>86686.6</v>
      </c>
      <c r="G385" s="2" t="n">
        <v>0</v>
      </c>
      <c r="H385" s="2" t="n">
        <v>86686.6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</v>
      </c>
      <c r="Y385" s="2" t="n">
        <v>89.9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 customFormat="false" ht="15" hidden="false" customHeight="false" outlineLevel="0" collapsed="false">
      <c r="A386" s="2" t="n">
        <v>1</v>
      </c>
      <c r="B386" s="2" t="s">
        <v>158</v>
      </c>
      <c r="C386" s="2" t="s">
        <v>74</v>
      </c>
      <c r="D386" s="2" t="s">
        <v>1131</v>
      </c>
      <c r="E386" s="2" t="s">
        <v>1132</v>
      </c>
      <c r="F386" s="2" t="n">
        <v>3887368.05963075</v>
      </c>
      <c r="G386" s="2" t="n">
        <v>0</v>
      </c>
      <c r="H386" s="2" t="n">
        <v>3887368.05963075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</v>
      </c>
      <c r="AH386" s="2" t="n">
        <v>74.15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 customFormat="false" ht="15" hidden="false" customHeight="false" outlineLevel="0" collapsed="false">
      <c r="A387" s="2" t="n">
        <v>2</v>
      </c>
      <c r="B387" s="2" t="s">
        <v>1133</v>
      </c>
      <c r="C387" s="2" t="s">
        <v>1134</v>
      </c>
      <c r="D387" s="2" t="s">
        <v>1131</v>
      </c>
      <c r="E387" s="2" t="s">
        <v>1132</v>
      </c>
      <c r="F387" s="2" t="n">
        <v>3887368.05963075</v>
      </c>
      <c r="G387" s="2" t="n">
        <v>0</v>
      </c>
      <c r="H387" s="2" t="n">
        <v>3887368.05963075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</v>
      </c>
      <c r="AH387" s="2" t="n">
        <v>74.15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 customFormat="false" ht="15" hidden="false" customHeight="false" outlineLevel="0" collapsed="false">
      <c r="A388" s="2" t="n">
        <v>3</v>
      </c>
      <c r="B388" s="2" t="s">
        <v>1135</v>
      </c>
      <c r="C388" s="2" t="s">
        <v>1136</v>
      </c>
      <c r="D388" s="2" t="s">
        <v>1131</v>
      </c>
      <c r="E388" s="2" t="s">
        <v>1137</v>
      </c>
      <c r="F388" s="2" t="n">
        <v>2911643.69696725</v>
      </c>
      <c r="G388" s="2" t="n">
        <v>0</v>
      </c>
      <c r="H388" s="2" t="n">
        <v>2911643.69696725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8.53</v>
      </c>
      <c r="P388" s="2" t="n">
        <v>8.53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 customFormat="false" ht="15" hidden="false" customHeight="false" outlineLevel="0" collapsed="false">
      <c r="A389" s="2" t="n">
        <v>4</v>
      </c>
      <c r="B389" s="2" t="s">
        <v>1138</v>
      </c>
      <c r="C389" s="2" t="s">
        <v>1139</v>
      </c>
      <c r="D389" s="2" t="s">
        <v>1131</v>
      </c>
      <c r="E389" s="2" t="s">
        <v>1137</v>
      </c>
      <c r="F389" s="2" t="n">
        <v>282920.087606593</v>
      </c>
      <c r="G389" s="2" t="n">
        <v>0</v>
      </c>
      <c r="H389" s="2" t="n">
        <v>282920.087606593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8.53</v>
      </c>
      <c r="P389" s="2" t="n">
        <v>8.53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 customFormat="false" ht="15" hidden="false" customHeight="false" outlineLevel="0" collapsed="false">
      <c r="A390" s="2" t="n">
        <v>4</v>
      </c>
      <c r="B390" s="2" t="s">
        <v>1140</v>
      </c>
      <c r="C390" s="2" t="s">
        <v>1141</v>
      </c>
      <c r="D390" s="2" t="s">
        <v>1131</v>
      </c>
      <c r="E390" s="2" t="s">
        <v>1137</v>
      </c>
      <c r="F390" s="2" t="n">
        <v>32012.3704475435</v>
      </c>
      <c r="G390" s="2" t="n">
        <v>0</v>
      </c>
      <c r="H390" s="2" t="n">
        <v>32012.3704475435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8.53</v>
      </c>
      <c r="P390" s="2" t="n">
        <v>8.53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 customFormat="false" ht="15" hidden="false" customHeight="false" outlineLevel="0" collapsed="false">
      <c r="A391" s="2" t="n">
        <v>4</v>
      </c>
      <c r="B391" s="2" t="s">
        <v>1142</v>
      </c>
      <c r="C391" s="2" t="s">
        <v>1143</v>
      </c>
      <c r="D391" s="2" t="s">
        <v>1131</v>
      </c>
      <c r="E391" s="2" t="s">
        <v>1137</v>
      </c>
      <c r="F391" s="2" t="n">
        <v>152245.351412563</v>
      </c>
      <c r="G391" s="2" t="n">
        <v>0</v>
      </c>
      <c r="H391" s="2" t="n">
        <v>152245.351412563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8.53</v>
      </c>
      <c r="P391" s="2" t="n">
        <v>8.53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 customFormat="false" ht="15" hidden="false" customHeight="false" outlineLevel="0" collapsed="false">
      <c r="A392" s="2" t="n">
        <v>4</v>
      </c>
      <c r="B392" s="2" t="s">
        <v>1144</v>
      </c>
      <c r="C392" s="2" t="s">
        <v>944</v>
      </c>
      <c r="D392" s="2" t="s">
        <v>1131</v>
      </c>
      <c r="E392" s="2" t="s">
        <v>1137</v>
      </c>
      <c r="F392" s="2" t="n">
        <v>1089189.23704475</v>
      </c>
      <c r="G392" s="2" t="n">
        <v>0</v>
      </c>
      <c r="H392" s="2" t="n">
        <v>1089189.23704475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8.53</v>
      </c>
      <c r="P392" s="2" t="n">
        <v>8.53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 customFormat="false" ht="15" hidden="false" customHeight="false" outlineLevel="0" collapsed="false">
      <c r="A393" s="2" t="n">
        <v>4</v>
      </c>
      <c r="B393" s="2" t="s">
        <v>1145</v>
      </c>
      <c r="C393" s="2" t="s">
        <v>976</v>
      </c>
      <c r="D393" s="2" t="s">
        <v>1131</v>
      </c>
      <c r="E393" s="2" t="s">
        <v>1137</v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8.53</v>
      </c>
      <c r="P393" s="2" t="n">
        <v>8.53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 customFormat="false" ht="15" hidden="false" customHeight="false" outlineLevel="0" collapsed="false">
      <c r="A394" s="2" t="n">
        <v>4</v>
      </c>
      <c r="B394" s="2" t="s">
        <v>1146</v>
      </c>
      <c r="C394" s="2" t="s">
        <v>1147</v>
      </c>
      <c r="D394" s="2" t="s">
        <v>1131</v>
      </c>
      <c r="E394" s="2" t="s">
        <v>1137</v>
      </c>
      <c r="F394" s="2" t="n">
        <v>15870.3637012783</v>
      </c>
      <c r="G394" s="2" t="n">
        <v>0</v>
      </c>
      <c r="H394" s="2" t="n">
        <v>15870.3637012783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8.53</v>
      </c>
      <c r="P394" s="2" t="n">
        <v>8.53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 customFormat="false" ht="15" hidden="false" customHeight="false" outlineLevel="0" collapsed="false">
      <c r="A395" s="2" t="n">
        <v>4</v>
      </c>
      <c r="B395" s="2" t="s">
        <v>1148</v>
      </c>
      <c r="C395" s="2" t="s">
        <v>1149</v>
      </c>
      <c r="D395" s="2" t="s">
        <v>1131</v>
      </c>
      <c r="E395" s="2" t="s">
        <v>1137</v>
      </c>
      <c r="F395" s="2" t="n">
        <v>898333.053477807</v>
      </c>
      <c r="G395" s="2" t="n">
        <v>0</v>
      </c>
      <c r="H395" s="2" t="n">
        <v>898333.053477807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8.53</v>
      </c>
      <c r="P395" s="2" t="n">
        <v>8.53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 customFormat="false" ht="15" hidden="false" customHeight="false" outlineLevel="0" collapsed="false">
      <c r="A396" s="2" t="n">
        <v>4</v>
      </c>
      <c r="B396" s="2" t="s">
        <v>1150</v>
      </c>
      <c r="C396" s="2" t="s">
        <v>1151</v>
      </c>
      <c r="D396" s="2" t="s">
        <v>1131</v>
      </c>
      <c r="E396" s="2" t="s">
        <v>1137</v>
      </c>
      <c r="F396" s="2" t="n">
        <v>92892.9413707493</v>
      </c>
      <c r="G396" s="2" t="n">
        <v>0</v>
      </c>
      <c r="H396" s="2" t="n">
        <v>92892.9413707493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8.53</v>
      </c>
      <c r="P396" s="2" t="n">
        <v>8.53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 customFormat="false" ht="15" hidden="false" customHeight="false" outlineLevel="0" collapsed="false">
      <c r="A397" s="2" t="n">
        <v>4</v>
      </c>
      <c r="B397" s="2" t="s">
        <v>1152</v>
      </c>
      <c r="C397" s="2" t="s">
        <v>1153</v>
      </c>
      <c r="D397" s="2" t="s">
        <v>1131</v>
      </c>
      <c r="E397" s="2" t="s">
        <v>1137</v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8.53</v>
      </c>
      <c r="P397" s="2" t="n">
        <v>8.53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 customFormat="false" ht="15" hidden="false" customHeight="false" outlineLevel="0" collapsed="false">
      <c r="A398" s="2" t="n">
        <v>4</v>
      </c>
      <c r="B398" s="2" t="s">
        <v>1154</v>
      </c>
      <c r="C398" s="2" t="s">
        <v>1155</v>
      </c>
      <c r="D398" s="2" t="s">
        <v>1131</v>
      </c>
      <c r="E398" s="2" t="s">
        <v>1137</v>
      </c>
      <c r="F398" s="2" t="n">
        <v>112064.785655975</v>
      </c>
      <c r="G398" s="2" t="n">
        <v>0</v>
      </c>
      <c r="H398" s="2" t="n">
        <v>112064.785655975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8.53</v>
      </c>
      <c r="P398" s="2" t="n">
        <v>8.53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 customFormat="false" ht="15" hidden="false" customHeight="false" outlineLevel="0" collapsed="false">
      <c r="A399" s="2" t="n">
        <v>3</v>
      </c>
      <c r="B399" s="2" t="s">
        <v>1156</v>
      </c>
      <c r="C399" s="2" t="s">
        <v>1157</v>
      </c>
      <c r="D399" s="2" t="s">
        <v>1158</v>
      </c>
      <c r="E399" s="2" t="s">
        <v>1132</v>
      </c>
      <c r="F399" s="2" t="n">
        <v>725724.362663498</v>
      </c>
      <c r="G399" s="2" t="n">
        <v>0</v>
      </c>
      <c r="H399" s="2" t="n">
        <v>725724.362663498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 customFormat="false" ht="15" hidden="false" customHeight="false" outlineLevel="0" collapsed="false">
      <c r="A400" s="2" t="n">
        <v>4</v>
      </c>
      <c r="B400" s="2" t="s">
        <v>1159</v>
      </c>
      <c r="C400" s="2" t="s">
        <v>1141</v>
      </c>
      <c r="D400" s="2" t="s">
        <v>1158</v>
      </c>
      <c r="E400" s="2" t="s">
        <v>1132</v>
      </c>
      <c r="F400" s="2" t="n">
        <v>31842.8278348391</v>
      </c>
      <c r="G400" s="2" t="n">
        <v>0</v>
      </c>
      <c r="H400" s="2" t="n">
        <v>31842.8278348391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 customFormat="false" ht="15" hidden="false" customHeight="false" outlineLevel="0" collapsed="false">
      <c r="A401" s="2" t="n">
        <v>4</v>
      </c>
      <c r="B401" s="2" t="s">
        <v>1160</v>
      </c>
      <c r="C401" s="2" t="s">
        <v>1161</v>
      </c>
      <c r="D401" s="2" t="s">
        <v>1158</v>
      </c>
      <c r="E401" s="2" t="s">
        <v>1132</v>
      </c>
      <c r="F401" s="2" t="n">
        <v>214177.06589865</v>
      </c>
      <c r="G401" s="2" t="n">
        <v>0</v>
      </c>
      <c r="H401" s="2" t="n">
        <v>214177.06589865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 customFormat="false" ht="15" hidden="false" customHeight="false" outlineLevel="0" collapsed="false">
      <c r="A402" s="2" t="n">
        <v>4</v>
      </c>
      <c r="B402" s="2" t="s">
        <v>1162</v>
      </c>
      <c r="C402" s="2" t="s">
        <v>1163</v>
      </c>
      <c r="D402" s="2" t="s">
        <v>1158</v>
      </c>
      <c r="E402" s="2" t="s">
        <v>1132</v>
      </c>
      <c r="F402" s="2" t="n">
        <v>110266.636228967</v>
      </c>
      <c r="G402" s="2" t="n">
        <v>0</v>
      </c>
      <c r="H402" s="2" t="n">
        <v>110266.636228967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 customFormat="false" ht="15" hidden="false" customHeight="false" outlineLevel="0" collapsed="false">
      <c r="A403" s="2" t="n">
        <v>4</v>
      </c>
      <c r="B403" s="2" t="s">
        <v>1164</v>
      </c>
      <c r="C403" s="2" t="s">
        <v>1165</v>
      </c>
      <c r="D403" s="2" t="s">
        <v>1158</v>
      </c>
      <c r="E403" s="2" t="s">
        <v>1132</v>
      </c>
      <c r="F403" s="2" t="n">
        <v>8061.9468006847</v>
      </c>
      <c r="G403" s="2" t="n">
        <v>0</v>
      </c>
      <c r="H403" s="2" t="n">
        <v>8061.9468006847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 customFormat="false" ht="15" hidden="false" customHeight="false" outlineLevel="0" collapsed="false">
      <c r="A404" s="2" t="n">
        <v>4</v>
      </c>
      <c r="B404" s="2" t="s">
        <v>1166</v>
      </c>
      <c r="C404" s="2" t="s">
        <v>1167</v>
      </c>
      <c r="D404" s="2" t="s">
        <v>1158</v>
      </c>
      <c r="E404" s="2" t="s">
        <v>1132</v>
      </c>
      <c r="F404" s="2" t="n">
        <v>330410.114749358</v>
      </c>
      <c r="G404" s="2" t="n">
        <v>0</v>
      </c>
      <c r="H404" s="2" t="n">
        <v>330410.114749358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 customFormat="false" ht="15" hidden="false" customHeight="false" outlineLevel="0" collapsed="false">
      <c r="A405" s="2" t="n">
        <v>4</v>
      </c>
      <c r="B405" s="2" t="s">
        <v>1168</v>
      </c>
      <c r="C405" s="2" t="s">
        <v>1169</v>
      </c>
      <c r="D405" s="2" t="s">
        <v>1158</v>
      </c>
      <c r="E405" s="2" t="s">
        <v>1132</v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 customFormat="false" ht="15" hidden="false" customHeight="false" outlineLevel="0" collapsed="false">
      <c r="A406" s="2" t="n">
        <v>3</v>
      </c>
      <c r="B406" s="2" t="s">
        <v>1170</v>
      </c>
      <c r="C406" s="2" t="s">
        <v>1171</v>
      </c>
      <c r="D406" s="2" t="s">
        <v>916</v>
      </c>
      <c r="E406" s="2" t="s">
        <v>1172</v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 customFormat="false" ht="15" hidden="false" customHeight="false" outlineLevel="0" collapsed="false">
      <c r="A407" s="2" t="n">
        <v>4</v>
      </c>
      <c r="B407" s="2" t="s">
        <v>1173</v>
      </c>
      <c r="C407" s="2" t="s">
        <v>1174</v>
      </c>
      <c r="D407" s="2" t="s">
        <v>916</v>
      </c>
      <c r="E407" s="2" t="s">
        <v>1172</v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 customFormat="false" ht="15" hidden="false" customHeight="false" outlineLevel="0" collapsed="false">
      <c r="A408" s="2" t="n">
        <v>1</v>
      </c>
      <c r="B408" s="2" t="s">
        <v>160</v>
      </c>
      <c r="C408" s="2" t="s">
        <v>76</v>
      </c>
      <c r="D408" s="2" t="s">
        <v>1175</v>
      </c>
      <c r="E408" s="2" t="s">
        <v>1176</v>
      </c>
      <c r="F408" s="2" t="n">
        <v>27534260.668508</v>
      </c>
      <c r="G408" s="2" t="n">
        <v>0</v>
      </c>
      <c r="H408" s="2" t="n">
        <v>27534260.668508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81.1</v>
      </c>
      <c r="BV408" s="2" t="n">
        <v>53.39</v>
      </c>
      <c r="BW408" s="2" t="n">
        <v>84.54</v>
      </c>
      <c r="BX408" s="2" t="n">
        <v>84.82</v>
      </c>
      <c r="BY408" s="2" t="n">
        <v>53.39</v>
      </c>
      <c r="BZ408" s="2" t="n">
        <v>89.11</v>
      </c>
      <c r="CA408" s="2" t="n">
        <v>89.32</v>
      </c>
      <c r="CB408" s="2" t="n">
        <v>53.39</v>
      </c>
      <c r="CC408" s="2" t="n">
        <v>93.68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 customFormat="false" ht="15" hidden="false" customHeight="false" outlineLevel="0" collapsed="false">
      <c r="A409" s="2" t="n">
        <v>2</v>
      </c>
      <c r="B409" s="2" t="s">
        <v>1177</v>
      </c>
      <c r="C409" s="2" t="s">
        <v>1178</v>
      </c>
      <c r="D409" s="2" t="s">
        <v>1175</v>
      </c>
      <c r="E409" s="2" t="s">
        <v>1176</v>
      </c>
      <c r="F409" s="2" t="n">
        <v>27534260.668508</v>
      </c>
      <c r="G409" s="2" t="n">
        <v>0</v>
      </c>
      <c r="H409" s="2" t="n">
        <v>27534260.668508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81.1</v>
      </c>
      <c r="BV409" s="2" t="n">
        <v>53.39</v>
      </c>
      <c r="BW409" s="2" t="n">
        <v>84.54</v>
      </c>
      <c r="BX409" s="2" t="n">
        <v>84.82</v>
      </c>
      <c r="BY409" s="2" t="n">
        <v>53.39</v>
      </c>
      <c r="BZ409" s="2" t="n">
        <v>89.11</v>
      </c>
      <c r="CA409" s="2" t="n">
        <v>89.32</v>
      </c>
      <c r="CB409" s="2" t="n">
        <v>53.39</v>
      </c>
      <c r="CC409" s="2" t="n">
        <v>93.68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 customFormat="false" ht="15" hidden="false" customHeight="false" outlineLevel="0" collapsed="false">
      <c r="A410" s="2" t="n">
        <v>3</v>
      </c>
      <c r="B410" s="2" t="s">
        <v>1179</v>
      </c>
      <c r="C410" s="2" t="s">
        <v>1180</v>
      </c>
      <c r="D410" s="2" t="s">
        <v>1175</v>
      </c>
      <c r="E410" s="2" t="s">
        <v>1176</v>
      </c>
      <c r="F410" s="2" t="n">
        <v>26175453.0624208</v>
      </c>
      <c r="G410" s="2" t="n">
        <v>0</v>
      </c>
      <c r="H410" s="2" t="n">
        <v>26175453.0624208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81.1</v>
      </c>
      <c r="BV410" s="2" t="n">
        <v>53.39</v>
      </c>
      <c r="BW410" s="2" t="n">
        <v>84.54</v>
      </c>
      <c r="BX410" s="2" t="n">
        <v>84.82</v>
      </c>
      <c r="BY410" s="2" t="n">
        <v>53.39</v>
      </c>
      <c r="BZ410" s="2" t="n">
        <v>89.11</v>
      </c>
      <c r="CA410" s="2" t="n">
        <v>89.32</v>
      </c>
      <c r="CB410" s="2" t="n">
        <v>53.39</v>
      </c>
      <c r="CC410" s="2" t="n">
        <v>93.68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 customFormat="false" ht="15" hidden="false" customHeight="false" outlineLevel="0" collapsed="false">
      <c r="A411" s="2" t="n">
        <v>4</v>
      </c>
      <c r="B411" s="2" t="s">
        <v>1181</v>
      </c>
      <c r="C411" s="2" t="s">
        <v>1182</v>
      </c>
      <c r="D411" s="2" t="s">
        <v>1175</v>
      </c>
      <c r="E411" s="2" t="s">
        <v>1176</v>
      </c>
      <c r="F411" s="2" t="n">
        <v>2978359.5675</v>
      </c>
      <c r="G411" s="2" t="n">
        <v>0</v>
      </c>
      <c r="H411" s="2" t="n">
        <v>2978359.5675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81.1</v>
      </c>
      <c r="BV411" s="2" t="n">
        <v>53.39</v>
      </c>
      <c r="BW411" s="2" t="n">
        <v>84.54</v>
      </c>
      <c r="BX411" s="2" t="n">
        <v>84.82</v>
      </c>
      <c r="BY411" s="2" t="n">
        <v>53.39</v>
      </c>
      <c r="BZ411" s="2" t="n">
        <v>89.11</v>
      </c>
      <c r="CA411" s="2" t="n">
        <v>89.32</v>
      </c>
      <c r="CB411" s="2" t="n">
        <v>53.39</v>
      </c>
      <c r="CC411" s="2" t="n">
        <v>93.68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 customFormat="false" ht="15" hidden="false" customHeight="false" outlineLevel="0" collapsed="false">
      <c r="A412" s="2" t="n">
        <v>4</v>
      </c>
      <c r="B412" s="2" t="s">
        <v>1183</v>
      </c>
      <c r="C412" s="2" t="s">
        <v>1184</v>
      </c>
      <c r="D412" s="2" t="s">
        <v>1175</v>
      </c>
      <c r="E412" s="2" t="s">
        <v>1176</v>
      </c>
      <c r="F412" s="2" t="n">
        <v>2485450.968</v>
      </c>
      <c r="G412" s="2" t="n">
        <v>0</v>
      </c>
      <c r="H412" s="2" t="n">
        <v>2485450.968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81.1</v>
      </c>
      <c r="BV412" s="2" t="n">
        <v>53.39</v>
      </c>
      <c r="BW412" s="2" t="n">
        <v>84.54</v>
      </c>
      <c r="BX412" s="2" t="n">
        <v>84.82</v>
      </c>
      <c r="BY412" s="2" t="n">
        <v>53.39</v>
      </c>
      <c r="BZ412" s="2" t="n">
        <v>89.11</v>
      </c>
      <c r="CA412" s="2" t="n">
        <v>89.32</v>
      </c>
      <c r="CB412" s="2" t="n">
        <v>53.39</v>
      </c>
      <c r="CC412" s="2" t="n">
        <v>93.68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 customFormat="false" ht="15" hidden="false" customHeight="false" outlineLevel="0" collapsed="false">
      <c r="A413" s="2" t="n">
        <v>4</v>
      </c>
      <c r="B413" s="2" t="s">
        <v>1185</v>
      </c>
      <c r="C413" s="2" t="s">
        <v>1186</v>
      </c>
      <c r="D413" s="2" t="s">
        <v>1175</v>
      </c>
      <c r="E413" s="2" t="s">
        <v>1176</v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81.1</v>
      </c>
      <c r="BV413" s="2" t="n">
        <v>53.39</v>
      </c>
      <c r="BW413" s="2" t="n">
        <v>84.54</v>
      </c>
      <c r="BX413" s="2" t="n">
        <v>84.82</v>
      </c>
      <c r="BY413" s="2" t="n">
        <v>53.39</v>
      </c>
      <c r="BZ413" s="2" t="n">
        <v>89.11</v>
      </c>
      <c r="CA413" s="2" t="n">
        <v>89.32</v>
      </c>
      <c r="CB413" s="2" t="n">
        <v>53.39</v>
      </c>
      <c r="CC413" s="2" t="n">
        <v>93.68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 customFormat="false" ht="15" hidden="false" customHeight="false" outlineLevel="0" collapsed="false">
      <c r="A414" s="2" t="n">
        <v>4</v>
      </c>
      <c r="B414" s="2" t="s">
        <v>1187</v>
      </c>
      <c r="C414" s="2" t="s">
        <v>1188</v>
      </c>
      <c r="D414" s="2" t="s">
        <v>1175</v>
      </c>
      <c r="E414" s="2" t="s">
        <v>1176</v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81.1</v>
      </c>
      <c r="BV414" s="2" t="n">
        <v>53.39</v>
      </c>
      <c r="BW414" s="2" t="n">
        <v>84.54</v>
      </c>
      <c r="BX414" s="2" t="n">
        <v>84.82</v>
      </c>
      <c r="BY414" s="2" t="n">
        <v>53.39</v>
      </c>
      <c r="BZ414" s="2" t="n">
        <v>89.11</v>
      </c>
      <c r="CA414" s="2" t="n">
        <v>89.32</v>
      </c>
      <c r="CB414" s="2" t="n">
        <v>53.39</v>
      </c>
      <c r="CC414" s="2" t="n">
        <v>93.68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 customFormat="false" ht="15" hidden="false" customHeight="false" outlineLevel="0" collapsed="false">
      <c r="A415" s="2" t="n">
        <v>4</v>
      </c>
      <c r="B415" s="2" t="s">
        <v>1189</v>
      </c>
      <c r="C415" s="2" t="s">
        <v>1190</v>
      </c>
      <c r="D415" s="2" t="s">
        <v>1175</v>
      </c>
      <c r="E415" s="2" t="s">
        <v>1176</v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81.1</v>
      </c>
      <c r="BV415" s="2" t="n">
        <v>53.39</v>
      </c>
      <c r="BW415" s="2" t="n">
        <v>84.54</v>
      </c>
      <c r="BX415" s="2" t="n">
        <v>84.82</v>
      </c>
      <c r="BY415" s="2" t="n">
        <v>53.39</v>
      </c>
      <c r="BZ415" s="2" t="n">
        <v>89.11</v>
      </c>
      <c r="CA415" s="2" t="n">
        <v>89.32</v>
      </c>
      <c r="CB415" s="2" t="n">
        <v>53.39</v>
      </c>
      <c r="CC415" s="2" t="n">
        <v>93.68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 customFormat="false" ht="15" hidden="false" customHeight="false" outlineLevel="0" collapsed="false">
      <c r="A416" s="2" t="n">
        <v>4</v>
      </c>
      <c r="B416" s="2" t="s">
        <v>1191</v>
      </c>
      <c r="C416" s="2" t="s">
        <v>972</v>
      </c>
      <c r="D416" s="2" t="s">
        <v>1175</v>
      </c>
      <c r="E416" s="2" t="s">
        <v>1176</v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81.1</v>
      </c>
      <c r="BV416" s="2" t="n">
        <v>53.39</v>
      </c>
      <c r="BW416" s="2" t="n">
        <v>84.54</v>
      </c>
      <c r="BX416" s="2" t="n">
        <v>84.82</v>
      </c>
      <c r="BY416" s="2" t="n">
        <v>53.39</v>
      </c>
      <c r="BZ416" s="2" t="n">
        <v>89.11</v>
      </c>
      <c r="CA416" s="2" t="n">
        <v>89.32</v>
      </c>
      <c r="CB416" s="2" t="n">
        <v>53.39</v>
      </c>
      <c r="CC416" s="2" t="n">
        <v>93.68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 customFormat="false" ht="15" hidden="false" customHeight="false" outlineLevel="0" collapsed="false">
      <c r="A417" s="2" t="n">
        <v>4</v>
      </c>
      <c r="B417" s="2" t="s">
        <v>1192</v>
      </c>
      <c r="C417" s="2" t="s">
        <v>974</v>
      </c>
      <c r="D417" s="2" t="s">
        <v>1175</v>
      </c>
      <c r="E417" s="2" t="s">
        <v>1176</v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81.1</v>
      </c>
      <c r="BV417" s="2" t="n">
        <v>53.39</v>
      </c>
      <c r="BW417" s="2" t="n">
        <v>84.54</v>
      </c>
      <c r="BX417" s="2" t="n">
        <v>84.82</v>
      </c>
      <c r="BY417" s="2" t="n">
        <v>53.39</v>
      </c>
      <c r="BZ417" s="2" t="n">
        <v>89.11</v>
      </c>
      <c r="CA417" s="2" t="n">
        <v>89.32</v>
      </c>
      <c r="CB417" s="2" t="n">
        <v>53.39</v>
      </c>
      <c r="CC417" s="2" t="n">
        <v>93.68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 customFormat="false" ht="15" hidden="false" customHeight="false" outlineLevel="0" collapsed="false">
      <c r="A418" s="2" t="n">
        <v>4</v>
      </c>
      <c r="B418" s="2" t="s">
        <v>1193</v>
      </c>
      <c r="C418" s="2" t="s">
        <v>1194</v>
      </c>
      <c r="D418" s="2" t="s">
        <v>1175</v>
      </c>
      <c r="E418" s="2" t="s">
        <v>1176</v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81.1</v>
      </c>
      <c r="BV418" s="2" t="n">
        <v>53.39</v>
      </c>
      <c r="BW418" s="2" t="n">
        <v>84.54</v>
      </c>
      <c r="BX418" s="2" t="n">
        <v>84.82</v>
      </c>
      <c r="BY418" s="2" t="n">
        <v>53.39</v>
      </c>
      <c r="BZ418" s="2" t="n">
        <v>89.11</v>
      </c>
      <c r="CA418" s="2" t="n">
        <v>89.32</v>
      </c>
      <c r="CB418" s="2" t="n">
        <v>53.39</v>
      </c>
      <c r="CC418" s="2" t="n">
        <v>93.68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 customFormat="false" ht="15" hidden="false" customHeight="false" outlineLevel="0" collapsed="false">
      <c r="A419" s="2" t="n">
        <v>4</v>
      </c>
      <c r="B419" s="2" t="s">
        <v>1195</v>
      </c>
      <c r="C419" s="2" t="s">
        <v>944</v>
      </c>
      <c r="D419" s="2" t="s">
        <v>1175</v>
      </c>
      <c r="E419" s="2" t="s">
        <v>1176</v>
      </c>
      <c r="F419" s="2" t="n">
        <v>10090221.2008192</v>
      </c>
      <c r="G419" s="2" t="n">
        <v>0</v>
      </c>
      <c r="H419" s="2" t="n">
        <v>10090221.2008192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81.1</v>
      </c>
      <c r="BV419" s="2" t="n">
        <v>53.39</v>
      </c>
      <c r="BW419" s="2" t="n">
        <v>84.54</v>
      </c>
      <c r="BX419" s="2" t="n">
        <v>84.82</v>
      </c>
      <c r="BY419" s="2" t="n">
        <v>53.39</v>
      </c>
      <c r="BZ419" s="2" t="n">
        <v>89.11</v>
      </c>
      <c r="CA419" s="2" t="n">
        <v>89.32</v>
      </c>
      <c r="CB419" s="2" t="n">
        <v>53.39</v>
      </c>
      <c r="CC419" s="2" t="n">
        <v>93.68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 customFormat="false" ht="15" hidden="false" customHeight="false" outlineLevel="0" collapsed="false">
      <c r="A420" s="2" t="n">
        <v>4</v>
      </c>
      <c r="B420" s="2" t="s">
        <v>1196</v>
      </c>
      <c r="C420" s="2" t="s">
        <v>976</v>
      </c>
      <c r="D420" s="2" t="s">
        <v>1175</v>
      </c>
      <c r="E420" s="2" t="s">
        <v>1176</v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81.1</v>
      </c>
      <c r="BV420" s="2" t="n">
        <v>53.39</v>
      </c>
      <c r="BW420" s="2" t="n">
        <v>84.54</v>
      </c>
      <c r="BX420" s="2" t="n">
        <v>84.82</v>
      </c>
      <c r="BY420" s="2" t="n">
        <v>53.39</v>
      </c>
      <c r="BZ420" s="2" t="n">
        <v>89.11</v>
      </c>
      <c r="CA420" s="2" t="n">
        <v>89.32</v>
      </c>
      <c r="CB420" s="2" t="n">
        <v>53.39</v>
      </c>
      <c r="CC420" s="2" t="n">
        <v>93.68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 customFormat="false" ht="15" hidden="false" customHeight="false" outlineLevel="0" collapsed="false">
      <c r="A421" s="2" t="n">
        <v>4</v>
      </c>
      <c r="B421" s="2" t="s">
        <v>1197</v>
      </c>
      <c r="C421" s="2" t="s">
        <v>1198</v>
      </c>
      <c r="D421" s="2" t="s">
        <v>1175</v>
      </c>
      <c r="E421" s="2" t="s">
        <v>1176</v>
      </c>
      <c r="F421" s="2" t="n">
        <v>6655698.66</v>
      </c>
      <c r="G421" s="2" t="n">
        <v>0</v>
      </c>
      <c r="H421" s="2" t="n">
        <v>6655698.66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81.1</v>
      </c>
      <c r="BV421" s="2" t="n">
        <v>53.39</v>
      </c>
      <c r="BW421" s="2" t="n">
        <v>84.54</v>
      </c>
      <c r="BX421" s="2" t="n">
        <v>84.82</v>
      </c>
      <c r="BY421" s="2" t="n">
        <v>53.39</v>
      </c>
      <c r="BZ421" s="2" t="n">
        <v>89.11</v>
      </c>
      <c r="CA421" s="2" t="n">
        <v>89.32</v>
      </c>
      <c r="CB421" s="2" t="n">
        <v>53.39</v>
      </c>
      <c r="CC421" s="2" t="n">
        <v>93.68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 customFormat="false" ht="15" hidden="false" customHeight="false" outlineLevel="0" collapsed="false">
      <c r="A422" s="2" t="n">
        <v>4</v>
      </c>
      <c r="B422" s="2" t="s">
        <v>1199</v>
      </c>
      <c r="C422" s="2" t="s">
        <v>1149</v>
      </c>
      <c r="D422" s="2" t="s">
        <v>1175</v>
      </c>
      <c r="E422" s="2" t="s">
        <v>1176</v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81.1</v>
      </c>
      <c r="BV422" s="2" t="n">
        <v>53.39</v>
      </c>
      <c r="BW422" s="2" t="n">
        <v>84.54</v>
      </c>
      <c r="BX422" s="2" t="n">
        <v>84.82</v>
      </c>
      <c r="BY422" s="2" t="n">
        <v>53.39</v>
      </c>
      <c r="BZ422" s="2" t="n">
        <v>89.11</v>
      </c>
      <c r="CA422" s="2" t="n">
        <v>89.32</v>
      </c>
      <c r="CB422" s="2" t="n">
        <v>53.39</v>
      </c>
      <c r="CC422" s="2" t="n">
        <v>93.68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 customFormat="false" ht="15" hidden="false" customHeight="false" outlineLevel="0" collapsed="false">
      <c r="A423" s="2" t="n">
        <v>4</v>
      </c>
      <c r="B423" s="2" t="s">
        <v>1200</v>
      </c>
      <c r="C423" s="2" t="s">
        <v>1169</v>
      </c>
      <c r="D423" s="2" t="s">
        <v>1175</v>
      </c>
      <c r="E423" s="2" t="s">
        <v>1176</v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81.1</v>
      </c>
      <c r="BV423" s="2" t="n">
        <v>53.39</v>
      </c>
      <c r="BW423" s="2" t="n">
        <v>84.54</v>
      </c>
      <c r="BX423" s="2" t="n">
        <v>84.82</v>
      </c>
      <c r="BY423" s="2" t="n">
        <v>53.39</v>
      </c>
      <c r="BZ423" s="2" t="n">
        <v>89.11</v>
      </c>
      <c r="CA423" s="2" t="n">
        <v>89.32</v>
      </c>
      <c r="CB423" s="2" t="n">
        <v>53.39</v>
      </c>
      <c r="CC423" s="2" t="n">
        <v>93.68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 customFormat="false" ht="15" hidden="false" customHeight="false" outlineLevel="0" collapsed="false">
      <c r="A424" s="2" t="n">
        <v>3</v>
      </c>
      <c r="B424" s="2" t="s">
        <v>1201</v>
      </c>
      <c r="C424" s="2" t="s">
        <v>1202</v>
      </c>
      <c r="D424" s="2" t="s">
        <v>1175</v>
      </c>
      <c r="E424" s="2" t="s">
        <v>1176</v>
      </c>
      <c r="F424" s="2" t="n">
        <v>1358807.60608712</v>
      </c>
      <c r="G424" s="2" t="n">
        <v>0</v>
      </c>
      <c r="H424" s="2" t="n">
        <v>1358807.60608712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81.1</v>
      </c>
      <c r="BV424" s="2" t="n">
        <v>53.39</v>
      </c>
      <c r="BW424" s="2" t="n">
        <v>84.54</v>
      </c>
      <c r="BX424" s="2" t="n">
        <v>84.82</v>
      </c>
      <c r="BY424" s="2" t="n">
        <v>53.39</v>
      </c>
      <c r="BZ424" s="2" t="n">
        <v>89.11</v>
      </c>
      <c r="CA424" s="2" t="n">
        <v>89.32</v>
      </c>
      <c r="CB424" s="2" t="n">
        <v>53.39</v>
      </c>
      <c r="CC424" s="2" t="n">
        <v>93.68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 customFormat="false" ht="15" hidden="false" customHeight="false" outlineLevel="0" collapsed="false">
      <c r="A425" s="2" t="n">
        <v>4</v>
      </c>
      <c r="B425" s="2" t="s">
        <v>1203</v>
      </c>
      <c r="C425" s="2" t="s">
        <v>1204</v>
      </c>
      <c r="D425" s="2" t="s">
        <v>1175</v>
      </c>
      <c r="E425" s="2" t="s">
        <v>1176</v>
      </c>
      <c r="F425" s="2" t="n">
        <v>12814.0309100044</v>
      </c>
      <c r="G425" s="2" t="n">
        <v>0</v>
      </c>
      <c r="H425" s="2" t="n">
        <v>12814.0309100044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81.1</v>
      </c>
      <c r="BV425" s="2" t="n">
        <v>53.39</v>
      </c>
      <c r="BW425" s="2" t="n">
        <v>84.54</v>
      </c>
      <c r="BX425" s="2" t="n">
        <v>84.82</v>
      </c>
      <c r="BY425" s="2" t="n">
        <v>53.39</v>
      </c>
      <c r="BZ425" s="2" t="n">
        <v>89.11</v>
      </c>
      <c r="CA425" s="2" t="n">
        <v>89.32</v>
      </c>
      <c r="CB425" s="2" t="n">
        <v>53.39</v>
      </c>
      <c r="CC425" s="2" t="n">
        <v>93.68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 customFormat="false" ht="15" hidden="false" customHeight="false" outlineLevel="0" collapsed="false">
      <c r="A426" s="2" t="n">
        <v>4</v>
      </c>
      <c r="B426" s="2" t="s">
        <v>1205</v>
      </c>
      <c r="C426" s="2" t="s">
        <v>1206</v>
      </c>
      <c r="D426" s="2" t="s">
        <v>1175</v>
      </c>
      <c r="E426" s="2" t="s">
        <v>1176</v>
      </c>
      <c r="F426" s="2" t="n">
        <v>70993.5751771181</v>
      </c>
      <c r="G426" s="2" t="n">
        <v>0</v>
      </c>
      <c r="H426" s="2" t="n">
        <v>70993.5751771181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81.1</v>
      </c>
      <c r="BV426" s="2" t="n">
        <v>53.39</v>
      </c>
      <c r="BW426" s="2" t="n">
        <v>84.54</v>
      </c>
      <c r="BX426" s="2" t="n">
        <v>84.82</v>
      </c>
      <c r="BY426" s="2" t="n">
        <v>53.39</v>
      </c>
      <c r="BZ426" s="2" t="n">
        <v>89.11</v>
      </c>
      <c r="CA426" s="2" t="n">
        <v>89.32</v>
      </c>
      <c r="CB426" s="2" t="n">
        <v>53.39</v>
      </c>
      <c r="CC426" s="2" t="n">
        <v>93.68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 customFormat="false" ht="15" hidden="false" customHeight="false" outlineLevel="0" collapsed="false">
      <c r="A427" s="2" t="n">
        <v>4</v>
      </c>
      <c r="B427" s="2" t="s">
        <v>1207</v>
      </c>
      <c r="C427" s="2" t="s">
        <v>1208</v>
      </c>
      <c r="D427" s="2" t="s">
        <v>1175</v>
      </c>
      <c r="E427" s="2" t="s">
        <v>1176</v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81.1</v>
      </c>
      <c r="BV427" s="2" t="n">
        <v>53.39</v>
      </c>
      <c r="BW427" s="2" t="n">
        <v>84.54</v>
      </c>
      <c r="BX427" s="2" t="n">
        <v>84.82</v>
      </c>
      <c r="BY427" s="2" t="n">
        <v>53.39</v>
      </c>
      <c r="BZ427" s="2" t="n">
        <v>89.11</v>
      </c>
      <c r="CA427" s="2" t="n">
        <v>89.32</v>
      </c>
      <c r="CB427" s="2" t="n">
        <v>53.39</v>
      </c>
      <c r="CC427" s="2" t="n">
        <v>93.68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 customFormat="false" ht="15" hidden="false" customHeight="false" outlineLevel="0" collapsed="false">
      <c r="A428" s="2" t="n">
        <v>4</v>
      </c>
      <c r="B428" s="2" t="s">
        <v>1209</v>
      </c>
      <c r="C428" s="2" t="s">
        <v>1210</v>
      </c>
      <c r="D428" s="2" t="s">
        <v>1175</v>
      </c>
      <c r="E428" s="2" t="s">
        <v>1176</v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81.1</v>
      </c>
      <c r="BV428" s="2" t="n">
        <v>53.39</v>
      </c>
      <c r="BW428" s="2" t="n">
        <v>84.54</v>
      </c>
      <c r="BX428" s="2" t="n">
        <v>84.82</v>
      </c>
      <c r="BY428" s="2" t="n">
        <v>53.39</v>
      </c>
      <c r="BZ428" s="2" t="n">
        <v>89.11</v>
      </c>
      <c r="CA428" s="2" t="n">
        <v>89.32</v>
      </c>
      <c r="CB428" s="2" t="n">
        <v>53.39</v>
      </c>
      <c r="CC428" s="2" t="n">
        <v>93.68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 customFormat="false" ht="15" hidden="false" customHeight="false" outlineLevel="0" collapsed="false">
      <c r="A429" s="2" t="n">
        <v>1</v>
      </c>
      <c r="B429" s="2" t="s">
        <v>162</v>
      </c>
      <c r="C429" s="2" t="s">
        <v>163</v>
      </c>
      <c r="D429" s="2" t="s">
        <v>1211</v>
      </c>
      <c r="E429" s="2" t="s">
        <v>1212</v>
      </c>
      <c r="F429" s="2" t="n">
        <v>4902992.67281196</v>
      </c>
      <c r="G429" s="2" t="n">
        <v>0</v>
      </c>
      <c r="H429" s="2" t="n">
        <v>4902992.67281196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</v>
      </c>
      <c r="CQ429" s="2" t="n">
        <v>6.29</v>
      </c>
      <c r="CR429" s="2" t="n">
        <v>79.72</v>
      </c>
      <c r="CS429" s="2" t="n">
        <v>78.82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</v>
      </c>
      <c r="DB429" s="2" t="n">
        <v>95.56</v>
      </c>
      <c r="DC429" s="2" t="n">
        <v>6.29</v>
      </c>
      <c r="DD429" s="2" t="n">
        <v>94.33</v>
      </c>
      <c r="DE429" s="2" t="n">
        <v>97.01</v>
      </c>
      <c r="DF429" s="2" t="n">
        <v>6.29</v>
      </c>
      <c r="DG429" s="2" t="n">
        <v>95.37</v>
      </c>
      <c r="DH429" s="2" t="n">
        <v>98.18</v>
      </c>
      <c r="DI429" s="2" t="n">
        <v>6.29</v>
      </c>
      <c r="DJ429" s="2" t="n">
        <v>96.6</v>
      </c>
      <c r="DK429" s="2" t="n">
        <v>98.59</v>
      </c>
      <c r="DL429" s="2" t="n">
        <v>6.29</v>
      </c>
      <c r="DM429" s="2" t="n">
        <v>97.93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 customFormat="false" ht="15" hidden="false" customHeight="false" outlineLevel="0" collapsed="false">
      <c r="A430" s="2" t="n">
        <v>2</v>
      </c>
      <c r="B430" s="2" t="s">
        <v>1213</v>
      </c>
      <c r="C430" s="2" t="s">
        <v>1214</v>
      </c>
      <c r="D430" s="2" t="s">
        <v>1211</v>
      </c>
      <c r="E430" s="2" t="s">
        <v>1215</v>
      </c>
      <c r="F430" s="2" t="n">
        <v>1667801.0633252</v>
      </c>
      <c r="G430" s="2" t="n">
        <v>0</v>
      </c>
      <c r="H430" s="2" t="n">
        <v>1667801.0633252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75.24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 customFormat="false" ht="15" hidden="false" customHeight="false" outlineLevel="0" collapsed="false">
      <c r="A431" s="2" t="n">
        <v>3</v>
      </c>
      <c r="B431" s="2" t="s">
        <v>1216</v>
      </c>
      <c r="C431" s="2" t="s">
        <v>1217</v>
      </c>
      <c r="D431" s="2" t="s">
        <v>1211</v>
      </c>
      <c r="E431" s="2" t="s">
        <v>1215</v>
      </c>
      <c r="F431" s="2" t="n">
        <v>53667.1140715236</v>
      </c>
      <c r="G431" s="2" t="n">
        <v>0</v>
      </c>
      <c r="H431" s="2" t="n">
        <v>53667.1140715236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75.24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 customFormat="false" ht="15" hidden="false" customHeight="false" outlineLevel="0" collapsed="false">
      <c r="A432" s="2" t="n">
        <v>4</v>
      </c>
      <c r="B432" s="2" t="s">
        <v>1218</v>
      </c>
      <c r="C432" s="2" t="s">
        <v>1016</v>
      </c>
      <c r="D432" s="2" t="s">
        <v>1211</v>
      </c>
      <c r="E432" s="2" t="s">
        <v>1215</v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75.24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 customFormat="false" ht="15" hidden="false" customHeight="false" outlineLevel="0" collapsed="false">
      <c r="A433" s="2" t="n">
        <v>4</v>
      </c>
      <c r="B433" s="2" t="s">
        <v>1219</v>
      </c>
      <c r="C433" s="2" t="s">
        <v>1018</v>
      </c>
      <c r="D433" s="2" t="s">
        <v>1211</v>
      </c>
      <c r="E433" s="2" t="s">
        <v>1215</v>
      </c>
      <c r="F433" s="2" t="n">
        <v>37127.66515816</v>
      </c>
      <c r="G433" s="2" t="n">
        <v>0</v>
      </c>
      <c r="H433" s="2" t="n">
        <v>37127.66515816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75.24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 customFormat="false" ht="15" hidden="false" customHeight="false" outlineLevel="0" collapsed="false">
      <c r="A434" s="2" t="n">
        <v>4</v>
      </c>
      <c r="B434" s="2" t="s">
        <v>1220</v>
      </c>
      <c r="C434" s="2" t="s">
        <v>1020</v>
      </c>
      <c r="D434" s="2" t="s">
        <v>1211</v>
      </c>
      <c r="E434" s="2" t="s">
        <v>1215</v>
      </c>
      <c r="F434" s="2" t="n">
        <v>1744.29721752507</v>
      </c>
      <c r="G434" s="2" t="n">
        <v>0</v>
      </c>
      <c r="H434" s="2" t="n">
        <v>1744.29721752507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75.24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 customFormat="false" ht="15" hidden="false" customHeight="false" outlineLevel="0" collapsed="false">
      <c r="A435" s="2" t="n">
        <v>4</v>
      </c>
      <c r="B435" s="2" t="s">
        <v>1221</v>
      </c>
      <c r="C435" s="2" t="s">
        <v>1222</v>
      </c>
      <c r="D435" s="2" t="s">
        <v>1211</v>
      </c>
      <c r="E435" s="2" t="s">
        <v>1215</v>
      </c>
      <c r="F435" s="2" t="n">
        <v>1950.18161573454</v>
      </c>
      <c r="G435" s="2" t="n">
        <v>0</v>
      </c>
      <c r="H435" s="2" t="n">
        <v>1950.18161573454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75.24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 customFormat="false" ht="15" hidden="false" customHeight="false" outlineLevel="0" collapsed="false">
      <c r="A436" s="2" t="n">
        <v>3</v>
      </c>
      <c r="B436" s="2" t="s">
        <v>1223</v>
      </c>
      <c r="C436" s="2" t="s">
        <v>1224</v>
      </c>
      <c r="D436" s="2" t="s">
        <v>1211</v>
      </c>
      <c r="E436" s="2" t="s">
        <v>1215</v>
      </c>
      <c r="F436" s="2" t="n">
        <v>259023.930389666</v>
      </c>
      <c r="G436" s="2" t="n">
        <v>0</v>
      </c>
      <c r="H436" s="2" t="n">
        <v>259023.930389666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75.24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 customFormat="false" ht="15" hidden="false" customHeight="false" outlineLevel="0" collapsed="false">
      <c r="A437" s="2" t="n">
        <v>4</v>
      </c>
      <c r="B437" s="2" t="s">
        <v>1225</v>
      </c>
      <c r="C437" s="2" t="s">
        <v>1226</v>
      </c>
      <c r="D437" s="2" t="s">
        <v>1211</v>
      </c>
      <c r="E437" s="2" t="s">
        <v>1215</v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75.24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 customFormat="false" ht="15" hidden="false" customHeight="false" outlineLevel="0" collapsed="false">
      <c r="A438" s="2" t="n">
        <v>4</v>
      </c>
      <c r="B438" s="2" t="s">
        <v>1227</v>
      </c>
      <c r="C438" s="2" t="s">
        <v>1228</v>
      </c>
      <c r="D438" s="2" t="s">
        <v>1211</v>
      </c>
      <c r="E438" s="2" t="s">
        <v>1215</v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75.24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 customFormat="false" ht="15" hidden="false" customHeight="false" outlineLevel="0" collapsed="false">
      <c r="A439" s="2" t="n">
        <v>4</v>
      </c>
      <c r="B439" s="2" t="s">
        <v>1229</v>
      </c>
      <c r="C439" s="2" t="s">
        <v>1020</v>
      </c>
      <c r="D439" s="2" t="s">
        <v>1211</v>
      </c>
      <c r="E439" s="2" t="s">
        <v>1215</v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75.24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 customFormat="false" ht="15" hidden="false" customHeight="false" outlineLevel="0" collapsed="false">
      <c r="A440" s="2" t="n">
        <v>4</v>
      </c>
      <c r="B440" s="2" t="s">
        <v>1230</v>
      </c>
      <c r="C440" s="2" t="s">
        <v>1222</v>
      </c>
      <c r="D440" s="2" t="s">
        <v>1211</v>
      </c>
      <c r="E440" s="2" t="s">
        <v>1215</v>
      </c>
      <c r="F440" s="2" t="n">
        <v>9451.13299539342</v>
      </c>
      <c r="G440" s="2" t="n">
        <v>0</v>
      </c>
      <c r="H440" s="2" t="n">
        <v>9451.13299539342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75.24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 customFormat="false" ht="15" hidden="false" customHeight="false" outlineLevel="0" collapsed="false">
      <c r="A441" s="2" t="n">
        <v>3</v>
      </c>
      <c r="B441" s="2" t="s">
        <v>1231</v>
      </c>
      <c r="C441" s="2" t="s">
        <v>1232</v>
      </c>
      <c r="D441" s="2" t="s">
        <v>1211</v>
      </c>
      <c r="E441" s="2" t="s">
        <v>1215</v>
      </c>
      <c r="F441" s="2" t="n">
        <v>1355110.01886401</v>
      </c>
      <c r="G441" s="2" t="n">
        <v>0</v>
      </c>
      <c r="H441" s="2" t="n">
        <v>1355110.01886401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75.24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 customFormat="false" ht="15" hidden="false" customHeight="false" outlineLevel="0" collapsed="false">
      <c r="A442" s="2" t="n">
        <v>4</v>
      </c>
      <c r="B442" s="2" t="s">
        <v>1233</v>
      </c>
      <c r="C442" s="2" t="s">
        <v>1234</v>
      </c>
      <c r="D442" s="2" t="s">
        <v>1211</v>
      </c>
      <c r="E442" s="2" t="s">
        <v>1215</v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75.24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 customFormat="false" ht="15" hidden="false" customHeight="false" outlineLevel="0" collapsed="false">
      <c r="A443" s="2" t="n">
        <v>4</v>
      </c>
      <c r="B443" s="2" t="s">
        <v>1235</v>
      </c>
      <c r="C443" s="2" t="s">
        <v>1236</v>
      </c>
      <c r="D443" s="2" t="s">
        <v>1211</v>
      </c>
      <c r="E443" s="2" t="s">
        <v>1215</v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75.24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 customFormat="false" ht="15" hidden="false" customHeight="false" outlineLevel="0" collapsed="false">
      <c r="A444" s="2" t="n">
        <v>4</v>
      </c>
      <c r="B444" s="2" t="s">
        <v>1237</v>
      </c>
      <c r="C444" s="2" t="s">
        <v>1020</v>
      </c>
      <c r="D444" s="2" t="s">
        <v>1211</v>
      </c>
      <c r="E444" s="2" t="s">
        <v>1215</v>
      </c>
      <c r="F444" s="2" t="n">
        <v>52303.636855933</v>
      </c>
      <c r="G444" s="2" t="n">
        <v>0</v>
      </c>
      <c r="H444" s="2" t="n">
        <v>52303.636855933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75.24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 customFormat="false" ht="15" hidden="false" customHeight="false" outlineLevel="0" collapsed="false">
      <c r="A445" s="2" t="n">
        <v>4</v>
      </c>
      <c r="B445" s="2" t="s">
        <v>1238</v>
      </c>
      <c r="C445" s="2" t="s">
        <v>1222</v>
      </c>
      <c r="D445" s="2" t="s">
        <v>1211</v>
      </c>
      <c r="E445" s="2" t="s">
        <v>1215</v>
      </c>
      <c r="F445" s="2" t="n">
        <v>42569.6087192296</v>
      </c>
      <c r="G445" s="2" t="n">
        <v>0</v>
      </c>
      <c r="H445" s="2" t="n">
        <v>42569.6087192296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75.24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 customFormat="false" ht="15" hidden="false" customHeight="false" outlineLevel="0" collapsed="false">
      <c r="A446" s="2" t="n">
        <v>2</v>
      </c>
      <c r="B446" s="2" t="s">
        <v>1239</v>
      </c>
      <c r="C446" s="2" t="s">
        <v>1240</v>
      </c>
      <c r="D446" s="2" t="s">
        <v>1241</v>
      </c>
      <c r="E446" s="2" t="s">
        <v>1212</v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</v>
      </c>
      <c r="CT446" s="2" t="n">
        <v>0</v>
      </c>
      <c r="CU446" s="2" t="n">
        <v>78.82</v>
      </c>
      <c r="CV446" s="2" t="n">
        <v>76.79</v>
      </c>
      <c r="CW446" s="2" t="n">
        <v>0</v>
      </c>
      <c r="CX446" s="2" t="n">
        <v>86.42</v>
      </c>
      <c r="CY446" s="2" t="n">
        <v>87.1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</v>
      </c>
      <c r="DE446" s="2" t="n">
        <v>95.14</v>
      </c>
      <c r="DF446" s="2" t="n">
        <v>0</v>
      </c>
      <c r="DG446" s="2" t="n">
        <v>92.79</v>
      </c>
      <c r="DH446" s="2" t="n">
        <v>97.05</v>
      </c>
      <c r="DI446" s="2" t="n">
        <v>0</v>
      </c>
      <c r="DJ446" s="2" t="n">
        <v>94.47</v>
      </c>
      <c r="DK446" s="2" t="n">
        <v>97.71</v>
      </c>
      <c r="DL446" s="2" t="n">
        <v>0</v>
      </c>
      <c r="DM446" s="2" t="n">
        <v>96.64</v>
      </c>
      <c r="DN446" s="2" t="n">
        <v>97.71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 customFormat="false" ht="15" hidden="false" customHeight="false" outlineLevel="0" collapsed="false">
      <c r="A447" s="2" t="n">
        <v>3</v>
      </c>
      <c r="B447" s="2" t="s">
        <v>1242</v>
      </c>
      <c r="C447" s="2" t="s">
        <v>1243</v>
      </c>
      <c r="D447" s="2" t="s">
        <v>1241</v>
      </c>
      <c r="E447" s="2" t="s">
        <v>1212</v>
      </c>
      <c r="F447" s="2" t="n">
        <v>582886.42676</v>
      </c>
      <c r="G447" s="2" t="n">
        <v>0</v>
      </c>
      <c r="H447" s="2" t="n">
        <v>582886.42676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</v>
      </c>
      <c r="CT447" s="2" t="n">
        <v>0</v>
      </c>
      <c r="CU447" s="2" t="n">
        <v>78.82</v>
      </c>
      <c r="CV447" s="2" t="n">
        <v>76.79</v>
      </c>
      <c r="CW447" s="2" t="n">
        <v>0</v>
      </c>
      <c r="CX447" s="2" t="n">
        <v>86.42</v>
      </c>
      <c r="CY447" s="2" t="n">
        <v>87.1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</v>
      </c>
      <c r="DE447" s="2" t="n">
        <v>95.14</v>
      </c>
      <c r="DF447" s="2" t="n">
        <v>0</v>
      </c>
      <c r="DG447" s="2" t="n">
        <v>92.79</v>
      </c>
      <c r="DH447" s="2" t="n">
        <v>97.05</v>
      </c>
      <c r="DI447" s="2" t="n">
        <v>0</v>
      </c>
      <c r="DJ447" s="2" t="n">
        <v>94.47</v>
      </c>
      <c r="DK447" s="2" t="n">
        <v>97.71</v>
      </c>
      <c r="DL447" s="2" t="n">
        <v>0</v>
      </c>
      <c r="DM447" s="2" t="n">
        <v>96.64</v>
      </c>
      <c r="DN447" s="2" t="n">
        <v>97.71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 customFormat="false" ht="15" hidden="false" customHeight="false" outlineLevel="0" collapsed="false">
      <c r="A448" s="2" t="n">
        <v>3</v>
      </c>
      <c r="B448" s="2" t="s">
        <v>1244</v>
      </c>
      <c r="C448" s="2" t="s">
        <v>1245</v>
      </c>
      <c r="D448" s="2" t="s">
        <v>1241</v>
      </c>
      <c r="E448" s="2" t="s">
        <v>1212</v>
      </c>
      <c r="F448" s="2" t="n">
        <v>359981.132812</v>
      </c>
      <c r="G448" s="2" t="n">
        <v>0</v>
      </c>
      <c r="H448" s="2" t="n">
        <v>359981.132812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</v>
      </c>
      <c r="CT448" s="2" t="n">
        <v>0</v>
      </c>
      <c r="CU448" s="2" t="n">
        <v>78.82</v>
      </c>
      <c r="CV448" s="2" t="n">
        <v>76.79</v>
      </c>
      <c r="CW448" s="2" t="n">
        <v>0</v>
      </c>
      <c r="CX448" s="2" t="n">
        <v>86.42</v>
      </c>
      <c r="CY448" s="2" t="n">
        <v>87.1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</v>
      </c>
      <c r="DE448" s="2" t="n">
        <v>95.14</v>
      </c>
      <c r="DF448" s="2" t="n">
        <v>0</v>
      </c>
      <c r="DG448" s="2" t="n">
        <v>92.79</v>
      </c>
      <c r="DH448" s="2" t="n">
        <v>97.05</v>
      </c>
      <c r="DI448" s="2" t="n">
        <v>0</v>
      </c>
      <c r="DJ448" s="2" t="n">
        <v>94.47</v>
      </c>
      <c r="DK448" s="2" t="n">
        <v>97.71</v>
      </c>
      <c r="DL448" s="2" t="n">
        <v>0</v>
      </c>
      <c r="DM448" s="2" t="n">
        <v>96.64</v>
      </c>
      <c r="DN448" s="2" t="n">
        <v>97.71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 customFormat="false" ht="15" hidden="false" customHeight="false" outlineLevel="0" collapsed="false">
      <c r="A449" s="2" t="n">
        <v>3</v>
      </c>
      <c r="B449" s="2" t="s">
        <v>1246</v>
      </c>
      <c r="C449" s="2" t="s">
        <v>1247</v>
      </c>
      <c r="D449" s="2" t="s">
        <v>1241</v>
      </c>
      <c r="E449" s="2" t="s">
        <v>1212</v>
      </c>
      <c r="F449" s="2" t="n">
        <v>562145.832</v>
      </c>
      <c r="G449" s="2" t="n">
        <v>0</v>
      </c>
      <c r="H449" s="2" t="n">
        <v>562145.832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</v>
      </c>
      <c r="CT449" s="2" t="n">
        <v>0</v>
      </c>
      <c r="CU449" s="2" t="n">
        <v>78.82</v>
      </c>
      <c r="CV449" s="2" t="n">
        <v>76.79</v>
      </c>
      <c r="CW449" s="2" t="n">
        <v>0</v>
      </c>
      <c r="CX449" s="2" t="n">
        <v>86.42</v>
      </c>
      <c r="CY449" s="2" t="n">
        <v>87.1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</v>
      </c>
      <c r="DE449" s="2" t="n">
        <v>95.14</v>
      </c>
      <c r="DF449" s="2" t="n">
        <v>0</v>
      </c>
      <c r="DG449" s="2" t="n">
        <v>92.79</v>
      </c>
      <c r="DH449" s="2" t="n">
        <v>97.05</v>
      </c>
      <c r="DI449" s="2" t="n">
        <v>0</v>
      </c>
      <c r="DJ449" s="2" t="n">
        <v>94.47</v>
      </c>
      <c r="DK449" s="2" t="n">
        <v>97.71</v>
      </c>
      <c r="DL449" s="2" t="n">
        <v>0</v>
      </c>
      <c r="DM449" s="2" t="n">
        <v>96.64</v>
      </c>
      <c r="DN449" s="2" t="n">
        <v>97.71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 customFormat="false" ht="15" hidden="false" customHeight="false" outlineLevel="0" collapsed="false">
      <c r="A450" s="2" t="n">
        <v>3</v>
      </c>
      <c r="B450" s="2" t="s">
        <v>1248</v>
      </c>
      <c r="C450" s="2" t="s">
        <v>1249</v>
      </c>
      <c r="D450" s="2" t="s">
        <v>1241</v>
      </c>
      <c r="E450" s="2" t="s">
        <v>1212</v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</v>
      </c>
      <c r="CT450" s="2" t="n">
        <v>0</v>
      </c>
      <c r="CU450" s="2" t="n">
        <v>78.82</v>
      </c>
      <c r="CV450" s="2" t="n">
        <v>76.79</v>
      </c>
      <c r="CW450" s="2" t="n">
        <v>0</v>
      </c>
      <c r="CX450" s="2" t="n">
        <v>86.42</v>
      </c>
      <c r="CY450" s="2" t="n">
        <v>87.1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</v>
      </c>
      <c r="DE450" s="2" t="n">
        <v>95.14</v>
      </c>
      <c r="DF450" s="2" t="n">
        <v>0</v>
      </c>
      <c r="DG450" s="2" t="n">
        <v>92.79</v>
      </c>
      <c r="DH450" s="2" t="n">
        <v>97.05</v>
      </c>
      <c r="DI450" s="2" t="n">
        <v>0</v>
      </c>
      <c r="DJ450" s="2" t="n">
        <v>94.47</v>
      </c>
      <c r="DK450" s="2" t="n">
        <v>97.71</v>
      </c>
      <c r="DL450" s="2" t="n">
        <v>0</v>
      </c>
      <c r="DM450" s="2" t="n">
        <v>96.64</v>
      </c>
      <c r="DN450" s="2" t="n">
        <v>97.71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 customFormat="false" ht="15" hidden="false" customHeight="false" outlineLevel="0" collapsed="false">
      <c r="A451" s="2" t="n">
        <v>3</v>
      </c>
      <c r="B451" s="2" t="s">
        <v>1250</v>
      </c>
      <c r="C451" s="2" t="s">
        <v>1251</v>
      </c>
      <c r="D451" s="2" t="s">
        <v>1241</v>
      </c>
      <c r="E451" s="2" t="s">
        <v>1212</v>
      </c>
      <c r="F451" s="2" t="n">
        <v>413609.684</v>
      </c>
      <c r="G451" s="2" t="n">
        <v>0</v>
      </c>
      <c r="H451" s="2" t="n">
        <v>413609.684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</v>
      </c>
      <c r="CT451" s="2" t="n">
        <v>0</v>
      </c>
      <c r="CU451" s="2" t="n">
        <v>78.82</v>
      </c>
      <c r="CV451" s="2" t="n">
        <v>76.79</v>
      </c>
      <c r="CW451" s="2" t="n">
        <v>0</v>
      </c>
      <c r="CX451" s="2" t="n">
        <v>86.42</v>
      </c>
      <c r="CY451" s="2" t="n">
        <v>87.1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</v>
      </c>
      <c r="DE451" s="2" t="n">
        <v>95.14</v>
      </c>
      <c r="DF451" s="2" t="n">
        <v>0</v>
      </c>
      <c r="DG451" s="2" t="n">
        <v>92.79</v>
      </c>
      <c r="DH451" s="2" t="n">
        <v>97.05</v>
      </c>
      <c r="DI451" s="2" t="n">
        <v>0</v>
      </c>
      <c r="DJ451" s="2" t="n">
        <v>94.47</v>
      </c>
      <c r="DK451" s="2" t="n">
        <v>97.71</v>
      </c>
      <c r="DL451" s="2" t="n">
        <v>0</v>
      </c>
      <c r="DM451" s="2" t="n">
        <v>96.64</v>
      </c>
      <c r="DN451" s="2" t="n">
        <v>97.71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 customFormat="false" ht="15" hidden="false" customHeight="false" outlineLevel="0" collapsed="false">
      <c r="A452" s="2" t="n">
        <v>2</v>
      </c>
      <c r="B452" s="2" t="s">
        <v>1252</v>
      </c>
      <c r="C452" s="2" t="s">
        <v>1253</v>
      </c>
      <c r="D452" s="2" t="s">
        <v>1211</v>
      </c>
      <c r="E452" s="2" t="s">
        <v>1215</v>
      </c>
      <c r="F452" s="2" t="n">
        <v>219936.334874765</v>
      </c>
      <c r="G452" s="2" t="n">
        <v>0</v>
      </c>
      <c r="H452" s="2" t="n">
        <v>219936.334874765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</v>
      </c>
      <c r="DB452" s="2" t="n">
        <v>100</v>
      </c>
      <c r="DC452" s="2" t="n">
        <v>16.21</v>
      </c>
      <c r="DD452" s="2" t="n">
        <v>97.99</v>
      </c>
      <c r="DE452" s="2" t="n">
        <v>100</v>
      </c>
      <c r="DF452" s="2" t="n">
        <v>16.21</v>
      </c>
      <c r="DG452" s="2" t="n">
        <v>99.29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 customFormat="false" ht="15" hidden="false" customHeight="false" outlineLevel="0" collapsed="false">
      <c r="A453" s="2" t="n">
        <v>3</v>
      </c>
      <c r="B453" s="2" t="s">
        <v>1254</v>
      </c>
      <c r="C453" s="2" t="s">
        <v>1255</v>
      </c>
      <c r="D453" s="2" t="s">
        <v>1211</v>
      </c>
      <c r="E453" s="2" t="s">
        <v>1215</v>
      </c>
      <c r="F453" s="2" t="n">
        <v>219936.334874765</v>
      </c>
      <c r="G453" s="2" t="n">
        <v>0</v>
      </c>
      <c r="H453" s="2" t="n">
        <v>219936.334874765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</v>
      </c>
      <c r="DB453" s="2" t="n">
        <v>100</v>
      </c>
      <c r="DC453" s="2" t="n">
        <v>16.21</v>
      </c>
      <c r="DD453" s="2" t="n">
        <v>97.99</v>
      </c>
      <c r="DE453" s="2" t="n">
        <v>100</v>
      </c>
      <c r="DF453" s="2" t="n">
        <v>16.21</v>
      </c>
      <c r="DG453" s="2" t="n">
        <v>99.29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 customFormat="false" ht="15" hidden="false" customHeight="false" outlineLevel="0" collapsed="false">
      <c r="A454" s="2" t="n">
        <v>1</v>
      </c>
      <c r="B454" s="2" t="s">
        <v>165</v>
      </c>
      <c r="C454" s="2" t="s">
        <v>166</v>
      </c>
      <c r="D454" s="2" t="s">
        <v>1256</v>
      </c>
      <c r="E454" s="2" t="s">
        <v>1257</v>
      </c>
      <c r="F454" s="2" t="n">
        <v>3466051.20309119</v>
      </c>
      <c r="G454" s="2" t="n">
        <v>0</v>
      </c>
      <c r="H454" s="2" t="n">
        <v>3466051.20309119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</v>
      </c>
      <c r="CW454" s="2" t="n">
        <v>0</v>
      </c>
      <c r="CX454" s="2" t="n">
        <v>73.9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</v>
      </c>
      <c r="DH454" s="2" t="n">
        <v>85.4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 customFormat="false" ht="15" hidden="false" customHeight="false" outlineLevel="0" collapsed="false">
      <c r="A455" s="2" t="n">
        <v>2</v>
      </c>
      <c r="B455" s="2" t="s">
        <v>1258</v>
      </c>
      <c r="C455" s="2" t="s">
        <v>1259</v>
      </c>
      <c r="D455" s="2" t="s">
        <v>1260</v>
      </c>
      <c r="E455" s="2" t="s">
        <v>1261</v>
      </c>
      <c r="F455" s="2" t="n">
        <v>600828.219319744</v>
      </c>
      <c r="G455" s="2" t="n">
        <v>0</v>
      </c>
      <c r="H455" s="2" t="n">
        <v>600828.219319744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</v>
      </c>
      <c r="CV455" s="2" t="n">
        <v>68.9</v>
      </c>
      <c r="CW455" s="2" t="n">
        <v>0</v>
      </c>
      <c r="CX455" s="2" t="n">
        <v>79.88</v>
      </c>
      <c r="CY455" s="2" t="n">
        <v>77.35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</v>
      </c>
      <c r="DH455" s="2" t="n">
        <v>89.4</v>
      </c>
      <c r="DI455" s="2" t="n">
        <v>0</v>
      </c>
      <c r="DJ455" s="2" t="n">
        <v>89.4</v>
      </c>
      <c r="DK455" s="2" t="n">
        <v>89.4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97.71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 customFormat="false" ht="15" hidden="false" customHeight="false" outlineLevel="0" collapsed="false">
      <c r="A456" s="2" t="n">
        <v>3</v>
      </c>
      <c r="B456" s="2" t="s">
        <v>1262</v>
      </c>
      <c r="C456" s="2" t="s">
        <v>1263</v>
      </c>
      <c r="D456" s="2" t="s">
        <v>1260</v>
      </c>
      <c r="E456" s="2" t="s">
        <v>1261</v>
      </c>
      <c r="F456" s="2" t="n">
        <v>201048.357088201</v>
      </c>
      <c r="G456" s="2" t="n">
        <v>0</v>
      </c>
      <c r="H456" s="2" t="n">
        <v>201048.357088201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</v>
      </c>
      <c r="CV456" s="2" t="n">
        <v>68.9</v>
      </c>
      <c r="CW456" s="2" t="n">
        <v>0</v>
      </c>
      <c r="CX456" s="2" t="n">
        <v>79.88</v>
      </c>
      <c r="CY456" s="2" t="n">
        <v>77.35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</v>
      </c>
      <c r="DH456" s="2" t="n">
        <v>89.4</v>
      </c>
      <c r="DI456" s="2" t="n">
        <v>0</v>
      </c>
      <c r="DJ456" s="2" t="n">
        <v>89.4</v>
      </c>
      <c r="DK456" s="2" t="n">
        <v>89.4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97.71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 customFormat="false" ht="15" hidden="false" customHeight="false" outlineLevel="0" collapsed="false">
      <c r="A457" s="2" t="n">
        <v>3</v>
      </c>
      <c r="B457" s="2" t="s">
        <v>1264</v>
      </c>
      <c r="C457" s="2" t="s">
        <v>1265</v>
      </c>
      <c r="D457" s="2" t="s">
        <v>1260</v>
      </c>
      <c r="E457" s="2" t="s">
        <v>1261</v>
      </c>
      <c r="F457" s="2" t="n">
        <v>30061.8176125709</v>
      </c>
      <c r="G457" s="2" t="n">
        <v>0</v>
      </c>
      <c r="H457" s="2" t="n">
        <v>30061.8176125709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</v>
      </c>
      <c r="CV457" s="2" t="n">
        <v>68.9</v>
      </c>
      <c r="CW457" s="2" t="n">
        <v>0</v>
      </c>
      <c r="CX457" s="2" t="n">
        <v>79.88</v>
      </c>
      <c r="CY457" s="2" t="n">
        <v>77.35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</v>
      </c>
      <c r="DH457" s="2" t="n">
        <v>89.4</v>
      </c>
      <c r="DI457" s="2" t="n">
        <v>0</v>
      </c>
      <c r="DJ457" s="2" t="n">
        <v>89.4</v>
      </c>
      <c r="DK457" s="2" t="n">
        <v>89.4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97.71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 customFormat="false" ht="15" hidden="false" customHeight="false" outlineLevel="0" collapsed="false">
      <c r="A458" s="2" t="n">
        <v>3</v>
      </c>
      <c r="B458" s="2" t="s">
        <v>1266</v>
      </c>
      <c r="C458" s="2" t="s">
        <v>1267</v>
      </c>
      <c r="D458" s="2" t="s">
        <v>1260</v>
      </c>
      <c r="E458" s="2" t="s">
        <v>1261</v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</v>
      </c>
      <c r="CV458" s="2" t="n">
        <v>68.9</v>
      </c>
      <c r="CW458" s="2" t="n">
        <v>0</v>
      </c>
      <c r="CX458" s="2" t="n">
        <v>79.88</v>
      </c>
      <c r="CY458" s="2" t="n">
        <v>77.35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</v>
      </c>
      <c r="DH458" s="2" t="n">
        <v>89.4</v>
      </c>
      <c r="DI458" s="2" t="n">
        <v>0</v>
      </c>
      <c r="DJ458" s="2" t="n">
        <v>89.4</v>
      </c>
      <c r="DK458" s="2" t="n">
        <v>89.4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97.71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 customFormat="false" ht="15" hidden="false" customHeight="false" outlineLevel="0" collapsed="false">
      <c r="A459" s="2" t="n">
        <v>3</v>
      </c>
      <c r="B459" s="2" t="s">
        <v>1268</v>
      </c>
      <c r="C459" s="2" t="s">
        <v>1269</v>
      </c>
      <c r="D459" s="2" t="s">
        <v>1260</v>
      </c>
      <c r="E459" s="2" t="s">
        <v>1261</v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</v>
      </c>
      <c r="CV459" s="2" t="n">
        <v>68.9</v>
      </c>
      <c r="CW459" s="2" t="n">
        <v>0</v>
      </c>
      <c r="CX459" s="2" t="n">
        <v>79.88</v>
      </c>
      <c r="CY459" s="2" t="n">
        <v>77.35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</v>
      </c>
      <c r="DH459" s="2" t="n">
        <v>89.4</v>
      </c>
      <c r="DI459" s="2" t="n">
        <v>0</v>
      </c>
      <c r="DJ459" s="2" t="n">
        <v>89.4</v>
      </c>
      <c r="DK459" s="2" t="n">
        <v>89.4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97.71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 customFormat="false" ht="15" hidden="false" customHeight="false" outlineLevel="0" collapsed="false">
      <c r="A460" s="2" t="n">
        <v>3</v>
      </c>
      <c r="B460" s="2" t="s">
        <v>1270</v>
      </c>
      <c r="C460" s="2" t="s">
        <v>1271</v>
      </c>
      <c r="D460" s="2" t="s">
        <v>1260</v>
      </c>
      <c r="E460" s="2" t="s">
        <v>1261</v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</v>
      </c>
      <c r="CV460" s="2" t="n">
        <v>68.9</v>
      </c>
      <c r="CW460" s="2" t="n">
        <v>0</v>
      </c>
      <c r="CX460" s="2" t="n">
        <v>79.88</v>
      </c>
      <c r="CY460" s="2" t="n">
        <v>77.35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</v>
      </c>
      <c r="DH460" s="2" t="n">
        <v>89.4</v>
      </c>
      <c r="DI460" s="2" t="n">
        <v>0</v>
      </c>
      <c r="DJ460" s="2" t="n">
        <v>89.4</v>
      </c>
      <c r="DK460" s="2" t="n">
        <v>89.4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97.71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 customFormat="false" ht="15" hidden="false" customHeight="false" outlineLevel="0" collapsed="false">
      <c r="A461" s="2" t="n">
        <v>3</v>
      </c>
      <c r="B461" s="2" t="s">
        <v>1272</v>
      </c>
      <c r="C461" s="2" t="s">
        <v>1273</v>
      </c>
      <c r="D461" s="2" t="s">
        <v>1260</v>
      </c>
      <c r="E461" s="2" t="s">
        <v>1261</v>
      </c>
      <c r="F461" s="2" t="n">
        <v>5803.2576</v>
      </c>
      <c r="G461" s="2" t="n">
        <v>0</v>
      </c>
      <c r="H461" s="2" t="n">
        <v>5803.2576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</v>
      </c>
      <c r="CV461" s="2" t="n">
        <v>68.9</v>
      </c>
      <c r="CW461" s="2" t="n">
        <v>0</v>
      </c>
      <c r="CX461" s="2" t="n">
        <v>79.88</v>
      </c>
      <c r="CY461" s="2" t="n">
        <v>77.35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</v>
      </c>
      <c r="DH461" s="2" t="n">
        <v>89.4</v>
      </c>
      <c r="DI461" s="2" t="n">
        <v>0</v>
      </c>
      <c r="DJ461" s="2" t="n">
        <v>89.4</v>
      </c>
      <c r="DK461" s="2" t="n">
        <v>89.4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97.71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 customFormat="false" ht="15" hidden="false" customHeight="false" outlineLevel="0" collapsed="false">
      <c r="A462" s="2" t="n">
        <v>3</v>
      </c>
      <c r="B462" s="2" t="s">
        <v>1274</v>
      </c>
      <c r="C462" s="2" t="s">
        <v>1275</v>
      </c>
      <c r="D462" s="2" t="s">
        <v>1260</v>
      </c>
      <c r="E462" s="2" t="s">
        <v>1261</v>
      </c>
      <c r="F462" s="2" t="n">
        <v>1666.14</v>
      </c>
      <c r="G462" s="2" t="n">
        <v>0</v>
      </c>
      <c r="H462" s="2" t="n">
        <v>1666.14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</v>
      </c>
      <c r="CV462" s="2" t="n">
        <v>68.9</v>
      </c>
      <c r="CW462" s="2" t="n">
        <v>0</v>
      </c>
      <c r="CX462" s="2" t="n">
        <v>79.88</v>
      </c>
      <c r="CY462" s="2" t="n">
        <v>77.35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</v>
      </c>
      <c r="DH462" s="2" t="n">
        <v>89.4</v>
      </c>
      <c r="DI462" s="2" t="n">
        <v>0</v>
      </c>
      <c r="DJ462" s="2" t="n">
        <v>89.4</v>
      </c>
      <c r="DK462" s="2" t="n">
        <v>89.4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97.71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 customFormat="false" ht="15" hidden="false" customHeight="false" outlineLevel="0" collapsed="false">
      <c r="A463" s="2" t="n">
        <v>3</v>
      </c>
      <c r="B463" s="2" t="s">
        <v>1276</v>
      </c>
      <c r="C463" s="2" t="s">
        <v>1277</v>
      </c>
      <c r="D463" s="2" t="s">
        <v>1260</v>
      </c>
      <c r="E463" s="2" t="s">
        <v>1261</v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</v>
      </c>
      <c r="CV463" s="2" t="n">
        <v>68.9</v>
      </c>
      <c r="CW463" s="2" t="n">
        <v>0</v>
      </c>
      <c r="CX463" s="2" t="n">
        <v>79.88</v>
      </c>
      <c r="CY463" s="2" t="n">
        <v>77.35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</v>
      </c>
      <c r="DH463" s="2" t="n">
        <v>89.4</v>
      </c>
      <c r="DI463" s="2" t="n">
        <v>0</v>
      </c>
      <c r="DJ463" s="2" t="n">
        <v>89.4</v>
      </c>
      <c r="DK463" s="2" t="n">
        <v>89.4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97.71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 customFormat="false" ht="15" hidden="false" customHeight="false" outlineLevel="0" collapsed="false">
      <c r="A464" s="2" t="n">
        <v>3</v>
      </c>
      <c r="B464" s="2" t="s">
        <v>1278</v>
      </c>
      <c r="C464" s="2" t="s">
        <v>1279</v>
      </c>
      <c r="D464" s="2" t="s">
        <v>1260</v>
      </c>
      <c r="E464" s="2" t="s">
        <v>1261</v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</v>
      </c>
      <c r="CV464" s="2" t="n">
        <v>68.9</v>
      </c>
      <c r="CW464" s="2" t="n">
        <v>0</v>
      </c>
      <c r="CX464" s="2" t="n">
        <v>79.88</v>
      </c>
      <c r="CY464" s="2" t="n">
        <v>77.35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</v>
      </c>
      <c r="DH464" s="2" t="n">
        <v>89.4</v>
      </c>
      <c r="DI464" s="2" t="n">
        <v>0</v>
      </c>
      <c r="DJ464" s="2" t="n">
        <v>89.4</v>
      </c>
      <c r="DK464" s="2" t="n">
        <v>89.4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97.71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 customFormat="false" ht="15" hidden="false" customHeight="false" outlineLevel="0" collapsed="false">
      <c r="A465" s="2" t="n">
        <v>3</v>
      </c>
      <c r="B465" s="2" t="s">
        <v>1280</v>
      </c>
      <c r="C465" s="2" t="s">
        <v>1281</v>
      </c>
      <c r="D465" s="2" t="s">
        <v>1260</v>
      </c>
      <c r="E465" s="2" t="s">
        <v>1261</v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</v>
      </c>
      <c r="CV465" s="2" t="n">
        <v>68.9</v>
      </c>
      <c r="CW465" s="2" t="n">
        <v>0</v>
      </c>
      <c r="CX465" s="2" t="n">
        <v>79.88</v>
      </c>
      <c r="CY465" s="2" t="n">
        <v>77.35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</v>
      </c>
      <c r="DH465" s="2" t="n">
        <v>89.4</v>
      </c>
      <c r="DI465" s="2" t="n">
        <v>0</v>
      </c>
      <c r="DJ465" s="2" t="n">
        <v>89.4</v>
      </c>
      <c r="DK465" s="2" t="n">
        <v>89.4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97.71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 customFormat="false" ht="15" hidden="false" customHeight="false" outlineLevel="0" collapsed="false">
      <c r="A466" s="2" t="n">
        <v>3</v>
      </c>
      <c r="B466" s="2" t="s">
        <v>1282</v>
      </c>
      <c r="C466" s="2" t="s">
        <v>1283</v>
      </c>
      <c r="D466" s="2" t="s">
        <v>1260</v>
      </c>
      <c r="E466" s="2" t="s">
        <v>1261</v>
      </c>
      <c r="F466" s="2" t="n">
        <v>34836.2737029728</v>
      </c>
      <c r="G466" s="2" t="n">
        <v>0</v>
      </c>
      <c r="H466" s="2" t="n">
        <v>34836.2737029728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</v>
      </c>
      <c r="CV466" s="2" t="n">
        <v>68.9</v>
      </c>
      <c r="CW466" s="2" t="n">
        <v>0</v>
      </c>
      <c r="CX466" s="2" t="n">
        <v>79.88</v>
      </c>
      <c r="CY466" s="2" t="n">
        <v>77.35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</v>
      </c>
      <c r="DH466" s="2" t="n">
        <v>89.4</v>
      </c>
      <c r="DI466" s="2" t="n">
        <v>0</v>
      </c>
      <c r="DJ466" s="2" t="n">
        <v>89.4</v>
      </c>
      <c r="DK466" s="2" t="n">
        <v>89.4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97.71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 customFormat="false" ht="15" hidden="false" customHeight="false" outlineLevel="0" collapsed="false">
      <c r="A467" s="2" t="n">
        <v>2</v>
      </c>
      <c r="B467" s="2" t="s">
        <v>1284</v>
      </c>
      <c r="C467" s="2" t="s">
        <v>1285</v>
      </c>
      <c r="D467" s="2" t="s">
        <v>1260</v>
      </c>
      <c r="E467" s="2" t="s">
        <v>1261</v>
      </c>
      <c r="F467" s="2" t="n">
        <v>36753.226657984</v>
      </c>
      <c r="G467" s="2" t="n">
        <v>0</v>
      </c>
      <c r="H467" s="2" t="n">
        <v>36753.226657984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77.71</v>
      </c>
      <c r="CY467" s="2" t="n">
        <v>75.43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 customFormat="false" ht="15" hidden="false" customHeight="false" outlineLevel="0" collapsed="false">
      <c r="A468" s="2" t="n">
        <v>3</v>
      </c>
      <c r="B468" s="2" t="s">
        <v>1286</v>
      </c>
      <c r="C468" s="2" t="s">
        <v>1263</v>
      </c>
      <c r="D468" s="2" t="s">
        <v>1260</v>
      </c>
      <c r="E468" s="2" t="s">
        <v>1261</v>
      </c>
      <c r="F468" s="2" t="n">
        <v>9331.8114461717</v>
      </c>
      <c r="G468" s="2" t="n">
        <v>0</v>
      </c>
      <c r="H468" s="2" t="n">
        <v>9331.8114461717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77.71</v>
      </c>
      <c r="CY468" s="2" t="n">
        <v>75.43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 customFormat="false" ht="15" hidden="false" customHeight="false" outlineLevel="0" collapsed="false">
      <c r="A469" s="2" t="n">
        <v>3</v>
      </c>
      <c r="B469" s="2" t="s">
        <v>1287</v>
      </c>
      <c r="C469" s="2" t="s">
        <v>1288</v>
      </c>
      <c r="D469" s="2" t="s">
        <v>1260</v>
      </c>
      <c r="E469" s="2" t="s">
        <v>1261</v>
      </c>
      <c r="F469" s="2" t="n">
        <v>4530.9375</v>
      </c>
      <c r="G469" s="2" t="n">
        <v>0</v>
      </c>
      <c r="H469" s="2" t="n">
        <v>4530.9375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77.71</v>
      </c>
      <c r="CY469" s="2" t="n">
        <v>75.43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 customFormat="false" ht="15" hidden="false" customHeight="false" outlineLevel="0" collapsed="false">
      <c r="A470" s="2" t="n">
        <v>3</v>
      </c>
      <c r="B470" s="2" t="s">
        <v>1289</v>
      </c>
      <c r="C470" s="2" t="s">
        <v>1290</v>
      </c>
      <c r="D470" s="2" t="s">
        <v>1260</v>
      </c>
      <c r="E470" s="2" t="s">
        <v>1261</v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77.71</v>
      </c>
      <c r="CY470" s="2" t="n">
        <v>75.43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 customFormat="false" ht="15" hidden="false" customHeight="false" outlineLevel="0" collapsed="false">
      <c r="A471" s="2" t="n">
        <v>3</v>
      </c>
      <c r="B471" s="2" t="s">
        <v>1291</v>
      </c>
      <c r="C471" s="2" t="s">
        <v>1292</v>
      </c>
      <c r="D471" s="2" t="s">
        <v>1260</v>
      </c>
      <c r="E471" s="2" t="s">
        <v>1261</v>
      </c>
      <c r="F471" s="2" t="n">
        <v>7250.5075</v>
      </c>
      <c r="G471" s="2" t="n">
        <v>0</v>
      </c>
      <c r="H471" s="2" t="n">
        <v>7250.5075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77.71</v>
      </c>
      <c r="CY471" s="2" t="n">
        <v>75.43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 customFormat="false" ht="15" hidden="false" customHeight="false" outlineLevel="0" collapsed="false">
      <c r="A472" s="2" t="n">
        <v>3</v>
      </c>
      <c r="B472" s="2" t="s">
        <v>1293</v>
      </c>
      <c r="C472" s="2" t="s">
        <v>1283</v>
      </c>
      <c r="D472" s="2" t="s">
        <v>1260</v>
      </c>
      <c r="E472" s="2" t="s">
        <v>1261</v>
      </c>
      <c r="F472" s="2" t="n">
        <v>1351.22516181228</v>
      </c>
      <c r="G472" s="2" t="n">
        <v>0</v>
      </c>
      <c r="H472" s="2" t="n">
        <v>1351.22516181228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77.71</v>
      </c>
      <c r="CY472" s="2" t="n">
        <v>75.43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 customFormat="false" ht="15" hidden="false" customHeight="false" outlineLevel="0" collapsed="false">
      <c r="A473" s="2" t="n">
        <v>2</v>
      </c>
      <c r="B473" s="2" t="s">
        <v>1294</v>
      </c>
      <c r="C473" s="2" t="s">
        <v>1295</v>
      </c>
      <c r="D473" s="2" t="s">
        <v>1256</v>
      </c>
      <c r="E473" s="2" t="s">
        <v>1257</v>
      </c>
      <c r="F473" s="2" t="n">
        <v>1644075.08064977</v>
      </c>
      <c r="G473" s="2" t="n">
        <v>0</v>
      </c>
      <c r="H473" s="2" t="n">
        <v>1644075.08064977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64.1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84.74</v>
      </c>
      <c r="CP473" s="2" t="n">
        <v>84.74</v>
      </c>
      <c r="CQ473" s="2" t="n">
        <v>0</v>
      </c>
      <c r="CR473" s="2" t="n">
        <v>84.85</v>
      </c>
      <c r="CS473" s="2" t="n">
        <v>84.85</v>
      </c>
      <c r="CT473" s="2" t="n">
        <v>0</v>
      </c>
      <c r="CU473" s="2" t="n">
        <v>84.85</v>
      </c>
      <c r="CV473" s="2" t="n">
        <v>84.85</v>
      </c>
      <c r="CW473" s="2" t="n">
        <v>0</v>
      </c>
      <c r="CX473" s="2" t="n">
        <v>84.85</v>
      </c>
      <c r="CY473" s="2" t="n">
        <v>84.85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</v>
      </c>
      <c r="DQ473" s="2" t="n">
        <v>99.4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 customFormat="false" ht="15" hidden="false" customHeight="false" outlineLevel="0" collapsed="false">
      <c r="A474" s="2" t="n">
        <v>3</v>
      </c>
      <c r="B474" s="2" t="s">
        <v>1296</v>
      </c>
      <c r="C474" s="2" t="s">
        <v>1263</v>
      </c>
      <c r="D474" s="2" t="s">
        <v>1256</v>
      </c>
      <c r="E474" s="2" t="s">
        <v>1257</v>
      </c>
      <c r="F474" s="2" t="n">
        <v>230086.696829984</v>
      </c>
      <c r="G474" s="2" t="n">
        <v>0</v>
      </c>
      <c r="H474" s="2" t="n">
        <v>230086.696829984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64.1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84.74</v>
      </c>
      <c r="CP474" s="2" t="n">
        <v>84.74</v>
      </c>
      <c r="CQ474" s="2" t="n">
        <v>0</v>
      </c>
      <c r="CR474" s="2" t="n">
        <v>84.85</v>
      </c>
      <c r="CS474" s="2" t="n">
        <v>84.85</v>
      </c>
      <c r="CT474" s="2" t="n">
        <v>0</v>
      </c>
      <c r="CU474" s="2" t="n">
        <v>84.85</v>
      </c>
      <c r="CV474" s="2" t="n">
        <v>84.85</v>
      </c>
      <c r="CW474" s="2" t="n">
        <v>0</v>
      </c>
      <c r="CX474" s="2" t="n">
        <v>84.85</v>
      </c>
      <c r="CY474" s="2" t="n">
        <v>84.85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</v>
      </c>
      <c r="DQ474" s="2" t="n">
        <v>99.4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 customFormat="false" ht="15" hidden="false" customHeight="false" outlineLevel="0" collapsed="false">
      <c r="A475" s="2" t="n">
        <v>3</v>
      </c>
      <c r="B475" s="2" t="s">
        <v>1297</v>
      </c>
      <c r="C475" s="2" t="s">
        <v>1298</v>
      </c>
      <c r="D475" s="2" t="s">
        <v>1256</v>
      </c>
      <c r="E475" s="2" t="s">
        <v>1257</v>
      </c>
      <c r="F475" s="2" t="n">
        <v>206937.699553516</v>
      </c>
      <c r="G475" s="2" t="n">
        <v>0</v>
      </c>
      <c r="H475" s="2" t="n">
        <v>206937.699553516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64.1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84.74</v>
      </c>
      <c r="CP475" s="2" t="n">
        <v>84.74</v>
      </c>
      <c r="CQ475" s="2" t="n">
        <v>0</v>
      </c>
      <c r="CR475" s="2" t="n">
        <v>84.85</v>
      </c>
      <c r="CS475" s="2" t="n">
        <v>84.85</v>
      </c>
      <c r="CT475" s="2" t="n">
        <v>0</v>
      </c>
      <c r="CU475" s="2" t="n">
        <v>84.85</v>
      </c>
      <c r="CV475" s="2" t="n">
        <v>84.85</v>
      </c>
      <c r="CW475" s="2" t="n">
        <v>0</v>
      </c>
      <c r="CX475" s="2" t="n">
        <v>84.85</v>
      </c>
      <c r="CY475" s="2" t="n">
        <v>84.85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</v>
      </c>
      <c r="DQ475" s="2" t="n">
        <v>99.4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 customFormat="false" ht="15" hidden="false" customHeight="false" outlineLevel="0" collapsed="false">
      <c r="A476" s="2" t="n">
        <v>3</v>
      </c>
      <c r="B476" s="2" t="s">
        <v>1299</v>
      </c>
      <c r="C476" s="2" t="s">
        <v>1300</v>
      </c>
      <c r="D476" s="2" t="s">
        <v>1256</v>
      </c>
      <c r="E476" s="2" t="s">
        <v>1257</v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64.1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84.74</v>
      </c>
      <c r="CP476" s="2" t="n">
        <v>84.74</v>
      </c>
      <c r="CQ476" s="2" t="n">
        <v>0</v>
      </c>
      <c r="CR476" s="2" t="n">
        <v>84.85</v>
      </c>
      <c r="CS476" s="2" t="n">
        <v>84.85</v>
      </c>
      <c r="CT476" s="2" t="n">
        <v>0</v>
      </c>
      <c r="CU476" s="2" t="n">
        <v>84.85</v>
      </c>
      <c r="CV476" s="2" t="n">
        <v>84.85</v>
      </c>
      <c r="CW476" s="2" t="n">
        <v>0</v>
      </c>
      <c r="CX476" s="2" t="n">
        <v>84.85</v>
      </c>
      <c r="CY476" s="2" t="n">
        <v>84.85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</v>
      </c>
      <c r="DQ476" s="2" t="n">
        <v>99.4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 customFormat="false" ht="15" hidden="false" customHeight="false" outlineLevel="0" collapsed="false">
      <c r="A477" s="2" t="n">
        <v>3</v>
      </c>
      <c r="B477" s="2" t="s">
        <v>1301</v>
      </c>
      <c r="C477" s="2" t="s">
        <v>1302</v>
      </c>
      <c r="D477" s="2" t="s">
        <v>1256</v>
      </c>
      <c r="E477" s="2" t="s">
        <v>1257</v>
      </c>
      <c r="F477" s="2" t="n">
        <v>120415.136305588</v>
      </c>
      <c r="G477" s="2" t="n">
        <v>0</v>
      </c>
      <c r="H477" s="2" t="n">
        <v>120415.136305588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64.1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84.74</v>
      </c>
      <c r="CP477" s="2" t="n">
        <v>84.74</v>
      </c>
      <c r="CQ477" s="2" t="n">
        <v>0</v>
      </c>
      <c r="CR477" s="2" t="n">
        <v>84.85</v>
      </c>
      <c r="CS477" s="2" t="n">
        <v>84.85</v>
      </c>
      <c r="CT477" s="2" t="n">
        <v>0</v>
      </c>
      <c r="CU477" s="2" t="n">
        <v>84.85</v>
      </c>
      <c r="CV477" s="2" t="n">
        <v>84.85</v>
      </c>
      <c r="CW477" s="2" t="n">
        <v>0</v>
      </c>
      <c r="CX477" s="2" t="n">
        <v>84.85</v>
      </c>
      <c r="CY477" s="2" t="n">
        <v>84.85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</v>
      </c>
      <c r="DQ477" s="2" t="n">
        <v>99.4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 customFormat="false" ht="15" hidden="false" customHeight="false" outlineLevel="0" collapsed="false">
      <c r="A478" s="2" t="n">
        <v>3</v>
      </c>
      <c r="B478" s="2" t="s">
        <v>1303</v>
      </c>
      <c r="C478" s="2" t="s">
        <v>1304</v>
      </c>
      <c r="D478" s="2" t="s">
        <v>1256</v>
      </c>
      <c r="E478" s="2" t="s">
        <v>1257</v>
      </c>
      <c r="F478" s="2" t="n">
        <v>36009.6714917194</v>
      </c>
      <c r="G478" s="2" t="n">
        <v>0</v>
      </c>
      <c r="H478" s="2" t="n">
        <v>36009.6714917194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64.1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84.74</v>
      </c>
      <c r="CP478" s="2" t="n">
        <v>84.74</v>
      </c>
      <c r="CQ478" s="2" t="n">
        <v>0</v>
      </c>
      <c r="CR478" s="2" t="n">
        <v>84.85</v>
      </c>
      <c r="CS478" s="2" t="n">
        <v>84.85</v>
      </c>
      <c r="CT478" s="2" t="n">
        <v>0</v>
      </c>
      <c r="CU478" s="2" t="n">
        <v>84.85</v>
      </c>
      <c r="CV478" s="2" t="n">
        <v>84.85</v>
      </c>
      <c r="CW478" s="2" t="n">
        <v>0</v>
      </c>
      <c r="CX478" s="2" t="n">
        <v>84.85</v>
      </c>
      <c r="CY478" s="2" t="n">
        <v>84.85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</v>
      </c>
      <c r="DQ478" s="2" t="n">
        <v>99.4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 customFormat="false" ht="15" hidden="false" customHeight="false" outlineLevel="0" collapsed="false">
      <c r="A479" s="2" t="n">
        <v>3</v>
      </c>
      <c r="B479" s="2" t="s">
        <v>1305</v>
      </c>
      <c r="C479" s="2" t="s">
        <v>1306</v>
      </c>
      <c r="D479" s="2" t="s">
        <v>1256</v>
      </c>
      <c r="E479" s="2" t="s">
        <v>1257</v>
      </c>
      <c r="F479" s="2" t="n">
        <v>60425.1783</v>
      </c>
      <c r="G479" s="2" t="n">
        <v>0</v>
      </c>
      <c r="H479" s="2" t="n">
        <v>60425.1783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64.1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84.74</v>
      </c>
      <c r="CP479" s="2" t="n">
        <v>84.74</v>
      </c>
      <c r="CQ479" s="2" t="n">
        <v>0</v>
      </c>
      <c r="CR479" s="2" t="n">
        <v>84.85</v>
      </c>
      <c r="CS479" s="2" t="n">
        <v>84.85</v>
      </c>
      <c r="CT479" s="2" t="n">
        <v>0</v>
      </c>
      <c r="CU479" s="2" t="n">
        <v>84.85</v>
      </c>
      <c r="CV479" s="2" t="n">
        <v>84.85</v>
      </c>
      <c r="CW479" s="2" t="n">
        <v>0</v>
      </c>
      <c r="CX479" s="2" t="n">
        <v>84.85</v>
      </c>
      <c r="CY479" s="2" t="n">
        <v>84.85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</v>
      </c>
      <c r="DQ479" s="2" t="n">
        <v>99.4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 customFormat="false" ht="15" hidden="false" customHeight="false" outlineLevel="0" collapsed="false">
      <c r="A480" s="2" t="n">
        <v>3</v>
      </c>
      <c r="B480" s="2" t="s">
        <v>1307</v>
      </c>
      <c r="C480" s="2" t="s">
        <v>1308</v>
      </c>
      <c r="D480" s="2" t="s">
        <v>1256</v>
      </c>
      <c r="E480" s="2" t="s">
        <v>1257</v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64.1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84.74</v>
      </c>
      <c r="CP480" s="2" t="n">
        <v>84.74</v>
      </c>
      <c r="CQ480" s="2" t="n">
        <v>0</v>
      </c>
      <c r="CR480" s="2" t="n">
        <v>84.85</v>
      </c>
      <c r="CS480" s="2" t="n">
        <v>84.85</v>
      </c>
      <c r="CT480" s="2" t="n">
        <v>0</v>
      </c>
      <c r="CU480" s="2" t="n">
        <v>84.85</v>
      </c>
      <c r="CV480" s="2" t="n">
        <v>84.85</v>
      </c>
      <c r="CW480" s="2" t="n">
        <v>0</v>
      </c>
      <c r="CX480" s="2" t="n">
        <v>84.85</v>
      </c>
      <c r="CY480" s="2" t="n">
        <v>84.85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</v>
      </c>
      <c r="DQ480" s="2" t="n">
        <v>99.4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 customFormat="false" ht="15" hidden="false" customHeight="false" outlineLevel="0" collapsed="false">
      <c r="A481" s="2" t="n">
        <v>3</v>
      </c>
      <c r="B481" s="2" t="s">
        <v>1309</v>
      </c>
      <c r="C481" s="2" t="s">
        <v>1310</v>
      </c>
      <c r="D481" s="2" t="s">
        <v>1256</v>
      </c>
      <c r="E481" s="2" t="s">
        <v>1257</v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64.1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84.74</v>
      </c>
      <c r="CP481" s="2" t="n">
        <v>84.74</v>
      </c>
      <c r="CQ481" s="2" t="n">
        <v>0</v>
      </c>
      <c r="CR481" s="2" t="n">
        <v>84.85</v>
      </c>
      <c r="CS481" s="2" t="n">
        <v>84.85</v>
      </c>
      <c r="CT481" s="2" t="n">
        <v>0</v>
      </c>
      <c r="CU481" s="2" t="n">
        <v>84.85</v>
      </c>
      <c r="CV481" s="2" t="n">
        <v>84.85</v>
      </c>
      <c r="CW481" s="2" t="n">
        <v>0</v>
      </c>
      <c r="CX481" s="2" t="n">
        <v>84.85</v>
      </c>
      <c r="CY481" s="2" t="n">
        <v>84.85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</v>
      </c>
      <c r="DQ481" s="2" t="n">
        <v>99.4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 customFormat="false" ht="15" hidden="false" customHeight="false" outlineLevel="0" collapsed="false">
      <c r="A482" s="2" t="n">
        <v>3</v>
      </c>
      <c r="B482" s="2" t="s">
        <v>1311</v>
      </c>
      <c r="C482" s="2" t="s">
        <v>1312</v>
      </c>
      <c r="D482" s="2" t="s">
        <v>1256</v>
      </c>
      <c r="E482" s="2" t="s">
        <v>1257</v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64.1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84.74</v>
      </c>
      <c r="CP482" s="2" t="n">
        <v>84.74</v>
      </c>
      <c r="CQ482" s="2" t="n">
        <v>0</v>
      </c>
      <c r="CR482" s="2" t="n">
        <v>84.85</v>
      </c>
      <c r="CS482" s="2" t="n">
        <v>84.85</v>
      </c>
      <c r="CT482" s="2" t="n">
        <v>0</v>
      </c>
      <c r="CU482" s="2" t="n">
        <v>84.85</v>
      </c>
      <c r="CV482" s="2" t="n">
        <v>84.85</v>
      </c>
      <c r="CW482" s="2" t="n">
        <v>0</v>
      </c>
      <c r="CX482" s="2" t="n">
        <v>84.85</v>
      </c>
      <c r="CY482" s="2" t="n">
        <v>84.85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</v>
      </c>
      <c r="DQ482" s="2" t="n">
        <v>99.4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 customFormat="false" ht="15" hidden="false" customHeight="false" outlineLevel="0" collapsed="false">
      <c r="A483" s="2" t="n">
        <v>3</v>
      </c>
      <c r="B483" s="2" t="s">
        <v>1313</v>
      </c>
      <c r="C483" s="2" t="s">
        <v>1314</v>
      </c>
      <c r="D483" s="2" t="s">
        <v>1256</v>
      </c>
      <c r="E483" s="2" t="s">
        <v>1257</v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64.1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84.74</v>
      </c>
      <c r="CP483" s="2" t="n">
        <v>84.74</v>
      </c>
      <c r="CQ483" s="2" t="n">
        <v>0</v>
      </c>
      <c r="CR483" s="2" t="n">
        <v>84.85</v>
      </c>
      <c r="CS483" s="2" t="n">
        <v>84.85</v>
      </c>
      <c r="CT483" s="2" t="n">
        <v>0</v>
      </c>
      <c r="CU483" s="2" t="n">
        <v>84.85</v>
      </c>
      <c r="CV483" s="2" t="n">
        <v>84.85</v>
      </c>
      <c r="CW483" s="2" t="n">
        <v>0</v>
      </c>
      <c r="CX483" s="2" t="n">
        <v>84.85</v>
      </c>
      <c r="CY483" s="2" t="n">
        <v>84.85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</v>
      </c>
      <c r="DQ483" s="2" t="n">
        <v>99.4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 customFormat="false" ht="15" hidden="false" customHeight="false" outlineLevel="0" collapsed="false">
      <c r="A484" s="2" t="n">
        <v>3</v>
      </c>
      <c r="B484" s="2" t="s">
        <v>1315</v>
      </c>
      <c r="C484" s="2" t="s">
        <v>1316</v>
      </c>
      <c r="D484" s="2" t="s">
        <v>1256</v>
      </c>
      <c r="E484" s="2" t="s">
        <v>1257</v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64.1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84.74</v>
      </c>
      <c r="CP484" s="2" t="n">
        <v>84.74</v>
      </c>
      <c r="CQ484" s="2" t="n">
        <v>0</v>
      </c>
      <c r="CR484" s="2" t="n">
        <v>84.85</v>
      </c>
      <c r="CS484" s="2" t="n">
        <v>84.85</v>
      </c>
      <c r="CT484" s="2" t="n">
        <v>0</v>
      </c>
      <c r="CU484" s="2" t="n">
        <v>84.85</v>
      </c>
      <c r="CV484" s="2" t="n">
        <v>84.85</v>
      </c>
      <c r="CW484" s="2" t="n">
        <v>0</v>
      </c>
      <c r="CX484" s="2" t="n">
        <v>84.85</v>
      </c>
      <c r="CY484" s="2" t="n">
        <v>84.85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</v>
      </c>
      <c r="DQ484" s="2" t="n">
        <v>99.4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 customFormat="false" ht="15" hidden="false" customHeight="false" outlineLevel="0" collapsed="false">
      <c r="A485" s="2" t="n">
        <v>3</v>
      </c>
      <c r="B485" s="2" t="s">
        <v>1317</v>
      </c>
      <c r="C485" s="2" t="s">
        <v>1283</v>
      </c>
      <c r="D485" s="2" t="s">
        <v>1256</v>
      </c>
      <c r="E485" s="2" t="s">
        <v>1257</v>
      </c>
      <c r="F485" s="2" t="n">
        <v>10598.6723629651</v>
      </c>
      <c r="G485" s="2" t="n">
        <v>0</v>
      </c>
      <c r="H485" s="2" t="n">
        <v>10598.6723629651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64.1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84.74</v>
      </c>
      <c r="CP485" s="2" t="n">
        <v>84.74</v>
      </c>
      <c r="CQ485" s="2" t="n">
        <v>0</v>
      </c>
      <c r="CR485" s="2" t="n">
        <v>84.85</v>
      </c>
      <c r="CS485" s="2" t="n">
        <v>84.85</v>
      </c>
      <c r="CT485" s="2" t="n">
        <v>0</v>
      </c>
      <c r="CU485" s="2" t="n">
        <v>84.85</v>
      </c>
      <c r="CV485" s="2" t="n">
        <v>84.85</v>
      </c>
      <c r="CW485" s="2" t="n">
        <v>0</v>
      </c>
      <c r="CX485" s="2" t="n">
        <v>84.85</v>
      </c>
      <c r="CY485" s="2" t="n">
        <v>84.85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</v>
      </c>
      <c r="DQ485" s="2" t="n">
        <v>99.4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 customFormat="false" ht="15" hidden="false" customHeight="false" outlineLevel="0" collapsed="false">
      <c r="A486" s="2" t="n">
        <v>2</v>
      </c>
      <c r="B486" s="2" t="s">
        <v>1318</v>
      </c>
      <c r="C486" s="2" t="s">
        <v>1319</v>
      </c>
      <c r="D486" s="2" t="s">
        <v>1260</v>
      </c>
      <c r="E486" s="2" t="s">
        <v>1261</v>
      </c>
      <c r="F486" s="2" t="n">
        <v>106370.49911659</v>
      </c>
      <c r="G486" s="2" t="n">
        <v>0</v>
      </c>
      <c r="H486" s="2" t="n">
        <v>106370.49911659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77.71</v>
      </c>
      <c r="CY486" s="2" t="n">
        <v>75.43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 customFormat="false" ht="15" hidden="false" customHeight="false" outlineLevel="0" collapsed="false">
      <c r="A487" s="2" t="n">
        <v>3</v>
      </c>
      <c r="B487" s="2" t="s">
        <v>1320</v>
      </c>
      <c r="C487" s="2" t="s">
        <v>1321</v>
      </c>
      <c r="D487" s="2" t="s">
        <v>1260</v>
      </c>
      <c r="E487" s="2" t="s">
        <v>1261</v>
      </c>
      <c r="F487" s="2" t="n">
        <v>106370.49911659</v>
      </c>
      <c r="G487" s="2" t="n">
        <v>0</v>
      </c>
      <c r="H487" s="2" t="n">
        <v>106370.49911659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77.71</v>
      </c>
      <c r="CY487" s="2" t="n">
        <v>75.43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 customFormat="false" ht="15" hidden="false" customHeight="false" outlineLevel="0" collapsed="false">
      <c r="A488" s="2" t="n">
        <v>2</v>
      </c>
      <c r="B488" s="2" t="s">
        <v>1322</v>
      </c>
      <c r="C488" s="2" t="s">
        <v>1323</v>
      </c>
      <c r="D488" s="2" t="s">
        <v>1260</v>
      </c>
      <c r="E488" s="2" t="s">
        <v>1261</v>
      </c>
      <c r="F488" s="2" t="n">
        <v>130545.59573101</v>
      </c>
      <c r="G488" s="2" t="n">
        <v>0</v>
      </c>
      <c r="H488" s="2" t="n">
        <v>130545.59573101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77.71</v>
      </c>
      <c r="CY488" s="2" t="n">
        <v>75.43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 customFormat="false" ht="15" hidden="false" customHeight="false" outlineLevel="0" collapsed="false">
      <c r="A489" s="2" t="n">
        <v>3</v>
      </c>
      <c r="B489" s="2" t="s">
        <v>1324</v>
      </c>
      <c r="C489" s="2" t="s">
        <v>1325</v>
      </c>
      <c r="D489" s="2" t="s">
        <v>1260</v>
      </c>
      <c r="E489" s="2" t="s">
        <v>1261</v>
      </c>
      <c r="F489" s="2" t="n">
        <v>32087.5071687301</v>
      </c>
      <c r="G489" s="2" t="n">
        <v>0</v>
      </c>
      <c r="H489" s="2" t="n">
        <v>32087.5071687301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77.71</v>
      </c>
      <c r="CY489" s="2" t="n">
        <v>75.43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 customFormat="false" ht="15" hidden="false" customHeight="false" outlineLevel="0" collapsed="false">
      <c r="A490" s="2" t="n">
        <v>3</v>
      </c>
      <c r="B490" s="2" t="s">
        <v>1326</v>
      </c>
      <c r="C490" s="2" t="s">
        <v>1327</v>
      </c>
      <c r="D490" s="2" t="s">
        <v>1260</v>
      </c>
      <c r="E490" s="2" t="s">
        <v>1261</v>
      </c>
      <c r="F490" s="2" t="n">
        <v>9676.93139308073</v>
      </c>
      <c r="G490" s="2" t="n">
        <v>0</v>
      </c>
      <c r="H490" s="2" t="n">
        <v>9676.93139308073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77.71</v>
      </c>
      <c r="CY490" s="2" t="n">
        <v>75.43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 customFormat="false" ht="15" hidden="false" customHeight="false" outlineLevel="0" collapsed="false">
      <c r="A491" s="2" t="n">
        <v>3</v>
      </c>
      <c r="B491" s="2" t="s">
        <v>1328</v>
      </c>
      <c r="C491" s="2" t="s">
        <v>1329</v>
      </c>
      <c r="D491" s="2" t="s">
        <v>1260</v>
      </c>
      <c r="E491" s="2" t="s">
        <v>1261</v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77.71</v>
      </c>
      <c r="CY491" s="2" t="n">
        <v>75.43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 customFormat="false" ht="15" hidden="false" customHeight="false" outlineLevel="0" collapsed="false">
      <c r="A492" s="2" t="n">
        <v>3</v>
      </c>
      <c r="B492" s="2" t="s">
        <v>1330</v>
      </c>
      <c r="C492" s="2" t="s">
        <v>1331</v>
      </c>
      <c r="D492" s="2" t="s">
        <v>1260</v>
      </c>
      <c r="E492" s="2" t="s">
        <v>1261</v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77.71</v>
      </c>
      <c r="CY492" s="2" t="n">
        <v>75.43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 customFormat="false" ht="15" hidden="false" customHeight="false" outlineLevel="0" collapsed="false">
      <c r="A493" s="2" t="n">
        <v>3</v>
      </c>
      <c r="B493" s="2" t="s">
        <v>1332</v>
      </c>
      <c r="C493" s="2" t="s">
        <v>1283</v>
      </c>
      <c r="D493" s="2" t="s">
        <v>1260</v>
      </c>
      <c r="E493" s="2" t="s">
        <v>1261</v>
      </c>
      <c r="F493" s="2" t="n">
        <v>1266.77358919901</v>
      </c>
      <c r="G493" s="2" t="n">
        <v>0</v>
      </c>
      <c r="H493" s="2" t="n">
        <v>1266.77358919901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77.71</v>
      </c>
      <c r="CY493" s="2" t="n">
        <v>75.43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 customFormat="false" ht="15" hidden="false" customHeight="false" outlineLevel="0" collapsed="false">
      <c r="A494" s="2" t="n">
        <v>2</v>
      </c>
      <c r="B494" s="2" t="s">
        <v>1333</v>
      </c>
      <c r="C494" s="2" t="s">
        <v>1334</v>
      </c>
      <c r="D494" s="2" t="s">
        <v>1256</v>
      </c>
      <c r="E494" s="2" t="s">
        <v>1257</v>
      </c>
      <c r="F494" s="2" t="n">
        <v>96467.2028839726</v>
      </c>
      <c r="G494" s="2" t="n">
        <v>0</v>
      </c>
      <c r="H494" s="2" t="n">
        <v>96467.2028839726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</v>
      </c>
      <c r="DH494" s="2" t="n">
        <v>71.15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</v>
      </c>
      <c r="DN494" s="2" t="n">
        <v>89.93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 customFormat="false" ht="15" hidden="false" customHeight="false" outlineLevel="0" collapsed="false">
      <c r="A495" s="2" t="n">
        <v>3</v>
      </c>
      <c r="B495" s="2" t="s">
        <v>1335</v>
      </c>
      <c r="C495" s="2" t="s">
        <v>1263</v>
      </c>
      <c r="D495" s="2" t="s">
        <v>1256</v>
      </c>
      <c r="E495" s="2" t="s">
        <v>1257</v>
      </c>
      <c r="F495" s="2" t="n">
        <v>19201.213312293</v>
      </c>
      <c r="G495" s="2" t="n">
        <v>0</v>
      </c>
      <c r="H495" s="2" t="n">
        <v>19201.213312293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</v>
      </c>
      <c r="DH495" s="2" t="n">
        <v>71.15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</v>
      </c>
      <c r="DN495" s="2" t="n">
        <v>89.93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 customFormat="false" ht="15" hidden="false" customHeight="false" outlineLevel="0" collapsed="false">
      <c r="A496" s="2" t="n">
        <v>3</v>
      </c>
      <c r="B496" s="2" t="s">
        <v>1336</v>
      </c>
      <c r="C496" s="2" t="s">
        <v>1337</v>
      </c>
      <c r="D496" s="2" t="s">
        <v>1256</v>
      </c>
      <c r="E496" s="2" t="s">
        <v>1257</v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</v>
      </c>
      <c r="DH496" s="2" t="n">
        <v>71.15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</v>
      </c>
      <c r="DN496" s="2" t="n">
        <v>89.93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 customFormat="false" ht="15" hidden="false" customHeight="false" outlineLevel="0" collapsed="false">
      <c r="A497" s="2" t="n">
        <v>3</v>
      </c>
      <c r="B497" s="2" t="s">
        <v>1338</v>
      </c>
      <c r="C497" s="2" t="s">
        <v>1339</v>
      </c>
      <c r="D497" s="2" t="s">
        <v>1256</v>
      </c>
      <c r="E497" s="2" t="s">
        <v>1257</v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</v>
      </c>
      <c r="DH497" s="2" t="n">
        <v>71.15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</v>
      </c>
      <c r="DN497" s="2" t="n">
        <v>89.93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 customFormat="false" ht="15" hidden="false" customHeight="false" outlineLevel="0" collapsed="false">
      <c r="A498" s="2" t="n">
        <v>3</v>
      </c>
      <c r="B498" s="2" t="s">
        <v>1340</v>
      </c>
      <c r="C498" s="2" t="s">
        <v>1283</v>
      </c>
      <c r="D498" s="2" t="s">
        <v>1256</v>
      </c>
      <c r="E498" s="2" t="s">
        <v>1257</v>
      </c>
      <c r="F498" s="2" t="n">
        <v>506.709435679605</v>
      </c>
      <c r="G498" s="2" t="n">
        <v>0</v>
      </c>
      <c r="H498" s="2" t="n">
        <v>506.709435679605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</v>
      </c>
      <c r="DH498" s="2" t="n">
        <v>71.15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</v>
      </c>
      <c r="DN498" s="2" t="n">
        <v>89.93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 customFormat="false" ht="15" hidden="false" customHeight="false" outlineLevel="0" collapsed="false">
      <c r="A499" s="2" t="n">
        <v>2</v>
      </c>
      <c r="B499" s="2" t="s">
        <v>1341</v>
      </c>
      <c r="C499" s="2" t="s">
        <v>1342</v>
      </c>
      <c r="D499" s="2" t="s">
        <v>1256</v>
      </c>
      <c r="E499" s="2" t="s">
        <v>1257</v>
      </c>
      <c r="F499" s="2" t="n">
        <v>170117.210654406</v>
      </c>
      <c r="G499" s="2" t="n">
        <v>0</v>
      </c>
      <c r="H499" s="2" t="n">
        <v>170117.210654406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</v>
      </c>
      <c r="DH499" s="2" t="n">
        <v>71.15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</v>
      </c>
      <c r="DN499" s="2" t="n">
        <v>89.93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 customFormat="false" ht="15" hidden="false" customHeight="false" outlineLevel="0" collapsed="false">
      <c r="A500" s="2" t="n">
        <v>3</v>
      </c>
      <c r="B500" s="2" t="s">
        <v>1343</v>
      </c>
      <c r="C500" s="2" t="s">
        <v>1263</v>
      </c>
      <c r="D500" s="2" t="s">
        <v>1256</v>
      </c>
      <c r="E500" s="2" t="s">
        <v>1257</v>
      </c>
      <c r="F500" s="2" t="n">
        <v>15809.2235110345</v>
      </c>
      <c r="G500" s="2" t="n">
        <v>0</v>
      </c>
      <c r="H500" s="2" t="n">
        <v>15809.2235110345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</v>
      </c>
      <c r="DH500" s="2" t="n">
        <v>71.15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</v>
      </c>
      <c r="DN500" s="2" t="n">
        <v>89.93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 customFormat="false" ht="15" hidden="false" customHeight="false" outlineLevel="0" collapsed="false">
      <c r="A501" s="2" t="n">
        <v>3</v>
      </c>
      <c r="B501" s="2" t="s">
        <v>1344</v>
      </c>
      <c r="C501" s="2" t="s">
        <v>1345</v>
      </c>
      <c r="D501" s="2" t="s">
        <v>1256</v>
      </c>
      <c r="E501" s="2" t="s">
        <v>1257</v>
      </c>
      <c r="F501" s="2" t="n">
        <v>14218.6592713713</v>
      </c>
      <c r="G501" s="2" t="n">
        <v>0</v>
      </c>
      <c r="H501" s="2" t="n">
        <v>14218.6592713713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</v>
      </c>
      <c r="DH501" s="2" t="n">
        <v>71.15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</v>
      </c>
      <c r="DN501" s="2" t="n">
        <v>89.93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 customFormat="false" ht="15" hidden="false" customHeight="false" outlineLevel="0" collapsed="false">
      <c r="A502" s="2" t="n">
        <v>3</v>
      </c>
      <c r="B502" s="2" t="s">
        <v>1346</v>
      </c>
      <c r="C502" s="2" t="s">
        <v>1347</v>
      </c>
      <c r="D502" s="2" t="s">
        <v>1256</v>
      </c>
      <c r="E502" s="2" t="s">
        <v>1257</v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</v>
      </c>
      <c r="DH502" s="2" t="n">
        <v>71.15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</v>
      </c>
      <c r="DN502" s="2" t="n">
        <v>89.93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 customFormat="false" ht="15" hidden="false" customHeight="false" outlineLevel="0" collapsed="false">
      <c r="A503" s="2" t="n">
        <v>3</v>
      </c>
      <c r="B503" s="2" t="s">
        <v>1348</v>
      </c>
      <c r="C503" s="2" t="s">
        <v>1325</v>
      </c>
      <c r="D503" s="2" t="s">
        <v>1256</v>
      </c>
      <c r="E503" s="2" t="s">
        <v>1257</v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</v>
      </c>
      <c r="DH503" s="2" t="n">
        <v>71.15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</v>
      </c>
      <c r="DN503" s="2" t="n">
        <v>89.93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 customFormat="false" ht="15" hidden="false" customHeight="false" outlineLevel="0" collapsed="false">
      <c r="A504" s="2" t="n">
        <v>3</v>
      </c>
      <c r="B504" s="2" t="s">
        <v>1349</v>
      </c>
      <c r="C504" s="2" t="s">
        <v>1350</v>
      </c>
      <c r="D504" s="2" t="s">
        <v>1256</v>
      </c>
      <c r="E504" s="2" t="s">
        <v>1257</v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</v>
      </c>
      <c r="DH504" s="2" t="n">
        <v>71.15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</v>
      </c>
      <c r="DN504" s="2" t="n">
        <v>89.93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 customFormat="false" ht="15" hidden="false" customHeight="false" outlineLevel="0" collapsed="false">
      <c r="A505" s="2" t="n">
        <v>3</v>
      </c>
      <c r="B505" s="2" t="s">
        <v>1351</v>
      </c>
      <c r="C505" s="2" t="s">
        <v>1352</v>
      </c>
      <c r="D505" s="2" t="s">
        <v>1256</v>
      </c>
      <c r="E505" s="2" t="s">
        <v>1257</v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</v>
      </c>
      <c r="DH505" s="2" t="n">
        <v>71.15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</v>
      </c>
      <c r="DN505" s="2" t="n">
        <v>89.93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 customFormat="false" ht="15" hidden="false" customHeight="false" outlineLevel="0" collapsed="false">
      <c r="A506" s="2" t="n">
        <v>2</v>
      </c>
      <c r="B506" s="2" t="s">
        <v>1353</v>
      </c>
      <c r="C506" s="2" t="s">
        <v>1354</v>
      </c>
      <c r="D506" s="2" t="s">
        <v>1256</v>
      </c>
      <c r="E506" s="2" t="s">
        <v>1257</v>
      </c>
      <c r="F506" s="2" t="n">
        <v>138197.721924531</v>
      </c>
      <c r="G506" s="2" t="n">
        <v>0</v>
      </c>
      <c r="H506" s="2" t="n">
        <v>138197.721924531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</v>
      </c>
      <c r="DH506" s="2" t="n">
        <v>71.15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</v>
      </c>
      <c r="DN506" s="2" t="n">
        <v>89.93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 customFormat="false" ht="15" hidden="false" customHeight="false" outlineLevel="0" collapsed="false">
      <c r="A507" s="2" t="n">
        <v>3</v>
      </c>
      <c r="B507" s="2" t="s">
        <v>1355</v>
      </c>
      <c r="C507" s="2" t="s">
        <v>1356</v>
      </c>
      <c r="D507" s="2" t="s">
        <v>1256</v>
      </c>
      <c r="E507" s="2" t="s">
        <v>1257</v>
      </c>
      <c r="F507" s="2" t="n">
        <v>23210.1086887982</v>
      </c>
      <c r="G507" s="2" t="n">
        <v>0</v>
      </c>
      <c r="H507" s="2" t="n">
        <v>23210.1086887982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</v>
      </c>
      <c r="DH507" s="2" t="n">
        <v>71.15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</v>
      </c>
      <c r="DN507" s="2" t="n">
        <v>89.93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 customFormat="false" ht="15" hidden="false" customHeight="false" outlineLevel="0" collapsed="false">
      <c r="A508" s="2" t="n">
        <v>3</v>
      </c>
      <c r="B508" s="2" t="s">
        <v>1357</v>
      </c>
      <c r="C508" s="2" t="s">
        <v>1358</v>
      </c>
      <c r="D508" s="2" t="s">
        <v>1256</v>
      </c>
      <c r="E508" s="2" t="s">
        <v>1257</v>
      </c>
      <c r="F508" s="2" t="n">
        <v>15383.9385328132</v>
      </c>
      <c r="G508" s="2" t="n">
        <v>0</v>
      </c>
      <c r="H508" s="2" t="n">
        <v>15383.9385328132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</v>
      </c>
      <c r="DH508" s="2" t="n">
        <v>71.15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</v>
      </c>
      <c r="DN508" s="2" t="n">
        <v>89.93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 customFormat="false" ht="15" hidden="false" customHeight="false" outlineLevel="0" collapsed="false">
      <c r="A509" s="2" t="n">
        <v>3</v>
      </c>
      <c r="B509" s="2" t="s">
        <v>1359</v>
      </c>
      <c r="C509" s="2" t="s">
        <v>1360</v>
      </c>
      <c r="D509" s="2" t="s">
        <v>1256</v>
      </c>
      <c r="E509" s="2" t="s">
        <v>1257</v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</v>
      </c>
      <c r="DH509" s="2" t="n">
        <v>71.15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</v>
      </c>
      <c r="DN509" s="2" t="n">
        <v>89.93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 customFormat="false" ht="15" hidden="false" customHeight="false" outlineLevel="0" collapsed="false">
      <c r="A510" s="2" t="n">
        <v>3</v>
      </c>
      <c r="B510" s="2" t="s">
        <v>1361</v>
      </c>
      <c r="C510" s="2" t="s">
        <v>1362</v>
      </c>
      <c r="D510" s="2" t="s">
        <v>1256</v>
      </c>
      <c r="E510" s="2" t="s">
        <v>1257</v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</v>
      </c>
      <c r="DH510" s="2" t="n">
        <v>71.15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</v>
      </c>
      <c r="DN510" s="2" t="n">
        <v>89.93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 customFormat="false" ht="15" hidden="false" customHeight="false" outlineLevel="0" collapsed="false">
      <c r="A511" s="2" t="n">
        <v>3</v>
      </c>
      <c r="B511" s="2" t="s">
        <v>1363</v>
      </c>
      <c r="C511" s="2" t="s">
        <v>1364</v>
      </c>
      <c r="D511" s="2" t="s">
        <v>1256</v>
      </c>
      <c r="E511" s="2" t="s">
        <v>1257</v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</v>
      </c>
      <c r="DH511" s="2" t="n">
        <v>71.15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</v>
      </c>
      <c r="DN511" s="2" t="n">
        <v>89.93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 customFormat="false" ht="15" hidden="false" customHeight="false" outlineLevel="0" collapsed="false">
      <c r="A512" s="2" t="n">
        <v>3</v>
      </c>
      <c r="B512" s="2" t="s">
        <v>1365</v>
      </c>
      <c r="C512" s="2" t="s">
        <v>1366</v>
      </c>
      <c r="D512" s="2" t="s">
        <v>1256</v>
      </c>
      <c r="E512" s="2" t="s">
        <v>1257</v>
      </c>
      <c r="F512" s="2" t="n">
        <v>75705.13038</v>
      </c>
      <c r="G512" s="2" t="n">
        <v>0</v>
      </c>
      <c r="H512" s="2" t="n">
        <v>75705.13038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</v>
      </c>
      <c r="DH512" s="2" t="n">
        <v>71.15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</v>
      </c>
      <c r="DN512" s="2" t="n">
        <v>89.93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 customFormat="false" ht="15" hidden="false" customHeight="false" outlineLevel="0" collapsed="false">
      <c r="A513" s="2" t="n">
        <v>3</v>
      </c>
      <c r="B513" s="2" t="s">
        <v>1367</v>
      </c>
      <c r="C513" s="2" t="s">
        <v>1283</v>
      </c>
      <c r="D513" s="2" t="s">
        <v>1256</v>
      </c>
      <c r="E513" s="2" t="s">
        <v>1257</v>
      </c>
      <c r="F513" s="2" t="n">
        <v>633.386794599506</v>
      </c>
      <c r="G513" s="2" t="n">
        <v>0</v>
      </c>
      <c r="H513" s="2" t="n">
        <v>633.386794599506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</v>
      </c>
      <c r="DH513" s="2" t="n">
        <v>71.15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</v>
      </c>
      <c r="DN513" s="2" t="n">
        <v>89.93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 customFormat="false" ht="15" hidden="false" customHeight="false" outlineLevel="0" collapsed="false">
      <c r="A514" s="2" t="n">
        <v>2</v>
      </c>
      <c r="B514" s="2" t="s">
        <v>1368</v>
      </c>
      <c r="C514" s="2" t="s">
        <v>1369</v>
      </c>
      <c r="D514" s="2" t="s">
        <v>1256</v>
      </c>
      <c r="E514" s="2" t="s">
        <v>1257</v>
      </c>
      <c r="F514" s="2" t="n">
        <v>542696.446153177</v>
      </c>
      <c r="G514" s="2" t="n">
        <v>0</v>
      </c>
      <c r="H514" s="2" t="n">
        <v>542696.446153177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</v>
      </c>
      <c r="DH514" s="2" t="n">
        <v>71.15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</v>
      </c>
      <c r="DN514" s="2" t="n">
        <v>89.93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 customFormat="false" ht="15" hidden="false" customHeight="false" outlineLevel="0" collapsed="false">
      <c r="A515" s="2" t="n">
        <v>3</v>
      </c>
      <c r="B515" s="2" t="s">
        <v>1370</v>
      </c>
      <c r="C515" s="2" t="s">
        <v>1263</v>
      </c>
      <c r="D515" s="2" t="s">
        <v>1256</v>
      </c>
      <c r="E515" s="2" t="s">
        <v>1257</v>
      </c>
      <c r="F515" s="2" t="n">
        <v>46194.5913342526</v>
      </c>
      <c r="G515" s="2" t="n">
        <v>0</v>
      </c>
      <c r="H515" s="2" t="n">
        <v>46194.5913342526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</v>
      </c>
      <c r="DH515" s="2" t="n">
        <v>71.15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</v>
      </c>
      <c r="DN515" s="2" t="n">
        <v>89.93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 customFormat="false" ht="15" hidden="false" customHeight="false" outlineLevel="0" collapsed="false">
      <c r="A516" s="2" t="n">
        <v>3</v>
      </c>
      <c r="B516" s="2" t="s">
        <v>1371</v>
      </c>
      <c r="C516" s="2" t="s">
        <v>1372</v>
      </c>
      <c r="D516" s="2" t="s">
        <v>1256</v>
      </c>
      <c r="E516" s="2" t="s">
        <v>1257</v>
      </c>
      <c r="F516" s="2" t="n">
        <v>76050.0790315595</v>
      </c>
      <c r="G516" s="2" t="n">
        <v>0</v>
      </c>
      <c r="H516" s="2" t="n">
        <v>76050.0790315595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</v>
      </c>
      <c r="DH516" s="2" t="n">
        <v>71.15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</v>
      </c>
      <c r="DN516" s="2" t="n">
        <v>89.93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 customFormat="false" ht="15" hidden="false" customHeight="false" outlineLevel="0" collapsed="false">
      <c r="A517" s="2" t="n">
        <v>3</v>
      </c>
      <c r="B517" s="2" t="s">
        <v>1373</v>
      </c>
      <c r="C517" s="2" t="s">
        <v>1347</v>
      </c>
      <c r="D517" s="2" t="s">
        <v>1256</v>
      </c>
      <c r="E517" s="2" t="s">
        <v>1257</v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</v>
      </c>
      <c r="DH517" s="2" t="n">
        <v>71.15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</v>
      </c>
      <c r="DN517" s="2" t="n">
        <v>89.93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 customFormat="false" ht="15" hidden="false" customHeight="false" outlineLevel="0" collapsed="false">
      <c r="A518" s="2" t="n">
        <v>3</v>
      </c>
      <c r="B518" s="2" t="s">
        <v>1374</v>
      </c>
      <c r="C518" s="2" t="s">
        <v>1375</v>
      </c>
      <c r="D518" s="2" t="s">
        <v>1256</v>
      </c>
      <c r="E518" s="2" t="s">
        <v>1257</v>
      </c>
      <c r="F518" s="2" t="n">
        <v>40322.4846848962</v>
      </c>
      <c r="G518" s="2" t="n">
        <v>0</v>
      </c>
      <c r="H518" s="2" t="n">
        <v>40322.4846848962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</v>
      </c>
      <c r="DH518" s="2" t="n">
        <v>71.15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</v>
      </c>
      <c r="DN518" s="2" t="n">
        <v>89.93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 customFormat="false" ht="15" hidden="false" customHeight="false" outlineLevel="0" collapsed="false">
      <c r="A519" s="2" t="n">
        <v>3</v>
      </c>
      <c r="B519" s="2" t="s">
        <v>1376</v>
      </c>
      <c r="C519" s="2" t="s">
        <v>1360</v>
      </c>
      <c r="D519" s="2" t="s">
        <v>1256</v>
      </c>
      <c r="E519" s="2" t="s">
        <v>1257</v>
      </c>
      <c r="F519" s="2" t="n">
        <v>5194.24275</v>
      </c>
      <c r="G519" s="2" t="n">
        <v>0</v>
      </c>
      <c r="H519" s="2" t="n">
        <v>5194.24275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</v>
      </c>
      <c r="DH519" s="2" t="n">
        <v>71.15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</v>
      </c>
      <c r="DN519" s="2" t="n">
        <v>89.93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 customFormat="false" ht="15" hidden="false" customHeight="false" outlineLevel="0" collapsed="false">
      <c r="A520" s="2" t="n">
        <v>3</v>
      </c>
      <c r="B520" s="2" t="s">
        <v>1377</v>
      </c>
      <c r="C520" s="2" t="s">
        <v>1362</v>
      </c>
      <c r="D520" s="2" t="s">
        <v>1256</v>
      </c>
      <c r="E520" s="2" t="s">
        <v>1257</v>
      </c>
      <c r="F520" s="2" t="n">
        <v>75843.7163165556</v>
      </c>
      <c r="G520" s="2" t="n">
        <v>0</v>
      </c>
      <c r="H520" s="2" t="n">
        <v>75843.7163165556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</v>
      </c>
      <c r="DH520" s="2" t="n">
        <v>71.15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</v>
      </c>
      <c r="DN520" s="2" t="n">
        <v>89.93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 customFormat="false" ht="15" hidden="false" customHeight="false" outlineLevel="0" collapsed="false">
      <c r="A521" s="2" t="n">
        <v>3</v>
      </c>
      <c r="B521" s="2" t="s">
        <v>1378</v>
      </c>
      <c r="C521" s="2" t="s">
        <v>1364</v>
      </c>
      <c r="D521" s="2" t="s">
        <v>1256</v>
      </c>
      <c r="E521" s="2" t="s">
        <v>1257</v>
      </c>
      <c r="F521" s="2" t="n">
        <v>23187.4634359127</v>
      </c>
      <c r="G521" s="2" t="n">
        <v>0</v>
      </c>
      <c r="H521" s="2" t="n">
        <v>23187.4634359127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</v>
      </c>
      <c r="DH521" s="2" t="n">
        <v>71.15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</v>
      </c>
      <c r="DN521" s="2" t="n">
        <v>89.93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 customFormat="false" ht="15" hidden="false" customHeight="false" outlineLevel="0" collapsed="false">
      <c r="A522" s="2" t="n">
        <v>3</v>
      </c>
      <c r="B522" s="2" t="s">
        <v>1379</v>
      </c>
      <c r="C522" s="2" t="s">
        <v>1352</v>
      </c>
      <c r="D522" s="2" t="s">
        <v>1256</v>
      </c>
      <c r="E522" s="2" t="s">
        <v>1257</v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</v>
      </c>
      <c r="DH522" s="2" t="n">
        <v>71.15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</v>
      </c>
      <c r="DN522" s="2" t="n">
        <v>89.93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 customFormat="false" ht="15" hidden="false" customHeight="false" outlineLevel="0" collapsed="false">
      <c r="A523" s="2" t="n">
        <v>1</v>
      </c>
      <c r="B523" s="2" t="s">
        <v>168</v>
      </c>
      <c r="C523" s="2" t="s">
        <v>77</v>
      </c>
      <c r="D523" s="2" t="s">
        <v>1380</v>
      </c>
      <c r="E523" s="2" t="s">
        <v>1381</v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78.6</v>
      </c>
      <c r="DQ523" s="2" t="n">
        <v>77.76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92.99</v>
      </c>
      <c r="DW523" s="2" t="n">
        <v>83.74</v>
      </c>
      <c r="DX523" s="2" t="n">
        <v>0</v>
      </c>
      <c r="DY523" s="2" t="n">
        <v>95.71</v>
      </c>
      <c r="DZ523" s="2" t="n">
        <v>89.65</v>
      </c>
      <c r="EA523" s="2" t="n">
        <v>0</v>
      </c>
      <c r="EB523" s="2" t="n">
        <v>97.07</v>
      </c>
      <c r="EC523" s="2" t="n">
        <v>96.28</v>
      </c>
      <c r="ED523" s="2" t="n">
        <v>0</v>
      </c>
      <c r="EE523" s="2" t="n">
        <v>98.54</v>
      </c>
      <c r="EF523" s="2" t="n">
        <v>98.4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 customFormat="false" ht="15" hidden="false" customHeight="false" outlineLevel="0" collapsed="false">
      <c r="A524" s="2" t="n">
        <v>2</v>
      </c>
      <c r="B524" s="2" t="s">
        <v>1382</v>
      </c>
      <c r="C524" s="2" t="s">
        <v>1383</v>
      </c>
      <c r="D524" s="2" t="s">
        <v>1384</v>
      </c>
      <c r="E524" s="2" t="s">
        <v>1385</v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 customFormat="false" ht="15" hidden="false" customHeight="false" outlineLevel="0" collapsed="false">
      <c r="A525" s="2" t="n">
        <v>3</v>
      </c>
      <c r="B525" s="2" t="s">
        <v>1386</v>
      </c>
      <c r="C525" s="2" t="s">
        <v>1387</v>
      </c>
      <c r="D525" s="2" t="s">
        <v>1384</v>
      </c>
      <c r="E525" s="2" t="s">
        <v>1385</v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 customFormat="false" ht="15" hidden="false" customHeight="false" outlineLevel="0" collapsed="false">
      <c r="A526" s="2" t="n">
        <v>3</v>
      </c>
      <c r="B526" s="2" t="s">
        <v>1388</v>
      </c>
      <c r="C526" s="2" t="s">
        <v>1389</v>
      </c>
      <c r="D526" s="2" t="s">
        <v>1384</v>
      </c>
      <c r="E526" s="2" t="s">
        <v>1385</v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 customFormat="false" ht="15" hidden="false" customHeight="false" outlineLevel="0" collapsed="false">
      <c r="A527" s="2" t="n">
        <v>2</v>
      </c>
      <c r="B527" s="2" t="s">
        <v>1390</v>
      </c>
      <c r="C527" s="2" t="s">
        <v>1391</v>
      </c>
      <c r="D527" s="2" t="s">
        <v>1380</v>
      </c>
      <c r="E527" s="2" t="s">
        <v>1381</v>
      </c>
      <c r="F527" s="2" t="n">
        <v>8025691.128</v>
      </c>
      <c r="G527" s="2" t="n">
        <v>0</v>
      </c>
      <c r="H527" s="2" t="n">
        <v>8025691.128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74.35</v>
      </c>
      <c r="DK527" s="2" t="n">
        <v>73.39</v>
      </c>
      <c r="DL527" s="2" t="n">
        <v>0</v>
      </c>
      <c r="DM527" s="2" t="n">
        <v>80.21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89.1</v>
      </c>
      <c r="DU527" s="2" t="n">
        <v>0</v>
      </c>
      <c r="DV527" s="2" t="n">
        <v>92.65</v>
      </c>
      <c r="DW527" s="2" t="n">
        <v>90.63</v>
      </c>
      <c r="DX527" s="2" t="n">
        <v>0</v>
      </c>
      <c r="DY527" s="2" t="n">
        <v>94.07</v>
      </c>
      <c r="DZ527" s="2" t="n">
        <v>93.27</v>
      </c>
      <c r="EA527" s="2" t="n">
        <v>0</v>
      </c>
      <c r="EB527" s="2" t="n">
        <v>95.96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98.96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 customFormat="false" ht="15" hidden="false" customHeight="false" outlineLevel="0" collapsed="false">
      <c r="A528" s="2" t="n">
        <v>3</v>
      </c>
      <c r="B528" s="2" t="s">
        <v>1392</v>
      </c>
      <c r="C528" s="2" t="s">
        <v>1393</v>
      </c>
      <c r="D528" s="2" t="s">
        <v>1380</v>
      </c>
      <c r="E528" s="2" t="s">
        <v>1394</v>
      </c>
      <c r="F528" s="2" t="n">
        <v>376761.611286667</v>
      </c>
      <c r="G528" s="2" t="n">
        <v>0</v>
      </c>
      <c r="H528" s="2" t="n">
        <v>376761.611286667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72.1</v>
      </c>
      <c r="CV528" s="2" t="n">
        <v>72.72</v>
      </c>
      <c r="CW528" s="2" t="n">
        <v>0</v>
      </c>
      <c r="CX528" s="2" t="n">
        <v>79.43</v>
      </c>
      <c r="CY528" s="2" t="n">
        <v>79.28</v>
      </c>
      <c r="CZ528" s="2" t="n">
        <v>0</v>
      </c>
      <c r="DA528" s="2" t="n">
        <v>88.71</v>
      </c>
      <c r="DB528" s="2" t="n">
        <v>91.18</v>
      </c>
      <c r="DC528" s="2" t="n">
        <v>0</v>
      </c>
      <c r="DD528" s="2" t="n">
        <v>89.4</v>
      </c>
      <c r="DE528" s="2" t="n">
        <v>92.51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</v>
      </c>
      <c r="DL528" s="2" t="n">
        <v>0</v>
      </c>
      <c r="DM528" s="2" t="n">
        <v>93.22</v>
      </c>
      <c r="DN528" s="2" t="n">
        <v>99.26</v>
      </c>
      <c r="DO528" s="2" t="n">
        <v>0</v>
      </c>
      <c r="DP528" s="2" t="n">
        <v>94.78</v>
      </c>
      <c r="DQ528" s="2" t="n">
        <v>99.26</v>
      </c>
      <c r="DR528" s="2" t="n">
        <v>0</v>
      </c>
      <c r="DS528" s="2" t="n">
        <v>97.25</v>
      </c>
      <c r="DT528" s="2" t="n">
        <v>99.26</v>
      </c>
      <c r="DU528" s="2" t="n">
        <v>0</v>
      </c>
      <c r="DV528" s="2" t="n">
        <v>97.44</v>
      </c>
      <c r="DW528" s="2" t="n">
        <v>99.29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</v>
      </c>
      <c r="EC528" s="2" t="n">
        <v>99.85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 customFormat="false" ht="15" hidden="false" customHeight="false" outlineLevel="0" collapsed="false">
      <c r="A529" s="2" t="n">
        <v>3</v>
      </c>
      <c r="B529" s="2" t="s">
        <v>1395</v>
      </c>
      <c r="C529" s="2" t="s">
        <v>1396</v>
      </c>
      <c r="D529" s="2" t="s">
        <v>1380</v>
      </c>
      <c r="E529" s="2" t="s">
        <v>1394</v>
      </c>
      <c r="F529" s="2" t="n">
        <v>786071.858814667</v>
      </c>
      <c r="G529" s="2" t="n">
        <v>0</v>
      </c>
      <c r="H529" s="2" t="n">
        <v>786071.858814667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</v>
      </c>
      <c r="CW529" s="2" t="n">
        <v>0</v>
      </c>
      <c r="CX529" s="2" t="n">
        <v>77.29</v>
      </c>
      <c r="CY529" s="2" t="n">
        <v>76.51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89.35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99.57</v>
      </c>
      <c r="DX529" s="2" t="n">
        <v>0</v>
      </c>
      <c r="DY529" s="2" t="n">
        <v>98.58</v>
      </c>
      <c r="DZ529" s="2" t="n">
        <v>99.68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 customFormat="false" ht="15" hidden="false" customHeight="false" outlineLevel="0" collapsed="false">
      <c r="A530" s="2" t="n">
        <v>3</v>
      </c>
      <c r="B530" s="2" t="s">
        <v>1397</v>
      </c>
      <c r="C530" s="2" t="s">
        <v>1398</v>
      </c>
      <c r="D530" s="2" t="s">
        <v>1380</v>
      </c>
      <c r="E530" s="2" t="s">
        <v>1394</v>
      </c>
      <c r="F530" s="2" t="n">
        <v>990726.982578667</v>
      </c>
      <c r="G530" s="2" t="n">
        <v>0</v>
      </c>
      <c r="H530" s="2" t="n">
        <v>990726.982578667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72.57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</v>
      </c>
      <c r="DB530" s="2" t="n">
        <v>89.68</v>
      </c>
      <c r="DC530" s="2" t="n">
        <v>0</v>
      </c>
      <c r="DD530" s="2" t="n">
        <v>87.3</v>
      </c>
      <c r="DE530" s="2" t="n">
        <v>90.74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89.35</v>
      </c>
      <c r="DK530" s="2" t="n">
        <v>93.98</v>
      </c>
      <c r="DL530" s="2" t="n">
        <v>0</v>
      </c>
      <c r="DM530" s="2" t="n">
        <v>90.85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98.46</v>
      </c>
      <c r="EF530" s="2" t="n">
        <v>100</v>
      </c>
      <c r="EG530" s="2" t="n">
        <v>0</v>
      </c>
      <c r="EH530" s="2" t="n">
        <v>98.46</v>
      </c>
      <c r="EI530" s="2" t="n">
        <v>100</v>
      </c>
      <c r="EJ530" s="2" t="n">
        <v>0</v>
      </c>
      <c r="EK530" s="2" t="n">
        <v>98.46</v>
      </c>
      <c r="EL530" s="2" t="n">
        <v>100</v>
      </c>
      <c r="EM530" s="2" t="n">
        <v>0</v>
      </c>
      <c r="EN530" s="2" t="n">
        <v>98.46</v>
      </c>
      <c r="EO530" s="2" t="n">
        <v>100</v>
      </c>
      <c r="EP530" s="2" t="n">
        <v>0</v>
      </c>
    </row>
    <row r="531" customFormat="false" ht="15" hidden="false" customHeight="false" outlineLevel="0" collapsed="false">
      <c r="A531" s="2" t="n">
        <v>3</v>
      </c>
      <c r="B531" s="2" t="s">
        <v>1399</v>
      </c>
      <c r="C531" s="2" t="s">
        <v>1400</v>
      </c>
      <c r="D531" s="2" t="s">
        <v>1401</v>
      </c>
      <c r="E531" s="2" t="s">
        <v>1402</v>
      </c>
      <c r="F531" s="2" t="n">
        <v>1058945.35716667</v>
      </c>
      <c r="G531" s="2" t="n">
        <v>0</v>
      </c>
      <c r="H531" s="2" t="n">
        <v>1058945.35716667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 customFormat="false" ht="15" hidden="false" customHeight="false" outlineLevel="0" collapsed="false">
      <c r="A532" s="2" t="n">
        <v>3</v>
      </c>
      <c r="B532" s="2" t="s">
        <v>1403</v>
      </c>
      <c r="C532" s="2" t="s">
        <v>1404</v>
      </c>
      <c r="D532" s="2" t="s">
        <v>1405</v>
      </c>
      <c r="E532" s="2" t="s">
        <v>1406</v>
      </c>
      <c r="F532" s="2" t="n">
        <v>1400037.23010667</v>
      </c>
      <c r="G532" s="2" t="n">
        <v>0</v>
      </c>
      <c r="H532" s="2" t="n">
        <v>1400037.23010667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</v>
      </c>
      <c r="DT532" s="2" t="n">
        <v>93.22</v>
      </c>
      <c r="DU532" s="2" t="n">
        <v>0</v>
      </c>
      <c r="DV532" s="2" t="n">
        <v>99.38</v>
      </c>
      <c r="DW532" s="2" t="n">
        <v>94.21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 customFormat="false" ht="15" hidden="false" customHeight="false" outlineLevel="0" collapsed="false">
      <c r="A533" s="2" t="n">
        <v>3</v>
      </c>
      <c r="B533" s="2" t="s">
        <v>1407</v>
      </c>
      <c r="C533" s="2" t="s">
        <v>1408</v>
      </c>
      <c r="D533" s="2" t="s">
        <v>1409</v>
      </c>
      <c r="E533" s="2" t="s">
        <v>1410</v>
      </c>
      <c r="F533" s="2" t="n">
        <v>581416.735050667</v>
      </c>
      <c r="G533" s="2" t="n">
        <v>0</v>
      </c>
      <c r="H533" s="2" t="n">
        <v>581416.735050667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 customFormat="false" ht="15" hidden="false" customHeight="false" outlineLevel="0" collapsed="false">
      <c r="A534" s="2" t="n">
        <v>3</v>
      </c>
      <c r="B534" s="2" t="s">
        <v>1411</v>
      </c>
      <c r="C534" s="2" t="s">
        <v>1412</v>
      </c>
      <c r="D534" s="2" t="s">
        <v>1409</v>
      </c>
      <c r="E534" s="2" t="s">
        <v>1410</v>
      </c>
      <c r="F534" s="2" t="n">
        <v>649635.109638667</v>
      </c>
      <c r="G534" s="2" t="n">
        <v>0</v>
      </c>
      <c r="H534" s="2" t="n">
        <v>649635.109638667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 customFormat="false" ht="15" hidden="false" customHeight="false" outlineLevel="0" collapsed="false">
      <c r="A535" s="2" t="n">
        <v>3</v>
      </c>
      <c r="B535" s="2" t="s">
        <v>1413</v>
      </c>
      <c r="C535" s="2" t="s">
        <v>1414</v>
      </c>
      <c r="D535" s="2" t="s">
        <v>1415</v>
      </c>
      <c r="E535" s="2" t="s">
        <v>1381</v>
      </c>
      <c r="F535" s="2" t="n">
        <v>717853.484226667</v>
      </c>
      <c r="G535" s="2" t="n">
        <v>0</v>
      </c>
      <c r="H535" s="2" t="n">
        <v>717853.484226667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65.96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 customFormat="false" ht="15" hidden="false" customHeight="false" outlineLevel="0" collapsed="false">
      <c r="A536" s="2" t="n">
        <v>3</v>
      </c>
      <c r="B536" s="2" t="s">
        <v>1416</v>
      </c>
      <c r="C536" s="2" t="s">
        <v>1417</v>
      </c>
      <c r="D536" s="2" t="s">
        <v>1415</v>
      </c>
      <c r="E536" s="2" t="s">
        <v>1381</v>
      </c>
      <c r="F536" s="2" t="n">
        <v>581416.735050667</v>
      </c>
      <c r="G536" s="2" t="n">
        <v>0</v>
      </c>
      <c r="H536" s="2" t="n">
        <v>581416.735050667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65.96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 customFormat="false" ht="15" hidden="false" customHeight="false" outlineLevel="0" collapsed="false">
      <c r="A537" s="2" t="n">
        <v>3</v>
      </c>
      <c r="B537" s="2" t="s">
        <v>1418</v>
      </c>
      <c r="C537" s="2" t="s">
        <v>1419</v>
      </c>
      <c r="D537" s="2" t="s">
        <v>1405</v>
      </c>
      <c r="E537" s="2" t="s">
        <v>1406</v>
      </c>
      <c r="F537" s="2" t="n">
        <v>882826.02408</v>
      </c>
      <c r="G537" s="2" t="n">
        <v>0</v>
      </c>
      <c r="H537" s="2" t="n">
        <v>882826.02408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</v>
      </c>
      <c r="CP537" s="2" t="n">
        <v>8.89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 customFormat="false" ht="15" hidden="false" customHeight="false" outlineLevel="0" collapsed="false">
      <c r="A538" s="2" t="n">
        <v>2</v>
      </c>
      <c r="B538" s="2" t="s">
        <v>1420</v>
      </c>
      <c r="C538" s="2" t="s">
        <v>1421</v>
      </c>
      <c r="D538" s="2" t="s">
        <v>1401</v>
      </c>
      <c r="E538" s="2" t="s">
        <v>1402</v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 customFormat="false" ht="15" hidden="false" customHeight="false" outlineLevel="0" collapsed="false">
      <c r="A539" s="2" t="n">
        <v>3</v>
      </c>
      <c r="B539" s="2" t="s">
        <v>1422</v>
      </c>
      <c r="C539" s="2" t="s">
        <v>1423</v>
      </c>
      <c r="D539" s="2" t="s">
        <v>1401</v>
      </c>
      <c r="E539" s="2" t="s">
        <v>1402</v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 customFormat="false" ht="15" hidden="false" customHeight="false" outlineLevel="0" collapsed="false">
      <c r="A540" s="2" t="n">
        <v>3</v>
      </c>
      <c r="B540" s="2" t="s">
        <v>1424</v>
      </c>
      <c r="C540" s="2" t="s">
        <v>1425</v>
      </c>
      <c r="D540" s="2" t="s">
        <v>1401</v>
      </c>
      <c r="E540" s="2" t="s">
        <v>1402</v>
      </c>
      <c r="F540" s="2" t="n">
        <v>361156.10076</v>
      </c>
      <c r="G540" s="2" t="n">
        <v>0</v>
      </c>
      <c r="H540" s="2" t="n">
        <v>361156.10076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 customFormat="false" ht="15" hidden="false" customHeight="false" outlineLevel="0" collapsed="false">
      <c r="A541" s="2" t="n">
        <v>3</v>
      </c>
      <c r="B541" s="2" t="s">
        <v>1426</v>
      </c>
      <c r="C541" s="2" t="s">
        <v>1427</v>
      </c>
      <c r="D541" s="2" t="s">
        <v>1401</v>
      </c>
      <c r="E541" s="2" t="s">
        <v>1402</v>
      </c>
      <c r="F541" s="2" t="n">
        <v>441413.01204</v>
      </c>
      <c r="G541" s="2" t="n">
        <v>0</v>
      </c>
      <c r="H541" s="2" t="n">
        <v>441413.01204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 customFormat="false" ht="15" hidden="false" customHeight="false" outlineLevel="0" collapsed="false">
      <c r="A542" s="2" t="n">
        <v>3</v>
      </c>
      <c r="B542" s="2" t="s">
        <v>1428</v>
      </c>
      <c r="C542" s="2" t="s">
        <v>1429</v>
      </c>
      <c r="D542" s="2" t="s">
        <v>1401</v>
      </c>
      <c r="E542" s="2" t="s">
        <v>1402</v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 customFormat="false" ht="15" hidden="false" customHeight="false" outlineLevel="0" collapsed="false">
      <c r="A543" s="2" t="n">
        <v>3</v>
      </c>
      <c r="B543" s="2" t="s">
        <v>1430</v>
      </c>
      <c r="C543" s="2" t="s">
        <v>1431</v>
      </c>
      <c r="D543" s="2" t="s">
        <v>1401</v>
      </c>
      <c r="E543" s="2" t="s">
        <v>1402</v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 customFormat="false" ht="15" hidden="false" customHeight="false" outlineLevel="0" collapsed="false">
      <c r="A544" s="2" t="n">
        <v>3</v>
      </c>
      <c r="B544" s="2" t="s">
        <v>1432</v>
      </c>
      <c r="C544" s="2" t="s">
        <v>1433</v>
      </c>
      <c r="D544" s="2" t="s">
        <v>1401</v>
      </c>
      <c r="E544" s="2" t="s">
        <v>1402</v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 customFormat="false" ht="15" hidden="false" customHeight="false" outlineLevel="0" collapsed="false">
      <c r="A545" s="2" t="n">
        <v>3</v>
      </c>
      <c r="B545" s="2" t="s">
        <v>1434</v>
      </c>
      <c r="C545" s="2" t="s">
        <v>1435</v>
      </c>
      <c r="D545" s="2" t="s">
        <v>1401</v>
      </c>
      <c r="E545" s="2" t="s">
        <v>1402</v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 customFormat="false" ht="15" hidden="false" customHeight="false" outlineLevel="0" collapsed="false">
      <c r="A546" s="2" t="n">
        <v>1</v>
      </c>
      <c r="B546" s="2" t="s">
        <v>170</v>
      </c>
      <c r="C546" s="2" t="s">
        <v>171</v>
      </c>
      <c r="D546" s="2" t="s">
        <v>1436</v>
      </c>
      <c r="E546" s="2" t="s">
        <v>1437</v>
      </c>
      <c r="F546" s="2" t="n">
        <v>6821837.4588</v>
      </c>
      <c r="G546" s="2" t="n">
        <v>0</v>
      </c>
      <c r="H546" s="2" t="n">
        <v>6821837.4588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</v>
      </c>
      <c r="DK546" s="2" t="n">
        <v>94.01</v>
      </c>
      <c r="DL546" s="2" t="n">
        <v>0.4</v>
      </c>
      <c r="DM546" s="2" t="n">
        <v>93.68</v>
      </c>
      <c r="DN546" s="2" t="n">
        <v>96.01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96.96</v>
      </c>
      <c r="DU546" s="2" t="n">
        <v>0.4</v>
      </c>
      <c r="DV546" s="2" t="n">
        <v>96.98</v>
      </c>
      <c r="DW546" s="2" t="n">
        <v>96.96</v>
      </c>
      <c r="DX546" s="2" t="n">
        <v>0.4</v>
      </c>
      <c r="DY546" s="2" t="n">
        <v>97.4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 customFormat="false" ht="15" hidden="false" customHeight="false" outlineLevel="0" collapsed="false">
      <c r="A547" s="2" t="n">
        <v>2</v>
      </c>
      <c r="B547" s="2" t="s">
        <v>1438</v>
      </c>
      <c r="C547" s="2" t="s">
        <v>1439</v>
      </c>
      <c r="D547" s="2" t="s">
        <v>1436</v>
      </c>
      <c r="E547" s="2" t="s">
        <v>1437</v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8.11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</v>
      </c>
      <c r="CS547" s="2" t="n">
        <v>65.15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82.82</v>
      </c>
      <c r="DE547" s="2" t="n">
        <v>84.5</v>
      </c>
      <c r="DF547" s="2" t="n">
        <v>0.31</v>
      </c>
      <c r="DG547" s="2" t="n">
        <v>84.65</v>
      </c>
      <c r="DH547" s="2" t="n">
        <v>86.18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90.1</v>
      </c>
      <c r="DQ547" s="2" t="n">
        <v>91.02</v>
      </c>
      <c r="DR547" s="2" t="n">
        <v>0.31</v>
      </c>
      <c r="DS547" s="2" t="n">
        <v>91.82</v>
      </c>
      <c r="DT547" s="2" t="n">
        <v>91.9</v>
      </c>
      <c r="DU547" s="2" t="n">
        <v>0.31</v>
      </c>
      <c r="DV547" s="2" t="n">
        <v>91.91</v>
      </c>
      <c r="DW547" s="2" t="n">
        <v>91.9</v>
      </c>
      <c r="DX547" s="2" t="n">
        <v>0.31</v>
      </c>
      <c r="DY547" s="2" t="n">
        <v>92.77</v>
      </c>
      <c r="DZ547" s="2" t="n">
        <v>91.96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 customFormat="false" ht="15" hidden="false" customHeight="false" outlineLevel="0" collapsed="false">
      <c r="A548" s="2" t="n">
        <v>3</v>
      </c>
      <c r="B548" s="2" t="s">
        <v>1440</v>
      </c>
      <c r="C548" s="2" t="s">
        <v>1441</v>
      </c>
      <c r="D548" s="2" t="s">
        <v>1442</v>
      </c>
      <c r="E548" s="2" t="s">
        <v>1443</v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 customFormat="false" ht="15" hidden="false" customHeight="false" outlineLevel="0" collapsed="false">
      <c r="A549" s="2" t="n">
        <v>3</v>
      </c>
      <c r="B549" s="2" t="s">
        <v>1444</v>
      </c>
      <c r="C549" s="2" t="s">
        <v>1445</v>
      </c>
      <c r="D549" s="2" t="s">
        <v>1436</v>
      </c>
      <c r="E549" s="2" t="s">
        <v>1446</v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0.94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67.85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82.35</v>
      </c>
      <c r="CZ549" s="2" t="n">
        <v>0.54</v>
      </c>
      <c r="DA549" s="2" t="n">
        <v>92.32</v>
      </c>
      <c r="DB549" s="2" t="n">
        <v>93.09</v>
      </c>
      <c r="DC549" s="2" t="n">
        <v>0.54</v>
      </c>
      <c r="DD549" s="2" t="n">
        <v>92.71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94.35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 customFormat="false" ht="15" hidden="false" customHeight="false" outlineLevel="0" collapsed="false">
      <c r="A550" s="2" t="n">
        <v>3</v>
      </c>
      <c r="B550" s="2" t="s">
        <v>1447</v>
      </c>
      <c r="C550" s="2" t="s">
        <v>1448</v>
      </c>
      <c r="D550" s="2" t="s">
        <v>1436</v>
      </c>
      <c r="E550" s="2" t="s">
        <v>1446</v>
      </c>
      <c r="F550" s="2" t="n">
        <v>337079.027376</v>
      </c>
      <c r="G550" s="2" t="n">
        <v>0</v>
      </c>
      <c r="H550" s="2" t="n">
        <v>337079.027376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0.94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67.85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82.35</v>
      </c>
      <c r="CZ550" s="2" t="n">
        <v>0.54</v>
      </c>
      <c r="DA550" s="2" t="n">
        <v>92.32</v>
      </c>
      <c r="DB550" s="2" t="n">
        <v>93.09</v>
      </c>
      <c r="DC550" s="2" t="n">
        <v>0.54</v>
      </c>
      <c r="DD550" s="2" t="n">
        <v>92.71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94.35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 customFormat="false" ht="15" hidden="false" customHeight="false" outlineLevel="0" collapsed="false">
      <c r="A551" s="2" t="n">
        <v>3</v>
      </c>
      <c r="B551" s="2" t="s">
        <v>1449</v>
      </c>
      <c r="C551" s="2" t="s">
        <v>1450</v>
      </c>
      <c r="D551" s="2" t="s">
        <v>1436</v>
      </c>
      <c r="E551" s="2" t="s">
        <v>1446</v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0.94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67.85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82.35</v>
      </c>
      <c r="CZ551" s="2" t="n">
        <v>0.54</v>
      </c>
      <c r="DA551" s="2" t="n">
        <v>92.32</v>
      </c>
      <c r="DB551" s="2" t="n">
        <v>93.09</v>
      </c>
      <c r="DC551" s="2" t="n">
        <v>0.54</v>
      </c>
      <c r="DD551" s="2" t="n">
        <v>92.71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94.35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 customFormat="false" ht="15" hidden="false" customHeight="false" outlineLevel="0" collapsed="false">
      <c r="A552" s="2" t="n">
        <v>3</v>
      </c>
      <c r="B552" s="2" t="s">
        <v>1451</v>
      </c>
      <c r="C552" s="2" t="s">
        <v>1452</v>
      </c>
      <c r="D552" s="2" t="s">
        <v>1453</v>
      </c>
      <c r="E552" s="2" t="s">
        <v>1442</v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</v>
      </c>
      <c r="CP552" s="2" t="n">
        <v>77.4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94.82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 customFormat="false" ht="15" hidden="false" customHeight="false" outlineLevel="0" collapsed="false">
      <c r="A553" s="2" t="n">
        <v>3</v>
      </c>
      <c r="B553" s="2" t="s">
        <v>1454</v>
      </c>
      <c r="C553" s="2" t="s">
        <v>1455</v>
      </c>
      <c r="D553" s="2" t="s">
        <v>1453</v>
      </c>
      <c r="E553" s="2" t="s">
        <v>1442</v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</v>
      </c>
      <c r="CP553" s="2" t="n">
        <v>77.4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94.82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 customFormat="false" ht="15" hidden="false" customHeight="false" outlineLevel="0" collapsed="false">
      <c r="A554" s="2" t="n">
        <v>3</v>
      </c>
      <c r="B554" s="2" t="s">
        <v>1456</v>
      </c>
      <c r="C554" s="2" t="s">
        <v>1457</v>
      </c>
      <c r="D554" s="2" t="s">
        <v>1436</v>
      </c>
      <c r="E554" s="2" t="s">
        <v>1446</v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0.94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67.85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82.35</v>
      </c>
      <c r="CZ554" s="2" t="n">
        <v>0.54</v>
      </c>
      <c r="DA554" s="2" t="n">
        <v>92.32</v>
      </c>
      <c r="DB554" s="2" t="n">
        <v>93.09</v>
      </c>
      <c r="DC554" s="2" t="n">
        <v>0.54</v>
      </c>
      <c r="DD554" s="2" t="n">
        <v>92.71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94.35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 customFormat="false" ht="15" hidden="false" customHeight="false" outlineLevel="0" collapsed="false">
      <c r="A555" s="2" t="n">
        <v>3</v>
      </c>
      <c r="B555" s="2" t="s">
        <v>1458</v>
      </c>
      <c r="C555" s="2" t="s">
        <v>1459</v>
      </c>
      <c r="D555" s="2" t="s">
        <v>1436</v>
      </c>
      <c r="E555" s="2" t="s">
        <v>1446</v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0.94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67.85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82.35</v>
      </c>
      <c r="CZ555" s="2" t="n">
        <v>0.54</v>
      </c>
      <c r="DA555" s="2" t="n">
        <v>92.32</v>
      </c>
      <c r="DB555" s="2" t="n">
        <v>93.09</v>
      </c>
      <c r="DC555" s="2" t="n">
        <v>0.54</v>
      </c>
      <c r="DD555" s="2" t="n">
        <v>92.71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94.35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 customFormat="false" ht="15" hidden="false" customHeight="false" outlineLevel="0" collapsed="false">
      <c r="A556" s="2" t="n">
        <v>3</v>
      </c>
      <c r="B556" s="2" t="s">
        <v>1460</v>
      </c>
      <c r="C556" s="2" t="s">
        <v>1331</v>
      </c>
      <c r="D556" s="2" t="s">
        <v>1461</v>
      </c>
      <c r="E556" s="2" t="s">
        <v>1437</v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 customFormat="false" ht="15" hidden="false" customHeight="false" outlineLevel="0" collapsed="false">
      <c r="A557" s="2" t="n">
        <v>2</v>
      </c>
      <c r="B557" s="2" t="s">
        <v>1462</v>
      </c>
      <c r="C557" s="2" t="s">
        <v>1463</v>
      </c>
      <c r="D557" s="2" t="s">
        <v>1436</v>
      </c>
      <c r="E557" s="2" t="s">
        <v>1446</v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85.49</v>
      </c>
      <c r="CY557" s="2" t="n">
        <v>84.63</v>
      </c>
      <c r="CZ557" s="2" t="n">
        <v>0.43</v>
      </c>
      <c r="DA557" s="2" t="n">
        <v>92.85</v>
      </c>
      <c r="DB557" s="2" t="n">
        <v>94.54</v>
      </c>
      <c r="DC557" s="2" t="n">
        <v>0.43</v>
      </c>
      <c r="DD557" s="2" t="n">
        <v>93.38</v>
      </c>
      <c r="DE557" s="2" t="n">
        <v>95.18</v>
      </c>
      <c r="DF557" s="2" t="n">
        <v>0.43</v>
      </c>
      <c r="DG557" s="2" t="n">
        <v>94.18</v>
      </c>
      <c r="DH557" s="2" t="n">
        <v>96.31</v>
      </c>
      <c r="DI557" s="2" t="n">
        <v>0.43</v>
      </c>
      <c r="DJ557" s="2" t="n">
        <v>95.54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97.96</v>
      </c>
      <c r="DQ557" s="2" t="n">
        <v>99.62</v>
      </c>
      <c r="DR557" s="2" t="n">
        <v>0.43</v>
      </c>
      <c r="DS557" s="2" t="n">
        <v>99.74</v>
      </c>
      <c r="DT557" s="2" t="n">
        <v>99.85</v>
      </c>
      <c r="DU557" s="2" t="n">
        <v>0.43</v>
      </c>
      <c r="DV557" s="2" t="n">
        <v>99.87</v>
      </c>
      <c r="DW557" s="2" t="n">
        <v>99.85</v>
      </c>
      <c r="DX557" s="2" t="n">
        <v>0.43</v>
      </c>
      <c r="DY557" s="2" t="n">
        <v>99.96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 customFormat="false" ht="15" hidden="false" customHeight="false" outlineLevel="0" collapsed="false">
      <c r="A558" s="2" t="n">
        <v>3</v>
      </c>
      <c r="B558" s="2" t="s">
        <v>1464</v>
      </c>
      <c r="C558" s="2" t="s">
        <v>1450</v>
      </c>
      <c r="D558" s="2" t="s">
        <v>1436</v>
      </c>
      <c r="E558" s="2" t="s">
        <v>1446</v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0.94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67.85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82.35</v>
      </c>
      <c r="CZ558" s="2" t="n">
        <v>0.54</v>
      </c>
      <c r="DA558" s="2" t="n">
        <v>92.32</v>
      </c>
      <c r="DB558" s="2" t="n">
        <v>93.09</v>
      </c>
      <c r="DC558" s="2" t="n">
        <v>0.54</v>
      </c>
      <c r="DD558" s="2" t="n">
        <v>92.71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94.35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 customFormat="false" ht="15" hidden="false" customHeight="false" outlineLevel="0" collapsed="false">
      <c r="A559" s="2" t="n">
        <v>3</v>
      </c>
      <c r="B559" s="2" t="s">
        <v>1465</v>
      </c>
      <c r="C559" s="2" t="s">
        <v>1466</v>
      </c>
      <c r="D559" s="2" t="s">
        <v>1453</v>
      </c>
      <c r="E559" s="2" t="s">
        <v>1442</v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</v>
      </c>
      <c r="CP559" s="2" t="n">
        <v>77.4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94.82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 customFormat="false" ht="15" hidden="false" customHeight="false" outlineLevel="0" collapsed="false">
      <c r="A560" s="2" t="n">
        <v>3</v>
      </c>
      <c r="B560" s="2" t="s">
        <v>1467</v>
      </c>
      <c r="C560" s="2" t="s">
        <v>1455</v>
      </c>
      <c r="D560" s="2" t="s">
        <v>1436</v>
      </c>
      <c r="E560" s="2" t="s">
        <v>1446</v>
      </c>
      <c r="F560" s="2" t="n">
        <v>541734.15114</v>
      </c>
      <c r="G560" s="2" t="n">
        <v>0</v>
      </c>
      <c r="H560" s="2" t="n">
        <v>541734.15114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0.94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67.85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82.35</v>
      </c>
      <c r="CZ560" s="2" t="n">
        <v>0.54</v>
      </c>
      <c r="DA560" s="2" t="n">
        <v>92.32</v>
      </c>
      <c r="DB560" s="2" t="n">
        <v>93.09</v>
      </c>
      <c r="DC560" s="2" t="n">
        <v>0.54</v>
      </c>
      <c r="DD560" s="2" t="n">
        <v>92.71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94.35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 customFormat="false" ht="15" hidden="false" customHeight="false" outlineLevel="0" collapsed="false">
      <c r="A561" s="2" t="n">
        <v>3</v>
      </c>
      <c r="B561" s="2" t="s">
        <v>1468</v>
      </c>
      <c r="C561" s="2" t="s">
        <v>1457</v>
      </c>
      <c r="D561" s="2" t="s">
        <v>1436</v>
      </c>
      <c r="E561" s="2" t="s">
        <v>1446</v>
      </c>
      <c r="F561" s="2" t="n">
        <v>621991.06242</v>
      </c>
      <c r="G561" s="2" t="n">
        <v>0</v>
      </c>
      <c r="H561" s="2" t="n">
        <v>621991.06242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0.94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67.85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82.35</v>
      </c>
      <c r="CZ561" s="2" t="n">
        <v>0.54</v>
      </c>
      <c r="DA561" s="2" t="n">
        <v>92.32</v>
      </c>
      <c r="DB561" s="2" t="n">
        <v>93.09</v>
      </c>
      <c r="DC561" s="2" t="n">
        <v>0.54</v>
      </c>
      <c r="DD561" s="2" t="n">
        <v>92.71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94.35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 customFormat="false" ht="15" hidden="false" customHeight="false" outlineLevel="0" collapsed="false">
      <c r="A562" s="2" t="n">
        <v>3</v>
      </c>
      <c r="B562" s="2" t="s">
        <v>1469</v>
      </c>
      <c r="C562" s="2" t="s">
        <v>1331</v>
      </c>
      <c r="D562" s="2" t="s">
        <v>1436</v>
      </c>
      <c r="E562" s="2" t="s">
        <v>1446</v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0.94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67.85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82.35</v>
      </c>
      <c r="CZ562" s="2" t="n">
        <v>0.54</v>
      </c>
      <c r="DA562" s="2" t="n">
        <v>92.32</v>
      </c>
      <c r="DB562" s="2" t="n">
        <v>93.09</v>
      </c>
      <c r="DC562" s="2" t="n">
        <v>0.54</v>
      </c>
      <c r="DD562" s="2" t="n">
        <v>92.71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94.35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 customFormat="false" ht="15" hidden="false" customHeight="false" outlineLevel="0" collapsed="false">
      <c r="A563" s="2" t="n">
        <v>2</v>
      </c>
      <c r="B563" s="2" t="s">
        <v>1470</v>
      </c>
      <c r="C563" s="2" t="s">
        <v>1471</v>
      </c>
      <c r="D563" s="2" t="s">
        <v>1436</v>
      </c>
      <c r="E563" s="2" t="s">
        <v>1446</v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</v>
      </c>
      <c r="CW563" s="2" t="n">
        <v>0.55</v>
      </c>
      <c r="CX563" s="2" t="n">
        <v>84.71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</v>
      </c>
      <c r="DH563" s="2" t="n">
        <v>95.67</v>
      </c>
      <c r="DI563" s="2" t="n">
        <v>0.55</v>
      </c>
      <c r="DJ563" s="2" t="n">
        <v>94.5</v>
      </c>
      <c r="DK563" s="2" t="n">
        <v>97.01</v>
      </c>
      <c r="DL563" s="2" t="n">
        <v>0.55</v>
      </c>
      <c r="DM563" s="2" t="n">
        <v>95.96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99.24</v>
      </c>
      <c r="DT563" s="2" t="n">
        <v>99.35</v>
      </c>
      <c r="DU563" s="2" t="n">
        <v>0.55</v>
      </c>
      <c r="DV563" s="2" t="n">
        <v>99.41</v>
      </c>
      <c r="DW563" s="2" t="n">
        <v>99.35</v>
      </c>
      <c r="DX563" s="2" t="n">
        <v>0.55</v>
      </c>
      <c r="DY563" s="2" t="n">
        <v>99.82</v>
      </c>
      <c r="DZ563" s="2" t="n">
        <v>99.74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 customFormat="false" ht="15" hidden="false" customHeight="false" outlineLevel="0" collapsed="false">
      <c r="A564" s="2" t="n">
        <v>3</v>
      </c>
      <c r="B564" s="2" t="s">
        <v>1472</v>
      </c>
      <c r="C564" s="2" t="s">
        <v>1473</v>
      </c>
      <c r="D564" s="2" t="s">
        <v>1436</v>
      </c>
      <c r="E564" s="2" t="s">
        <v>1446</v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0.94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67.85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82.35</v>
      </c>
      <c r="CZ564" s="2" t="n">
        <v>0.54</v>
      </c>
      <c r="DA564" s="2" t="n">
        <v>92.32</v>
      </c>
      <c r="DB564" s="2" t="n">
        <v>93.09</v>
      </c>
      <c r="DC564" s="2" t="n">
        <v>0.54</v>
      </c>
      <c r="DD564" s="2" t="n">
        <v>92.71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94.35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 customFormat="false" ht="15" hidden="false" customHeight="false" outlineLevel="0" collapsed="false">
      <c r="A565" s="2" t="n">
        <v>3</v>
      </c>
      <c r="B565" s="2" t="s">
        <v>1474</v>
      </c>
      <c r="C565" s="2" t="s">
        <v>1475</v>
      </c>
      <c r="D565" s="2" t="s">
        <v>1436</v>
      </c>
      <c r="E565" s="2" t="s">
        <v>1446</v>
      </c>
      <c r="F565" s="2" t="n">
        <v>325040.490684</v>
      </c>
      <c r="G565" s="2" t="n">
        <v>0</v>
      </c>
      <c r="H565" s="2" t="n">
        <v>325040.490684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0.94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67.85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82.35</v>
      </c>
      <c r="CZ565" s="2" t="n">
        <v>0.54</v>
      </c>
      <c r="DA565" s="2" t="n">
        <v>92.32</v>
      </c>
      <c r="DB565" s="2" t="n">
        <v>93.09</v>
      </c>
      <c r="DC565" s="2" t="n">
        <v>0.54</v>
      </c>
      <c r="DD565" s="2" t="n">
        <v>92.71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94.35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 customFormat="false" ht="15" hidden="false" customHeight="false" outlineLevel="0" collapsed="false">
      <c r="A566" s="2" t="n">
        <v>3</v>
      </c>
      <c r="B566" s="2" t="s">
        <v>1476</v>
      </c>
      <c r="C566" s="2" t="s">
        <v>1477</v>
      </c>
      <c r="D566" s="2" t="s">
        <v>1436</v>
      </c>
      <c r="E566" s="2" t="s">
        <v>1446</v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</v>
      </c>
      <c r="BH566" s="2" t="n">
        <v>1.6</v>
      </c>
      <c r="BI566" s="2" t="n">
        <v>0.56</v>
      </c>
      <c r="BJ566" s="2" t="n">
        <v>0.56</v>
      </c>
      <c r="BK566" s="2" t="n">
        <v>2.12</v>
      </c>
      <c r="BL566" s="2" t="n">
        <v>1.47</v>
      </c>
      <c r="BM566" s="2" t="n">
        <v>0.56</v>
      </c>
      <c r="BN566" s="2" t="n">
        <v>2.64</v>
      </c>
      <c r="BO566" s="2" t="n">
        <v>2.71</v>
      </c>
      <c r="BP566" s="2" t="n">
        <v>0.56</v>
      </c>
      <c r="BQ566" s="2" t="n">
        <v>3.11</v>
      </c>
      <c r="BR566" s="2" t="n">
        <v>3.56</v>
      </c>
      <c r="BS566" s="2" t="n">
        <v>0.56</v>
      </c>
      <c r="BT566" s="2" t="n">
        <v>3.43</v>
      </c>
      <c r="BU566" s="2" t="n">
        <v>4.13</v>
      </c>
      <c r="BV566" s="2" t="n">
        <v>0.56</v>
      </c>
      <c r="BW566" s="2" t="n">
        <v>9.21</v>
      </c>
      <c r="BX566" s="2" t="n">
        <v>8.5</v>
      </c>
      <c r="BY566" s="2" t="n">
        <v>0.56</v>
      </c>
      <c r="BZ566" s="2" t="n">
        <v>16.3</v>
      </c>
      <c r="CA566" s="2" t="n">
        <v>16.52</v>
      </c>
      <c r="CB566" s="2" t="n">
        <v>0.56</v>
      </c>
      <c r="CC566" s="2" t="n">
        <v>24.61</v>
      </c>
      <c r="CD566" s="2" t="n">
        <v>24.38</v>
      </c>
      <c r="CE566" s="2" t="n">
        <v>0.56</v>
      </c>
      <c r="CF566" s="2" t="n">
        <v>32.33</v>
      </c>
      <c r="CG566" s="2" t="n">
        <v>32.31</v>
      </c>
      <c r="CH566" s="2" t="n">
        <v>0.56</v>
      </c>
      <c r="CI566" s="2" t="n">
        <v>40.76</v>
      </c>
      <c r="CJ566" s="2" t="n">
        <v>41.63</v>
      </c>
      <c r="CK566" s="2" t="n">
        <v>0.56</v>
      </c>
      <c r="CL566" s="2" t="n">
        <v>49.29</v>
      </c>
      <c r="CM566" s="2" t="n">
        <v>50.14</v>
      </c>
      <c r="CN566" s="2" t="n">
        <v>0.56</v>
      </c>
      <c r="CO566" s="2" t="n">
        <v>59.01</v>
      </c>
      <c r="CP566" s="2" t="n">
        <v>59.86</v>
      </c>
      <c r="CQ566" s="2" t="n">
        <v>0.56</v>
      </c>
      <c r="CR566" s="2" t="n">
        <v>67.52</v>
      </c>
      <c r="CS566" s="2" t="n">
        <v>67.13</v>
      </c>
      <c r="CT566" s="2" t="n">
        <v>0.56</v>
      </c>
      <c r="CU566" s="2" t="n">
        <v>77.28</v>
      </c>
      <c r="CV566" s="2" t="n">
        <v>75.49</v>
      </c>
      <c r="CW566" s="2" t="n">
        <v>0.56</v>
      </c>
      <c r="CX566" s="2" t="n">
        <v>84.96</v>
      </c>
      <c r="CY566" s="2" t="n">
        <v>82.98</v>
      </c>
      <c r="CZ566" s="2" t="n">
        <v>0.56</v>
      </c>
      <c r="DA566" s="2" t="n">
        <v>92.78</v>
      </c>
      <c r="DB566" s="2" t="n">
        <v>93.84</v>
      </c>
      <c r="DC566" s="2" t="n">
        <v>0.56</v>
      </c>
      <c r="DD566" s="2" t="n">
        <v>93.04</v>
      </c>
      <c r="DE566" s="2" t="n">
        <v>94.65</v>
      </c>
      <c r="DF566" s="2" t="n">
        <v>0.56</v>
      </c>
      <c r="DG566" s="2" t="n">
        <v>93.23</v>
      </c>
      <c r="DH566" s="2" t="n">
        <v>96.01</v>
      </c>
      <c r="DI566" s="2" t="n">
        <v>0.56</v>
      </c>
      <c r="DJ566" s="2" t="n">
        <v>94.66</v>
      </c>
      <c r="DK566" s="2" t="n">
        <v>97.19</v>
      </c>
      <c r="DL566" s="2" t="n">
        <v>0.56</v>
      </c>
      <c r="DM566" s="2" t="n">
        <v>96.12</v>
      </c>
      <c r="DN566" s="2" t="n">
        <v>98.56</v>
      </c>
      <c r="DO566" s="2" t="n">
        <v>0.56</v>
      </c>
      <c r="DP566" s="2" t="n">
        <v>97.45</v>
      </c>
      <c r="DQ566" s="2" t="n">
        <v>98.73</v>
      </c>
      <c r="DR566" s="2" t="n">
        <v>0.56</v>
      </c>
      <c r="DS566" s="2" t="n">
        <v>98.81</v>
      </c>
      <c r="DT566" s="2" t="n">
        <v>98.89</v>
      </c>
      <c r="DU566" s="2" t="n">
        <v>0.56</v>
      </c>
      <c r="DV566" s="2" t="n">
        <v>98.99</v>
      </c>
      <c r="DW566" s="2" t="n">
        <v>98.89</v>
      </c>
      <c r="DX566" s="2" t="n">
        <v>0.56</v>
      </c>
      <c r="DY566" s="2" t="n">
        <v>99.7</v>
      </c>
      <c r="DZ566" s="2" t="n">
        <v>99.56</v>
      </c>
      <c r="EA566" s="2" t="n">
        <v>0.56</v>
      </c>
      <c r="EB566" s="2" t="n">
        <v>100</v>
      </c>
      <c r="EC566" s="2" t="n">
        <v>100</v>
      </c>
      <c r="ED566" s="2" t="n">
        <v>0.56</v>
      </c>
      <c r="EE566" s="2" t="n">
        <v>100</v>
      </c>
      <c r="EF566" s="2" t="n">
        <v>100</v>
      </c>
      <c r="EG566" s="2" t="n">
        <v>0.56</v>
      </c>
      <c r="EH566" s="2" t="n">
        <v>100</v>
      </c>
      <c r="EI566" s="2" t="n">
        <v>100</v>
      </c>
      <c r="EJ566" s="2" t="n">
        <v>0.56</v>
      </c>
      <c r="EK566" s="2" t="n">
        <v>100</v>
      </c>
      <c r="EL566" s="2" t="n">
        <v>100</v>
      </c>
      <c r="EM566" s="2" t="n">
        <v>0.56</v>
      </c>
      <c r="EN566" s="2" t="n">
        <v>100</v>
      </c>
      <c r="EO566" s="2" t="n">
        <v>100</v>
      </c>
      <c r="EP566" s="2" t="n">
        <v>0.56</v>
      </c>
    </row>
    <row r="567" customFormat="false" ht="15" hidden="false" customHeight="false" outlineLevel="0" collapsed="false">
      <c r="A567" s="2" t="n">
        <v>3</v>
      </c>
      <c r="B567" s="2" t="s">
        <v>1478</v>
      </c>
      <c r="C567" s="2" t="s">
        <v>1459</v>
      </c>
      <c r="D567" s="2" t="s">
        <v>1436</v>
      </c>
      <c r="E567" s="2" t="s">
        <v>1446</v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</v>
      </c>
      <c r="BH567" s="2" t="n">
        <v>1.6</v>
      </c>
      <c r="BI567" s="2" t="n">
        <v>0.56</v>
      </c>
      <c r="BJ567" s="2" t="n">
        <v>0.56</v>
      </c>
      <c r="BK567" s="2" t="n">
        <v>2.12</v>
      </c>
      <c r="BL567" s="2" t="n">
        <v>1.47</v>
      </c>
      <c r="BM567" s="2" t="n">
        <v>0.56</v>
      </c>
      <c r="BN567" s="2" t="n">
        <v>2.64</v>
      </c>
      <c r="BO567" s="2" t="n">
        <v>2.71</v>
      </c>
      <c r="BP567" s="2" t="n">
        <v>0.56</v>
      </c>
      <c r="BQ567" s="2" t="n">
        <v>3.11</v>
      </c>
      <c r="BR567" s="2" t="n">
        <v>3.56</v>
      </c>
      <c r="BS567" s="2" t="n">
        <v>0.56</v>
      </c>
      <c r="BT567" s="2" t="n">
        <v>3.43</v>
      </c>
      <c r="BU567" s="2" t="n">
        <v>4.13</v>
      </c>
      <c r="BV567" s="2" t="n">
        <v>0.56</v>
      </c>
      <c r="BW567" s="2" t="n">
        <v>9.21</v>
      </c>
      <c r="BX567" s="2" t="n">
        <v>8.5</v>
      </c>
      <c r="BY567" s="2" t="n">
        <v>0.56</v>
      </c>
      <c r="BZ567" s="2" t="n">
        <v>16.3</v>
      </c>
      <c r="CA567" s="2" t="n">
        <v>16.52</v>
      </c>
      <c r="CB567" s="2" t="n">
        <v>0.56</v>
      </c>
      <c r="CC567" s="2" t="n">
        <v>24.61</v>
      </c>
      <c r="CD567" s="2" t="n">
        <v>24.38</v>
      </c>
      <c r="CE567" s="2" t="n">
        <v>0.56</v>
      </c>
      <c r="CF567" s="2" t="n">
        <v>32.33</v>
      </c>
      <c r="CG567" s="2" t="n">
        <v>32.31</v>
      </c>
      <c r="CH567" s="2" t="n">
        <v>0.56</v>
      </c>
      <c r="CI567" s="2" t="n">
        <v>40.76</v>
      </c>
      <c r="CJ567" s="2" t="n">
        <v>41.63</v>
      </c>
      <c r="CK567" s="2" t="n">
        <v>0.56</v>
      </c>
      <c r="CL567" s="2" t="n">
        <v>49.29</v>
      </c>
      <c r="CM567" s="2" t="n">
        <v>50.14</v>
      </c>
      <c r="CN567" s="2" t="n">
        <v>0.56</v>
      </c>
      <c r="CO567" s="2" t="n">
        <v>59.01</v>
      </c>
      <c r="CP567" s="2" t="n">
        <v>59.86</v>
      </c>
      <c r="CQ567" s="2" t="n">
        <v>0.56</v>
      </c>
      <c r="CR567" s="2" t="n">
        <v>67.52</v>
      </c>
      <c r="CS567" s="2" t="n">
        <v>67.13</v>
      </c>
      <c r="CT567" s="2" t="n">
        <v>0.56</v>
      </c>
      <c r="CU567" s="2" t="n">
        <v>77.28</v>
      </c>
      <c r="CV567" s="2" t="n">
        <v>75.49</v>
      </c>
      <c r="CW567" s="2" t="n">
        <v>0.56</v>
      </c>
      <c r="CX567" s="2" t="n">
        <v>84.96</v>
      </c>
      <c r="CY567" s="2" t="n">
        <v>82.98</v>
      </c>
      <c r="CZ567" s="2" t="n">
        <v>0.56</v>
      </c>
      <c r="DA567" s="2" t="n">
        <v>92.78</v>
      </c>
      <c r="DB567" s="2" t="n">
        <v>93.84</v>
      </c>
      <c r="DC567" s="2" t="n">
        <v>0.56</v>
      </c>
      <c r="DD567" s="2" t="n">
        <v>93.04</v>
      </c>
      <c r="DE567" s="2" t="n">
        <v>94.65</v>
      </c>
      <c r="DF567" s="2" t="n">
        <v>0.56</v>
      </c>
      <c r="DG567" s="2" t="n">
        <v>93.23</v>
      </c>
      <c r="DH567" s="2" t="n">
        <v>96.01</v>
      </c>
      <c r="DI567" s="2" t="n">
        <v>0.56</v>
      </c>
      <c r="DJ567" s="2" t="n">
        <v>94.66</v>
      </c>
      <c r="DK567" s="2" t="n">
        <v>97.19</v>
      </c>
      <c r="DL567" s="2" t="n">
        <v>0.56</v>
      </c>
      <c r="DM567" s="2" t="n">
        <v>96.12</v>
      </c>
      <c r="DN567" s="2" t="n">
        <v>98.56</v>
      </c>
      <c r="DO567" s="2" t="n">
        <v>0.56</v>
      </c>
      <c r="DP567" s="2" t="n">
        <v>97.45</v>
      </c>
      <c r="DQ567" s="2" t="n">
        <v>98.73</v>
      </c>
      <c r="DR567" s="2" t="n">
        <v>0.56</v>
      </c>
      <c r="DS567" s="2" t="n">
        <v>98.81</v>
      </c>
      <c r="DT567" s="2" t="n">
        <v>98.89</v>
      </c>
      <c r="DU567" s="2" t="n">
        <v>0.56</v>
      </c>
      <c r="DV567" s="2" t="n">
        <v>98.99</v>
      </c>
      <c r="DW567" s="2" t="n">
        <v>98.89</v>
      </c>
      <c r="DX567" s="2" t="n">
        <v>0.56</v>
      </c>
      <c r="DY567" s="2" t="n">
        <v>99.7</v>
      </c>
      <c r="DZ567" s="2" t="n">
        <v>99.56</v>
      </c>
      <c r="EA567" s="2" t="n">
        <v>0.56</v>
      </c>
      <c r="EB567" s="2" t="n">
        <v>100</v>
      </c>
      <c r="EC567" s="2" t="n">
        <v>100</v>
      </c>
      <c r="ED567" s="2" t="n">
        <v>0.56</v>
      </c>
      <c r="EE567" s="2" t="n">
        <v>100</v>
      </c>
      <c r="EF567" s="2" t="n">
        <v>100</v>
      </c>
      <c r="EG567" s="2" t="n">
        <v>0.56</v>
      </c>
      <c r="EH567" s="2" t="n">
        <v>100</v>
      </c>
      <c r="EI567" s="2" t="n">
        <v>100</v>
      </c>
      <c r="EJ567" s="2" t="n">
        <v>0.56</v>
      </c>
      <c r="EK567" s="2" t="n">
        <v>100</v>
      </c>
      <c r="EL567" s="2" t="n">
        <v>100</v>
      </c>
      <c r="EM567" s="2" t="n">
        <v>0.56</v>
      </c>
      <c r="EN567" s="2" t="n">
        <v>100</v>
      </c>
      <c r="EO567" s="2" t="n">
        <v>100</v>
      </c>
      <c r="EP567" s="2" t="n">
        <v>0.56</v>
      </c>
    </row>
    <row r="568" customFormat="false" ht="15" hidden="false" customHeight="false" outlineLevel="0" collapsed="false">
      <c r="A568" s="2" t="n">
        <v>2</v>
      </c>
      <c r="B568" s="2" t="s">
        <v>1479</v>
      </c>
      <c r="C568" s="2" t="s">
        <v>1480</v>
      </c>
      <c r="D568" s="2" t="s">
        <v>1436</v>
      </c>
      <c r="E568" s="2" t="s">
        <v>1446</v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79.07</v>
      </c>
      <c r="CW568" s="2" t="n">
        <v>0.41</v>
      </c>
      <c r="CX568" s="2" t="n">
        <v>85.69</v>
      </c>
      <c r="CY568" s="2" t="n">
        <v>85.07</v>
      </c>
      <c r="CZ568" s="2" t="n">
        <v>0.41</v>
      </c>
      <c r="DA568" s="2" t="n">
        <v>92.95</v>
      </c>
      <c r="DB568" s="2" t="n">
        <v>94.82</v>
      </c>
      <c r="DC568" s="2" t="n">
        <v>0.41</v>
      </c>
      <c r="DD568" s="2" t="n">
        <v>93.51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</v>
      </c>
      <c r="DK568" s="2" t="n">
        <v>97.62</v>
      </c>
      <c r="DL568" s="2" t="n">
        <v>0.41</v>
      </c>
      <c r="DM568" s="2" t="n">
        <v>96.85</v>
      </c>
      <c r="DN568" s="2" t="n">
        <v>99.4</v>
      </c>
      <c r="DO568" s="2" t="n">
        <v>0.41</v>
      </c>
      <c r="DP568" s="2" t="n">
        <v>98.07</v>
      </c>
      <c r="DQ568" s="2" t="n">
        <v>99.64</v>
      </c>
      <c r="DR568" s="2" t="n">
        <v>0.41</v>
      </c>
      <c r="DS568" s="2" t="n">
        <v>99.76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99.96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 customFormat="false" ht="15" hidden="false" customHeight="false" outlineLevel="0" collapsed="false">
      <c r="A569" s="2" t="n">
        <v>3</v>
      </c>
      <c r="B569" s="2" t="s">
        <v>1481</v>
      </c>
      <c r="C569" s="2" t="s">
        <v>1482</v>
      </c>
      <c r="D569" s="2" t="s">
        <v>1453</v>
      </c>
      <c r="E569" s="2" t="s">
        <v>1442</v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</v>
      </c>
      <c r="CP569" s="2" t="n">
        <v>77.4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94.82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 customFormat="false" ht="15" hidden="false" customHeight="false" outlineLevel="0" collapsed="false">
      <c r="A570" s="2" t="n">
        <v>3</v>
      </c>
      <c r="B570" s="2" t="s">
        <v>1483</v>
      </c>
      <c r="C570" s="2" t="s">
        <v>1484</v>
      </c>
      <c r="D570" s="2" t="s">
        <v>1436</v>
      </c>
      <c r="E570" s="2" t="s">
        <v>1446</v>
      </c>
      <c r="F570" s="2" t="n">
        <v>541734.15114</v>
      </c>
      <c r="G570" s="2" t="n">
        <v>0</v>
      </c>
      <c r="H570" s="2" t="n">
        <v>541734.15114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0.94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67.85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82.35</v>
      </c>
      <c r="CZ570" s="2" t="n">
        <v>0.54</v>
      </c>
      <c r="DA570" s="2" t="n">
        <v>92.32</v>
      </c>
      <c r="DB570" s="2" t="n">
        <v>93.09</v>
      </c>
      <c r="DC570" s="2" t="n">
        <v>0.54</v>
      </c>
      <c r="DD570" s="2" t="n">
        <v>92.71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94.35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 customFormat="false" ht="15" hidden="false" customHeight="false" outlineLevel="0" collapsed="false">
      <c r="A571" s="2" t="n">
        <v>3</v>
      </c>
      <c r="B571" s="2" t="s">
        <v>1485</v>
      </c>
      <c r="C571" s="2" t="s">
        <v>1459</v>
      </c>
      <c r="D571" s="2" t="s">
        <v>1436</v>
      </c>
      <c r="E571" s="2" t="s">
        <v>1446</v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0.94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67.85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82.35</v>
      </c>
      <c r="CZ571" s="2" t="n">
        <v>0.54</v>
      </c>
      <c r="DA571" s="2" t="n">
        <v>92.32</v>
      </c>
      <c r="DB571" s="2" t="n">
        <v>93.09</v>
      </c>
      <c r="DC571" s="2" t="n">
        <v>0.54</v>
      </c>
      <c r="DD571" s="2" t="n">
        <v>92.71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94.35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 customFormat="false" ht="15" hidden="false" customHeight="false" outlineLevel="0" collapsed="false">
      <c r="A572" s="2" t="n">
        <v>1</v>
      </c>
      <c r="B572" s="2" t="s">
        <v>173</v>
      </c>
      <c r="C572" s="2" t="s">
        <v>174</v>
      </c>
      <c r="D572" s="2" t="s">
        <v>1486</v>
      </c>
      <c r="E572" s="2" t="s">
        <v>1487</v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</v>
      </c>
      <c r="DB572" s="2" t="n">
        <v>70.51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</v>
      </c>
      <c r="DI572" s="2" t="n">
        <v>0</v>
      </c>
      <c r="DJ572" s="2" t="n">
        <v>73.43</v>
      </c>
      <c r="DK572" s="2" t="n">
        <v>72.76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82.57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97.32</v>
      </c>
      <c r="EC572" s="2" t="n">
        <v>94.35</v>
      </c>
      <c r="ED572" s="2" t="n">
        <v>0</v>
      </c>
      <c r="EE572" s="2" t="n">
        <v>99.49</v>
      </c>
      <c r="EF572" s="2" t="n">
        <v>96.76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 customFormat="false" ht="15" hidden="false" customHeight="false" outlineLevel="0" collapsed="false">
      <c r="A573" s="2" t="n">
        <v>2</v>
      </c>
      <c r="B573" s="2" t="s">
        <v>1488</v>
      </c>
      <c r="C573" s="2" t="s">
        <v>1489</v>
      </c>
      <c r="D573" s="2" t="s">
        <v>1486</v>
      </c>
      <c r="E573" s="2" t="s">
        <v>1487</v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</v>
      </c>
      <c r="DB573" s="2" t="n">
        <v>70.51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</v>
      </c>
      <c r="DI573" s="2" t="n">
        <v>0</v>
      </c>
      <c r="DJ573" s="2" t="n">
        <v>73.43</v>
      </c>
      <c r="DK573" s="2" t="n">
        <v>72.76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82.57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97.32</v>
      </c>
      <c r="EC573" s="2" t="n">
        <v>94.35</v>
      </c>
      <c r="ED573" s="2" t="n">
        <v>0</v>
      </c>
      <c r="EE573" s="2" t="n">
        <v>99.49</v>
      </c>
      <c r="EF573" s="2" t="n">
        <v>96.76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 customFormat="false" ht="15" hidden="false" customHeight="false" outlineLevel="0" collapsed="false">
      <c r="A574" s="2" t="n">
        <v>3</v>
      </c>
      <c r="B574" s="2" t="s">
        <v>1490</v>
      </c>
      <c r="C574" s="2" t="s">
        <v>1491</v>
      </c>
      <c r="D574" s="2" t="s">
        <v>1492</v>
      </c>
      <c r="E574" s="2" t="s">
        <v>1493</v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72.71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91.32</v>
      </c>
      <c r="CY574" s="2" t="n">
        <v>95.98</v>
      </c>
      <c r="CZ574" s="2" t="n">
        <v>0</v>
      </c>
      <c r="DA574" s="2" t="n">
        <v>94.82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 customFormat="false" ht="15" hidden="false" customHeight="false" outlineLevel="0" collapsed="false">
      <c r="A575" s="2" t="n">
        <v>3</v>
      </c>
      <c r="B575" s="2" t="s">
        <v>1494</v>
      </c>
      <c r="C575" s="2" t="s">
        <v>1455</v>
      </c>
      <c r="D575" s="2" t="s">
        <v>1486</v>
      </c>
      <c r="E575" s="2" t="s">
        <v>1495</v>
      </c>
      <c r="F575" s="2" t="n">
        <v>481541.46768</v>
      </c>
      <c r="G575" s="2" t="n">
        <v>0</v>
      </c>
      <c r="H575" s="2" t="n">
        <v>481541.46768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</v>
      </c>
      <c r="CQ575" s="2" t="n">
        <v>0</v>
      </c>
      <c r="CR575" s="2" t="n">
        <v>86.86</v>
      </c>
      <c r="CS575" s="2" t="n">
        <v>88.96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</v>
      </c>
      <c r="DB575" s="2" t="n">
        <v>98.31</v>
      </c>
      <c r="DC575" s="2" t="n">
        <v>0</v>
      </c>
      <c r="DD575" s="2" t="n">
        <v>95.22</v>
      </c>
      <c r="DE575" s="2" t="n">
        <v>98.51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 customFormat="false" ht="15" hidden="false" customHeight="false" outlineLevel="0" collapsed="false">
      <c r="A576" s="2" t="n">
        <v>3</v>
      </c>
      <c r="B576" s="2" t="s">
        <v>1496</v>
      </c>
      <c r="C576" s="2" t="s">
        <v>1497</v>
      </c>
      <c r="D576" s="2" t="s">
        <v>1498</v>
      </c>
      <c r="E576" s="2" t="s">
        <v>1487</v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</v>
      </c>
      <c r="DZ576" s="2" t="n">
        <v>71.23</v>
      </c>
      <c r="EA576" s="2" t="n">
        <v>0</v>
      </c>
      <c r="EB576" s="2" t="n">
        <v>91.07</v>
      </c>
      <c r="EC576" s="2" t="n">
        <v>81.18</v>
      </c>
      <c r="ED576" s="2" t="n">
        <v>0</v>
      </c>
      <c r="EE576" s="2" t="n">
        <v>98.3</v>
      </c>
      <c r="EF576" s="2" t="n">
        <v>89.21</v>
      </c>
      <c r="EG576" s="2" t="n">
        <v>0</v>
      </c>
      <c r="EH576" s="2" t="n">
        <v>100</v>
      </c>
      <c r="EI576" s="2" t="n">
        <v>98.32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 customFormat="false" ht="15" hidden="false" customHeight="false" outlineLevel="0" collapsed="false">
      <c r="A577" s="2" t="n">
        <v>3</v>
      </c>
      <c r="B577" s="2" t="s">
        <v>1499</v>
      </c>
      <c r="C577" s="2" t="s">
        <v>1500</v>
      </c>
      <c r="D577" s="2" t="s">
        <v>1498</v>
      </c>
      <c r="E577" s="2" t="s">
        <v>1487</v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</v>
      </c>
      <c r="DZ577" s="2" t="n">
        <v>71.23</v>
      </c>
      <c r="EA577" s="2" t="n">
        <v>0</v>
      </c>
      <c r="EB577" s="2" t="n">
        <v>91.07</v>
      </c>
      <c r="EC577" s="2" t="n">
        <v>81.18</v>
      </c>
      <c r="ED577" s="2" t="n">
        <v>0</v>
      </c>
      <c r="EE577" s="2" t="n">
        <v>98.3</v>
      </c>
      <c r="EF577" s="2" t="n">
        <v>89.21</v>
      </c>
      <c r="EG577" s="2" t="n">
        <v>0</v>
      </c>
      <c r="EH577" s="2" t="n">
        <v>100</v>
      </c>
      <c r="EI577" s="2" t="n">
        <v>98.32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 customFormat="false" ht="15" hidden="false" customHeight="false" outlineLevel="0" collapsed="false">
      <c r="A578" s="2" t="n">
        <v>3</v>
      </c>
      <c r="B578" s="2" t="s">
        <v>1501</v>
      </c>
      <c r="C578" s="2" t="s">
        <v>1502</v>
      </c>
      <c r="D578" s="2" t="s">
        <v>1498</v>
      </c>
      <c r="E578" s="2" t="s">
        <v>1487</v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</v>
      </c>
      <c r="DZ578" s="2" t="n">
        <v>71.23</v>
      </c>
      <c r="EA578" s="2" t="n">
        <v>0</v>
      </c>
      <c r="EB578" s="2" t="n">
        <v>91.07</v>
      </c>
      <c r="EC578" s="2" t="n">
        <v>81.18</v>
      </c>
      <c r="ED578" s="2" t="n">
        <v>0</v>
      </c>
      <c r="EE578" s="2" t="n">
        <v>98.3</v>
      </c>
      <c r="EF578" s="2" t="n">
        <v>89.21</v>
      </c>
      <c r="EG578" s="2" t="n">
        <v>0</v>
      </c>
      <c r="EH578" s="2" t="n">
        <v>100</v>
      </c>
      <c r="EI578" s="2" t="n">
        <v>98.32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 customFormat="false" ht="15" hidden="false" customHeight="false" outlineLevel="0" collapsed="false">
      <c r="A579" s="2" t="n">
        <v>1</v>
      </c>
      <c r="B579" s="2" t="s">
        <v>176</v>
      </c>
      <c r="C579" s="2" t="s">
        <v>177</v>
      </c>
      <c r="D579" s="2" t="s">
        <v>1380</v>
      </c>
      <c r="E579" s="2" t="s">
        <v>1503</v>
      </c>
      <c r="F579" s="2" t="n">
        <v>3502731.95202306</v>
      </c>
      <c r="G579" s="2" t="n">
        <v>0</v>
      </c>
      <c r="H579" s="2" t="n">
        <v>3502731.95202306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8.7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74.35</v>
      </c>
      <c r="DF579" s="2" t="n">
        <v>0</v>
      </c>
      <c r="DG579" s="2" t="n">
        <v>76.01</v>
      </c>
      <c r="DH579" s="2" t="n">
        <v>77.02</v>
      </c>
      <c r="DI579" s="2" t="n">
        <v>0</v>
      </c>
      <c r="DJ579" s="2" t="n">
        <v>77.99</v>
      </c>
      <c r="DK579" s="2" t="n">
        <v>79.19</v>
      </c>
      <c r="DL579" s="2" t="n">
        <v>0</v>
      </c>
      <c r="DM579" s="2" t="n">
        <v>80.07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</v>
      </c>
      <c r="DT579" s="2" t="n">
        <v>84.11</v>
      </c>
      <c r="DU579" s="2" t="n">
        <v>0</v>
      </c>
      <c r="DV579" s="2" t="n">
        <v>85.51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90.71</v>
      </c>
      <c r="EC579" s="2" t="n">
        <v>90.51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 customFormat="false" ht="15" hidden="false" customHeight="false" outlineLevel="0" collapsed="false">
      <c r="A580" s="2" t="n">
        <v>2</v>
      </c>
      <c r="B580" s="2" t="s">
        <v>1504</v>
      </c>
      <c r="C580" s="2" t="s">
        <v>1425</v>
      </c>
      <c r="D580" s="2" t="s">
        <v>1380</v>
      </c>
      <c r="E580" s="2" t="s">
        <v>1505</v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85.71</v>
      </c>
      <c r="CM580" s="2" t="n">
        <v>77.14</v>
      </c>
      <c r="CN580" s="2" t="n">
        <v>0</v>
      </c>
      <c r="CO580" s="2" t="n">
        <v>85.71</v>
      </c>
      <c r="CP580" s="2" t="n">
        <v>84.13</v>
      </c>
      <c r="CQ580" s="2" t="n">
        <v>0</v>
      </c>
      <c r="CR580" s="2" t="n">
        <v>85.71</v>
      </c>
      <c r="CS580" s="2" t="n">
        <v>85.71</v>
      </c>
      <c r="CT580" s="2" t="n">
        <v>0</v>
      </c>
      <c r="CU580" s="2" t="n">
        <v>91.43</v>
      </c>
      <c r="CV580" s="2" t="n">
        <v>88.57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 customFormat="false" ht="15" hidden="false" customHeight="false" outlineLevel="0" collapsed="false">
      <c r="A581" s="2" t="n">
        <v>3</v>
      </c>
      <c r="B581" s="2" t="s">
        <v>1506</v>
      </c>
      <c r="C581" s="2" t="s">
        <v>1507</v>
      </c>
      <c r="D581" s="2" t="s">
        <v>1380</v>
      </c>
      <c r="E581" s="2" t="s">
        <v>1505</v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85.71</v>
      </c>
      <c r="CM581" s="2" t="n">
        <v>77.14</v>
      </c>
      <c r="CN581" s="2" t="n">
        <v>0</v>
      </c>
      <c r="CO581" s="2" t="n">
        <v>85.71</v>
      </c>
      <c r="CP581" s="2" t="n">
        <v>84.13</v>
      </c>
      <c r="CQ581" s="2" t="n">
        <v>0</v>
      </c>
      <c r="CR581" s="2" t="n">
        <v>85.71</v>
      </c>
      <c r="CS581" s="2" t="n">
        <v>85.71</v>
      </c>
      <c r="CT581" s="2" t="n">
        <v>0</v>
      </c>
      <c r="CU581" s="2" t="n">
        <v>91.43</v>
      </c>
      <c r="CV581" s="2" t="n">
        <v>88.57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 customFormat="false" ht="15" hidden="false" customHeight="false" outlineLevel="0" collapsed="false">
      <c r="A582" s="2" t="n">
        <v>3</v>
      </c>
      <c r="B582" s="2" t="s">
        <v>1508</v>
      </c>
      <c r="C582" s="2" t="s">
        <v>1509</v>
      </c>
      <c r="D582" s="2" t="s">
        <v>1380</v>
      </c>
      <c r="E582" s="2" t="s">
        <v>1505</v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85.71</v>
      </c>
      <c r="CM582" s="2" t="n">
        <v>77.14</v>
      </c>
      <c r="CN582" s="2" t="n">
        <v>0</v>
      </c>
      <c r="CO582" s="2" t="n">
        <v>85.71</v>
      </c>
      <c r="CP582" s="2" t="n">
        <v>84.13</v>
      </c>
      <c r="CQ582" s="2" t="n">
        <v>0</v>
      </c>
      <c r="CR582" s="2" t="n">
        <v>85.71</v>
      </c>
      <c r="CS582" s="2" t="n">
        <v>85.71</v>
      </c>
      <c r="CT582" s="2" t="n">
        <v>0</v>
      </c>
      <c r="CU582" s="2" t="n">
        <v>91.43</v>
      </c>
      <c r="CV582" s="2" t="n">
        <v>88.57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 customFormat="false" ht="15" hidden="false" customHeight="false" outlineLevel="0" collapsed="false">
      <c r="A583" s="2" t="n">
        <v>2</v>
      </c>
      <c r="B583" s="2" t="s">
        <v>1510</v>
      </c>
      <c r="C583" s="2" t="s">
        <v>1511</v>
      </c>
      <c r="D583" s="2" t="s">
        <v>1401</v>
      </c>
      <c r="E583" s="2" t="s">
        <v>1495</v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76.85</v>
      </c>
      <c r="CV583" s="2" t="n">
        <v>75.35</v>
      </c>
      <c r="CW583" s="2" t="n">
        <v>0</v>
      </c>
      <c r="CX583" s="2" t="n">
        <v>85.32</v>
      </c>
      <c r="CY583" s="2" t="n">
        <v>83.02</v>
      </c>
      <c r="CZ583" s="2" t="n">
        <v>0</v>
      </c>
      <c r="DA583" s="2" t="n">
        <v>91.32</v>
      </c>
      <c r="DB583" s="2" t="n">
        <v>92.51</v>
      </c>
      <c r="DC583" s="2" t="n">
        <v>0</v>
      </c>
      <c r="DD583" s="2" t="n">
        <v>91.32</v>
      </c>
      <c r="DE583" s="2" t="n">
        <v>93.36</v>
      </c>
      <c r="DF583" s="2" t="n">
        <v>0</v>
      </c>
      <c r="DG583" s="2" t="n">
        <v>91.32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 customFormat="false" ht="15" hidden="false" customHeight="false" outlineLevel="0" collapsed="false">
      <c r="A584" s="2" t="n">
        <v>3</v>
      </c>
      <c r="B584" s="2" t="s">
        <v>1512</v>
      </c>
      <c r="C584" s="2" t="s">
        <v>1513</v>
      </c>
      <c r="D584" s="2" t="s">
        <v>1401</v>
      </c>
      <c r="E584" s="2" t="s">
        <v>1495</v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76.85</v>
      </c>
      <c r="CV584" s="2" t="n">
        <v>75.35</v>
      </c>
      <c r="CW584" s="2" t="n">
        <v>0</v>
      </c>
      <c r="CX584" s="2" t="n">
        <v>85.32</v>
      </c>
      <c r="CY584" s="2" t="n">
        <v>83.02</v>
      </c>
      <c r="CZ584" s="2" t="n">
        <v>0</v>
      </c>
      <c r="DA584" s="2" t="n">
        <v>91.32</v>
      </c>
      <c r="DB584" s="2" t="n">
        <v>92.51</v>
      </c>
      <c r="DC584" s="2" t="n">
        <v>0</v>
      </c>
      <c r="DD584" s="2" t="n">
        <v>91.32</v>
      </c>
      <c r="DE584" s="2" t="n">
        <v>93.36</v>
      </c>
      <c r="DF584" s="2" t="n">
        <v>0</v>
      </c>
      <c r="DG584" s="2" t="n">
        <v>91.32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 customFormat="false" ht="15" hidden="false" customHeight="false" outlineLevel="0" collapsed="false">
      <c r="A585" s="2" t="n">
        <v>3</v>
      </c>
      <c r="B585" s="2" t="s">
        <v>1514</v>
      </c>
      <c r="C585" s="2" t="s">
        <v>1515</v>
      </c>
      <c r="D585" s="2" t="s">
        <v>1401</v>
      </c>
      <c r="E585" s="2" t="s">
        <v>1495</v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76.85</v>
      </c>
      <c r="CV585" s="2" t="n">
        <v>75.35</v>
      </c>
      <c r="CW585" s="2" t="n">
        <v>0</v>
      </c>
      <c r="CX585" s="2" t="n">
        <v>85.32</v>
      </c>
      <c r="CY585" s="2" t="n">
        <v>83.02</v>
      </c>
      <c r="CZ585" s="2" t="n">
        <v>0</v>
      </c>
      <c r="DA585" s="2" t="n">
        <v>91.32</v>
      </c>
      <c r="DB585" s="2" t="n">
        <v>92.51</v>
      </c>
      <c r="DC585" s="2" t="n">
        <v>0</v>
      </c>
      <c r="DD585" s="2" t="n">
        <v>91.32</v>
      </c>
      <c r="DE585" s="2" t="n">
        <v>93.36</v>
      </c>
      <c r="DF585" s="2" t="n">
        <v>0</v>
      </c>
      <c r="DG585" s="2" t="n">
        <v>91.32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 customFormat="false" ht="15" hidden="false" customHeight="false" outlineLevel="0" collapsed="false">
      <c r="A586" s="2" t="n">
        <v>3</v>
      </c>
      <c r="B586" s="2" t="s">
        <v>1516</v>
      </c>
      <c r="C586" s="2" t="s">
        <v>1517</v>
      </c>
      <c r="D586" s="2" t="s">
        <v>1401</v>
      </c>
      <c r="E586" s="2" t="s">
        <v>1495</v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76.85</v>
      </c>
      <c r="CV586" s="2" t="n">
        <v>75.35</v>
      </c>
      <c r="CW586" s="2" t="n">
        <v>0</v>
      </c>
      <c r="CX586" s="2" t="n">
        <v>85.32</v>
      </c>
      <c r="CY586" s="2" t="n">
        <v>83.02</v>
      </c>
      <c r="CZ586" s="2" t="n">
        <v>0</v>
      </c>
      <c r="DA586" s="2" t="n">
        <v>91.32</v>
      </c>
      <c r="DB586" s="2" t="n">
        <v>92.51</v>
      </c>
      <c r="DC586" s="2" t="n">
        <v>0</v>
      </c>
      <c r="DD586" s="2" t="n">
        <v>91.32</v>
      </c>
      <c r="DE586" s="2" t="n">
        <v>93.36</v>
      </c>
      <c r="DF586" s="2" t="n">
        <v>0</v>
      </c>
      <c r="DG586" s="2" t="n">
        <v>91.32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 customFormat="false" ht="15" hidden="false" customHeight="false" outlineLevel="0" collapsed="false">
      <c r="A587" s="2" t="n">
        <v>3</v>
      </c>
      <c r="B587" s="2" t="s">
        <v>1518</v>
      </c>
      <c r="C587" s="2" t="s">
        <v>1519</v>
      </c>
      <c r="D587" s="2" t="s">
        <v>1401</v>
      </c>
      <c r="E587" s="2" t="s">
        <v>1495</v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76.85</v>
      </c>
      <c r="CV587" s="2" t="n">
        <v>75.35</v>
      </c>
      <c r="CW587" s="2" t="n">
        <v>0</v>
      </c>
      <c r="CX587" s="2" t="n">
        <v>85.32</v>
      </c>
      <c r="CY587" s="2" t="n">
        <v>83.02</v>
      </c>
      <c r="CZ587" s="2" t="n">
        <v>0</v>
      </c>
      <c r="DA587" s="2" t="n">
        <v>91.32</v>
      </c>
      <c r="DB587" s="2" t="n">
        <v>92.51</v>
      </c>
      <c r="DC587" s="2" t="n">
        <v>0</v>
      </c>
      <c r="DD587" s="2" t="n">
        <v>91.32</v>
      </c>
      <c r="DE587" s="2" t="n">
        <v>93.36</v>
      </c>
      <c r="DF587" s="2" t="n">
        <v>0</v>
      </c>
      <c r="DG587" s="2" t="n">
        <v>91.32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 customFormat="false" ht="15" hidden="false" customHeight="false" outlineLevel="0" collapsed="false">
      <c r="A588" s="2" t="n">
        <v>2</v>
      </c>
      <c r="B588" s="2" t="s">
        <v>1520</v>
      </c>
      <c r="C588" s="2" t="s">
        <v>1521</v>
      </c>
      <c r="D588" s="2" t="s">
        <v>1380</v>
      </c>
      <c r="E588" s="2" t="s">
        <v>1505</v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90.49</v>
      </c>
      <c r="CN588" s="2" t="n">
        <v>0</v>
      </c>
      <c r="CO588" s="2" t="n">
        <v>99.39</v>
      </c>
      <c r="CP588" s="2" t="n">
        <v>97.74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 customFormat="false" ht="15" hidden="false" customHeight="false" outlineLevel="0" collapsed="false">
      <c r="A589" s="2" t="n">
        <v>3</v>
      </c>
      <c r="B589" s="2" t="s">
        <v>1522</v>
      </c>
      <c r="C589" s="2" t="s">
        <v>1523</v>
      </c>
      <c r="D589" s="2" t="s">
        <v>1380</v>
      </c>
      <c r="E589" s="2" t="s">
        <v>1505</v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90.49</v>
      </c>
      <c r="CN589" s="2" t="n">
        <v>0</v>
      </c>
      <c r="CO589" s="2" t="n">
        <v>99.39</v>
      </c>
      <c r="CP589" s="2" t="n">
        <v>97.74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 customFormat="false" ht="15" hidden="false" customHeight="false" outlineLevel="0" collapsed="false">
      <c r="A590" s="2" t="n">
        <v>3</v>
      </c>
      <c r="B590" s="2" t="s">
        <v>1524</v>
      </c>
      <c r="C590" s="2" t="s">
        <v>1525</v>
      </c>
      <c r="D590" s="2" t="s">
        <v>1380</v>
      </c>
      <c r="E590" s="2" t="s">
        <v>1505</v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90.49</v>
      </c>
      <c r="CN590" s="2" t="n">
        <v>0</v>
      </c>
      <c r="CO590" s="2" t="n">
        <v>99.39</v>
      </c>
      <c r="CP590" s="2" t="n">
        <v>97.74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 customFormat="false" ht="15" hidden="false" customHeight="false" outlineLevel="0" collapsed="false">
      <c r="A591" s="2" t="n">
        <v>3</v>
      </c>
      <c r="B591" s="2" t="s">
        <v>1526</v>
      </c>
      <c r="C591" s="2" t="s">
        <v>1527</v>
      </c>
      <c r="D591" s="2" t="s">
        <v>1380</v>
      </c>
      <c r="E591" s="2" t="s">
        <v>1505</v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90.49</v>
      </c>
      <c r="CN591" s="2" t="n">
        <v>0</v>
      </c>
      <c r="CO591" s="2" t="n">
        <v>99.39</v>
      </c>
      <c r="CP591" s="2" t="n">
        <v>97.74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 customFormat="false" ht="15" hidden="false" customHeight="false" outlineLevel="0" collapsed="false">
      <c r="A592" s="2" t="n">
        <v>3</v>
      </c>
      <c r="B592" s="2" t="s">
        <v>1528</v>
      </c>
      <c r="C592" s="2" t="s">
        <v>1529</v>
      </c>
      <c r="D592" s="2" t="s">
        <v>1380</v>
      </c>
      <c r="E592" s="2" t="s">
        <v>1505</v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90.49</v>
      </c>
      <c r="CN592" s="2" t="n">
        <v>0</v>
      </c>
      <c r="CO592" s="2" t="n">
        <v>99.39</v>
      </c>
      <c r="CP592" s="2" t="n">
        <v>97.74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 customFormat="false" ht="15" hidden="false" customHeight="false" outlineLevel="0" collapsed="false">
      <c r="A593" s="2" t="n">
        <v>3</v>
      </c>
      <c r="B593" s="2" t="s">
        <v>1530</v>
      </c>
      <c r="C593" s="2" t="s">
        <v>1531</v>
      </c>
      <c r="D593" s="2" t="s">
        <v>1380</v>
      </c>
      <c r="E593" s="2" t="s">
        <v>1505</v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90.49</v>
      </c>
      <c r="CN593" s="2" t="n">
        <v>0</v>
      </c>
      <c r="CO593" s="2" t="n">
        <v>99.39</v>
      </c>
      <c r="CP593" s="2" t="n">
        <v>97.74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 customFormat="false" ht="15" hidden="false" customHeight="false" outlineLevel="0" collapsed="false">
      <c r="A594" s="2" t="n">
        <v>3</v>
      </c>
      <c r="B594" s="2" t="s">
        <v>1532</v>
      </c>
      <c r="C594" s="2" t="s">
        <v>1533</v>
      </c>
      <c r="D594" s="2" t="s">
        <v>1380</v>
      </c>
      <c r="E594" s="2" t="s">
        <v>1505</v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90.49</v>
      </c>
      <c r="CN594" s="2" t="n">
        <v>0</v>
      </c>
      <c r="CO594" s="2" t="n">
        <v>99.39</v>
      </c>
      <c r="CP594" s="2" t="n">
        <v>97.74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 customFormat="false" ht="15" hidden="false" customHeight="false" outlineLevel="0" collapsed="false">
      <c r="A595" s="2" t="n">
        <v>3</v>
      </c>
      <c r="B595" s="2" t="s">
        <v>1534</v>
      </c>
      <c r="C595" s="2" t="s">
        <v>1535</v>
      </c>
      <c r="D595" s="2" t="s">
        <v>1380</v>
      </c>
      <c r="E595" s="2" t="s">
        <v>1505</v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90.49</v>
      </c>
      <c r="CN595" s="2" t="n">
        <v>0</v>
      </c>
      <c r="CO595" s="2" t="n">
        <v>99.39</v>
      </c>
      <c r="CP595" s="2" t="n">
        <v>97.74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 customFormat="false" ht="15" hidden="false" customHeight="false" outlineLevel="0" collapsed="false">
      <c r="A596" s="2" t="n">
        <v>3</v>
      </c>
      <c r="B596" s="2" t="s">
        <v>1536</v>
      </c>
      <c r="C596" s="2" t="s">
        <v>1537</v>
      </c>
      <c r="D596" s="2" t="s">
        <v>1380</v>
      </c>
      <c r="E596" s="2" t="s">
        <v>1505</v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90.49</v>
      </c>
      <c r="CN596" s="2" t="n">
        <v>0</v>
      </c>
      <c r="CO596" s="2" t="n">
        <v>99.39</v>
      </c>
      <c r="CP596" s="2" t="n">
        <v>97.74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 customFormat="false" ht="15" hidden="false" customHeight="false" outlineLevel="0" collapsed="false">
      <c r="A597" s="2" t="n">
        <v>3</v>
      </c>
      <c r="B597" s="2" t="s">
        <v>1538</v>
      </c>
      <c r="C597" s="2" t="s">
        <v>1539</v>
      </c>
      <c r="D597" s="2" t="s">
        <v>1380</v>
      </c>
      <c r="E597" s="2" t="s">
        <v>1505</v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90.49</v>
      </c>
      <c r="CN597" s="2" t="n">
        <v>0</v>
      </c>
      <c r="CO597" s="2" t="n">
        <v>99.39</v>
      </c>
      <c r="CP597" s="2" t="n">
        <v>97.74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 customFormat="false" ht="15" hidden="false" customHeight="false" outlineLevel="0" collapsed="false">
      <c r="A598" s="2" t="n">
        <v>3</v>
      </c>
      <c r="B598" s="2" t="s">
        <v>1540</v>
      </c>
      <c r="C598" s="2" t="s">
        <v>1541</v>
      </c>
      <c r="D598" s="2" t="s">
        <v>1380</v>
      </c>
      <c r="E598" s="2" t="s">
        <v>1505</v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90.49</v>
      </c>
      <c r="CN598" s="2" t="n">
        <v>0</v>
      </c>
      <c r="CO598" s="2" t="n">
        <v>99.39</v>
      </c>
      <c r="CP598" s="2" t="n">
        <v>97.74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 customFormat="false" ht="15" hidden="false" customHeight="false" outlineLevel="0" collapsed="false">
      <c r="A599" s="2" t="n">
        <v>3</v>
      </c>
      <c r="B599" s="2" t="s">
        <v>1542</v>
      </c>
      <c r="C599" s="2" t="s">
        <v>1543</v>
      </c>
      <c r="D599" s="2" t="s">
        <v>1380</v>
      </c>
      <c r="E599" s="2" t="s">
        <v>1505</v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90.49</v>
      </c>
      <c r="CN599" s="2" t="n">
        <v>0</v>
      </c>
      <c r="CO599" s="2" t="n">
        <v>99.39</v>
      </c>
      <c r="CP599" s="2" t="n">
        <v>97.74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 customFormat="false" ht="15" hidden="false" customHeight="false" outlineLevel="0" collapsed="false">
      <c r="A600" s="2" t="n">
        <v>3</v>
      </c>
      <c r="B600" s="2" t="s">
        <v>1544</v>
      </c>
      <c r="C600" s="2" t="s">
        <v>1545</v>
      </c>
      <c r="D600" s="2" t="s">
        <v>1380</v>
      </c>
      <c r="E600" s="2" t="s">
        <v>1505</v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90.49</v>
      </c>
      <c r="CN600" s="2" t="n">
        <v>0</v>
      </c>
      <c r="CO600" s="2" t="n">
        <v>99.39</v>
      </c>
      <c r="CP600" s="2" t="n">
        <v>97.74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 customFormat="false" ht="15" hidden="false" customHeight="false" outlineLevel="0" collapsed="false">
      <c r="A601" s="2" t="n">
        <v>3</v>
      </c>
      <c r="B601" s="2" t="s">
        <v>1546</v>
      </c>
      <c r="C601" s="2" t="s">
        <v>1547</v>
      </c>
      <c r="D601" s="2" t="s">
        <v>1380</v>
      </c>
      <c r="E601" s="2" t="s">
        <v>1505</v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90.49</v>
      </c>
      <c r="CN601" s="2" t="n">
        <v>0</v>
      </c>
      <c r="CO601" s="2" t="n">
        <v>99.39</v>
      </c>
      <c r="CP601" s="2" t="n">
        <v>97.74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 customFormat="false" ht="15" hidden="false" customHeight="false" outlineLevel="0" collapsed="false">
      <c r="A602" s="2" t="n">
        <v>2</v>
      </c>
      <c r="B602" s="2" t="s">
        <v>1548</v>
      </c>
      <c r="C602" s="2" t="s">
        <v>1549</v>
      </c>
      <c r="D602" s="2" t="s">
        <v>1498</v>
      </c>
      <c r="E602" s="2" t="s">
        <v>1487</v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</v>
      </c>
      <c r="DZ602" s="2" t="n">
        <v>71.23</v>
      </c>
      <c r="EA602" s="2" t="n">
        <v>0</v>
      </c>
      <c r="EB602" s="2" t="n">
        <v>91.07</v>
      </c>
      <c r="EC602" s="2" t="n">
        <v>81.18</v>
      </c>
      <c r="ED602" s="2" t="n">
        <v>0</v>
      </c>
      <c r="EE602" s="2" t="n">
        <v>98.3</v>
      </c>
      <c r="EF602" s="2" t="n">
        <v>89.21</v>
      </c>
      <c r="EG602" s="2" t="n">
        <v>0</v>
      </c>
      <c r="EH602" s="2" t="n">
        <v>100</v>
      </c>
      <c r="EI602" s="2" t="n">
        <v>98.32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 customFormat="false" ht="15" hidden="false" customHeight="false" outlineLevel="0" collapsed="false">
      <c r="A603" s="2" t="n">
        <v>3</v>
      </c>
      <c r="B603" s="2" t="s">
        <v>1550</v>
      </c>
      <c r="C603" s="2" t="s">
        <v>1551</v>
      </c>
      <c r="D603" s="2" t="s">
        <v>1498</v>
      </c>
      <c r="E603" s="2" t="s">
        <v>1487</v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</v>
      </c>
      <c r="DZ603" s="2" t="n">
        <v>71.23</v>
      </c>
      <c r="EA603" s="2" t="n">
        <v>0</v>
      </c>
      <c r="EB603" s="2" t="n">
        <v>91.07</v>
      </c>
      <c r="EC603" s="2" t="n">
        <v>81.18</v>
      </c>
      <c r="ED603" s="2" t="n">
        <v>0</v>
      </c>
      <c r="EE603" s="2" t="n">
        <v>98.3</v>
      </c>
      <c r="EF603" s="2" t="n">
        <v>89.21</v>
      </c>
      <c r="EG603" s="2" t="n">
        <v>0</v>
      </c>
      <c r="EH603" s="2" t="n">
        <v>100</v>
      </c>
      <c r="EI603" s="2" t="n">
        <v>98.32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 customFormat="false" ht="15" hidden="false" customHeight="false" outlineLevel="0" collapsed="false">
      <c r="A604" s="2" t="n">
        <v>3</v>
      </c>
      <c r="B604" s="2" t="s">
        <v>1552</v>
      </c>
      <c r="C604" s="2" t="s">
        <v>1553</v>
      </c>
      <c r="D604" s="2" t="s">
        <v>1498</v>
      </c>
      <c r="E604" s="2" t="s">
        <v>1487</v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</v>
      </c>
      <c r="DZ604" s="2" t="n">
        <v>71.23</v>
      </c>
      <c r="EA604" s="2" t="n">
        <v>0</v>
      </c>
      <c r="EB604" s="2" t="n">
        <v>91.07</v>
      </c>
      <c r="EC604" s="2" t="n">
        <v>81.18</v>
      </c>
      <c r="ED604" s="2" t="n">
        <v>0</v>
      </c>
      <c r="EE604" s="2" t="n">
        <v>98.3</v>
      </c>
      <c r="EF604" s="2" t="n">
        <v>89.21</v>
      </c>
      <c r="EG604" s="2" t="n">
        <v>0</v>
      </c>
      <c r="EH604" s="2" t="n">
        <v>100</v>
      </c>
      <c r="EI604" s="2" t="n">
        <v>98.32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 customFormat="false" ht="15" hidden="false" customHeight="false" outlineLevel="0" collapsed="false">
      <c r="A605" s="2" t="n">
        <v>3</v>
      </c>
      <c r="B605" s="2" t="s">
        <v>1554</v>
      </c>
      <c r="C605" s="2" t="s">
        <v>1555</v>
      </c>
      <c r="D605" s="2" t="s">
        <v>1498</v>
      </c>
      <c r="E605" s="2" t="s">
        <v>1487</v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</v>
      </c>
      <c r="DZ605" s="2" t="n">
        <v>71.23</v>
      </c>
      <c r="EA605" s="2" t="n">
        <v>0</v>
      </c>
      <c r="EB605" s="2" t="n">
        <v>91.07</v>
      </c>
      <c r="EC605" s="2" t="n">
        <v>81.18</v>
      </c>
      <c r="ED605" s="2" t="n">
        <v>0</v>
      </c>
      <c r="EE605" s="2" t="n">
        <v>98.3</v>
      </c>
      <c r="EF605" s="2" t="n">
        <v>89.21</v>
      </c>
      <c r="EG605" s="2" t="n">
        <v>0</v>
      </c>
      <c r="EH605" s="2" t="n">
        <v>100</v>
      </c>
      <c r="EI605" s="2" t="n">
        <v>98.32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 customFormat="false" ht="15" hidden="false" customHeight="false" outlineLevel="0" collapsed="false">
      <c r="A606" s="2" t="n">
        <v>3</v>
      </c>
      <c r="B606" s="2" t="s">
        <v>1556</v>
      </c>
      <c r="C606" s="2" t="s">
        <v>1557</v>
      </c>
      <c r="D606" s="2" t="s">
        <v>1498</v>
      </c>
      <c r="E606" s="2" t="s">
        <v>1487</v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</v>
      </c>
      <c r="DZ606" s="2" t="n">
        <v>71.23</v>
      </c>
      <c r="EA606" s="2" t="n">
        <v>0</v>
      </c>
      <c r="EB606" s="2" t="n">
        <v>91.07</v>
      </c>
      <c r="EC606" s="2" t="n">
        <v>81.18</v>
      </c>
      <c r="ED606" s="2" t="n">
        <v>0</v>
      </c>
      <c r="EE606" s="2" t="n">
        <v>98.3</v>
      </c>
      <c r="EF606" s="2" t="n">
        <v>89.21</v>
      </c>
      <c r="EG606" s="2" t="n">
        <v>0</v>
      </c>
      <c r="EH606" s="2" t="n">
        <v>100</v>
      </c>
      <c r="EI606" s="2" t="n">
        <v>98.32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 customFormat="false" ht="15" hidden="false" customHeight="false" outlineLevel="0" collapsed="false">
      <c r="A607" s="2" t="n">
        <v>2</v>
      </c>
      <c r="B607" s="2" t="s">
        <v>1558</v>
      </c>
      <c r="C607" s="2" t="s">
        <v>1559</v>
      </c>
      <c r="D607" s="2" t="s">
        <v>1560</v>
      </c>
      <c r="E607" s="2" t="s">
        <v>1503</v>
      </c>
      <c r="F607" s="2" t="n">
        <v>60000</v>
      </c>
      <c r="G607" s="2" t="n">
        <v>0</v>
      </c>
      <c r="H607" s="2" t="n">
        <v>60000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 customFormat="false" ht="15" hidden="false" customHeight="false" outlineLevel="0" collapsed="false">
      <c r="A608" s="2" t="n">
        <v>3</v>
      </c>
      <c r="B608" s="2" t="s">
        <v>1561</v>
      </c>
      <c r="C608" s="2" t="s">
        <v>1562</v>
      </c>
      <c r="D608" s="2" t="s">
        <v>1560</v>
      </c>
      <c r="E608" s="2" t="s">
        <v>1503</v>
      </c>
      <c r="F608" s="2" t="n">
        <v>60000</v>
      </c>
      <c r="G608" s="2" t="n">
        <v>0</v>
      </c>
      <c r="H608" s="2" t="n">
        <v>60000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 customFormat="false" ht="15" hidden="false" customHeight="false" outlineLevel="0" collapsed="false">
      <c r="A609" s="2" t="n">
        <v>2</v>
      </c>
      <c r="B609" s="2" t="s">
        <v>1563</v>
      </c>
      <c r="C609" s="2" t="s">
        <v>1564</v>
      </c>
      <c r="D609" s="2" t="s">
        <v>1565</v>
      </c>
      <c r="E609" s="2" t="s">
        <v>1566</v>
      </c>
      <c r="F609" s="2" t="n">
        <v>352996.658723057</v>
      </c>
      <c r="G609" s="2" t="n">
        <v>0</v>
      </c>
      <c r="H609" s="2" t="n">
        <v>352996.658723057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69.46</v>
      </c>
      <c r="DE609" s="2" t="n">
        <v>67.6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88.32</v>
      </c>
      <c r="DT609" s="2" t="n">
        <v>88.32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 customFormat="false" ht="15" hidden="false" customHeight="false" outlineLevel="0" collapsed="false">
      <c r="A610" s="2" t="n">
        <v>3</v>
      </c>
      <c r="B610" s="2" t="s">
        <v>1567</v>
      </c>
      <c r="C610" s="2" t="s">
        <v>1568</v>
      </c>
      <c r="D610" s="2" t="s">
        <v>1565</v>
      </c>
      <c r="E610" s="2" t="s">
        <v>1569</v>
      </c>
      <c r="F610" s="2" t="n">
        <v>21903.8567371814</v>
      </c>
      <c r="G610" s="2" t="n">
        <v>0</v>
      </c>
      <c r="H610" s="2" t="n">
        <v>21903.8567371814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 customFormat="false" ht="15" hidden="false" customHeight="false" outlineLevel="0" collapsed="false">
      <c r="A611" s="2" t="n">
        <v>3</v>
      </c>
      <c r="B611" s="2" t="s">
        <v>1570</v>
      </c>
      <c r="C611" s="2" t="s">
        <v>1571</v>
      </c>
      <c r="D611" s="2" t="s">
        <v>1565</v>
      </c>
      <c r="E611" s="2" t="s">
        <v>1569</v>
      </c>
      <c r="F611" s="2" t="n">
        <v>23151.1719033853</v>
      </c>
      <c r="G611" s="2" t="n">
        <v>0</v>
      </c>
      <c r="H611" s="2" t="n">
        <v>23151.1719033853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 customFormat="false" ht="15" hidden="false" customHeight="false" outlineLevel="0" collapsed="false">
      <c r="A612" s="2" t="n">
        <v>3</v>
      </c>
      <c r="B612" s="2" t="s">
        <v>1572</v>
      </c>
      <c r="C612" s="2" t="s">
        <v>1573</v>
      </c>
      <c r="D612" s="2" t="s">
        <v>1565</v>
      </c>
      <c r="E612" s="2" t="s">
        <v>1569</v>
      </c>
      <c r="F612" s="2" t="n">
        <v>7527.57287973006</v>
      </c>
      <c r="G612" s="2" t="n">
        <v>0</v>
      </c>
      <c r="H612" s="2" t="n">
        <v>7527.57287973006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 customFormat="false" ht="15" hidden="false" customHeight="false" outlineLevel="0" collapsed="false">
      <c r="A613" s="2" t="n">
        <v>3</v>
      </c>
      <c r="B613" s="2" t="s">
        <v>1574</v>
      </c>
      <c r="C613" s="2" t="s">
        <v>1575</v>
      </c>
      <c r="D613" s="2" t="s">
        <v>400</v>
      </c>
      <c r="E613" s="2" t="s">
        <v>1566</v>
      </c>
      <c r="F613" s="2" t="n">
        <v>19826.612797</v>
      </c>
      <c r="G613" s="2" t="n">
        <v>0</v>
      </c>
      <c r="H613" s="2" t="n">
        <v>19826.612797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</v>
      </c>
      <c r="CY613" s="2" t="n">
        <v>64.9</v>
      </c>
      <c r="CZ613" s="2" t="n">
        <v>0</v>
      </c>
      <c r="DA613" s="2" t="n">
        <v>77.4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94.71</v>
      </c>
      <c r="DH613" s="2" t="n">
        <v>91.83</v>
      </c>
      <c r="DI613" s="2" t="n">
        <v>0</v>
      </c>
      <c r="DJ613" s="2" t="n">
        <v>96.15</v>
      </c>
      <c r="DK613" s="2" t="n">
        <v>96.15</v>
      </c>
      <c r="DL613" s="2" t="n">
        <v>0</v>
      </c>
      <c r="DM613" s="2" t="n">
        <v>96.15</v>
      </c>
      <c r="DN613" s="2" t="n">
        <v>96.15</v>
      </c>
      <c r="DO613" s="2" t="n">
        <v>0</v>
      </c>
      <c r="DP613" s="2" t="n">
        <v>96.15</v>
      </c>
      <c r="DQ613" s="2" t="n">
        <v>96.15</v>
      </c>
      <c r="DR613" s="2" t="n">
        <v>0</v>
      </c>
      <c r="DS613" s="2" t="n">
        <v>96.15</v>
      </c>
      <c r="DT613" s="2" t="n">
        <v>96.15</v>
      </c>
      <c r="DU613" s="2" t="n">
        <v>0</v>
      </c>
      <c r="DV613" s="2" t="n">
        <v>96.15</v>
      </c>
      <c r="DW613" s="2" t="n">
        <v>96.15</v>
      </c>
      <c r="DX613" s="2" t="n">
        <v>0</v>
      </c>
      <c r="DY613" s="2" t="n">
        <v>99.04</v>
      </c>
      <c r="DZ613" s="2" t="n">
        <v>96.15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 customFormat="false" ht="15" hidden="false" customHeight="false" outlineLevel="0" collapsed="false">
      <c r="A614" s="2" t="n">
        <v>3</v>
      </c>
      <c r="B614" s="2" t="s">
        <v>1576</v>
      </c>
      <c r="C614" s="2" t="s">
        <v>1577</v>
      </c>
      <c r="D614" s="2" t="s">
        <v>400</v>
      </c>
      <c r="E614" s="2" t="s">
        <v>1566</v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</v>
      </c>
      <c r="CY614" s="2" t="n">
        <v>64.9</v>
      </c>
      <c r="CZ614" s="2" t="n">
        <v>0</v>
      </c>
      <c r="DA614" s="2" t="n">
        <v>77.4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94.71</v>
      </c>
      <c r="DH614" s="2" t="n">
        <v>91.83</v>
      </c>
      <c r="DI614" s="2" t="n">
        <v>0</v>
      </c>
      <c r="DJ614" s="2" t="n">
        <v>96.15</v>
      </c>
      <c r="DK614" s="2" t="n">
        <v>96.15</v>
      </c>
      <c r="DL614" s="2" t="n">
        <v>0</v>
      </c>
      <c r="DM614" s="2" t="n">
        <v>96.15</v>
      </c>
      <c r="DN614" s="2" t="n">
        <v>96.15</v>
      </c>
      <c r="DO614" s="2" t="n">
        <v>0</v>
      </c>
      <c r="DP614" s="2" t="n">
        <v>96.15</v>
      </c>
      <c r="DQ614" s="2" t="n">
        <v>96.15</v>
      </c>
      <c r="DR614" s="2" t="n">
        <v>0</v>
      </c>
      <c r="DS614" s="2" t="n">
        <v>96.15</v>
      </c>
      <c r="DT614" s="2" t="n">
        <v>96.15</v>
      </c>
      <c r="DU614" s="2" t="n">
        <v>0</v>
      </c>
      <c r="DV614" s="2" t="n">
        <v>96.15</v>
      </c>
      <c r="DW614" s="2" t="n">
        <v>96.15</v>
      </c>
      <c r="DX614" s="2" t="n">
        <v>0</v>
      </c>
      <c r="DY614" s="2" t="n">
        <v>99.04</v>
      </c>
      <c r="DZ614" s="2" t="n">
        <v>96.15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 customFormat="false" ht="15" hidden="false" customHeight="false" outlineLevel="0" collapsed="false">
      <c r="A615" s="2" t="n">
        <v>3</v>
      </c>
      <c r="B615" s="2" t="s">
        <v>1578</v>
      </c>
      <c r="C615" s="2" t="s">
        <v>1579</v>
      </c>
      <c r="D615" s="2" t="s">
        <v>1580</v>
      </c>
      <c r="E615" s="2" t="s">
        <v>1581</v>
      </c>
      <c r="F615" s="2" t="n">
        <v>72767.521344</v>
      </c>
      <c r="G615" s="2" t="n">
        <v>0</v>
      </c>
      <c r="H615" s="2" t="n">
        <v>72767.521344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 customFormat="false" ht="15" hidden="false" customHeight="false" outlineLevel="0" collapsed="false">
      <c r="A616" s="2" t="n">
        <v>3</v>
      </c>
      <c r="B616" s="2" t="s">
        <v>1582</v>
      </c>
      <c r="C616" s="2" t="s">
        <v>1583</v>
      </c>
      <c r="D616" s="2" t="s">
        <v>400</v>
      </c>
      <c r="E616" s="2" t="s">
        <v>1566</v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</v>
      </c>
      <c r="CY616" s="2" t="n">
        <v>64.9</v>
      </c>
      <c r="CZ616" s="2" t="n">
        <v>0</v>
      </c>
      <c r="DA616" s="2" t="n">
        <v>77.4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94.71</v>
      </c>
      <c r="DH616" s="2" t="n">
        <v>91.83</v>
      </c>
      <c r="DI616" s="2" t="n">
        <v>0</v>
      </c>
      <c r="DJ616" s="2" t="n">
        <v>96.15</v>
      </c>
      <c r="DK616" s="2" t="n">
        <v>96.15</v>
      </c>
      <c r="DL616" s="2" t="n">
        <v>0</v>
      </c>
      <c r="DM616" s="2" t="n">
        <v>96.15</v>
      </c>
      <c r="DN616" s="2" t="n">
        <v>96.15</v>
      </c>
      <c r="DO616" s="2" t="n">
        <v>0</v>
      </c>
      <c r="DP616" s="2" t="n">
        <v>96.15</v>
      </c>
      <c r="DQ616" s="2" t="n">
        <v>96.15</v>
      </c>
      <c r="DR616" s="2" t="n">
        <v>0</v>
      </c>
      <c r="DS616" s="2" t="n">
        <v>96.15</v>
      </c>
      <c r="DT616" s="2" t="n">
        <v>96.15</v>
      </c>
      <c r="DU616" s="2" t="n">
        <v>0</v>
      </c>
      <c r="DV616" s="2" t="n">
        <v>96.15</v>
      </c>
      <c r="DW616" s="2" t="n">
        <v>96.15</v>
      </c>
      <c r="DX616" s="2" t="n">
        <v>0</v>
      </c>
      <c r="DY616" s="2" t="n">
        <v>99.04</v>
      </c>
      <c r="DZ616" s="2" t="n">
        <v>96.15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 customFormat="false" ht="15" hidden="false" customHeight="false" outlineLevel="0" collapsed="false">
      <c r="A617" s="2" t="n">
        <v>2</v>
      </c>
      <c r="B617" s="2" t="s">
        <v>1584</v>
      </c>
      <c r="C617" s="2" t="s">
        <v>1585</v>
      </c>
      <c r="D617" s="2" t="s">
        <v>1586</v>
      </c>
      <c r="E617" s="2" t="s">
        <v>1587</v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64.35</v>
      </c>
      <c r="DQ617" s="2" t="n">
        <v>64.35</v>
      </c>
      <c r="DR617" s="2" t="n">
        <v>0</v>
      </c>
      <c r="DS617" s="2" t="n">
        <v>64.35</v>
      </c>
      <c r="DT617" s="2" t="n">
        <v>64.35</v>
      </c>
      <c r="DU617" s="2" t="n">
        <v>0</v>
      </c>
      <c r="DV617" s="2" t="n">
        <v>64.35</v>
      </c>
      <c r="DW617" s="2" t="n">
        <v>64.35</v>
      </c>
      <c r="DX617" s="2" t="n">
        <v>0</v>
      </c>
      <c r="DY617" s="2" t="n">
        <v>64.35</v>
      </c>
      <c r="DZ617" s="2" t="n">
        <v>64.35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</v>
      </c>
      <c r="EF617" s="2" t="n">
        <v>89.29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 customFormat="false" ht="15" hidden="false" customHeight="false" outlineLevel="0" collapsed="false">
      <c r="A618" s="2" t="n">
        <v>3</v>
      </c>
      <c r="B618" s="2" t="s">
        <v>1588</v>
      </c>
      <c r="C618" s="2" t="s">
        <v>1589</v>
      </c>
      <c r="D618" s="2" t="s">
        <v>1590</v>
      </c>
      <c r="E618" s="2" t="s">
        <v>1591</v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 customFormat="false" ht="15" hidden="false" customHeight="false" outlineLevel="0" collapsed="false">
      <c r="A619" s="2" t="n">
        <v>3</v>
      </c>
      <c r="B619" s="2" t="s">
        <v>1592</v>
      </c>
      <c r="C619" s="2" t="s">
        <v>1593</v>
      </c>
      <c r="D619" s="2" t="s">
        <v>1586</v>
      </c>
      <c r="E619" s="2" t="s">
        <v>1402</v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66.6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86.32</v>
      </c>
      <c r="CV619" s="2" t="n">
        <v>85.2</v>
      </c>
      <c r="CW619" s="2" t="n">
        <v>0</v>
      </c>
      <c r="CX619" s="2" t="n">
        <v>90.29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 customFormat="false" ht="15" hidden="false" customHeight="false" outlineLevel="0" collapsed="false">
      <c r="A620" s="2" t="n">
        <v>3</v>
      </c>
      <c r="B620" s="2" t="s">
        <v>1594</v>
      </c>
      <c r="C620" s="2" t="s">
        <v>1595</v>
      </c>
      <c r="D620" s="2" t="s">
        <v>1560</v>
      </c>
      <c r="E620" s="2" t="s">
        <v>1587</v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 customFormat="false" ht="15" hidden="false" customHeight="false" outlineLevel="0" collapsed="false">
      <c r="A621" s="2" t="n">
        <v>1</v>
      </c>
      <c r="B621" s="2" t="s">
        <v>179</v>
      </c>
      <c r="C621" s="2" t="s">
        <v>180</v>
      </c>
      <c r="D621" s="2" t="s">
        <v>1596</v>
      </c>
      <c r="E621" s="2" t="s">
        <v>1597</v>
      </c>
      <c r="F621" s="2" t="n">
        <v>5284594.96287141</v>
      </c>
      <c r="G621" s="2" t="n">
        <v>0</v>
      </c>
      <c r="H621" s="2" t="n">
        <v>5284594.96287141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 customFormat="false" ht="15" hidden="false" customHeight="false" outlineLevel="0" collapsed="false">
      <c r="A622" s="2" t="n">
        <v>2</v>
      </c>
      <c r="B622" s="2" t="s">
        <v>1598</v>
      </c>
      <c r="C622" s="2" t="s">
        <v>1599</v>
      </c>
      <c r="D622" s="2" t="s">
        <v>1596</v>
      </c>
      <c r="E622" s="2" t="s">
        <v>1597</v>
      </c>
      <c r="F622" s="2" t="n">
        <v>5284594.96287141</v>
      </c>
      <c r="G622" s="2" t="n">
        <v>0</v>
      </c>
      <c r="H622" s="2" t="n">
        <v>5284594.96287141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 customFormat="false" ht="15" hidden="false" customHeight="false" outlineLevel="0" collapsed="false">
      <c r="A623" s="2" t="n">
        <v>3</v>
      </c>
      <c r="B623" s="2" t="s">
        <v>1600</v>
      </c>
      <c r="C623" s="2" t="s">
        <v>1601</v>
      </c>
      <c r="D623" s="2" t="s">
        <v>1602</v>
      </c>
      <c r="E623" s="2" t="s">
        <v>1603</v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 customFormat="false" ht="15" hidden="false" customHeight="false" outlineLevel="0" collapsed="false">
      <c r="A624" s="2" t="n">
        <v>3</v>
      </c>
      <c r="B624" s="2" t="s">
        <v>1604</v>
      </c>
      <c r="C624" s="2" t="s">
        <v>1605</v>
      </c>
      <c r="D624" s="2" t="s">
        <v>1602</v>
      </c>
      <c r="E624" s="2" t="s">
        <v>1603</v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 customFormat="false" ht="15" hidden="false" customHeight="false" outlineLevel="0" collapsed="false">
      <c r="A625" s="2" t="n">
        <v>3</v>
      </c>
      <c r="B625" s="2" t="s">
        <v>1606</v>
      </c>
      <c r="C625" s="2" t="s">
        <v>1607</v>
      </c>
      <c r="D625" s="2" t="s">
        <v>1596</v>
      </c>
      <c r="E625" s="2" t="s">
        <v>1597</v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 customFormat="false" ht="15" hidden="false" customHeight="false" outlineLevel="0" collapsed="false">
      <c r="A626" s="2" t="n">
        <v>3</v>
      </c>
      <c r="B626" s="2" t="s">
        <v>1608</v>
      </c>
      <c r="C626" s="2" t="s">
        <v>1609</v>
      </c>
      <c r="D626" s="2" t="s">
        <v>1596</v>
      </c>
      <c r="E626" s="2" t="s">
        <v>1597</v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 customFormat="false" ht="15" hidden="false" customHeight="false" outlineLevel="0" collapsed="false">
      <c r="A627" s="2" t="n">
        <v>3</v>
      </c>
      <c r="B627" s="2" t="s">
        <v>1610</v>
      </c>
      <c r="C627" s="2" t="s">
        <v>1611</v>
      </c>
      <c r="D627" s="2" t="s">
        <v>1596</v>
      </c>
      <c r="E627" s="2" t="s">
        <v>1597</v>
      </c>
      <c r="F627" s="2" t="n">
        <v>31594.9628714081</v>
      </c>
      <c r="G627" s="2" t="n">
        <v>0</v>
      </c>
      <c r="H627" s="2" t="n">
        <v>31594.9628714081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 customFormat="false" ht="15" hidden="false" customHeight="false" outlineLevel="0" collapsed="false">
      <c r="A628" s="2" t="n">
        <v>3</v>
      </c>
      <c r="B628" s="2" t="s">
        <v>1612</v>
      </c>
      <c r="C628" s="2" t="s">
        <v>1613</v>
      </c>
      <c r="D628" s="2" t="s">
        <v>1596</v>
      </c>
      <c r="E628" s="2" t="s">
        <v>1597</v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 customFormat="false" ht="15" hidden="false" customHeight="false" outlineLevel="0" collapsed="false">
      <c r="A629" s="2" t="n">
        <v>3</v>
      </c>
      <c r="B629" s="2" t="s">
        <v>1614</v>
      </c>
      <c r="C629" s="2" t="s">
        <v>1615</v>
      </c>
      <c r="D629" s="2" t="s">
        <v>1596</v>
      </c>
      <c r="E629" s="2" t="s">
        <v>1597</v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 customFormat="false" ht="15" hidden="false" customHeight="false" outlineLevel="0" collapsed="false">
      <c r="A630" s="2" t="n">
        <v>3</v>
      </c>
      <c r="B630" s="2" t="s">
        <v>1616</v>
      </c>
      <c r="C630" s="2" t="s">
        <v>1617</v>
      </c>
      <c r="D630" s="2" t="s">
        <v>1596</v>
      </c>
      <c r="E630" s="2" t="s">
        <v>1597</v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 customFormat="false" ht="15" hidden="false" customHeight="false" outlineLevel="0" collapsed="false">
      <c r="A631" s="2" t="n">
        <v>1</v>
      </c>
      <c r="B631" s="2" t="s">
        <v>182</v>
      </c>
      <c r="C631" s="2" t="s">
        <v>183</v>
      </c>
      <c r="D631" s="2" t="s">
        <v>1618</v>
      </c>
      <c r="E631" s="2" t="s">
        <v>1587</v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9.78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</v>
      </c>
      <c r="DX631" s="2" t="n">
        <v>0</v>
      </c>
      <c r="DY631" s="2" t="n">
        <v>86.75</v>
      </c>
      <c r="DZ631" s="2" t="n">
        <v>84.6</v>
      </c>
      <c r="EA631" s="2" t="n">
        <v>0</v>
      </c>
      <c r="EB631" s="2" t="n">
        <v>96.29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 customFormat="false" ht="15" hidden="false" customHeight="false" outlineLevel="0" collapsed="false">
      <c r="A632" s="2" t="n">
        <v>2</v>
      </c>
      <c r="B632" s="2" t="s">
        <v>1619</v>
      </c>
      <c r="C632" s="2" t="s">
        <v>1620</v>
      </c>
      <c r="D632" s="2" t="s">
        <v>1618</v>
      </c>
      <c r="E632" s="2" t="s">
        <v>1587</v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</v>
      </c>
      <c r="DT632" s="2" t="n">
        <v>63.49</v>
      </c>
      <c r="DU632" s="2" t="n">
        <v>0</v>
      </c>
      <c r="DV632" s="2" t="n">
        <v>75.4</v>
      </c>
      <c r="DW632" s="2" t="n">
        <v>73.38</v>
      </c>
      <c r="DX632" s="2" t="n">
        <v>0</v>
      </c>
      <c r="DY632" s="2" t="n">
        <v>86.66</v>
      </c>
      <c r="DZ632" s="2" t="n">
        <v>84.51</v>
      </c>
      <c r="EA632" s="2" t="n">
        <v>0</v>
      </c>
      <c r="EB632" s="2" t="n">
        <v>96.27</v>
      </c>
      <c r="EC632" s="2" t="n">
        <v>94.07</v>
      </c>
      <c r="ED632" s="2" t="n">
        <v>0</v>
      </c>
      <c r="EE632" s="2" t="n">
        <v>99.18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 customFormat="false" ht="15" hidden="false" customHeight="false" outlineLevel="0" collapsed="false">
      <c r="A633" s="2" t="n">
        <v>3</v>
      </c>
      <c r="B633" s="2" t="s">
        <v>1621</v>
      </c>
      <c r="C633" s="2" t="s">
        <v>1622</v>
      </c>
      <c r="D633" s="2" t="s">
        <v>1618</v>
      </c>
      <c r="E633" s="2" t="s">
        <v>1623</v>
      </c>
      <c r="F633" s="2" t="n">
        <v>808886.830012699</v>
      </c>
      <c r="G633" s="2" t="n">
        <v>0</v>
      </c>
      <c r="H633" s="2" t="n">
        <v>808886.830012699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82.74</v>
      </c>
      <c r="CP633" s="2" t="n">
        <v>80.1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 customFormat="false" ht="15" hidden="false" customHeight="false" outlineLevel="0" collapsed="false">
      <c r="A634" s="2" t="n">
        <v>4</v>
      </c>
      <c r="B634" s="2" t="s">
        <v>1624</v>
      </c>
      <c r="C634" s="2" t="s">
        <v>1625</v>
      </c>
      <c r="D634" s="2" t="s">
        <v>1618</v>
      </c>
      <c r="E634" s="2" t="s">
        <v>1623</v>
      </c>
      <c r="F634" s="2" t="n">
        <v>808886.830012699</v>
      </c>
      <c r="G634" s="2" t="n">
        <v>0</v>
      </c>
      <c r="H634" s="2" t="n">
        <v>808886.830012699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82.74</v>
      </c>
      <c r="CP634" s="2" t="n">
        <v>80.1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 customFormat="false" ht="15" hidden="false" customHeight="false" outlineLevel="0" collapsed="false">
      <c r="A635" s="2" t="n">
        <v>3</v>
      </c>
      <c r="B635" s="2" t="s">
        <v>1626</v>
      </c>
      <c r="C635" s="2" t="s">
        <v>1620</v>
      </c>
      <c r="D635" s="2" t="s">
        <v>1627</v>
      </c>
      <c r="E635" s="2" t="s">
        <v>1587</v>
      </c>
      <c r="F635" s="2" t="n">
        <v>9799686.98955</v>
      </c>
      <c r="G635" s="2" t="n">
        <v>0</v>
      </c>
      <c r="H635" s="2" t="n">
        <v>9799686.98955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95.96</v>
      </c>
      <c r="EC635" s="2" t="n">
        <v>93.58</v>
      </c>
      <c r="ED635" s="2" t="n">
        <v>0</v>
      </c>
      <c r="EE635" s="2" t="n">
        <v>99.11</v>
      </c>
      <c r="EF635" s="2" t="n">
        <v>98.07</v>
      </c>
      <c r="EG635" s="2" t="n">
        <v>0</v>
      </c>
      <c r="EH635" s="2" t="n">
        <v>100</v>
      </c>
      <c r="EI635" s="2" t="n">
        <v>99.79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 customFormat="false" ht="15" hidden="false" customHeight="false" outlineLevel="0" collapsed="false">
      <c r="A636" s="2" t="n">
        <v>4</v>
      </c>
      <c r="B636" s="2" t="s">
        <v>1628</v>
      </c>
      <c r="C636" s="2" t="s">
        <v>1629</v>
      </c>
      <c r="D636" s="2" t="s">
        <v>1627</v>
      </c>
      <c r="E636" s="2" t="s">
        <v>1587</v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95.96</v>
      </c>
      <c r="EC636" s="2" t="n">
        <v>93.58</v>
      </c>
      <c r="ED636" s="2" t="n">
        <v>0</v>
      </c>
      <c r="EE636" s="2" t="n">
        <v>99.11</v>
      </c>
      <c r="EF636" s="2" t="n">
        <v>98.07</v>
      </c>
      <c r="EG636" s="2" t="n">
        <v>0</v>
      </c>
      <c r="EH636" s="2" t="n">
        <v>100</v>
      </c>
      <c r="EI636" s="2" t="n">
        <v>99.79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 customFormat="false" ht="15" hidden="false" customHeight="false" outlineLevel="0" collapsed="false">
      <c r="A637" s="2" t="n">
        <v>4</v>
      </c>
      <c r="B637" s="2" t="s">
        <v>1630</v>
      </c>
      <c r="C637" s="2" t="s">
        <v>1631</v>
      </c>
      <c r="D637" s="2" t="s">
        <v>1627</v>
      </c>
      <c r="E637" s="2" t="s">
        <v>1587</v>
      </c>
      <c r="F637" s="2" t="n">
        <v>4867686.98955</v>
      </c>
      <c r="G637" s="2" t="n">
        <v>0</v>
      </c>
      <c r="H637" s="2" t="n">
        <v>4867686.98955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95.96</v>
      </c>
      <c r="EC637" s="2" t="n">
        <v>93.58</v>
      </c>
      <c r="ED637" s="2" t="n">
        <v>0</v>
      </c>
      <c r="EE637" s="2" t="n">
        <v>99.11</v>
      </c>
      <c r="EF637" s="2" t="n">
        <v>98.07</v>
      </c>
      <c r="EG637" s="2" t="n">
        <v>0</v>
      </c>
      <c r="EH637" s="2" t="n">
        <v>100</v>
      </c>
      <c r="EI637" s="2" t="n">
        <v>99.79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 customFormat="false" ht="15" hidden="false" customHeight="false" outlineLevel="0" collapsed="false">
      <c r="A638" s="2" t="n">
        <v>4</v>
      </c>
      <c r="B638" s="2" t="s">
        <v>1632</v>
      </c>
      <c r="C638" s="2" t="s">
        <v>1633</v>
      </c>
      <c r="D638" s="2" t="s">
        <v>1627</v>
      </c>
      <c r="E638" s="2" t="s">
        <v>1587</v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95.96</v>
      </c>
      <c r="EC638" s="2" t="n">
        <v>93.58</v>
      </c>
      <c r="ED638" s="2" t="n">
        <v>0</v>
      </c>
      <c r="EE638" s="2" t="n">
        <v>99.11</v>
      </c>
      <c r="EF638" s="2" t="n">
        <v>98.07</v>
      </c>
      <c r="EG638" s="2" t="n">
        <v>0</v>
      </c>
      <c r="EH638" s="2" t="n">
        <v>100</v>
      </c>
      <c r="EI638" s="2" t="n">
        <v>99.79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 customFormat="false" ht="15" hidden="false" customHeight="false" outlineLevel="0" collapsed="false">
      <c r="A639" s="2" t="n">
        <v>4</v>
      </c>
      <c r="B639" s="2" t="s">
        <v>1634</v>
      </c>
      <c r="C639" s="2" t="s">
        <v>1635</v>
      </c>
      <c r="D639" s="2" t="s">
        <v>1627</v>
      </c>
      <c r="E639" s="2" t="s">
        <v>1587</v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95.96</v>
      </c>
      <c r="EC639" s="2" t="n">
        <v>93.58</v>
      </c>
      <c r="ED639" s="2" t="n">
        <v>0</v>
      </c>
      <c r="EE639" s="2" t="n">
        <v>99.11</v>
      </c>
      <c r="EF639" s="2" t="n">
        <v>98.07</v>
      </c>
      <c r="EG639" s="2" t="n">
        <v>0</v>
      </c>
      <c r="EH639" s="2" t="n">
        <v>100</v>
      </c>
      <c r="EI639" s="2" t="n">
        <v>99.79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 customFormat="false" ht="15" hidden="false" customHeight="false" outlineLevel="0" collapsed="false">
      <c r="A640" s="2" t="n">
        <v>4</v>
      </c>
      <c r="B640" s="2" t="s">
        <v>1636</v>
      </c>
      <c r="C640" s="2" t="s">
        <v>1637</v>
      </c>
      <c r="D640" s="2" t="s">
        <v>1627</v>
      </c>
      <c r="E640" s="2" t="s">
        <v>1587</v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95.96</v>
      </c>
      <c r="EC640" s="2" t="n">
        <v>93.58</v>
      </c>
      <c r="ED640" s="2" t="n">
        <v>0</v>
      </c>
      <c r="EE640" s="2" t="n">
        <v>99.11</v>
      </c>
      <c r="EF640" s="2" t="n">
        <v>98.07</v>
      </c>
      <c r="EG640" s="2" t="n">
        <v>0</v>
      </c>
      <c r="EH640" s="2" t="n">
        <v>100</v>
      </c>
      <c r="EI640" s="2" t="n">
        <v>99.79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 customFormat="false" ht="15" hidden="false" customHeight="false" outlineLevel="0" collapsed="false">
      <c r="A641" s="2" t="n">
        <v>4</v>
      </c>
      <c r="B641" s="2" t="s">
        <v>1638</v>
      </c>
      <c r="C641" s="2" t="s">
        <v>1639</v>
      </c>
      <c r="D641" s="2" t="s">
        <v>1627</v>
      </c>
      <c r="E641" s="2" t="s">
        <v>1587</v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95.96</v>
      </c>
      <c r="EC641" s="2" t="n">
        <v>93.58</v>
      </c>
      <c r="ED641" s="2" t="n">
        <v>0</v>
      </c>
      <c r="EE641" s="2" t="n">
        <v>99.11</v>
      </c>
      <c r="EF641" s="2" t="n">
        <v>98.07</v>
      </c>
      <c r="EG641" s="2" t="n">
        <v>0</v>
      </c>
      <c r="EH641" s="2" t="n">
        <v>100</v>
      </c>
      <c r="EI641" s="2" t="n">
        <v>99.79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 customFormat="false" ht="15" hidden="false" customHeight="false" outlineLevel="0" collapsed="false">
      <c r="A642" s="2" t="n">
        <v>4</v>
      </c>
      <c r="B642" s="2" t="s">
        <v>1640</v>
      </c>
      <c r="C642" s="2" t="s">
        <v>1641</v>
      </c>
      <c r="D642" s="2" t="s">
        <v>1627</v>
      </c>
      <c r="E642" s="2" t="s">
        <v>1587</v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95.96</v>
      </c>
      <c r="EC642" s="2" t="n">
        <v>93.58</v>
      </c>
      <c r="ED642" s="2" t="n">
        <v>0</v>
      </c>
      <c r="EE642" s="2" t="n">
        <v>99.11</v>
      </c>
      <c r="EF642" s="2" t="n">
        <v>98.07</v>
      </c>
      <c r="EG642" s="2" t="n">
        <v>0</v>
      </c>
      <c r="EH642" s="2" t="n">
        <v>100</v>
      </c>
      <c r="EI642" s="2" t="n">
        <v>99.79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 customFormat="false" ht="15" hidden="false" customHeight="false" outlineLevel="0" collapsed="false">
      <c r="A643" s="2" t="n">
        <v>4</v>
      </c>
      <c r="B643" s="2" t="s">
        <v>1642</v>
      </c>
      <c r="C643" s="2" t="s">
        <v>1643</v>
      </c>
      <c r="D643" s="2" t="s">
        <v>1627</v>
      </c>
      <c r="E643" s="2" t="s">
        <v>1587</v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95.96</v>
      </c>
      <c r="EC643" s="2" t="n">
        <v>93.58</v>
      </c>
      <c r="ED643" s="2" t="n">
        <v>0</v>
      </c>
      <c r="EE643" s="2" t="n">
        <v>99.11</v>
      </c>
      <c r="EF643" s="2" t="n">
        <v>98.07</v>
      </c>
      <c r="EG643" s="2" t="n">
        <v>0</v>
      </c>
      <c r="EH643" s="2" t="n">
        <v>100</v>
      </c>
      <c r="EI643" s="2" t="n">
        <v>99.79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 customFormat="false" ht="15" hidden="false" customHeight="false" outlineLevel="0" collapsed="false">
      <c r="A644" s="2" t="n">
        <v>4</v>
      </c>
      <c r="B644" s="2" t="s">
        <v>1644</v>
      </c>
      <c r="C644" s="2" t="s">
        <v>1645</v>
      </c>
      <c r="D644" s="2" t="s">
        <v>1627</v>
      </c>
      <c r="E644" s="2" t="s">
        <v>1587</v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95.96</v>
      </c>
      <c r="EC644" s="2" t="n">
        <v>93.58</v>
      </c>
      <c r="ED644" s="2" t="n">
        <v>0</v>
      </c>
      <c r="EE644" s="2" t="n">
        <v>99.11</v>
      </c>
      <c r="EF644" s="2" t="n">
        <v>98.07</v>
      </c>
      <c r="EG644" s="2" t="n">
        <v>0</v>
      </c>
      <c r="EH644" s="2" t="n">
        <v>100</v>
      </c>
      <c r="EI644" s="2" t="n">
        <v>99.79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 customFormat="false" ht="15" hidden="false" customHeight="false" outlineLevel="0" collapsed="false">
      <c r="A645" s="2" t="n">
        <v>4</v>
      </c>
      <c r="B645" s="2" t="s">
        <v>1646</v>
      </c>
      <c r="C645" s="2" t="s">
        <v>1647</v>
      </c>
      <c r="D645" s="2" t="s">
        <v>1627</v>
      </c>
      <c r="E645" s="2" t="s">
        <v>1587</v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95.96</v>
      </c>
      <c r="EC645" s="2" t="n">
        <v>93.58</v>
      </c>
      <c r="ED645" s="2" t="n">
        <v>0</v>
      </c>
      <c r="EE645" s="2" t="n">
        <v>99.11</v>
      </c>
      <c r="EF645" s="2" t="n">
        <v>98.07</v>
      </c>
      <c r="EG645" s="2" t="n">
        <v>0</v>
      </c>
      <c r="EH645" s="2" t="n">
        <v>100</v>
      </c>
      <c r="EI645" s="2" t="n">
        <v>99.79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 customFormat="false" ht="15" hidden="false" customHeight="false" outlineLevel="0" collapsed="false">
      <c r="A646" s="2" t="n">
        <v>4</v>
      </c>
      <c r="B646" s="2" t="s">
        <v>1648</v>
      </c>
      <c r="C646" s="2" t="s">
        <v>1649</v>
      </c>
      <c r="D646" s="2" t="s">
        <v>1627</v>
      </c>
      <c r="E646" s="2" t="s">
        <v>1587</v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95.96</v>
      </c>
      <c r="EC646" s="2" t="n">
        <v>93.58</v>
      </c>
      <c r="ED646" s="2" t="n">
        <v>0</v>
      </c>
      <c r="EE646" s="2" t="n">
        <v>99.11</v>
      </c>
      <c r="EF646" s="2" t="n">
        <v>98.07</v>
      </c>
      <c r="EG646" s="2" t="n">
        <v>0</v>
      </c>
      <c r="EH646" s="2" t="n">
        <v>100</v>
      </c>
      <c r="EI646" s="2" t="n">
        <v>99.79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 customFormat="false" ht="15" hidden="false" customHeight="false" outlineLevel="0" collapsed="false">
      <c r="A647" s="2" t="n">
        <v>4</v>
      </c>
      <c r="B647" s="2" t="s">
        <v>1650</v>
      </c>
      <c r="C647" s="2" t="s">
        <v>1651</v>
      </c>
      <c r="D647" s="2" t="s">
        <v>1627</v>
      </c>
      <c r="E647" s="2" t="s">
        <v>1587</v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95.96</v>
      </c>
      <c r="EC647" s="2" t="n">
        <v>93.58</v>
      </c>
      <c r="ED647" s="2" t="n">
        <v>0</v>
      </c>
      <c r="EE647" s="2" t="n">
        <v>99.11</v>
      </c>
      <c r="EF647" s="2" t="n">
        <v>98.07</v>
      </c>
      <c r="EG647" s="2" t="n">
        <v>0</v>
      </c>
      <c r="EH647" s="2" t="n">
        <v>100</v>
      </c>
      <c r="EI647" s="2" t="n">
        <v>99.79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 customFormat="false" ht="15" hidden="false" customHeight="false" outlineLevel="0" collapsed="false">
      <c r="A648" s="2" t="n">
        <v>4</v>
      </c>
      <c r="B648" s="2" t="s">
        <v>1652</v>
      </c>
      <c r="C648" s="2" t="s">
        <v>1653</v>
      </c>
      <c r="D648" s="2" t="s">
        <v>1627</v>
      </c>
      <c r="E648" s="2" t="s">
        <v>1587</v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95.96</v>
      </c>
      <c r="EC648" s="2" t="n">
        <v>93.58</v>
      </c>
      <c r="ED648" s="2" t="n">
        <v>0</v>
      </c>
      <c r="EE648" s="2" t="n">
        <v>99.11</v>
      </c>
      <c r="EF648" s="2" t="n">
        <v>98.07</v>
      </c>
      <c r="EG648" s="2" t="n">
        <v>0</v>
      </c>
      <c r="EH648" s="2" t="n">
        <v>100</v>
      </c>
      <c r="EI648" s="2" t="n">
        <v>99.79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 customFormat="false" ht="15" hidden="false" customHeight="false" outlineLevel="0" collapsed="false">
      <c r="A649" s="2" t="n">
        <v>4</v>
      </c>
      <c r="B649" s="2" t="s">
        <v>1654</v>
      </c>
      <c r="C649" s="2" t="s">
        <v>1655</v>
      </c>
      <c r="D649" s="2" t="s">
        <v>1627</v>
      </c>
      <c r="E649" s="2" t="s">
        <v>1587</v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95.96</v>
      </c>
      <c r="EC649" s="2" t="n">
        <v>93.58</v>
      </c>
      <c r="ED649" s="2" t="n">
        <v>0</v>
      </c>
      <c r="EE649" s="2" t="n">
        <v>99.11</v>
      </c>
      <c r="EF649" s="2" t="n">
        <v>98.07</v>
      </c>
      <c r="EG649" s="2" t="n">
        <v>0</v>
      </c>
      <c r="EH649" s="2" t="n">
        <v>100</v>
      </c>
      <c r="EI649" s="2" t="n">
        <v>99.79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 customFormat="false" ht="15" hidden="false" customHeight="false" outlineLevel="0" collapsed="false">
      <c r="A650" s="2" t="n">
        <v>4</v>
      </c>
      <c r="B650" s="2" t="s">
        <v>1656</v>
      </c>
      <c r="C650" s="2" t="s">
        <v>1657</v>
      </c>
      <c r="D650" s="2" t="s">
        <v>1627</v>
      </c>
      <c r="E650" s="2" t="s">
        <v>1587</v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95.96</v>
      </c>
      <c r="EC650" s="2" t="n">
        <v>93.58</v>
      </c>
      <c r="ED650" s="2" t="n">
        <v>0</v>
      </c>
      <c r="EE650" s="2" t="n">
        <v>99.11</v>
      </c>
      <c r="EF650" s="2" t="n">
        <v>98.07</v>
      </c>
      <c r="EG650" s="2" t="n">
        <v>0</v>
      </c>
      <c r="EH650" s="2" t="n">
        <v>100</v>
      </c>
      <c r="EI650" s="2" t="n">
        <v>99.79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 customFormat="false" ht="15" hidden="false" customHeight="false" outlineLevel="0" collapsed="false">
      <c r="A651" s="2" t="n">
        <v>4</v>
      </c>
      <c r="B651" s="2" t="s">
        <v>1658</v>
      </c>
      <c r="C651" s="2" t="s">
        <v>1659</v>
      </c>
      <c r="D651" s="2" t="s">
        <v>1627</v>
      </c>
      <c r="E651" s="2" t="s">
        <v>1587</v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95.96</v>
      </c>
      <c r="EC651" s="2" t="n">
        <v>93.58</v>
      </c>
      <c r="ED651" s="2" t="n">
        <v>0</v>
      </c>
      <c r="EE651" s="2" t="n">
        <v>99.11</v>
      </c>
      <c r="EF651" s="2" t="n">
        <v>98.07</v>
      </c>
      <c r="EG651" s="2" t="n">
        <v>0</v>
      </c>
      <c r="EH651" s="2" t="n">
        <v>100</v>
      </c>
      <c r="EI651" s="2" t="n">
        <v>99.79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 customFormat="false" ht="15" hidden="false" customHeight="false" outlineLevel="0" collapsed="false">
      <c r="A652" s="2" t="n">
        <v>4</v>
      </c>
      <c r="B652" s="2" t="s">
        <v>1660</v>
      </c>
      <c r="C652" s="2" t="s">
        <v>1661</v>
      </c>
      <c r="D652" s="2" t="s">
        <v>1627</v>
      </c>
      <c r="E652" s="2" t="s">
        <v>1587</v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95.96</v>
      </c>
      <c r="EC652" s="2" t="n">
        <v>93.58</v>
      </c>
      <c r="ED652" s="2" t="n">
        <v>0</v>
      </c>
      <c r="EE652" s="2" t="n">
        <v>99.11</v>
      </c>
      <c r="EF652" s="2" t="n">
        <v>98.07</v>
      </c>
      <c r="EG652" s="2" t="n">
        <v>0</v>
      </c>
      <c r="EH652" s="2" t="n">
        <v>100</v>
      </c>
      <c r="EI652" s="2" t="n">
        <v>99.79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 customFormat="false" ht="15" hidden="false" customHeight="false" outlineLevel="0" collapsed="false">
      <c r="A653" s="2" t="n">
        <v>4</v>
      </c>
      <c r="B653" s="2" t="s">
        <v>1662</v>
      </c>
      <c r="C653" s="2" t="s">
        <v>1663</v>
      </c>
      <c r="D653" s="2" t="s">
        <v>1627</v>
      </c>
      <c r="E653" s="2" t="s">
        <v>1587</v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95.96</v>
      </c>
      <c r="EC653" s="2" t="n">
        <v>93.58</v>
      </c>
      <c r="ED653" s="2" t="n">
        <v>0</v>
      </c>
      <c r="EE653" s="2" t="n">
        <v>99.11</v>
      </c>
      <c r="EF653" s="2" t="n">
        <v>98.07</v>
      </c>
      <c r="EG653" s="2" t="n">
        <v>0</v>
      </c>
      <c r="EH653" s="2" t="n">
        <v>100</v>
      </c>
      <c r="EI653" s="2" t="n">
        <v>99.79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 customFormat="false" ht="15" hidden="false" customHeight="false" outlineLevel="0" collapsed="false">
      <c r="A654" s="2" t="n">
        <v>4</v>
      </c>
      <c r="B654" s="2" t="s">
        <v>1664</v>
      </c>
      <c r="C654" s="2" t="s">
        <v>1665</v>
      </c>
      <c r="D654" s="2" t="s">
        <v>1627</v>
      </c>
      <c r="E654" s="2" t="s">
        <v>1587</v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95.96</v>
      </c>
      <c r="EC654" s="2" t="n">
        <v>93.58</v>
      </c>
      <c r="ED654" s="2" t="n">
        <v>0</v>
      </c>
      <c r="EE654" s="2" t="n">
        <v>99.11</v>
      </c>
      <c r="EF654" s="2" t="n">
        <v>98.07</v>
      </c>
      <c r="EG654" s="2" t="n">
        <v>0</v>
      </c>
      <c r="EH654" s="2" t="n">
        <v>100</v>
      </c>
      <c r="EI654" s="2" t="n">
        <v>99.79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 customFormat="false" ht="15" hidden="false" customHeight="false" outlineLevel="0" collapsed="false">
      <c r="A655" s="2" t="n">
        <v>4</v>
      </c>
      <c r="B655" s="2" t="s">
        <v>1666</v>
      </c>
      <c r="C655" s="2" t="s">
        <v>1667</v>
      </c>
      <c r="D655" s="2" t="s">
        <v>1627</v>
      </c>
      <c r="E655" s="2" t="s">
        <v>1587</v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95.96</v>
      </c>
      <c r="EC655" s="2" t="n">
        <v>93.58</v>
      </c>
      <c r="ED655" s="2" t="n">
        <v>0</v>
      </c>
      <c r="EE655" s="2" t="n">
        <v>99.11</v>
      </c>
      <c r="EF655" s="2" t="n">
        <v>98.07</v>
      </c>
      <c r="EG655" s="2" t="n">
        <v>0</v>
      </c>
      <c r="EH655" s="2" t="n">
        <v>100</v>
      </c>
      <c r="EI655" s="2" t="n">
        <v>99.79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 customFormat="false" ht="15" hidden="false" customHeight="false" outlineLevel="0" collapsed="false">
      <c r="A656" s="2" t="n">
        <v>4</v>
      </c>
      <c r="B656" s="2" t="s">
        <v>1668</v>
      </c>
      <c r="C656" s="2" t="s">
        <v>1669</v>
      </c>
      <c r="D656" s="2" t="s">
        <v>1627</v>
      </c>
      <c r="E656" s="2" t="s">
        <v>1587</v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95.96</v>
      </c>
      <c r="EC656" s="2" t="n">
        <v>93.58</v>
      </c>
      <c r="ED656" s="2" t="n">
        <v>0</v>
      </c>
      <c r="EE656" s="2" t="n">
        <v>99.11</v>
      </c>
      <c r="EF656" s="2" t="n">
        <v>98.07</v>
      </c>
      <c r="EG656" s="2" t="n">
        <v>0</v>
      </c>
      <c r="EH656" s="2" t="n">
        <v>100</v>
      </c>
      <c r="EI656" s="2" t="n">
        <v>99.79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 customFormat="false" ht="15" hidden="false" customHeight="false" outlineLevel="0" collapsed="false">
      <c r="A657" s="2" t="n">
        <v>4</v>
      </c>
      <c r="B657" s="2" t="s">
        <v>1670</v>
      </c>
      <c r="C657" s="2" t="s">
        <v>1671</v>
      </c>
      <c r="D657" s="2" t="s">
        <v>1627</v>
      </c>
      <c r="E657" s="2" t="s">
        <v>1587</v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95.96</v>
      </c>
      <c r="EC657" s="2" t="n">
        <v>93.58</v>
      </c>
      <c r="ED657" s="2" t="n">
        <v>0</v>
      </c>
      <c r="EE657" s="2" t="n">
        <v>99.11</v>
      </c>
      <c r="EF657" s="2" t="n">
        <v>98.07</v>
      </c>
      <c r="EG657" s="2" t="n">
        <v>0</v>
      </c>
      <c r="EH657" s="2" t="n">
        <v>100</v>
      </c>
      <c r="EI657" s="2" t="n">
        <v>99.79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 customFormat="false" ht="15" hidden="false" customHeight="false" outlineLevel="0" collapsed="false">
      <c r="A658" s="2" t="n">
        <v>4</v>
      </c>
      <c r="B658" s="2" t="s">
        <v>1672</v>
      </c>
      <c r="C658" s="2" t="s">
        <v>1673</v>
      </c>
      <c r="D658" s="2" t="s">
        <v>1627</v>
      </c>
      <c r="E658" s="2" t="s">
        <v>1587</v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95.96</v>
      </c>
      <c r="EC658" s="2" t="n">
        <v>93.58</v>
      </c>
      <c r="ED658" s="2" t="n">
        <v>0</v>
      </c>
      <c r="EE658" s="2" t="n">
        <v>99.11</v>
      </c>
      <c r="EF658" s="2" t="n">
        <v>98.07</v>
      </c>
      <c r="EG658" s="2" t="n">
        <v>0</v>
      </c>
      <c r="EH658" s="2" t="n">
        <v>100</v>
      </c>
      <c r="EI658" s="2" t="n">
        <v>99.79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 customFormat="false" ht="15" hidden="false" customHeight="false" outlineLevel="0" collapsed="false">
      <c r="A659" s="2" t="n">
        <v>4</v>
      </c>
      <c r="B659" s="2" t="s">
        <v>1674</v>
      </c>
      <c r="C659" s="2" t="s">
        <v>1675</v>
      </c>
      <c r="D659" s="2" t="s">
        <v>1627</v>
      </c>
      <c r="E659" s="2" t="s">
        <v>1587</v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95.96</v>
      </c>
      <c r="EC659" s="2" t="n">
        <v>93.58</v>
      </c>
      <c r="ED659" s="2" t="n">
        <v>0</v>
      </c>
      <c r="EE659" s="2" t="n">
        <v>99.11</v>
      </c>
      <c r="EF659" s="2" t="n">
        <v>98.07</v>
      </c>
      <c r="EG659" s="2" t="n">
        <v>0</v>
      </c>
      <c r="EH659" s="2" t="n">
        <v>100</v>
      </c>
      <c r="EI659" s="2" t="n">
        <v>99.79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 customFormat="false" ht="15" hidden="false" customHeight="false" outlineLevel="0" collapsed="false">
      <c r="A660" s="2" t="n">
        <v>4</v>
      </c>
      <c r="B660" s="2" t="s">
        <v>1676</v>
      </c>
      <c r="C660" s="2" t="s">
        <v>1677</v>
      </c>
      <c r="D660" s="2" t="s">
        <v>1627</v>
      </c>
      <c r="E660" s="2" t="s">
        <v>1587</v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95.96</v>
      </c>
      <c r="EC660" s="2" t="n">
        <v>93.58</v>
      </c>
      <c r="ED660" s="2" t="n">
        <v>0</v>
      </c>
      <c r="EE660" s="2" t="n">
        <v>99.11</v>
      </c>
      <c r="EF660" s="2" t="n">
        <v>98.07</v>
      </c>
      <c r="EG660" s="2" t="n">
        <v>0</v>
      </c>
      <c r="EH660" s="2" t="n">
        <v>100</v>
      </c>
      <c r="EI660" s="2" t="n">
        <v>99.79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 customFormat="false" ht="15" hidden="false" customHeight="false" outlineLevel="0" collapsed="false">
      <c r="A661" s="2" t="n">
        <v>4</v>
      </c>
      <c r="B661" s="2" t="s">
        <v>1678</v>
      </c>
      <c r="C661" s="2" t="s">
        <v>1679</v>
      </c>
      <c r="D661" s="2" t="s">
        <v>1627</v>
      </c>
      <c r="E661" s="2" t="s">
        <v>1587</v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95.96</v>
      </c>
      <c r="EC661" s="2" t="n">
        <v>93.58</v>
      </c>
      <c r="ED661" s="2" t="n">
        <v>0</v>
      </c>
      <c r="EE661" s="2" t="n">
        <v>99.11</v>
      </c>
      <c r="EF661" s="2" t="n">
        <v>98.07</v>
      </c>
      <c r="EG661" s="2" t="n">
        <v>0</v>
      </c>
      <c r="EH661" s="2" t="n">
        <v>100</v>
      </c>
      <c r="EI661" s="2" t="n">
        <v>99.79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 customFormat="false" ht="15" hidden="false" customHeight="false" outlineLevel="0" collapsed="false">
      <c r="A662" s="2" t="n">
        <v>4</v>
      </c>
      <c r="B662" s="2" t="s">
        <v>1680</v>
      </c>
      <c r="C662" s="2" t="s">
        <v>1681</v>
      </c>
      <c r="D662" s="2" t="s">
        <v>1627</v>
      </c>
      <c r="E662" s="2" t="s">
        <v>1587</v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95.96</v>
      </c>
      <c r="EC662" s="2" t="n">
        <v>93.58</v>
      </c>
      <c r="ED662" s="2" t="n">
        <v>0</v>
      </c>
      <c r="EE662" s="2" t="n">
        <v>99.11</v>
      </c>
      <c r="EF662" s="2" t="n">
        <v>98.07</v>
      </c>
      <c r="EG662" s="2" t="n">
        <v>0</v>
      </c>
      <c r="EH662" s="2" t="n">
        <v>100</v>
      </c>
      <c r="EI662" s="2" t="n">
        <v>99.79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 customFormat="false" ht="15" hidden="false" customHeight="false" outlineLevel="0" collapsed="false">
      <c r="A663" s="2" t="n">
        <v>4</v>
      </c>
      <c r="B663" s="2" t="s">
        <v>1682</v>
      </c>
      <c r="C663" s="2" t="s">
        <v>1683</v>
      </c>
      <c r="D663" s="2" t="s">
        <v>1627</v>
      </c>
      <c r="E663" s="2" t="s">
        <v>1587</v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95.96</v>
      </c>
      <c r="EC663" s="2" t="n">
        <v>93.58</v>
      </c>
      <c r="ED663" s="2" t="n">
        <v>0</v>
      </c>
      <c r="EE663" s="2" t="n">
        <v>99.11</v>
      </c>
      <c r="EF663" s="2" t="n">
        <v>98.07</v>
      </c>
      <c r="EG663" s="2" t="n">
        <v>0</v>
      </c>
      <c r="EH663" s="2" t="n">
        <v>100</v>
      </c>
      <c r="EI663" s="2" t="n">
        <v>99.79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 customFormat="false" ht="15" hidden="false" customHeight="false" outlineLevel="0" collapsed="false">
      <c r="A664" s="2" t="n">
        <v>4</v>
      </c>
      <c r="B664" s="2" t="s">
        <v>1684</v>
      </c>
      <c r="C664" s="2" t="s">
        <v>1685</v>
      </c>
      <c r="D664" s="2" t="s">
        <v>1627</v>
      </c>
      <c r="E664" s="2" t="s">
        <v>1587</v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95.96</v>
      </c>
      <c r="EC664" s="2" t="n">
        <v>93.58</v>
      </c>
      <c r="ED664" s="2" t="n">
        <v>0</v>
      </c>
      <c r="EE664" s="2" t="n">
        <v>99.11</v>
      </c>
      <c r="EF664" s="2" t="n">
        <v>98.07</v>
      </c>
      <c r="EG664" s="2" t="n">
        <v>0</v>
      </c>
      <c r="EH664" s="2" t="n">
        <v>100</v>
      </c>
      <c r="EI664" s="2" t="n">
        <v>99.79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 customFormat="false" ht="15" hidden="false" customHeight="false" outlineLevel="0" collapsed="false">
      <c r="A665" s="2" t="n">
        <v>4</v>
      </c>
      <c r="B665" s="2" t="s">
        <v>1686</v>
      </c>
      <c r="C665" s="2" t="s">
        <v>1687</v>
      </c>
      <c r="D665" s="2" t="s">
        <v>1627</v>
      </c>
      <c r="E665" s="2" t="s">
        <v>1587</v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95.96</v>
      </c>
      <c r="EC665" s="2" t="n">
        <v>93.58</v>
      </c>
      <c r="ED665" s="2" t="n">
        <v>0</v>
      </c>
      <c r="EE665" s="2" t="n">
        <v>99.11</v>
      </c>
      <c r="EF665" s="2" t="n">
        <v>98.07</v>
      </c>
      <c r="EG665" s="2" t="n">
        <v>0</v>
      </c>
      <c r="EH665" s="2" t="n">
        <v>100</v>
      </c>
      <c r="EI665" s="2" t="n">
        <v>99.79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 customFormat="false" ht="15" hidden="false" customHeight="false" outlineLevel="0" collapsed="false">
      <c r="A666" s="2" t="n">
        <v>4</v>
      </c>
      <c r="B666" s="2" t="s">
        <v>1688</v>
      </c>
      <c r="C666" s="2" t="s">
        <v>1689</v>
      </c>
      <c r="D666" s="2" t="s">
        <v>1627</v>
      </c>
      <c r="E666" s="2" t="s">
        <v>1587</v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95.96</v>
      </c>
      <c r="EC666" s="2" t="n">
        <v>93.58</v>
      </c>
      <c r="ED666" s="2" t="n">
        <v>0</v>
      </c>
      <c r="EE666" s="2" t="n">
        <v>99.11</v>
      </c>
      <c r="EF666" s="2" t="n">
        <v>98.07</v>
      </c>
      <c r="EG666" s="2" t="n">
        <v>0</v>
      </c>
      <c r="EH666" s="2" t="n">
        <v>100</v>
      </c>
      <c r="EI666" s="2" t="n">
        <v>99.79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 customFormat="false" ht="15" hidden="false" customHeight="false" outlineLevel="0" collapsed="false">
      <c r="A667" s="2" t="n">
        <v>4</v>
      </c>
      <c r="B667" s="2" t="s">
        <v>1690</v>
      </c>
      <c r="C667" s="2" t="s">
        <v>1691</v>
      </c>
      <c r="D667" s="2" t="s">
        <v>1627</v>
      </c>
      <c r="E667" s="2" t="s">
        <v>1587</v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95.96</v>
      </c>
      <c r="EC667" s="2" t="n">
        <v>93.58</v>
      </c>
      <c r="ED667" s="2" t="n">
        <v>0</v>
      </c>
      <c r="EE667" s="2" t="n">
        <v>99.11</v>
      </c>
      <c r="EF667" s="2" t="n">
        <v>98.07</v>
      </c>
      <c r="EG667" s="2" t="n">
        <v>0</v>
      </c>
      <c r="EH667" s="2" t="n">
        <v>100</v>
      </c>
      <c r="EI667" s="2" t="n">
        <v>99.79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 customFormat="false" ht="15" hidden="false" customHeight="false" outlineLevel="0" collapsed="false">
      <c r="A668" s="2" t="n">
        <v>4</v>
      </c>
      <c r="B668" s="2" t="s">
        <v>1692</v>
      </c>
      <c r="C668" s="2" t="s">
        <v>1693</v>
      </c>
      <c r="D668" s="2" t="s">
        <v>1627</v>
      </c>
      <c r="E668" s="2" t="s">
        <v>1587</v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95.96</v>
      </c>
      <c r="EC668" s="2" t="n">
        <v>93.58</v>
      </c>
      <c r="ED668" s="2" t="n">
        <v>0</v>
      </c>
      <c r="EE668" s="2" t="n">
        <v>99.11</v>
      </c>
      <c r="EF668" s="2" t="n">
        <v>98.07</v>
      </c>
      <c r="EG668" s="2" t="n">
        <v>0</v>
      </c>
      <c r="EH668" s="2" t="n">
        <v>100</v>
      </c>
      <c r="EI668" s="2" t="n">
        <v>99.79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 customFormat="false" ht="15" hidden="false" customHeight="false" outlineLevel="0" collapsed="false">
      <c r="A669" s="2" t="n">
        <v>4</v>
      </c>
      <c r="B669" s="2" t="s">
        <v>1694</v>
      </c>
      <c r="C669" s="2" t="s">
        <v>1695</v>
      </c>
      <c r="D669" s="2" t="s">
        <v>1627</v>
      </c>
      <c r="E669" s="2" t="s">
        <v>1587</v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95.96</v>
      </c>
      <c r="EC669" s="2" t="n">
        <v>93.58</v>
      </c>
      <c r="ED669" s="2" t="n">
        <v>0</v>
      </c>
      <c r="EE669" s="2" t="n">
        <v>99.11</v>
      </c>
      <c r="EF669" s="2" t="n">
        <v>98.07</v>
      </c>
      <c r="EG669" s="2" t="n">
        <v>0</v>
      </c>
      <c r="EH669" s="2" t="n">
        <v>100</v>
      </c>
      <c r="EI669" s="2" t="n">
        <v>99.79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 customFormat="false" ht="15" hidden="false" customHeight="false" outlineLevel="0" collapsed="false">
      <c r="A670" s="2" t="n">
        <v>4</v>
      </c>
      <c r="B670" s="2" t="s">
        <v>1696</v>
      </c>
      <c r="C670" s="2" t="s">
        <v>1697</v>
      </c>
      <c r="D670" s="2" t="s">
        <v>1627</v>
      </c>
      <c r="E670" s="2" t="s">
        <v>1587</v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95.96</v>
      </c>
      <c r="EC670" s="2" t="n">
        <v>93.58</v>
      </c>
      <c r="ED670" s="2" t="n">
        <v>0</v>
      </c>
      <c r="EE670" s="2" t="n">
        <v>99.11</v>
      </c>
      <c r="EF670" s="2" t="n">
        <v>98.07</v>
      </c>
      <c r="EG670" s="2" t="n">
        <v>0</v>
      </c>
      <c r="EH670" s="2" t="n">
        <v>100</v>
      </c>
      <c r="EI670" s="2" t="n">
        <v>99.79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 customFormat="false" ht="15" hidden="false" customHeight="false" outlineLevel="0" collapsed="false">
      <c r="A671" s="2" t="n">
        <v>4</v>
      </c>
      <c r="B671" s="2" t="s">
        <v>1698</v>
      </c>
      <c r="C671" s="2" t="s">
        <v>1699</v>
      </c>
      <c r="D671" s="2" t="s">
        <v>1627</v>
      </c>
      <c r="E671" s="2" t="s">
        <v>1587</v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95.96</v>
      </c>
      <c r="EC671" s="2" t="n">
        <v>93.58</v>
      </c>
      <c r="ED671" s="2" t="n">
        <v>0</v>
      </c>
      <c r="EE671" s="2" t="n">
        <v>99.11</v>
      </c>
      <c r="EF671" s="2" t="n">
        <v>98.07</v>
      </c>
      <c r="EG671" s="2" t="n">
        <v>0</v>
      </c>
      <c r="EH671" s="2" t="n">
        <v>100</v>
      </c>
      <c r="EI671" s="2" t="n">
        <v>99.79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 customFormat="false" ht="15" hidden="false" customHeight="false" outlineLevel="0" collapsed="false">
      <c r="A672" s="2" t="n">
        <v>4</v>
      </c>
      <c r="B672" s="2" t="s">
        <v>1700</v>
      </c>
      <c r="C672" s="2" t="s">
        <v>1701</v>
      </c>
      <c r="D672" s="2" t="s">
        <v>1627</v>
      </c>
      <c r="E672" s="2" t="s">
        <v>1587</v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95.96</v>
      </c>
      <c r="EC672" s="2" t="n">
        <v>93.58</v>
      </c>
      <c r="ED672" s="2" t="n">
        <v>0</v>
      </c>
      <c r="EE672" s="2" t="n">
        <v>99.11</v>
      </c>
      <c r="EF672" s="2" t="n">
        <v>98.07</v>
      </c>
      <c r="EG672" s="2" t="n">
        <v>0</v>
      </c>
      <c r="EH672" s="2" t="n">
        <v>100</v>
      </c>
      <c r="EI672" s="2" t="n">
        <v>99.79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 customFormat="false" ht="15" hidden="false" customHeight="false" outlineLevel="0" collapsed="false">
      <c r="A673" s="2" t="n">
        <v>4</v>
      </c>
      <c r="B673" s="2" t="s">
        <v>1702</v>
      </c>
      <c r="C673" s="2" t="s">
        <v>1703</v>
      </c>
      <c r="D673" s="2" t="s">
        <v>1627</v>
      </c>
      <c r="E673" s="2" t="s">
        <v>1587</v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95.96</v>
      </c>
      <c r="EC673" s="2" t="n">
        <v>93.58</v>
      </c>
      <c r="ED673" s="2" t="n">
        <v>0</v>
      </c>
      <c r="EE673" s="2" t="n">
        <v>99.11</v>
      </c>
      <c r="EF673" s="2" t="n">
        <v>98.07</v>
      </c>
      <c r="EG673" s="2" t="n">
        <v>0</v>
      </c>
      <c r="EH673" s="2" t="n">
        <v>100</v>
      </c>
      <c r="EI673" s="2" t="n">
        <v>99.79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 customFormat="false" ht="15" hidden="false" customHeight="false" outlineLevel="0" collapsed="false">
      <c r="A674" s="2" t="n">
        <v>4</v>
      </c>
      <c r="B674" s="2" t="s">
        <v>1704</v>
      </c>
      <c r="C674" s="2" t="s">
        <v>1705</v>
      </c>
      <c r="D674" s="2" t="s">
        <v>1627</v>
      </c>
      <c r="E674" s="2" t="s">
        <v>1587</v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95.96</v>
      </c>
      <c r="EC674" s="2" t="n">
        <v>93.58</v>
      </c>
      <c r="ED674" s="2" t="n">
        <v>0</v>
      </c>
      <c r="EE674" s="2" t="n">
        <v>99.11</v>
      </c>
      <c r="EF674" s="2" t="n">
        <v>98.07</v>
      </c>
      <c r="EG674" s="2" t="n">
        <v>0</v>
      </c>
      <c r="EH674" s="2" t="n">
        <v>100</v>
      </c>
      <c r="EI674" s="2" t="n">
        <v>99.79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 customFormat="false" ht="15" hidden="false" customHeight="false" outlineLevel="0" collapsed="false">
      <c r="A675" s="2" t="n">
        <v>4</v>
      </c>
      <c r="B675" s="2" t="s">
        <v>1706</v>
      </c>
      <c r="C675" s="2" t="s">
        <v>1707</v>
      </c>
      <c r="D675" s="2" t="s">
        <v>1627</v>
      </c>
      <c r="E675" s="2" t="s">
        <v>1587</v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95.96</v>
      </c>
      <c r="EC675" s="2" t="n">
        <v>93.58</v>
      </c>
      <c r="ED675" s="2" t="n">
        <v>0</v>
      </c>
      <c r="EE675" s="2" t="n">
        <v>99.11</v>
      </c>
      <c r="EF675" s="2" t="n">
        <v>98.07</v>
      </c>
      <c r="EG675" s="2" t="n">
        <v>0</v>
      </c>
      <c r="EH675" s="2" t="n">
        <v>100</v>
      </c>
      <c r="EI675" s="2" t="n">
        <v>99.79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 customFormat="false" ht="15" hidden="false" customHeight="false" outlineLevel="0" collapsed="false">
      <c r="A676" s="2" t="n">
        <v>4</v>
      </c>
      <c r="B676" s="2" t="s">
        <v>1708</v>
      </c>
      <c r="C676" s="2" t="s">
        <v>1709</v>
      </c>
      <c r="D676" s="2" t="s">
        <v>1627</v>
      </c>
      <c r="E676" s="2" t="s">
        <v>1587</v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95.96</v>
      </c>
      <c r="EC676" s="2" t="n">
        <v>93.58</v>
      </c>
      <c r="ED676" s="2" t="n">
        <v>0</v>
      </c>
      <c r="EE676" s="2" t="n">
        <v>99.11</v>
      </c>
      <c r="EF676" s="2" t="n">
        <v>98.07</v>
      </c>
      <c r="EG676" s="2" t="n">
        <v>0</v>
      </c>
      <c r="EH676" s="2" t="n">
        <v>100</v>
      </c>
      <c r="EI676" s="2" t="n">
        <v>99.79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 customFormat="false" ht="15" hidden="false" customHeight="false" outlineLevel="0" collapsed="false">
      <c r="A677" s="2" t="n">
        <v>4</v>
      </c>
      <c r="B677" s="2" t="s">
        <v>1710</v>
      </c>
      <c r="C677" s="2" t="s">
        <v>1711</v>
      </c>
      <c r="D677" s="2" t="s">
        <v>1627</v>
      </c>
      <c r="E677" s="2" t="s">
        <v>1587</v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95.96</v>
      </c>
      <c r="EC677" s="2" t="n">
        <v>93.58</v>
      </c>
      <c r="ED677" s="2" t="n">
        <v>0</v>
      </c>
      <c r="EE677" s="2" t="n">
        <v>99.11</v>
      </c>
      <c r="EF677" s="2" t="n">
        <v>98.07</v>
      </c>
      <c r="EG677" s="2" t="n">
        <v>0</v>
      </c>
      <c r="EH677" s="2" t="n">
        <v>100</v>
      </c>
      <c r="EI677" s="2" t="n">
        <v>99.79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 customFormat="false" ht="15" hidden="false" customHeight="false" outlineLevel="0" collapsed="false">
      <c r="A678" s="2" t="n">
        <v>4</v>
      </c>
      <c r="B678" s="2" t="s">
        <v>1712</v>
      </c>
      <c r="C678" s="2" t="s">
        <v>1713</v>
      </c>
      <c r="D678" s="2" t="s">
        <v>1627</v>
      </c>
      <c r="E678" s="2" t="s">
        <v>1587</v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95.96</v>
      </c>
      <c r="EC678" s="2" t="n">
        <v>93.58</v>
      </c>
      <c r="ED678" s="2" t="n">
        <v>0</v>
      </c>
      <c r="EE678" s="2" t="n">
        <v>99.11</v>
      </c>
      <c r="EF678" s="2" t="n">
        <v>98.07</v>
      </c>
      <c r="EG678" s="2" t="n">
        <v>0</v>
      </c>
      <c r="EH678" s="2" t="n">
        <v>100</v>
      </c>
      <c r="EI678" s="2" t="n">
        <v>99.79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 customFormat="false" ht="15" hidden="false" customHeight="false" outlineLevel="0" collapsed="false">
      <c r="A679" s="2" t="n">
        <v>4</v>
      </c>
      <c r="B679" s="2" t="s">
        <v>1714</v>
      </c>
      <c r="C679" s="2" t="s">
        <v>1715</v>
      </c>
      <c r="D679" s="2" t="s">
        <v>1627</v>
      </c>
      <c r="E679" s="2" t="s">
        <v>1587</v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95.96</v>
      </c>
      <c r="EC679" s="2" t="n">
        <v>93.58</v>
      </c>
      <c r="ED679" s="2" t="n">
        <v>0</v>
      </c>
      <c r="EE679" s="2" t="n">
        <v>99.11</v>
      </c>
      <c r="EF679" s="2" t="n">
        <v>98.07</v>
      </c>
      <c r="EG679" s="2" t="n">
        <v>0</v>
      </c>
      <c r="EH679" s="2" t="n">
        <v>100</v>
      </c>
      <c r="EI679" s="2" t="n">
        <v>99.79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 customFormat="false" ht="15" hidden="false" customHeight="false" outlineLevel="0" collapsed="false">
      <c r="A680" s="2" t="n">
        <v>4</v>
      </c>
      <c r="B680" s="2" t="s">
        <v>1716</v>
      </c>
      <c r="C680" s="2" t="s">
        <v>1717</v>
      </c>
      <c r="D680" s="2" t="s">
        <v>1627</v>
      </c>
      <c r="E680" s="2" t="s">
        <v>1587</v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95.96</v>
      </c>
      <c r="EC680" s="2" t="n">
        <v>93.58</v>
      </c>
      <c r="ED680" s="2" t="n">
        <v>0</v>
      </c>
      <c r="EE680" s="2" t="n">
        <v>99.11</v>
      </c>
      <c r="EF680" s="2" t="n">
        <v>98.07</v>
      </c>
      <c r="EG680" s="2" t="n">
        <v>0</v>
      </c>
      <c r="EH680" s="2" t="n">
        <v>100</v>
      </c>
      <c r="EI680" s="2" t="n">
        <v>99.79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 customFormat="false" ht="15" hidden="false" customHeight="false" outlineLevel="0" collapsed="false">
      <c r="A681" s="2" t="n">
        <v>4</v>
      </c>
      <c r="B681" s="2" t="s">
        <v>1718</v>
      </c>
      <c r="C681" s="2" t="s">
        <v>1719</v>
      </c>
      <c r="D681" s="2" t="s">
        <v>1627</v>
      </c>
      <c r="E681" s="2" t="s">
        <v>1587</v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95.96</v>
      </c>
      <c r="EC681" s="2" t="n">
        <v>93.58</v>
      </c>
      <c r="ED681" s="2" t="n">
        <v>0</v>
      </c>
      <c r="EE681" s="2" t="n">
        <v>99.11</v>
      </c>
      <c r="EF681" s="2" t="n">
        <v>98.07</v>
      </c>
      <c r="EG681" s="2" t="n">
        <v>0</v>
      </c>
      <c r="EH681" s="2" t="n">
        <v>100</v>
      </c>
      <c r="EI681" s="2" t="n">
        <v>99.79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 customFormat="false" ht="15" hidden="false" customHeight="false" outlineLevel="0" collapsed="false">
      <c r="A682" s="2" t="n">
        <v>4</v>
      </c>
      <c r="B682" s="2" t="s">
        <v>1720</v>
      </c>
      <c r="C682" s="2" t="s">
        <v>1721</v>
      </c>
      <c r="D682" s="2" t="s">
        <v>1627</v>
      </c>
      <c r="E682" s="2" t="s">
        <v>1587</v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95.96</v>
      </c>
      <c r="EC682" s="2" t="n">
        <v>93.58</v>
      </c>
      <c r="ED682" s="2" t="n">
        <v>0</v>
      </c>
      <c r="EE682" s="2" t="n">
        <v>99.11</v>
      </c>
      <c r="EF682" s="2" t="n">
        <v>98.07</v>
      </c>
      <c r="EG682" s="2" t="n">
        <v>0</v>
      </c>
      <c r="EH682" s="2" t="n">
        <v>100</v>
      </c>
      <c r="EI682" s="2" t="n">
        <v>99.79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 customFormat="false" ht="15" hidden="false" customHeight="false" outlineLevel="0" collapsed="false">
      <c r="A683" s="2" t="n">
        <v>4</v>
      </c>
      <c r="B683" s="2" t="s">
        <v>1722</v>
      </c>
      <c r="C683" s="2" t="s">
        <v>1723</v>
      </c>
      <c r="D683" s="2" t="s">
        <v>1627</v>
      </c>
      <c r="E683" s="2" t="s">
        <v>1587</v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95.96</v>
      </c>
      <c r="EC683" s="2" t="n">
        <v>93.58</v>
      </c>
      <c r="ED683" s="2" t="n">
        <v>0</v>
      </c>
      <c r="EE683" s="2" t="n">
        <v>99.11</v>
      </c>
      <c r="EF683" s="2" t="n">
        <v>98.07</v>
      </c>
      <c r="EG683" s="2" t="n">
        <v>0</v>
      </c>
      <c r="EH683" s="2" t="n">
        <v>100</v>
      </c>
      <c r="EI683" s="2" t="n">
        <v>99.79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 customFormat="false" ht="15" hidden="false" customHeight="false" outlineLevel="0" collapsed="false">
      <c r="A684" s="2" t="n">
        <v>4</v>
      </c>
      <c r="B684" s="2" t="s">
        <v>1724</v>
      </c>
      <c r="C684" s="2" t="s">
        <v>1725</v>
      </c>
      <c r="D684" s="2" t="s">
        <v>1627</v>
      </c>
      <c r="E684" s="2" t="s">
        <v>1587</v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95.96</v>
      </c>
      <c r="EC684" s="2" t="n">
        <v>93.58</v>
      </c>
      <c r="ED684" s="2" t="n">
        <v>0</v>
      </c>
      <c r="EE684" s="2" t="n">
        <v>99.11</v>
      </c>
      <c r="EF684" s="2" t="n">
        <v>98.07</v>
      </c>
      <c r="EG684" s="2" t="n">
        <v>0</v>
      </c>
      <c r="EH684" s="2" t="n">
        <v>100</v>
      </c>
      <c r="EI684" s="2" t="n">
        <v>99.79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 customFormat="false" ht="15" hidden="false" customHeight="false" outlineLevel="0" collapsed="false">
      <c r="A685" s="2" t="n">
        <v>4</v>
      </c>
      <c r="B685" s="2" t="s">
        <v>1726</v>
      </c>
      <c r="C685" s="2" t="s">
        <v>1727</v>
      </c>
      <c r="D685" s="2" t="s">
        <v>1627</v>
      </c>
      <c r="E685" s="2" t="s">
        <v>1587</v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95.96</v>
      </c>
      <c r="EC685" s="2" t="n">
        <v>93.58</v>
      </c>
      <c r="ED685" s="2" t="n">
        <v>0</v>
      </c>
      <c r="EE685" s="2" t="n">
        <v>99.11</v>
      </c>
      <c r="EF685" s="2" t="n">
        <v>98.07</v>
      </c>
      <c r="EG685" s="2" t="n">
        <v>0</v>
      </c>
      <c r="EH685" s="2" t="n">
        <v>100</v>
      </c>
      <c r="EI685" s="2" t="n">
        <v>99.79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 customFormat="false" ht="15" hidden="false" customHeight="false" outlineLevel="0" collapsed="false">
      <c r="A686" s="2" t="n">
        <v>4</v>
      </c>
      <c r="B686" s="2" t="s">
        <v>1728</v>
      </c>
      <c r="C686" s="2" t="s">
        <v>1729</v>
      </c>
      <c r="D686" s="2" t="s">
        <v>1627</v>
      </c>
      <c r="E686" s="2" t="s">
        <v>1587</v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95.96</v>
      </c>
      <c r="EC686" s="2" t="n">
        <v>93.58</v>
      </c>
      <c r="ED686" s="2" t="n">
        <v>0</v>
      </c>
      <c r="EE686" s="2" t="n">
        <v>99.11</v>
      </c>
      <c r="EF686" s="2" t="n">
        <v>98.07</v>
      </c>
      <c r="EG686" s="2" t="n">
        <v>0</v>
      </c>
      <c r="EH686" s="2" t="n">
        <v>100</v>
      </c>
      <c r="EI686" s="2" t="n">
        <v>99.79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 customFormat="false" ht="15" hidden="false" customHeight="false" outlineLevel="0" collapsed="false">
      <c r="A687" s="2" t="n">
        <v>4</v>
      </c>
      <c r="B687" s="2" t="s">
        <v>1730</v>
      </c>
      <c r="C687" s="2" t="s">
        <v>1731</v>
      </c>
      <c r="D687" s="2" t="s">
        <v>1627</v>
      </c>
      <c r="E687" s="2" t="s">
        <v>1587</v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95.96</v>
      </c>
      <c r="EC687" s="2" t="n">
        <v>93.58</v>
      </c>
      <c r="ED687" s="2" t="n">
        <v>0</v>
      </c>
      <c r="EE687" s="2" t="n">
        <v>99.11</v>
      </c>
      <c r="EF687" s="2" t="n">
        <v>98.07</v>
      </c>
      <c r="EG687" s="2" t="n">
        <v>0</v>
      </c>
      <c r="EH687" s="2" t="n">
        <v>100</v>
      </c>
      <c r="EI687" s="2" t="n">
        <v>99.79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 customFormat="false" ht="15" hidden="false" customHeight="false" outlineLevel="0" collapsed="false">
      <c r="A688" s="2" t="n">
        <v>4</v>
      </c>
      <c r="B688" s="2" t="s">
        <v>1732</v>
      </c>
      <c r="C688" s="2" t="s">
        <v>1733</v>
      </c>
      <c r="D688" s="2" t="s">
        <v>1627</v>
      </c>
      <c r="E688" s="2" t="s">
        <v>1587</v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95.96</v>
      </c>
      <c r="EC688" s="2" t="n">
        <v>93.58</v>
      </c>
      <c r="ED688" s="2" t="n">
        <v>0</v>
      </c>
      <c r="EE688" s="2" t="n">
        <v>99.11</v>
      </c>
      <c r="EF688" s="2" t="n">
        <v>98.07</v>
      </c>
      <c r="EG688" s="2" t="n">
        <v>0</v>
      </c>
      <c r="EH688" s="2" t="n">
        <v>100</v>
      </c>
      <c r="EI688" s="2" t="n">
        <v>99.79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 customFormat="false" ht="15" hidden="false" customHeight="false" outlineLevel="0" collapsed="false">
      <c r="A689" s="2" t="n">
        <v>4</v>
      </c>
      <c r="B689" s="2" t="s">
        <v>1734</v>
      </c>
      <c r="C689" s="2" t="s">
        <v>1735</v>
      </c>
      <c r="D689" s="2" t="s">
        <v>1627</v>
      </c>
      <c r="E689" s="2" t="s">
        <v>1587</v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95.96</v>
      </c>
      <c r="EC689" s="2" t="n">
        <v>93.58</v>
      </c>
      <c r="ED689" s="2" t="n">
        <v>0</v>
      </c>
      <c r="EE689" s="2" t="n">
        <v>99.11</v>
      </c>
      <c r="EF689" s="2" t="n">
        <v>98.07</v>
      </c>
      <c r="EG689" s="2" t="n">
        <v>0</v>
      </c>
      <c r="EH689" s="2" t="n">
        <v>100</v>
      </c>
      <c r="EI689" s="2" t="n">
        <v>99.79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 customFormat="false" ht="15" hidden="false" customHeight="false" outlineLevel="0" collapsed="false">
      <c r="A690" s="2" t="n">
        <v>4</v>
      </c>
      <c r="B690" s="2" t="s">
        <v>1736</v>
      </c>
      <c r="C690" s="2" t="s">
        <v>1737</v>
      </c>
      <c r="D690" s="2" t="s">
        <v>1627</v>
      </c>
      <c r="E690" s="2" t="s">
        <v>1587</v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95.96</v>
      </c>
      <c r="EC690" s="2" t="n">
        <v>93.58</v>
      </c>
      <c r="ED690" s="2" t="n">
        <v>0</v>
      </c>
      <c r="EE690" s="2" t="n">
        <v>99.11</v>
      </c>
      <c r="EF690" s="2" t="n">
        <v>98.07</v>
      </c>
      <c r="EG690" s="2" t="n">
        <v>0</v>
      </c>
      <c r="EH690" s="2" t="n">
        <v>100</v>
      </c>
      <c r="EI690" s="2" t="n">
        <v>99.79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 customFormat="false" ht="15" hidden="false" customHeight="false" outlineLevel="0" collapsed="false">
      <c r="A691" s="2" t="n">
        <v>4</v>
      </c>
      <c r="B691" s="2" t="s">
        <v>1738</v>
      </c>
      <c r="C691" s="2" t="s">
        <v>1739</v>
      </c>
      <c r="D691" s="2" t="s">
        <v>1627</v>
      </c>
      <c r="E691" s="2" t="s">
        <v>1587</v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95.96</v>
      </c>
      <c r="EC691" s="2" t="n">
        <v>93.58</v>
      </c>
      <c r="ED691" s="2" t="n">
        <v>0</v>
      </c>
      <c r="EE691" s="2" t="n">
        <v>99.11</v>
      </c>
      <c r="EF691" s="2" t="n">
        <v>98.07</v>
      </c>
      <c r="EG691" s="2" t="n">
        <v>0</v>
      </c>
      <c r="EH691" s="2" t="n">
        <v>100</v>
      </c>
      <c r="EI691" s="2" t="n">
        <v>99.79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 customFormat="false" ht="15" hidden="false" customHeight="false" outlineLevel="0" collapsed="false">
      <c r="A692" s="2" t="n">
        <v>4</v>
      </c>
      <c r="B692" s="2" t="s">
        <v>1740</v>
      </c>
      <c r="C692" s="2" t="s">
        <v>1741</v>
      </c>
      <c r="D692" s="2" t="s">
        <v>1627</v>
      </c>
      <c r="E692" s="2" t="s">
        <v>1587</v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95.96</v>
      </c>
      <c r="EC692" s="2" t="n">
        <v>93.58</v>
      </c>
      <c r="ED692" s="2" t="n">
        <v>0</v>
      </c>
      <c r="EE692" s="2" t="n">
        <v>99.11</v>
      </c>
      <c r="EF692" s="2" t="n">
        <v>98.07</v>
      </c>
      <c r="EG692" s="2" t="n">
        <v>0</v>
      </c>
      <c r="EH692" s="2" t="n">
        <v>100</v>
      </c>
      <c r="EI692" s="2" t="n">
        <v>99.79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 customFormat="false" ht="15" hidden="false" customHeight="false" outlineLevel="0" collapsed="false">
      <c r="A693" s="2" t="n">
        <v>4</v>
      </c>
      <c r="B693" s="2" t="s">
        <v>1742</v>
      </c>
      <c r="C693" s="2" t="s">
        <v>1743</v>
      </c>
      <c r="D693" s="2" t="s">
        <v>1627</v>
      </c>
      <c r="E693" s="2" t="s">
        <v>1587</v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95.96</v>
      </c>
      <c r="EC693" s="2" t="n">
        <v>93.58</v>
      </c>
      <c r="ED693" s="2" t="n">
        <v>0</v>
      </c>
      <c r="EE693" s="2" t="n">
        <v>99.11</v>
      </c>
      <c r="EF693" s="2" t="n">
        <v>98.07</v>
      </c>
      <c r="EG693" s="2" t="n">
        <v>0</v>
      </c>
      <c r="EH693" s="2" t="n">
        <v>100</v>
      </c>
      <c r="EI693" s="2" t="n">
        <v>99.79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 customFormat="false" ht="15" hidden="false" customHeight="false" outlineLevel="0" collapsed="false">
      <c r="A694" s="2" t="n">
        <v>4</v>
      </c>
      <c r="B694" s="2" t="s">
        <v>1744</v>
      </c>
      <c r="C694" s="2" t="s">
        <v>1745</v>
      </c>
      <c r="D694" s="2" t="s">
        <v>1627</v>
      </c>
      <c r="E694" s="2" t="s">
        <v>1587</v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95.96</v>
      </c>
      <c r="EC694" s="2" t="n">
        <v>93.58</v>
      </c>
      <c r="ED694" s="2" t="n">
        <v>0</v>
      </c>
      <c r="EE694" s="2" t="n">
        <v>99.11</v>
      </c>
      <c r="EF694" s="2" t="n">
        <v>98.07</v>
      </c>
      <c r="EG694" s="2" t="n">
        <v>0</v>
      </c>
      <c r="EH694" s="2" t="n">
        <v>100</v>
      </c>
      <c r="EI694" s="2" t="n">
        <v>99.79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 customFormat="false" ht="15" hidden="false" customHeight="false" outlineLevel="0" collapsed="false">
      <c r="A695" s="2" t="n">
        <v>4</v>
      </c>
      <c r="B695" s="2" t="s">
        <v>1746</v>
      </c>
      <c r="C695" s="2" t="s">
        <v>1747</v>
      </c>
      <c r="D695" s="2" t="s">
        <v>1627</v>
      </c>
      <c r="E695" s="2" t="s">
        <v>1587</v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95.96</v>
      </c>
      <c r="EC695" s="2" t="n">
        <v>93.58</v>
      </c>
      <c r="ED695" s="2" t="n">
        <v>0</v>
      </c>
      <c r="EE695" s="2" t="n">
        <v>99.11</v>
      </c>
      <c r="EF695" s="2" t="n">
        <v>98.07</v>
      </c>
      <c r="EG695" s="2" t="n">
        <v>0</v>
      </c>
      <c r="EH695" s="2" t="n">
        <v>100</v>
      </c>
      <c r="EI695" s="2" t="n">
        <v>99.79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 customFormat="false" ht="15" hidden="false" customHeight="false" outlineLevel="0" collapsed="false">
      <c r="A696" s="2" t="n">
        <v>4</v>
      </c>
      <c r="B696" s="2" t="s">
        <v>1748</v>
      </c>
      <c r="C696" s="2" t="s">
        <v>1749</v>
      </c>
      <c r="D696" s="2" t="s">
        <v>1627</v>
      </c>
      <c r="E696" s="2" t="s">
        <v>1587</v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95.96</v>
      </c>
      <c r="EC696" s="2" t="n">
        <v>93.58</v>
      </c>
      <c r="ED696" s="2" t="n">
        <v>0</v>
      </c>
      <c r="EE696" s="2" t="n">
        <v>99.11</v>
      </c>
      <c r="EF696" s="2" t="n">
        <v>98.07</v>
      </c>
      <c r="EG696" s="2" t="n">
        <v>0</v>
      </c>
      <c r="EH696" s="2" t="n">
        <v>100</v>
      </c>
      <c r="EI696" s="2" t="n">
        <v>99.79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 customFormat="false" ht="15" hidden="false" customHeight="false" outlineLevel="0" collapsed="false">
      <c r="A697" s="2" t="n">
        <v>4</v>
      </c>
      <c r="B697" s="2" t="s">
        <v>1750</v>
      </c>
      <c r="C697" s="2" t="s">
        <v>1751</v>
      </c>
      <c r="D697" s="2" t="s">
        <v>1627</v>
      </c>
      <c r="E697" s="2" t="s">
        <v>1587</v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95.96</v>
      </c>
      <c r="EC697" s="2" t="n">
        <v>93.58</v>
      </c>
      <c r="ED697" s="2" t="n">
        <v>0</v>
      </c>
      <c r="EE697" s="2" t="n">
        <v>99.11</v>
      </c>
      <c r="EF697" s="2" t="n">
        <v>98.07</v>
      </c>
      <c r="EG697" s="2" t="n">
        <v>0</v>
      </c>
      <c r="EH697" s="2" t="n">
        <v>100</v>
      </c>
      <c r="EI697" s="2" t="n">
        <v>99.79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 customFormat="false" ht="15" hidden="false" customHeight="false" outlineLevel="0" collapsed="false">
      <c r="A698" s="2" t="n">
        <v>4</v>
      </c>
      <c r="B698" s="2" t="s">
        <v>1752</v>
      </c>
      <c r="C698" s="2" t="s">
        <v>1753</v>
      </c>
      <c r="D698" s="2" t="s">
        <v>1627</v>
      </c>
      <c r="E698" s="2" t="s">
        <v>1587</v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95.96</v>
      </c>
      <c r="EC698" s="2" t="n">
        <v>93.58</v>
      </c>
      <c r="ED698" s="2" t="n">
        <v>0</v>
      </c>
      <c r="EE698" s="2" t="n">
        <v>99.11</v>
      </c>
      <c r="EF698" s="2" t="n">
        <v>98.07</v>
      </c>
      <c r="EG698" s="2" t="n">
        <v>0</v>
      </c>
      <c r="EH698" s="2" t="n">
        <v>100</v>
      </c>
      <c r="EI698" s="2" t="n">
        <v>99.79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 customFormat="false" ht="15" hidden="false" customHeight="false" outlineLevel="0" collapsed="false">
      <c r="A699" s="2" t="n">
        <v>4</v>
      </c>
      <c r="B699" s="2" t="s">
        <v>1754</v>
      </c>
      <c r="C699" s="2" t="s">
        <v>1755</v>
      </c>
      <c r="D699" s="2" t="s">
        <v>1627</v>
      </c>
      <c r="E699" s="2" t="s">
        <v>1587</v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95.96</v>
      </c>
      <c r="EC699" s="2" t="n">
        <v>93.58</v>
      </c>
      <c r="ED699" s="2" t="n">
        <v>0</v>
      </c>
      <c r="EE699" s="2" t="n">
        <v>99.11</v>
      </c>
      <c r="EF699" s="2" t="n">
        <v>98.07</v>
      </c>
      <c r="EG699" s="2" t="n">
        <v>0</v>
      </c>
      <c r="EH699" s="2" t="n">
        <v>100</v>
      </c>
      <c r="EI699" s="2" t="n">
        <v>99.79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 customFormat="false" ht="15" hidden="false" customHeight="false" outlineLevel="0" collapsed="false">
      <c r="A700" s="2" t="n">
        <v>4</v>
      </c>
      <c r="B700" s="2" t="s">
        <v>1756</v>
      </c>
      <c r="C700" s="2" t="s">
        <v>1757</v>
      </c>
      <c r="D700" s="2" t="s">
        <v>1627</v>
      </c>
      <c r="E700" s="2" t="s">
        <v>1587</v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95.96</v>
      </c>
      <c r="EC700" s="2" t="n">
        <v>93.58</v>
      </c>
      <c r="ED700" s="2" t="n">
        <v>0</v>
      </c>
      <c r="EE700" s="2" t="n">
        <v>99.11</v>
      </c>
      <c r="EF700" s="2" t="n">
        <v>98.07</v>
      </c>
      <c r="EG700" s="2" t="n">
        <v>0</v>
      </c>
      <c r="EH700" s="2" t="n">
        <v>100</v>
      </c>
      <c r="EI700" s="2" t="n">
        <v>99.79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 customFormat="false" ht="15" hidden="false" customHeight="false" outlineLevel="0" collapsed="false">
      <c r="A701" s="2" t="n">
        <v>4</v>
      </c>
      <c r="B701" s="2" t="s">
        <v>1758</v>
      </c>
      <c r="C701" s="2" t="s">
        <v>1759</v>
      </c>
      <c r="D701" s="2" t="s">
        <v>1627</v>
      </c>
      <c r="E701" s="2" t="s">
        <v>1587</v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95.96</v>
      </c>
      <c r="EC701" s="2" t="n">
        <v>93.58</v>
      </c>
      <c r="ED701" s="2" t="n">
        <v>0</v>
      </c>
      <c r="EE701" s="2" t="n">
        <v>99.11</v>
      </c>
      <c r="EF701" s="2" t="n">
        <v>98.07</v>
      </c>
      <c r="EG701" s="2" t="n">
        <v>0</v>
      </c>
      <c r="EH701" s="2" t="n">
        <v>100</v>
      </c>
      <c r="EI701" s="2" t="n">
        <v>99.79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 customFormat="false" ht="15" hidden="false" customHeight="false" outlineLevel="0" collapsed="false">
      <c r="A702" s="2" t="n">
        <v>4</v>
      </c>
      <c r="B702" s="2" t="s">
        <v>1760</v>
      </c>
      <c r="C702" s="2" t="s">
        <v>1761</v>
      </c>
      <c r="D702" s="2" t="s">
        <v>1627</v>
      </c>
      <c r="E702" s="2" t="s">
        <v>1587</v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95.96</v>
      </c>
      <c r="EC702" s="2" t="n">
        <v>93.58</v>
      </c>
      <c r="ED702" s="2" t="n">
        <v>0</v>
      </c>
      <c r="EE702" s="2" t="n">
        <v>99.11</v>
      </c>
      <c r="EF702" s="2" t="n">
        <v>98.07</v>
      </c>
      <c r="EG702" s="2" t="n">
        <v>0</v>
      </c>
      <c r="EH702" s="2" t="n">
        <v>100</v>
      </c>
      <c r="EI702" s="2" t="n">
        <v>99.79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 customFormat="false" ht="15" hidden="false" customHeight="false" outlineLevel="0" collapsed="false">
      <c r="A703" s="2" t="n">
        <v>4</v>
      </c>
      <c r="B703" s="2" t="s">
        <v>1762</v>
      </c>
      <c r="C703" s="2" t="s">
        <v>1763</v>
      </c>
      <c r="D703" s="2" t="s">
        <v>1627</v>
      </c>
      <c r="E703" s="2" t="s">
        <v>1587</v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95.96</v>
      </c>
      <c r="EC703" s="2" t="n">
        <v>93.58</v>
      </c>
      <c r="ED703" s="2" t="n">
        <v>0</v>
      </c>
      <c r="EE703" s="2" t="n">
        <v>99.11</v>
      </c>
      <c r="EF703" s="2" t="n">
        <v>98.07</v>
      </c>
      <c r="EG703" s="2" t="n">
        <v>0</v>
      </c>
      <c r="EH703" s="2" t="n">
        <v>100</v>
      </c>
      <c r="EI703" s="2" t="n">
        <v>99.79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 customFormat="false" ht="15" hidden="false" customHeight="false" outlineLevel="0" collapsed="false">
      <c r="A704" s="2" t="n">
        <v>4</v>
      </c>
      <c r="B704" s="2" t="s">
        <v>1764</v>
      </c>
      <c r="C704" s="2" t="s">
        <v>1765</v>
      </c>
      <c r="D704" s="2" t="s">
        <v>1627</v>
      </c>
      <c r="E704" s="2" t="s">
        <v>1587</v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95.96</v>
      </c>
      <c r="EC704" s="2" t="n">
        <v>93.58</v>
      </c>
      <c r="ED704" s="2" t="n">
        <v>0</v>
      </c>
      <c r="EE704" s="2" t="n">
        <v>99.11</v>
      </c>
      <c r="EF704" s="2" t="n">
        <v>98.07</v>
      </c>
      <c r="EG704" s="2" t="n">
        <v>0</v>
      </c>
      <c r="EH704" s="2" t="n">
        <v>100</v>
      </c>
      <c r="EI704" s="2" t="n">
        <v>99.79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 customFormat="false" ht="15" hidden="false" customHeight="false" outlineLevel="0" collapsed="false">
      <c r="A705" s="2" t="n">
        <v>4</v>
      </c>
      <c r="B705" s="2" t="s">
        <v>1766</v>
      </c>
      <c r="C705" s="2" t="s">
        <v>1767</v>
      </c>
      <c r="D705" s="2" t="s">
        <v>1627</v>
      </c>
      <c r="E705" s="2" t="s">
        <v>1587</v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95.96</v>
      </c>
      <c r="EC705" s="2" t="n">
        <v>93.58</v>
      </c>
      <c r="ED705" s="2" t="n">
        <v>0</v>
      </c>
      <c r="EE705" s="2" t="n">
        <v>99.11</v>
      </c>
      <c r="EF705" s="2" t="n">
        <v>98.07</v>
      </c>
      <c r="EG705" s="2" t="n">
        <v>0</v>
      </c>
      <c r="EH705" s="2" t="n">
        <v>100</v>
      </c>
      <c r="EI705" s="2" t="n">
        <v>99.79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 customFormat="false" ht="15" hidden="false" customHeight="false" outlineLevel="0" collapsed="false">
      <c r="A706" s="2" t="n">
        <v>4</v>
      </c>
      <c r="B706" s="2" t="s">
        <v>1768</v>
      </c>
      <c r="C706" s="2" t="s">
        <v>1769</v>
      </c>
      <c r="D706" s="2" t="s">
        <v>1627</v>
      </c>
      <c r="E706" s="2" t="s">
        <v>1587</v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95.96</v>
      </c>
      <c r="EC706" s="2" t="n">
        <v>93.58</v>
      </c>
      <c r="ED706" s="2" t="n">
        <v>0</v>
      </c>
      <c r="EE706" s="2" t="n">
        <v>99.11</v>
      </c>
      <c r="EF706" s="2" t="n">
        <v>98.07</v>
      </c>
      <c r="EG706" s="2" t="n">
        <v>0</v>
      </c>
      <c r="EH706" s="2" t="n">
        <v>100</v>
      </c>
      <c r="EI706" s="2" t="n">
        <v>99.79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 customFormat="false" ht="15" hidden="false" customHeight="false" outlineLevel="0" collapsed="false">
      <c r="A707" s="2" t="n">
        <v>4</v>
      </c>
      <c r="B707" s="2" t="s">
        <v>1770</v>
      </c>
      <c r="C707" s="2" t="s">
        <v>1771</v>
      </c>
      <c r="D707" s="2" t="s">
        <v>1627</v>
      </c>
      <c r="E707" s="2" t="s">
        <v>1587</v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95.96</v>
      </c>
      <c r="EC707" s="2" t="n">
        <v>93.58</v>
      </c>
      <c r="ED707" s="2" t="n">
        <v>0</v>
      </c>
      <c r="EE707" s="2" t="n">
        <v>99.11</v>
      </c>
      <c r="EF707" s="2" t="n">
        <v>98.07</v>
      </c>
      <c r="EG707" s="2" t="n">
        <v>0</v>
      </c>
      <c r="EH707" s="2" t="n">
        <v>100</v>
      </c>
      <c r="EI707" s="2" t="n">
        <v>99.79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 customFormat="false" ht="15" hidden="false" customHeight="false" outlineLevel="0" collapsed="false">
      <c r="A708" s="2" t="n">
        <v>4</v>
      </c>
      <c r="B708" s="2" t="s">
        <v>1772</v>
      </c>
      <c r="C708" s="2" t="s">
        <v>1773</v>
      </c>
      <c r="D708" s="2" t="s">
        <v>1627</v>
      </c>
      <c r="E708" s="2" t="s">
        <v>1587</v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95.96</v>
      </c>
      <c r="EC708" s="2" t="n">
        <v>93.58</v>
      </c>
      <c r="ED708" s="2" t="n">
        <v>0</v>
      </c>
      <c r="EE708" s="2" t="n">
        <v>99.11</v>
      </c>
      <c r="EF708" s="2" t="n">
        <v>98.07</v>
      </c>
      <c r="EG708" s="2" t="n">
        <v>0</v>
      </c>
      <c r="EH708" s="2" t="n">
        <v>100</v>
      </c>
      <c r="EI708" s="2" t="n">
        <v>99.79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 customFormat="false" ht="15" hidden="false" customHeight="false" outlineLevel="0" collapsed="false">
      <c r="A709" s="2" t="n">
        <v>4</v>
      </c>
      <c r="B709" s="2" t="s">
        <v>1774</v>
      </c>
      <c r="C709" s="2" t="s">
        <v>1775</v>
      </c>
      <c r="D709" s="2" t="s">
        <v>1627</v>
      </c>
      <c r="E709" s="2" t="s">
        <v>1587</v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95.96</v>
      </c>
      <c r="EC709" s="2" t="n">
        <v>93.58</v>
      </c>
      <c r="ED709" s="2" t="n">
        <v>0</v>
      </c>
      <c r="EE709" s="2" t="n">
        <v>99.11</v>
      </c>
      <c r="EF709" s="2" t="n">
        <v>98.07</v>
      </c>
      <c r="EG709" s="2" t="n">
        <v>0</v>
      </c>
      <c r="EH709" s="2" t="n">
        <v>100</v>
      </c>
      <c r="EI709" s="2" t="n">
        <v>99.79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 customFormat="false" ht="15" hidden="false" customHeight="false" outlineLevel="0" collapsed="false">
      <c r="A710" s="2" t="n">
        <v>4</v>
      </c>
      <c r="B710" s="2" t="s">
        <v>1776</v>
      </c>
      <c r="C710" s="2" t="s">
        <v>1777</v>
      </c>
      <c r="D710" s="2" t="s">
        <v>1627</v>
      </c>
      <c r="E710" s="2" t="s">
        <v>1587</v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95.96</v>
      </c>
      <c r="EC710" s="2" t="n">
        <v>93.58</v>
      </c>
      <c r="ED710" s="2" t="n">
        <v>0</v>
      </c>
      <c r="EE710" s="2" t="n">
        <v>99.11</v>
      </c>
      <c r="EF710" s="2" t="n">
        <v>98.07</v>
      </c>
      <c r="EG710" s="2" t="n">
        <v>0</v>
      </c>
      <c r="EH710" s="2" t="n">
        <v>100</v>
      </c>
      <c r="EI710" s="2" t="n">
        <v>99.79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 customFormat="false" ht="15" hidden="false" customHeight="false" outlineLevel="0" collapsed="false">
      <c r="A711" s="2" t="n">
        <v>4</v>
      </c>
      <c r="B711" s="2" t="s">
        <v>1778</v>
      </c>
      <c r="C711" s="2" t="s">
        <v>1779</v>
      </c>
      <c r="D711" s="2" t="s">
        <v>1627</v>
      </c>
      <c r="E711" s="2" t="s">
        <v>1587</v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95.96</v>
      </c>
      <c r="EC711" s="2" t="n">
        <v>93.58</v>
      </c>
      <c r="ED711" s="2" t="n">
        <v>0</v>
      </c>
      <c r="EE711" s="2" t="n">
        <v>99.11</v>
      </c>
      <c r="EF711" s="2" t="n">
        <v>98.07</v>
      </c>
      <c r="EG711" s="2" t="n">
        <v>0</v>
      </c>
      <c r="EH711" s="2" t="n">
        <v>100</v>
      </c>
      <c r="EI711" s="2" t="n">
        <v>99.79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 customFormat="false" ht="15" hidden="false" customHeight="false" outlineLevel="0" collapsed="false">
      <c r="A712" s="2" t="n">
        <v>4</v>
      </c>
      <c r="B712" s="2" t="s">
        <v>1780</v>
      </c>
      <c r="C712" s="2" t="s">
        <v>1781</v>
      </c>
      <c r="D712" s="2" t="s">
        <v>1627</v>
      </c>
      <c r="E712" s="2" t="s">
        <v>1587</v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95.96</v>
      </c>
      <c r="EC712" s="2" t="n">
        <v>93.58</v>
      </c>
      <c r="ED712" s="2" t="n">
        <v>0</v>
      </c>
      <c r="EE712" s="2" t="n">
        <v>99.11</v>
      </c>
      <c r="EF712" s="2" t="n">
        <v>98.07</v>
      </c>
      <c r="EG712" s="2" t="n">
        <v>0</v>
      </c>
      <c r="EH712" s="2" t="n">
        <v>100</v>
      </c>
      <c r="EI712" s="2" t="n">
        <v>99.79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 customFormat="false" ht="15" hidden="false" customHeight="false" outlineLevel="0" collapsed="false">
      <c r="A713" s="2" t="n">
        <v>4</v>
      </c>
      <c r="B713" s="2" t="s">
        <v>1782</v>
      </c>
      <c r="C713" s="2" t="s">
        <v>1783</v>
      </c>
      <c r="D713" s="2" t="s">
        <v>1627</v>
      </c>
      <c r="E713" s="2" t="s">
        <v>1587</v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95.96</v>
      </c>
      <c r="EC713" s="2" t="n">
        <v>93.58</v>
      </c>
      <c r="ED713" s="2" t="n">
        <v>0</v>
      </c>
      <c r="EE713" s="2" t="n">
        <v>99.11</v>
      </c>
      <c r="EF713" s="2" t="n">
        <v>98.07</v>
      </c>
      <c r="EG713" s="2" t="n">
        <v>0</v>
      </c>
      <c r="EH713" s="2" t="n">
        <v>100</v>
      </c>
      <c r="EI713" s="2" t="n">
        <v>99.79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 customFormat="false" ht="15" hidden="false" customHeight="false" outlineLevel="0" collapsed="false">
      <c r="A714" s="2" t="n">
        <v>4</v>
      </c>
      <c r="B714" s="2" t="s">
        <v>1784</v>
      </c>
      <c r="C714" s="2" t="s">
        <v>1785</v>
      </c>
      <c r="D714" s="2" t="s">
        <v>1627</v>
      </c>
      <c r="E714" s="2" t="s">
        <v>1587</v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95.96</v>
      </c>
      <c r="EC714" s="2" t="n">
        <v>93.58</v>
      </c>
      <c r="ED714" s="2" t="n">
        <v>0</v>
      </c>
      <c r="EE714" s="2" t="n">
        <v>99.11</v>
      </c>
      <c r="EF714" s="2" t="n">
        <v>98.07</v>
      </c>
      <c r="EG714" s="2" t="n">
        <v>0</v>
      </c>
      <c r="EH714" s="2" t="n">
        <v>100</v>
      </c>
      <c r="EI714" s="2" t="n">
        <v>99.79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 customFormat="false" ht="15" hidden="false" customHeight="false" outlineLevel="0" collapsed="false">
      <c r="A715" s="2" t="n">
        <v>4</v>
      </c>
      <c r="B715" s="2" t="s">
        <v>1786</v>
      </c>
      <c r="C715" s="2" t="s">
        <v>1787</v>
      </c>
      <c r="D715" s="2" t="s">
        <v>1627</v>
      </c>
      <c r="E715" s="2" t="s">
        <v>1587</v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95.96</v>
      </c>
      <c r="EC715" s="2" t="n">
        <v>93.58</v>
      </c>
      <c r="ED715" s="2" t="n">
        <v>0</v>
      </c>
      <c r="EE715" s="2" t="n">
        <v>99.11</v>
      </c>
      <c r="EF715" s="2" t="n">
        <v>98.07</v>
      </c>
      <c r="EG715" s="2" t="n">
        <v>0</v>
      </c>
      <c r="EH715" s="2" t="n">
        <v>100</v>
      </c>
      <c r="EI715" s="2" t="n">
        <v>99.79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 customFormat="false" ht="15" hidden="false" customHeight="false" outlineLevel="0" collapsed="false">
      <c r="A716" s="2" t="n">
        <v>4</v>
      </c>
      <c r="B716" s="2" t="s">
        <v>1788</v>
      </c>
      <c r="C716" s="2" t="s">
        <v>1789</v>
      </c>
      <c r="D716" s="2" t="s">
        <v>1627</v>
      </c>
      <c r="E716" s="2" t="s">
        <v>1587</v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95.96</v>
      </c>
      <c r="EC716" s="2" t="n">
        <v>93.58</v>
      </c>
      <c r="ED716" s="2" t="n">
        <v>0</v>
      </c>
      <c r="EE716" s="2" t="n">
        <v>99.11</v>
      </c>
      <c r="EF716" s="2" t="n">
        <v>98.07</v>
      </c>
      <c r="EG716" s="2" t="n">
        <v>0</v>
      </c>
      <c r="EH716" s="2" t="n">
        <v>100</v>
      </c>
      <c r="EI716" s="2" t="n">
        <v>99.79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 customFormat="false" ht="15" hidden="false" customHeight="false" outlineLevel="0" collapsed="false">
      <c r="A717" s="2" t="n">
        <v>4</v>
      </c>
      <c r="B717" s="2" t="s">
        <v>1790</v>
      </c>
      <c r="C717" s="2" t="s">
        <v>1791</v>
      </c>
      <c r="D717" s="2" t="s">
        <v>1627</v>
      </c>
      <c r="E717" s="2" t="s">
        <v>1587</v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95.96</v>
      </c>
      <c r="EC717" s="2" t="n">
        <v>93.58</v>
      </c>
      <c r="ED717" s="2" t="n">
        <v>0</v>
      </c>
      <c r="EE717" s="2" t="n">
        <v>99.11</v>
      </c>
      <c r="EF717" s="2" t="n">
        <v>98.07</v>
      </c>
      <c r="EG717" s="2" t="n">
        <v>0</v>
      </c>
      <c r="EH717" s="2" t="n">
        <v>100</v>
      </c>
      <c r="EI717" s="2" t="n">
        <v>99.79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 customFormat="false" ht="15" hidden="false" customHeight="false" outlineLevel="0" collapsed="false">
      <c r="A718" s="2" t="n">
        <v>4</v>
      </c>
      <c r="B718" s="2" t="s">
        <v>1792</v>
      </c>
      <c r="C718" s="2" t="s">
        <v>1793</v>
      </c>
      <c r="D718" s="2" t="s">
        <v>1627</v>
      </c>
      <c r="E718" s="2" t="s">
        <v>1587</v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95.96</v>
      </c>
      <c r="EC718" s="2" t="n">
        <v>93.58</v>
      </c>
      <c r="ED718" s="2" t="n">
        <v>0</v>
      </c>
      <c r="EE718" s="2" t="n">
        <v>99.11</v>
      </c>
      <c r="EF718" s="2" t="n">
        <v>98.07</v>
      </c>
      <c r="EG718" s="2" t="n">
        <v>0</v>
      </c>
      <c r="EH718" s="2" t="n">
        <v>100</v>
      </c>
      <c r="EI718" s="2" t="n">
        <v>99.79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 customFormat="false" ht="15" hidden="false" customHeight="false" outlineLevel="0" collapsed="false">
      <c r="A719" s="2" t="n">
        <v>4</v>
      </c>
      <c r="B719" s="2" t="s">
        <v>1794</v>
      </c>
      <c r="C719" s="2" t="s">
        <v>1795</v>
      </c>
      <c r="D719" s="2" t="s">
        <v>1627</v>
      </c>
      <c r="E719" s="2" t="s">
        <v>1587</v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95.96</v>
      </c>
      <c r="EC719" s="2" t="n">
        <v>93.58</v>
      </c>
      <c r="ED719" s="2" t="n">
        <v>0</v>
      </c>
      <c r="EE719" s="2" t="n">
        <v>99.11</v>
      </c>
      <c r="EF719" s="2" t="n">
        <v>98.07</v>
      </c>
      <c r="EG719" s="2" t="n">
        <v>0</v>
      </c>
      <c r="EH719" s="2" t="n">
        <v>100</v>
      </c>
      <c r="EI719" s="2" t="n">
        <v>99.79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 customFormat="false" ht="15" hidden="false" customHeight="false" outlineLevel="0" collapsed="false">
      <c r="A720" s="2" t="n">
        <v>4</v>
      </c>
      <c r="B720" s="2" t="s">
        <v>1796</v>
      </c>
      <c r="C720" s="2" t="s">
        <v>1797</v>
      </c>
      <c r="D720" s="2" t="s">
        <v>1627</v>
      </c>
      <c r="E720" s="2" t="s">
        <v>1587</v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95.96</v>
      </c>
      <c r="EC720" s="2" t="n">
        <v>93.58</v>
      </c>
      <c r="ED720" s="2" t="n">
        <v>0</v>
      </c>
      <c r="EE720" s="2" t="n">
        <v>99.11</v>
      </c>
      <c r="EF720" s="2" t="n">
        <v>98.07</v>
      </c>
      <c r="EG720" s="2" t="n">
        <v>0</v>
      </c>
      <c r="EH720" s="2" t="n">
        <v>100</v>
      </c>
      <c r="EI720" s="2" t="n">
        <v>99.79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 customFormat="false" ht="15" hidden="false" customHeight="false" outlineLevel="0" collapsed="false">
      <c r="A721" s="2" t="n">
        <v>4</v>
      </c>
      <c r="B721" s="2" t="s">
        <v>1798</v>
      </c>
      <c r="C721" s="2" t="s">
        <v>1799</v>
      </c>
      <c r="D721" s="2" t="s">
        <v>1627</v>
      </c>
      <c r="E721" s="2" t="s">
        <v>1587</v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95.96</v>
      </c>
      <c r="EC721" s="2" t="n">
        <v>93.58</v>
      </c>
      <c r="ED721" s="2" t="n">
        <v>0</v>
      </c>
      <c r="EE721" s="2" t="n">
        <v>99.11</v>
      </c>
      <c r="EF721" s="2" t="n">
        <v>98.07</v>
      </c>
      <c r="EG721" s="2" t="n">
        <v>0</v>
      </c>
      <c r="EH721" s="2" t="n">
        <v>100</v>
      </c>
      <c r="EI721" s="2" t="n">
        <v>99.79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 customFormat="false" ht="15" hidden="false" customHeight="false" outlineLevel="0" collapsed="false">
      <c r="A722" s="2" t="n">
        <v>4</v>
      </c>
      <c r="B722" s="2" t="s">
        <v>1800</v>
      </c>
      <c r="C722" s="2" t="s">
        <v>1801</v>
      </c>
      <c r="D722" s="2" t="s">
        <v>1627</v>
      </c>
      <c r="E722" s="2" t="s">
        <v>1587</v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95.96</v>
      </c>
      <c r="EC722" s="2" t="n">
        <v>93.58</v>
      </c>
      <c r="ED722" s="2" t="n">
        <v>0</v>
      </c>
      <c r="EE722" s="2" t="n">
        <v>99.11</v>
      </c>
      <c r="EF722" s="2" t="n">
        <v>98.07</v>
      </c>
      <c r="EG722" s="2" t="n">
        <v>0</v>
      </c>
      <c r="EH722" s="2" t="n">
        <v>100</v>
      </c>
      <c r="EI722" s="2" t="n">
        <v>99.79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 customFormat="false" ht="15" hidden="false" customHeight="false" outlineLevel="0" collapsed="false">
      <c r="A723" s="2" t="n">
        <v>4</v>
      </c>
      <c r="B723" s="2" t="s">
        <v>1802</v>
      </c>
      <c r="C723" s="2" t="s">
        <v>1803</v>
      </c>
      <c r="D723" s="2" t="s">
        <v>1627</v>
      </c>
      <c r="E723" s="2" t="s">
        <v>1587</v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95.96</v>
      </c>
      <c r="EC723" s="2" t="n">
        <v>93.58</v>
      </c>
      <c r="ED723" s="2" t="n">
        <v>0</v>
      </c>
      <c r="EE723" s="2" t="n">
        <v>99.11</v>
      </c>
      <c r="EF723" s="2" t="n">
        <v>98.07</v>
      </c>
      <c r="EG723" s="2" t="n">
        <v>0</v>
      </c>
      <c r="EH723" s="2" t="n">
        <v>100</v>
      </c>
      <c r="EI723" s="2" t="n">
        <v>99.79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 customFormat="false" ht="15" hidden="false" customHeight="false" outlineLevel="0" collapsed="false">
      <c r="A724" s="2" t="n">
        <v>4</v>
      </c>
      <c r="B724" s="2" t="s">
        <v>1804</v>
      </c>
      <c r="C724" s="2" t="s">
        <v>1805</v>
      </c>
      <c r="D724" s="2" t="s">
        <v>1627</v>
      </c>
      <c r="E724" s="2" t="s">
        <v>1587</v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95.96</v>
      </c>
      <c r="EC724" s="2" t="n">
        <v>93.58</v>
      </c>
      <c r="ED724" s="2" t="n">
        <v>0</v>
      </c>
      <c r="EE724" s="2" t="n">
        <v>99.11</v>
      </c>
      <c r="EF724" s="2" t="n">
        <v>98.07</v>
      </c>
      <c r="EG724" s="2" t="n">
        <v>0</v>
      </c>
      <c r="EH724" s="2" t="n">
        <v>100</v>
      </c>
      <c r="EI724" s="2" t="n">
        <v>99.79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 customFormat="false" ht="15" hidden="false" customHeight="false" outlineLevel="0" collapsed="false">
      <c r="A725" s="2" t="n">
        <v>4</v>
      </c>
      <c r="B725" s="2" t="s">
        <v>1806</v>
      </c>
      <c r="C725" s="2" t="s">
        <v>1807</v>
      </c>
      <c r="D725" s="2" t="s">
        <v>1627</v>
      </c>
      <c r="E725" s="2" t="s">
        <v>1587</v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95.96</v>
      </c>
      <c r="EC725" s="2" t="n">
        <v>93.58</v>
      </c>
      <c r="ED725" s="2" t="n">
        <v>0</v>
      </c>
      <c r="EE725" s="2" t="n">
        <v>99.11</v>
      </c>
      <c r="EF725" s="2" t="n">
        <v>98.07</v>
      </c>
      <c r="EG725" s="2" t="n">
        <v>0</v>
      </c>
      <c r="EH725" s="2" t="n">
        <v>100</v>
      </c>
      <c r="EI725" s="2" t="n">
        <v>99.79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 customFormat="false" ht="15" hidden="false" customHeight="false" outlineLevel="0" collapsed="false">
      <c r="A726" s="2" t="n">
        <v>4</v>
      </c>
      <c r="B726" s="2" t="s">
        <v>1808</v>
      </c>
      <c r="C726" s="2" t="s">
        <v>1809</v>
      </c>
      <c r="D726" s="2" t="s">
        <v>1627</v>
      </c>
      <c r="E726" s="2" t="s">
        <v>1587</v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95.96</v>
      </c>
      <c r="EC726" s="2" t="n">
        <v>93.58</v>
      </c>
      <c r="ED726" s="2" t="n">
        <v>0</v>
      </c>
      <c r="EE726" s="2" t="n">
        <v>99.11</v>
      </c>
      <c r="EF726" s="2" t="n">
        <v>98.07</v>
      </c>
      <c r="EG726" s="2" t="n">
        <v>0</v>
      </c>
      <c r="EH726" s="2" t="n">
        <v>100</v>
      </c>
      <c r="EI726" s="2" t="n">
        <v>99.79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 customFormat="false" ht="15" hidden="false" customHeight="false" outlineLevel="0" collapsed="false">
      <c r="A727" s="2" t="n">
        <v>4</v>
      </c>
      <c r="B727" s="2" t="s">
        <v>1810</v>
      </c>
      <c r="C727" s="2" t="s">
        <v>1811</v>
      </c>
      <c r="D727" s="2" t="s">
        <v>1627</v>
      </c>
      <c r="E727" s="2" t="s">
        <v>1587</v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95.96</v>
      </c>
      <c r="EC727" s="2" t="n">
        <v>93.58</v>
      </c>
      <c r="ED727" s="2" t="n">
        <v>0</v>
      </c>
      <c r="EE727" s="2" t="n">
        <v>99.11</v>
      </c>
      <c r="EF727" s="2" t="n">
        <v>98.07</v>
      </c>
      <c r="EG727" s="2" t="n">
        <v>0</v>
      </c>
      <c r="EH727" s="2" t="n">
        <v>100</v>
      </c>
      <c r="EI727" s="2" t="n">
        <v>99.79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 customFormat="false" ht="15" hidden="false" customHeight="false" outlineLevel="0" collapsed="false">
      <c r="A728" s="2" t="n">
        <v>4</v>
      </c>
      <c r="B728" s="2" t="s">
        <v>1812</v>
      </c>
      <c r="C728" s="2" t="s">
        <v>1813</v>
      </c>
      <c r="D728" s="2" t="s">
        <v>1627</v>
      </c>
      <c r="E728" s="2" t="s">
        <v>1587</v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95.96</v>
      </c>
      <c r="EC728" s="2" t="n">
        <v>93.58</v>
      </c>
      <c r="ED728" s="2" t="n">
        <v>0</v>
      </c>
      <c r="EE728" s="2" t="n">
        <v>99.11</v>
      </c>
      <c r="EF728" s="2" t="n">
        <v>98.07</v>
      </c>
      <c r="EG728" s="2" t="n">
        <v>0</v>
      </c>
      <c r="EH728" s="2" t="n">
        <v>100</v>
      </c>
      <c r="EI728" s="2" t="n">
        <v>99.79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 customFormat="false" ht="15" hidden="false" customHeight="false" outlineLevel="0" collapsed="false">
      <c r="A729" s="2" t="n">
        <v>4</v>
      </c>
      <c r="B729" s="2" t="s">
        <v>1814</v>
      </c>
      <c r="C729" s="2" t="s">
        <v>1815</v>
      </c>
      <c r="D729" s="2" t="s">
        <v>1627</v>
      </c>
      <c r="E729" s="2" t="s">
        <v>1587</v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95.96</v>
      </c>
      <c r="EC729" s="2" t="n">
        <v>93.58</v>
      </c>
      <c r="ED729" s="2" t="n">
        <v>0</v>
      </c>
      <c r="EE729" s="2" t="n">
        <v>99.11</v>
      </c>
      <c r="EF729" s="2" t="n">
        <v>98.07</v>
      </c>
      <c r="EG729" s="2" t="n">
        <v>0</v>
      </c>
      <c r="EH729" s="2" t="n">
        <v>100</v>
      </c>
      <c r="EI729" s="2" t="n">
        <v>99.79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 customFormat="false" ht="15" hidden="false" customHeight="false" outlineLevel="0" collapsed="false">
      <c r="A730" s="2" t="n">
        <v>4</v>
      </c>
      <c r="B730" s="2" t="s">
        <v>1816</v>
      </c>
      <c r="C730" s="2" t="s">
        <v>1817</v>
      </c>
      <c r="D730" s="2" t="s">
        <v>1627</v>
      </c>
      <c r="E730" s="2" t="s">
        <v>1587</v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95.96</v>
      </c>
      <c r="EC730" s="2" t="n">
        <v>93.58</v>
      </c>
      <c r="ED730" s="2" t="n">
        <v>0</v>
      </c>
      <c r="EE730" s="2" t="n">
        <v>99.11</v>
      </c>
      <c r="EF730" s="2" t="n">
        <v>98.07</v>
      </c>
      <c r="EG730" s="2" t="n">
        <v>0</v>
      </c>
      <c r="EH730" s="2" t="n">
        <v>100</v>
      </c>
      <c r="EI730" s="2" t="n">
        <v>99.79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 customFormat="false" ht="15" hidden="false" customHeight="false" outlineLevel="0" collapsed="false">
      <c r="A731" s="2" t="n">
        <v>4</v>
      </c>
      <c r="B731" s="2" t="s">
        <v>1818</v>
      </c>
      <c r="C731" s="2" t="s">
        <v>1819</v>
      </c>
      <c r="D731" s="2" t="s">
        <v>1627</v>
      </c>
      <c r="E731" s="2" t="s">
        <v>1587</v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95.96</v>
      </c>
      <c r="EC731" s="2" t="n">
        <v>93.58</v>
      </c>
      <c r="ED731" s="2" t="n">
        <v>0</v>
      </c>
      <c r="EE731" s="2" t="n">
        <v>99.11</v>
      </c>
      <c r="EF731" s="2" t="n">
        <v>98.07</v>
      </c>
      <c r="EG731" s="2" t="n">
        <v>0</v>
      </c>
      <c r="EH731" s="2" t="n">
        <v>100</v>
      </c>
      <c r="EI731" s="2" t="n">
        <v>99.79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 customFormat="false" ht="15" hidden="false" customHeight="false" outlineLevel="0" collapsed="false">
      <c r="A732" s="2" t="n">
        <v>4</v>
      </c>
      <c r="B732" s="2" t="s">
        <v>1820</v>
      </c>
      <c r="C732" s="2" t="s">
        <v>1821</v>
      </c>
      <c r="D732" s="2" t="s">
        <v>1627</v>
      </c>
      <c r="E732" s="2" t="s">
        <v>1587</v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95.96</v>
      </c>
      <c r="EC732" s="2" t="n">
        <v>93.58</v>
      </c>
      <c r="ED732" s="2" t="n">
        <v>0</v>
      </c>
      <c r="EE732" s="2" t="n">
        <v>99.11</v>
      </c>
      <c r="EF732" s="2" t="n">
        <v>98.07</v>
      </c>
      <c r="EG732" s="2" t="n">
        <v>0</v>
      </c>
      <c r="EH732" s="2" t="n">
        <v>100</v>
      </c>
      <c r="EI732" s="2" t="n">
        <v>99.79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 customFormat="false" ht="15" hidden="false" customHeight="false" outlineLevel="0" collapsed="false">
      <c r="A733" s="2" t="n">
        <v>4</v>
      </c>
      <c r="B733" s="2" t="s">
        <v>1822</v>
      </c>
      <c r="C733" s="2" t="s">
        <v>1823</v>
      </c>
      <c r="D733" s="2" t="s">
        <v>1627</v>
      </c>
      <c r="E733" s="2" t="s">
        <v>1587</v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95.96</v>
      </c>
      <c r="EC733" s="2" t="n">
        <v>93.58</v>
      </c>
      <c r="ED733" s="2" t="n">
        <v>0</v>
      </c>
      <c r="EE733" s="2" t="n">
        <v>99.11</v>
      </c>
      <c r="EF733" s="2" t="n">
        <v>98.07</v>
      </c>
      <c r="EG733" s="2" t="n">
        <v>0</v>
      </c>
      <c r="EH733" s="2" t="n">
        <v>100</v>
      </c>
      <c r="EI733" s="2" t="n">
        <v>99.79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 customFormat="false" ht="15" hidden="false" customHeight="false" outlineLevel="0" collapsed="false">
      <c r="A734" s="2" t="n">
        <v>4</v>
      </c>
      <c r="B734" s="2" t="s">
        <v>1824</v>
      </c>
      <c r="C734" s="2" t="s">
        <v>1825</v>
      </c>
      <c r="D734" s="2" t="s">
        <v>1627</v>
      </c>
      <c r="E734" s="2" t="s">
        <v>1587</v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95.96</v>
      </c>
      <c r="EC734" s="2" t="n">
        <v>93.58</v>
      </c>
      <c r="ED734" s="2" t="n">
        <v>0</v>
      </c>
      <c r="EE734" s="2" t="n">
        <v>99.11</v>
      </c>
      <c r="EF734" s="2" t="n">
        <v>98.07</v>
      </c>
      <c r="EG734" s="2" t="n">
        <v>0</v>
      </c>
      <c r="EH734" s="2" t="n">
        <v>100</v>
      </c>
      <c r="EI734" s="2" t="n">
        <v>99.79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 customFormat="false" ht="15" hidden="false" customHeight="false" outlineLevel="0" collapsed="false">
      <c r="A735" s="2" t="n">
        <v>4</v>
      </c>
      <c r="B735" s="2" t="s">
        <v>1826</v>
      </c>
      <c r="C735" s="2" t="s">
        <v>1827</v>
      </c>
      <c r="D735" s="2" t="s">
        <v>1627</v>
      </c>
      <c r="E735" s="2" t="s">
        <v>1587</v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95.96</v>
      </c>
      <c r="EC735" s="2" t="n">
        <v>93.58</v>
      </c>
      <c r="ED735" s="2" t="n">
        <v>0</v>
      </c>
      <c r="EE735" s="2" t="n">
        <v>99.11</v>
      </c>
      <c r="EF735" s="2" t="n">
        <v>98.07</v>
      </c>
      <c r="EG735" s="2" t="n">
        <v>0</v>
      </c>
      <c r="EH735" s="2" t="n">
        <v>100</v>
      </c>
      <c r="EI735" s="2" t="n">
        <v>99.79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 customFormat="false" ht="15" hidden="false" customHeight="false" outlineLevel="0" collapsed="false">
      <c r="A736" s="2" t="n">
        <v>4</v>
      </c>
      <c r="B736" s="2" t="s">
        <v>1828</v>
      </c>
      <c r="C736" s="2" t="s">
        <v>1829</v>
      </c>
      <c r="D736" s="2" t="s">
        <v>1627</v>
      </c>
      <c r="E736" s="2" t="s">
        <v>1587</v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95.96</v>
      </c>
      <c r="EC736" s="2" t="n">
        <v>93.58</v>
      </c>
      <c r="ED736" s="2" t="n">
        <v>0</v>
      </c>
      <c r="EE736" s="2" t="n">
        <v>99.11</v>
      </c>
      <c r="EF736" s="2" t="n">
        <v>98.07</v>
      </c>
      <c r="EG736" s="2" t="n">
        <v>0</v>
      </c>
      <c r="EH736" s="2" t="n">
        <v>100</v>
      </c>
      <c r="EI736" s="2" t="n">
        <v>99.79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 customFormat="false" ht="15" hidden="false" customHeight="false" outlineLevel="0" collapsed="false">
      <c r="A737" s="2" t="n">
        <v>4</v>
      </c>
      <c r="B737" s="2" t="s">
        <v>1830</v>
      </c>
      <c r="C737" s="2" t="s">
        <v>1831</v>
      </c>
      <c r="D737" s="2" t="s">
        <v>1627</v>
      </c>
      <c r="E737" s="2" t="s">
        <v>1587</v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95.96</v>
      </c>
      <c r="EC737" s="2" t="n">
        <v>93.58</v>
      </c>
      <c r="ED737" s="2" t="n">
        <v>0</v>
      </c>
      <c r="EE737" s="2" t="n">
        <v>99.11</v>
      </c>
      <c r="EF737" s="2" t="n">
        <v>98.07</v>
      </c>
      <c r="EG737" s="2" t="n">
        <v>0</v>
      </c>
      <c r="EH737" s="2" t="n">
        <v>100</v>
      </c>
      <c r="EI737" s="2" t="n">
        <v>99.79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 customFormat="false" ht="15" hidden="false" customHeight="false" outlineLevel="0" collapsed="false">
      <c r="A738" s="2" t="n">
        <v>4</v>
      </c>
      <c r="B738" s="2" t="s">
        <v>1832</v>
      </c>
      <c r="C738" s="2" t="s">
        <v>1833</v>
      </c>
      <c r="D738" s="2" t="s">
        <v>1627</v>
      </c>
      <c r="E738" s="2" t="s">
        <v>1587</v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95.96</v>
      </c>
      <c r="EC738" s="2" t="n">
        <v>93.58</v>
      </c>
      <c r="ED738" s="2" t="n">
        <v>0</v>
      </c>
      <c r="EE738" s="2" t="n">
        <v>99.11</v>
      </c>
      <c r="EF738" s="2" t="n">
        <v>98.07</v>
      </c>
      <c r="EG738" s="2" t="n">
        <v>0</v>
      </c>
      <c r="EH738" s="2" t="n">
        <v>100</v>
      </c>
      <c r="EI738" s="2" t="n">
        <v>99.79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 customFormat="false" ht="15" hidden="false" customHeight="false" outlineLevel="0" collapsed="false">
      <c r="A739" s="2" t="n">
        <v>2</v>
      </c>
      <c r="B739" s="2" t="s">
        <v>1834</v>
      </c>
      <c r="C739" s="2" t="s">
        <v>1835</v>
      </c>
      <c r="D739" s="2" t="s">
        <v>1627</v>
      </c>
      <c r="E739" s="2" t="s">
        <v>1587</v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9.87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9.62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</v>
      </c>
      <c r="DT739" s="2" t="n">
        <v>68.37</v>
      </c>
      <c r="DU739" s="2" t="n">
        <v>0</v>
      </c>
      <c r="DV739" s="2" t="n">
        <v>77.52</v>
      </c>
      <c r="DW739" s="2" t="n">
        <v>76.43</v>
      </c>
      <c r="DX739" s="2" t="n">
        <v>0</v>
      </c>
      <c r="DY739" s="2" t="n">
        <v>88.82</v>
      </c>
      <c r="DZ739" s="2" t="n">
        <v>85.8</v>
      </c>
      <c r="EA739" s="2" t="n">
        <v>0</v>
      </c>
      <c r="EB739" s="2" t="n">
        <v>96.84</v>
      </c>
      <c r="EC739" s="2" t="n">
        <v>93.51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 customFormat="false" ht="15" hidden="false" customHeight="false" outlineLevel="0" collapsed="false">
      <c r="A740" s="2" t="n">
        <v>3</v>
      </c>
      <c r="B740" s="2" t="s">
        <v>1836</v>
      </c>
      <c r="C740" s="2" t="s">
        <v>1837</v>
      </c>
      <c r="D740" s="2" t="s">
        <v>1627</v>
      </c>
      <c r="E740" s="2" t="s">
        <v>1587</v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9.87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9.62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</v>
      </c>
      <c r="DT740" s="2" t="n">
        <v>68.37</v>
      </c>
      <c r="DU740" s="2" t="n">
        <v>0</v>
      </c>
      <c r="DV740" s="2" t="n">
        <v>77.52</v>
      </c>
      <c r="DW740" s="2" t="n">
        <v>76.43</v>
      </c>
      <c r="DX740" s="2" t="n">
        <v>0</v>
      </c>
      <c r="DY740" s="2" t="n">
        <v>88.82</v>
      </c>
      <c r="DZ740" s="2" t="n">
        <v>85.8</v>
      </c>
      <c r="EA740" s="2" t="n">
        <v>0</v>
      </c>
      <c r="EB740" s="2" t="n">
        <v>96.84</v>
      </c>
      <c r="EC740" s="2" t="n">
        <v>93.51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 customFormat="false" ht="15" hidden="false" customHeight="false" outlineLevel="0" collapsed="false">
      <c r="A741" s="2" t="n">
        <v>4</v>
      </c>
      <c r="B741" s="2" t="s">
        <v>1838</v>
      </c>
      <c r="C741" s="2" t="s">
        <v>1839</v>
      </c>
      <c r="D741" s="2" t="s">
        <v>1627</v>
      </c>
      <c r="E741" s="2" t="s">
        <v>1587</v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9.87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9.62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</v>
      </c>
      <c r="DT741" s="2" t="n">
        <v>68.37</v>
      </c>
      <c r="DU741" s="2" t="n">
        <v>0</v>
      </c>
      <c r="DV741" s="2" t="n">
        <v>77.52</v>
      </c>
      <c r="DW741" s="2" t="n">
        <v>76.43</v>
      </c>
      <c r="DX741" s="2" t="n">
        <v>0</v>
      </c>
      <c r="DY741" s="2" t="n">
        <v>88.82</v>
      </c>
      <c r="DZ741" s="2" t="n">
        <v>85.8</v>
      </c>
      <c r="EA741" s="2" t="n">
        <v>0</v>
      </c>
      <c r="EB741" s="2" t="n">
        <v>96.84</v>
      </c>
      <c r="EC741" s="2" t="n">
        <v>93.51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 customFormat="false" ht="15" hidden="false" customHeight="false" outlineLevel="0" collapsed="false">
      <c r="A742" s="2" t="n">
        <v>2</v>
      </c>
      <c r="B742" s="2" t="s">
        <v>1840</v>
      </c>
      <c r="C742" s="2" t="s">
        <v>1841</v>
      </c>
      <c r="D742" s="2" t="s">
        <v>1842</v>
      </c>
      <c r="E742" s="2" t="s">
        <v>415</v>
      </c>
      <c r="F742" s="2" t="n">
        <v>64463.532</v>
      </c>
      <c r="G742" s="2" t="n">
        <v>0</v>
      </c>
      <c r="H742" s="2" t="n">
        <v>64463.532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 customFormat="false" ht="15" hidden="false" customHeight="false" outlineLevel="0" collapsed="false">
      <c r="A743" s="2" t="n">
        <v>3</v>
      </c>
      <c r="B743" s="2" t="s">
        <v>1843</v>
      </c>
      <c r="C743" s="2" t="s">
        <v>1844</v>
      </c>
      <c r="D743" s="2" t="s">
        <v>1842</v>
      </c>
      <c r="E743" s="2" t="s">
        <v>415</v>
      </c>
      <c r="F743" s="2" t="n">
        <v>7284.882</v>
      </c>
      <c r="G743" s="2" t="n">
        <v>0</v>
      </c>
      <c r="H743" s="2" t="n">
        <v>7284.882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 customFormat="false" ht="15" hidden="false" customHeight="false" outlineLevel="0" collapsed="false">
      <c r="A744" s="2" t="n">
        <v>3</v>
      </c>
      <c r="B744" s="2" t="s">
        <v>1845</v>
      </c>
      <c r="C744" s="2" t="s">
        <v>1846</v>
      </c>
      <c r="D744" s="2" t="s">
        <v>1842</v>
      </c>
      <c r="E744" s="2" t="s">
        <v>415</v>
      </c>
      <c r="F744" s="2" t="n">
        <v>57178.65</v>
      </c>
      <c r="G744" s="2" t="n">
        <v>0</v>
      </c>
      <c r="H744" s="2" t="n">
        <v>57178.65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 customFormat="false" ht="15" hidden="false" customHeight="false" outlineLevel="0" collapsed="false">
      <c r="A745" s="2" t="n">
        <v>1</v>
      </c>
      <c r="B745" s="2" t="s">
        <v>185</v>
      </c>
      <c r="C745" s="2" t="s">
        <v>186</v>
      </c>
      <c r="D745" s="2" t="s">
        <v>1847</v>
      </c>
      <c r="E745" s="2" t="s">
        <v>1848</v>
      </c>
      <c r="F745" s="2" t="n">
        <v>580262.702245895</v>
      </c>
      <c r="G745" s="2" t="n">
        <v>0</v>
      </c>
      <c r="H745" s="2" t="n">
        <v>580262.702245895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 customFormat="false" ht="15" hidden="false" customHeight="false" outlineLevel="0" collapsed="false">
      <c r="A746" s="2" t="n">
        <v>2</v>
      </c>
      <c r="B746" s="2" t="s">
        <v>1849</v>
      </c>
      <c r="C746" s="2" t="s">
        <v>1850</v>
      </c>
      <c r="D746" s="2" t="s">
        <v>1847</v>
      </c>
      <c r="E746" s="2" t="s">
        <v>1848</v>
      </c>
      <c r="F746" s="2" t="n">
        <v>580262.702245895</v>
      </c>
      <c r="G746" s="2" t="n">
        <v>0</v>
      </c>
      <c r="H746" s="2" t="n">
        <v>580262.702245895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 customFormat="false" ht="15" hidden="false" customHeight="false" outlineLevel="0" collapsed="false">
      <c r="A747" s="2" t="n">
        <v>3</v>
      </c>
      <c r="B747" s="2" t="s">
        <v>1851</v>
      </c>
      <c r="C747" s="2" t="s">
        <v>1852</v>
      </c>
      <c r="D747" s="2" t="s">
        <v>1847</v>
      </c>
      <c r="E747" s="2" t="s">
        <v>1848</v>
      </c>
      <c r="F747" s="2" t="n">
        <v>100436.897146533</v>
      </c>
      <c r="G747" s="2" t="n">
        <v>0</v>
      </c>
      <c r="H747" s="2" t="n">
        <v>100436.897146533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 customFormat="false" ht="15" hidden="false" customHeight="false" outlineLevel="0" collapsed="false">
      <c r="A748" s="2" t="n">
        <v>4</v>
      </c>
      <c r="B748" s="2" t="s">
        <v>1853</v>
      </c>
      <c r="C748" s="2" t="s">
        <v>1854</v>
      </c>
      <c r="D748" s="2" t="s">
        <v>1847</v>
      </c>
      <c r="E748" s="2" t="s">
        <v>1848</v>
      </c>
      <c r="F748" s="2" t="n">
        <v>84037.9746144529</v>
      </c>
      <c r="G748" s="2" t="n">
        <v>0</v>
      </c>
      <c r="H748" s="2" t="n">
        <v>84037.9746144529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 customFormat="false" ht="15" hidden="false" customHeight="false" outlineLevel="0" collapsed="false">
      <c r="A749" s="2" t="n">
        <v>4</v>
      </c>
      <c r="B749" s="2" t="s">
        <v>1855</v>
      </c>
      <c r="C749" s="2" t="s">
        <v>1856</v>
      </c>
      <c r="D749" s="2" t="s">
        <v>1847</v>
      </c>
      <c r="E749" s="2" t="s">
        <v>1848</v>
      </c>
      <c r="F749" s="2" t="n">
        <v>10135.3266840682</v>
      </c>
      <c r="G749" s="2" t="n">
        <v>0</v>
      </c>
      <c r="H749" s="2" t="n">
        <v>10135.3266840682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 customFormat="false" ht="15" hidden="false" customHeight="false" outlineLevel="0" collapsed="false">
      <c r="A750" s="2" t="n">
        <v>4</v>
      </c>
      <c r="B750" s="2" t="s">
        <v>1857</v>
      </c>
      <c r="C750" s="2" t="s">
        <v>1858</v>
      </c>
      <c r="D750" s="2" t="s">
        <v>1847</v>
      </c>
      <c r="E750" s="2" t="s">
        <v>1848</v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 customFormat="false" ht="15" hidden="false" customHeight="false" outlineLevel="0" collapsed="false">
      <c r="A751" s="2" t="n">
        <v>4</v>
      </c>
      <c r="B751" s="2" t="s">
        <v>1859</v>
      </c>
      <c r="C751" s="2" t="s">
        <v>1860</v>
      </c>
      <c r="D751" s="2" t="s">
        <v>1847</v>
      </c>
      <c r="E751" s="2" t="s">
        <v>1848</v>
      </c>
      <c r="F751" s="2" t="n">
        <v>3151.25008502439</v>
      </c>
      <c r="G751" s="2" t="n">
        <v>0</v>
      </c>
      <c r="H751" s="2" t="n">
        <v>3151.25008502439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 customFormat="false" ht="15" hidden="false" customHeight="false" outlineLevel="0" collapsed="false">
      <c r="A752" s="2" t="n">
        <v>4</v>
      </c>
      <c r="B752" s="2" t="s">
        <v>1861</v>
      </c>
      <c r="C752" s="2" t="s">
        <v>1862</v>
      </c>
      <c r="D752" s="2" t="s">
        <v>1847</v>
      </c>
      <c r="E752" s="2" t="s">
        <v>1848</v>
      </c>
      <c r="F752" s="2" t="n">
        <v>622.46915259741</v>
      </c>
      <c r="G752" s="2" t="n">
        <v>0</v>
      </c>
      <c r="H752" s="2" t="n">
        <v>622.46915259741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 customFormat="false" ht="15" hidden="false" customHeight="false" outlineLevel="0" collapsed="false">
      <c r="A753" s="2" t="n">
        <v>4</v>
      </c>
      <c r="B753" s="2" t="s">
        <v>1863</v>
      </c>
      <c r="C753" s="2" t="s">
        <v>1864</v>
      </c>
      <c r="D753" s="2" t="s">
        <v>1847</v>
      </c>
      <c r="E753" s="2" t="s">
        <v>1848</v>
      </c>
      <c r="F753" s="2" t="n">
        <v>2489.87661038964</v>
      </c>
      <c r="G753" s="2" t="n">
        <v>0</v>
      </c>
      <c r="H753" s="2" t="n">
        <v>2489.87661038964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 customFormat="false" ht="15" hidden="false" customHeight="false" outlineLevel="0" collapsed="false">
      <c r="A754" s="2" t="n">
        <v>3</v>
      </c>
      <c r="B754" s="2" t="s">
        <v>1865</v>
      </c>
      <c r="C754" s="2" t="s">
        <v>1866</v>
      </c>
      <c r="D754" s="2" t="s">
        <v>1847</v>
      </c>
      <c r="E754" s="2" t="s">
        <v>1848</v>
      </c>
      <c r="F754" s="2" t="n">
        <v>185830.876274718</v>
      </c>
      <c r="G754" s="2" t="n">
        <v>0</v>
      </c>
      <c r="H754" s="2" t="n">
        <v>185830.876274718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 customFormat="false" ht="15" hidden="false" customHeight="false" outlineLevel="0" collapsed="false">
      <c r="A755" s="2" t="n">
        <v>4</v>
      </c>
      <c r="B755" s="2" t="s">
        <v>1867</v>
      </c>
      <c r="C755" s="2" t="s">
        <v>1868</v>
      </c>
      <c r="D755" s="2" t="s">
        <v>1847</v>
      </c>
      <c r="E755" s="2" t="s">
        <v>1848</v>
      </c>
      <c r="F755" s="2" t="n">
        <v>178395.090991683</v>
      </c>
      <c r="G755" s="2" t="n">
        <v>0</v>
      </c>
      <c r="H755" s="2" t="n">
        <v>178395.090991683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 customFormat="false" ht="15" hidden="false" customHeight="false" outlineLevel="0" collapsed="false">
      <c r="A756" s="2" t="n">
        <v>4</v>
      </c>
      <c r="B756" s="2" t="s">
        <v>1869</v>
      </c>
      <c r="C756" s="2" t="s">
        <v>1870</v>
      </c>
      <c r="D756" s="2" t="s">
        <v>1847</v>
      </c>
      <c r="E756" s="2" t="s">
        <v>1848</v>
      </c>
      <c r="F756" s="2" t="n">
        <v>7435.7852830342</v>
      </c>
      <c r="G756" s="2" t="n">
        <v>0</v>
      </c>
      <c r="H756" s="2" t="n">
        <v>7435.7852830342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 customFormat="false" ht="15" hidden="false" customHeight="false" outlineLevel="0" collapsed="false">
      <c r="A757" s="2" t="n">
        <v>3</v>
      </c>
      <c r="B757" s="2" t="s">
        <v>1871</v>
      </c>
      <c r="C757" s="2" t="s">
        <v>1872</v>
      </c>
      <c r="D757" s="2" t="s">
        <v>1847</v>
      </c>
      <c r="E757" s="2" t="s">
        <v>1848</v>
      </c>
      <c r="F757" s="2" t="n">
        <v>271741.426305197</v>
      </c>
      <c r="G757" s="2" t="n">
        <v>0</v>
      </c>
      <c r="H757" s="2" t="n">
        <v>271741.426305197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 customFormat="false" ht="15" hidden="false" customHeight="false" outlineLevel="0" collapsed="false">
      <c r="A758" s="2" t="n">
        <v>4</v>
      </c>
      <c r="B758" s="2" t="s">
        <v>1873</v>
      </c>
      <c r="C758" s="2" t="s">
        <v>1874</v>
      </c>
      <c r="D758" s="2" t="s">
        <v>1847</v>
      </c>
      <c r="E758" s="2" t="s">
        <v>1848</v>
      </c>
      <c r="F758" s="2" t="n">
        <v>61893.0263051968</v>
      </c>
      <c r="G758" s="2" t="n">
        <v>0</v>
      </c>
      <c r="H758" s="2" t="n">
        <v>61893.0263051968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 customFormat="false" ht="15" hidden="false" customHeight="false" outlineLevel="0" collapsed="false">
      <c r="A759" s="2" t="n">
        <v>4</v>
      </c>
      <c r="B759" s="2" t="s">
        <v>1875</v>
      </c>
      <c r="C759" s="2" t="s">
        <v>1876</v>
      </c>
      <c r="D759" s="2" t="s">
        <v>1847</v>
      </c>
      <c r="E759" s="2" t="s">
        <v>1848</v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 customFormat="false" ht="15" hidden="false" customHeight="false" outlineLevel="0" collapsed="false">
      <c r="A760" s="2" t="n">
        <v>4</v>
      </c>
      <c r="B760" s="2" t="s">
        <v>1877</v>
      </c>
      <c r="C760" s="2" t="s">
        <v>1878</v>
      </c>
      <c r="D760" s="2" t="s">
        <v>1847</v>
      </c>
      <c r="E760" s="2" t="s">
        <v>1848</v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 customFormat="false" ht="15" hidden="false" customHeight="false" outlineLevel="0" collapsed="false">
      <c r="A761" s="2" t="n">
        <v>4</v>
      </c>
      <c r="B761" s="2" t="s">
        <v>1879</v>
      </c>
      <c r="C761" s="2" t="s">
        <v>1880</v>
      </c>
      <c r="D761" s="2" t="s">
        <v>1847</v>
      </c>
      <c r="E761" s="2" t="s">
        <v>1848</v>
      </c>
      <c r="F761" s="2" t="n">
        <v>77873.4</v>
      </c>
      <c r="G761" s="2" t="n">
        <v>0</v>
      </c>
      <c r="H761" s="2" t="n">
        <v>77873.4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 customFormat="false" ht="15" hidden="false" customHeight="false" outlineLevel="0" collapsed="false">
      <c r="A762" s="2" t="n">
        <v>3</v>
      </c>
      <c r="B762" s="2" t="s">
        <v>1881</v>
      </c>
      <c r="C762" s="2" t="s">
        <v>1882</v>
      </c>
      <c r="D762" s="2" t="s">
        <v>1847</v>
      </c>
      <c r="E762" s="2" t="s">
        <v>1848</v>
      </c>
      <c r="F762" s="2" t="n">
        <v>22253.5025194481</v>
      </c>
      <c r="G762" s="2" t="n">
        <v>0</v>
      </c>
      <c r="H762" s="2" t="n">
        <v>22253.5025194481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 customFormat="false" ht="15" hidden="false" customHeight="false" outlineLevel="0" collapsed="false">
      <c r="A763" s="2" t="n">
        <v>4</v>
      </c>
      <c r="B763" s="2" t="s">
        <v>1883</v>
      </c>
      <c r="C763" s="2" t="s">
        <v>1884</v>
      </c>
      <c r="D763" s="2" t="s">
        <v>1847</v>
      </c>
      <c r="E763" s="2" t="s">
        <v>1848</v>
      </c>
      <c r="F763" s="2" t="n">
        <v>4853.50251944812</v>
      </c>
      <c r="G763" s="2" t="n">
        <v>0</v>
      </c>
      <c r="H763" s="2" t="n">
        <v>4853.50251944812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 customFormat="false" ht="15" hidden="false" customHeight="false" outlineLevel="0" collapsed="false">
      <c r="A764" s="2" t="n">
        <v>4</v>
      </c>
      <c r="B764" s="2" t="s">
        <v>1885</v>
      </c>
      <c r="C764" s="2" t="s">
        <v>1886</v>
      </c>
      <c r="D764" s="2" t="s">
        <v>1847</v>
      </c>
      <c r="E764" s="2" t="s">
        <v>1848</v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 customFormat="false" ht="15" hidden="false" customHeight="false" outlineLevel="0" collapsed="false">
      <c r="A765" s="2" t="n">
        <v>1</v>
      </c>
      <c r="B765" s="2" t="s">
        <v>188</v>
      </c>
      <c r="C765" s="2" t="s">
        <v>189</v>
      </c>
      <c r="D765" s="2" t="s">
        <v>1887</v>
      </c>
      <c r="E765" s="2" t="s">
        <v>1888</v>
      </c>
      <c r="F765" s="2" t="n">
        <v>1791174.75530128</v>
      </c>
      <c r="G765" s="2" t="n">
        <v>0</v>
      </c>
      <c r="H765" s="2" t="n">
        <v>1791174.75530128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9.7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 customFormat="false" ht="15" hidden="false" customHeight="false" outlineLevel="0" collapsed="false">
      <c r="A766" s="2" t="n">
        <v>2</v>
      </c>
      <c r="B766" s="2" t="s">
        <v>1889</v>
      </c>
      <c r="C766" s="2" t="s">
        <v>1890</v>
      </c>
      <c r="D766" s="2" t="s">
        <v>1891</v>
      </c>
      <c r="E766" s="2" t="s">
        <v>1888</v>
      </c>
      <c r="F766" s="2" t="n">
        <v>1233482.56990128</v>
      </c>
      <c r="G766" s="2" t="n">
        <v>0</v>
      </c>
      <c r="H766" s="2" t="n">
        <v>1233482.56990128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93.74</v>
      </c>
      <c r="EC766" s="2" t="n">
        <v>90.86</v>
      </c>
      <c r="ED766" s="2" t="n">
        <v>0</v>
      </c>
      <c r="EE766" s="2" t="n">
        <v>100</v>
      </c>
      <c r="EF766" s="2" t="n">
        <v>99.04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 customFormat="false" ht="15" hidden="false" customHeight="false" outlineLevel="0" collapsed="false">
      <c r="A767" s="2" t="n">
        <v>3</v>
      </c>
      <c r="B767" s="2" t="s">
        <v>1892</v>
      </c>
      <c r="C767" s="2" t="s">
        <v>1893</v>
      </c>
      <c r="D767" s="2" t="s">
        <v>1891</v>
      </c>
      <c r="E767" s="2" t="s">
        <v>1888</v>
      </c>
      <c r="F767" s="2" t="n">
        <v>25105.1389787722</v>
      </c>
      <c r="G767" s="2" t="n">
        <v>0</v>
      </c>
      <c r="H767" s="2" t="n">
        <v>25105.1389787722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93.74</v>
      </c>
      <c r="EC767" s="2" t="n">
        <v>90.86</v>
      </c>
      <c r="ED767" s="2" t="n">
        <v>0</v>
      </c>
      <c r="EE767" s="2" t="n">
        <v>100</v>
      </c>
      <c r="EF767" s="2" t="n">
        <v>99.04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 customFormat="false" ht="15" hidden="false" customHeight="false" outlineLevel="0" collapsed="false">
      <c r="A768" s="2" t="n">
        <v>4</v>
      </c>
      <c r="B768" s="2" t="s">
        <v>1894</v>
      </c>
      <c r="C768" s="2" t="s">
        <v>1895</v>
      </c>
      <c r="D768" s="2" t="s">
        <v>1891</v>
      </c>
      <c r="E768" s="2" t="s">
        <v>1888</v>
      </c>
      <c r="F768" s="2" t="n">
        <v>25105.1389787722</v>
      </c>
      <c r="G768" s="2" t="n">
        <v>0</v>
      </c>
      <c r="H768" s="2" t="n">
        <v>25105.1389787722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93.74</v>
      </c>
      <c r="EC768" s="2" t="n">
        <v>90.86</v>
      </c>
      <c r="ED768" s="2" t="n">
        <v>0</v>
      </c>
      <c r="EE768" s="2" t="n">
        <v>100</v>
      </c>
      <c r="EF768" s="2" t="n">
        <v>99.04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 customFormat="false" ht="15" hidden="false" customHeight="false" outlineLevel="0" collapsed="false">
      <c r="A769" s="2" t="n">
        <v>3</v>
      </c>
      <c r="B769" s="2" t="s">
        <v>1896</v>
      </c>
      <c r="C769" s="2" t="s">
        <v>1897</v>
      </c>
      <c r="D769" s="2" t="s">
        <v>1891</v>
      </c>
      <c r="E769" s="2" t="s">
        <v>1888</v>
      </c>
      <c r="F769" s="2" t="n">
        <v>1169751.3509225</v>
      </c>
      <c r="G769" s="2" t="n">
        <v>0</v>
      </c>
      <c r="H769" s="2" t="n">
        <v>1169751.3509225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93.74</v>
      </c>
      <c r="EC769" s="2" t="n">
        <v>90.86</v>
      </c>
      <c r="ED769" s="2" t="n">
        <v>0</v>
      </c>
      <c r="EE769" s="2" t="n">
        <v>100</v>
      </c>
      <c r="EF769" s="2" t="n">
        <v>99.04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 customFormat="false" ht="15" hidden="false" customHeight="false" outlineLevel="0" collapsed="false">
      <c r="A770" s="2" t="n">
        <v>4</v>
      </c>
      <c r="B770" s="2" t="s">
        <v>1898</v>
      </c>
      <c r="C770" s="2" t="s">
        <v>1899</v>
      </c>
      <c r="D770" s="2" t="s">
        <v>1891</v>
      </c>
      <c r="E770" s="2" t="s">
        <v>1888</v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93.74</v>
      </c>
      <c r="EC770" s="2" t="n">
        <v>90.86</v>
      </c>
      <c r="ED770" s="2" t="n">
        <v>0</v>
      </c>
      <c r="EE770" s="2" t="n">
        <v>100</v>
      </c>
      <c r="EF770" s="2" t="n">
        <v>99.04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 customFormat="false" ht="15" hidden="false" customHeight="false" outlineLevel="0" collapsed="false">
      <c r="A771" s="2" t="n">
        <v>4</v>
      </c>
      <c r="B771" s="2" t="s">
        <v>1900</v>
      </c>
      <c r="C771" s="2" t="s">
        <v>1901</v>
      </c>
      <c r="D771" s="2" t="s">
        <v>1891</v>
      </c>
      <c r="E771" s="2" t="s">
        <v>1888</v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93.74</v>
      </c>
      <c r="EC771" s="2" t="n">
        <v>90.86</v>
      </c>
      <c r="ED771" s="2" t="n">
        <v>0</v>
      </c>
      <c r="EE771" s="2" t="n">
        <v>100</v>
      </c>
      <c r="EF771" s="2" t="n">
        <v>99.04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 customFormat="false" ht="15" hidden="false" customHeight="false" outlineLevel="0" collapsed="false">
      <c r="A772" s="2" t="n">
        <v>4</v>
      </c>
      <c r="B772" s="2" t="s">
        <v>1902</v>
      </c>
      <c r="C772" s="2" t="s">
        <v>1903</v>
      </c>
      <c r="D772" s="2" t="s">
        <v>1891</v>
      </c>
      <c r="E772" s="2" t="s">
        <v>1888</v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93.74</v>
      </c>
      <c r="EC772" s="2" t="n">
        <v>90.86</v>
      </c>
      <c r="ED772" s="2" t="n">
        <v>0</v>
      </c>
      <c r="EE772" s="2" t="n">
        <v>100</v>
      </c>
      <c r="EF772" s="2" t="n">
        <v>99.04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 customFormat="false" ht="15" hidden="false" customHeight="false" outlineLevel="0" collapsed="false">
      <c r="A773" s="2" t="n">
        <v>4</v>
      </c>
      <c r="B773" s="2" t="s">
        <v>1904</v>
      </c>
      <c r="C773" s="2" t="s">
        <v>1905</v>
      </c>
      <c r="D773" s="2" t="s">
        <v>1891</v>
      </c>
      <c r="E773" s="2" t="s">
        <v>1888</v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93.74</v>
      </c>
      <c r="EC773" s="2" t="n">
        <v>90.86</v>
      </c>
      <c r="ED773" s="2" t="n">
        <v>0</v>
      </c>
      <c r="EE773" s="2" t="n">
        <v>100</v>
      </c>
      <c r="EF773" s="2" t="n">
        <v>99.04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 customFormat="false" ht="15" hidden="false" customHeight="false" outlineLevel="0" collapsed="false">
      <c r="A774" s="2" t="n">
        <v>4</v>
      </c>
      <c r="B774" s="2" t="s">
        <v>1906</v>
      </c>
      <c r="C774" s="2" t="s">
        <v>1907</v>
      </c>
      <c r="D774" s="2" t="s">
        <v>1891</v>
      </c>
      <c r="E774" s="2" t="s">
        <v>1888</v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93.74</v>
      </c>
      <c r="EC774" s="2" t="n">
        <v>90.86</v>
      </c>
      <c r="ED774" s="2" t="n">
        <v>0</v>
      </c>
      <c r="EE774" s="2" t="n">
        <v>100</v>
      </c>
      <c r="EF774" s="2" t="n">
        <v>99.04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 customFormat="false" ht="15" hidden="false" customHeight="false" outlineLevel="0" collapsed="false">
      <c r="A775" s="2" t="n">
        <v>4</v>
      </c>
      <c r="B775" s="2" t="s">
        <v>1908</v>
      </c>
      <c r="C775" s="2" t="s">
        <v>1909</v>
      </c>
      <c r="D775" s="2" t="s">
        <v>1891</v>
      </c>
      <c r="E775" s="2" t="s">
        <v>1888</v>
      </c>
      <c r="F775" s="2" t="n">
        <v>2590.50218450068</v>
      </c>
      <c r="G775" s="2" t="n">
        <v>0</v>
      </c>
      <c r="H775" s="2" t="n">
        <v>2590.50218450068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93.74</v>
      </c>
      <c r="EC775" s="2" t="n">
        <v>90.86</v>
      </c>
      <c r="ED775" s="2" t="n">
        <v>0</v>
      </c>
      <c r="EE775" s="2" t="n">
        <v>100</v>
      </c>
      <c r="EF775" s="2" t="n">
        <v>99.04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 customFormat="false" ht="15" hidden="false" customHeight="false" outlineLevel="0" collapsed="false">
      <c r="A776" s="2" t="n">
        <v>4</v>
      </c>
      <c r="B776" s="2" t="s">
        <v>1910</v>
      </c>
      <c r="C776" s="2" t="s">
        <v>1911</v>
      </c>
      <c r="D776" s="2" t="s">
        <v>1891</v>
      </c>
      <c r="E776" s="2" t="s">
        <v>1888</v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93.74</v>
      </c>
      <c r="EC776" s="2" t="n">
        <v>90.86</v>
      </c>
      <c r="ED776" s="2" t="n">
        <v>0</v>
      </c>
      <c r="EE776" s="2" t="n">
        <v>100</v>
      </c>
      <c r="EF776" s="2" t="n">
        <v>99.04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 customFormat="false" ht="15" hidden="false" customHeight="false" outlineLevel="0" collapsed="false">
      <c r="A777" s="2" t="n">
        <v>4</v>
      </c>
      <c r="B777" s="2" t="s">
        <v>1912</v>
      </c>
      <c r="C777" s="2" t="s">
        <v>1913</v>
      </c>
      <c r="D777" s="2" t="s">
        <v>1891</v>
      </c>
      <c r="E777" s="2" t="s">
        <v>1888</v>
      </c>
      <c r="F777" s="2" t="n">
        <v>14620.5021845007</v>
      </c>
      <c r="G777" s="2" t="n">
        <v>0</v>
      </c>
      <c r="H777" s="2" t="n">
        <v>14620.5021845007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93.74</v>
      </c>
      <c r="EC777" s="2" t="n">
        <v>90.86</v>
      </c>
      <c r="ED777" s="2" t="n">
        <v>0</v>
      </c>
      <c r="EE777" s="2" t="n">
        <v>100</v>
      </c>
      <c r="EF777" s="2" t="n">
        <v>99.04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 customFormat="false" ht="15" hidden="false" customHeight="false" outlineLevel="0" collapsed="false">
      <c r="A778" s="2" t="n">
        <v>4</v>
      </c>
      <c r="B778" s="2" t="s">
        <v>1914</v>
      </c>
      <c r="C778" s="2" t="s">
        <v>1915</v>
      </c>
      <c r="D778" s="2" t="s">
        <v>1891</v>
      </c>
      <c r="E778" s="2" t="s">
        <v>1888</v>
      </c>
      <c r="F778" s="2" t="n">
        <v>6684.00218450068</v>
      </c>
      <c r="G778" s="2" t="n">
        <v>0</v>
      </c>
      <c r="H778" s="2" t="n">
        <v>6684.00218450068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93.74</v>
      </c>
      <c r="EC778" s="2" t="n">
        <v>90.86</v>
      </c>
      <c r="ED778" s="2" t="n">
        <v>0</v>
      </c>
      <c r="EE778" s="2" t="n">
        <v>100</v>
      </c>
      <c r="EF778" s="2" t="n">
        <v>99.04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 customFormat="false" ht="15" hidden="false" customHeight="false" outlineLevel="0" collapsed="false">
      <c r="A779" s="2" t="n">
        <v>4</v>
      </c>
      <c r="B779" s="2" t="s">
        <v>1916</v>
      </c>
      <c r="C779" s="2" t="s">
        <v>1917</v>
      </c>
      <c r="D779" s="2" t="s">
        <v>1891</v>
      </c>
      <c r="E779" s="2" t="s">
        <v>1888</v>
      </c>
      <c r="F779" s="2" t="n">
        <v>13177.5021845007</v>
      </c>
      <c r="G779" s="2" t="n">
        <v>0</v>
      </c>
      <c r="H779" s="2" t="n">
        <v>13177.5021845007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93.74</v>
      </c>
      <c r="EC779" s="2" t="n">
        <v>90.86</v>
      </c>
      <c r="ED779" s="2" t="n">
        <v>0</v>
      </c>
      <c r="EE779" s="2" t="n">
        <v>100</v>
      </c>
      <c r="EF779" s="2" t="n">
        <v>99.04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 customFormat="false" ht="15" hidden="false" customHeight="false" outlineLevel="0" collapsed="false">
      <c r="A780" s="2" t="n">
        <v>4</v>
      </c>
      <c r="B780" s="2" t="s">
        <v>1918</v>
      </c>
      <c r="C780" s="2" t="s">
        <v>1919</v>
      </c>
      <c r="D780" s="2" t="s">
        <v>1891</v>
      </c>
      <c r="E780" s="2" t="s">
        <v>1888</v>
      </c>
      <c r="F780" s="2" t="n">
        <v>9627.72218450068</v>
      </c>
      <c r="G780" s="2" t="n">
        <v>0</v>
      </c>
      <c r="H780" s="2" t="n">
        <v>9627.72218450068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93.74</v>
      </c>
      <c r="EC780" s="2" t="n">
        <v>90.86</v>
      </c>
      <c r="ED780" s="2" t="n">
        <v>0</v>
      </c>
      <c r="EE780" s="2" t="n">
        <v>100</v>
      </c>
      <c r="EF780" s="2" t="n">
        <v>99.04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 customFormat="false" ht="15" hidden="false" customHeight="false" outlineLevel="0" collapsed="false">
      <c r="A781" s="2" t="n">
        <v>4</v>
      </c>
      <c r="B781" s="2" t="s">
        <v>1920</v>
      </c>
      <c r="C781" s="2" t="s">
        <v>1921</v>
      </c>
      <c r="D781" s="2" t="s">
        <v>1891</v>
      </c>
      <c r="E781" s="2" t="s">
        <v>1888</v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93.74</v>
      </c>
      <c r="EC781" s="2" t="n">
        <v>90.86</v>
      </c>
      <c r="ED781" s="2" t="n">
        <v>0</v>
      </c>
      <c r="EE781" s="2" t="n">
        <v>100</v>
      </c>
      <c r="EF781" s="2" t="n">
        <v>99.04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 customFormat="false" ht="15" hidden="false" customHeight="false" outlineLevel="0" collapsed="false">
      <c r="A782" s="2" t="n">
        <v>4</v>
      </c>
      <c r="B782" s="2" t="s">
        <v>1922</v>
      </c>
      <c r="C782" s="2" t="s">
        <v>1923</v>
      </c>
      <c r="D782" s="2" t="s">
        <v>1891</v>
      </c>
      <c r="E782" s="2" t="s">
        <v>1888</v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93.74</v>
      </c>
      <c r="EC782" s="2" t="n">
        <v>90.86</v>
      </c>
      <c r="ED782" s="2" t="n">
        <v>0</v>
      </c>
      <c r="EE782" s="2" t="n">
        <v>100</v>
      </c>
      <c r="EF782" s="2" t="n">
        <v>99.04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 customFormat="false" ht="15" hidden="false" customHeight="false" outlineLevel="0" collapsed="false">
      <c r="A783" s="2" t="n">
        <v>4</v>
      </c>
      <c r="B783" s="2" t="s">
        <v>1924</v>
      </c>
      <c r="C783" s="2" t="s">
        <v>1925</v>
      </c>
      <c r="D783" s="2" t="s">
        <v>1891</v>
      </c>
      <c r="E783" s="2" t="s">
        <v>1888</v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93.74</v>
      </c>
      <c r="EC783" s="2" t="n">
        <v>90.86</v>
      </c>
      <c r="ED783" s="2" t="n">
        <v>0</v>
      </c>
      <c r="EE783" s="2" t="n">
        <v>100</v>
      </c>
      <c r="EF783" s="2" t="n">
        <v>99.04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 customFormat="false" ht="15" hidden="false" customHeight="false" outlineLevel="0" collapsed="false">
      <c r="A784" s="2" t="n">
        <v>4</v>
      </c>
      <c r="B784" s="2" t="s">
        <v>1926</v>
      </c>
      <c r="C784" s="2" t="s">
        <v>1927</v>
      </c>
      <c r="D784" s="2" t="s">
        <v>1891</v>
      </c>
      <c r="E784" s="2" t="s">
        <v>1888</v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93.74</v>
      </c>
      <c r="EC784" s="2" t="n">
        <v>90.86</v>
      </c>
      <c r="ED784" s="2" t="n">
        <v>0</v>
      </c>
      <c r="EE784" s="2" t="n">
        <v>100</v>
      </c>
      <c r="EF784" s="2" t="n">
        <v>99.04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 customFormat="false" ht="15" hidden="false" customHeight="false" outlineLevel="0" collapsed="false">
      <c r="A785" s="2" t="n">
        <v>3</v>
      </c>
      <c r="B785" s="2" t="s">
        <v>1928</v>
      </c>
      <c r="C785" s="2" t="s">
        <v>868</v>
      </c>
      <c r="D785" s="2" t="s">
        <v>1891</v>
      </c>
      <c r="E785" s="2" t="s">
        <v>1888</v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93.74</v>
      </c>
      <c r="EC785" s="2" t="n">
        <v>90.86</v>
      </c>
      <c r="ED785" s="2" t="n">
        <v>0</v>
      </c>
      <c r="EE785" s="2" t="n">
        <v>100</v>
      </c>
      <c r="EF785" s="2" t="n">
        <v>99.04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 customFormat="false" ht="15" hidden="false" customHeight="false" outlineLevel="0" collapsed="false">
      <c r="A786" s="2" t="n">
        <v>4</v>
      </c>
      <c r="B786" s="2" t="s">
        <v>1929</v>
      </c>
      <c r="C786" s="2" t="s">
        <v>1930</v>
      </c>
      <c r="D786" s="2" t="s">
        <v>1891</v>
      </c>
      <c r="E786" s="2" t="s">
        <v>1888</v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93.74</v>
      </c>
      <c r="EC786" s="2" t="n">
        <v>90.86</v>
      </c>
      <c r="ED786" s="2" t="n">
        <v>0</v>
      </c>
      <c r="EE786" s="2" t="n">
        <v>100</v>
      </c>
      <c r="EF786" s="2" t="n">
        <v>99.04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 customFormat="false" ht="15" hidden="false" customHeight="false" outlineLevel="0" collapsed="false">
      <c r="A787" s="2" t="n">
        <v>3</v>
      </c>
      <c r="B787" s="2" t="s">
        <v>1931</v>
      </c>
      <c r="C787" s="2" t="s">
        <v>1932</v>
      </c>
      <c r="D787" s="2" t="s">
        <v>1891</v>
      </c>
      <c r="E787" s="2" t="s">
        <v>1888</v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93.74</v>
      </c>
      <c r="EC787" s="2" t="n">
        <v>90.86</v>
      </c>
      <c r="ED787" s="2" t="n">
        <v>0</v>
      </c>
      <c r="EE787" s="2" t="n">
        <v>100</v>
      </c>
      <c r="EF787" s="2" t="n">
        <v>99.04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 customFormat="false" ht="15" hidden="false" customHeight="false" outlineLevel="0" collapsed="false">
      <c r="A788" s="2" t="n">
        <v>4</v>
      </c>
      <c r="B788" s="2" t="s">
        <v>1933</v>
      </c>
      <c r="C788" s="2" t="s">
        <v>1934</v>
      </c>
      <c r="D788" s="2" t="s">
        <v>1891</v>
      </c>
      <c r="E788" s="2" t="s">
        <v>1888</v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93.74</v>
      </c>
      <c r="EC788" s="2" t="n">
        <v>90.86</v>
      </c>
      <c r="ED788" s="2" t="n">
        <v>0</v>
      </c>
      <c r="EE788" s="2" t="n">
        <v>100</v>
      </c>
      <c r="EF788" s="2" t="n">
        <v>99.04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 customFormat="false" ht="15" hidden="false" customHeight="false" outlineLevel="0" collapsed="false">
      <c r="A789" s="2" t="n">
        <v>2</v>
      </c>
      <c r="B789" s="2" t="s">
        <v>1935</v>
      </c>
      <c r="C789" s="2" t="s">
        <v>1936</v>
      </c>
      <c r="D789" s="2" t="s">
        <v>1887</v>
      </c>
      <c r="E789" s="2" t="s">
        <v>1937</v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</v>
      </c>
      <c r="DE789" s="2" t="n">
        <v>73.11</v>
      </c>
      <c r="DF789" s="2" t="n">
        <v>0</v>
      </c>
      <c r="DG789" s="2" t="n">
        <v>75.18</v>
      </c>
      <c r="DH789" s="2" t="n">
        <v>73.11</v>
      </c>
      <c r="DI789" s="2" t="n">
        <v>0</v>
      </c>
      <c r="DJ789" s="2" t="n">
        <v>75.18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92.96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 customFormat="false" ht="15" hidden="false" customHeight="false" outlineLevel="0" collapsed="false">
      <c r="A790" s="2" t="n">
        <v>3</v>
      </c>
      <c r="B790" s="2" t="s">
        <v>1938</v>
      </c>
      <c r="C790" s="2" t="s">
        <v>1939</v>
      </c>
      <c r="D790" s="2" t="s">
        <v>1887</v>
      </c>
      <c r="E790" s="2" t="s">
        <v>1937</v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</v>
      </c>
      <c r="DE790" s="2" t="n">
        <v>73.11</v>
      </c>
      <c r="DF790" s="2" t="n">
        <v>0</v>
      </c>
      <c r="DG790" s="2" t="n">
        <v>75.18</v>
      </c>
      <c r="DH790" s="2" t="n">
        <v>73.11</v>
      </c>
      <c r="DI790" s="2" t="n">
        <v>0</v>
      </c>
      <c r="DJ790" s="2" t="n">
        <v>75.18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92.96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 customFormat="false" ht="15" hidden="false" customHeight="false" outlineLevel="0" collapsed="false">
      <c r="A791" s="2" t="n">
        <v>3</v>
      </c>
      <c r="B791" s="2" t="s">
        <v>1940</v>
      </c>
      <c r="C791" s="2" t="s">
        <v>1941</v>
      </c>
      <c r="D791" s="2" t="s">
        <v>1887</v>
      </c>
      <c r="E791" s="2" t="s">
        <v>1937</v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</v>
      </c>
      <c r="DE791" s="2" t="n">
        <v>73.11</v>
      </c>
      <c r="DF791" s="2" t="n">
        <v>0</v>
      </c>
      <c r="DG791" s="2" t="n">
        <v>75.18</v>
      </c>
      <c r="DH791" s="2" t="n">
        <v>73.11</v>
      </c>
      <c r="DI791" s="2" t="n">
        <v>0</v>
      </c>
      <c r="DJ791" s="2" t="n">
        <v>75.18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92.96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 customFormat="false" ht="15" hidden="false" customHeight="false" outlineLevel="0" collapsed="false">
      <c r="A792" s="2" t="n">
        <v>3</v>
      </c>
      <c r="B792" s="2" t="s">
        <v>1942</v>
      </c>
      <c r="C792" s="2" t="s">
        <v>1943</v>
      </c>
      <c r="D792" s="2" t="s">
        <v>1887</v>
      </c>
      <c r="E792" s="2" t="s">
        <v>1937</v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</v>
      </c>
      <c r="DE792" s="2" t="n">
        <v>73.11</v>
      </c>
      <c r="DF792" s="2" t="n">
        <v>0</v>
      </c>
      <c r="DG792" s="2" t="n">
        <v>75.18</v>
      </c>
      <c r="DH792" s="2" t="n">
        <v>73.11</v>
      </c>
      <c r="DI792" s="2" t="n">
        <v>0</v>
      </c>
      <c r="DJ792" s="2" t="n">
        <v>75.18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92.96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 customFormat="false" ht="15" hidden="false" customHeight="false" outlineLevel="0" collapsed="false">
      <c r="A793" s="2" t="n">
        <v>3</v>
      </c>
      <c r="B793" s="2" t="s">
        <v>1944</v>
      </c>
      <c r="C793" s="2" t="s">
        <v>1945</v>
      </c>
      <c r="D793" s="2" t="s">
        <v>1887</v>
      </c>
      <c r="E793" s="2" t="s">
        <v>1937</v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</v>
      </c>
      <c r="DE793" s="2" t="n">
        <v>73.11</v>
      </c>
      <c r="DF793" s="2" t="n">
        <v>0</v>
      </c>
      <c r="DG793" s="2" t="n">
        <v>75.18</v>
      </c>
      <c r="DH793" s="2" t="n">
        <v>73.11</v>
      </c>
      <c r="DI793" s="2" t="n">
        <v>0</v>
      </c>
      <c r="DJ793" s="2" t="n">
        <v>75.18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92.96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 customFormat="false" ht="15" hidden="false" customHeight="false" outlineLevel="0" collapsed="false">
      <c r="A794" s="2" t="n">
        <v>1</v>
      </c>
      <c r="B794" s="2" t="s">
        <v>191</v>
      </c>
      <c r="C794" s="2" t="s">
        <v>192</v>
      </c>
      <c r="D794" s="2" t="s">
        <v>1946</v>
      </c>
      <c r="E794" s="2" t="s">
        <v>1947</v>
      </c>
      <c r="F794" s="2" t="n">
        <v>938445.696304232</v>
      </c>
      <c r="G794" s="2" t="n">
        <v>0</v>
      </c>
      <c r="H794" s="2" t="n">
        <v>938445.696304232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</v>
      </c>
      <c r="CY794" s="2" t="n">
        <v>90.39</v>
      </c>
      <c r="CZ794" s="2" t="n">
        <v>0.15</v>
      </c>
      <c r="DA794" s="2" t="n">
        <v>92.4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92.85</v>
      </c>
      <c r="DH794" s="2" t="n">
        <v>95.65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 customFormat="false" ht="15" hidden="false" customHeight="false" outlineLevel="0" collapsed="false">
      <c r="A795" s="2" t="n">
        <v>2</v>
      </c>
      <c r="B795" s="2" t="s">
        <v>1948</v>
      </c>
      <c r="C795" s="2" t="s">
        <v>1949</v>
      </c>
      <c r="D795" s="2" t="s">
        <v>1946</v>
      </c>
      <c r="E795" s="2" t="s">
        <v>1947</v>
      </c>
      <c r="F795" s="2" t="n">
        <v>850228.38951966</v>
      </c>
      <c r="G795" s="2" t="n">
        <v>0</v>
      </c>
      <c r="H795" s="2" t="n">
        <v>850228.38951966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</v>
      </c>
      <c r="CY795" s="2" t="n">
        <v>90.39</v>
      </c>
      <c r="CZ795" s="2" t="n">
        <v>0.15</v>
      </c>
      <c r="DA795" s="2" t="n">
        <v>92.4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92.85</v>
      </c>
      <c r="DH795" s="2" t="n">
        <v>95.65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 customFormat="false" ht="15" hidden="false" customHeight="false" outlineLevel="0" collapsed="false">
      <c r="A796" s="2" t="n">
        <v>3</v>
      </c>
      <c r="B796" s="2" t="s">
        <v>1950</v>
      </c>
      <c r="C796" s="2" t="s">
        <v>1951</v>
      </c>
      <c r="D796" s="2" t="s">
        <v>1946</v>
      </c>
      <c r="E796" s="2" t="s">
        <v>1947</v>
      </c>
      <c r="F796" s="2" t="n">
        <v>37550.2692727891</v>
      </c>
      <c r="G796" s="2" t="n">
        <v>0</v>
      </c>
      <c r="H796" s="2" t="n">
        <v>37550.2692727891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</v>
      </c>
      <c r="CY796" s="2" t="n">
        <v>90.39</v>
      </c>
      <c r="CZ796" s="2" t="n">
        <v>0.15</v>
      </c>
      <c r="DA796" s="2" t="n">
        <v>92.4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92.85</v>
      </c>
      <c r="DH796" s="2" t="n">
        <v>95.65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 customFormat="false" ht="15" hidden="false" customHeight="false" outlineLevel="0" collapsed="false">
      <c r="A797" s="2" t="n">
        <v>3</v>
      </c>
      <c r="B797" s="2" t="s">
        <v>1952</v>
      </c>
      <c r="C797" s="2" t="s">
        <v>1953</v>
      </c>
      <c r="D797" s="2" t="s">
        <v>1946</v>
      </c>
      <c r="E797" s="2" t="s">
        <v>1947</v>
      </c>
      <c r="F797" s="2" t="n">
        <v>626494.340631343</v>
      </c>
      <c r="G797" s="2" t="n">
        <v>0</v>
      </c>
      <c r="H797" s="2" t="n">
        <v>626494.340631343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</v>
      </c>
      <c r="CY797" s="2" t="n">
        <v>90.39</v>
      </c>
      <c r="CZ797" s="2" t="n">
        <v>0.15</v>
      </c>
      <c r="DA797" s="2" t="n">
        <v>92.4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92.85</v>
      </c>
      <c r="DH797" s="2" t="n">
        <v>95.65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 customFormat="false" ht="15" hidden="false" customHeight="false" outlineLevel="0" collapsed="false">
      <c r="A798" s="2" t="n">
        <v>3</v>
      </c>
      <c r="B798" s="2" t="s">
        <v>1954</v>
      </c>
      <c r="C798" s="2" t="s">
        <v>1955</v>
      </c>
      <c r="D798" s="2" t="s">
        <v>1946</v>
      </c>
      <c r="E798" s="2" t="s">
        <v>1947</v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</v>
      </c>
      <c r="CY798" s="2" t="n">
        <v>90.39</v>
      </c>
      <c r="CZ798" s="2" t="n">
        <v>0.15</v>
      </c>
      <c r="DA798" s="2" t="n">
        <v>92.4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92.85</v>
      </c>
      <c r="DH798" s="2" t="n">
        <v>95.65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 customFormat="false" ht="15" hidden="false" customHeight="false" outlineLevel="0" collapsed="false">
      <c r="A799" s="2" t="n">
        <v>3</v>
      </c>
      <c r="B799" s="2" t="s">
        <v>1956</v>
      </c>
      <c r="C799" s="2" t="s">
        <v>1957</v>
      </c>
      <c r="D799" s="2" t="s">
        <v>1946</v>
      </c>
      <c r="E799" s="2" t="s">
        <v>1947</v>
      </c>
      <c r="F799" s="2" t="n">
        <v>186183.779615528</v>
      </c>
      <c r="G799" s="2" t="n">
        <v>0</v>
      </c>
      <c r="H799" s="2" t="n">
        <v>186183.779615528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</v>
      </c>
      <c r="CY799" s="2" t="n">
        <v>90.39</v>
      </c>
      <c r="CZ799" s="2" t="n">
        <v>0.15</v>
      </c>
      <c r="DA799" s="2" t="n">
        <v>92.4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92.85</v>
      </c>
      <c r="DH799" s="2" t="n">
        <v>95.65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 customFormat="false" ht="15" hidden="false" customHeight="false" outlineLevel="0" collapsed="false">
      <c r="A800" s="2" t="n">
        <v>2</v>
      </c>
      <c r="B800" s="2" t="s">
        <v>1958</v>
      </c>
      <c r="C800" s="2" t="s">
        <v>1959</v>
      </c>
      <c r="D800" s="2" t="s">
        <v>1946</v>
      </c>
      <c r="E800" s="2" t="s">
        <v>1947</v>
      </c>
      <c r="F800" s="2" t="n">
        <v>88217.3067845718</v>
      </c>
      <c r="G800" s="2" t="n">
        <v>0</v>
      </c>
      <c r="H800" s="2" t="n">
        <v>88217.3067845718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</v>
      </c>
      <c r="CY800" s="2" t="n">
        <v>90.39</v>
      </c>
      <c r="CZ800" s="2" t="n">
        <v>0.15</v>
      </c>
      <c r="DA800" s="2" t="n">
        <v>92.4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92.85</v>
      </c>
      <c r="DH800" s="2" t="n">
        <v>95.65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 customFormat="false" ht="15" hidden="false" customHeight="false" outlineLevel="0" collapsed="false">
      <c r="A801" s="2" t="n">
        <v>3</v>
      </c>
      <c r="B801" s="2" t="s">
        <v>1960</v>
      </c>
      <c r="C801" s="2" t="s">
        <v>1951</v>
      </c>
      <c r="D801" s="2" t="s">
        <v>1946</v>
      </c>
      <c r="E801" s="2" t="s">
        <v>1947</v>
      </c>
      <c r="F801" s="2" t="n">
        <v>4988.49561441234</v>
      </c>
      <c r="G801" s="2" t="n">
        <v>0</v>
      </c>
      <c r="H801" s="2" t="n">
        <v>4988.49561441234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</v>
      </c>
      <c r="CY801" s="2" t="n">
        <v>90.39</v>
      </c>
      <c r="CZ801" s="2" t="n">
        <v>0.15</v>
      </c>
      <c r="DA801" s="2" t="n">
        <v>92.4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92.85</v>
      </c>
      <c r="DH801" s="2" t="n">
        <v>95.65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 customFormat="false" ht="15" hidden="false" customHeight="false" outlineLevel="0" collapsed="false">
      <c r="A802" s="2" t="n">
        <v>3</v>
      </c>
      <c r="B802" s="2" t="s">
        <v>1961</v>
      </c>
      <c r="C802" s="2" t="s">
        <v>1263</v>
      </c>
      <c r="D802" s="2" t="s">
        <v>1946</v>
      </c>
      <c r="E802" s="2" t="s">
        <v>1947</v>
      </c>
      <c r="F802" s="2" t="n">
        <v>83228.8111701595</v>
      </c>
      <c r="G802" s="2" t="n">
        <v>0</v>
      </c>
      <c r="H802" s="2" t="n">
        <v>83228.8111701595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</v>
      </c>
      <c r="CY802" s="2" t="n">
        <v>90.39</v>
      </c>
      <c r="CZ802" s="2" t="n">
        <v>0.15</v>
      </c>
      <c r="DA802" s="2" t="n">
        <v>92.4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92.85</v>
      </c>
      <c r="DH802" s="2" t="n">
        <v>95.65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 customFormat="false" ht="15" hidden="false" customHeight="false" outlineLevel="0" collapsed="false">
      <c r="A803" s="2" t="n">
        <v>1</v>
      </c>
      <c r="B803" s="2" t="s">
        <v>194</v>
      </c>
      <c r="C803" s="2" t="s">
        <v>196</v>
      </c>
      <c r="D803" s="2" t="s">
        <v>1962</v>
      </c>
      <c r="E803" s="2" t="s">
        <v>1963</v>
      </c>
      <c r="F803" s="2" t="n">
        <v>1877224.76618073</v>
      </c>
      <c r="G803" s="2" t="n">
        <v>0</v>
      </c>
      <c r="H803" s="2" t="n">
        <v>1877224.76618073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64.24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</v>
      </c>
      <c r="CV803" s="2" t="n">
        <v>91.1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</v>
      </c>
      <c r="DB803" s="2" t="n">
        <v>96.68</v>
      </c>
      <c r="DC803" s="2" t="n">
        <v>5.81</v>
      </c>
      <c r="DD803" s="2" t="n">
        <v>85.71</v>
      </c>
      <c r="DE803" s="2" t="n">
        <v>99.33</v>
      </c>
      <c r="DF803" s="2" t="n">
        <v>5.81</v>
      </c>
      <c r="DG803" s="2" t="n">
        <v>87.85</v>
      </c>
      <c r="DH803" s="2" t="n">
        <v>99.61</v>
      </c>
      <c r="DI803" s="2" t="n">
        <v>5.81</v>
      </c>
      <c r="DJ803" s="2" t="n">
        <v>91.69</v>
      </c>
      <c r="DK803" s="2" t="n">
        <v>99.85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 customFormat="false" ht="15" hidden="false" customHeight="false" outlineLevel="0" collapsed="false">
      <c r="A804" s="2" t="n">
        <v>2</v>
      </c>
      <c r="B804" s="2" t="s">
        <v>1964</v>
      </c>
      <c r="C804" s="2" t="s">
        <v>1965</v>
      </c>
      <c r="D804" s="2" t="s">
        <v>1962</v>
      </c>
      <c r="E804" s="2" t="s">
        <v>1963</v>
      </c>
      <c r="F804" s="2" t="n">
        <v>1877224.76618073</v>
      </c>
      <c r="G804" s="2" t="n">
        <v>0</v>
      </c>
      <c r="H804" s="2" t="n">
        <v>1877224.76618073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64.24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</v>
      </c>
      <c r="CV804" s="2" t="n">
        <v>91.1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</v>
      </c>
      <c r="DB804" s="2" t="n">
        <v>96.68</v>
      </c>
      <c r="DC804" s="2" t="n">
        <v>5.81</v>
      </c>
      <c r="DD804" s="2" t="n">
        <v>85.71</v>
      </c>
      <c r="DE804" s="2" t="n">
        <v>99.33</v>
      </c>
      <c r="DF804" s="2" t="n">
        <v>5.81</v>
      </c>
      <c r="DG804" s="2" t="n">
        <v>87.85</v>
      </c>
      <c r="DH804" s="2" t="n">
        <v>99.61</v>
      </c>
      <c r="DI804" s="2" t="n">
        <v>5.81</v>
      </c>
      <c r="DJ804" s="2" t="n">
        <v>91.69</v>
      </c>
      <c r="DK804" s="2" t="n">
        <v>99.85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 customFormat="false" ht="15" hidden="false" customHeight="false" outlineLevel="0" collapsed="false">
      <c r="A805" s="2" t="n">
        <v>3</v>
      </c>
      <c r="B805" s="2" t="s">
        <v>1966</v>
      </c>
      <c r="C805" s="2" t="s">
        <v>1967</v>
      </c>
      <c r="D805" s="2" t="s">
        <v>1962</v>
      </c>
      <c r="E805" s="2" t="s">
        <v>1963</v>
      </c>
      <c r="F805" s="2" t="n">
        <v>1877224.76618073</v>
      </c>
      <c r="G805" s="2" t="n">
        <v>0</v>
      </c>
      <c r="H805" s="2" t="n">
        <v>1877224.76618073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64.24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</v>
      </c>
      <c r="CV805" s="2" t="n">
        <v>91.1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</v>
      </c>
      <c r="DB805" s="2" t="n">
        <v>96.68</v>
      </c>
      <c r="DC805" s="2" t="n">
        <v>5.81</v>
      </c>
      <c r="DD805" s="2" t="n">
        <v>85.71</v>
      </c>
      <c r="DE805" s="2" t="n">
        <v>99.33</v>
      </c>
      <c r="DF805" s="2" t="n">
        <v>5.81</v>
      </c>
      <c r="DG805" s="2" t="n">
        <v>87.85</v>
      </c>
      <c r="DH805" s="2" t="n">
        <v>99.61</v>
      </c>
      <c r="DI805" s="2" t="n">
        <v>5.81</v>
      </c>
      <c r="DJ805" s="2" t="n">
        <v>91.69</v>
      </c>
      <c r="DK805" s="2" t="n">
        <v>99.85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 customFormat="false" ht="15" hidden="false" customHeight="false" outlineLevel="0" collapsed="false">
      <c r="A806" s="2" t="n">
        <v>4</v>
      </c>
      <c r="B806" s="2" t="s">
        <v>1968</v>
      </c>
      <c r="C806" s="2" t="s">
        <v>1969</v>
      </c>
      <c r="D806" s="2" t="s">
        <v>1962</v>
      </c>
      <c r="E806" s="2" t="s">
        <v>1963</v>
      </c>
      <c r="F806" s="2" t="n">
        <v>50428.6209997691</v>
      </c>
      <c r="G806" s="2" t="n">
        <v>0</v>
      </c>
      <c r="H806" s="2" t="n">
        <v>50428.6209997691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64.24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</v>
      </c>
      <c r="CV806" s="2" t="n">
        <v>91.1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</v>
      </c>
      <c r="DB806" s="2" t="n">
        <v>96.68</v>
      </c>
      <c r="DC806" s="2" t="n">
        <v>5.81</v>
      </c>
      <c r="DD806" s="2" t="n">
        <v>85.71</v>
      </c>
      <c r="DE806" s="2" t="n">
        <v>99.33</v>
      </c>
      <c r="DF806" s="2" t="n">
        <v>5.81</v>
      </c>
      <c r="DG806" s="2" t="n">
        <v>87.85</v>
      </c>
      <c r="DH806" s="2" t="n">
        <v>99.61</v>
      </c>
      <c r="DI806" s="2" t="n">
        <v>5.81</v>
      </c>
      <c r="DJ806" s="2" t="n">
        <v>91.69</v>
      </c>
      <c r="DK806" s="2" t="n">
        <v>99.85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 customFormat="false" ht="15" hidden="false" customHeight="false" outlineLevel="0" collapsed="false">
      <c r="A807" s="2" t="n">
        <v>4</v>
      </c>
      <c r="B807" s="2" t="s">
        <v>1970</v>
      </c>
      <c r="C807" s="2" t="s">
        <v>1971</v>
      </c>
      <c r="D807" s="2" t="s">
        <v>1962</v>
      </c>
      <c r="E807" s="2" t="s">
        <v>1963</v>
      </c>
      <c r="F807" s="2" t="n">
        <v>230428.365148264</v>
      </c>
      <c r="G807" s="2" t="n">
        <v>0</v>
      </c>
      <c r="H807" s="2" t="n">
        <v>230428.365148264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64.24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</v>
      </c>
      <c r="CV807" s="2" t="n">
        <v>91.1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</v>
      </c>
      <c r="DB807" s="2" t="n">
        <v>96.68</v>
      </c>
      <c r="DC807" s="2" t="n">
        <v>5.81</v>
      </c>
      <c r="DD807" s="2" t="n">
        <v>85.71</v>
      </c>
      <c r="DE807" s="2" t="n">
        <v>99.33</v>
      </c>
      <c r="DF807" s="2" t="n">
        <v>5.81</v>
      </c>
      <c r="DG807" s="2" t="n">
        <v>87.85</v>
      </c>
      <c r="DH807" s="2" t="n">
        <v>99.61</v>
      </c>
      <c r="DI807" s="2" t="n">
        <v>5.81</v>
      </c>
      <c r="DJ807" s="2" t="n">
        <v>91.69</v>
      </c>
      <c r="DK807" s="2" t="n">
        <v>99.85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 customFormat="false" ht="15" hidden="false" customHeight="false" outlineLevel="0" collapsed="false">
      <c r="A808" s="2" t="n">
        <v>4</v>
      </c>
      <c r="B808" s="2" t="s">
        <v>1972</v>
      </c>
      <c r="C808" s="2" t="s">
        <v>1973</v>
      </c>
      <c r="D808" s="2" t="s">
        <v>1962</v>
      </c>
      <c r="E808" s="2" t="s">
        <v>1963</v>
      </c>
      <c r="F808" s="2" t="n">
        <v>142608.925185502</v>
      </c>
      <c r="G808" s="2" t="n">
        <v>0</v>
      </c>
      <c r="H808" s="2" t="n">
        <v>142608.925185502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64.24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</v>
      </c>
      <c r="CV808" s="2" t="n">
        <v>91.1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</v>
      </c>
      <c r="DB808" s="2" t="n">
        <v>96.68</v>
      </c>
      <c r="DC808" s="2" t="n">
        <v>5.81</v>
      </c>
      <c r="DD808" s="2" t="n">
        <v>85.71</v>
      </c>
      <c r="DE808" s="2" t="n">
        <v>99.33</v>
      </c>
      <c r="DF808" s="2" t="n">
        <v>5.81</v>
      </c>
      <c r="DG808" s="2" t="n">
        <v>87.85</v>
      </c>
      <c r="DH808" s="2" t="n">
        <v>99.61</v>
      </c>
      <c r="DI808" s="2" t="n">
        <v>5.81</v>
      </c>
      <c r="DJ808" s="2" t="n">
        <v>91.69</v>
      </c>
      <c r="DK808" s="2" t="n">
        <v>99.85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 customFormat="false" ht="15" hidden="false" customHeight="false" outlineLevel="0" collapsed="false">
      <c r="A809" s="2" t="n">
        <v>4</v>
      </c>
      <c r="B809" s="2" t="s">
        <v>1974</v>
      </c>
      <c r="C809" s="2" t="s">
        <v>1975</v>
      </c>
      <c r="D809" s="2" t="s">
        <v>1962</v>
      </c>
      <c r="E809" s="2" t="s">
        <v>1963</v>
      </c>
      <c r="F809" s="2" t="n">
        <v>1255624.20707713</v>
      </c>
      <c r="G809" s="2" t="n">
        <v>0</v>
      </c>
      <c r="H809" s="2" t="n">
        <v>1255624.20707713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64.24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</v>
      </c>
      <c r="CV809" s="2" t="n">
        <v>91.1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</v>
      </c>
      <c r="DB809" s="2" t="n">
        <v>96.68</v>
      </c>
      <c r="DC809" s="2" t="n">
        <v>5.81</v>
      </c>
      <c r="DD809" s="2" t="n">
        <v>85.71</v>
      </c>
      <c r="DE809" s="2" t="n">
        <v>99.33</v>
      </c>
      <c r="DF809" s="2" t="n">
        <v>5.81</v>
      </c>
      <c r="DG809" s="2" t="n">
        <v>87.85</v>
      </c>
      <c r="DH809" s="2" t="n">
        <v>99.61</v>
      </c>
      <c r="DI809" s="2" t="n">
        <v>5.81</v>
      </c>
      <c r="DJ809" s="2" t="n">
        <v>91.69</v>
      </c>
      <c r="DK809" s="2" t="n">
        <v>99.85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 customFormat="false" ht="15" hidden="false" customHeight="false" outlineLevel="0" collapsed="false">
      <c r="A810" s="2" t="n">
        <v>4</v>
      </c>
      <c r="B810" s="2" t="s">
        <v>1976</v>
      </c>
      <c r="C810" s="2" t="s">
        <v>1977</v>
      </c>
      <c r="D810" s="2" t="s">
        <v>1962</v>
      </c>
      <c r="E810" s="2" t="s">
        <v>1963</v>
      </c>
      <c r="F810" s="2" t="n">
        <v>198134.647770059</v>
      </c>
      <c r="G810" s="2" t="n">
        <v>0</v>
      </c>
      <c r="H810" s="2" t="n">
        <v>198134.647770059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64.24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</v>
      </c>
      <c r="CV810" s="2" t="n">
        <v>91.1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</v>
      </c>
      <c r="DB810" s="2" t="n">
        <v>96.68</v>
      </c>
      <c r="DC810" s="2" t="n">
        <v>5.81</v>
      </c>
      <c r="DD810" s="2" t="n">
        <v>85.71</v>
      </c>
      <c r="DE810" s="2" t="n">
        <v>99.33</v>
      </c>
      <c r="DF810" s="2" t="n">
        <v>5.81</v>
      </c>
      <c r="DG810" s="2" t="n">
        <v>87.85</v>
      </c>
      <c r="DH810" s="2" t="n">
        <v>99.61</v>
      </c>
      <c r="DI810" s="2" t="n">
        <v>5.81</v>
      </c>
      <c r="DJ810" s="2" t="n">
        <v>91.69</v>
      </c>
      <c r="DK810" s="2" t="n">
        <v>99.85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 customFormat="false" ht="15" hidden="false" customHeight="false" outlineLevel="0" collapsed="false">
      <c r="A811" s="2" t="n">
        <v>1</v>
      </c>
      <c r="B811" s="2" t="s">
        <v>198</v>
      </c>
      <c r="C811" s="2" t="s">
        <v>199</v>
      </c>
      <c r="D811" s="2" t="s">
        <v>1978</v>
      </c>
      <c r="E811" s="2" t="s">
        <v>1979</v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88.07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93.71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 customFormat="false" ht="15" hidden="false" customHeight="false" outlineLevel="0" collapsed="false">
      <c r="A812" s="2" t="n">
        <v>2</v>
      </c>
      <c r="B812" s="2" t="s">
        <v>1980</v>
      </c>
      <c r="C812" s="2" t="s">
        <v>1981</v>
      </c>
      <c r="D812" s="2" t="s">
        <v>1978</v>
      </c>
      <c r="E812" s="2" t="s">
        <v>1979</v>
      </c>
      <c r="F812" s="2" t="n">
        <v>2712874.40062494</v>
      </c>
      <c r="G812" s="2" t="n">
        <v>0</v>
      </c>
      <c r="H812" s="2" t="n">
        <v>2712874.40062494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67.1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 customFormat="false" ht="15" hidden="false" customHeight="false" outlineLevel="0" collapsed="false">
      <c r="A813" s="2" t="n">
        <v>3</v>
      </c>
      <c r="B813" s="2" t="s">
        <v>1982</v>
      </c>
      <c r="C813" s="2" t="s">
        <v>1983</v>
      </c>
      <c r="D813" s="2" t="s">
        <v>1978</v>
      </c>
      <c r="E813" s="2" t="s">
        <v>1984</v>
      </c>
      <c r="F813" s="2" t="n">
        <v>1259335.05321311</v>
      </c>
      <c r="G813" s="2" t="n">
        <v>0</v>
      </c>
      <c r="H813" s="2" t="n">
        <v>1259335.05321311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77.07</v>
      </c>
      <c r="CY813" s="2" t="n">
        <v>72.64</v>
      </c>
      <c r="CZ813" s="2" t="n">
        <v>0</v>
      </c>
      <c r="DA813" s="2" t="n">
        <v>85.93</v>
      </c>
      <c r="DB813" s="2" t="n">
        <v>82.68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96.46</v>
      </c>
      <c r="DN813" s="2" t="n">
        <v>93.61</v>
      </c>
      <c r="DO813" s="2" t="n">
        <v>0</v>
      </c>
      <c r="DP813" s="2" t="n">
        <v>96.46</v>
      </c>
      <c r="DQ813" s="2" t="n">
        <v>93.61</v>
      </c>
      <c r="DR813" s="2" t="n">
        <v>0</v>
      </c>
      <c r="DS813" s="2" t="n">
        <v>96.46</v>
      </c>
      <c r="DT813" s="2" t="n">
        <v>96.46</v>
      </c>
      <c r="DU813" s="2" t="n">
        <v>0</v>
      </c>
      <c r="DV813" s="2" t="n">
        <v>99.49</v>
      </c>
      <c r="DW813" s="2" t="n">
        <v>96.46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 customFormat="false" ht="15" hidden="false" customHeight="false" outlineLevel="0" collapsed="false">
      <c r="A814" s="2" t="n">
        <v>4</v>
      </c>
      <c r="B814" s="2" t="s">
        <v>1985</v>
      </c>
      <c r="C814" s="2" t="s">
        <v>1986</v>
      </c>
      <c r="D814" s="2" t="s">
        <v>1978</v>
      </c>
      <c r="E814" s="2" t="s">
        <v>1984</v>
      </c>
      <c r="F814" s="2" t="n">
        <v>196003.814707373</v>
      </c>
      <c r="G814" s="2" t="n">
        <v>0</v>
      </c>
      <c r="H814" s="2" t="n">
        <v>196003.814707373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77.07</v>
      </c>
      <c r="CY814" s="2" t="n">
        <v>72.64</v>
      </c>
      <c r="CZ814" s="2" t="n">
        <v>0</v>
      </c>
      <c r="DA814" s="2" t="n">
        <v>85.93</v>
      </c>
      <c r="DB814" s="2" t="n">
        <v>82.68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96.46</v>
      </c>
      <c r="DN814" s="2" t="n">
        <v>93.61</v>
      </c>
      <c r="DO814" s="2" t="n">
        <v>0</v>
      </c>
      <c r="DP814" s="2" t="n">
        <v>96.46</v>
      </c>
      <c r="DQ814" s="2" t="n">
        <v>93.61</v>
      </c>
      <c r="DR814" s="2" t="n">
        <v>0</v>
      </c>
      <c r="DS814" s="2" t="n">
        <v>96.46</v>
      </c>
      <c r="DT814" s="2" t="n">
        <v>96.46</v>
      </c>
      <c r="DU814" s="2" t="n">
        <v>0</v>
      </c>
      <c r="DV814" s="2" t="n">
        <v>99.49</v>
      </c>
      <c r="DW814" s="2" t="n">
        <v>96.46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 customFormat="false" ht="15" hidden="false" customHeight="false" outlineLevel="0" collapsed="false">
      <c r="A815" s="2" t="n">
        <v>4</v>
      </c>
      <c r="B815" s="2" t="s">
        <v>1987</v>
      </c>
      <c r="C815" s="2" t="s">
        <v>1988</v>
      </c>
      <c r="D815" s="2" t="s">
        <v>1978</v>
      </c>
      <c r="E815" s="2" t="s">
        <v>1984</v>
      </c>
      <c r="F815" s="2" t="n">
        <v>954178.705392409</v>
      </c>
      <c r="G815" s="2" t="n">
        <v>0</v>
      </c>
      <c r="H815" s="2" t="n">
        <v>954178.705392409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77.07</v>
      </c>
      <c r="CY815" s="2" t="n">
        <v>72.64</v>
      </c>
      <c r="CZ815" s="2" t="n">
        <v>0</v>
      </c>
      <c r="DA815" s="2" t="n">
        <v>85.93</v>
      </c>
      <c r="DB815" s="2" t="n">
        <v>82.68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96.46</v>
      </c>
      <c r="DN815" s="2" t="n">
        <v>93.61</v>
      </c>
      <c r="DO815" s="2" t="n">
        <v>0</v>
      </c>
      <c r="DP815" s="2" t="n">
        <v>96.46</v>
      </c>
      <c r="DQ815" s="2" t="n">
        <v>93.61</v>
      </c>
      <c r="DR815" s="2" t="n">
        <v>0</v>
      </c>
      <c r="DS815" s="2" t="n">
        <v>96.46</v>
      </c>
      <c r="DT815" s="2" t="n">
        <v>96.46</v>
      </c>
      <c r="DU815" s="2" t="n">
        <v>0</v>
      </c>
      <c r="DV815" s="2" t="n">
        <v>99.49</v>
      </c>
      <c r="DW815" s="2" t="n">
        <v>96.46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 customFormat="false" ht="15" hidden="false" customHeight="false" outlineLevel="0" collapsed="false">
      <c r="A816" s="2" t="n">
        <v>4</v>
      </c>
      <c r="B816" s="2" t="s">
        <v>1989</v>
      </c>
      <c r="C816" s="2" t="s">
        <v>1990</v>
      </c>
      <c r="D816" s="2" t="s">
        <v>1978</v>
      </c>
      <c r="E816" s="2" t="s">
        <v>1984</v>
      </c>
      <c r="F816" s="2" t="n">
        <v>83865.955802974</v>
      </c>
      <c r="G816" s="2" t="n">
        <v>0</v>
      </c>
      <c r="H816" s="2" t="n">
        <v>83865.955802974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77.07</v>
      </c>
      <c r="CY816" s="2" t="n">
        <v>72.64</v>
      </c>
      <c r="CZ816" s="2" t="n">
        <v>0</v>
      </c>
      <c r="DA816" s="2" t="n">
        <v>85.93</v>
      </c>
      <c r="DB816" s="2" t="n">
        <v>82.68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96.46</v>
      </c>
      <c r="DN816" s="2" t="n">
        <v>93.61</v>
      </c>
      <c r="DO816" s="2" t="n">
        <v>0</v>
      </c>
      <c r="DP816" s="2" t="n">
        <v>96.46</v>
      </c>
      <c r="DQ816" s="2" t="n">
        <v>93.61</v>
      </c>
      <c r="DR816" s="2" t="n">
        <v>0</v>
      </c>
      <c r="DS816" s="2" t="n">
        <v>96.46</v>
      </c>
      <c r="DT816" s="2" t="n">
        <v>96.46</v>
      </c>
      <c r="DU816" s="2" t="n">
        <v>0</v>
      </c>
      <c r="DV816" s="2" t="n">
        <v>99.49</v>
      </c>
      <c r="DW816" s="2" t="n">
        <v>96.46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 customFormat="false" ht="15" hidden="false" customHeight="false" outlineLevel="0" collapsed="false">
      <c r="A817" s="2" t="n">
        <v>4</v>
      </c>
      <c r="B817" s="2" t="s">
        <v>1991</v>
      </c>
      <c r="C817" s="2" t="s">
        <v>1992</v>
      </c>
      <c r="D817" s="2" t="s">
        <v>1978</v>
      </c>
      <c r="E817" s="2" t="s">
        <v>1984</v>
      </c>
      <c r="F817" s="2" t="n">
        <v>25286.577310352</v>
      </c>
      <c r="G817" s="2" t="n">
        <v>0</v>
      </c>
      <c r="H817" s="2" t="n">
        <v>25286.577310352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77.07</v>
      </c>
      <c r="CY817" s="2" t="n">
        <v>72.64</v>
      </c>
      <c r="CZ817" s="2" t="n">
        <v>0</v>
      </c>
      <c r="DA817" s="2" t="n">
        <v>85.93</v>
      </c>
      <c r="DB817" s="2" t="n">
        <v>82.68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96.46</v>
      </c>
      <c r="DN817" s="2" t="n">
        <v>93.61</v>
      </c>
      <c r="DO817" s="2" t="n">
        <v>0</v>
      </c>
      <c r="DP817" s="2" t="n">
        <v>96.46</v>
      </c>
      <c r="DQ817" s="2" t="n">
        <v>93.61</v>
      </c>
      <c r="DR817" s="2" t="n">
        <v>0</v>
      </c>
      <c r="DS817" s="2" t="n">
        <v>96.46</v>
      </c>
      <c r="DT817" s="2" t="n">
        <v>96.46</v>
      </c>
      <c r="DU817" s="2" t="n">
        <v>0</v>
      </c>
      <c r="DV817" s="2" t="n">
        <v>99.49</v>
      </c>
      <c r="DW817" s="2" t="n">
        <v>96.46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 customFormat="false" ht="15" hidden="false" customHeight="false" outlineLevel="0" collapsed="false">
      <c r="A818" s="2" t="n">
        <v>3</v>
      </c>
      <c r="B818" s="2" t="s">
        <v>1993</v>
      </c>
      <c r="C818" s="2" t="s">
        <v>1994</v>
      </c>
      <c r="D818" s="2" t="s">
        <v>1995</v>
      </c>
      <c r="E818" s="2" t="s">
        <v>1979</v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 customFormat="false" ht="15" hidden="false" customHeight="false" outlineLevel="0" collapsed="false">
      <c r="A819" s="2" t="n">
        <v>4</v>
      </c>
      <c r="B819" s="2" t="s">
        <v>1996</v>
      </c>
      <c r="C819" s="2" t="s">
        <v>1997</v>
      </c>
      <c r="D819" s="2" t="s">
        <v>1995</v>
      </c>
      <c r="E819" s="2" t="s">
        <v>1979</v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 customFormat="false" ht="15" hidden="false" customHeight="false" outlineLevel="0" collapsed="false">
      <c r="A820" s="2" t="n">
        <v>3</v>
      </c>
      <c r="B820" s="2" t="s">
        <v>1998</v>
      </c>
      <c r="C820" s="2" t="s">
        <v>1999</v>
      </c>
      <c r="D820" s="2" t="s">
        <v>2000</v>
      </c>
      <c r="E820" s="2" t="s">
        <v>2001</v>
      </c>
      <c r="F820" s="2" t="n">
        <v>392587.157296575</v>
      </c>
      <c r="G820" s="2" t="n">
        <v>0</v>
      </c>
      <c r="H820" s="2" t="n">
        <v>392587.157296575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</v>
      </c>
      <c r="CT820" s="2" t="n">
        <v>0</v>
      </c>
      <c r="CU820" s="2" t="n">
        <v>68.76</v>
      </c>
      <c r="CV820" s="2" t="n">
        <v>66.26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99.35</v>
      </c>
      <c r="DN820" s="2" t="n">
        <v>97.02</v>
      </c>
      <c r="DO820" s="2" t="n">
        <v>0</v>
      </c>
      <c r="DP820" s="2" t="n">
        <v>99.35</v>
      </c>
      <c r="DQ820" s="2" t="n">
        <v>97.65</v>
      </c>
      <c r="DR820" s="2" t="n">
        <v>0</v>
      </c>
      <c r="DS820" s="2" t="n">
        <v>100</v>
      </c>
      <c r="DT820" s="2" t="n">
        <v>99.35</v>
      </c>
      <c r="DU820" s="2" t="n">
        <v>0</v>
      </c>
      <c r="DV820" s="2" t="n">
        <v>100</v>
      </c>
      <c r="DW820" s="2" t="n">
        <v>99.35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 customFormat="false" ht="15" hidden="false" customHeight="false" outlineLevel="0" collapsed="false">
      <c r="A821" s="2" t="n">
        <v>4</v>
      </c>
      <c r="B821" s="2" t="s">
        <v>2002</v>
      </c>
      <c r="C821" s="2" t="s">
        <v>2003</v>
      </c>
      <c r="D821" s="2" t="s">
        <v>2000</v>
      </c>
      <c r="E821" s="2" t="s">
        <v>2001</v>
      </c>
      <c r="F821" s="2" t="n">
        <v>36915.7870850726</v>
      </c>
      <c r="G821" s="2" t="n">
        <v>0</v>
      </c>
      <c r="H821" s="2" t="n">
        <v>36915.7870850726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</v>
      </c>
      <c r="CT821" s="2" t="n">
        <v>0</v>
      </c>
      <c r="CU821" s="2" t="n">
        <v>68.76</v>
      </c>
      <c r="CV821" s="2" t="n">
        <v>66.26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99.35</v>
      </c>
      <c r="DN821" s="2" t="n">
        <v>97.02</v>
      </c>
      <c r="DO821" s="2" t="n">
        <v>0</v>
      </c>
      <c r="DP821" s="2" t="n">
        <v>99.35</v>
      </c>
      <c r="DQ821" s="2" t="n">
        <v>97.65</v>
      </c>
      <c r="DR821" s="2" t="n">
        <v>0</v>
      </c>
      <c r="DS821" s="2" t="n">
        <v>100</v>
      </c>
      <c r="DT821" s="2" t="n">
        <v>99.35</v>
      </c>
      <c r="DU821" s="2" t="n">
        <v>0</v>
      </c>
      <c r="DV821" s="2" t="n">
        <v>100</v>
      </c>
      <c r="DW821" s="2" t="n">
        <v>99.35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 customFormat="false" ht="15" hidden="false" customHeight="false" outlineLevel="0" collapsed="false">
      <c r="A822" s="2" t="n">
        <v>4</v>
      </c>
      <c r="B822" s="2" t="s">
        <v>2004</v>
      </c>
      <c r="C822" s="2" t="s">
        <v>2005</v>
      </c>
      <c r="D822" s="2" t="s">
        <v>2000</v>
      </c>
      <c r="E822" s="2" t="s">
        <v>2001</v>
      </c>
      <c r="F822" s="2" t="n">
        <v>274578.520723426</v>
      </c>
      <c r="G822" s="2" t="n">
        <v>0</v>
      </c>
      <c r="H822" s="2" t="n">
        <v>274578.520723426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</v>
      </c>
      <c r="CT822" s="2" t="n">
        <v>0</v>
      </c>
      <c r="CU822" s="2" t="n">
        <v>68.76</v>
      </c>
      <c r="CV822" s="2" t="n">
        <v>66.26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99.35</v>
      </c>
      <c r="DN822" s="2" t="n">
        <v>97.02</v>
      </c>
      <c r="DO822" s="2" t="n">
        <v>0</v>
      </c>
      <c r="DP822" s="2" t="n">
        <v>99.35</v>
      </c>
      <c r="DQ822" s="2" t="n">
        <v>97.65</v>
      </c>
      <c r="DR822" s="2" t="n">
        <v>0</v>
      </c>
      <c r="DS822" s="2" t="n">
        <v>100</v>
      </c>
      <c r="DT822" s="2" t="n">
        <v>99.35</v>
      </c>
      <c r="DU822" s="2" t="n">
        <v>0</v>
      </c>
      <c r="DV822" s="2" t="n">
        <v>100</v>
      </c>
      <c r="DW822" s="2" t="n">
        <v>99.35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 customFormat="false" ht="15" hidden="false" customHeight="false" outlineLevel="0" collapsed="false">
      <c r="A823" s="2" t="n">
        <v>4</v>
      </c>
      <c r="B823" s="2" t="s">
        <v>2006</v>
      </c>
      <c r="C823" s="2" t="s">
        <v>2007</v>
      </c>
      <c r="D823" s="2" t="s">
        <v>2000</v>
      </c>
      <c r="E823" s="2" t="s">
        <v>2001</v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</v>
      </c>
      <c r="CT823" s="2" t="n">
        <v>0</v>
      </c>
      <c r="CU823" s="2" t="n">
        <v>68.76</v>
      </c>
      <c r="CV823" s="2" t="n">
        <v>66.26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99.35</v>
      </c>
      <c r="DN823" s="2" t="n">
        <v>97.02</v>
      </c>
      <c r="DO823" s="2" t="n">
        <v>0</v>
      </c>
      <c r="DP823" s="2" t="n">
        <v>99.35</v>
      </c>
      <c r="DQ823" s="2" t="n">
        <v>97.65</v>
      </c>
      <c r="DR823" s="2" t="n">
        <v>0</v>
      </c>
      <c r="DS823" s="2" t="n">
        <v>100</v>
      </c>
      <c r="DT823" s="2" t="n">
        <v>99.35</v>
      </c>
      <c r="DU823" s="2" t="n">
        <v>0</v>
      </c>
      <c r="DV823" s="2" t="n">
        <v>100</v>
      </c>
      <c r="DW823" s="2" t="n">
        <v>99.35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 customFormat="false" ht="15" hidden="false" customHeight="false" outlineLevel="0" collapsed="false">
      <c r="A824" s="2" t="n">
        <v>4</v>
      </c>
      <c r="B824" s="2" t="s">
        <v>2008</v>
      </c>
      <c r="C824" s="2" t="s">
        <v>2009</v>
      </c>
      <c r="D824" s="2" t="s">
        <v>2000</v>
      </c>
      <c r="E824" s="2" t="s">
        <v>2001</v>
      </c>
      <c r="F824" s="2" t="n">
        <v>64056.8258915697</v>
      </c>
      <c r="G824" s="2" t="n">
        <v>0</v>
      </c>
      <c r="H824" s="2" t="n">
        <v>64056.8258915697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</v>
      </c>
      <c r="CT824" s="2" t="n">
        <v>0</v>
      </c>
      <c r="CU824" s="2" t="n">
        <v>68.76</v>
      </c>
      <c r="CV824" s="2" t="n">
        <v>66.26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99.35</v>
      </c>
      <c r="DN824" s="2" t="n">
        <v>97.02</v>
      </c>
      <c r="DO824" s="2" t="n">
        <v>0</v>
      </c>
      <c r="DP824" s="2" t="n">
        <v>99.35</v>
      </c>
      <c r="DQ824" s="2" t="n">
        <v>97.65</v>
      </c>
      <c r="DR824" s="2" t="n">
        <v>0</v>
      </c>
      <c r="DS824" s="2" t="n">
        <v>100</v>
      </c>
      <c r="DT824" s="2" t="n">
        <v>99.35</v>
      </c>
      <c r="DU824" s="2" t="n">
        <v>0</v>
      </c>
      <c r="DV824" s="2" t="n">
        <v>100</v>
      </c>
      <c r="DW824" s="2" t="n">
        <v>99.35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 customFormat="false" ht="15" hidden="false" customHeight="false" outlineLevel="0" collapsed="false">
      <c r="A825" s="2" t="n">
        <v>4</v>
      </c>
      <c r="B825" s="2" t="s">
        <v>2010</v>
      </c>
      <c r="C825" s="2" t="s">
        <v>2011</v>
      </c>
      <c r="D825" s="2" t="s">
        <v>2000</v>
      </c>
      <c r="E825" s="2" t="s">
        <v>2001</v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</v>
      </c>
      <c r="CT825" s="2" t="n">
        <v>0</v>
      </c>
      <c r="CU825" s="2" t="n">
        <v>68.76</v>
      </c>
      <c r="CV825" s="2" t="n">
        <v>66.26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99.35</v>
      </c>
      <c r="DN825" s="2" t="n">
        <v>97.02</v>
      </c>
      <c r="DO825" s="2" t="n">
        <v>0</v>
      </c>
      <c r="DP825" s="2" t="n">
        <v>99.35</v>
      </c>
      <c r="DQ825" s="2" t="n">
        <v>97.65</v>
      </c>
      <c r="DR825" s="2" t="n">
        <v>0</v>
      </c>
      <c r="DS825" s="2" t="n">
        <v>100</v>
      </c>
      <c r="DT825" s="2" t="n">
        <v>99.35</v>
      </c>
      <c r="DU825" s="2" t="n">
        <v>0</v>
      </c>
      <c r="DV825" s="2" t="n">
        <v>100</v>
      </c>
      <c r="DW825" s="2" t="n">
        <v>99.35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 customFormat="false" ht="15" hidden="false" customHeight="false" outlineLevel="0" collapsed="false">
      <c r="A826" s="2" t="n">
        <v>3</v>
      </c>
      <c r="B826" s="2" t="s">
        <v>2012</v>
      </c>
      <c r="C826" s="2" t="s">
        <v>2013</v>
      </c>
      <c r="D826" s="2" t="s">
        <v>2014</v>
      </c>
      <c r="E826" s="2" t="s">
        <v>2015</v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81.32</v>
      </c>
      <c r="EA826" s="2" t="n">
        <v>0</v>
      </c>
      <c r="EB826" s="2" t="n">
        <v>96.15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 customFormat="false" ht="15" hidden="false" customHeight="false" outlineLevel="0" collapsed="false">
      <c r="A827" s="2" t="n">
        <v>4</v>
      </c>
      <c r="B827" s="2" t="s">
        <v>2016</v>
      </c>
      <c r="C827" s="2" t="s">
        <v>2017</v>
      </c>
      <c r="D827" s="2" t="s">
        <v>2014</v>
      </c>
      <c r="E827" s="2" t="s">
        <v>2015</v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81.32</v>
      </c>
      <c r="EA827" s="2" t="n">
        <v>0</v>
      </c>
      <c r="EB827" s="2" t="n">
        <v>96.15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 customFormat="false" ht="15" hidden="false" customHeight="false" outlineLevel="0" collapsed="false">
      <c r="A828" s="2" t="n">
        <v>3</v>
      </c>
      <c r="B828" s="2" t="s">
        <v>2018</v>
      </c>
      <c r="C828" s="2" t="s">
        <v>2019</v>
      </c>
      <c r="D828" s="2" t="s">
        <v>2020</v>
      </c>
      <c r="E828" s="2" t="s">
        <v>2021</v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 customFormat="false" ht="15" hidden="false" customHeight="false" outlineLevel="0" collapsed="false">
      <c r="A829" s="2" t="n">
        <v>4</v>
      </c>
      <c r="B829" s="2" t="s">
        <v>2022</v>
      </c>
      <c r="C829" s="2" t="s">
        <v>2023</v>
      </c>
      <c r="D829" s="2" t="s">
        <v>2020</v>
      </c>
      <c r="E829" s="2" t="s">
        <v>2021</v>
      </c>
      <c r="F829" s="2" t="n">
        <v>376549.576</v>
      </c>
      <c r="G829" s="2" t="n">
        <v>0</v>
      </c>
      <c r="H829" s="2" t="n">
        <v>376549.576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 customFormat="false" ht="15" hidden="false" customHeight="false" outlineLevel="0" collapsed="false">
      <c r="A830" s="2" t="n">
        <v>4</v>
      </c>
      <c r="B830" s="2" t="s">
        <v>2024</v>
      </c>
      <c r="C830" s="2" t="s">
        <v>2025</v>
      </c>
      <c r="D830" s="2" t="s">
        <v>2020</v>
      </c>
      <c r="E830" s="2" t="s">
        <v>2021</v>
      </c>
      <c r="F830" s="2" t="n">
        <v>12017.6623924118</v>
      </c>
      <c r="G830" s="2" t="n">
        <v>0</v>
      </c>
      <c r="H830" s="2" t="n">
        <v>12017.6623924118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 customFormat="false" ht="15" hidden="false" customHeight="false" outlineLevel="0" collapsed="false">
      <c r="A831" s="2" t="n">
        <v>4</v>
      </c>
      <c r="B831" s="2" t="s">
        <v>2026</v>
      </c>
      <c r="C831" s="2" t="s">
        <v>2027</v>
      </c>
      <c r="D831" s="2" t="s">
        <v>2020</v>
      </c>
      <c r="E831" s="2" t="s">
        <v>2021</v>
      </c>
      <c r="F831" s="2" t="n">
        <v>97254.5345748182</v>
      </c>
      <c r="G831" s="2" t="n">
        <v>0</v>
      </c>
      <c r="H831" s="2" t="n">
        <v>97254.5345748182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 customFormat="false" ht="15" hidden="false" customHeight="false" outlineLevel="0" collapsed="false">
      <c r="A832" s="2" t="n">
        <v>3</v>
      </c>
      <c r="B832" s="2" t="s">
        <v>2028</v>
      </c>
      <c r="C832" s="2" t="s">
        <v>2029</v>
      </c>
      <c r="D832" s="2" t="s">
        <v>1978</v>
      </c>
      <c r="E832" s="2" t="s">
        <v>2030</v>
      </c>
      <c r="F832" s="2" t="n">
        <v>109764.398148029</v>
      </c>
      <c r="G832" s="2" t="n">
        <v>0</v>
      </c>
      <c r="H832" s="2" t="n">
        <v>109764.398148029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</v>
      </c>
      <c r="DE832" s="2" t="n">
        <v>61.6</v>
      </c>
      <c r="DF832" s="2" t="n">
        <v>0</v>
      </c>
      <c r="DG832" s="2" t="n">
        <v>77.6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 customFormat="false" ht="15" hidden="false" customHeight="false" outlineLevel="0" collapsed="false">
      <c r="A833" s="2" t="n">
        <v>4</v>
      </c>
      <c r="B833" s="2" t="s">
        <v>2031</v>
      </c>
      <c r="C833" s="2" t="s">
        <v>2032</v>
      </c>
      <c r="D833" s="2" t="s">
        <v>1978</v>
      </c>
      <c r="E833" s="2" t="s">
        <v>2030</v>
      </c>
      <c r="F833" s="2" t="n">
        <v>109764.398148029</v>
      </c>
      <c r="G833" s="2" t="n">
        <v>0</v>
      </c>
      <c r="H833" s="2" t="n">
        <v>109764.398148029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</v>
      </c>
      <c r="DE833" s="2" t="n">
        <v>61.6</v>
      </c>
      <c r="DF833" s="2" t="n">
        <v>0</v>
      </c>
      <c r="DG833" s="2" t="n">
        <v>77.6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 customFormat="false" ht="15" hidden="false" customHeight="false" outlineLevel="0" collapsed="false">
      <c r="A834" s="2" t="n">
        <v>2</v>
      </c>
      <c r="B834" s="2" t="s">
        <v>2033</v>
      </c>
      <c r="C834" s="2" t="s">
        <v>2034</v>
      </c>
      <c r="D834" s="2" t="s">
        <v>1978</v>
      </c>
      <c r="E834" s="2" t="s">
        <v>2035</v>
      </c>
      <c r="F834" s="2" t="n">
        <v>722297.802281022</v>
      </c>
      <c r="G834" s="2" t="n">
        <v>0</v>
      </c>
      <c r="H834" s="2" t="n">
        <v>722297.802281022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</v>
      </c>
      <c r="DQ834" s="2" t="n">
        <v>72.47</v>
      </c>
      <c r="DR834" s="2" t="n">
        <v>0</v>
      </c>
      <c r="DS834" s="2" t="n">
        <v>80.18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</v>
      </c>
      <c r="DZ834" s="2" t="n">
        <v>89.72</v>
      </c>
      <c r="EA834" s="2" t="n">
        <v>0</v>
      </c>
      <c r="EB834" s="2" t="n">
        <v>95.72</v>
      </c>
      <c r="EC834" s="2" t="n">
        <v>94.43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 customFormat="false" ht="15" hidden="false" customHeight="false" outlineLevel="0" collapsed="false">
      <c r="A835" s="2" t="n">
        <v>3</v>
      </c>
      <c r="B835" s="2" t="s">
        <v>2036</v>
      </c>
      <c r="C835" s="2" t="s">
        <v>1983</v>
      </c>
      <c r="D835" s="2" t="s">
        <v>1978</v>
      </c>
      <c r="E835" s="2" t="s">
        <v>1984</v>
      </c>
      <c r="F835" s="2" t="n">
        <v>370196.541909708</v>
      </c>
      <c r="G835" s="2" t="n">
        <v>0</v>
      </c>
      <c r="H835" s="2" t="n">
        <v>370196.541909708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</v>
      </c>
      <c r="CW835" s="2" t="n">
        <v>0</v>
      </c>
      <c r="CX835" s="2" t="n">
        <v>76.93</v>
      </c>
      <c r="CY835" s="2" t="n">
        <v>73.07</v>
      </c>
      <c r="CZ835" s="2" t="n">
        <v>0</v>
      </c>
      <c r="DA835" s="2" t="n">
        <v>85.85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93.57</v>
      </c>
      <c r="DH835" s="2" t="n">
        <v>92.98</v>
      </c>
      <c r="DI835" s="2" t="n">
        <v>0</v>
      </c>
      <c r="DJ835" s="2" t="n">
        <v>93.57</v>
      </c>
      <c r="DK835" s="2" t="n">
        <v>93.1</v>
      </c>
      <c r="DL835" s="2" t="n">
        <v>0</v>
      </c>
      <c r="DM835" s="2" t="n">
        <v>96.43</v>
      </c>
      <c r="DN835" s="2" t="n">
        <v>93.57</v>
      </c>
      <c r="DO835" s="2" t="n">
        <v>0</v>
      </c>
      <c r="DP835" s="2" t="n">
        <v>96.43</v>
      </c>
      <c r="DQ835" s="2" t="n">
        <v>93.57</v>
      </c>
      <c r="DR835" s="2" t="n">
        <v>0</v>
      </c>
      <c r="DS835" s="2" t="n">
        <v>96.43</v>
      </c>
      <c r="DT835" s="2" t="n">
        <v>96.43</v>
      </c>
      <c r="DU835" s="2" t="n">
        <v>0</v>
      </c>
      <c r="DV835" s="2" t="n">
        <v>99.49</v>
      </c>
      <c r="DW835" s="2" t="n">
        <v>96.43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 customFormat="false" ht="15" hidden="false" customHeight="false" outlineLevel="0" collapsed="false">
      <c r="A836" s="2" t="n">
        <v>4</v>
      </c>
      <c r="B836" s="2" t="s">
        <v>2037</v>
      </c>
      <c r="C836" s="2" t="s">
        <v>2038</v>
      </c>
      <c r="D836" s="2" t="s">
        <v>1978</v>
      </c>
      <c r="E836" s="2" t="s">
        <v>1984</v>
      </c>
      <c r="F836" s="2" t="n">
        <v>61230.2423082979</v>
      </c>
      <c r="G836" s="2" t="n">
        <v>0</v>
      </c>
      <c r="H836" s="2" t="n">
        <v>61230.2423082979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</v>
      </c>
      <c r="CW836" s="2" t="n">
        <v>0</v>
      </c>
      <c r="CX836" s="2" t="n">
        <v>76.93</v>
      </c>
      <c r="CY836" s="2" t="n">
        <v>73.07</v>
      </c>
      <c r="CZ836" s="2" t="n">
        <v>0</v>
      </c>
      <c r="DA836" s="2" t="n">
        <v>85.85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93.57</v>
      </c>
      <c r="DH836" s="2" t="n">
        <v>92.98</v>
      </c>
      <c r="DI836" s="2" t="n">
        <v>0</v>
      </c>
      <c r="DJ836" s="2" t="n">
        <v>93.57</v>
      </c>
      <c r="DK836" s="2" t="n">
        <v>93.1</v>
      </c>
      <c r="DL836" s="2" t="n">
        <v>0</v>
      </c>
      <c r="DM836" s="2" t="n">
        <v>96.43</v>
      </c>
      <c r="DN836" s="2" t="n">
        <v>93.57</v>
      </c>
      <c r="DO836" s="2" t="n">
        <v>0</v>
      </c>
      <c r="DP836" s="2" t="n">
        <v>96.43</v>
      </c>
      <c r="DQ836" s="2" t="n">
        <v>93.57</v>
      </c>
      <c r="DR836" s="2" t="n">
        <v>0</v>
      </c>
      <c r="DS836" s="2" t="n">
        <v>96.43</v>
      </c>
      <c r="DT836" s="2" t="n">
        <v>96.43</v>
      </c>
      <c r="DU836" s="2" t="n">
        <v>0</v>
      </c>
      <c r="DV836" s="2" t="n">
        <v>99.49</v>
      </c>
      <c r="DW836" s="2" t="n">
        <v>96.43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 customFormat="false" ht="15" hidden="false" customHeight="false" outlineLevel="0" collapsed="false">
      <c r="A837" s="2" t="n">
        <v>4</v>
      </c>
      <c r="B837" s="2" t="s">
        <v>2039</v>
      </c>
      <c r="C837" s="2" t="s">
        <v>2040</v>
      </c>
      <c r="D837" s="2" t="s">
        <v>1978</v>
      </c>
      <c r="E837" s="2" t="s">
        <v>1984</v>
      </c>
      <c r="F837" s="2" t="n">
        <v>292426.810821534</v>
      </c>
      <c r="G837" s="2" t="n">
        <v>0</v>
      </c>
      <c r="H837" s="2" t="n">
        <v>292426.810821534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</v>
      </c>
      <c r="CW837" s="2" t="n">
        <v>0</v>
      </c>
      <c r="CX837" s="2" t="n">
        <v>76.93</v>
      </c>
      <c r="CY837" s="2" t="n">
        <v>73.07</v>
      </c>
      <c r="CZ837" s="2" t="n">
        <v>0</v>
      </c>
      <c r="DA837" s="2" t="n">
        <v>85.85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93.57</v>
      </c>
      <c r="DH837" s="2" t="n">
        <v>92.98</v>
      </c>
      <c r="DI837" s="2" t="n">
        <v>0</v>
      </c>
      <c r="DJ837" s="2" t="n">
        <v>93.57</v>
      </c>
      <c r="DK837" s="2" t="n">
        <v>93.1</v>
      </c>
      <c r="DL837" s="2" t="n">
        <v>0</v>
      </c>
      <c r="DM837" s="2" t="n">
        <v>96.43</v>
      </c>
      <c r="DN837" s="2" t="n">
        <v>93.57</v>
      </c>
      <c r="DO837" s="2" t="n">
        <v>0</v>
      </c>
      <c r="DP837" s="2" t="n">
        <v>96.43</v>
      </c>
      <c r="DQ837" s="2" t="n">
        <v>93.57</v>
      </c>
      <c r="DR837" s="2" t="n">
        <v>0</v>
      </c>
      <c r="DS837" s="2" t="n">
        <v>96.43</v>
      </c>
      <c r="DT837" s="2" t="n">
        <v>96.43</v>
      </c>
      <c r="DU837" s="2" t="n">
        <v>0</v>
      </c>
      <c r="DV837" s="2" t="n">
        <v>99.49</v>
      </c>
      <c r="DW837" s="2" t="n">
        <v>96.43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 customFormat="false" ht="15" hidden="false" customHeight="false" outlineLevel="0" collapsed="false">
      <c r="A838" s="2" t="n">
        <v>4</v>
      </c>
      <c r="B838" s="2" t="s">
        <v>2041</v>
      </c>
      <c r="C838" s="2" t="s">
        <v>2042</v>
      </c>
      <c r="D838" s="2" t="s">
        <v>1978</v>
      </c>
      <c r="E838" s="2" t="s">
        <v>1984</v>
      </c>
      <c r="F838" s="2" t="n">
        <v>12650.3652855215</v>
      </c>
      <c r="G838" s="2" t="n">
        <v>0</v>
      </c>
      <c r="H838" s="2" t="n">
        <v>12650.3652855215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</v>
      </c>
      <c r="CW838" s="2" t="n">
        <v>0</v>
      </c>
      <c r="CX838" s="2" t="n">
        <v>76.93</v>
      </c>
      <c r="CY838" s="2" t="n">
        <v>73.07</v>
      </c>
      <c r="CZ838" s="2" t="n">
        <v>0</v>
      </c>
      <c r="DA838" s="2" t="n">
        <v>85.85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93.57</v>
      </c>
      <c r="DH838" s="2" t="n">
        <v>92.98</v>
      </c>
      <c r="DI838" s="2" t="n">
        <v>0</v>
      </c>
      <c r="DJ838" s="2" t="n">
        <v>93.57</v>
      </c>
      <c r="DK838" s="2" t="n">
        <v>93.1</v>
      </c>
      <c r="DL838" s="2" t="n">
        <v>0</v>
      </c>
      <c r="DM838" s="2" t="n">
        <v>96.43</v>
      </c>
      <c r="DN838" s="2" t="n">
        <v>93.57</v>
      </c>
      <c r="DO838" s="2" t="n">
        <v>0</v>
      </c>
      <c r="DP838" s="2" t="n">
        <v>96.43</v>
      </c>
      <c r="DQ838" s="2" t="n">
        <v>93.57</v>
      </c>
      <c r="DR838" s="2" t="n">
        <v>0</v>
      </c>
      <c r="DS838" s="2" t="n">
        <v>96.43</v>
      </c>
      <c r="DT838" s="2" t="n">
        <v>96.43</v>
      </c>
      <c r="DU838" s="2" t="n">
        <v>0</v>
      </c>
      <c r="DV838" s="2" t="n">
        <v>99.49</v>
      </c>
      <c r="DW838" s="2" t="n">
        <v>96.43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 customFormat="false" ht="15" hidden="false" customHeight="false" outlineLevel="0" collapsed="false">
      <c r="A839" s="2" t="n">
        <v>4</v>
      </c>
      <c r="B839" s="2" t="s">
        <v>2043</v>
      </c>
      <c r="C839" s="2" t="s">
        <v>2044</v>
      </c>
      <c r="D839" s="2" t="s">
        <v>1978</v>
      </c>
      <c r="E839" s="2" t="s">
        <v>1984</v>
      </c>
      <c r="F839" s="2" t="n">
        <v>3889.12349435524</v>
      </c>
      <c r="G839" s="2" t="n">
        <v>0</v>
      </c>
      <c r="H839" s="2" t="n">
        <v>3889.12349435524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</v>
      </c>
      <c r="CW839" s="2" t="n">
        <v>0</v>
      </c>
      <c r="CX839" s="2" t="n">
        <v>76.93</v>
      </c>
      <c r="CY839" s="2" t="n">
        <v>73.07</v>
      </c>
      <c r="CZ839" s="2" t="n">
        <v>0</v>
      </c>
      <c r="DA839" s="2" t="n">
        <v>85.85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93.57</v>
      </c>
      <c r="DH839" s="2" t="n">
        <v>92.98</v>
      </c>
      <c r="DI839" s="2" t="n">
        <v>0</v>
      </c>
      <c r="DJ839" s="2" t="n">
        <v>93.57</v>
      </c>
      <c r="DK839" s="2" t="n">
        <v>93.1</v>
      </c>
      <c r="DL839" s="2" t="n">
        <v>0</v>
      </c>
      <c r="DM839" s="2" t="n">
        <v>96.43</v>
      </c>
      <c r="DN839" s="2" t="n">
        <v>93.57</v>
      </c>
      <c r="DO839" s="2" t="n">
        <v>0</v>
      </c>
      <c r="DP839" s="2" t="n">
        <v>96.43</v>
      </c>
      <c r="DQ839" s="2" t="n">
        <v>93.57</v>
      </c>
      <c r="DR839" s="2" t="n">
        <v>0</v>
      </c>
      <c r="DS839" s="2" t="n">
        <v>96.43</v>
      </c>
      <c r="DT839" s="2" t="n">
        <v>96.43</v>
      </c>
      <c r="DU839" s="2" t="n">
        <v>0</v>
      </c>
      <c r="DV839" s="2" t="n">
        <v>99.49</v>
      </c>
      <c r="DW839" s="2" t="n">
        <v>96.43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 customFormat="false" ht="15" hidden="false" customHeight="false" outlineLevel="0" collapsed="false">
      <c r="A840" s="2" t="n">
        <v>3</v>
      </c>
      <c r="B840" s="2" t="s">
        <v>2045</v>
      </c>
      <c r="C840" s="2" t="s">
        <v>1999</v>
      </c>
      <c r="D840" s="2" t="s">
        <v>2000</v>
      </c>
      <c r="E840" s="2" t="s">
        <v>2001</v>
      </c>
      <c r="F840" s="2" t="n">
        <v>70574.087371314</v>
      </c>
      <c r="G840" s="2" t="n">
        <v>0</v>
      </c>
      <c r="H840" s="2" t="n">
        <v>70574.087371314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</v>
      </c>
      <c r="CY840" s="2" t="n">
        <v>72.66</v>
      </c>
      <c r="CZ840" s="2" t="n">
        <v>0</v>
      </c>
      <c r="DA840" s="2" t="n">
        <v>76.79</v>
      </c>
      <c r="DB840" s="2" t="n">
        <v>73.62</v>
      </c>
      <c r="DC840" s="2" t="n">
        <v>0</v>
      </c>
      <c r="DD840" s="2" t="n">
        <v>77.49</v>
      </c>
      <c r="DE840" s="2" t="n">
        <v>80.21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 customFormat="false" ht="15" hidden="false" customHeight="false" outlineLevel="0" collapsed="false">
      <c r="A841" s="2" t="n">
        <v>4</v>
      </c>
      <c r="B841" s="2" t="s">
        <v>2046</v>
      </c>
      <c r="C841" s="2" t="s">
        <v>2047</v>
      </c>
      <c r="D841" s="2" t="s">
        <v>2000</v>
      </c>
      <c r="E841" s="2" t="s">
        <v>2001</v>
      </c>
      <c r="F841" s="2" t="n">
        <v>4157.42858887534</v>
      </c>
      <c r="G841" s="2" t="n">
        <v>0</v>
      </c>
      <c r="H841" s="2" t="n">
        <v>4157.42858887534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</v>
      </c>
      <c r="CY841" s="2" t="n">
        <v>72.66</v>
      </c>
      <c r="CZ841" s="2" t="n">
        <v>0</v>
      </c>
      <c r="DA841" s="2" t="n">
        <v>76.79</v>
      </c>
      <c r="DB841" s="2" t="n">
        <v>73.62</v>
      </c>
      <c r="DC841" s="2" t="n">
        <v>0</v>
      </c>
      <c r="DD841" s="2" t="n">
        <v>77.49</v>
      </c>
      <c r="DE841" s="2" t="n">
        <v>80.21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 customFormat="false" ht="15" hidden="false" customHeight="false" outlineLevel="0" collapsed="false">
      <c r="A842" s="2" t="n">
        <v>4</v>
      </c>
      <c r="B842" s="2" t="s">
        <v>2048</v>
      </c>
      <c r="C842" s="2" t="s">
        <v>2049</v>
      </c>
      <c r="D842" s="2" t="s">
        <v>2000</v>
      </c>
      <c r="E842" s="2" t="s">
        <v>2001</v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</v>
      </c>
      <c r="CY842" s="2" t="n">
        <v>72.66</v>
      </c>
      <c r="CZ842" s="2" t="n">
        <v>0</v>
      </c>
      <c r="DA842" s="2" t="n">
        <v>76.79</v>
      </c>
      <c r="DB842" s="2" t="n">
        <v>73.62</v>
      </c>
      <c r="DC842" s="2" t="n">
        <v>0</v>
      </c>
      <c r="DD842" s="2" t="n">
        <v>77.49</v>
      </c>
      <c r="DE842" s="2" t="n">
        <v>80.21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 customFormat="false" ht="15" hidden="false" customHeight="false" outlineLevel="0" collapsed="false">
      <c r="A843" s="2" t="n">
        <v>4</v>
      </c>
      <c r="B843" s="2" t="s">
        <v>2050</v>
      </c>
      <c r="C843" s="2" t="s">
        <v>2051</v>
      </c>
      <c r="D843" s="2" t="s">
        <v>2000</v>
      </c>
      <c r="E843" s="2" t="s">
        <v>2001</v>
      </c>
      <c r="F843" s="2" t="n">
        <v>289.567187718348</v>
      </c>
      <c r="G843" s="2" t="n">
        <v>0</v>
      </c>
      <c r="H843" s="2" t="n">
        <v>289.567187718348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</v>
      </c>
      <c r="CY843" s="2" t="n">
        <v>72.66</v>
      </c>
      <c r="CZ843" s="2" t="n">
        <v>0</v>
      </c>
      <c r="DA843" s="2" t="n">
        <v>76.79</v>
      </c>
      <c r="DB843" s="2" t="n">
        <v>73.62</v>
      </c>
      <c r="DC843" s="2" t="n">
        <v>0</v>
      </c>
      <c r="DD843" s="2" t="n">
        <v>77.49</v>
      </c>
      <c r="DE843" s="2" t="n">
        <v>80.21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 customFormat="false" ht="15" hidden="false" customHeight="false" outlineLevel="0" collapsed="false">
      <c r="A844" s="2" t="n">
        <v>4</v>
      </c>
      <c r="B844" s="2" t="s">
        <v>2052</v>
      </c>
      <c r="C844" s="2" t="s">
        <v>2053</v>
      </c>
      <c r="D844" s="2" t="s">
        <v>2000</v>
      </c>
      <c r="E844" s="2" t="s">
        <v>2001</v>
      </c>
      <c r="F844" s="2" t="n">
        <v>7066.2439689186</v>
      </c>
      <c r="G844" s="2" t="n">
        <v>0</v>
      </c>
      <c r="H844" s="2" t="n">
        <v>7066.2439689186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</v>
      </c>
      <c r="CY844" s="2" t="n">
        <v>72.66</v>
      </c>
      <c r="CZ844" s="2" t="n">
        <v>0</v>
      </c>
      <c r="DA844" s="2" t="n">
        <v>76.79</v>
      </c>
      <c r="DB844" s="2" t="n">
        <v>73.62</v>
      </c>
      <c r="DC844" s="2" t="n">
        <v>0</v>
      </c>
      <c r="DD844" s="2" t="n">
        <v>77.49</v>
      </c>
      <c r="DE844" s="2" t="n">
        <v>80.21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 customFormat="false" ht="15" hidden="false" customHeight="false" outlineLevel="0" collapsed="false">
      <c r="A845" s="2" t="n">
        <v>3</v>
      </c>
      <c r="B845" s="2" t="s">
        <v>2054</v>
      </c>
      <c r="C845" s="2" t="s">
        <v>2055</v>
      </c>
      <c r="D845" s="2" t="s">
        <v>2056</v>
      </c>
      <c r="E845" s="2" t="s">
        <v>2035</v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</v>
      </c>
      <c r="EC845" s="2" t="n">
        <v>85.71</v>
      </c>
      <c r="ED845" s="2" t="n">
        <v>0</v>
      </c>
      <c r="EE845" s="2" t="n">
        <v>98.35</v>
      </c>
      <c r="EF845" s="2" t="n">
        <v>96.15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 customFormat="false" ht="15" hidden="false" customHeight="false" outlineLevel="0" collapsed="false">
      <c r="A846" s="2" t="n">
        <v>4</v>
      </c>
      <c r="B846" s="2" t="s">
        <v>2057</v>
      </c>
      <c r="C846" s="2" t="s">
        <v>2058</v>
      </c>
      <c r="D846" s="2" t="s">
        <v>2056</v>
      </c>
      <c r="E846" s="2" t="s">
        <v>2035</v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</v>
      </c>
      <c r="EC846" s="2" t="n">
        <v>85.71</v>
      </c>
      <c r="ED846" s="2" t="n">
        <v>0</v>
      </c>
      <c r="EE846" s="2" t="n">
        <v>98.35</v>
      </c>
      <c r="EF846" s="2" t="n">
        <v>96.15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 customFormat="false" ht="15" hidden="false" customHeight="false" outlineLevel="0" collapsed="false">
      <c r="A847" s="2" t="n">
        <v>3</v>
      </c>
      <c r="B847" s="2" t="s">
        <v>2059</v>
      </c>
      <c r="C847" s="2" t="s">
        <v>2013</v>
      </c>
      <c r="D847" s="2" t="s">
        <v>2056</v>
      </c>
      <c r="E847" s="2" t="s">
        <v>2035</v>
      </c>
      <c r="F847" s="2" t="n">
        <v>2885.1</v>
      </c>
      <c r="G847" s="2" t="n">
        <v>0</v>
      </c>
      <c r="H847" s="2" t="n">
        <v>2885.1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</v>
      </c>
      <c r="EC847" s="2" t="n">
        <v>85.71</v>
      </c>
      <c r="ED847" s="2" t="n">
        <v>0</v>
      </c>
      <c r="EE847" s="2" t="n">
        <v>98.35</v>
      </c>
      <c r="EF847" s="2" t="n">
        <v>96.15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 customFormat="false" ht="15" hidden="false" customHeight="false" outlineLevel="0" collapsed="false">
      <c r="A848" s="2" t="n">
        <v>4</v>
      </c>
      <c r="B848" s="2" t="s">
        <v>2060</v>
      </c>
      <c r="C848" s="2" t="s">
        <v>2061</v>
      </c>
      <c r="D848" s="2" t="s">
        <v>2056</v>
      </c>
      <c r="E848" s="2" t="s">
        <v>2035</v>
      </c>
      <c r="F848" s="2" t="n">
        <v>2885.1</v>
      </c>
      <c r="G848" s="2" t="n">
        <v>0</v>
      </c>
      <c r="H848" s="2" t="n">
        <v>2885.1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</v>
      </c>
      <c r="EC848" s="2" t="n">
        <v>85.71</v>
      </c>
      <c r="ED848" s="2" t="n">
        <v>0</v>
      </c>
      <c r="EE848" s="2" t="n">
        <v>98.35</v>
      </c>
      <c r="EF848" s="2" t="n">
        <v>96.15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 customFormat="false" ht="15" hidden="false" customHeight="false" outlineLevel="0" collapsed="false">
      <c r="A849" s="2" t="n">
        <v>2</v>
      </c>
      <c r="B849" s="2" t="s">
        <v>2062</v>
      </c>
      <c r="C849" s="2" t="s">
        <v>2063</v>
      </c>
      <c r="D849" s="2" t="s">
        <v>2000</v>
      </c>
      <c r="E849" s="2" t="s">
        <v>1979</v>
      </c>
      <c r="F849" s="2" t="n">
        <v>812987.518856902</v>
      </c>
      <c r="G849" s="2" t="n">
        <v>0</v>
      </c>
      <c r="H849" s="2" t="n">
        <v>812987.518856902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89.46</v>
      </c>
      <c r="DR849" s="2" t="n">
        <v>0</v>
      </c>
      <c r="DS849" s="2" t="n">
        <v>89.79</v>
      </c>
      <c r="DT849" s="2" t="n">
        <v>89.7</v>
      </c>
      <c r="DU849" s="2" t="n">
        <v>0</v>
      </c>
      <c r="DV849" s="2" t="n">
        <v>90.07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96.24</v>
      </c>
      <c r="EC849" s="2" t="n">
        <v>96.24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 customFormat="false" ht="15" hidden="false" customHeight="false" outlineLevel="0" collapsed="false">
      <c r="A850" s="2" t="n">
        <v>3</v>
      </c>
      <c r="B850" s="2" t="s">
        <v>2064</v>
      </c>
      <c r="C850" s="2" t="s">
        <v>2065</v>
      </c>
      <c r="D850" s="2" t="s">
        <v>1995</v>
      </c>
      <c r="E850" s="2" t="s">
        <v>1979</v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 customFormat="false" ht="15" hidden="false" customHeight="false" outlineLevel="0" collapsed="false">
      <c r="A851" s="2" t="n">
        <v>4</v>
      </c>
      <c r="B851" s="2" t="s">
        <v>2066</v>
      </c>
      <c r="C851" s="2" t="s">
        <v>2067</v>
      </c>
      <c r="D851" s="2" t="s">
        <v>1995</v>
      </c>
      <c r="E851" s="2" t="s">
        <v>1979</v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 customFormat="false" ht="15" hidden="false" customHeight="false" outlineLevel="0" collapsed="false">
      <c r="A852" s="2" t="n">
        <v>3</v>
      </c>
      <c r="B852" s="2" t="s">
        <v>2068</v>
      </c>
      <c r="C852" s="2" t="s">
        <v>1999</v>
      </c>
      <c r="D852" s="2" t="s">
        <v>2000</v>
      </c>
      <c r="E852" s="2" t="s">
        <v>2069</v>
      </c>
      <c r="F852" s="2" t="n">
        <v>424255.219856902</v>
      </c>
      <c r="G852" s="2" t="n">
        <v>0</v>
      </c>
      <c r="H852" s="2" t="n">
        <v>424255.219856902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</v>
      </c>
      <c r="DR852" s="2" t="n">
        <v>0</v>
      </c>
      <c r="DS852" s="2" t="n">
        <v>89.18</v>
      </c>
      <c r="DT852" s="2" t="n">
        <v>89</v>
      </c>
      <c r="DU852" s="2" t="n">
        <v>0</v>
      </c>
      <c r="DV852" s="2" t="n">
        <v>89.57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 customFormat="false" ht="15" hidden="false" customHeight="false" outlineLevel="0" collapsed="false">
      <c r="A853" s="2" t="n">
        <v>4</v>
      </c>
      <c r="B853" s="2" t="s">
        <v>2070</v>
      </c>
      <c r="C853" s="2" t="s">
        <v>2071</v>
      </c>
      <c r="D853" s="2" t="s">
        <v>2072</v>
      </c>
      <c r="E853" s="2" t="s">
        <v>2069</v>
      </c>
      <c r="F853" s="2" t="n">
        <v>168030.373428736</v>
      </c>
      <c r="G853" s="2" t="n">
        <v>0</v>
      </c>
      <c r="H853" s="2" t="n">
        <v>168030.373428736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73.49</v>
      </c>
      <c r="DK853" s="2" t="n">
        <v>68.01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 customFormat="false" ht="15" hidden="false" customHeight="false" outlineLevel="0" collapsed="false">
      <c r="A854" s="2" t="n">
        <v>4</v>
      </c>
      <c r="B854" s="2" t="s">
        <v>2073</v>
      </c>
      <c r="C854" s="2" t="s">
        <v>2074</v>
      </c>
      <c r="D854" s="2" t="s">
        <v>2072</v>
      </c>
      <c r="E854" s="2" t="s">
        <v>2069</v>
      </c>
      <c r="F854" s="2" t="n">
        <v>145678.900855215</v>
      </c>
      <c r="G854" s="2" t="n">
        <v>0</v>
      </c>
      <c r="H854" s="2" t="n">
        <v>145678.900855215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73.49</v>
      </c>
      <c r="DK854" s="2" t="n">
        <v>68.01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 customFormat="false" ht="15" hidden="false" customHeight="false" outlineLevel="0" collapsed="false">
      <c r="A855" s="2" t="n">
        <v>4</v>
      </c>
      <c r="B855" s="2" t="s">
        <v>2075</v>
      </c>
      <c r="C855" s="2" t="s">
        <v>2076</v>
      </c>
      <c r="D855" s="2" t="s">
        <v>2000</v>
      </c>
      <c r="E855" s="2" t="s">
        <v>2001</v>
      </c>
      <c r="F855" s="2" t="n">
        <v>46031.0409422397</v>
      </c>
      <c r="G855" s="2" t="n">
        <v>0</v>
      </c>
      <c r="H855" s="2" t="n">
        <v>46031.0409422397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68.74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</v>
      </c>
      <c r="CY855" s="2" t="n">
        <v>73.97</v>
      </c>
      <c r="CZ855" s="2" t="n">
        <v>0</v>
      </c>
      <c r="DA855" s="2" t="n">
        <v>77.9</v>
      </c>
      <c r="DB855" s="2" t="n">
        <v>74.88</v>
      </c>
      <c r="DC855" s="2" t="n">
        <v>0</v>
      </c>
      <c r="DD855" s="2" t="n">
        <v>78.57</v>
      </c>
      <c r="DE855" s="2" t="n">
        <v>81.15</v>
      </c>
      <c r="DF855" s="2" t="n">
        <v>0</v>
      </c>
      <c r="DG855" s="2" t="n">
        <v>80.11</v>
      </c>
      <c r="DH855" s="2" t="n">
        <v>90.9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99.32</v>
      </c>
      <c r="DN855" s="2" t="n">
        <v>96.88</v>
      </c>
      <c r="DO855" s="2" t="n">
        <v>0</v>
      </c>
      <c r="DP855" s="2" t="n">
        <v>99.32</v>
      </c>
      <c r="DQ855" s="2" t="n">
        <v>97.55</v>
      </c>
      <c r="DR855" s="2" t="n">
        <v>0</v>
      </c>
      <c r="DS855" s="2" t="n">
        <v>100</v>
      </c>
      <c r="DT855" s="2" t="n">
        <v>99.32</v>
      </c>
      <c r="DU855" s="2" t="n">
        <v>0</v>
      </c>
      <c r="DV855" s="2" t="n">
        <v>100</v>
      </c>
      <c r="DW855" s="2" t="n">
        <v>99.32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 customFormat="false" ht="15" hidden="false" customHeight="false" outlineLevel="0" collapsed="false">
      <c r="A856" s="2" t="n">
        <v>4</v>
      </c>
      <c r="B856" s="2" t="s">
        <v>2077</v>
      </c>
      <c r="C856" s="2" t="s">
        <v>2078</v>
      </c>
      <c r="D856" s="2" t="s">
        <v>2000</v>
      </c>
      <c r="E856" s="2" t="s">
        <v>2001</v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68.74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</v>
      </c>
      <c r="CY856" s="2" t="n">
        <v>73.97</v>
      </c>
      <c r="CZ856" s="2" t="n">
        <v>0</v>
      </c>
      <c r="DA856" s="2" t="n">
        <v>77.9</v>
      </c>
      <c r="DB856" s="2" t="n">
        <v>74.88</v>
      </c>
      <c r="DC856" s="2" t="n">
        <v>0</v>
      </c>
      <c r="DD856" s="2" t="n">
        <v>78.57</v>
      </c>
      <c r="DE856" s="2" t="n">
        <v>81.15</v>
      </c>
      <c r="DF856" s="2" t="n">
        <v>0</v>
      </c>
      <c r="DG856" s="2" t="n">
        <v>80.11</v>
      </c>
      <c r="DH856" s="2" t="n">
        <v>90.9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99.32</v>
      </c>
      <c r="DN856" s="2" t="n">
        <v>96.88</v>
      </c>
      <c r="DO856" s="2" t="n">
        <v>0</v>
      </c>
      <c r="DP856" s="2" t="n">
        <v>99.32</v>
      </c>
      <c r="DQ856" s="2" t="n">
        <v>97.55</v>
      </c>
      <c r="DR856" s="2" t="n">
        <v>0</v>
      </c>
      <c r="DS856" s="2" t="n">
        <v>100</v>
      </c>
      <c r="DT856" s="2" t="n">
        <v>99.32</v>
      </c>
      <c r="DU856" s="2" t="n">
        <v>0</v>
      </c>
      <c r="DV856" s="2" t="n">
        <v>100</v>
      </c>
      <c r="DW856" s="2" t="n">
        <v>99.32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 customFormat="false" ht="15" hidden="false" customHeight="false" outlineLevel="0" collapsed="false">
      <c r="A857" s="2" t="n">
        <v>3</v>
      </c>
      <c r="B857" s="2" t="s">
        <v>2079</v>
      </c>
      <c r="C857" s="2" t="s">
        <v>2055</v>
      </c>
      <c r="D857" s="2" t="s">
        <v>2080</v>
      </c>
      <c r="E857" s="2" t="s">
        <v>2081</v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 customFormat="false" ht="15" hidden="false" customHeight="false" outlineLevel="0" collapsed="false">
      <c r="A858" s="2" t="n">
        <v>4</v>
      </c>
      <c r="B858" s="2" t="s">
        <v>2082</v>
      </c>
      <c r="C858" s="2" t="s">
        <v>2083</v>
      </c>
      <c r="D858" s="2" t="s">
        <v>2080</v>
      </c>
      <c r="E858" s="2" t="s">
        <v>2081</v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 customFormat="false" ht="15" hidden="false" customHeight="false" outlineLevel="0" collapsed="false">
      <c r="A859" s="2" t="n">
        <v>4</v>
      </c>
      <c r="B859" s="2" t="s">
        <v>2084</v>
      </c>
      <c r="C859" s="2" t="s">
        <v>2085</v>
      </c>
      <c r="D859" s="2" t="s">
        <v>2080</v>
      </c>
      <c r="E859" s="2" t="s">
        <v>2081</v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 customFormat="false" ht="15" hidden="false" customHeight="false" outlineLevel="0" collapsed="false">
      <c r="A860" s="2" t="n">
        <v>3</v>
      </c>
      <c r="B860" s="2" t="s">
        <v>2086</v>
      </c>
      <c r="C860" s="2" t="s">
        <v>2029</v>
      </c>
      <c r="D860" s="2" t="s">
        <v>2072</v>
      </c>
      <c r="E860" s="2" t="s">
        <v>2069</v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73.49</v>
      </c>
      <c r="DK860" s="2" t="n">
        <v>68.01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 customFormat="false" ht="15" hidden="false" customHeight="false" outlineLevel="0" collapsed="false">
      <c r="A861" s="2" t="n">
        <v>4</v>
      </c>
      <c r="B861" s="2" t="s">
        <v>2087</v>
      </c>
      <c r="C861" s="2" t="s">
        <v>2088</v>
      </c>
      <c r="D861" s="2" t="s">
        <v>2072</v>
      </c>
      <c r="E861" s="2" t="s">
        <v>2069</v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73.49</v>
      </c>
      <c r="DK861" s="2" t="n">
        <v>68.01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 customFormat="false" ht="15" hidden="false" customHeight="false" outlineLevel="0" collapsed="false">
      <c r="A862" s="2" t="n">
        <v>2</v>
      </c>
      <c r="B862" s="2" t="s">
        <v>2089</v>
      </c>
      <c r="C862" s="2" t="s">
        <v>2090</v>
      </c>
      <c r="D862" s="2" t="s">
        <v>2091</v>
      </c>
      <c r="E862" s="2" t="s">
        <v>2092</v>
      </c>
      <c r="F862" s="2" t="n">
        <v>1600756.99528248</v>
      </c>
      <c r="G862" s="2" t="n">
        <v>0</v>
      </c>
      <c r="H862" s="2" t="n">
        <v>1600756.99528248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74.32</v>
      </c>
      <c r="DB862" s="2" t="n">
        <v>70.64</v>
      </c>
      <c r="DC862" s="2" t="n">
        <v>0</v>
      </c>
      <c r="DD862" s="2" t="n">
        <v>77.26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83.49</v>
      </c>
      <c r="DL862" s="2" t="n">
        <v>0</v>
      </c>
      <c r="DM862" s="2" t="n">
        <v>86.35</v>
      </c>
      <c r="DN862" s="2" t="n">
        <v>83.98</v>
      </c>
      <c r="DO862" s="2" t="n">
        <v>0</v>
      </c>
      <c r="DP862" s="2" t="n">
        <v>86.35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 customFormat="false" ht="15" hidden="false" customHeight="false" outlineLevel="0" collapsed="false">
      <c r="A863" s="2" t="n">
        <v>3</v>
      </c>
      <c r="B863" s="2" t="s">
        <v>2093</v>
      </c>
      <c r="C863" s="2" t="s">
        <v>2094</v>
      </c>
      <c r="D863" s="2" t="s">
        <v>2091</v>
      </c>
      <c r="E863" s="2" t="s">
        <v>2092</v>
      </c>
      <c r="F863" s="2" t="n">
        <v>1421613.23032907</v>
      </c>
      <c r="G863" s="2" t="n">
        <v>0</v>
      </c>
      <c r="H863" s="2" t="n">
        <v>1421613.23032907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</v>
      </c>
      <c r="CY863" s="2" t="n">
        <v>71.25</v>
      </c>
      <c r="CZ863" s="2" t="n">
        <v>0</v>
      </c>
      <c r="DA863" s="2" t="n">
        <v>83.69</v>
      </c>
      <c r="DB863" s="2" t="n">
        <v>79.54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</v>
      </c>
      <c r="DH863" s="2" t="n">
        <v>87.25</v>
      </c>
      <c r="DI863" s="2" t="n">
        <v>0</v>
      </c>
      <c r="DJ863" s="2" t="n">
        <v>88.43</v>
      </c>
      <c r="DK863" s="2" t="n">
        <v>87.87</v>
      </c>
      <c r="DL863" s="2" t="n">
        <v>0</v>
      </c>
      <c r="DM863" s="2" t="n">
        <v>91.09</v>
      </c>
      <c r="DN863" s="2" t="n">
        <v>88.43</v>
      </c>
      <c r="DO863" s="2" t="n">
        <v>0</v>
      </c>
      <c r="DP863" s="2" t="n">
        <v>91.09</v>
      </c>
      <c r="DQ863" s="2" t="n">
        <v>88.43</v>
      </c>
      <c r="DR863" s="2" t="n">
        <v>0</v>
      </c>
      <c r="DS863" s="2" t="n">
        <v>96.68</v>
      </c>
      <c r="DT863" s="2" t="n">
        <v>96.68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 customFormat="false" ht="15" hidden="false" customHeight="false" outlineLevel="0" collapsed="false">
      <c r="A864" s="2" t="n">
        <v>4</v>
      </c>
      <c r="B864" s="2" t="s">
        <v>2095</v>
      </c>
      <c r="C864" s="2" t="s">
        <v>2096</v>
      </c>
      <c r="D864" s="2" t="s">
        <v>2091</v>
      </c>
      <c r="E864" s="2" t="s">
        <v>2092</v>
      </c>
      <c r="F864" s="2" t="n">
        <v>198920.931518679</v>
      </c>
      <c r="G864" s="2" t="n">
        <v>0</v>
      </c>
      <c r="H864" s="2" t="n">
        <v>198920.931518679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</v>
      </c>
      <c r="CY864" s="2" t="n">
        <v>71.25</v>
      </c>
      <c r="CZ864" s="2" t="n">
        <v>0</v>
      </c>
      <c r="DA864" s="2" t="n">
        <v>83.69</v>
      </c>
      <c r="DB864" s="2" t="n">
        <v>79.54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</v>
      </c>
      <c r="DH864" s="2" t="n">
        <v>87.25</v>
      </c>
      <c r="DI864" s="2" t="n">
        <v>0</v>
      </c>
      <c r="DJ864" s="2" t="n">
        <v>88.43</v>
      </c>
      <c r="DK864" s="2" t="n">
        <v>87.87</v>
      </c>
      <c r="DL864" s="2" t="n">
        <v>0</v>
      </c>
      <c r="DM864" s="2" t="n">
        <v>91.09</v>
      </c>
      <c r="DN864" s="2" t="n">
        <v>88.43</v>
      </c>
      <c r="DO864" s="2" t="n">
        <v>0</v>
      </c>
      <c r="DP864" s="2" t="n">
        <v>91.09</v>
      </c>
      <c r="DQ864" s="2" t="n">
        <v>88.43</v>
      </c>
      <c r="DR864" s="2" t="n">
        <v>0</v>
      </c>
      <c r="DS864" s="2" t="n">
        <v>96.68</v>
      </c>
      <c r="DT864" s="2" t="n">
        <v>96.68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 customFormat="false" ht="15" hidden="false" customHeight="false" outlineLevel="0" collapsed="false">
      <c r="A865" s="2" t="n">
        <v>4</v>
      </c>
      <c r="B865" s="2" t="s">
        <v>2097</v>
      </c>
      <c r="C865" s="2" t="s">
        <v>2098</v>
      </c>
      <c r="D865" s="2" t="s">
        <v>2091</v>
      </c>
      <c r="E865" s="2" t="s">
        <v>2092</v>
      </c>
      <c r="F865" s="2" t="n">
        <v>987560.774930192</v>
      </c>
      <c r="G865" s="2" t="n">
        <v>0</v>
      </c>
      <c r="H865" s="2" t="n">
        <v>987560.774930192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</v>
      </c>
      <c r="CY865" s="2" t="n">
        <v>71.25</v>
      </c>
      <c r="CZ865" s="2" t="n">
        <v>0</v>
      </c>
      <c r="DA865" s="2" t="n">
        <v>83.69</v>
      </c>
      <c r="DB865" s="2" t="n">
        <v>79.54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</v>
      </c>
      <c r="DH865" s="2" t="n">
        <v>87.25</v>
      </c>
      <c r="DI865" s="2" t="n">
        <v>0</v>
      </c>
      <c r="DJ865" s="2" t="n">
        <v>88.43</v>
      </c>
      <c r="DK865" s="2" t="n">
        <v>87.87</v>
      </c>
      <c r="DL865" s="2" t="n">
        <v>0</v>
      </c>
      <c r="DM865" s="2" t="n">
        <v>91.09</v>
      </c>
      <c r="DN865" s="2" t="n">
        <v>88.43</v>
      </c>
      <c r="DO865" s="2" t="n">
        <v>0</v>
      </c>
      <c r="DP865" s="2" t="n">
        <v>91.09</v>
      </c>
      <c r="DQ865" s="2" t="n">
        <v>88.43</v>
      </c>
      <c r="DR865" s="2" t="n">
        <v>0</v>
      </c>
      <c r="DS865" s="2" t="n">
        <v>96.68</v>
      </c>
      <c r="DT865" s="2" t="n">
        <v>96.68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 customFormat="false" ht="15" hidden="false" customHeight="false" outlineLevel="0" collapsed="false">
      <c r="A866" s="2" t="n">
        <v>4</v>
      </c>
      <c r="B866" s="2" t="s">
        <v>2099</v>
      </c>
      <c r="C866" s="2" t="s">
        <v>2100</v>
      </c>
      <c r="D866" s="2" t="s">
        <v>2091</v>
      </c>
      <c r="E866" s="2" t="s">
        <v>2092</v>
      </c>
      <c r="F866" s="2" t="n">
        <v>38363.7154559451</v>
      </c>
      <c r="G866" s="2" t="n">
        <v>0</v>
      </c>
      <c r="H866" s="2" t="n">
        <v>38363.7154559451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</v>
      </c>
      <c r="CY866" s="2" t="n">
        <v>71.25</v>
      </c>
      <c r="CZ866" s="2" t="n">
        <v>0</v>
      </c>
      <c r="DA866" s="2" t="n">
        <v>83.69</v>
      </c>
      <c r="DB866" s="2" t="n">
        <v>79.54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</v>
      </c>
      <c r="DH866" s="2" t="n">
        <v>87.25</v>
      </c>
      <c r="DI866" s="2" t="n">
        <v>0</v>
      </c>
      <c r="DJ866" s="2" t="n">
        <v>88.43</v>
      </c>
      <c r="DK866" s="2" t="n">
        <v>87.87</v>
      </c>
      <c r="DL866" s="2" t="n">
        <v>0</v>
      </c>
      <c r="DM866" s="2" t="n">
        <v>91.09</v>
      </c>
      <c r="DN866" s="2" t="n">
        <v>88.43</v>
      </c>
      <c r="DO866" s="2" t="n">
        <v>0</v>
      </c>
      <c r="DP866" s="2" t="n">
        <v>91.09</v>
      </c>
      <c r="DQ866" s="2" t="n">
        <v>88.43</v>
      </c>
      <c r="DR866" s="2" t="n">
        <v>0</v>
      </c>
      <c r="DS866" s="2" t="n">
        <v>96.68</v>
      </c>
      <c r="DT866" s="2" t="n">
        <v>96.68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 customFormat="false" ht="15" hidden="false" customHeight="false" outlineLevel="0" collapsed="false">
      <c r="A867" s="2" t="n">
        <v>4</v>
      </c>
      <c r="B867" s="2" t="s">
        <v>2101</v>
      </c>
      <c r="C867" s="2" t="s">
        <v>2102</v>
      </c>
      <c r="D867" s="2" t="s">
        <v>2091</v>
      </c>
      <c r="E867" s="2" t="s">
        <v>2092</v>
      </c>
      <c r="F867" s="2" t="n">
        <v>87001.2339109923</v>
      </c>
      <c r="G867" s="2" t="n">
        <v>0</v>
      </c>
      <c r="H867" s="2" t="n">
        <v>87001.2339109923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</v>
      </c>
      <c r="CY867" s="2" t="n">
        <v>71.25</v>
      </c>
      <c r="CZ867" s="2" t="n">
        <v>0</v>
      </c>
      <c r="DA867" s="2" t="n">
        <v>83.69</v>
      </c>
      <c r="DB867" s="2" t="n">
        <v>79.54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</v>
      </c>
      <c r="DH867" s="2" t="n">
        <v>87.25</v>
      </c>
      <c r="DI867" s="2" t="n">
        <v>0</v>
      </c>
      <c r="DJ867" s="2" t="n">
        <v>88.43</v>
      </c>
      <c r="DK867" s="2" t="n">
        <v>87.87</v>
      </c>
      <c r="DL867" s="2" t="n">
        <v>0</v>
      </c>
      <c r="DM867" s="2" t="n">
        <v>91.09</v>
      </c>
      <c r="DN867" s="2" t="n">
        <v>88.43</v>
      </c>
      <c r="DO867" s="2" t="n">
        <v>0</v>
      </c>
      <c r="DP867" s="2" t="n">
        <v>91.09</v>
      </c>
      <c r="DQ867" s="2" t="n">
        <v>88.43</v>
      </c>
      <c r="DR867" s="2" t="n">
        <v>0</v>
      </c>
      <c r="DS867" s="2" t="n">
        <v>96.68</v>
      </c>
      <c r="DT867" s="2" t="n">
        <v>96.68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 customFormat="false" ht="15" hidden="false" customHeight="false" outlineLevel="0" collapsed="false">
      <c r="A868" s="2" t="n">
        <v>4</v>
      </c>
      <c r="B868" s="2" t="s">
        <v>2103</v>
      </c>
      <c r="C868" s="2" t="s">
        <v>2104</v>
      </c>
      <c r="D868" s="2" t="s">
        <v>2091</v>
      </c>
      <c r="E868" s="2" t="s">
        <v>2092</v>
      </c>
      <c r="F868" s="2" t="n">
        <v>33619.7658413296</v>
      </c>
      <c r="G868" s="2" t="n">
        <v>0</v>
      </c>
      <c r="H868" s="2" t="n">
        <v>33619.7658413296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</v>
      </c>
      <c r="CY868" s="2" t="n">
        <v>71.25</v>
      </c>
      <c r="CZ868" s="2" t="n">
        <v>0</v>
      </c>
      <c r="DA868" s="2" t="n">
        <v>83.69</v>
      </c>
      <c r="DB868" s="2" t="n">
        <v>79.54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</v>
      </c>
      <c r="DH868" s="2" t="n">
        <v>87.25</v>
      </c>
      <c r="DI868" s="2" t="n">
        <v>0</v>
      </c>
      <c r="DJ868" s="2" t="n">
        <v>88.43</v>
      </c>
      <c r="DK868" s="2" t="n">
        <v>87.87</v>
      </c>
      <c r="DL868" s="2" t="n">
        <v>0</v>
      </c>
      <c r="DM868" s="2" t="n">
        <v>91.09</v>
      </c>
      <c r="DN868" s="2" t="n">
        <v>88.43</v>
      </c>
      <c r="DO868" s="2" t="n">
        <v>0</v>
      </c>
      <c r="DP868" s="2" t="n">
        <v>91.09</v>
      </c>
      <c r="DQ868" s="2" t="n">
        <v>88.43</v>
      </c>
      <c r="DR868" s="2" t="n">
        <v>0</v>
      </c>
      <c r="DS868" s="2" t="n">
        <v>96.68</v>
      </c>
      <c r="DT868" s="2" t="n">
        <v>96.68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 customFormat="false" ht="15" hidden="false" customHeight="false" outlineLevel="0" collapsed="false">
      <c r="A869" s="2" t="n">
        <v>4</v>
      </c>
      <c r="B869" s="2" t="s">
        <v>2105</v>
      </c>
      <c r="C869" s="2" t="s">
        <v>2106</v>
      </c>
      <c r="D869" s="2" t="s">
        <v>2091</v>
      </c>
      <c r="E869" s="2" t="s">
        <v>2092</v>
      </c>
      <c r="F869" s="2" t="n">
        <v>76146.8086719343</v>
      </c>
      <c r="G869" s="2" t="n">
        <v>0</v>
      </c>
      <c r="H869" s="2" t="n">
        <v>76146.8086719343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</v>
      </c>
      <c r="CY869" s="2" t="n">
        <v>71.25</v>
      </c>
      <c r="CZ869" s="2" t="n">
        <v>0</v>
      </c>
      <c r="DA869" s="2" t="n">
        <v>83.69</v>
      </c>
      <c r="DB869" s="2" t="n">
        <v>79.54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</v>
      </c>
      <c r="DH869" s="2" t="n">
        <v>87.25</v>
      </c>
      <c r="DI869" s="2" t="n">
        <v>0</v>
      </c>
      <c r="DJ869" s="2" t="n">
        <v>88.43</v>
      </c>
      <c r="DK869" s="2" t="n">
        <v>87.87</v>
      </c>
      <c r="DL869" s="2" t="n">
        <v>0</v>
      </c>
      <c r="DM869" s="2" t="n">
        <v>91.09</v>
      </c>
      <c r="DN869" s="2" t="n">
        <v>88.43</v>
      </c>
      <c r="DO869" s="2" t="n">
        <v>0</v>
      </c>
      <c r="DP869" s="2" t="n">
        <v>91.09</v>
      </c>
      <c r="DQ869" s="2" t="n">
        <v>88.43</v>
      </c>
      <c r="DR869" s="2" t="n">
        <v>0</v>
      </c>
      <c r="DS869" s="2" t="n">
        <v>96.68</v>
      </c>
      <c r="DT869" s="2" t="n">
        <v>96.68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 customFormat="false" ht="15" hidden="false" customHeight="false" outlineLevel="0" collapsed="false">
      <c r="A870" s="2" t="n">
        <v>4</v>
      </c>
      <c r="B870" s="2" t="s">
        <v>2107</v>
      </c>
      <c r="C870" s="2" t="s">
        <v>2108</v>
      </c>
      <c r="D870" s="2" t="s">
        <v>2091</v>
      </c>
      <c r="E870" s="2" t="s">
        <v>2092</v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</v>
      </c>
      <c r="CY870" s="2" t="n">
        <v>71.25</v>
      </c>
      <c r="CZ870" s="2" t="n">
        <v>0</v>
      </c>
      <c r="DA870" s="2" t="n">
        <v>83.69</v>
      </c>
      <c r="DB870" s="2" t="n">
        <v>79.54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</v>
      </c>
      <c r="DH870" s="2" t="n">
        <v>87.25</v>
      </c>
      <c r="DI870" s="2" t="n">
        <v>0</v>
      </c>
      <c r="DJ870" s="2" t="n">
        <v>88.43</v>
      </c>
      <c r="DK870" s="2" t="n">
        <v>87.87</v>
      </c>
      <c r="DL870" s="2" t="n">
        <v>0</v>
      </c>
      <c r="DM870" s="2" t="n">
        <v>91.09</v>
      </c>
      <c r="DN870" s="2" t="n">
        <v>88.43</v>
      </c>
      <c r="DO870" s="2" t="n">
        <v>0</v>
      </c>
      <c r="DP870" s="2" t="n">
        <v>91.09</v>
      </c>
      <c r="DQ870" s="2" t="n">
        <v>88.43</v>
      </c>
      <c r="DR870" s="2" t="n">
        <v>0</v>
      </c>
      <c r="DS870" s="2" t="n">
        <v>96.68</v>
      </c>
      <c r="DT870" s="2" t="n">
        <v>96.68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 customFormat="false" ht="15" hidden="false" customHeight="false" outlineLevel="0" collapsed="false">
      <c r="A871" s="2" t="n">
        <v>4</v>
      </c>
      <c r="B871" s="2" t="s">
        <v>2109</v>
      </c>
      <c r="C871" s="2" t="s">
        <v>2110</v>
      </c>
      <c r="D871" s="2" t="s">
        <v>2091</v>
      </c>
      <c r="E871" s="2" t="s">
        <v>2092</v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</v>
      </c>
      <c r="CY871" s="2" t="n">
        <v>71.25</v>
      </c>
      <c r="CZ871" s="2" t="n">
        <v>0</v>
      </c>
      <c r="DA871" s="2" t="n">
        <v>83.69</v>
      </c>
      <c r="DB871" s="2" t="n">
        <v>79.54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</v>
      </c>
      <c r="DH871" s="2" t="n">
        <v>87.25</v>
      </c>
      <c r="DI871" s="2" t="n">
        <v>0</v>
      </c>
      <c r="DJ871" s="2" t="n">
        <v>88.43</v>
      </c>
      <c r="DK871" s="2" t="n">
        <v>87.87</v>
      </c>
      <c r="DL871" s="2" t="n">
        <v>0</v>
      </c>
      <c r="DM871" s="2" t="n">
        <v>91.09</v>
      </c>
      <c r="DN871" s="2" t="n">
        <v>88.43</v>
      </c>
      <c r="DO871" s="2" t="n">
        <v>0</v>
      </c>
      <c r="DP871" s="2" t="n">
        <v>91.09</v>
      </c>
      <c r="DQ871" s="2" t="n">
        <v>88.43</v>
      </c>
      <c r="DR871" s="2" t="n">
        <v>0</v>
      </c>
      <c r="DS871" s="2" t="n">
        <v>96.68</v>
      </c>
      <c r="DT871" s="2" t="n">
        <v>96.68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 customFormat="false" ht="15" hidden="false" customHeight="false" outlineLevel="0" collapsed="false">
      <c r="A872" s="2" t="n">
        <v>3</v>
      </c>
      <c r="B872" s="2" t="s">
        <v>2111</v>
      </c>
      <c r="C872" s="2" t="s">
        <v>2112</v>
      </c>
      <c r="D872" s="2" t="s">
        <v>2113</v>
      </c>
      <c r="E872" s="2" t="s">
        <v>2114</v>
      </c>
      <c r="F872" s="2" t="n">
        <v>87280.740953406</v>
      </c>
      <c r="G872" s="2" t="n">
        <v>0</v>
      </c>
      <c r="H872" s="2" t="n">
        <v>87280.740953406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84.6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 customFormat="false" ht="15" hidden="false" customHeight="false" outlineLevel="0" collapsed="false">
      <c r="A873" s="2" t="n">
        <v>4</v>
      </c>
      <c r="B873" s="2" t="s">
        <v>2115</v>
      </c>
      <c r="C873" s="2" t="s">
        <v>2116</v>
      </c>
      <c r="D873" s="2" t="s">
        <v>2113</v>
      </c>
      <c r="E873" s="2" t="s">
        <v>2114</v>
      </c>
      <c r="F873" s="2" t="n">
        <v>5279.58629093319</v>
      </c>
      <c r="G873" s="2" t="n">
        <v>0</v>
      </c>
      <c r="H873" s="2" t="n">
        <v>5279.58629093319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84.6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 customFormat="false" ht="15" hidden="false" customHeight="false" outlineLevel="0" collapsed="false">
      <c r="A874" s="2" t="n">
        <v>4</v>
      </c>
      <c r="B874" s="2" t="s">
        <v>2117</v>
      </c>
      <c r="C874" s="2" t="s">
        <v>2118</v>
      </c>
      <c r="D874" s="2" t="s">
        <v>2113</v>
      </c>
      <c r="E874" s="2" t="s">
        <v>2114</v>
      </c>
      <c r="F874" s="2" t="n">
        <v>33505.6769891156</v>
      </c>
      <c r="G874" s="2" t="n">
        <v>0</v>
      </c>
      <c r="H874" s="2" t="n">
        <v>33505.6769891156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84.6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 customFormat="false" ht="15" hidden="false" customHeight="false" outlineLevel="0" collapsed="false">
      <c r="A875" s="2" t="n">
        <v>4</v>
      </c>
      <c r="B875" s="2" t="s">
        <v>2119</v>
      </c>
      <c r="C875" s="2" t="s">
        <v>2120</v>
      </c>
      <c r="D875" s="2" t="s">
        <v>2113</v>
      </c>
      <c r="E875" s="2" t="s">
        <v>2114</v>
      </c>
      <c r="F875" s="2" t="n">
        <v>48495.4776733572</v>
      </c>
      <c r="G875" s="2" t="n">
        <v>0</v>
      </c>
      <c r="H875" s="2" t="n">
        <v>48495.4776733572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84.6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 customFormat="false" ht="15" hidden="false" customHeight="false" outlineLevel="0" collapsed="false">
      <c r="A876" s="2" t="n">
        <v>3</v>
      </c>
      <c r="B876" s="2" t="s">
        <v>2121</v>
      </c>
      <c r="C876" s="2" t="s">
        <v>868</v>
      </c>
      <c r="D876" s="2" t="s">
        <v>2122</v>
      </c>
      <c r="E876" s="2" t="s">
        <v>2123</v>
      </c>
      <c r="F876" s="2" t="n">
        <v>91863.024</v>
      </c>
      <c r="G876" s="2" t="n">
        <v>0</v>
      </c>
      <c r="H876" s="2" t="n">
        <v>91863.024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 customFormat="false" ht="15" hidden="false" customHeight="false" outlineLevel="0" collapsed="false">
      <c r="A877" s="2" t="n">
        <v>4</v>
      </c>
      <c r="B877" s="2" t="s">
        <v>2124</v>
      </c>
      <c r="C877" s="2" t="s">
        <v>2125</v>
      </c>
      <c r="D877" s="2" t="s">
        <v>2122</v>
      </c>
      <c r="E877" s="2" t="s">
        <v>2123</v>
      </c>
      <c r="F877" s="2" t="n">
        <v>48407.25</v>
      </c>
      <c r="G877" s="2" t="n">
        <v>0</v>
      </c>
      <c r="H877" s="2" t="n">
        <v>48407.25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 customFormat="false" ht="15" hidden="false" customHeight="false" outlineLevel="0" collapsed="false">
      <c r="A878" s="2" t="n">
        <v>4</v>
      </c>
      <c r="B878" s="2" t="s">
        <v>2126</v>
      </c>
      <c r="C878" s="2" t="s">
        <v>2127</v>
      </c>
      <c r="D878" s="2" t="s">
        <v>2122</v>
      </c>
      <c r="E878" s="2" t="s">
        <v>2123</v>
      </c>
      <c r="F878" s="2" t="n">
        <v>43455.774</v>
      </c>
      <c r="G878" s="2" t="n">
        <v>0</v>
      </c>
      <c r="H878" s="2" t="n">
        <v>43455.774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 customFormat="false" ht="15" hidden="false" customHeight="false" outlineLevel="0" collapsed="false">
      <c r="A879" s="2" t="n">
        <v>2</v>
      </c>
      <c r="B879" s="2" t="s">
        <v>2128</v>
      </c>
      <c r="C879" s="2" t="s">
        <v>2129</v>
      </c>
      <c r="D879" s="2" t="s">
        <v>2130</v>
      </c>
      <c r="E879" s="2" t="s">
        <v>2131</v>
      </c>
      <c r="F879" s="2" t="n">
        <v>152086.084455936</v>
      </c>
      <c r="G879" s="2" t="n">
        <v>0</v>
      </c>
      <c r="H879" s="2" t="n">
        <v>152086.084455936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 customFormat="false" ht="15" hidden="false" customHeight="false" outlineLevel="0" collapsed="false">
      <c r="A880" s="2" t="n">
        <v>3</v>
      </c>
      <c r="B880" s="2" t="s">
        <v>2132</v>
      </c>
      <c r="C880" s="2" t="s">
        <v>1967</v>
      </c>
      <c r="D880" s="2" t="s">
        <v>2130</v>
      </c>
      <c r="E880" s="2" t="s">
        <v>2131</v>
      </c>
      <c r="F880" s="2" t="n">
        <v>33870.1741915833</v>
      </c>
      <c r="G880" s="2" t="n">
        <v>0</v>
      </c>
      <c r="H880" s="2" t="n">
        <v>33870.1741915833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 customFormat="false" ht="15" hidden="false" customHeight="false" outlineLevel="0" collapsed="false">
      <c r="A881" s="2" t="n">
        <v>4</v>
      </c>
      <c r="B881" s="2" t="s">
        <v>2133</v>
      </c>
      <c r="C881" s="2" t="s">
        <v>1969</v>
      </c>
      <c r="D881" s="2" t="s">
        <v>2130</v>
      </c>
      <c r="E881" s="2" t="s">
        <v>2131</v>
      </c>
      <c r="F881" s="2" t="n">
        <v>809.286479848349</v>
      </c>
      <c r="G881" s="2" t="n">
        <v>0</v>
      </c>
      <c r="H881" s="2" t="n">
        <v>809.286479848349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 customFormat="false" ht="15" hidden="false" customHeight="false" outlineLevel="0" collapsed="false">
      <c r="A882" s="2" t="n">
        <v>4</v>
      </c>
      <c r="B882" s="2" t="s">
        <v>2134</v>
      </c>
      <c r="C882" s="2" t="s">
        <v>1971</v>
      </c>
      <c r="D882" s="2" t="s">
        <v>2130</v>
      </c>
      <c r="E882" s="2" t="s">
        <v>2131</v>
      </c>
      <c r="F882" s="2" t="n">
        <v>6345.90938143057</v>
      </c>
      <c r="G882" s="2" t="n">
        <v>0</v>
      </c>
      <c r="H882" s="2" t="n">
        <v>6345.90938143057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 customFormat="false" ht="15" hidden="false" customHeight="false" outlineLevel="0" collapsed="false">
      <c r="A883" s="2" t="n">
        <v>4</v>
      </c>
      <c r="B883" s="2" t="s">
        <v>2135</v>
      </c>
      <c r="C883" s="2" t="s">
        <v>2136</v>
      </c>
      <c r="D883" s="2" t="s">
        <v>2130</v>
      </c>
      <c r="E883" s="2" t="s">
        <v>2131</v>
      </c>
      <c r="F883" s="2" t="n">
        <v>26714.9783303044</v>
      </c>
      <c r="G883" s="2" t="n">
        <v>0</v>
      </c>
      <c r="H883" s="2" t="n">
        <v>26714.9783303044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 customFormat="false" ht="15" hidden="false" customHeight="false" outlineLevel="0" collapsed="false">
      <c r="A884" s="2" t="n">
        <v>3</v>
      </c>
      <c r="B884" s="2" t="s">
        <v>2137</v>
      </c>
      <c r="C884" s="2" t="s">
        <v>2138</v>
      </c>
      <c r="D884" s="2" t="s">
        <v>2130</v>
      </c>
      <c r="E884" s="2" t="s">
        <v>2131</v>
      </c>
      <c r="F884" s="2" t="n">
        <v>118215.910264353</v>
      </c>
      <c r="G884" s="2" t="n">
        <v>0</v>
      </c>
      <c r="H884" s="2" t="n">
        <v>118215.910264353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 customFormat="false" ht="15" hidden="false" customHeight="false" outlineLevel="0" collapsed="false">
      <c r="A885" s="2" t="n">
        <v>4</v>
      </c>
      <c r="B885" s="2" t="s">
        <v>2139</v>
      </c>
      <c r="C885" s="2" t="s">
        <v>2140</v>
      </c>
      <c r="D885" s="2" t="s">
        <v>2130</v>
      </c>
      <c r="E885" s="2" t="s">
        <v>2131</v>
      </c>
      <c r="F885" s="2" t="n">
        <v>90355.3992643529</v>
      </c>
      <c r="G885" s="2" t="n">
        <v>0</v>
      </c>
      <c r="H885" s="2" t="n">
        <v>90355.3992643529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 customFormat="false" ht="15" hidden="false" customHeight="false" outlineLevel="0" collapsed="false">
      <c r="A886" s="2" t="n">
        <v>4</v>
      </c>
      <c r="B886" s="2" t="s">
        <v>2141</v>
      </c>
      <c r="C886" s="2" t="s">
        <v>2142</v>
      </c>
      <c r="D886" s="2" t="s">
        <v>2130</v>
      </c>
      <c r="E886" s="2" t="s">
        <v>2131</v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 customFormat="false" ht="15" hidden="false" customHeight="false" outlineLevel="0" collapsed="false">
      <c r="A887" s="2" t="n">
        <v>2</v>
      </c>
      <c r="B887" s="2" t="s">
        <v>2143</v>
      </c>
      <c r="C887" s="2" t="s">
        <v>2144</v>
      </c>
      <c r="D887" s="2" t="s">
        <v>2145</v>
      </c>
      <c r="E887" s="2" t="s">
        <v>2146</v>
      </c>
      <c r="F887" s="2" t="n">
        <v>680398.851456938</v>
      </c>
      <c r="G887" s="2" t="n">
        <v>0</v>
      </c>
      <c r="H887" s="2" t="n">
        <v>680398.851456938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</v>
      </c>
      <c r="CY887" s="2" t="n">
        <v>67.08</v>
      </c>
      <c r="CZ887" s="2" t="n">
        <v>0</v>
      </c>
      <c r="DA887" s="2" t="n">
        <v>78.71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89.71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 customFormat="false" ht="15" hidden="false" customHeight="false" outlineLevel="0" collapsed="false">
      <c r="A888" s="2" t="n">
        <v>3</v>
      </c>
      <c r="B888" s="2" t="s">
        <v>2147</v>
      </c>
      <c r="C888" s="2" t="s">
        <v>2148</v>
      </c>
      <c r="D888" s="2" t="s">
        <v>2145</v>
      </c>
      <c r="E888" s="2" t="s">
        <v>2146</v>
      </c>
      <c r="F888" s="2" t="n">
        <v>310465.745319095</v>
      </c>
      <c r="G888" s="2" t="n">
        <v>0</v>
      </c>
      <c r="H888" s="2" t="n">
        <v>310465.745319095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</v>
      </c>
      <c r="CY888" s="2" t="n">
        <v>67.08</v>
      </c>
      <c r="CZ888" s="2" t="n">
        <v>0</v>
      </c>
      <c r="DA888" s="2" t="n">
        <v>78.71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89.71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 customFormat="false" ht="15" hidden="false" customHeight="false" outlineLevel="0" collapsed="false">
      <c r="A889" s="2" t="n">
        <v>3</v>
      </c>
      <c r="B889" s="2" t="s">
        <v>2149</v>
      </c>
      <c r="C889" s="2" t="s">
        <v>2150</v>
      </c>
      <c r="D889" s="2" t="s">
        <v>2145</v>
      </c>
      <c r="E889" s="2" t="s">
        <v>2146</v>
      </c>
      <c r="F889" s="2" t="n">
        <v>143185.11243648</v>
      </c>
      <c r="G889" s="2" t="n">
        <v>0</v>
      </c>
      <c r="H889" s="2" t="n">
        <v>143185.11243648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</v>
      </c>
      <c r="CY889" s="2" t="n">
        <v>67.08</v>
      </c>
      <c r="CZ889" s="2" t="n">
        <v>0</v>
      </c>
      <c r="DA889" s="2" t="n">
        <v>78.71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89.71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 customFormat="false" ht="15" hidden="false" customHeight="false" outlineLevel="0" collapsed="false">
      <c r="A890" s="2" t="n">
        <v>3</v>
      </c>
      <c r="B890" s="2" t="s">
        <v>2151</v>
      </c>
      <c r="C890" s="2" t="s">
        <v>2152</v>
      </c>
      <c r="D890" s="2" t="s">
        <v>2145</v>
      </c>
      <c r="E890" s="2" t="s">
        <v>2146</v>
      </c>
      <c r="F890" s="2" t="n">
        <v>76944.370116496</v>
      </c>
      <c r="G890" s="2" t="n">
        <v>0</v>
      </c>
      <c r="H890" s="2" t="n">
        <v>76944.370116496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</v>
      </c>
      <c r="CY890" s="2" t="n">
        <v>67.08</v>
      </c>
      <c r="CZ890" s="2" t="n">
        <v>0</v>
      </c>
      <c r="DA890" s="2" t="n">
        <v>78.71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89.71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 customFormat="false" ht="15" hidden="false" customHeight="false" outlineLevel="0" collapsed="false">
      <c r="A891" s="2" t="n">
        <v>3</v>
      </c>
      <c r="B891" s="2" t="s">
        <v>2153</v>
      </c>
      <c r="C891" s="2" t="s">
        <v>2154</v>
      </c>
      <c r="D891" s="2" t="s">
        <v>2145</v>
      </c>
      <c r="E891" s="2" t="s">
        <v>2146</v>
      </c>
      <c r="F891" s="2" t="n">
        <v>106773.521019802</v>
      </c>
      <c r="G891" s="2" t="n">
        <v>0</v>
      </c>
      <c r="H891" s="2" t="n">
        <v>106773.521019802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</v>
      </c>
      <c r="CY891" s="2" t="n">
        <v>67.08</v>
      </c>
      <c r="CZ891" s="2" t="n">
        <v>0</v>
      </c>
      <c r="DA891" s="2" t="n">
        <v>78.71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89.71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 customFormat="false" ht="15" hidden="false" customHeight="false" outlineLevel="0" collapsed="false">
      <c r="A892" s="2" t="n">
        <v>3</v>
      </c>
      <c r="B892" s="2" t="s">
        <v>2155</v>
      </c>
      <c r="C892" s="2" t="s">
        <v>2156</v>
      </c>
      <c r="D892" s="2" t="s">
        <v>2145</v>
      </c>
      <c r="E892" s="2" t="s">
        <v>2146</v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</v>
      </c>
      <c r="CY892" s="2" t="n">
        <v>67.08</v>
      </c>
      <c r="CZ892" s="2" t="n">
        <v>0</v>
      </c>
      <c r="DA892" s="2" t="n">
        <v>78.71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89.71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 customFormat="false" ht="15" hidden="false" customHeight="false" outlineLevel="0" collapsed="false">
      <c r="A893" s="2" t="n">
        <v>3</v>
      </c>
      <c r="B893" s="2" t="s">
        <v>2157</v>
      </c>
      <c r="C893" s="2" t="s">
        <v>2158</v>
      </c>
      <c r="D893" s="2" t="s">
        <v>2145</v>
      </c>
      <c r="E893" s="2" t="s">
        <v>2146</v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</v>
      </c>
      <c r="CY893" s="2" t="n">
        <v>67.08</v>
      </c>
      <c r="CZ893" s="2" t="n">
        <v>0</v>
      </c>
      <c r="DA893" s="2" t="n">
        <v>78.71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89.71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 customFormat="false" ht="15" hidden="false" customHeight="false" outlineLevel="0" collapsed="false">
      <c r="A894" s="2" t="n">
        <v>3</v>
      </c>
      <c r="B894" s="2" t="s">
        <v>2159</v>
      </c>
      <c r="C894" s="2" t="s">
        <v>2160</v>
      </c>
      <c r="D894" s="2" t="s">
        <v>2145</v>
      </c>
      <c r="E894" s="2" t="s">
        <v>2146</v>
      </c>
      <c r="F894" s="2" t="n">
        <v>7515.10256506519</v>
      </c>
      <c r="G894" s="2" t="n">
        <v>0</v>
      </c>
      <c r="H894" s="2" t="n">
        <v>7515.10256506519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</v>
      </c>
      <c r="CY894" s="2" t="n">
        <v>67.08</v>
      </c>
      <c r="CZ894" s="2" t="n">
        <v>0</v>
      </c>
      <c r="DA894" s="2" t="n">
        <v>78.71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89.71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 customFormat="false" ht="15" hidden="false" customHeight="false" outlineLevel="0" collapsed="false">
      <c r="A895" s="2" t="n">
        <v>2</v>
      </c>
      <c r="B895" s="2" t="s">
        <v>2161</v>
      </c>
      <c r="C895" s="2" t="s">
        <v>2162</v>
      </c>
      <c r="D895" s="2" t="s">
        <v>2145</v>
      </c>
      <c r="E895" s="2" t="s">
        <v>2146</v>
      </c>
      <c r="F895" s="2" t="n">
        <v>45964.8575185208</v>
      </c>
      <c r="G895" s="2" t="n">
        <v>0</v>
      </c>
      <c r="H895" s="2" t="n">
        <v>45964.8575185208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 customFormat="false" ht="15" hidden="false" customHeight="false" outlineLevel="0" collapsed="false">
      <c r="A896" s="2" t="n">
        <v>3</v>
      </c>
      <c r="B896" s="2" t="s">
        <v>2163</v>
      </c>
      <c r="C896" s="2" t="s">
        <v>2162</v>
      </c>
      <c r="D896" s="2" t="s">
        <v>2145</v>
      </c>
      <c r="E896" s="2" t="s">
        <v>2146</v>
      </c>
      <c r="F896" s="2" t="n">
        <v>20483.7910980373</v>
      </c>
      <c r="G896" s="2" t="n">
        <v>0</v>
      </c>
      <c r="H896" s="2" t="n">
        <v>20483.7910980373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 customFormat="false" ht="15" hidden="false" customHeight="false" outlineLevel="0" collapsed="false">
      <c r="A897" s="2" t="n">
        <v>3</v>
      </c>
      <c r="B897" s="2" t="s">
        <v>2164</v>
      </c>
      <c r="C897" s="2" t="s">
        <v>2165</v>
      </c>
      <c r="D897" s="2" t="s">
        <v>2145</v>
      </c>
      <c r="E897" s="2" t="s">
        <v>2146</v>
      </c>
      <c r="F897" s="2" t="n">
        <v>16007.5588169418</v>
      </c>
      <c r="G897" s="2" t="n">
        <v>0</v>
      </c>
      <c r="H897" s="2" t="n">
        <v>16007.5588169418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 customFormat="false" ht="15" hidden="false" customHeight="false" outlineLevel="0" collapsed="false">
      <c r="A898" s="2" t="n">
        <v>3</v>
      </c>
      <c r="B898" s="2" t="s">
        <v>2166</v>
      </c>
      <c r="C898" s="2" t="s">
        <v>2167</v>
      </c>
      <c r="D898" s="2" t="s">
        <v>2145</v>
      </c>
      <c r="E898" s="2" t="s">
        <v>2146</v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 customFormat="false" ht="15" hidden="false" customHeight="false" outlineLevel="0" collapsed="false">
      <c r="A899" s="2" t="n">
        <v>3</v>
      </c>
      <c r="B899" s="2" t="s">
        <v>2168</v>
      </c>
      <c r="C899" s="2" t="s">
        <v>2169</v>
      </c>
      <c r="D899" s="2" t="s">
        <v>2145</v>
      </c>
      <c r="E899" s="2" t="s">
        <v>2146</v>
      </c>
      <c r="F899" s="2" t="n">
        <v>3780.75020839206</v>
      </c>
      <c r="G899" s="2" t="n">
        <v>0</v>
      </c>
      <c r="H899" s="2" t="n">
        <v>3780.75020839206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 customFormat="false" ht="15" hidden="false" customHeight="false" outlineLevel="0" collapsed="false">
      <c r="A900" s="2" t="n">
        <v>3</v>
      </c>
      <c r="B900" s="2" t="s">
        <v>2170</v>
      </c>
      <c r="C900" s="2" t="s">
        <v>2156</v>
      </c>
      <c r="D900" s="2" t="s">
        <v>2145</v>
      </c>
      <c r="E900" s="2" t="s">
        <v>2146</v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 customFormat="false" ht="15" hidden="false" customHeight="false" outlineLevel="0" collapsed="false">
      <c r="A901" s="2" t="n">
        <v>3</v>
      </c>
      <c r="B901" s="2" t="s">
        <v>2171</v>
      </c>
      <c r="C901" s="2" t="s">
        <v>2158</v>
      </c>
      <c r="D901" s="2" t="s">
        <v>2145</v>
      </c>
      <c r="E901" s="2" t="s">
        <v>2146</v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 customFormat="false" ht="15" hidden="false" customHeight="false" outlineLevel="0" collapsed="false">
      <c r="A902" s="2" t="n">
        <v>3</v>
      </c>
      <c r="B902" s="2" t="s">
        <v>2172</v>
      </c>
      <c r="C902" s="2" t="s">
        <v>2160</v>
      </c>
      <c r="D902" s="2" t="s">
        <v>2145</v>
      </c>
      <c r="E902" s="2" t="s">
        <v>2146</v>
      </c>
      <c r="F902" s="2" t="n">
        <v>695.080868200154</v>
      </c>
      <c r="G902" s="2" t="n">
        <v>0</v>
      </c>
      <c r="H902" s="2" t="n">
        <v>695.080868200154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 customFormat="false" ht="15" hidden="false" customHeight="false" outlineLevel="0" collapsed="false">
      <c r="A903" s="2" t="n">
        <v>2</v>
      </c>
      <c r="B903" s="2" t="s">
        <v>2173</v>
      </c>
      <c r="C903" s="2" t="s">
        <v>2174</v>
      </c>
      <c r="D903" s="2" t="s">
        <v>2145</v>
      </c>
      <c r="E903" s="2" t="s">
        <v>2146</v>
      </c>
      <c r="F903" s="2" t="n">
        <v>34765.5493954914</v>
      </c>
      <c r="G903" s="2" t="n">
        <v>0</v>
      </c>
      <c r="H903" s="2" t="n">
        <v>34765.5493954914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 customFormat="false" ht="15" hidden="false" customHeight="false" outlineLevel="0" collapsed="false">
      <c r="A904" s="2" t="n">
        <v>3</v>
      </c>
      <c r="B904" s="2" t="s">
        <v>2175</v>
      </c>
      <c r="C904" s="2" t="s">
        <v>2174</v>
      </c>
      <c r="D904" s="2" t="s">
        <v>2145</v>
      </c>
      <c r="E904" s="2" t="s">
        <v>2146</v>
      </c>
      <c r="F904" s="2" t="n">
        <v>2795.72890860821</v>
      </c>
      <c r="G904" s="2" t="n">
        <v>0</v>
      </c>
      <c r="H904" s="2" t="n">
        <v>2795.72890860821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 customFormat="false" ht="15" hidden="false" customHeight="false" outlineLevel="0" collapsed="false">
      <c r="A905" s="2" t="n">
        <v>3</v>
      </c>
      <c r="B905" s="2" t="s">
        <v>2176</v>
      </c>
      <c r="C905" s="2" t="s">
        <v>2177</v>
      </c>
      <c r="D905" s="2" t="s">
        <v>2145</v>
      </c>
      <c r="E905" s="2" t="s">
        <v>2146</v>
      </c>
      <c r="F905" s="2" t="n">
        <v>19564.2073637089</v>
      </c>
      <c r="G905" s="2" t="n">
        <v>0</v>
      </c>
      <c r="H905" s="2" t="n">
        <v>19564.2073637089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 customFormat="false" ht="15" hidden="false" customHeight="false" outlineLevel="0" collapsed="false">
      <c r="A906" s="2" t="n">
        <v>3</v>
      </c>
      <c r="B906" s="2" t="s">
        <v>2178</v>
      </c>
      <c r="C906" s="2" t="s">
        <v>2179</v>
      </c>
      <c r="D906" s="2" t="s">
        <v>2145</v>
      </c>
      <c r="E906" s="2" t="s">
        <v>2146</v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 customFormat="false" ht="15" hidden="false" customHeight="false" outlineLevel="0" collapsed="false">
      <c r="A907" s="2" t="n">
        <v>3</v>
      </c>
      <c r="B907" s="2" t="s">
        <v>2180</v>
      </c>
      <c r="C907" s="2" t="s">
        <v>2156</v>
      </c>
      <c r="D907" s="2" t="s">
        <v>2145</v>
      </c>
      <c r="E907" s="2" t="s">
        <v>2146</v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 customFormat="false" ht="15" hidden="false" customHeight="false" outlineLevel="0" collapsed="false">
      <c r="A908" s="2" t="n">
        <v>3</v>
      </c>
      <c r="B908" s="2" t="s">
        <v>2181</v>
      </c>
      <c r="C908" s="2" t="s">
        <v>2158</v>
      </c>
      <c r="D908" s="2" t="s">
        <v>2145</v>
      </c>
      <c r="E908" s="2" t="s">
        <v>2146</v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 customFormat="false" ht="15" hidden="false" customHeight="false" outlineLevel="0" collapsed="false">
      <c r="A909" s="2" t="n">
        <v>3</v>
      </c>
      <c r="B909" s="2" t="s">
        <v>2182</v>
      </c>
      <c r="C909" s="2" t="s">
        <v>2160</v>
      </c>
      <c r="D909" s="2" t="s">
        <v>2145</v>
      </c>
      <c r="E909" s="2" t="s">
        <v>2146</v>
      </c>
      <c r="F909" s="2" t="n">
        <v>67.673132411804</v>
      </c>
      <c r="G909" s="2" t="n">
        <v>0</v>
      </c>
      <c r="H909" s="2" t="n">
        <v>67.673132411804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 customFormat="false" ht="15" hidden="false" customHeight="false" outlineLevel="0" collapsed="false">
      <c r="A910" s="2" t="n">
        <v>2</v>
      </c>
      <c r="B910" s="2" t="s">
        <v>2183</v>
      </c>
      <c r="C910" s="2" t="s">
        <v>2184</v>
      </c>
      <c r="D910" s="2" t="s">
        <v>2145</v>
      </c>
      <c r="E910" s="2" t="s">
        <v>2146</v>
      </c>
      <c r="F910" s="2" t="n">
        <v>185846.521450831</v>
      </c>
      <c r="G910" s="2" t="n">
        <v>0</v>
      </c>
      <c r="H910" s="2" t="n">
        <v>185846.521450831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 customFormat="false" ht="15" hidden="false" customHeight="false" outlineLevel="0" collapsed="false">
      <c r="A911" s="2" t="n">
        <v>3</v>
      </c>
      <c r="B911" s="2" t="s">
        <v>2185</v>
      </c>
      <c r="C911" s="2" t="s">
        <v>2186</v>
      </c>
      <c r="D911" s="2" t="s">
        <v>2145</v>
      </c>
      <c r="E911" s="2" t="s">
        <v>2146</v>
      </c>
      <c r="F911" s="2" t="n">
        <v>80226.5443016049</v>
      </c>
      <c r="G911" s="2" t="n">
        <v>0</v>
      </c>
      <c r="H911" s="2" t="n">
        <v>80226.5443016049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 customFormat="false" ht="15" hidden="false" customHeight="false" outlineLevel="0" collapsed="false">
      <c r="A912" s="2" t="n">
        <v>3</v>
      </c>
      <c r="B912" s="2" t="s">
        <v>2187</v>
      </c>
      <c r="C912" s="2" t="s">
        <v>2188</v>
      </c>
      <c r="D912" s="2" t="s">
        <v>2145</v>
      </c>
      <c r="E912" s="2" t="s">
        <v>2146</v>
      </c>
      <c r="F912" s="2" t="n">
        <v>41960.6446611618</v>
      </c>
      <c r="G912" s="2" t="n">
        <v>0</v>
      </c>
      <c r="H912" s="2" t="n">
        <v>41960.6446611618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 customFormat="false" ht="15" hidden="false" customHeight="false" outlineLevel="0" collapsed="false">
      <c r="A913" s="2" t="n">
        <v>3</v>
      </c>
      <c r="B913" s="2" t="s">
        <v>2189</v>
      </c>
      <c r="C913" s="2" t="s">
        <v>2190</v>
      </c>
      <c r="D913" s="2" t="s">
        <v>2145</v>
      </c>
      <c r="E913" s="2" t="s">
        <v>2146</v>
      </c>
      <c r="F913" s="2" t="n">
        <v>42147.3768360885</v>
      </c>
      <c r="G913" s="2" t="n">
        <v>0</v>
      </c>
      <c r="H913" s="2" t="n">
        <v>42147.3768360885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 customFormat="false" ht="15" hidden="false" customHeight="false" outlineLevel="0" collapsed="false">
      <c r="A914" s="2" t="n">
        <v>3</v>
      </c>
      <c r="B914" s="2" t="s">
        <v>2191</v>
      </c>
      <c r="C914" s="2" t="s">
        <v>2156</v>
      </c>
      <c r="D914" s="2" t="s">
        <v>2145</v>
      </c>
      <c r="E914" s="2" t="s">
        <v>2146</v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 customFormat="false" ht="15" hidden="false" customHeight="false" outlineLevel="0" collapsed="false">
      <c r="A915" s="2" t="n">
        <v>3</v>
      </c>
      <c r="B915" s="2" t="s">
        <v>2192</v>
      </c>
      <c r="C915" s="2" t="s">
        <v>2158</v>
      </c>
      <c r="D915" s="2" t="s">
        <v>2145</v>
      </c>
      <c r="E915" s="2" t="s">
        <v>2146</v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 customFormat="false" ht="15" hidden="false" customHeight="false" outlineLevel="0" collapsed="false">
      <c r="A916" s="2" t="n">
        <v>3</v>
      </c>
      <c r="B916" s="2" t="s">
        <v>2193</v>
      </c>
      <c r="C916" s="2" t="s">
        <v>2160</v>
      </c>
      <c r="D916" s="2" t="s">
        <v>2145</v>
      </c>
      <c r="E916" s="2" t="s">
        <v>2146</v>
      </c>
      <c r="F916" s="2" t="n">
        <v>1941.95565197584</v>
      </c>
      <c r="G916" s="2" t="n">
        <v>0</v>
      </c>
      <c r="H916" s="2" t="n">
        <v>1941.95565197584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 customFormat="false" ht="15" hidden="false" customHeight="false" outlineLevel="0" collapsed="false">
      <c r="A917" s="2" t="n">
        <v>2</v>
      </c>
      <c r="B917" s="2" t="s">
        <v>2194</v>
      </c>
      <c r="C917" s="2" t="s">
        <v>2195</v>
      </c>
      <c r="D917" s="2" t="s">
        <v>2145</v>
      </c>
      <c r="E917" s="2" t="s">
        <v>2146</v>
      </c>
      <c r="F917" s="2" t="n">
        <v>172911.435640503</v>
      </c>
      <c r="G917" s="2" t="n">
        <v>0</v>
      </c>
      <c r="H917" s="2" t="n">
        <v>172911.435640503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 customFormat="false" ht="15" hidden="false" customHeight="false" outlineLevel="0" collapsed="false">
      <c r="A918" s="2" t="n">
        <v>3</v>
      </c>
      <c r="B918" s="2" t="s">
        <v>2196</v>
      </c>
      <c r="C918" s="2" t="s">
        <v>2197</v>
      </c>
      <c r="D918" s="2" t="s">
        <v>2145</v>
      </c>
      <c r="E918" s="2" t="s">
        <v>2146</v>
      </c>
      <c r="F918" s="2" t="n">
        <v>56853.4903497217</v>
      </c>
      <c r="G918" s="2" t="n">
        <v>0</v>
      </c>
      <c r="H918" s="2" t="n">
        <v>56853.4903497217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 customFormat="false" ht="15" hidden="false" customHeight="false" outlineLevel="0" collapsed="false">
      <c r="A919" s="2" t="n">
        <v>3</v>
      </c>
      <c r="B919" s="2" t="s">
        <v>2198</v>
      </c>
      <c r="C919" s="2" t="s">
        <v>2199</v>
      </c>
      <c r="D919" s="2" t="s">
        <v>2145</v>
      </c>
      <c r="E919" s="2" t="s">
        <v>2146</v>
      </c>
      <c r="F919" s="2" t="n">
        <v>107181.75542893</v>
      </c>
      <c r="G919" s="2" t="n">
        <v>0</v>
      </c>
      <c r="H919" s="2" t="n">
        <v>107181.75542893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 customFormat="false" ht="15" hidden="false" customHeight="false" outlineLevel="0" collapsed="false">
      <c r="A920" s="2" t="n">
        <v>3</v>
      </c>
      <c r="B920" s="2" t="s">
        <v>2200</v>
      </c>
      <c r="C920" s="2" t="s">
        <v>2158</v>
      </c>
      <c r="D920" s="2" t="s">
        <v>2145</v>
      </c>
      <c r="E920" s="2" t="s">
        <v>2146</v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 customFormat="false" ht="15" hidden="false" customHeight="false" outlineLevel="0" collapsed="false">
      <c r="A921" s="2" t="n">
        <v>3</v>
      </c>
      <c r="B921" s="2" t="s">
        <v>2201</v>
      </c>
      <c r="C921" s="2" t="s">
        <v>2160</v>
      </c>
      <c r="D921" s="2" t="s">
        <v>2145</v>
      </c>
      <c r="E921" s="2" t="s">
        <v>2146</v>
      </c>
      <c r="F921" s="2" t="n">
        <v>1376.18986185084</v>
      </c>
      <c r="G921" s="2" t="n">
        <v>0</v>
      </c>
      <c r="H921" s="2" t="n">
        <v>1376.18986185084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 customFormat="false" ht="15" hidden="false" customHeight="false" outlineLevel="0" collapsed="false">
      <c r="A922" s="2" t="n">
        <v>2</v>
      </c>
      <c r="B922" s="2" t="s">
        <v>2202</v>
      </c>
      <c r="C922" s="2" t="s">
        <v>2203</v>
      </c>
      <c r="D922" s="2" t="s">
        <v>2145</v>
      </c>
      <c r="E922" s="2" t="s">
        <v>2146</v>
      </c>
      <c r="F922" s="2" t="n">
        <v>946057.650601767</v>
      </c>
      <c r="G922" s="2" t="n">
        <v>0</v>
      </c>
      <c r="H922" s="2" t="n">
        <v>946057.650601767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 customFormat="false" ht="15" hidden="false" customHeight="false" outlineLevel="0" collapsed="false">
      <c r="A923" s="2" t="n">
        <v>3</v>
      </c>
      <c r="B923" s="2" t="s">
        <v>2204</v>
      </c>
      <c r="C923" s="2" t="s">
        <v>2205</v>
      </c>
      <c r="D923" s="2" t="s">
        <v>2145</v>
      </c>
      <c r="E923" s="2" t="s">
        <v>2146</v>
      </c>
      <c r="F923" s="2" t="n">
        <v>29274.9459850907</v>
      </c>
      <c r="G923" s="2" t="n">
        <v>0</v>
      </c>
      <c r="H923" s="2" t="n">
        <v>29274.9459850907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 customFormat="false" ht="15" hidden="false" customHeight="false" outlineLevel="0" collapsed="false">
      <c r="A924" s="2" t="n">
        <v>3</v>
      </c>
      <c r="B924" s="2" t="s">
        <v>2206</v>
      </c>
      <c r="C924" s="2" t="s">
        <v>2207</v>
      </c>
      <c r="D924" s="2" t="s">
        <v>2145</v>
      </c>
      <c r="E924" s="2" t="s">
        <v>2146</v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 customFormat="false" ht="15" hidden="false" customHeight="false" outlineLevel="0" collapsed="false">
      <c r="A925" s="2" t="n">
        <v>3</v>
      </c>
      <c r="B925" s="2" t="s">
        <v>2208</v>
      </c>
      <c r="C925" s="2" t="s">
        <v>2209</v>
      </c>
      <c r="D925" s="2" t="s">
        <v>2145</v>
      </c>
      <c r="E925" s="2" t="s">
        <v>2146</v>
      </c>
      <c r="F925" s="2" t="n">
        <v>274129.239529609</v>
      </c>
      <c r="G925" s="2" t="n">
        <v>0</v>
      </c>
      <c r="H925" s="2" t="n">
        <v>274129.239529609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 customFormat="false" ht="15" hidden="false" customHeight="false" outlineLevel="0" collapsed="false">
      <c r="A926" s="2" t="n">
        <v>3</v>
      </c>
      <c r="B926" s="2" t="s">
        <v>2210</v>
      </c>
      <c r="C926" s="2" t="s">
        <v>2211</v>
      </c>
      <c r="D926" s="2" t="s">
        <v>2145</v>
      </c>
      <c r="E926" s="2" t="s">
        <v>2146</v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 customFormat="false" ht="15" hidden="false" customHeight="false" outlineLevel="0" collapsed="false">
      <c r="A927" s="2" t="n">
        <v>3</v>
      </c>
      <c r="B927" s="2" t="s">
        <v>2212</v>
      </c>
      <c r="C927" s="2" t="s">
        <v>2213</v>
      </c>
      <c r="D927" s="2" t="s">
        <v>2145</v>
      </c>
      <c r="E927" s="2" t="s">
        <v>2146</v>
      </c>
      <c r="F927" s="2" t="n">
        <v>27290.1296279395</v>
      </c>
      <c r="G927" s="2" t="n">
        <v>0</v>
      </c>
      <c r="H927" s="2" t="n">
        <v>27290.1296279395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 customFormat="false" ht="15" hidden="false" customHeight="false" outlineLevel="0" collapsed="false">
      <c r="A928" s="2" t="n">
        <v>3</v>
      </c>
      <c r="B928" s="2" t="s">
        <v>2214</v>
      </c>
      <c r="C928" s="2" t="s">
        <v>2215</v>
      </c>
      <c r="D928" s="2" t="s">
        <v>2145</v>
      </c>
      <c r="E928" s="2" t="s">
        <v>2146</v>
      </c>
      <c r="F928" s="2" t="n">
        <v>250428.685128696</v>
      </c>
      <c r="G928" s="2" t="n">
        <v>0</v>
      </c>
      <c r="H928" s="2" t="n">
        <v>250428.685128696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 customFormat="false" ht="15" hidden="false" customHeight="false" outlineLevel="0" collapsed="false">
      <c r="A929" s="2" t="n">
        <v>3</v>
      </c>
      <c r="B929" s="2" t="s">
        <v>2216</v>
      </c>
      <c r="C929" s="2" t="s">
        <v>2217</v>
      </c>
      <c r="D929" s="2" t="s">
        <v>2145</v>
      </c>
      <c r="E929" s="2" t="s">
        <v>2146</v>
      </c>
      <c r="F929" s="2" t="n">
        <v>4143.05598311952</v>
      </c>
      <c r="G929" s="2" t="n">
        <v>0</v>
      </c>
      <c r="H929" s="2" t="n">
        <v>4143.05598311952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 customFormat="false" ht="15" hidden="false" customHeight="false" outlineLevel="0" collapsed="false">
      <c r="A930" s="2" t="n">
        <v>3</v>
      </c>
      <c r="B930" s="2" t="s">
        <v>2218</v>
      </c>
      <c r="C930" s="2" t="s">
        <v>2219</v>
      </c>
      <c r="D930" s="2" t="s">
        <v>2145</v>
      </c>
      <c r="E930" s="2" t="s">
        <v>2146</v>
      </c>
      <c r="F930" s="2" t="n">
        <v>104537.666553357</v>
      </c>
      <c r="G930" s="2" t="n">
        <v>0</v>
      </c>
      <c r="H930" s="2" t="n">
        <v>104537.666553357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 customFormat="false" ht="15" hidden="false" customHeight="false" outlineLevel="0" collapsed="false">
      <c r="A931" s="2" t="n">
        <v>3</v>
      </c>
      <c r="B931" s="2" t="s">
        <v>2220</v>
      </c>
      <c r="C931" s="2" t="s">
        <v>2221</v>
      </c>
      <c r="D931" s="2" t="s">
        <v>2145</v>
      </c>
      <c r="E931" s="2" t="s">
        <v>2146</v>
      </c>
      <c r="F931" s="2" t="n">
        <v>152712.295028688</v>
      </c>
      <c r="G931" s="2" t="n">
        <v>0</v>
      </c>
      <c r="H931" s="2" t="n">
        <v>152712.295028688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 customFormat="false" ht="15" hidden="false" customHeight="false" outlineLevel="0" collapsed="false">
      <c r="A932" s="2" t="n">
        <v>3</v>
      </c>
      <c r="B932" s="2" t="s">
        <v>2222</v>
      </c>
      <c r="C932" s="2" t="s">
        <v>2223</v>
      </c>
      <c r="D932" s="2" t="s">
        <v>2145</v>
      </c>
      <c r="E932" s="2" t="s">
        <v>2146</v>
      </c>
      <c r="F932" s="2" t="n">
        <v>23490.4295271052</v>
      </c>
      <c r="G932" s="2" t="n">
        <v>0</v>
      </c>
      <c r="H932" s="2" t="n">
        <v>23490.4295271052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 customFormat="false" ht="15" hidden="false" customHeight="false" outlineLevel="0" collapsed="false">
      <c r="A933" s="2" t="n">
        <v>3</v>
      </c>
      <c r="B933" s="2" t="s">
        <v>2224</v>
      </c>
      <c r="C933" s="2" t="s">
        <v>2225</v>
      </c>
      <c r="D933" s="2" t="s">
        <v>2145</v>
      </c>
      <c r="E933" s="2" t="s">
        <v>2146</v>
      </c>
      <c r="F933" s="2" t="n">
        <v>34891.2256072233</v>
      </c>
      <c r="G933" s="2" t="n">
        <v>0</v>
      </c>
      <c r="H933" s="2" t="n">
        <v>34891.2256072233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 customFormat="false" ht="15" hidden="false" customHeight="false" outlineLevel="0" collapsed="false">
      <c r="A934" s="2" t="n">
        <v>1</v>
      </c>
      <c r="B934" s="2" t="s">
        <v>201</v>
      </c>
      <c r="C934" s="2" t="s">
        <v>202</v>
      </c>
      <c r="D934" s="2" t="s">
        <v>400</v>
      </c>
      <c r="E934" s="2" t="s">
        <v>2226</v>
      </c>
      <c r="F934" s="2" t="n">
        <v>304271.569760075</v>
      </c>
      <c r="G934" s="2" t="n">
        <v>0</v>
      </c>
      <c r="H934" s="2" t="n">
        <v>304271.569760075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99.74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 customFormat="false" ht="15" hidden="false" customHeight="false" outlineLevel="0" collapsed="false">
      <c r="A935" s="2" t="n">
        <v>2</v>
      </c>
      <c r="B935" s="2" t="s">
        <v>2227</v>
      </c>
      <c r="C935" s="2" t="s">
        <v>2228</v>
      </c>
      <c r="D935" s="2" t="s">
        <v>400</v>
      </c>
      <c r="E935" s="2" t="s">
        <v>2226</v>
      </c>
      <c r="F935" s="2" t="n">
        <v>304271.569760075</v>
      </c>
      <c r="G935" s="2" t="n">
        <v>0</v>
      </c>
      <c r="H935" s="2" t="n">
        <v>304271.569760075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99.74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 customFormat="false" ht="15" hidden="false" customHeight="false" outlineLevel="0" collapsed="false">
      <c r="A936" s="2" t="n">
        <v>3</v>
      </c>
      <c r="B936" s="2" t="s">
        <v>2229</v>
      </c>
      <c r="C936" s="2" t="s">
        <v>2230</v>
      </c>
      <c r="D936" s="2" t="s">
        <v>400</v>
      </c>
      <c r="E936" s="2" t="s">
        <v>2226</v>
      </c>
      <c r="F936" s="2" t="n">
        <v>62453.4481026423</v>
      </c>
      <c r="G936" s="2" t="n">
        <v>0</v>
      </c>
      <c r="H936" s="2" t="n">
        <v>62453.4481026423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99.74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 customFormat="false" ht="15" hidden="false" customHeight="false" outlineLevel="0" collapsed="false">
      <c r="A937" s="2" t="n">
        <v>3</v>
      </c>
      <c r="B937" s="2" t="s">
        <v>2231</v>
      </c>
      <c r="C937" s="2" t="s">
        <v>2232</v>
      </c>
      <c r="D937" s="2" t="s">
        <v>400</v>
      </c>
      <c r="E937" s="2" t="s">
        <v>2226</v>
      </c>
      <c r="F937" s="2" t="n">
        <v>10670.8208483528</v>
      </c>
      <c r="G937" s="2" t="n">
        <v>0</v>
      </c>
      <c r="H937" s="2" t="n">
        <v>10670.8208483528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99.74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 customFormat="false" ht="15" hidden="false" customHeight="false" outlineLevel="0" collapsed="false">
      <c r="A938" s="2" t="n">
        <v>3</v>
      </c>
      <c r="B938" s="2" t="s">
        <v>2233</v>
      </c>
      <c r="C938" s="2" t="s">
        <v>2234</v>
      </c>
      <c r="D938" s="2" t="s">
        <v>400</v>
      </c>
      <c r="E938" s="2" t="s">
        <v>2226</v>
      </c>
      <c r="F938" s="2" t="n">
        <v>1275.69152995366</v>
      </c>
      <c r="G938" s="2" t="n">
        <v>0</v>
      </c>
      <c r="H938" s="2" t="n">
        <v>1275.69152995366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99.74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 customFormat="false" ht="15" hidden="false" customHeight="false" outlineLevel="0" collapsed="false">
      <c r="A939" s="2" t="n">
        <v>3</v>
      </c>
      <c r="B939" s="2" t="s">
        <v>2235</v>
      </c>
      <c r="C939" s="2" t="s">
        <v>2236</v>
      </c>
      <c r="D939" s="2" t="s">
        <v>400</v>
      </c>
      <c r="E939" s="2" t="s">
        <v>2226</v>
      </c>
      <c r="F939" s="2" t="n">
        <v>8744.52949212924</v>
      </c>
      <c r="G939" s="2" t="n">
        <v>0</v>
      </c>
      <c r="H939" s="2" t="n">
        <v>8744.52949212924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99.74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 customFormat="false" ht="15" hidden="false" customHeight="false" outlineLevel="0" collapsed="false">
      <c r="A940" s="2" t="n">
        <v>3</v>
      </c>
      <c r="B940" s="2" t="s">
        <v>2237</v>
      </c>
      <c r="C940" s="2" t="s">
        <v>2076</v>
      </c>
      <c r="D940" s="2" t="s">
        <v>400</v>
      </c>
      <c r="E940" s="2" t="s">
        <v>2226</v>
      </c>
      <c r="F940" s="2" t="n">
        <v>79677.3345966125</v>
      </c>
      <c r="G940" s="2" t="n">
        <v>0</v>
      </c>
      <c r="H940" s="2" t="n">
        <v>79677.3345966125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99.74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 customFormat="false" ht="15" hidden="false" customHeight="false" outlineLevel="0" collapsed="false">
      <c r="A941" s="2" t="n">
        <v>3</v>
      </c>
      <c r="B941" s="2" t="s">
        <v>2238</v>
      </c>
      <c r="C941" s="2" t="s">
        <v>2078</v>
      </c>
      <c r="D941" s="2" t="s">
        <v>400</v>
      </c>
      <c r="E941" s="2" t="s">
        <v>2226</v>
      </c>
      <c r="F941" s="2" t="n">
        <v>84729.6598301202</v>
      </c>
      <c r="G941" s="2" t="n">
        <v>0</v>
      </c>
      <c r="H941" s="2" t="n">
        <v>84729.6598301202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99.74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 customFormat="false" ht="15" hidden="false" customHeight="false" outlineLevel="0" collapsed="false">
      <c r="A942" s="2" t="n">
        <v>3</v>
      </c>
      <c r="B942" s="2" t="s">
        <v>2239</v>
      </c>
      <c r="C942" s="2" t="s">
        <v>2240</v>
      </c>
      <c r="D942" s="2" t="s">
        <v>400</v>
      </c>
      <c r="E942" s="2" t="s">
        <v>2226</v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99.74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 customFormat="false" ht="15" hidden="false" customHeight="false" outlineLevel="0" collapsed="false">
      <c r="A943" s="2" t="n">
        <v>3</v>
      </c>
      <c r="B943" s="2" t="s">
        <v>2241</v>
      </c>
      <c r="C943" s="2" t="s">
        <v>2032</v>
      </c>
      <c r="D943" s="2" t="s">
        <v>400</v>
      </c>
      <c r="E943" s="2" t="s">
        <v>2226</v>
      </c>
      <c r="F943" s="2" t="n">
        <v>6678.77085275587</v>
      </c>
      <c r="G943" s="2" t="n">
        <v>0</v>
      </c>
      <c r="H943" s="2" t="n">
        <v>6678.77085275587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99.74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 customFormat="false" ht="15" hidden="false" customHeight="false" outlineLevel="0" collapsed="false">
      <c r="A944" s="2" t="n">
        <v>3</v>
      </c>
      <c r="B944" s="2" t="s">
        <v>2242</v>
      </c>
      <c r="C944" s="2" t="s">
        <v>2243</v>
      </c>
      <c r="D944" s="2" t="s">
        <v>400</v>
      </c>
      <c r="E944" s="2" t="s">
        <v>2226</v>
      </c>
      <c r="F944" s="2" t="n">
        <v>3521.2745075083</v>
      </c>
      <c r="G944" s="2" t="n">
        <v>0</v>
      </c>
      <c r="H944" s="2" t="n">
        <v>3521.2745075083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99.74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 customFormat="false" ht="15" hidden="false" customHeight="false" outlineLevel="0" collapsed="false">
      <c r="A945" s="2" t="n">
        <v>1</v>
      </c>
      <c r="B945" s="2" t="s">
        <v>204</v>
      </c>
      <c r="C945" s="2" t="s">
        <v>205</v>
      </c>
      <c r="D945" s="2" t="s">
        <v>911</v>
      </c>
      <c r="E945" s="2" t="s">
        <v>2244</v>
      </c>
      <c r="F945" s="2" t="n">
        <v>6036456.85359608</v>
      </c>
      <c r="G945" s="2" t="n">
        <v>0</v>
      </c>
      <c r="H945" s="2" t="n">
        <v>6036456.85359608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</v>
      </c>
      <c r="BU945" s="2" t="n">
        <v>8.38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</v>
      </c>
      <c r="DT945" s="2" t="n">
        <v>81.39</v>
      </c>
      <c r="DU945" s="2" t="n">
        <v>3.02</v>
      </c>
      <c r="DV945" s="2" t="n">
        <v>91.43</v>
      </c>
      <c r="DW945" s="2" t="n">
        <v>89.98</v>
      </c>
      <c r="DX945" s="2" t="n">
        <v>3.02</v>
      </c>
      <c r="DY945" s="2" t="n">
        <v>93.82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</v>
      </c>
      <c r="EF945" s="2" t="n">
        <v>98.2</v>
      </c>
      <c r="EG945" s="2" t="n">
        <v>3.02</v>
      </c>
      <c r="EH945" s="2" t="n">
        <v>99.89</v>
      </c>
      <c r="EI945" s="2" t="n">
        <v>98.71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 customFormat="false" ht="15" hidden="false" customHeight="false" outlineLevel="0" collapsed="false">
      <c r="A946" s="2" t="n">
        <v>2</v>
      </c>
      <c r="B946" s="2" t="s">
        <v>2245</v>
      </c>
      <c r="C946" s="2" t="s">
        <v>2246</v>
      </c>
      <c r="D946" s="2" t="s">
        <v>2247</v>
      </c>
      <c r="E946" s="2" t="s">
        <v>2244</v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8.03</v>
      </c>
      <c r="CG946" s="2" t="n">
        <v>7.31</v>
      </c>
      <c r="CH946" s="2" t="n">
        <v>1.5</v>
      </c>
      <c r="CI946" s="2" t="n">
        <v>10.28</v>
      </c>
      <c r="CJ946" s="2" t="n">
        <v>9.61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</v>
      </c>
      <c r="EA946" s="2" t="n">
        <v>1.5</v>
      </c>
      <c r="EB946" s="2" t="n">
        <v>95.68</v>
      </c>
      <c r="EC946" s="2" t="n">
        <v>94.73</v>
      </c>
      <c r="ED946" s="2" t="n">
        <v>1.5</v>
      </c>
      <c r="EE946" s="2" t="n">
        <v>99.61</v>
      </c>
      <c r="EF946" s="2" t="n">
        <v>97.96</v>
      </c>
      <c r="EG946" s="2" t="n">
        <v>1.5</v>
      </c>
      <c r="EH946" s="2" t="n">
        <v>99.88</v>
      </c>
      <c r="EI946" s="2" t="n">
        <v>98.54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 customFormat="false" ht="15" hidden="false" customHeight="false" outlineLevel="0" collapsed="false">
      <c r="A947" s="2" t="n">
        <v>3</v>
      </c>
      <c r="B947" s="2" t="s">
        <v>2248</v>
      </c>
      <c r="C947" s="2" t="s">
        <v>1967</v>
      </c>
      <c r="D947" s="2" t="s">
        <v>2249</v>
      </c>
      <c r="E947" s="2" t="s">
        <v>2146</v>
      </c>
      <c r="F947" s="2" t="n">
        <v>1272692.01785537</v>
      </c>
      <c r="G947" s="2" t="n">
        <v>0</v>
      </c>
      <c r="H947" s="2" t="n">
        <v>1272692.01785537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90.74</v>
      </c>
      <c r="DK947" s="2" t="n">
        <v>89.54</v>
      </c>
      <c r="DL947" s="2" t="n">
        <v>0</v>
      </c>
      <c r="DM947" s="2" t="n">
        <v>94.18</v>
      </c>
      <c r="DN947" s="2" t="n">
        <v>93.28</v>
      </c>
      <c r="DO947" s="2" t="n">
        <v>0</v>
      </c>
      <c r="DP947" s="2" t="n">
        <v>96.49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 customFormat="false" ht="15" hidden="false" customHeight="false" outlineLevel="0" collapsed="false">
      <c r="A948" s="2" t="n">
        <v>4</v>
      </c>
      <c r="B948" s="2" t="s">
        <v>2250</v>
      </c>
      <c r="C948" s="2" t="s">
        <v>2251</v>
      </c>
      <c r="D948" s="2" t="s">
        <v>2249</v>
      </c>
      <c r="E948" s="2" t="s">
        <v>2146</v>
      </c>
      <c r="F948" s="2" t="n">
        <v>66235.8325207043</v>
      </c>
      <c r="G948" s="2" t="n">
        <v>0</v>
      </c>
      <c r="H948" s="2" t="n">
        <v>66235.8325207043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90.74</v>
      </c>
      <c r="DK948" s="2" t="n">
        <v>89.54</v>
      </c>
      <c r="DL948" s="2" t="n">
        <v>0</v>
      </c>
      <c r="DM948" s="2" t="n">
        <v>94.18</v>
      </c>
      <c r="DN948" s="2" t="n">
        <v>93.28</v>
      </c>
      <c r="DO948" s="2" t="n">
        <v>0</v>
      </c>
      <c r="DP948" s="2" t="n">
        <v>96.49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 customFormat="false" ht="15" hidden="false" customHeight="false" outlineLevel="0" collapsed="false">
      <c r="A949" s="2" t="n">
        <v>4</v>
      </c>
      <c r="B949" s="2" t="s">
        <v>2252</v>
      </c>
      <c r="C949" s="2" t="s">
        <v>1969</v>
      </c>
      <c r="D949" s="2" t="s">
        <v>2249</v>
      </c>
      <c r="E949" s="2" t="s">
        <v>2146</v>
      </c>
      <c r="F949" s="2" t="n">
        <v>24008.363538696</v>
      </c>
      <c r="G949" s="2" t="n">
        <v>0</v>
      </c>
      <c r="H949" s="2" t="n">
        <v>24008.363538696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90.74</v>
      </c>
      <c r="DK949" s="2" t="n">
        <v>89.54</v>
      </c>
      <c r="DL949" s="2" t="n">
        <v>0</v>
      </c>
      <c r="DM949" s="2" t="n">
        <v>94.18</v>
      </c>
      <c r="DN949" s="2" t="n">
        <v>93.28</v>
      </c>
      <c r="DO949" s="2" t="n">
        <v>0</v>
      </c>
      <c r="DP949" s="2" t="n">
        <v>96.49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 customFormat="false" ht="15" hidden="false" customHeight="false" outlineLevel="0" collapsed="false">
      <c r="A950" s="2" t="n">
        <v>4</v>
      </c>
      <c r="B950" s="2" t="s">
        <v>2253</v>
      </c>
      <c r="C950" s="2" t="s">
        <v>1971</v>
      </c>
      <c r="D950" s="2" t="s">
        <v>2249</v>
      </c>
      <c r="E950" s="2" t="s">
        <v>2146</v>
      </c>
      <c r="F950" s="2" t="n">
        <v>188258.303093802</v>
      </c>
      <c r="G950" s="2" t="n">
        <v>0</v>
      </c>
      <c r="H950" s="2" t="n">
        <v>188258.303093802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90.74</v>
      </c>
      <c r="DK950" s="2" t="n">
        <v>89.54</v>
      </c>
      <c r="DL950" s="2" t="n">
        <v>0</v>
      </c>
      <c r="DM950" s="2" t="n">
        <v>94.18</v>
      </c>
      <c r="DN950" s="2" t="n">
        <v>93.28</v>
      </c>
      <c r="DO950" s="2" t="n">
        <v>0</v>
      </c>
      <c r="DP950" s="2" t="n">
        <v>96.49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 customFormat="false" ht="15" hidden="false" customHeight="false" outlineLevel="0" collapsed="false">
      <c r="A951" s="2" t="n">
        <v>4</v>
      </c>
      <c r="B951" s="2" t="s">
        <v>2254</v>
      </c>
      <c r="C951" s="2" t="s">
        <v>2255</v>
      </c>
      <c r="D951" s="2" t="s">
        <v>2249</v>
      </c>
      <c r="E951" s="2" t="s">
        <v>2146</v>
      </c>
      <c r="F951" s="2" t="n">
        <v>792528.885200851</v>
      </c>
      <c r="G951" s="2" t="n">
        <v>0</v>
      </c>
      <c r="H951" s="2" t="n">
        <v>792528.885200851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90.74</v>
      </c>
      <c r="DK951" s="2" t="n">
        <v>89.54</v>
      </c>
      <c r="DL951" s="2" t="n">
        <v>0</v>
      </c>
      <c r="DM951" s="2" t="n">
        <v>94.18</v>
      </c>
      <c r="DN951" s="2" t="n">
        <v>93.28</v>
      </c>
      <c r="DO951" s="2" t="n">
        <v>0</v>
      </c>
      <c r="DP951" s="2" t="n">
        <v>96.49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 customFormat="false" ht="15" hidden="false" customHeight="false" outlineLevel="0" collapsed="false">
      <c r="A952" s="2" t="n">
        <v>4</v>
      </c>
      <c r="B952" s="2" t="s">
        <v>2256</v>
      </c>
      <c r="C952" s="2" t="s">
        <v>1977</v>
      </c>
      <c r="D952" s="2" t="s">
        <v>2249</v>
      </c>
      <c r="E952" s="2" t="s">
        <v>2146</v>
      </c>
      <c r="F952" s="2" t="n">
        <v>164495.570862883</v>
      </c>
      <c r="G952" s="2" t="n">
        <v>0</v>
      </c>
      <c r="H952" s="2" t="n">
        <v>164495.570862883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90.74</v>
      </c>
      <c r="DK952" s="2" t="n">
        <v>89.54</v>
      </c>
      <c r="DL952" s="2" t="n">
        <v>0</v>
      </c>
      <c r="DM952" s="2" t="n">
        <v>94.18</v>
      </c>
      <c r="DN952" s="2" t="n">
        <v>93.28</v>
      </c>
      <c r="DO952" s="2" t="n">
        <v>0</v>
      </c>
      <c r="DP952" s="2" t="n">
        <v>96.49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 customFormat="false" ht="15" hidden="false" customHeight="false" outlineLevel="0" collapsed="false">
      <c r="A953" s="2" t="n">
        <v>4</v>
      </c>
      <c r="B953" s="2" t="s">
        <v>2257</v>
      </c>
      <c r="C953" s="2" t="s">
        <v>2258</v>
      </c>
      <c r="D953" s="2" t="s">
        <v>2249</v>
      </c>
      <c r="E953" s="2" t="s">
        <v>2146</v>
      </c>
      <c r="F953" s="2" t="n">
        <v>37165.0626384326</v>
      </c>
      <c r="G953" s="2" t="n">
        <v>0</v>
      </c>
      <c r="H953" s="2" t="n">
        <v>37165.0626384326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90.74</v>
      </c>
      <c r="DK953" s="2" t="n">
        <v>89.54</v>
      </c>
      <c r="DL953" s="2" t="n">
        <v>0</v>
      </c>
      <c r="DM953" s="2" t="n">
        <v>94.18</v>
      </c>
      <c r="DN953" s="2" t="n">
        <v>93.28</v>
      </c>
      <c r="DO953" s="2" t="n">
        <v>0</v>
      </c>
      <c r="DP953" s="2" t="n">
        <v>96.49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 customFormat="false" ht="15" hidden="false" customHeight="false" outlineLevel="0" collapsed="false">
      <c r="A954" s="2" t="n">
        <v>3</v>
      </c>
      <c r="B954" s="2" t="s">
        <v>2259</v>
      </c>
      <c r="C954" s="2" t="s">
        <v>2260</v>
      </c>
      <c r="D954" s="2" t="s">
        <v>2261</v>
      </c>
      <c r="E954" s="2" t="s">
        <v>2244</v>
      </c>
      <c r="F954" s="2" t="n">
        <v>673998.91074794</v>
      </c>
      <c r="G954" s="2" t="n">
        <v>0</v>
      </c>
      <c r="H954" s="2" t="n">
        <v>673998.91074794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9.03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66.82</v>
      </c>
      <c r="EA954" s="2" t="n">
        <v>0</v>
      </c>
      <c r="EB954" s="2" t="n">
        <v>77.67</v>
      </c>
      <c r="EC954" s="2" t="n">
        <v>74.57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 customFormat="false" ht="15" hidden="false" customHeight="false" outlineLevel="0" collapsed="false">
      <c r="A955" s="2" t="n">
        <v>4</v>
      </c>
      <c r="B955" s="2" t="s">
        <v>2262</v>
      </c>
      <c r="C955" s="2" t="s">
        <v>2263</v>
      </c>
      <c r="D955" s="2" t="s">
        <v>2261</v>
      </c>
      <c r="E955" s="2" t="s">
        <v>2244</v>
      </c>
      <c r="F955" s="2" t="n">
        <v>306865.308829678</v>
      </c>
      <c r="G955" s="2" t="n">
        <v>0</v>
      </c>
      <c r="H955" s="2" t="n">
        <v>306865.308829678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76.6</v>
      </c>
      <c r="DZ955" s="2" t="n">
        <v>75.77</v>
      </c>
      <c r="EA955" s="2" t="n">
        <v>0</v>
      </c>
      <c r="EB955" s="2" t="n">
        <v>87.14</v>
      </c>
      <c r="EC955" s="2" t="n">
        <v>85.68</v>
      </c>
      <c r="ED955" s="2" t="n">
        <v>0</v>
      </c>
      <c r="EE955" s="2" t="n">
        <v>93.21</v>
      </c>
      <c r="EF955" s="2" t="n">
        <v>91.71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 customFormat="false" ht="15" hidden="false" customHeight="false" outlineLevel="0" collapsed="false">
      <c r="A956" s="2" t="n">
        <v>4</v>
      </c>
      <c r="B956" s="2" t="s">
        <v>2264</v>
      </c>
      <c r="C956" s="2" t="s">
        <v>2265</v>
      </c>
      <c r="D956" s="2" t="s">
        <v>2266</v>
      </c>
      <c r="E956" s="2" t="s">
        <v>1597</v>
      </c>
      <c r="F956" s="2" t="n">
        <v>67353.7045782402</v>
      </c>
      <c r="G956" s="2" t="n">
        <v>0</v>
      </c>
      <c r="H956" s="2" t="n">
        <v>67353.7045782402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 customFormat="false" ht="15" hidden="false" customHeight="false" outlineLevel="0" collapsed="false">
      <c r="A957" s="2" t="n">
        <v>4</v>
      </c>
      <c r="B957" s="2" t="s">
        <v>2267</v>
      </c>
      <c r="C957" s="2" t="s">
        <v>2268</v>
      </c>
      <c r="D957" s="2" t="s">
        <v>401</v>
      </c>
      <c r="E957" s="2" t="s">
        <v>1888</v>
      </c>
      <c r="F957" s="2" t="n">
        <v>61124.1531508215</v>
      </c>
      <c r="G957" s="2" t="n">
        <v>0</v>
      </c>
      <c r="H957" s="2" t="n">
        <v>61124.1531508215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 customFormat="false" ht="15" hidden="false" customHeight="false" outlineLevel="0" collapsed="false">
      <c r="A958" s="2" t="n">
        <v>4</v>
      </c>
      <c r="B958" s="2" t="s">
        <v>2269</v>
      </c>
      <c r="C958" s="2" t="s">
        <v>2270</v>
      </c>
      <c r="D958" s="2" t="s">
        <v>401</v>
      </c>
      <c r="E958" s="2" t="s">
        <v>1888</v>
      </c>
      <c r="F958" s="2" t="n">
        <v>29095.7101698395</v>
      </c>
      <c r="G958" s="2" t="n">
        <v>0</v>
      </c>
      <c r="H958" s="2" t="n">
        <v>29095.7101698395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76.21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</v>
      </c>
      <c r="DI958" s="2" t="n">
        <v>0</v>
      </c>
      <c r="DJ958" s="2" t="n">
        <v>90.85</v>
      </c>
      <c r="DK958" s="2" t="n">
        <v>90.55</v>
      </c>
      <c r="DL958" s="2" t="n">
        <v>0</v>
      </c>
      <c r="DM958" s="2" t="n">
        <v>94.5</v>
      </c>
      <c r="DN958" s="2" t="n">
        <v>93.57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 customFormat="false" ht="15" hidden="false" customHeight="false" outlineLevel="0" collapsed="false">
      <c r="A959" s="2" t="n">
        <v>4</v>
      </c>
      <c r="B959" s="2" t="s">
        <v>2271</v>
      </c>
      <c r="C959" s="2" t="s">
        <v>2272</v>
      </c>
      <c r="D959" s="2" t="s">
        <v>401</v>
      </c>
      <c r="E959" s="2" t="s">
        <v>1888</v>
      </c>
      <c r="F959" s="2" t="n">
        <v>29095.7101698395</v>
      </c>
      <c r="G959" s="2" t="n">
        <v>0</v>
      </c>
      <c r="H959" s="2" t="n">
        <v>29095.7101698395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98.35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 customFormat="false" ht="15" hidden="false" customHeight="false" outlineLevel="0" collapsed="false">
      <c r="A960" s="2" t="n">
        <v>4</v>
      </c>
      <c r="B960" s="2" t="s">
        <v>2273</v>
      </c>
      <c r="C960" s="2" t="s">
        <v>2274</v>
      </c>
      <c r="D960" s="2" t="s">
        <v>401</v>
      </c>
      <c r="E960" s="2" t="s">
        <v>1888</v>
      </c>
      <c r="F960" s="2" t="n">
        <v>29095.7101698395</v>
      </c>
      <c r="G960" s="2" t="n">
        <v>0</v>
      </c>
      <c r="H960" s="2" t="n">
        <v>29095.7101698395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98.35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 customFormat="false" ht="15" hidden="false" customHeight="false" outlineLevel="0" collapsed="false">
      <c r="A961" s="2" t="n">
        <v>4</v>
      </c>
      <c r="B961" s="2" t="s">
        <v>2275</v>
      </c>
      <c r="C961" s="2" t="s">
        <v>2274</v>
      </c>
      <c r="D961" s="2" t="s">
        <v>401</v>
      </c>
      <c r="E961" s="2" t="s">
        <v>1888</v>
      </c>
      <c r="F961" s="2" t="n">
        <v>29095.7101698395</v>
      </c>
      <c r="G961" s="2" t="n">
        <v>0</v>
      </c>
      <c r="H961" s="2" t="n">
        <v>29095.7101698395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98.35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 customFormat="false" ht="15" hidden="false" customHeight="false" outlineLevel="0" collapsed="false">
      <c r="A962" s="2" t="n">
        <v>4</v>
      </c>
      <c r="B962" s="2" t="s">
        <v>2276</v>
      </c>
      <c r="C962" s="2" t="s">
        <v>2277</v>
      </c>
      <c r="D962" s="2" t="s">
        <v>401</v>
      </c>
      <c r="E962" s="2" t="s">
        <v>1888</v>
      </c>
      <c r="F962" s="2" t="n">
        <v>45394.2182243168</v>
      </c>
      <c r="G962" s="2" t="n">
        <v>0</v>
      </c>
      <c r="H962" s="2" t="n">
        <v>45394.2182243168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98.35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 customFormat="false" ht="15" hidden="false" customHeight="false" outlineLevel="0" collapsed="false">
      <c r="A963" s="2" t="n">
        <v>4</v>
      </c>
      <c r="B963" s="2" t="s">
        <v>2278</v>
      </c>
      <c r="C963" s="2" t="s">
        <v>2279</v>
      </c>
      <c r="D963" s="2" t="s">
        <v>401</v>
      </c>
      <c r="E963" s="2" t="s">
        <v>1888</v>
      </c>
      <c r="F963" s="2" t="n">
        <v>38794.2802264527</v>
      </c>
      <c r="G963" s="2" t="n">
        <v>0</v>
      </c>
      <c r="H963" s="2" t="n">
        <v>38794.2802264527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86.21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 customFormat="false" ht="15" hidden="false" customHeight="false" outlineLevel="0" collapsed="false">
      <c r="A964" s="2" t="n">
        <v>4</v>
      </c>
      <c r="B964" s="2" t="s">
        <v>2280</v>
      </c>
      <c r="C964" s="2" t="s">
        <v>2281</v>
      </c>
      <c r="D964" s="2" t="s">
        <v>401</v>
      </c>
      <c r="E964" s="2" t="s">
        <v>1888</v>
      </c>
      <c r="F964" s="2" t="n">
        <v>38084.4050590725</v>
      </c>
      <c r="G964" s="2" t="n">
        <v>0</v>
      </c>
      <c r="H964" s="2" t="n">
        <v>38084.4050590725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78.32</v>
      </c>
      <c r="DW964" s="2" t="n">
        <v>78.32</v>
      </c>
      <c r="DX964" s="2" t="n">
        <v>0</v>
      </c>
      <c r="DY964" s="2" t="n">
        <v>78.32</v>
      </c>
      <c r="DZ964" s="2" t="n">
        <v>78.32</v>
      </c>
      <c r="EA964" s="2" t="n">
        <v>0</v>
      </c>
      <c r="EB964" s="2" t="n">
        <v>88.44</v>
      </c>
      <c r="EC964" s="2" t="n">
        <v>84.1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 customFormat="false" ht="15" hidden="false" customHeight="false" outlineLevel="0" collapsed="false">
      <c r="A965" s="2" t="n">
        <v>3</v>
      </c>
      <c r="B965" s="2" t="s">
        <v>2282</v>
      </c>
      <c r="C965" s="2" t="s">
        <v>2283</v>
      </c>
      <c r="D965" s="2" t="s">
        <v>2284</v>
      </c>
      <c r="E965" s="2" t="s">
        <v>2146</v>
      </c>
      <c r="F965" s="2" t="n">
        <v>2534797.37789361</v>
      </c>
      <c r="G965" s="2" t="n">
        <v>0</v>
      </c>
      <c r="H965" s="2" t="n">
        <v>2534797.37789361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</v>
      </c>
      <c r="DT965" s="2" t="n">
        <v>80.57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 customFormat="false" ht="15" hidden="false" customHeight="false" outlineLevel="0" collapsed="false">
      <c r="A966" s="2" t="n">
        <v>4</v>
      </c>
      <c r="B966" s="2" t="s">
        <v>2285</v>
      </c>
      <c r="C966" s="2" t="s">
        <v>2286</v>
      </c>
      <c r="D966" s="2" t="s">
        <v>2284</v>
      </c>
      <c r="E966" s="2" t="s">
        <v>2146</v>
      </c>
      <c r="F966" s="2" t="n">
        <v>2251192.26675796</v>
      </c>
      <c r="G966" s="2" t="n">
        <v>0</v>
      </c>
      <c r="H966" s="2" t="n">
        <v>2251192.26675796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</v>
      </c>
      <c r="DT966" s="2" t="n">
        <v>80.57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 customFormat="false" ht="15" hidden="false" customHeight="false" outlineLevel="0" collapsed="false">
      <c r="A967" s="2" t="n">
        <v>4</v>
      </c>
      <c r="B967" s="2" t="s">
        <v>2287</v>
      </c>
      <c r="C967" s="2" t="s">
        <v>2288</v>
      </c>
      <c r="D967" s="2" t="s">
        <v>2284</v>
      </c>
      <c r="E967" s="2" t="s">
        <v>2146</v>
      </c>
      <c r="F967" s="2" t="n">
        <v>283605.111135656</v>
      </c>
      <c r="G967" s="2" t="n">
        <v>0</v>
      </c>
      <c r="H967" s="2" t="n">
        <v>283605.111135656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</v>
      </c>
      <c r="DT967" s="2" t="n">
        <v>80.57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 customFormat="false" ht="15" hidden="false" customHeight="false" outlineLevel="0" collapsed="false">
      <c r="A968" s="2" t="n">
        <v>3</v>
      </c>
      <c r="B968" s="2" t="s">
        <v>2289</v>
      </c>
      <c r="C968" s="2" t="s">
        <v>1202</v>
      </c>
      <c r="D968" s="2" t="s">
        <v>2247</v>
      </c>
      <c r="E968" s="2" t="s">
        <v>1888</v>
      </c>
      <c r="F968" s="2" t="n">
        <v>667947.174543373</v>
      </c>
      <c r="G968" s="2" t="n">
        <v>0</v>
      </c>
      <c r="H968" s="2" t="n">
        <v>667947.174543373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9.87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 customFormat="false" ht="15" hidden="false" customHeight="false" outlineLevel="0" collapsed="false">
      <c r="A969" s="2" t="n">
        <v>4</v>
      </c>
      <c r="B969" s="2" t="s">
        <v>2290</v>
      </c>
      <c r="C969" s="2" t="s">
        <v>2291</v>
      </c>
      <c r="D969" s="2" t="s">
        <v>2247</v>
      </c>
      <c r="E969" s="2" t="s">
        <v>2292</v>
      </c>
      <c r="F969" s="2" t="n">
        <v>42391.0458951459</v>
      </c>
      <c r="G969" s="2" t="n">
        <v>0</v>
      </c>
      <c r="H969" s="2" t="n">
        <v>42391.0458951459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84.57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 customFormat="false" ht="15" hidden="false" customHeight="false" outlineLevel="0" collapsed="false">
      <c r="A970" s="2" t="n">
        <v>4</v>
      </c>
      <c r="B970" s="2" t="s">
        <v>2293</v>
      </c>
      <c r="C970" s="2" t="s">
        <v>2294</v>
      </c>
      <c r="D970" s="2" t="s">
        <v>2247</v>
      </c>
      <c r="E970" s="2" t="s">
        <v>2292</v>
      </c>
      <c r="F970" s="2" t="n">
        <v>135009.228648227</v>
      </c>
      <c r="G970" s="2" t="n">
        <v>0</v>
      </c>
      <c r="H970" s="2" t="n">
        <v>135009.228648227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84.57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 customFormat="false" ht="15" hidden="false" customHeight="false" outlineLevel="0" collapsed="false">
      <c r="A971" s="2" t="n">
        <v>4</v>
      </c>
      <c r="B971" s="2" t="s">
        <v>2295</v>
      </c>
      <c r="C971" s="2" t="s">
        <v>2296</v>
      </c>
      <c r="D971" s="2" t="s">
        <v>1569</v>
      </c>
      <c r="E971" s="2" t="s">
        <v>1888</v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 customFormat="false" ht="15" hidden="false" customHeight="false" outlineLevel="0" collapsed="false">
      <c r="A972" s="2" t="n">
        <v>4</v>
      </c>
      <c r="B972" s="2" t="s">
        <v>2297</v>
      </c>
      <c r="C972" s="2" t="s">
        <v>2298</v>
      </c>
      <c r="D972" s="2" t="s">
        <v>1569</v>
      </c>
      <c r="E972" s="2" t="s">
        <v>1888</v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 customFormat="false" ht="15" hidden="false" customHeight="false" outlineLevel="0" collapsed="false">
      <c r="A973" s="2" t="n">
        <v>3</v>
      </c>
      <c r="B973" s="2" t="s">
        <v>2299</v>
      </c>
      <c r="C973" s="2" t="s">
        <v>868</v>
      </c>
      <c r="D973" s="2" t="s">
        <v>2249</v>
      </c>
      <c r="E973" s="2" t="s">
        <v>2146</v>
      </c>
      <c r="F973" s="2" t="n">
        <v>156358.542478545</v>
      </c>
      <c r="G973" s="2" t="n">
        <v>0</v>
      </c>
      <c r="H973" s="2" t="n">
        <v>156358.542478545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90.96</v>
      </c>
      <c r="DK973" s="2" t="n">
        <v>89.79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95.96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99.57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 customFormat="false" ht="15" hidden="false" customHeight="false" outlineLevel="0" collapsed="false">
      <c r="A974" s="2" t="n">
        <v>4</v>
      </c>
      <c r="B974" s="2" t="s">
        <v>2300</v>
      </c>
      <c r="C974" s="2" t="s">
        <v>2301</v>
      </c>
      <c r="D974" s="2" t="s">
        <v>2249</v>
      </c>
      <c r="E974" s="2" t="s">
        <v>2146</v>
      </c>
      <c r="F974" s="2" t="n">
        <v>141987.150354236</v>
      </c>
      <c r="G974" s="2" t="n">
        <v>0</v>
      </c>
      <c r="H974" s="2" t="n">
        <v>141987.150354236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90.74</v>
      </c>
      <c r="DK974" s="2" t="n">
        <v>89.54</v>
      </c>
      <c r="DL974" s="2" t="n">
        <v>0</v>
      </c>
      <c r="DM974" s="2" t="n">
        <v>94.18</v>
      </c>
      <c r="DN974" s="2" t="n">
        <v>93.28</v>
      </c>
      <c r="DO974" s="2" t="n">
        <v>0</v>
      </c>
      <c r="DP974" s="2" t="n">
        <v>96.49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 customFormat="false" ht="15" hidden="false" customHeight="false" outlineLevel="0" collapsed="false">
      <c r="A975" s="2" t="n">
        <v>4</v>
      </c>
      <c r="B975" s="2" t="s">
        <v>2302</v>
      </c>
      <c r="C975" s="2" t="s">
        <v>2303</v>
      </c>
      <c r="D975" s="2" t="s">
        <v>2249</v>
      </c>
      <c r="E975" s="2" t="s">
        <v>2146</v>
      </c>
      <c r="F975" s="2" t="n">
        <v>14371.3921243091</v>
      </c>
      <c r="G975" s="2" t="n">
        <v>0</v>
      </c>
      <c r="H975" s="2" t="n">
        <v>14371.3921243091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</v>
      </c>
      <c r="DQ975" s="2" t="n">
        <v>96.93</v>
      </c>
      <c r="DR975" s="2" t="n">
        <v>0</v>
      </c>
      <c r="DS975" s="2" t="n">
        <v>98.68</v>
      </c>
      <c r="DT975" s="2" t="n">
        <v>98.4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 customFormat="false" ht="15" hidden="false" customHeight="false" outlineLevel="0" collapsed="false">
      <c r="A976" s="2" t="n">
        <v>2</v>
      </c>
      <c r="B976" s="2" t="s">
        <v>2304</v>
      </c>
      <c r="C976" s="2" t="s">
        <v>2305</v>
      </c>
      <c r="D976" s="2" t="s">
        <v>911</v>
      </c>
      <c r="E976" s="2" t="s">
        <v>1888</v>
      </c>
      <c r="F976" s="2" t="n">
        <v>730662.830077237</v>
      </c>
      <c r="G976" s="2" t="n">
        <v>0</v>
      </c>
      <c r="H976" s="2" t="n">
        <v>730662.830077237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8.2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67.21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94.74</v>
      </c>
      <c r="CQ976" s="2" t="n">
        <v>14.05</v>
      </c>
      <c r="CR976" s="2" t="n">
        <v>98.5</v>
      </c>
      <c r="CS976" s="2" t="n">
        <v>98.04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99.96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 customFormat="false" ht="15" hidden="false" customHeight="false" outlineLevel="0" collapsed="false">
      <c r="A977" s="2" t="n">
        <v>3</v>
      </c>
      <c r="B977" s="2" t="s">
        <v>2306</v>
      </c>
      <c r="C977" s="2" t="s">
        <v>2307</v>
      </c>
      <c r="D977" s="2" t="s">
        <v>2308</v>
      </c>
      <c r="E977" s="2" t="s">
        <v>1036</v>
      </c>
      <c r="F977" s="2" t="n">
        <v>4731.74591367521</v>
      </c>
      <c r="G977" s="2" t="n">
        <v>0</v>
      </c>
      <c r="H977" s="2" t="n">
        <v>4731.74591367521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 customFormat="false" ht="15" hidden="false" customHeight="false" outlineLevel="0" collapsed="false">
      <c r="A978" s="2" t="n">
        <v>4</v>
      </c>
      <c r="B978" s="2" t="s">
        <v>2309</v>
      </c>
      <c r="C978" s="2" t="s">
        <v>922</v>
      </c>
      <c r="D978" s="2" t="s">
        <v>2308</v>
      </c>
      <c r="E978" s="2" t="s">
        <v>1036</v>
      </c>
      <c r="F978" s="2" t="n">
        <v>1183.80618542593</v>
      </c>
      <c r="G978" s="2" t="n">
        <v>0</v>
      </c>
      <c r="H978" s="2" t="n">
        <v>1183.80618542593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 customFormat="false" ht="15" hidden="false" customHeight="false" outlineLevel="0" collapsed="false">
      <c r="A979" s="2" t="n">
        <v>4</v>
      </c>
      <c r="B979" s="2" t="s">
        <v>2310</v>
      </c>
      <c r="C979" s="2" t="s">
        <v>2311</v>
      </c>
      <c r="D979" s="2" t="s">
        <v>2308</v>
      </c>
      <c r="E979" s="2" t="s">
        <v>1036</v>
      </c>
      <c r="F979" s="2" t="n">
        <v>2861.46472824928</v>
      </c>
      <c r="G979" s="2" t="n">
        <v>0</v>
      </c>
      <c r="H979" s="2" t="n">
        <v>2861.46472824928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 customFormat="false" ht="15" hidden="false" customHeight="false" outlineLevel="0" collapsed="false">
      <c r="A980" s="2" t="n">
        <v>4</v>
      </c>
      <c r="B980" s="2" t="s">
        <v>2312</v>
      </c>
      <c r="C980" s="2" t="s">
        <v>1153</v>
      </c>
      <c r="D980" s="2" t="s">
        <v>2308</v>
      </c>
      <c r="E980" s="2" t="s">
        <v>1036</v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 customFormat="false" ht="15" hidden="false" customHeight="false" outlineLevel="0" collapsed="false">
      <c r="A981" s="2" t="n">
        <v>3</v>
      </c>
      <c r="B981" s="2" t="s">
        <v>2313</v>
      </c>
      <c r="C981" s="2" t="s">
        <v>2314</v>
      </c>
      <c r="D981" s="2" t="s">
        <v>911</v>
      </c>
      <c r="E981" s="2" t="s">
        <v>2315</v>
      </c>
      <c r="F981" s="2" t="n">
        <v>25542.3235454535</v>
      </c>
      <c r="G981" s="2" t="n">
        <v>0</v>
      </c>
      <c r="H981" s="2" t="n">
        <v>25542.3235454535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 customFormat="false" ht="15" hidden="false" customHeight="false" outlineLevel="0" collapsed="false">
      <c r="A982" s="2" t="n">
        <v>4</v>
      </c>
      <c r="B982" s="2" t="s">
        <v>2316</v>
      </c>
      <c r="C982" s="2" t="s">
        <v>1139</v>
      </c>
      <c r="D982" s="2" t="s">
        <v>911</v>
      </c>
      <c r="E982" s="2" t="s">
        <v>2315</v>
      </c>
      <c r="F982" s="2" t="n">
        <v>5490.90662542773</v>
      </c>
      <c r="G982" s="2" t="n">
        <v>0</v>
      </c>
      <c r="H982" s="2" t="n">
        <v>5490.90662542773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 customFormat="false" ht="15" hidden="false" customHeight="false" outlineLevel="0" collapsed="false">
      <c r="A983" s="2" t="n">
        <v>4</v>
      </c>
      <c r="B983" s="2" t="s">
        <v>2317</v>
      </c>
      <c r="C983" s="2" t="s">
        <v>1141</v>
      </c>
      <c r="D983" s="2" t="s">
        <v>911</v>
      </c>
      <c r="E983" s="2" t="s">
        <v>2315</v>
      </c>
      <c r="F983" s="2" t="n">
        <v>652.23469851004</v>
      </c>
      <c r="G983" s="2" t="n">
        <v>0</v>
      </c>
      <c r="H983" s="2" t="n">
        <v>652.23469851004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 customFormat="false" ht="15" hidden="false" customHeight="false" outlineLevel="0" collapsed="false">
      <c r="A984" s="2" t="n">
        <v>4</v>
      </c>
      <c r="B984" s="2" t="s">
        <v>2318</v>
      </c>
      <c r="C984" s="2" t="s">
        <v>2319</v>
      </c>
      <c r="D984" s="2" t="s">
        <v>911</v>
      </c>
      <c r="E984" s="2" t="s">
        <v>2315</v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 customFormat="false" ht="15" hidden="false" customHeight="false" outlineLevel="0" collapsed="false">
      <c r="A985" s="2" t="n">
        <v>4</v>
      </c>
      <c r="B985" s="2" t="s">
        <v>2320</v>
      </c>
      <c r="C985" s="2" t="s">
        <v>2321</v>
      </c>
      <c r="D985" s="2" t="s">
        <v>911</v>
      </c>
      <c r="E985" s="2" t="s">
        <v>2315</v>
      </c>
      <c r="F985" s="2" t="n">
        <v>903.612875299981</v>
      </c>
      <c r="G985" s="2" t="n">
        <v>0</v>
      </c>
      <c r="H985" s="2" t="n">
        <v>903.612875299981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 customFormat="false" ht="15" hidden="false" customHeight="false" outlineLevel="0" collapsed="false">
      <c r="A986" s="2" t="n">
        <v>4</v>
      </c>
      <c r="B986" s="2" t="s">
        <v>2322</v>
      </c>
      <c r="C986" s="2" t="s">
        <v>2311</v>
      </c>
      <c r="D986" s="2" t="s">
        <v>911</v>
      </c>
      <c r="E986" s="2" t="s">
        <v>2315</v>
      </c>
      <c r="F986" s="2" t="n">
        <v>7343.58204594947</v>
      </c>
      <c r="G986" s="2" t="n">
        <v>0</v>
      </c>
      <c r="H986" s="2" t="n">
        <v>7343.58204594947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 customFormat="false" ht="15" hidden="false" customHeight="false" outlineLevel="0" collapsed="false">
      <c r="A987" s="2" t="n">
        <v>4</v>
      </c>
      <c r="B987" s="2" t="s">
        <v>2323</v>
      </c>
      <c r="C987" s="2" t="s">
        <v>1151</v>
      </c>
      <c r="D987" s="2" t="s">
        <v>911</v>
      </c>
      <c r="E987" s="2" t="s">
        <v>2315</v>
      </c>
      <c r="F987" s="2" t="n">
        <v>1257.61016759531</v>
      </c>
      <c r="G987" s="2" t="n">
        <v>0</v>
      </c>
      <c r="H987" s="2" t="n">
        <v>1257.61016759531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 customFormat="false" ht="15" hidden="false" customHeight="false" outlineLevel="0" collapsed="false">
      <c r="A988" s="2" t="n">
        <v>4</v>
      </c>
      <c r="B988" s="2" t="s">
        <v>2324</v>
      </c>
      <c r="C988" s="2" t="s">
        <v>1153</v>
      </c>
      <c r="D988" s="2" t="s">
        <v>911</v>
      </c>
      <c r="E988" s="2" t="s">
        <v>2315</v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 customFormat="false" ht="15" hidden="false" customHeight="false" outlineLevel="0" collapsed="false">
      <c r="A989" s="2" t="n">
        <v>3</v>
      </c>
      <c r="B989" s="2" t="s">
        <v>2325</v>
      </c>
      <c r="C989" s="2" t="s">
        <v>2326</v>
      </c>
      <c r="D989" s="2" t="s">
        <v>1211</v>
      </c>
      <c r="E989" s="2" t="s">
        <v>2327</v>
      </c>
      <c r="F989" s="2" t="n">
        <v>95194.8642154018</v>
      </c>
      <c r="G989" s="2" t="n">
        <v>0</v>
      </c>
      <c r="H989" s="2" t="n">
        <v>95194.8642154018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68.21</v>
      </c>
      <c r="BX989" s="2" t="n">
        <v>66.73</v>
      </c>
      <c r="BY989" s="2" t="n">
        <v>20.38</v>
      </c>
      <c r="BZ989" s="2" t="n">
        <v>73.15</v>
      </c>
      <c r="CA989" s="2" t="n">
        <v>71.67</v>
      </c>
      <c r="CB989" s="2" t="n">
        <v>20.38</v>
      </c>
      <c r="CC989" s="2" t="n">
        <v>78.08</v>
      </c>
      <c r="CD989" s="2" t="n">
        <v>76.6</v>
      </c>
      <c r="CE989" s="2" t="n">
        <v>20.38</v>
      </c>
      <c r="CF989" s="2" t="n">
        <v>83.26</v>
      </c>
      <c r="CG989" s="2" t="n">
        <v>81.78</v>
      </c>
      <c r="CH989" s="2" t="n">
        <v>20.38</v>
      </c>
      <c r="CI989" s="2" t="n">
        <v>88.19</v>
      </c>
      <c r="CJ989" s="2" t="n">
        <v>86.71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98.21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 customFormat="false" ht="15" hidden="false" customHeight="false" outlineLevel="0" collapsed="false">
      <c r="A990" s="2" t="n">
        <v>4</v>
      </c>
      <c r="B990" s="2" t="s">
        <v>2328</v>
      </c>
      <c r="C990" s="2" t="s">
        <v>2319</v>
      </c>
      <c r="D990" s="2" t="s">
        <v>1211</v>
      </c>
      <c r="E990" s="2" t="s">
        <v>2327</v>
      </c>
      <c r="F990" s="2" t="n">
        <v>47262.2242743394</v>
      </c>
      <c r="G990" s="2" t="n">
        <v>0</v>
      </c>
      <c r="H990" s="2" t="n">
        <v>47262.2242743394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68.21</v>
      </c>
      <c r="BX990" s="2" t="n">
        <v>66.73</v>
      </c>
      <c r="BY990" s="2" t="n">
        <v>20.38</v>
      </c>
      <c r="BZ990" s="2" t="n">
        <v>73.15</v>
      </c>
      <c r="CA990" s="2" t="n">
        <v>71.67</v>
      </c>
      <c r="CB990" s="2" t="n">
        <v>20.38</v>
      </c>
      <c r="CC990" s="2" t="n">
        <v>78.08</v>
      </c>
      <c r="CD990" s="2" t="n">
        <v>76.6</v>
      </c>
      <c r="CE990" s="2" t="n">
        <v>20.38</v>
      </c>
      <c r="CF990" s="2" t="n">
        <v>83.26</v>
      </c>
      <c r="CG990" s="2" t="n">
        <v>81.78</v>
      </c>
      <c r="CH990" s="2" t="n">
        <v>20.38</v>
      </c>
      <c r="CI990" s="2" t="n">
        <v>88.19</v>
      </c>
      <c r="CJ990" s="2" t="n">
        <v>86.71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98.21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 customFormat="false" ht="15" hidden="false" customHeight="false" outlineLevel="0" collapsed="false">
      <c r="A991" s="2" t="n">
        <v>4</v>
      </c>
      <c r="B991" s="2" t="s">
        <v>2329</v>
      </c>
      <c r="C991" s="2" t="s">
        <v>2321</v>
      </c>
      <c r="D991" s="2" t="s">
        <v>1211</v>
      </c>
      <c r="E991" s="2" t="s">
        <v>2327</v>
      </c>
      <c r="F991" s="2" t="n">
        <v>5251.23463606982</v>
      </c>
      <c r="G991" s="2" t="n">
        <v>0</v>
      </c>
      <c r="H991" s="2" t="n">
        <v>5251.23463606982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68.21</v>
      </c>
      <c r="BX991" s="2" t="n">
        <v>66.73</v>
      </c>
      <c r="BY991" s="2" t="n">
        <v>20.38</v>
      </c>
      <c r="BZ991" s="2" t="n">
        <v>73.15</v>
      </c>
      <c r="CA991" s="2" t="n">
        <v>71.67</v>
      </c>
      <c r="CB991" s="2" t="n">
        <v>20.38</v>
      </c>
      <c r="CC991" s="2" t="n">
        <v>78.08</v>
      </c>
      <c r="CD991" s="2" t="n">
        <v>76.6</v>
      </c>
      <c r="CE991" s="2" t="n">
        <v>20.38</v>
      </c>
      <c r="CF991" s="2" t="n">
        <v>83.26</v>
      </c>
      <c r="CG991" s="2" t="n">
        <v>81.78</v>
      </c>
      <c r="CH991" s="2" t="n">
        <v>20.38</v>
      </c>
      <c r="CI991" s="2" t="n">
        <v>88.19</v>
      </c>
      <c r="CJ991" s="2" t="n">
        <v>86.71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98.21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 customFormat="false" ht="15" hidden="false" customHeight="false" outlineLevel="0" collapsed="false">
      <c r="A992" s="2" t="n">
        <v>4</v>
      </c>
      <c r="B992" s="2" t="s">
        <v>2330</v>
      </c>
      <c r="C992" s="2" t="s">
        <v>2311</v>
      </c>
      <c r="D992" s="2" t="s">
        <v>1211</v>
      </c>
      <c r="E992" s="2" t="s">
        <v>2327</v>
      </c>
      <c r="F992" s="2" t="n">
        <v>42681.4053049925</v>
      </c>
      <c r="G992" s="2" t="n">
        <v>0</v>
      </c>
      <c r="H992" s="2" t="n">
        <v>42681.4053049925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68.21</v>
      </c>
      <c r="BX992" s="2" t="n">
        <v>66.73</v>
      </c>
      <c r="BY992" s="2" t="n">
        <v>20.38</v>
      </c>
      <c r="BZ992" s="2" t="n">
        <v>73.15</v>
      </c>
      <c r="CA992" s="2" t="n">
        <v>71.67</v>
      </c>
      <c r="CB992" s="2" t="n">
        <v>20.38</v>
      </c>
      <c r="CC992" s="2" t="n">
        <v>78.08</v>
      </c>
      <c r="CD992" s="2" t="n">
        <v>76.6</v>
      </c>
      <c r="CE992" s="2" t="n">
        <v>20.38</v>
      </c>
      <c r="CF992" s="2" t="n">
        <v>83.26</v>
      </c>
      <c r="CG992" s="2" t="n">
        <v>81.78</v>
      </c>
      <c r="CH992" s="2" t="n">
        <v>20.38</v>
      </c>
      <c r="CI992" s="2" t="n">
        <v>88.19</v>
      </c>
      <c r="CJ992" s="2" t="n">
        <v>86.71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98.21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 customFormat="false" ht="15" hidden="false" customHeight="false" outlineLevel="0" collapsed="false">
      <c r="A993" s="2" t="n">
        <v>3</v>
      </c>
      <c r="B993" s="2" t="s">
        <v>2331</v>
      </c>
      <c r="C993" s="2" t="s">
        <v>2332</v>
      </c>
      <c r="D993" s="2" t="s">
        <v>1211</v>
      </c>
      <c r="E993" s="2" t="s">
        <v>2327</v>
      </c>
      <c r="F993" s="2" t="n">
        <v>600668.782978008</v>
      </c>
      <c r="G993" s="2" t="n">
        <v>0</v>
      </c>
      <c r="H993" s="2" t="n">
        <v>600668.782978008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8.37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69.85</v>
      </c>
      <c r="CH993" s="2" t="n">
        <v>8.82</v>
      </c>
      <c r="CI993" s="2" t="n">
        <v>79.41</v>
      </c>
      <c r="CJ993" s="2" t="n">
        <v>77.21</v>
      </c>
      <c r="CK993" s="2" t="n">
        <v>8.82</v>
      </c>
      <c r="CL993" s="2" t="n">
        <v>87.63</v>
      </c>
      <c r="CM993" s="2" t="n">
        <v>85.29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 customFormat="false" ht="15" hidden="false" customHeight="false" outlineLevel="0" collapsed="false">
      <c r="A994" s="2" t="n">
        <v>4</v>
      </c>
      <c r="B994" s="2" t="s">
        <v>2333</v>
      </c>
      <c r="C994" s="2" t="s">
        <v>2334</v>
      </c>
      <c r="D994" s="2" t="s">
        <v>1211</v>
      </c>
      <c r="E994" s="2" t="s">
        <v>2327</v>
      </c>
      <c r="F994" s="2" t="n">
        <v>600668.782978008</v>
      </c>
      <c r="G994" s="2" t="n">
        <v>0</v>
      </c>
      <c r="H994" s="2" t="n">
        <v>600668.782978008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8.37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69.85</v>
      </c>
      <c r="CH994" s="2" t="n">
        <v>8.82</v>
      </c>
      <c r="CI994" s="2" t="n">
        <v>79.41</v>
      </c>
      <c r="CJ994" s="2" t="n">
        <v>77.21</v>
      </c>
      <c r="CK994" s="2" t="n">
        <v>8.82</v>
      </c>
      <c r="CL994" s="2" t="n">
        <v>87.63</v>
      </c>
      <c r="CM994" s="2" t="n">
        <v>85.29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 customFormat="false" ht="15" hidden="false" customHeight="false" outlineLevel="0" collapsed="false">
      <c r="A995" s="2" t="n">
        <v>3</v>
      </c>
      <c r="B995" s="2" t="s">
        <v>2335</v>
      </c>
      <c r="C995" s="2" t="s">
        <v>2336</v>
      </c>
      <c r="D995" s="2" t="s">
        <v>1446</v>
      </c>
      <c r="E995" s="2" t="s">
        <v>1888</v>
      </c>
      <c r="F995" s="2" t="n">
        <v>4525.11342469957</v>
      </c>
      <c r="G995" s="2" t="n">
        <v>0</v>
      </c>
      <c r="H995" s="2" t="n">
        <v>4525.11342469957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 customFormat="false" ht="15" hidden="false" customHeight="false" outlineLevel="0" collapsed="false">
      <c r="A996" s="2" t="n">
        <v>4</v>
      </c>
      <c r="B996" s="2" t="s">
        <v>2337</v>
      </c>
      <c r="C996" s="2" t="s">
        <v>2338</v>
      </c>
      <c r="D996" s="2" t="s">
        <v>1446</v>
      </c>
      <c r="E996" s="2" t="s">
        <v>1888</v>
      </c>
      <c r="F996" s="2" t="n">
        <v>4525.11342469957</v>
      </c>
      <c r="G996" s="2" t="n">
        <v>0</v>
      </c>
      <c r="H996" s="2" t="n">
        <v>4525.11342469957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 customFormat="false" ht="15" hidden="false" customHeight="false" outlineLevel="0" collapsed="false">
      <c r="A997" s="2" t="n">
        <v>1</v>
      </c>
      <c r="B997" s="2" t="s">
        <v>207</v>
      </c>
      <c r="C997" s="2" t="s">
        <v>208</v>
      </c>
      <c r="D997" s="2" t="s">
        <v>2339</v>
      </c>
      <c r="E997" s="2" t="s">
        <v>2340</v>
      </c>
      <c r="F997" s="2" t="n">
        <v>1576702.40952516</v>
      </c>
      <c r="G997" s="2" t="n">
        <v>0</v>
      </c>
      <c r="H997" s="2" t="n">
        <v>1576702.40952516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68.6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82.1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86.35</v>
      </c>
      <c r="DQ997" s="2" t="n">
        <v>85.92</v>
      </c>
      <c r="DR997" s="2" t="n">
        <v>0</v>
      </c>
      <c r="DS997" s="2" t="n">
        <v>88.45</v>
      </c>
      <c r="DT997" s="2" t="n">
        <v>88.21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 customFormat="false" ht="15" hidden="false" customHeight="false" outlineLevel="0" collapsed="false">
      <c r="A998" s="2" t="n">
        <v>2</v>
      </c>
      <c r="B998" s="2" t="s">
        <v>2341</v>
      </c>
      <c r="C998" s="2" t="s">
        <v>1967</v>
      </c>
      <c r="D998" s="2" t="s">
        <v>2339</v>
      </c>
      <c r="E998" s="2" t="s">
        <v>2340</v>
      </c>
      <c r="F998" s="2" t="n">
        <v>771.759271975684</v>
      </c>
      <c r="G998" s="2" t="n">
        <v>0</v>
      </c>
      <c r="H998" s="2" t="n">
        <v>771.759271975684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68.6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82.1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86.35</v>
      </c>
      <c r="DQ998" s="2" t="n">
        <v>85.92</v>
      </c>
      <c r="DR998" s="2" t="n">
        <v>0</v>
      </c>
      <c r="DS998" s="2" t="n">
        <v>88.45</v>
      </c>
      <c r="DT998" s="2" t="n">
        <v>88.21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 customFormat="false" ht="15" hidden="false" customHeight="false" outlineLevel="0" collapsed="false">
      <c r="A999" s="2" t="n">
        <v>3</v>
      </c>
      <c r="B999" s="2" t="s">
        <v>2342</v>
      </c>
      <c r="C999" s="2" t="s">
        <v>2343</v>
      </c>
      <c r="D999" s="2" t="s">
        <v>2339</v>
      </c>
      <c r="E999" s="2" t="s">
        <v>2340</v>
      </c>
      <c r="F999" s="2" t="n">
        <v>771.759271975684</v>
      </c>
      <c r="G999" s="2" t="n">
        <v>0</v>
      </c>
      <c r="H999" s="2" t="n">
        <v>771.759271975684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68.6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82.1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86.35</v>
      </c>
      <c r="DQ999" s="2" t="n">
        <v>85.92</v>
      </c>
      <c r="DR999" s="2" t="n">
        <v>0</v>
      </c>
      <c r="DS999" s="2" t="n">
        <v>88.45</v>
      </c>
      <c r="DT999" s="2" t="n">
        <v>88.21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 customFormat="false" ht="15" hidden="false" customHeight="false" outlineLevel="0" collapsed="false">
      <c r="A1000" s="2" t="n">
        <v>2</v>
      </c>
      <c r="B1000" s="2" t="s">
        <v>2344</v>
      </c>
      <c r="C1000" s="2" t="s">
        <v>2345</v>
      </c>
      <c r="D1000" s="2" t="s">
        <v>2339</v>
      </c>
      <c r="E1000" s="2" t="s">
        <v>2340</v>
      </c>
      <c r="F1000" s="2" t="n">
        <v>1384775.33025318</v>
      </c>
      <c r="G1000" s="2" t="n">
        <v>0</v>
      </c>
      <c r="H1000" s="2" t="n">
        <v>1384775.33025318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68.6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82.1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86.35</v>
      </c>
      <c r="DQ1000" s="2" t="n">
        <v>85.92</v>
      </c>
      <c r="DR1000" s="2" t="n">
        <v>0</v>
      </c>
      <c r="DS1000" s="2" t="n">
        <v>88.45</v>
      </c>
      <c r="DT1000" s="2" t="n">
        <v>88.21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 customFormat="false" ht="15" hidden="false" customHeight="false" outlineLevel="0" collapsed="false">
      <c r="A1001" s="2" t="n">
        <v>3</v>
      </c>
      <c r="B1001" s="2" t="s">
        <v>2346</v>
      </c>
      <c r="C1001" s="2" t="s">
        <v>2347</v>
      </c>
      <c r="D1001" s="2" t="s">
        <v>2339</v>
      </c>
      <c r="E1001" s="2" t="s">
        <v>2340</v>
      </c>
      <c r="F1001" s="2" t="n">
        <v>2316.31944118072</v>
      </c>
      <c r="G1001" s="2" t="n">
        <v>0</v>
      </c>
      <c r="H1001" s="2" t="n">
        <v>2316.31944118072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68.6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82.1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86.35</v>
      </c>
      <c r="DQ1001" s="2" t="n">
        <v>85.92</v>
      </c>
      <c r="DR1001" s="2" t="n">
        <v>0</v>
      </c>
      <c r="DS1001" s="2" t="n">
        <v>88.45</v>
      </c>
      <c r="DT1001" s="2" t="n">
        <v>88.21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 customFormat="false" ht="15" hidden="false" customHeight="false" outlineLevel="0" collapsed="false">
      <c r="A1002" s="2" t="n">
        <v>3</v>
      </c>
      <c r="B1002" s="2" t="s">
        <v>2348</v>
      </c>
      <c r="C1002" s="2" t="s">
        <v>2349</v>
      </c>
      <c r="D1002" s="2" t="s">
        <v>2339</v>
      </c>
      <c r="E1002" s="2" t="s">
        <v>2340</v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68.6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82.1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86.35</v>
      </c>
      <c r="DQ1002" s="2" t="n">
        <v>85.92</v>
      </c>
      <c r="DR1002" s="2" t="n">
        <v>0</v>
      </c>
      <c r="DS1002" s="2" t="n">
        <v>88.45</v>
      </c>
      <c r="DT1002" s="2" t="n">
        <v>88.21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 customFormat="false" ht="15" hidden="false" customHeight="false" outlineLevel="0" collapsed="false">
      <c r="A1003" s="2" t="n">
        <v>3</v>
      </c>
      <c r="B1003" s="2" t="s">
        <v>2350</v>
      </c>
      <c r="C1003" s="2" t="s">
        <v>2351</v>
      </c>
      <c r="D1003" s="2" t="s">
        <v>2339</v>
      </c>
      <c r="E1003" s="2" t="s">
        <v>2340</v>
      </c>
      <c r="F1003" s="2" t="n">
        <v>4708.79625</v>
      </c>
      <c r="G1003" s="2" t="n">
        <v>0</v>
      </c>
      <c r="H1003" s="2" t="n">
        <v>4708.79625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68.6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82.1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86.35</v>
      </c>
      <c r="DQ1003" s="2" t="n">
        <v>85.92</v>
      </c>
      <c r="DR1003" s="2" t="n">
        <v>0</v>
      </c>
      <c r="DS1003" s="2" t="n">
        <v>88.45</v>
      </c>
      <c r="DT1003" s="2" t="n">
        <v>88.21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 customFormat="false" ht="15" hidden="false" customHeight="false" outlineLevel="0" collapsed="false">
      <c r="A1004" s="2" t="n">
        <v>3</v>
      </c>
      <c r="B1004" s="2" t="s">
        <v>2352</v>
      </c>
      <c r="C1004" s="2" t="s">
        <v>2353</v>
      </c>
      <c r="D1004" s="2" t="s">
        <v>2339</v>
      </c>
      <c r="E1004" s="2" t="s">
        <v>2340</v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68.6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82.1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86.35</v>
      </c>
      <c r="DQ1004" s="2" t="n">
        <v>85.92</v>
      </c>
      <c r="DR1004" s="2" t="n">
        <v>0</v>
      </c>
      <c r="DS1004" s="2" t="n">
        <v>88.45</v>
      </c>
      <c r="DT1004" s="2" t="n">
        <v>88.21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 customFormat="false" ht="15" hidden="false" customHeight="false" outlineLevel="0" collapsed="false">
      <c r="A1005" s="2" t="n">
        <v>2</v>
      </c>
      <c r="B1005" s="2" t="s">
        <v>2354</v>
      </c>
      <c r="C1005" s="2" t="s">
        <v>2355</v>
      </c>
      <c r="D1005" s="2" t="s">
        <v>2339</v>
      </c>
      <c r="E1005" s="2" t="s">
        <v>2340</v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68.6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82.1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86.35</v>
      </c>
      <c r="DQ1005" s="2" t="n">
        <v>85.92</v>
      </c>
      <c r="DR1005" s="2" t="n">
        <v>0</v>
      </c>
      <c r="DS1005" s="2" t="n">
        <v>88.45</v>
      </c>
      <c r="DT1005" s="2" t="n">
        <v>88.21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 customFormat="false" ht="15" hidden="false" customHeight="false" outlineLevel="0" collapsed="false">
      <c r="A1006" s="2" t="n">
        <v>3</v>
      </c>
      <c r="B1006" s="2" t="s">
        <v>2356</v>
      </c>
      <c r="C1006" s="2" t="s">
        <v>2357</v>
      </c>
      <c r="D1006" s="2" t="s">
        <v>2339</v>
      </c>
      <c r="E1006" s="2" t="s">
        <v>2340</v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68.6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82.1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86.35</v>
      </c>
      <c r="DQ1006" s="2" t="n">
        <v>85.92</v>
      </c>
      <c r="DR1006" s="2" t="n">
        <v>0</v>
      </c>
      <c r="DS1006" s="2" t="n">
        <v>88.45</v>
      </c>
      <c r="DT1006" s="2" t="n">
        <v>88.21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 customFormat="false" ht="15" hidden="false" customHeight="false" outlineLevel="0" collapsed="false">
      <c r="A1007" s="2" t="n">
        <v>3</v>
      </c>
      <c r="B1007" s="2" t="s">
        <v>2358</v>
      </c>
      <c r="C1007" s="2" t="s">
        <v>2359</v>
      </c>
      <c r="D1007" s="2" t="s">
        <v>2339</v>
      </c>
      <c r="E1007" s="2" t="s">
        <v>2340</v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68.6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82.1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86.35</v>
      </c>
      <c r="DQ1007" s="2" t="n">
        <v>85.92</v>
      </c>
      <c r="DR1007" s="2" t="n">
        <v>0</v>
      </c>
      <c r="DS1007" s="2" t="n">
        <v>88.45</v>
      </c>
      <c r="DT1007" s="2" t="n">
        <v>88.21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 customFormat="false" ht="15" hidden="false" customHeight="false" outlineLevel="0" collapsed="false">
      <c r="A1008" s="2" t="n">
        <v>1</v>
      </c>
      <c r="B1008" s="2" t="s">
        <v>210</v>
      </c>
      <c r="C1008" s="2" t="s">
        <v>211</v>
      </c>
      <c r="D1008" s="2" t="s">
        <v>1415</v>
      </c>
      <c r="E1008" s="2" t="s">
        <v>1381</v>
      </c>
      <c r="F1008" s="2" t="n">
        <v>1983891.68606639</v>
      </c>
      <c r="G1008" s="2" t="n">
        <v>0</v>
      </c>
      <c r="H1008" s="2" t="n">
        <v>1983891.68606639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</v>
      </c>
      <c r="DZ1008" s="2" t="n">
        <v>65.75</v>
      </c>
      <c r="EA1008" s="2" t="n">
        <v>0</v>
      </c>
      <c r="EB1008" s="2" t="n">
        <v>79.55</v>
      </c>
      <c r="EC1008" s="2" t="n">
        <v>77.1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 customFormat="false" ht="15" hidden="false" customHeight="false" outlineLevel="0" collapsed="false">
      <c r="A1009" s="2" t="n">
        <v>2</v>
      </c>
      <c r="B1009" s="2" t="s">
        <v>2360</v>
      </c>
      <c r="C1009" s="2" t="s">
        <v>2361</v>
      </c>
      <c r="D1009" s="2" t="s">
        <v>1415</v>
      </c>
      <c r="E1009" s="2" t="s">
        <v>1381</v>
      </c>
      <c r="F1009" s="2" t="n">
        <v>509153.277699865</v>
      </c>
      <c r="G1009" s="2" t="n">
        <v>0</v>
      </c>
      <c r="H1009" s="2" t="n">
        <v>509153.277699865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</v>
      </c>
      <c r="DZ1009" s="2" t="n">
        <v>65.75</v>
      </c>
      <c r="EA1009" s="2" t="n">
        <v>0</v>
      </c>
      <c r="EB1009" s="2" t="n">
        <v>79.55</v>
      </c>
      <c r="EC1009" s="2" t="n">
        <v>77.1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 customFormat="false" ht="15" hidden="false" customHeight="false" outlineLevel="0" collapsed="false">
      <c r="A1010" s="2" t="n">
        <v>3</v>
      </c>
      <c r="B1010" s="2" t="s">
        <v>2362</v>
      </c>
      <c r="C1010" s="2" t="s">
        <v>2363</v>
      </c>
      <c r="D1010" s="2" t="s">
        <v>1415</v>
      </c>
      <c r="E1010" s="2" t="s">
        <v>1381</v>
      </c>
      <c r="F1010" s="2" t="n">
        <v>300930.720597589</v>
      </c>
      <c r="G1010" s="2" t="n">
        <v>0</v>
      </c>
      <c r="H1010" s="2" t="n">
        <v>300930.720597589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</v>
      </c>
      <c r="DZ1010" s="2" t="n">
        <v>65.75</v>
      </c>
      <c r="EA1010" s="2" t="n">
        <v>0</v>
      </c>
      <c r="EB1010" s="2" t="n">
        <v>79.55</v>
      </c>
      <c r="EC1010" s="2" t="n">
        <v>77.1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 customFormat="false" ht="15" hidden="false" customHeight="false" outlineLevel="0" collapsed="false">
      <c r="A1011" s="2" t="n">
        <v>3</v>
      </c>
      <c r="B1011" s="2" t="s">
        <v>2364</v>
      </c>
      <c r="C1011" s="2" t="s">
        <v>2365</v>
      </c>
      <c r="D1011" s="2" t="s">
        <v>1415</v>
      </c>
      <c r="E1011" s="2" t="s">
        <v>1381</v>
      </c>
      <c r="F1011" s="2" t="n">
        <v>58877.7496821369</v>
      </c>
      <c r="G1011" s="2" t="n">
        <v>0</v>
      </c>
      <c r="H1011" s="2" t="n">
        <v>58877.7496821369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</v>
      </c>
      <c r="DZ1011" s="2" t="n">
        <v>65.75</v>
      </c>
      <c r="EA1011" s="2" t="n">
        <v>0</v>
      </c>
      <c r="EB1011" s="2" t="n">
        <v>79.55</v>
      </c>
      <c r="EC1011" s="2" t="n">
        <v>77.1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 customFormat="false" ht="15" hidden="false" customHeight="false" outlineLevel="0" collapsed="false">
      <c r="A1012" s="2" t="n">
        <v>3</v>
      </c>
      <c r="B1012" s="2" t="s">
        <v>2366</v>
      </c>
      <c r="C1012" s="2" t="s">
        <v>2367</v>
      </c>
      <c r="D1012" s="2" t="s">
        <v>1415</v>
      </c>
      <c r="E1012" s="2" t="s">
        <v>1381</v>
      </c>
      <c r="F1012" s="2" t="n">
        <v>3030.18609345205</v>
      </c>
      <c r="G1012" s="2" t="n">
        <v>0</v>
      </c>
      <c r="H1012" s="2" t="n">
        <v>3030.18609345205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</v>
      </c>
      <c r="DZ1012" s="2" t="n">
        <v>65.75</v>
      </c>
      <c r="EA1012" s="2" t="n">
        <v>0</v>
      </c>
      <c r="EB1012" s="2" t="n">
        <v>79.55</v>
      </c>
      <c r="EC1012" s="2" t="n">
        <v>77.1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 customFormat="false" ht="15" hidden="false" customHeight="false" outlineLevel="0" collapsed="false">
      <c r="A1013" s="2" t="n">
        <v>3</v>
      </c>
      <c r="B1013" s="2" t="s">
        <v>2368</v>
      </c>
      <c r="C1013" s="2" t="s">
        <v>2369</v>
      </c>
      <c r="D1013" s="2" t="s">
        <v>1415</v>
      </c>
      <c r="E1013" s="2" t="s">
        <v>1381</v>
      </c>
      <c r="F1013" s="2" t="n">
        <v>1596.58609345205</v>
      </c>
      <c r="G1013" s="2" t="n">
        <v>0</v>
      </c>
      <c r="H1013" s="2" t="n">
        <v>1596.58609345205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</v>
      </c>
      <c r="DZ1013" s="2" t="n">
        <v>65.75</v>
      </c>
      <c r="EA1013" s="2" t="n">
        <v>0</v>
      </c>
      <c r="EB1013" s="2" t="n">
        <v>79.55</v>
      </c>
      <c r="EC1013" s="2" t="n">
        <v>77.1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 customFormat="false" ht="15" hidden="false" customHeight="false" outlineLevel="0" collapsed="false">
      <c r="A1014" s="2" t="n">
        <v>3</v>
      </c>
      <c r="B1014" s="2" t="s">
        <v>2370</v>
      </c>
      <c r="C1014" s="2" t="s">
        <v>2371</v>
      </c>
      <c r="D1014" s="2" t="s">
        <v>1415</v>
      </c>
      <c r="E1014" s="2" t="s">
        <v>1381</v>
      </c>
      <c r="F1014" s="2" t="n">
        <v>22921.0176166179</v>
      </c>
      <c r="G1014" s="2" t="n">
        <v>0</v>
      </c>
      <c r="H1014" s="2" t="n">
        <v>22921.0176166179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</v>
      </c>
      <c r="DZ1014" s="2" t="n">
        <v>65.75</v>
      </c>
      <c r="EA1014" s="2" t="n">
        <v>0</v>
      </c>
      <c r="EB1014" s="2" t="n">
        <v>79.55</v>
      </c>
      <c r="EC1014" s="2" t="n">
        <v>77.1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 customFormat="false" ht="15" hidden="false" customHeight="false" outlineLevel="0" collapsed="false">
      <c r="A1015" s="2" t="n">
        <v>3</v>
      </c>
      <c r="B1015" s="2" t="s">
        <v>2372</v>
      </c>
      <c r="C1015" s="2" t="s">
        <v>2373</v>
      </c>
      <c r="D1015" s="2" t="s">
        <v>1415</v>
      </c>
      <c r="E1015" s="2" t="s">
        <v>1381</v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</v>
      </c>
      <c r="DZ1015" s="2" t="n">
        <v>65.75</v>
      </c>
      <c r="EA1015" s="2" t="n">
        <v>0</v>
      </c>
      <c r="EB1015" s="2" t="n">
        <v>79.55</v>
      </c>
      <c r="EC1015" s="2" t="n">
        <v>77.1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 customFormat="false" ht="15" hidden="false" customHeight="false" outlineLevel="0" collapsed="false">
      <c r="A1016" s="2" t="n">
        <v>3</v>
      </c>
      <c r="B1016" s="2" t="s">
        <v>2374</v>
      </c>
      <c r="C1016" s="2" t="s">
        <v>2375</v>
      </c>
      <c r="D1016" s="2" t="s">
        <v>1415</v>
      </c>
      <c r="E1016" s="2" t="s">
        <v>1381</v>
      </c>
      <c r="F1016" s="2" t="n">
        <v>109736.06107458</v>
      </c>
      <c r="G1016" s="2" t="n">
        <v>0</v>
      </c>
      <c r="H1016" s="2" t="n">
        <v>109736.06107458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</v>
      </c>
      <c r="DZ1016" s="2" t="n">
        <v>65.75</v>
      </c>
      <c r="EA1016" s="2" t="n">
        <v>0</v>
      </c>
      <c r="EB1016" s="2" t="n">
        <v>79.55</v>
      </c>
      <c r="EC1016" s="2" t="n">
        <v>77.1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 customFormat="false" ht="15" hidden="false" customHeight="false" outlineLevel="0" collapsed="false">
      <c r="A1017" s="2" t="n">
        <v>3</v>
      </c>
      <c r="B1017" s="2" t="s">
        <v>2376</v>
      </c>
      <c r="C1017" s="2" t="s">
        <v>2377</v>
      </c>
      <c r="D1017" s="2" t="s">
        <v>1415</v>
      </c>
      <c r="E1017" s="2" t="s">
        <v>1381</v>
      </c>
      <c r="F1017" s="2" t="n">
        <v>10864.9565420377</v>
      </c>
      <c r="G1017" s="2" t="n">
        <v>0</v>
      </c>
      <c r="H1017" s="2" t="n">
        <v>10864.9565420377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</v>
      </c>
      <c r="DZ1017" s="2" t="n">
        <v>65.75</v>
      </c>
      <c r="EA1017" s="2" t="n">
        <v>0</v>
      </c>
      <c r="EB1017" s="2" t="n">
        <v>79.55</v>
      </c>
      <c r="EC1017" s="2" t="n">
        <v>77.1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 customFormat="false" ht="15" hidden="false" customHeight="false" outlineLevel="0" collapsed="false">
      <c r="A1018" s="2" t="n">
        <v>2</v>
      </c>
      <c r="B1018" s="2" t="s">
        <v>2378</v>
      </c>
      <c r="C1018" s="2" t="s">
        <v>2379</v>
      </c>
      <c r="D1018" s="2" t="s">
        <v>1415</v>
      </c>
      <c r="E1018" s="2" t="s">
        <v>1381</v>
      </c>
      <c r="F1018" s="2" t="n">
        <v>667273.452307501</v>
      </c>
      <c r="G1018" s="2" t="n">
        <v>0</v>
      </c>
      <c r="H1018" s="2" t="n">
        <v>667273.452307501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</v>
      </c>
      <c r="DZ1018" s="2" t="n">
        <v>65.75</v>
      </c>
      <c r="EA1018" s="2" t="n">
        <v>0</v>
      </c>
      <c r="EB1018" s="2" t="n">
        <v>79.55</v>
      </c>
      <c r="EC1018" s="2" t="n">
        <v>77.1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 customFormat="false" ht="15" hidden="false" customHeight="false" outlineLevel="0" collapsed="false">
      <c r="A1019" s="2" t="n">
        <v>3</v>
      </c>
      <c r="B1019" s="2" t="s">
        <v>2380</v>
      </c>
      <c r="C1019" s="2" t="s">
        <v>2381</v>
      </c>
      <c r="D1019" s="2" t="s">
        <v>1415</v>
      </c>
      <c r="E1019" s="2" t="s">
        <v>1381</v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</v>
      </c>
      <c r="DZ1019" s="2" t="n">
        <v>65.75</v>
      </c>
      <c r="EA1019" s="2" t="n">
        <v>0</v>
      </c>
      <c r="EB1019" s="2" t="n">
        <v>79.55</v>
      </c>
      <c r="EC1019" s="2" t="n">
        <v>77.1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 customFormat="false" ht="15" hidden="false" customHeight="false" outlineLevel="0" collapsed="false">
      <c r="A1020" s="2" t="n">
        <v>3</v>
      </c>
      <c r="B1020" s="2" t="s">
        <v>2382</v>
      </c>
      <c r="C1020" s="2" t="s">
        <v>2383</v>
      </c>
      <c r="D1020" s="2" t="s">
        <v>1415</v>
      </c>
      <c r="E1020" s="2" t="s">
        <v>1381</v>
      </c>
      <c r="F1020" s="2" t="n">
        <v>11950.2053083287</v>
      </c>
      <c r="G1020" s="2" t="n">
        <v>0</v>
      </c>
      <c r="H1020" s="2" t="n">
        <v>11950.2053083287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</v>
      </c>
      <c r="DZ1020" s="2" t="n">
        <v>65.75</v>
      </c>
      <c r="EA1020" s="2" t="n">
        <v>0</v>
      </c>
      <c r="EB1020" s="2" t="n">
        <v>79.55</v>
      </c>
      <c r="EC1020" s="2" t="n">
        <v>77.1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 customFormat="false" ht="15" hidden="false" customHeight="false" outlineLevel="0" collapsed="false">
      <c r="A1021" s="2" t="n">
        <v>3</v>
      </c>
      <c r="B1021" s="2" t="s">
        <v>2384</v>
      </c>
      <c r="C1021" s="2" t="s">
        <v>2385</v>
      </c>
      <c r="D1021" s="2" t="s">
        <v>1415</v>
      </c>
      <c r="E1021" s="2" t="s">
        <v>1381</v>
      </c>
      <c r="F1021" s="2" t="n">
        <v>2473.58609345205</v>
      </c>
      <c r="G1021" s="2" t="n">
        <v>0</v>
      </c>
      <c r="H1021" s="2" t="n">
        <v>2473.58609345205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</v>
      </c>
      <c r="DZ1021" s="2" t="n">
        <v>65.75</v>
      </c>
      <c r="EA1021" s="2" t="n">
        <v>0</v>
      </c>
      <c r="EB1021" s="2" t="n">
        <v>79.55</v>
      </c>
      <c r="EC1021" s="2" t="n">
        <v>77.1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 customFormat="false" ht="15" hidden="false" customHeight="false" outlineLevel="0" collapsed="false">
      <c r="A1022" s="2" t="n">
        <v>3</v>
      </c>
      <c r="B1022" s="2" t="s">
        <v>2386</v>
      </c>
      <c r="C1022" s="2" t="s">
        <v>2387</v>
      </c>
      <c r="D1022" s="2" t="s">
        <v>1415</v>
      </c>
      <c r="E1022" s="2" t="s">
        <v>1381</v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</v>
      </c>
      <c r="DZ1022" s="2" t="n">
        <v>65.75</v>
      </c>
      <c r="EA1022" s="2" t="n">
        <v>0</v>
      </c>
      <c r="EB1022" s="2" t="n">
        <v>79.55</v>
      </c>
      <c r="EC1022" s="2" t="n">
        <v>77.1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 customFormat="false" ht="15" hidden="false" customHeight="false" outlineLevel="0" collapsed="false">
      <c r="A1023" s="2" t="n">
        <v>3</v>
      </c>
      <c r="B1023" s="2" t="s">
        <v>2388</v>
      </c>
      <c r="C1023" s="2" t="s">
        <v>2389</v>
      </c>
      <c r="D1023" s="2" t="s">
        <v>1415</v>
      </c>
      <c r="E1023" s="2" t="s">
        <v>1381</v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</v>
      </c>
      <c r="DZ1023" s="2" t="n">
        <v>65.75</v>
      </c>
      <c r="EA1023" s="2" t="n">
        <v>0</v>
      </c>
      <c r="EB1023" s="2" t="n">
        <v>79.55</v>
      </c>
      <c r="EC1023" s="2" t="n">
        <v>77.1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 customFormat="false" ht="15" hidden="false" customHeight="false" outlineLevel="0" collapsed="false">
      <c r="A1024" s="2" t="n">
        <v>3</v>
      </c>
      <c r="B1024" s="2" t="s">
        <v>2390</v>
      </c>
      <c r="C1024" s="2" t="s">
        <v>2391</v>
      </c>
      <c r="D1024" s="2" t="s">
        <v>1415</v>
      </c>
      <c r="E1024" s="2" t="s">
        <v>1381</v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</v>
      </c>
      <c r="DZ1024" s="2" t="n">
        <v>65.75</v>
      </c>
      <c r="EA1024" s="2" t="n">
        <v>0</v>
      </c>
      <c r="EB1024" s="2" t="n">
        <v>79.55</v>
      </c>
      <c r="EC1024" s="2" t="n">
        <v>77.1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 customFormat="false" ht="15" hidden="false" customHeight="false" outlineLevel="0" collapsed="false">
      <c r="A1025" s="2" t="n">
        <v>3</v>
      </c>
      <c r="B1025" s="2" t="s">
        <v>2392</v>
      </c>
      <c r="C1025" s="2" t="s">
        <v>2393</v>
      </c>
      <c r="D1025" s="2" t="s">
        <v>1415</v>
      </c>
      <c r="E1025" s="2" t="s">
        <v>1381</v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</v>
      </c>
      <c r="DZ1025" s="2" t="n">
        <v>65.75</v>
      </c>
      <c r="EA1025" s="2" t="n">
        <v>0</v>
      </c>
      <c r="EB1025" s="2" t="n">
        <v>79.55</v>
      </c>
      <c r="EC1025" s="2" t="n">
        <v>77.1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 customFormat="false" ht="15" hidden="false" customHeight="false" outlineLevel="0" collapsed="false">
      <c r="A1026" s="2" t="n">
        <v>3</v>
      </c>
      <c r="B1026" s="2" t="s">
        <v>2394</v>
      </c>
      <c r="C1026" s="2" t="s">
        <v>2395</v>
      </c>
      <c r="D1026" s="2" t="s">
        <v>1415</v>
      </c>
      <c r="E1026" s="2" t="s">
        <v>1381</v>
      </c>
      <c r="F1026" s="2" t="n">
        <v>85586.6457592486</v>
      </c>
      <c r="G1026" s="2" t="n">
        <v>0</v>
      </c>
      <c r="H1026" s="2" t="n">
        <v>85586.6457592486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</v>
      </c>
      <c r="DZ1026" s="2" t="n">
        <v>65.75</v>
      </c>
      <c r="EA1026" s="2" t="n">
        <v>0</v>
      </c>
      <c r="EB1026" s="2" t="n">
        <v>79.55</v>
      </c>
      <c r="EC1026" s="2" t="n">
        <v>77.1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 customFormat="false" ht="15" hidden="false" customHeight="false" outlineLevel="0" collapsed="false">
      <c r="A1027" s="2" t="n">
        <v>3</v>
      </c>
      <c r="B1027" s="2" t="s">
        <v>2396</v>
      </c>
      <c r="C1027" s="2" t="s">
        <v>2397</v>
      </c>
      <c r="D1027" s="2" t="s">
        <v>1415</v>
      </c>
      <c r="E1027" s="2" t="s">
        <v>1381</v>
      </c>
      <c r="F1027" s="2" t="n">
        <v>5531.61522195847</v>
      </c>
      <c r="G1027" s="2" t="n">
        <v>0</v>
      </c>
      <c r="H1027" s="2" t="n">
        <v>5531.61522195847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</v>
      </c>
      <c r="DZ1027" s="2" t="n">
        <v>65.75</v>
      </c>
      <c r="EA1027" s="2" t="n">
        <v>0</v>
      </c>
      <c r="EB1027" s="2" t="n">
        <v>79.55</v>
      </c>
      <c r="EC1027" s="2" t="n">
        <v>77.1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 customFormat="false" ht="15" hidden="false" customHeight="false" outlineLevel="0" collapsed="false">
      <c r="A1028" s="2" t="n">
        <v>3</v>
      </c>
      <c r="B1028" s="2" t="s">
        <v>2398</v>
      </c>
      <c r="C1028" s="2" t="s">
        <v>2399</v>
      </c>
      <c r="D1028" s="2" t="s">
        <v>1415</v>
      </c>
      <c r="E1028" s="2" t="s">
        <v>1381</v>
      </c>
      <c r="F1028" s="2" t="n">
        <v>4916.99130840753</v>
      </c>
      <c r="G1028" s="2" t="n">
        <v>0</v>
      </c>
      <c r="H1028" s="2" t="n">
        <v>4916.99130840753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</v>
      </c>
      <c r="DZ1028" s="2" t="n">
        <v>65.75</v>
      </c>
      <c r="EA1028" s="2" t="n">
        <v>0</v>
      </c>
      <c r="EB1028" s="2" t="n">
        <v>79.55</v>
      </c>
      <c r="EC1028" s="2" t="n">
        <v>77.1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 customFormat="false" ht="15" hidden="false" customHeight="false" outlineLevel="0" collapsed="false">
      <c r="A1029" s="2" t="n">
        <v>3</v>
      </c>
      <c r="B1029" s="2" t="s">
        <v>2400</v>
      </c>
      <c r="C1029" s="2" t="s">
        <v>2401</v>
      </c>
      <c r="D1029" s="2" t="s">
        <v>1415</v>
      </c>
      <c r="E1029" s="2" t="s">
        <v>1381</v>
      </c>
      <c r="F1029" s="2" t="n">
        <v>171674.645759249</v>
      </c>
      <c r="G1029" s="2" t="n">
        <v>0</v>
      </c>
      <c r="H1029" s="2" t="n">
        <v>171674.645759249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</v>
      </c>
      <c r="DZ1029" s="2" t="n">
        <v>65.75</v>
      </c>
      <c r="EA1029" s="2" t="n">
        <v>0</v>
      </c>
      <c r="EB1029" s="2" t="n">
        <v>79.55</v>
      </c>
      <c r="EC1029" s="2" t="n">
        <v>77.1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 customFormat="false" ht="15" hidden="false" customHeight="false" outlineLevel="0" collapsed="false">
      <c r="A1030" s="2" t="n">
        <v>3</v>
      </c>
      <c r="B1030" s="2" t="s">
        <v>2402</v>
      </c>
      <c r="C1030" s="2" t="s">
        <v>2371</v>
      </c>
      <c r="D1030" s="2" t="s">
        <v>1415</v>
      </c>
      <c r="E1030" s="2" t="s">
        <v>1381</v>
      </c>
      <c r="F1030" s="2" t="n">
        <v>22662.8980488632</v>
      </c>
      <c r="G1030" s="2" t="n">
        <v>0</v>
      </c>
      <c r="H1030" s="2" t="n">
        <v>22662.8980488632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</v>
      </c>
      <c r="DZ1030" s="2" t="n">
        <v>65.75</v>
      </c>
      <c r="EA1030" s="2" t="n">
        <v>0</v>
      </c>
      <c r="EB1030" s="2" t="n">
        <v>79.55</v>
      </c>
      <c r="EC1030" s="2" t="n">
        <v>77.1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 customFormat="false" ht="15" hidden="false" customHeight="false" outlineLevel="0" collapsed="false">
      <c r="A1031" s="2" t="n">
        <v>3</v>
      </c>
      <c r="B1031" s="2" t="s">
        <v>2403</v>
      </c>
      <c r="C1031" s="2" t="s">
        <v>2404</v>
      </c>
      <c r="D1031" s="2" t="s">
        <v>1415</v>
      </c>
      <c r="E1031" s="2" t="s">
        <v>1381</v>
      </c>
      <c r="F1031" s="2" t="n">
        <v>77098.8980488632</v>
      </c>
      <c r="G1031" s="2" t="n">
        <v>0</v>
      </c>
      <c r="H1031" s="2" t="n">
        <v>77098.8980488632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</v>
      </c>
      <c r="DZ1031" s="2" t="n">
        <v>65.75</v>
      </c>
      <c r="EA1031" s="2" t="n">
        <v>0</v>
      </c>
      <c r="EB1031" s="2" t="n">
        <v>79.55</v>
      </c>
      <c r="EC1031" s="2" t="n">
        <v>77.1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 customFormat="false" ht="15" hidden="false" customHeight="false" outlineLevel="0" collapsed="false">
      <c r="A1032" s="2" t="n">
        <v>3</v>
      </c>
      <c r="B1032" s="2" t="s">
        <v>2405</v>
      </c>
      <c r="C1032" s="2" t="s">
        <v>2406</v>
      </c>
      <c r="D1032" s="2" t="s">
        <v>1415</v>
      </c>
      <c r="E1032" s="2" t="s">
        <v>1381</v>
      </c>
      <c r="F1032" s="2" t="n">
        <v>88007.0349998029</v>
      </c>
      <c r="G1032" s="2" t="n">
        <v>0</v>
      </c>
      <c r="H1032" s="2" t="n">
        <v>88007.0349998029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</v>
      </c>
      <c r="DZ1032" s="2" t="n">
        <v>65.75</v>
      </c>
      <c r="EA1032" s="2" t="n">
        <v>0</v>
      </c>
      <c r="EB1032" s="2" t="n">
        <v>79.55</v>
      </c>
      <c r="EC1032" s="2" t="n">
        <v>77.1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 customFormat="false" ht="15" hidden="false" customHeight="false" outlineLevel="0" collapsed="false">
      <c r="A1033" s="2" t="n">
        <v>3</v>
      </c>
      <c r="B1033" s="2" t="s">
        <v>2407</v>
      </c>
      <c r="C1033" s="2" t="s">
        <v>2408</v>
      </c>
      <c r="D1033" s="2" t="s">
        <v>1415</v>
      </c>
      <c r="E1033" s="2" t="s">
        <v>1381</v>
      </c>
      <c r="F1033" s="2" t="n">
        <v>411.247827101883</v>
      </c>
      <c r="G1033" s="2" t="n">
        <v>0</v>
      </c>
      <c r="H1033" s="2" t="n">
        <v>411.247827101883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</v>
      </c>
      <c r="DZ1033" s="2" t="n">
        <v>65.75</v>
      </c>
      <c r="EA1033" s="2" t="n">
        <v>0</v>
      </c>
      <c r="EB1033" s="2" t="n">
        <v>79.55</v>
      </c>
      <c r="EC1033" s="2" t="n">
        <v>77.1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 customFormat="false" ht="15" hidden="false" customHeight="false" outlineLevel="0" collapsed="false">
      <c r="A1034" s="2" t="n">
        <v>3</v>
      </c>
      <c r="B1034" s="2" t="s">
        <v>2409</v>
      </c>
      <c r="C1034" s="2" t="s">
        <v>2410</v>
      </c>
      <c r="D1034" s="2" t="s">
        <v>1415</v>
      </c>
      <c r="E1034" s="2" t="s">
        <v>1381</v>
      </c>
      <c r="F1034" s="2" t="n">
        <v>320.615221958472</v>
      </c>
      <c r="G1034" s="2" t="n">
        <v>0</v>
      </c>
      <c r="H1034" s="2" t="n">
        <v>320.615221958472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</v>
      </c>
      <c r="DZ1034" s="2" t="n">
        <v>65.75</v>
      </c>
      <c r="EA1034" s="2" t="n">
        <v>0</v>
      </c>
      <c r="EB1034" s="2" t="n">
        <v>79.55</v>
      </c>
      <c r="EC1034" s="2" t="n">
        <v>77.1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 customFormat="false" ht="15" hidden="false" customHeight="false" outlineLevel="0" collapsed="false">
      <c r="A1035" s="2" t="n">
        <v>2</v>
      </c>
      <c r="B1035" s="2" t="s">
        <v>2411</v>
      </c>
      <c r="C1035" s="2" t="s">
        <v>2412</v>
      </c>
      <c r="D1035" s="2" t="s">
        <v>1415</v>
      </c>
      <c r="E1035" s="2" t="s">
        <v>1381</v>
      </c>
      <c r="F1035" s="2" t="n">
        <v>228850.473364195</v>
      </c>
      <c r="G1035" s="2" t="n">
        <v>0</v>
      </c>
      <c r="H1035" s="2" t="n">
        <v>228850.473364195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</v>
      </c>
      <c r="DZ1035" s="2" t="n">
        <v>65.75</v>
      </c>
      <c r="EA1035" s="2" t="n">
        <v>0</v>
      </c>
      <c r="EB1035" s="2" t="n">
        <v>79.55</v>
      </c>
      <c r="EC1035" s="2" t="n">
        <v>77.1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 customFormat="false" ht="15" hidden="false" customHeight="false" outlineLevel="0" collapsed="false">
      <c r="A1036" s="2" t="n">
        <v>3</v>
      </c>
      <c r="B1036" s="2" t="s">
        <v>2413</v>
      </c>
      <c r="C1036" s="2" t="s">
        <v>2414</v>
      </c>
      <c r="D1036" s="2" t="s">
        <v>1415</v>
      </c>
      <c r="E1036" s="2" t="s">
        <v>1381</v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</v>
      </c>
      <c r="DZ1036" s="2" t="n">
        <v>65.75</v>
      </c>
      <c r="EA1036" s="2" t="n">
        <v>0</v>
      </c>
      <c r="EB1036" s="2" t="n">
        <v>79.55</v>
      </c>
      <c r="EC1036" s="2" t="n">
        <v>77.1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 customFormat="false" ht="15" hidden="false" customHeight="false" outlineLevel="0" collapsed="false">
      <c r="A1037" s="2" t="n">
        <v>3</v>
      </c>
      <c r="B1037" s="2" t="s">
        <v>2415</v>
      </c>
      <c r="C1037" s="2" t="s">
        <v>2416</v>
      </c>
      <c r="D1037" s="2" t="s">
        <v>1415</v>
      </c>
      <c r="E1037" s="2" t="s">
        <v>1381</v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</v>
      </c>
      <c r="DZ1037" s="2" t="n">
        <v>65.75</v>
      </c>
      <c r="EA1037" s="2" t="n">
        <v>0</v>
      </c>
      <c r="EB1037" s="2" t="n">
        <v>79.55</v>
      </c>
      <c r="EC1037" s="2" t="n">
        <v>77.1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 customFormat="false" ht="15" hidden="false" customHeight="false" outlineLevel="0" collapsed="false">
      <c r="A1038" s="2" t="n">
        <v>3</v>
      </c>
      <c r="B1038" s="2" t="s">
        <v>2417</v>
      </c>
      <c r="C1038" s="2" t="s">
        <v>2418</v>
      </c>
      <c r="D1038" s="2" t="s">
        <v>1415</v>
      </c>
      <c r="E1038" s="2" t="s">
        <v>1381</v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</v>
      </c>
      <c r="DZ1038" s="2" t="n">
        <v>65.75</v>
      </c>
      <c r="EA1038" s="2" t="n">
        <v>0</v>
      </c>
      <c r="EB1038" s="2" t="n">
        <v>79.55</v>
      </c>
      <c r="EC1038" s="2" t="n">
        <v>77.1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 customFormat="false" ht="15" hidden="false" customHeight="false" outlineLevel="0" collapsed="false">
      <c r="A1039" s="2" t="n">
        <v>3</v>
      </c>
      <c r="B1039" s="2" t="s">
        <v>2419</v>
      </c>
      <c r="C1039" s="2" t="s">
        <v>2420</v>
      </c>
      <c r="D1039" s="2" t="s">
        <v>1415</v>
      </c>
      <c r="E1039" s="2" t="s">
        <v>1381</v>
      </c>
      <c r="F1039" s="2" t="n">
        <v>73631.2109461921</v>
      </c>
      <c r="G1039" s="2" t="n">
        <v>0</v>
      </c>
      <c r="H1039" s="2" t="n">
        <v>73631.2109461921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</v>
      </c>
      <c r="DZ1039" s="2" t="n">
        <v>65.75</v>
      </c>
      <c r="EA1039" s="2" t="n">
        <v>0</v>
      </c>
      <c r="EB1039" s="2" t="n">
        <v>79.55</v>
      </c>
      <c r="EC1039" s="2" t="n">
        <v>77.1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 customFormat="false" ht="15" hidden="false" customHeight="false" outlineLevel="0" collapsed="false">
      <c r="A1040" s="2" t="n">
        <v>3</v>
      </c>
      <c r="B1040" s="2" t="s">
        <v>2421</v>
      </c>
      <c r="C1040" s="2" t="s">
        <v>2422</v>
      </c>
      <c r="D1040" s="2" t="s">
        <v>1415</v>
      </c>
      <c r="E1040" s="2" t="s">
        <v>1381</v>
      </c>
      <c r="F1040" s="2" t="n">
        <v>975.247827101883</v>
      </c>
      <c r="G1040" s="2" t="n">
        <v>0</v>
      </c>
      <c r="H1040" s="2" t="n">
        <v>975.247827101883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</v>
      </c>
      <c r="DZ1040" s="2" t="n">
        <v>65.75</v>
      </c>
      <c r="EA1040" s="2" t="n">
        <v>0</v>
      </c>
      <c r="EB1040" s="2" t="n">
        <v>79.55</v>
      </c>
      <c r="EC1040" s="2" t="n">
        <v>77.1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 customFormat="false" ht="15" hidden="false" customHeight="false" outlineLevel="0" collapsed="false">
      <c r="A1041" s="2" t="n">
        <v>3</v>
      </c>
      <c r="B1041" s="2" t="s">
        <v>2423</v>
      </c>
      <c r="C1041" s="2" t="s">
        <v>2424</v>
      </c>
      <c r="D1041" s="2" t="s">
        <v>1415</v>
      </c>
      <c r="E1041" s="2" t="s">
        <v>1381</v>
      </c>
      <c r="F1041" s="2" t="n">
        <v>9520.27956775471</v>
      </c>
      <c r="G1041" s="2" t="n">
        <v>0</v>
      </c>
      <c r="H1041" s="2" t="n">
        <v>9520.27956775471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</v>
      </c>
      <c r="DZ1041" s="2" t="n">
        <v>65.75</v>
      </c>
      <c r="EA1041" s="2" t="n">
        <v>0</v>
      </c>
      <c r="EB1041" s="2" t="n">
        <v>79.55</v>
      </c>
      <c r="EC1041" s="2" t="n">
        <v>77.1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 customFormat="false" ht="15" hidden="false" customHeight="false" outlineLevel="0" collapsed="false">
      <c r="A1042" s="2" t="n">
        <v>3</v>
      </c>
      <c r="B1042" s="2" t="s">
        <v>2425</v>
      </c>
      <c r="C1042" s="2" t="s">
        <v>2371</v>
      </c>
      <c r="D1042" s="2" t="s">
        <v>1415</v>
      </c>
      <c r="E1042" s="2" t="s">
        <v>1381</v>
      </c>
      <c r="F1042" s="2" t="n">
        <v>8156.57834104873</v>
      </c>
      <c r="G1042" s="2" t="n">
        <v>0</v>
      </c>
      <c r="H1042" s="2" t="n">
        <v>8156.57834104873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</v>
      </c>
      <c r="DZ1042" s="2" t="n">
        <v>65.75</v>
      </c>
      <c r="EA1042" s="2" t="n">
        <v>0</v>
      </c>
      <c r="EB1042" s="2" t="n">
        <v>79.55</v>
      </c>
      <c r="EC1042" s="2" t="n">
        <v>77.1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 customFormat="false" ht="15" hidden="false" customHeight="false" outlineLevel="0" collapsed="false">
      <c r="A1043" s="2" t="n">
        <v>3</v>
      </c>
      <c r="B1043" s="2" t="s">
        <v>2426</v>
      </c>
      <c r="C1043" s="2" t="s">
        <v>2427</v>
      </c>
      <c r="D1043" s="2" t="s">
        <v>1415</v>
      </c>
      <c r="E1043" s="2" t="s">
        <v>1381</v>
      </c>
      <c r="F1043" s="2" t="n">
        <v>11316.5783410487</v>
      </c>
      <c r="G1043" s="2" t="n">
        <v>0</v>
      </c>
      <c r="H1043" s="2" t="n">
        <v>11316.5783410487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</v>
      </c>
      <c r="DZ1043" s="2" t="n">
        <v>65.75</v>
      </c>
      <c r="EA1043" s="2" t="n">
        <v>0</v>
      </c>
      <c r="EB1043" s="2" t="n">
        <v>79.55</v>
      </c>
      <c r="EC1043" s="2" t="n">
        <v>77.1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 customFormat="false" ht="15" hidden="false" customHeight="false" outlineLevel="0" collapsed="false">
      <c r="A1044" s="2" t="n">
        <v>3</v>
      </c>
      <c r="B1044" s="2" t="s">
        <v>2428</v>
      </c>
      <c r="C1044" s="2" t="s">
        <v>2429</v>
      </c>
      <c r="D1044" s="2" t="s">
        <v>1415</v>
      </c>
      <c r="E1044" s="2" t="s">
        <v>1381</v>
      </c>
      <c r="F1044" s="2" t="n">
        <v>32488.5783410487</v>
      </c>
      <c r="G1044" s="2" t="n">
        <v>0</v>
      </c>
      <c r="H1044" s="2" t="n">
        <v>32488.5783410487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</v>
      </c>
      <c r="DZ1044" s="2" t="n">
        <v>65.75</v>
      </c>
      <c r="EA1044" s="2" t="n">
        <v>0</v>
      </c>
      <c r="EB1044" s="2" t="n">
        <v>79.55</v>
      </c>
      <c r="EC1044" s="2" t="n">
        <v>77.1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 customFormat="false" ht="15" hidden="false" customHeight="false" outlineLevel="0" collapsed="false">
      <c r="A1045" s="2" t="n">
        <v>2</v>
      </c>
      <c r="B1045" s="2" t="s">
        <v>2430</v>
      </c>
      <c r="C1045" s="2" t="s">
        <v>2431</v>
      </c>
      <c r="D1045" s="2" t="s">
        <v>1415</v>
      </c>
      <c r="E1045" s="2" t="s">
        <v>1381</v>
      </c>
      <c r="F1045" s="2" t="n">
        <v>234215.049186471</v>
      </c>
      <c r="G1045" s="2" t="n">
        <v>0</v>
      </c>
      <c r="H1045" s="2" t="n">
        <v>234215.049186471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</v>
      </c>
      <c r="DZ1045" s="2" t="n">
        <v>65.75</v>
      </c>
      <c r="EA1045" s="2" t="n">
        <v>0</v>
      </c>
      <c r="EB1045" s="2" t="n">
        <v>79.55</v>
      </c>
      <c r="EC1045" s="2" t="n">
        <v>77.1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 customFormat="false" ht="15" hidden="false" customHeight="false" outlineLevel="0" collapsed="false">
      <c r="A1046" s="2" t="n">
        <v>3</v>
      </c>
      <c r="B1046" s="2" t="s">
        <v>2432</v>
      </c>
      <c r="C1046" s="2" t="s">
        <v>2433</v>
      </c>
      <c r="D1046" s="2" t="s">
        <v>1415</v>
      </c>
      <c r="E1046" s="2" t="s">
        <v>1381</v>
      </c>
      <c r="F1046" s="2" t="n">
        <v>137148.668074541</v>
      </c>
      <c r="G1046" s="2" t="n">
        <v>0</v>
      </c>
      <c r="H1046" s="2" t="n">
        <v>137148.668074541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</v>
      </c>
      <c r="DZ1046" s="2" t="n">
        <v>65.75</v>
      </c>
      <c r="EA1046" s="2" t="n">
        <v>0</v>
      </c>
      <c r="EB1046" s="2" t="n">
        <v>79.55</v>
      </c>
      <c r="EC1046" s="2" t="n">
        <v>77.1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 customFormat="false" ht="15" hidden="false" customHeight="false" outlineLevel="0" collapsed="false">
      <c r="A1047" s="2" t="n">
        <v>3</v>
      </c>
      <c r="B1047" s="2" t="s">
        <v>2434</v>
      </c>
      <c r="C1047" s="2" t="s">
        <v>2435</v>
      </c>
      <c r="D1047" s="2" t="s">
        <v>1415</v>
      </c>
      <c r="E1047" s="2" t="s">
        <v>1381</v>
      </c>
      <c r="F1047" s="2" t="n">
        <v>2689.18957008904</v>
      </c>
      <c r="G1047" s="2" t="n">
        <v>0</v>
      </c>
      <c r="H1047" s="2" t="n">
        <v>2689.18957008904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</v>
      </c>
      <c r="DZ1047" s="2" t="n">
        <v>65.75</v>
      </c>
      <c r="EA1047" s="2" t="n">
        <v>0</v>
      </c>
      <c r="EB1047" s="2" t="n">
        <v>79.55</v>
      </c>
      <c r="EC1047" s="2" t="n">
        <v>77.1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 customFormat="false" ht="15" hidden="false" customHeight="false" outlineLevel="0" collapsed="false">
      <c r="A1048" s="2" t="n">
        <v>3</v>
      </c>
      <c r="B1048" s="2" t="s">
        <v>2436</v>
      </c>
      <c r="C1048" s="2" t="s">
        <v>2437</v>
      </c>
      <c r="D1048" s="2" t="s">
        <v>1415</v>
      </c>
      <c r="E1048" s="2" t="s">
        <v>1381</v>
      </c>
      <c r="F1048" s="2" t="n">
        <v>52232.5305139469</v>
      </c>
      <c r="G1048" s="2" t="n">
        <v>0</v>
      </c>
      <c r="H1048" s="2" t="n">
        <v>52232.5305139469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</v>
      </c>
      <c r="DZ1048" s="2" t="n">
        <v>65.75</v>
      </c>
      <c r="EA1048" s="2" t="n">
        <v>0</v>
      </c>
      <c r="EB1048" s="2" t="n">
        <v>79.55</v>
      </c>
      <c r="EC1048" s="2" t="n">
        <v>77.1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 customFormat="false" ht="15" hidden="false" customHeight="false" outlineLevel="0" collapsed="false">
      <c r="A1049" s="2" t="n">
        <v>3</v>
      </c>
      <c r="B1049" s="2" t="s">
        <v>2438</v>
      </c>
      <c r="C1049" s="2" t="s">
        <v>2439</v>
      </c>
      <c r="D1049" s="2" t="s">
        <v>1415</v>
      </c>
      <c r="E1049" s="2" t="s">
        <v>1381</v>
      </c>
      <c r="F1049" s="2" t="n">
        <v>10237.3305139468</v>
      </c>
      <c r="G1049" s="2" t="n">
        <v>0</v>
      </c>
      <c r="H1049" s="2" t="n">
        <v>10237.3305139468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</v>
      </c>
      <c r="DZ1049" s="2" t="n">
        <v>65.75</v>
      </c>
      <c r="EA1049" s="2" t="n">
        <v>0</v>
      </c>
      <c r="EB1049" s="2" t="n">
        <v>79.55</v>
      </c>
      <c r="EC1049" s="2" t="n">
        <v>77.1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 customFormat="false" ht="15" hidden="false" customHeight="false" outlineLevel="0" collapsed="false">
      <c r="A1050" s="2" t="n">
        <v>3</v>
      </c>
      <c r="B1050" s="2" t="s">
        <v>2440</v>
      </c>
      <c r="C1050" s="2" t="s">
        <v>2441</v>
      </c>
      <c r="D1050" s="2" t="s">
        <v>1415</v>
      </c>
      <c r="E1050" s="2" t="s">
        <v>1381</v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</v>
      </c>
      <c r="DZ1050" s="2" t="n">
        <v>65.75</v>
      </c>
      <c r="EA1050" s="2" t="n">
        <v>0</v>
      </c>
      <c r="EB1050" s="2" t="n">
        <v>79.55</v>
      </c>
      <c r="EC1050" s="2" t="n">
        <v>77.1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 customFormat="false" ht="15" hidden="false" customHeight="false" outlineLevel="0" collapsed="false">
      <c r="A1051" s="2" t="n">
        <v>3</v>
      </c>
      <c r="B1051" s="2" t="s">
        <v>2442</v>
      </c>
      <c r="C1051" s="2" t="s">
        <v>2410</v>
      </c>
      <c r="D1051" s="2" t="s">
        <v>1415</v>
      </c>
      <c r="E1051" s="2" t="s">
        <v>1381</v>
      </c>
      <c r="F1051" s="2" t="n">
        <v>35.6239135509413</v>
      </c>
      <c r="G1051" s="2" t="n">
        <v>0</v>
      </c>
      <c r="H1051" s="2" t="n">
        <v>35.6239135509413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</v>
      </c>
      <c r="DZ1051" s="2" t="n">
        <v>65.75</v>
      </c>
      <c r="EA1051" s="2" t="n">
        <v>0</v>
      </c>
      <c r="EB1051" s="2" t="n">
        <v>79.55</v>
      </c>
      <c r="EC1051" s="2" t="n">
        <v>77.1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 customFormat="false" ht="15" hidden="false" customHeight="false" outlineLevel="0" collapsed="false">
      <c r="A1052" s="2" t="n">
        <v>2</v>
      </c>
      <c r="B1052" s="2" t="s">
        <v>2443</v>
      </c>
      <c r="C1052" s="2" t="s">
        <v>2444</v>
      </c>
      <c r="D1052" s="2" t="s">
        <v>1415</v>
      </c>
      <c r="E1052" s="2" t="s">
        <v>1381</v>
      </c>
      <c r="F1052" s="2" t="n">
        <v>134457.189240554</v>
      </c>
      <c r="G1052" s="2" t="n">
        <v>0</v>
      </c>
      <c r="H1052" s="2" t="n">
        <v>134457.189240554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</v>
      </c>
      <c r="DZ1052" s="2" t="n">
        <v>65.75</v>
      </c>
      <c r="EA1052" s="2" t="n">
        <v>0</v>
      </c>
      <c r="EB1052" s="2" t="n">
        <v>79.55</v>
      </c>
      <c r="EC1052" s="2" t="n">
        <v>77.1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 customFormat="false" ht="15" hidden="false" customHeight="false" outlineLevel="0" collapsed="false">
      <c r="A1053" s="2" t="n">
        <v>3</v>
      </c>
      <c r="B1053" s="2" t="s">
        <v>2445</v>
      </c>
      <c r="C1053" s="2" t="s">
        <v>2446</v>
      </c>
      <c r="D1053" s="2" t="s">
        <v>1415</v>
      </c>
      <c r="E1053" s="2" t="s">
        <v>1381</v>
      </c>
      <c r="F1053" s="2" t="n">
        <v>914.367394856589</v>
      </c>
      <c r="G1053" s="2" t="n">
        <v>0</v>
      </c>
      <c r="H1053" s="2" t="n">
        <v>914.367394856589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</v>
      </c>
      <c r="DZ1053" s="2" t="n">
        <v>65.75</v>
      </c>
      <c r="EA1053" s="2" t="n">
        <v>0</v>
      </c>
      <c r="EB1053" s="2" t="n">
        <v>79.55</v>
      </c>
      <c r="EC1053" s="2" t="n">
        <v>77.1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 customFormat="false" ht="15" hidden="false" customHeight="false" outlineLevel="0" collapsed="false">
      <c r="A1054" s="2" t="n">
        <v>3</v>
      </c>
      <c r="B1054" s="2" t="s">
        <v>2447</v>
      </c>
      <c r="C1054" s="2" t="s">
        <v>2448</v>
      </c>
      <c r="D1054" s="2" t="s">
        <v>1415</v>
      </c>
      <c r="E1054" s="2" t="s">
        <v>1381</v>
      </c>
      <c r="F1054" s="2" t="n">
        <v>424.367394856589</v>
      </c>
      <c r="G1054" s="2" t="n">
        <v>0</v>
      </c>
      <c r="H1054" s="2" t="n">
        <v>424.367394856589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</v>
      </c>
      <c r="DZ1054" s="2" t="n">
        <v>65.75</v>
      </c>
      <c r="EA1054" s="2" t="n">
        <v>0</v>
      </c>
      <c r="EB1054" s="2" t="n">
        <v>79.55</v>
      </c>
      <c r="EC1054" s="2" t="n">
        <v>77.1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 customFormat="false" ht="15" hidden="false" customHeight="false" outlineLevel="0" collapsed="false">
      <c r="A1055" s="2" t="n">
        <v>3</v>
      </c>
      <c r="B1055" s="2" t="s">
        <v>2449</v>
      </c>
      <c r="C1055" s="2" t="s">
        <v>2450</v>
      </c>
      <c r="D1055" s="2" t="s">
        <v>1415</v>
      </c>
      <c r="E1055" s="2" t="s">
        <v>1381</v>
      </c>
      <c r="F1055" s="2" t="n">
        <v>132112.83053729</v>
      </c>
      <c r="G1055" s="2" t="n">
        <v>0</v>
      </c>
      <c r="H1055" s="2" t="n">
        <v>132112.83053729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</v>
      </c>
      <c r="DZ1055" s="2" t="n">
        <v>65.75</v>
      </c>
      <c r="EA1055" s="2" t="n">
        <v>0</v>
      </c>
      <c r="EB1055" s="2" t="n">
        <v>79.55</v>
      </c>
      <c r="EC1055" s="2" t="n">
        <v>77.1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 customFormat="false" ht="15" hidden="false" customHeight="false" outlineLevel="0" collapsed="false">
      <c r="A1056" s="2" t="n">
        <v>3</v>
      </c>
      <c r="B1056" s="2" t="s">
        <v>2451</v>
      </c>
      <c r="C1056" s="2" t="s">
        <v>2452</v>
      </c>
      <c r="D1056" s="2" t="s">
        <v>1415</v>
      </c>
      <c r="E1056" s="2" t="s">
        <v>1381</v>
      </c>
      <c r="F1056" s="2" t="n">
        <v>1005.62391355094</v>
      </c>
      <c r="G1056" s="2" t="n">
        <v>0</v>
      </c>
      <c r="H1056" s="2" t="n">
        <v>1005.62391355094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</v>
      </c>
      <c r="DZ1056" s="2" t="n">
        <v>65.75</v>
      </c>
      <c r="EA1056" s="2" t="n">
        <v>0</v>
      </c>
      <c r="EB1056" s="2" t="n">
        <v>79.55</v>
      </c>
      <c r="EC1056" s="2" t="n">
        <v>77.1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 customFormat="false" ht="15" hidden="false" customHeight="false" outlineLevel="0" collapsed="false">
      <c r="A1057" s="2" t="n">
        <v>2</v>
      </c>
      <c r="B1057" s="2" t="s">
        <v>2453</v>
      </c>
      <c r="C1057" s="2" t="s">
        <v>2454</v>
      </c>
      <c r="D1057" s="2" t="s">
        <v>1415</v>
      </c>
      <c r="E1057" s="2" t="s">
        <v>1381</v>
      </c>
      <c r="F1057" s="2" t="n">
        <v>56456.6194205256</v>
      </c>
      <c r="G1057" s="2" t="n">
        <v>0</v>
      </c>
      <c r="H1057" s="2" t="n">
        <v>56456.6194205256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</v>
      </c>
      <c r="DZ1057" s="2" t="n">
        <v>65.75</v>
      </c>
      <c r="EA1057" s="2" t="n">
        <v>0</v>
      </c>
      <c r="EB1057" s="2" t="n">
        <v>79.55</v>
      </c>
      <c r="EC1057" s="2" t="n">
        <v>77.1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 customFormat="false" ht="15" hidden="false" customHeight="false" outlineLevel="0" collapsed="false">
      <c r="A1058" s="2" t="n">
        <v>3</v>
      </c>
      <c r="B1058" s="2" t="s">
        <v>2455</v>
      </c>
      <c r="C1058" s="2" t="s">
        <v>2456</v>
      </c>
      <c r="D1058" s="2" t="s">
        <v>1415</v>
      </c>
      <c r="E1058" s="2" t="s">
        <v>1381</v>
      </c>
      <c r="F1058" s="2" t="n">
        <v>16896.2958426391</v>
      </c>
      <c r="G1058" s="2" t="n">
        <v>0</v>
      </c>
      <c r="H1058" s="2" t="n">
        <v>16896.2958426391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</v>
      </c>
      <c r="DZ1058" s="2" t="n">
        <v>65.75</v>
      </c>
      <c r="EA1058" s="2" t="n">
        <v>0</v>
      </c>
      <c r="EB1058" s="2" t="n">
        <v>79.55</v>
      </c>
      <c r="EC1058" s="2" t="n">
        <v>77.1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 customFormat="false" ht="15" hidden="false" customHeight="false" outlineLevel="0" collapsed="false">
      <c r="A1059" s="2" t="n">
        <v>3</v>
      </c>
      <c r="B1059" s="2" t="s">
        <v>2457</v>
      </c>
      <c r="C1059" s="2" t="s">
        <v>2458</v>
      </c>
      <c r="D1059" s="2" t="s">
        <v>1415</v>
      </c>
      <c r="E1059" s="2" t="s">
        <v>1381</v>
      </c>
      <c r="F1059" s="2" t="n">
        <v>9072.09707336594</v>
      </c>
      <c r="G1059" s="2" t="n">
        <v>0</v>
      </c>
      <c r="H1059" s="2" t="n">
        <v>9072.09707336594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</v>
      </c>
      <c r="DZ1059" s="2" t="n">
        <v>65.75</v>
      </c>
      <c r="EA1059" s="2" t="n">
        <v>0</v>
      </c>
      <c r="EB1059" s="2" t="n">
        <v>79.55</v>
      </c>
      <c r="EC1059" s="2" t="n">
        <v>77.1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 customFormat="false" ht="15" hidden="false" customHeight="false" outlineLevel="0" collapsed="false">
      <c r="A1060" s="2" t="n">
        <v>3</v>
      </c>
      <c r="B1060" s="2" t="s">
        <v>2459</v>
      </c>
      <c r="C1060" s="2" t="s">
        <v>2460</v>
      </c>
      <c r="D1060" s="2" t="s">
        <v>1415</v>
      </c>
      <c r="E1060" s="2" t="s">
        <v>1381</v>
      </c>
      <c r="F1060" s="2" t="n">
        <v>22632.1895241907</v>
      </c>
      <c r="G1060" s="2" t="n">
        <v>0</v>
      </c>
      <c r="H1060" s="2" t="n">
        <v>22632.1895241907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</v>
      </c>
      <c r="DZ1060" s="2" t="n">
        <v>65.75</v>
      </c>
      <c r="EA1060" s="2" t="n">
        <v>0</v>
      </c>
      <c r="EB1060" s="2" t="n">
        <v>79.55</v>
      </c>
      <c r="EC1060" s="2" t="n">
        <v>77.1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 customFormat="false" ht="15" hidden="false" customHeight="false" outlineLevel="0" collapsed="false">
      <c r="A1061" s="2" t="n">
        <v>3</v>
      </c>
      <c r="B1061" s="2" t="s">
        <v>2461</v>
      </c>
      <c r="C1061" s="2" t="s">
        <v>2462</v>
      </c>
      <c r="D1061" s="2" t="s">
        <v>1415</v>
      </c>
      <c r="E1061" s="2" t="s">
        <v>1381</v>
      </c>
      <c r="F1061" s="2" t="n">
        <v>1248.01849016494</v>
      </c>
      <c r="G1061" s="2" t="n">
        <v>0</v>
      </c>
      <c r="H1061" s="2" t="n">
        <v>1248.01849016494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</v>
      </c>
      <c r="DZ1061" s="2" t="n">
        <v>65.75</v>
      </c>
      <c r="EA1061" s="2" t="n">
        <v>0</v>
      </c>
      <c r="EB1061" s="2" t="n">
        <v>79.55</v>
      </c>
      <c r="EC1061" s="2" t="n">
        <v>77.1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 customFormat="false" ht="15" hidden="false" customHeight="false" outlineLevel="0" collapsed="false">
      <c r="A1062" s="2" t="n">
        <v>3</v>
      </c>
      <c r="B1062" s="2" t="s">
        <v>2463</v>
      </c>
      <c r="C1062" s="2" t="s">
        <v>2464</v>
      </c>
      <c r="D1062" s="2" t="s">
        <v>1415</v>
      </c>
      <c r="E1062" s="2" t="s">
        <v>1381</v>
      </c>
      <c r="F1062" s="2" t="n">
        <v>6608.01849016494</v>
      </c>
      <c r="G1062" s="2" t="n">
        <v>0</v>
      </c>
      <c r="H1062" s="2" t="n">
        <v>6608.01849016494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</v>
      </c>
      <c r="DZ1062" s="2" t="n">
        <v>65.75</v>
      </c>
      <c r="EA1062" s="2" t="n">
        <v>0</v>
      </c>
      <c r="EB1062" s="2" t="n">
        <v>79.55</v>
      </c>
      <c r="EC1062" s="2" t="n">
        <v>77.1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 customFormat="false" ht="15" hidden="false" customHeight="false" outlineLevel="0" collapsed="false">
      <c r="A1063" s="2" t="n">
        <v>2</v>
      </c>
      <c r="B1063" s="2" t="s">
        <v>2465</v>
      </c>
      <c r="C1063" s="2" t="s">
        <v>868</v>
      </c>
      <c r="D1063" s="2" t="s">
        <v>1415</v>
      </c>
      <c r="E1063" s="2" t="s">
        <v>1381</v>
      </c>
      <c r="F1063" s="2" t="n">
        <v>153485.624847283</v>
      </c>
      <c r="G1063" s="2" t="n">
        <v>0</v>
      </c>
      <c r="H1063" s="2" t="n">
        <v>153485.624847283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</v>
      </c>
      <c r="DZ1063" s="2" t="n">
        <v>65.75</v>
      </c>
      <c r="EA1063" s="2" t="n">
        <v>0</v>
      </c>
      <c r="EB1063" s="2" t="n">
        <v>79.55</v>
      </c>
      <c r="EC1063" s="2" t="n">
        <v>77.1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 customFormat="false" ht="15" hidden="false" customHeight="false" outlineLevel="0" collapsed="false">
      <c r="A1064" s="2" t="n">
        <v>3</v>
      </c>
      <c r="B1064" s="2" t="s">
        <v>2466</v>
      </c>
      <c r="C1064" s="2" t="s">
        <v>2467</v>
      </c>
      <c r="D1064" s="2" t="s">
        <v>1415</v>
      </c>
      <c r="E1064" s="2" t="s">
        <v>1381</v>
      </c>
      <c r="F1064" s="2" t="n">
        <v>3931.84566587542</v>
      </c>
      <c r="G1064" s="2" t="n">
        <v>0</v>
      </c>
      <c r="H1064" s="2" t="n">
        <v>3931.84566587542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</v>
      </c>
      <c r="DZ1064" s="2" t="n">
        <v>65.75</v>
      </c>
      <c r="EA1064" s="2" t="n">
        <v>0</v>
      </c>
      <c r="EB1064" s="2" t="n">
        <v>79.55</v>
      </c>
      <c r="EC1064" s="2" t="n">
        <v>77.1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 customFormat="false" ht="15" hidden="false" customHeight="false" outlineLevel="0" collapsed="false">
      <c r="A1065" s="2" t="n">
        <v>3</v>
      </c>
      <c r="B1065" s="2" t="s">
        <v>2468</v>
      </c>
      <c r="C1065" s="2" t="s">
        <v>2469</v>
      </c>
      <c r="D1065" s="2" t="s">
        <v>1415</v>
      </c>
      <c r="E1065" s="2" t="s">
        <v>1381</v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</v>
      </c>
      <c r="DZ1065" s="2" t="n">
        <v>65.75</v>
      </c>
      <c r="EA1065" s="2" t="n">
        <v>0</v>
      </c>
      <c r="EB1065" s="2" t="n">
        <v>79.55</v>
      </c>
      <c r="EC1065" s="2" t="n">
        <v>77.1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 customFormat="false" ht="15" hidden="false" customHeight="false" outlineLevel="0" collapsed="false">
      <c r="A1066" s="2" t="n">
        <v>3</v>
      </c>
      <c r="B1066" s="2" t="s">
        <v>2470</v>
      </c>
      <c r="C1066" s="2" t="s">
        <v>2471</v>
      </c>
      <c r="D1066" s="2" t="s">
        <v>1415</v>
      </c>
      <c r="E1066" s="2" t="s">
        <v>1381</v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</v>
      </c>
      <c r="DZ1066" s="2" t="n">
        <v>65.75</v>
      </c>
      <c r="EA1066" s="2" t="n">
        <v>0</v>
      </c>
      <c r="EB1066" s="2" t="n">
        <v>79.55</v>
      </c>
      <c r="EC1066" s="2" t="n">
        <v>77.1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 customFormat="false" ht="15" hidden="false" customHeight="false" outlineLevel="0" collapsed="false">
      <c r="A1067" s="2" t="n">
        <v>3</v>
      </c>
      <c r="B1067" s="2" t="s">
        <v>2472</v>
      </c>
      <c r="C1067" s="2" t="s">
        <v>2473</v>
      </c>
      <c r="D1067" s="2" t="s">
        <v>1415</v>
      </c>
      <c r="E1067" s="2" t="s">
        <v>1381</v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</v>
      </c>
      <c r="DZ1067" s="2" t="n">
        <v>65.75</v>
      </c>
      <c r="EA1067" s="2" t="n">
        <v>0</v>
      </c>
      <c r="EB1067" s="2" t="n">
        <v>79.55</v>
      </c>
      <c r="EC1067" s="2" t="n">
        <v>77.1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 customFormat="false" ht="15" hidden="false" customHeight="false" outlineLevel="0" collapsed="false">
      <c r="A1068" s="2" t="n">
        <v>3</v>
      </c>
      <c r="B1068" s="2" t="s">
        <v>2474</v>
      </c>
      <c r="C1068" s="2" t="s">
        <v>2475</v>
      </c>
      <c r="D1068" s="2" t="s">
        <v>1415</v>
      </c>
      <c r="E1068" s="2" t="s">
        <v>1381</v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</v>
      </c>
      <c r="DZ1068" s="2" t="n">
        <v>65.75</v>
      </c>
      <c r="EA1068" s="2" t="n">
        <v>0</v>
      </c>
      <c r="EB1068" s="2" t="n">
        <v>79.55</v>
      </c>
      <c r="EC1068" s="2" t="n">
        <v>77.1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 customFormat="false" ht="15" hidden="false" customHeight="false" outlineLevel="0" collapsed="false">
      <c r="A1069" s="2" t="n">
        <v>3</v>
      </c>
      <c r="B1069" s="2" t="s">
        <v>2476</v>
      </c>
      <c r="C1069" s="2" t="s">
        <v>2477</v>
      </c>
      <c r="D1069" s="2" t="s">
        <v>1415</v>
      </c>
      <c r="E1069" s="2" t="s">
        <v>1381</v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</v>
      </c>
      <c r="DZ1069" s="2" t="n">
        <v>65.75</v>
      </c>
      <c r="EA1069" s="2" t="n">
        <v>0</v>
      </c>
      <c r="EB1069" s="2" t="n">
        <v>79.55</v>
      </c>
      <c r="EC1069" s="2" t="n">
        <v>77.1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 customFormat="false" ht="15" hidden="false" customHeight="false" outlineLevel="0" collapsed="false">
      <c r="A1070" s="2" t="n">
        <v>3</v>
      </c>
      <c r="B1070" s="2" t="s">
        <v>2478</v>
      </c>
      <c r="C1070" s="2" t="s">
        <v>2479</v>
      </c>
      <c r="D1070" s="2" t="s">
        <v>1415</v>
      </c>
      <c r="E1070" s="2" t="s">
        <v>1381</v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</v>
      </c>
      <c r="DZ1070" s="2" t="n">
        <v>65.75</v>
      </c>
      <c r="EA1070" s="2" t="n">
        <v>0</v>
      </c>
      <c r="EB1070" s="2" t="n">
        <v>79.55</v>
      </c>
      <c r="EC1070" s="2" t="n">
        <v>77.1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 customFormat="false" ht="15" hidden="false" customHeight="false" outlineLevel="0" collapsed="false">
      <c r="A1071" s="2" t="n">
        <v>3</v>
      </c>
      <c r="B1071" s="2" t="s">
        <v>2480</v>
      </c>
      <c r="C1071" s="2" t="s">
        <v>2481</v>
      </c>
      <c r="D1071" s="2" t="s">
        <v>1415</v>
      </c>
      <c r="E1071" s="2" t="s">
        <v>1381</v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</v>
      </c>
      <c r="DZ1071" s="2" t="n">
        <v>65.75</v>
      </c>
      <c r="EA1071" s="2" t="n">
        <v>0</v>
      </c>
      <c r="EB1071" s="2" t="n">
        <v>79.55</v>
      </c>
      <c r="EC1071" s="2" t="n">
        <v>77.1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 customFormat="false" ht="15" hidden="false" customHeight="false" outlineLevel="0" collapsed="false">
      <c r="A1072" s="2" t="n">
        <v>3</v>
      </c>
      <c r="B1072" s="2" t="s">
        <v>2482</v>
      </c>
      <c r="C1072" s="2" t="s">
        <v>2483</v>
      </c>
      <c r="D1072" s="2" t="s">
        <v>1415</v>
      </c>
      <c r="E1072" s="2" t="s">
        <v>1381</v>
      </c>
      <c r="F1072" s="2" t="n">
        <v>133553.779181408</v>
      </c>
      <c r="G1072" s="2" t="n">
        <v>0</v>
      </c>
      <c r="H1072" s="2" t="n">
        <v>133553.779181408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</v>
      </c>
      <c r="DZ1072" s="2" t="n">
        <v>65.75</v>
      </c>
      <c r="EA1072" s="2" t="n">
        <v>0</v>
      </c>
      <c r="EB1072" s="2" t="n">
        <v>79.55</v>
      </c>
      <c r="EC1072" s="2" t="n">
        <v>77.1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 customFormat="false" ht="15" hidden="false" customHeight="false" outlineLevel="0" collapsed="false">
      <c r="A1073" s="2" t="n">
        <v>1</v>
      </c>
      <c r="B1073" s="2" t="s">
        <v>213</v>
      </c>
      <c r="C1073" s="2" t="s">
        <v>214</v>
      </c>
      <c r="D1073" s="2" t="s">
        <v>2247</v>
      </c>
      <c r="E1073" s="2" t="s">
        <v>2244</v>
      </c>
      <c r="F1073" s="2" t="n">
        <v>3615775.99490667</v>
      </c>
      <c r="G1073" s="2" t="n">
        <v>0</v>
      </c>
      <c r="H1073" s="2" t="n">
        <v>3615775.99490667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</v>
      </c>
      <c r="BF1073" s="2" t="n">
        <v>7.5</v>
      </c>
      <c r="BG1073" s="2" t="n">
        <v>9.53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64.71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</v>
      </c>
      <c r="DU1073" s="2" t="n">
        <v>10.98</v>
      </c>
      <c r="DV1073" s="2" t="n">
        <v>81.11</v>
      </c>
      <c r="DW1073" s="2" t="n">
        <v>78.9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97.6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 customFormat="false" ht="15" hidden="false" customHeight="false" outlineLevel="0" collapsed="false">
      <c r="A1074" s="2" t="n">
        <v>2</v>
      </c>
      <c r="B1074" s="2" t="s">
        <v>2484</v>
      </c>
      <c r="C1074" s="2" t="s">
        <v>2485</v>
      </c>
      <c r="D1074" s="2" t="s">
        <v>2486</v>
      </c>
      <c r="E1074" s="2" t="s">
        <v>2244</v>
      </c>
      <c r="F1074" s="2" t="n">
        <v>1653978.50942204</v>
      </c>
      <c r="G1074" s="2" t="n">
        <v>0</v>
      </c>
      <c r="H1074" s="2" t="n">
        <v>1653978.50942204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74.24</v>
      </c>
      <c r="DW1074" s="2" t="n">
        <v>71.97</v>
      </c>
      <c r="DX1074" s="2" t="n">
        <v>0</v>
      </c>
      <c r="DY1074" s="2" t="n">
        <v>80.49</v>
      </c>
      <c r="DZ1074" s="2" t="n">
        <v>79.5</v>
      </c>
      <c r="EA1074" s="2" t="n">
        <v>0</v>
      </c>
      <c r="EB1074" s="2" t="n">
        <v>88.49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 customFormat="false" ht="15" hidden="false" customHeight="false" outlineLevel="0" collapsed="false">
      <c r="A1075" s="2" t="n">
        <v>3</v>
      </c>
      <c r="B1075" s="2" t="s">
        <v>2487</v>
      </c>
      <c r="C1075" s="2" t="s">
        <v>2488</v>
      </c>
      <c r="D1075" s="2" t="s">
        <v>2486</v>
      </c>
      <c r="E1075" s="2" t="s">
        <v>2244</v>
      </c>
      <c r="F1075" s="2" t="n">
        <v>426650.84937882</v>
      </c>
      <c r="G1075" s="2" t="n">
        <v>0</v>
      </c>
      <c r="H1075" s="2" t="n">
        <v>426650.84937882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74.24</v>
      </c>
      <c r="DW1075" s="2" t="n">
        <v>71.97</v>
      </c>
      <c r="DX1075" s="2" t="n">
        <v>0</v>
      </c>
      <c r="DY1075" s="2" t="n">
        <v>80.49</v>
      </c>
      <c r="DZ1075" s="2" t="n">
        <v>79.5</v>
      </c>
      <c r="EA1075" s="2" t="n">
        <v>0</v>
      </c>
      <c r="EB1075" s="2" t="n">
        <v>88.49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 customFormat="false" ht="15" hidden="false" customHeight="false" outlineLevel="0" collapsed="false">
      <c r="A1076" s="2" t="n">
        <v>3</v>
      </c>
      <c r="B1076" s="2" t="s">
        <v>2489</v>
      </c>
      <c r="C1076" s="2" t="s">
        <v>2490</v>
      </c>
      <c r="D1076" s="2" t="s">
        <v>2486</v>
      </c>
      <c r="E1076" s="2" t="s">
        <v>2244</v>
      </c>
      <c r="F1076" s="2" t="n">
        <v>426650.84937882</v>
      </c>
      <c r="G1076" s="2" t="n">
        <v>0</v>
      </c>
      <c r="H1076" s="2" t="n">
        <v>426650.84937882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74.24</v>
      </c>
      <c r="DW1076" s="2" t="n">
        <v>71.97</v>
      </c>
      <c r="DX1076" s="2" t="n">
        <v>0</v>
      </c>
      <c r="DY1076" s="2" t="n">
        <v>80.49</v>
      </c>
      <c r="DZ1076" s="2" t="n">
        <v>79.5</v>
      </c>
      <c r="EA1076" s="2" t="n">
        <v>0</v>
      </c>
      <c r="EB1076" s="2" t="n">
        <v>88.49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 customFormat="false" ht="15" hidden="false" customHeight="false" outlineLevel="0" collapsed="false">
      <c r="A1077" s="2" t="n">
        <v>3</v>
      </c>
      <c r="B1077" s="2" t="s">
        <v>2491</v>
      </c>
      <c r="C1077" s="2" t="s">
        <v>2492</v>
      </c>
      <c r="D1077" s="2" t="s">
        <v>2486</v>
      </c>
      <c r="E1077" s="2" t="s">
        <v>2244</v>
      </c>
      <c r="F1077" s="2" t="n">
        <v>135647.010563122</v>
      </c>
      <c r="G1077" s="2" t="n">
        <v>0</v>
      </c>
      <c r="H1077" s="2" t="n">
        <v>135647.010563122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74.24</v>
      </c>
      <c r="DW1077" s="2" t="n">
        <v>71.97</v>
      </c>
      <c r="DX1077" s="2" t="n">
        <v>0</v>
      </c>
      <c r="DY1077" s="2" t="n">
        <v>80.49</v>
      </c>
      <c r="DZ1077" s="2" t="n">
        <v>79.5</v>
      </c>
      <c r="EA1077" s="2" t="n">
        <v>0</v>
      </c>
      <c r="EB1077" s="2" t="n">
        <v>88.49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 customFormat="false" ht="15" hidden="false" customHeight="false" outlineLevel="0" collapsed="false">
      <c r="A1078" s="2" t="n">
        <v>3</v>
      </c>
      <c r="B1078" s="2" t="s">
        <v>2493</v>
      </c>
      <c r="C1078" s="2" t="s">
        <v>2494</v>
      </c>
      <c r="D1078" s="2" t="s">
        <v>2486</v>
      </c>
      <c r="E1078" s="2" t="s">
        <v>2244</v>
      </c>
      <c r="F1078" s="2" t="n">
        <v>30001.7479182636</v>
      </c>
      <c r="G1078" s="2" t="n">
        <v>0</v>
      </c>
      <c r="H1078" s="2" t="n">
        <v>30001.7479182636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74.24</v>
      </c>
      <c r="DW1078" s="2" t="n">
        <v>71.97</v>
      </c>
      <c r="DX1078" s="2" t="n">
        <v>0</v>
      </c>
      <c r="DY1078" s="2" t="n">
        <v>80.49</v>
      </c>
      <c r="DZ1078" s="2" t="n">
        <v>79.5</v>
      </c>
      <c r="EA1078" s="2" t="n">
        <v>0</v>
      </c>
      <c r="EB1078" s="2" t="n">
        <v>88.49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 customFormat="false" ht="15" hidden="false" customHeight="false" outlineLevel="0" collapsed="false">
      <c r="A1079" s="2" t="n">
        <v>3</v>
      </c>
      <c r="B1079" s="2" t="s">
        <v>2495</v>
      </c>
      <c r="C1079" s="2" t="s">
        <v>2496</v>
      </c>
      <c r="D1079" s="2" t="s">
        <v>2486</v>
      </c>
      <c r="E1079" s="2" t="s">
        <v>2244</v>
      </c>
      <c r="F1079" s="2" t="n">
        <v>53384.5458763831</v>
      </c>
      <c r="G1079" s="2" t="n">
        <v>0</v>
      </c>
      <c r="H1079" s="2" t="n">
        <v>53384.5458763831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74.24</v>
      </c>
      <c r="DW1079" s="2" t="n">
        <v>71.97</v>
      </c>
      <c r="DX1079" s="2" t="n">
        <v>0</v>
      </c>
      <c r="DY1079" s="2" t="n">
        <v>80.49</v>
      </c>
      <c r="DZ1079" s="2" t="n">
        <v>79.5</v>
      </c>
      <c r="EA1079" s="2" t="n">
        <v>0</v>
      </c>
      <c r="EB1079" s="2" t="n">
        <v>88.49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 customFormat="false" ht="15" hidden="false" customHeight="false" outlineLevel="0" collapsed="false">
      <c r="A1080" s="2" t="n">
        <v>3</v>
      </c>
      <c r="B1080" s="2" t="s">
        <v>2497</v>
      </c>
      <c r="C1080" s="2" t="s">
        <v>2498</v>
      </c>
      <c r="D1080" s="2" t="s">
        <v>2486</v>
      </c>
      <c r="E1080" s="2" t="s">
        <v>2244</v>
      </c>
      <c r="F1080" s="2" t="n">
        <v>284449.055672291</v>
      </c>
      <c r="G1080" s="2" t="n">
        <v>0</v>
      </c>
      <c r="H1080" s="2" t="n">
        <v>284449.055672291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74.24</v>
      </c>
      <c r="DW1080" s="2" t="n">
        <v>71.97</v>
      </c>
      <c r="DX1080" s="2" t="n">
        <v>0</v>
      </c>
      <c r="DY1080" s="2" t="n">
        <v>80.49</v>
      </c>
      <c r="DZ1080" s="2" t="n">
        <v>79.5</v>
      </c>
      <c r="EA1080" s="2" t="n">
        <v>0</v>
      </c>
      <c r="EB1080" s="2" t="n">
        <v>88.49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 customFormat="false" ht="15" hidden="false" customHeight="false" outlineLevel="0" collapsed="false">
      <c r="A1081" s="2" t="n">
        <v>3</v>
      </c>
      <c r="B1081" s="2" t="s">
        <v>2499</v>
      </c>
      <c r="C1081" s="2" t="s">
        <v>2500</v>
      </c>
      <c r="D1081" s="2" t="s">
        <v>2486</v>
      </c>
      <c r="E1081" s="2" t="s">
        <v>2244</v>
      </c>
      <c r="F1081" s="2" t="n">
        <v>3419.97977402678</v>
      </c>
      <c r="G1081" s="2" t="n">
        <v>0</v>
      </c>
      <c r="H1081" s="2" t="n">
        <v>3419.97977402678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74.24</v>
      </c>
      <c r="DW1081" s="2" t="n">
        <v>71.97</v>
      </c>
      <c r="DX1081" s="2" t="n">
        <v>0</v>
      </c>
      <c r="DY1081" s="2" t="n">
        <v>80.49</v>
      </c>
      <c r="DZ1081" s="2" t="n">
        <v>79.5</v>
      </c>
      <c r="EA1081" s="2" t="n">
        <v>0</v>
      </c>
      <c r="EB1081" s="2" t="n">
        <v>88.49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 customFormat="false" ht="15" hidden="false" customHeight="false" outlineLevel="0" collapsed="false">
      <c r="A1082" s="2" t="n">
        <v>3</v>
      </c>
      <c r="B1082" s="2" t="s">
        <v>2501</v>
      </c>
      <c r="C1082" s="2" t="s">
        <v>2502</v>
      </c>
      <c r="D1082" s="2" t="s">
        <v>2486</v>
      </c>
      <c r="E1082" s="2" t="s">
        <v>2244</v>
      </c>
      <c r="F1082" s="2" t="n">
        <v>53685.2075920084</v>
      </c>
      <c r="G1082" s="2" t="n">
        <v>0</v>
      </c>
      <c r="H1082" s="2" t="n">
        <v>53685.2075920084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74.24</v>
      </c>
      <c r="DW1082" s="2" t="n">
        <v>71.97</v>
      </c>
      <c r="DX1082" s="2" t="n">
        <v>0</v>
      </c>
      <c r="DY1082" s="2" t="n">
        <v>80.49</v>
      </c>
      <c r="DZ1082" s="2" t="n">
        <v>79.5</v>
      </c>
      <c r="EA1082" s="2" t="n">
        <v>0</v>
      </c>
      <c r="EB1082" s="2" t="n">
        <v>88.49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 customFormat="false" ht="15" hidden="false" customHeight="false" outlineLevel="0" collapsed="false">
      <c r="A1083" s="2" t="n">
        <v>3</v>
      </c>
      <c r="B1083" s="2" t="s">
        <v>2503</v>
      </c>
      <c r="C1083" s="2" t="s">
        <v>2504</v>
      </c>
      <c r="D1083" s="2" t="s">
        <v>2486</v>
      </c>
      <c r="E1083" s="2" t="s">
        <v>2244</v>
      </c>
      <c r="F1083" s="2" t="n">
        <v>1671.81013054742</v>
      </c>
      <c r="G1083" s="2" t="n">
        <v>0</v>
      </c>
      <c r="H1083" s="2" t="n">
        <v>1671.81013054742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74.24</v>
      </c>
      <c r="DW1083" s="2" t="n">
        <v>71.97</v>
      </c>
      <c r="DX1083" s="2" t="n">
        <v>0</v>
      </c>
      <c r="DY1083" s="2" t="n">
        <v>80.49</v>
      </c>
      <c r="DZ1083" s="2" t="n">
        <v>79.5</v>
      </c>
      <c r="EA1083" s="2" t="n">
        <v>0</v>
      </c>
      <c r="EB1083" s="2" t="n">
        <v>88.49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 customFormat="false" ht="15" hidden="false" customHeight="false" outlineLevel="0" collapsed="false">
      <c r="A1084" s="2" t="n">
        <v>3</v>
      </c>
      <c r="B1084" s="2" t="s">
        <v>2505</v>
      </c>
      <c r="C1084" s="2" t="s">
        <v>2506</v>
      </c>
      <c r="D1084" s="2" t="s">
        <v>2486</v>
      </c>
      <c r="E1084" s="2" t="s">
        <v>2244</v>
      </c>
      <c r="F1084" s="2" t="n">
        <v>627.656416323971</v>
      </c>
      <c r="G1084" s="2" t="n">
        <v>0</v>
      </c>
      <c r="H1084" s="2" t="n">
        <v>627.656416323971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74.24</v>
      </c>
      <c r="DW1084" s="2" t="n">
        <v>71.97</v>
      </c>
      <c r="DX1084" s="2" t="n">
        <v>0</v>
      </c>
      <c r="DY1084" s="2" t="n">
        <v>80.49</v>
      </c>
      <c r="DZ1084" s="2" t="n">
        <v>79.5</v>
      </c>
      <c r="EA1084" s="2" t="n">
        <v>0</v>
      </c>
      <c r="EB1084" s="2" t="n">
        <v>88.49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 customFormat="false" ht="15" hidden="false" customHeight="false" outlineLevel="0" collapsed="false">
      <c r="A1085" s="2" t="n">
        <v>3</v>
      </c>
      <c r="B1085" s="2" t="s">
        <v>2507</v>
      </c>
      <c r="C1085" s="2" t="s">
        <v>2508</v>
      </c>
      <c r="D1085" s="2" t="s">
        <v>2486</v>
      </c>
      <c r="E1085" s="2" t="s">
        <v>2244</v>
      </c>
      <c r="F1085" s="2" t="n">
        <v>237789.796721433</v>
      </c>
      <c r="G1085" s="2" t="n">
        <v>0</v>
      </c>
      <c r="H1085" s="2" t="n">
        <v>237789.796721433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74.24</v>
      </c>
      <c r="DW1085" s="2" t="n">
        <v>71.97</v>
      </c>
      <c r="DX1085" s="2" t="n">
        <v>0</v>
      </c>
      <c r="DY1085" s="2" t="n">
        <v>80.49</v>
      </c>
      <c r="DZ1085" s="2" t="n">
        <v>79.5</v>
      </c>
      <c r="EA1085" s="2" t="n">
        <v>0</v>
      </c>
      <c r="EB1085" s="2" t="n">
        <v>88.49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 customFormat="false" ht="15" hidden="false" customHeight="false" outlineLevel="0" collapsed="false">
      <c r="A1086" s="2" t="n">
        <v>2</v>
      </c>
      <c r="B1086" s="2" t="s">
        <v>2509</v>
      </c>
      <c r="C1086" s="2" t="s">
        <v>2510</v>
      </c>
      <c r="D1086" s="2" t="s">
        <v>2486</v>
      </c>
      <c r="E1086" s="2" t="s">
        <v>2244</v>
      </c>
      <c r="F1086" s="2" t="n">
        <v>294453.683641706</v>
      </c>
      <c r="G1086" s="2" t="n">
        <v>0</v>
      </c>
      <c r="H1086" s="2" t="n">
        <v>294453.683641706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74.24</v>
      </c>
      <c r="DW1086" s="2" t="n">
        <v>71.97</v>
      </c>
      <c r="DX1086" s="2" t="n">
        <v>0</v>
      </c>
      <c r="DY1086" s="2" t="n">
        <v>80.49</v>
      </c>
      <c r="DZ1086" s="2" t="n">
        <v>79.5</v>
      </c>
      <c r="EA1086" s="2" t="n">
        <v>0</v>
      </c>
      <c r="EB1086" s="2" t="n">
        <v>88.49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 customFormat="false" ht="15" hidden="false" customHeight="false" outlineLevel="0" collapsed="false">
      <c r="A1087" s="2" t="n">
        <v>3</v>
      </c>
      <c r="B1087" s="2" t="s">
        <v>2511</v>
      </c>
      <c r="C1087" s="2" t="s">
        <v>2512</v>
      </c>
      <c r="D1087" s="2" t="s">
        <v>2486</v>
      </c>
      <c r="E1087" s="2" t="s">
        <v>2244</v>
      </c>
      <c r="F1087" s="2" t="n">
        <v>59340.6230982842</v>
      </c>
      <c r="G1087" s="2" t="n">
        <v>0</v>
      </c>
      <c r="H1087" s="2" t="n">
        <v>59340.6230982842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74.24</v>
      </c>
      <c r="DW1087" s="2" t="n">
        <v>71.97</v>
      </c>
      <c r="DX1087" s="2" t="n">
        <v>0</v>
      </c>
      <c r="DY1087" s="2" t="n">
        <v>80.49</v>
      </c>
      <c r="DZ1087" s="2" t="n">
        <v>79.5</v>
      </c>
      <c r="EA1087" s="2" t="n">
        <v>0</v>
      </c>
      <c r="EB1087" s="2" t="n">
        <v>88.49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 customFormat="false" ht="15" hidden="false" customHeight="false" outlineLevel="0" collapsed="false">
      <c r="A1088" s="2" t="n">
        <v>3</v>
      </c>
      <c r="B1088" s="2" t="s">
        <v>2513</v>
      </c>
      <c r="C1088" s="2" t="s">
        <v>2514</v>
      </c>
      <c r="D1088" s="2" t="s">
        <v>2486</v>
      </c>
      <c r="E1088" s="2" t="s">
        <v>2244</v>
      </c>
      <c r="F1088" s="2" t="n">
        <v>51459.6223096471</v>
      </c>
      <c r="G1088" s="2" t="n">
        <v>0</v>
      </c>
      <c r="H1088" s="2" t="n">
        <v>51459.6223096471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74.24</v>
      </c>
      <c r="DW1088" s="2" t="n">
        <v>71.97</v>
      </c>
      <c r="DX1088" s="2" t="n">
        <v>0</v>
      </c>
      <c r="DY1088" s="2" t="n">
        <v>80.49</v>
      </c>
      <c r="DZ1088" s="2" t="n">
        <v>79.5</v>
      </c>
      <c r="EA1088" s="2" t="n">
        <v>0</v>
      </c>
      <c r="EB1088" s="2" t="n">
        <v>88.49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 customFormat="false" ht="15" hidden="false" customHeight="false" outlineLevel="0" collapsed="false">
      <c r="A1089" s="2" t="n">
        <v>3</v>
      </c>
      <c r="B1089" s="2" t="s">
        <v>2515</v>
      </c>
      <c r="C1089" s="2" t="s">
        <v>2516</v>
      </c>
      <c r="D1089" s="2" t="s">
        <v>2486</v>
      </c>
      <c r="E1089" s="2" t="s">
        <v>2244</v>
      </c>
      <c r="F1089" s="2" t="n">
        <v>183653.438233774</v>
      </c>
      <c r="G1089" s="2" t="n">
        <v>0</v>
      </c>
      <c r="H1089" s="2" t="n">
        <v>183653.438233774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74.24</v>
      </c>
      <c r="DW1089" s="2" t="n">
        <v>71.97</v>
      </c>
      <c r="DX1089" s="2" t="n">
        <v>0</v>
      </c>
      <c r="DY1089" s="2" t="n">
        <v>80.49</v>
      </c>
      <c r="DZ1089" s="2" t="n">
        <v>79.5</v>
      </c>
      <c r="EA1089" s="2" t="n">
        <v>0</v>
      </c>
      <c r="EB1089" s="2" t="n">
        <v>88.49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 customFormat="false" ht="15" hidden="false" customHeight="false" outlineLevel="0" collapsed="false">
      <c r="A1090" s="2" t="n">
        <v>2</v>
      </c>
      <c r="B1090" s="2" t="s">
        <v>2517</v>
      </c>
      <c r="C1090" s="2" t="s">
        <v>2518</v>
      </c>
      <c r="D1090" s="2" t="s">
        <v>2486</v>
      </c>
      <c r="E1090" s="2" t="s">
        <v>2244</v>
      </c>
      <c r="F1090" s="2" t="n">
        <v>207380.718737521</v>
      </c>
      <c r="G1090" s="2" t="n">
        <v>0</v>
      </c>
      <c r="H1090" s="2" t="n">
        <v>207380.718737521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74.24</v>
      </c>
      <c r="DW1090" s="2" t="n">
        <v>71.97</v>
      </c>
      <c r="DX1090" s="2" t="n">
        <v>0</v>
      </c>
      <c r="DY1090" s="2" t="n">
        <v>80.49</v>
      </c>
      <c r="DZ1090" s="2" t="n">
        <v>79.5</v>
      </c>
      <c r="EA1090" s="2" t="n">
        <v>0</v>
      </c>
      <c r="EB1090" s="2" t="n">
        <v>88.49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 customFormat="false" ht="15" hidden="false" customHeight="false" outlineLevel="0" collapsed="false">
      <c r="A1091" s="2" t="n">
        <v>3</v>
      </c>
      <c r="B1091" s="2" t="s">
        <v>2519</v>
      </c>
      <c r="C1091" s="2" t="s">
        <v>2520</v>
      </c>
      <c r="D1091" s="2" t="s">
        <v>2486</v>
      </c>
      <c r="E1091" s="2" t="s">
        <v>2244</v>
      </c>
      <c r="F1091" s="2" t="n">
        <v>139635.845777521</v>
      </c>
      <c r="G1091" s="2" t="n">
        <v>0</v>
      </c>
      <c r="H1091" s="2" t="n">
        <v>139635.845777521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74.24</v>
      </c>
      <c r="DW1091" s="2" t="n">
        <v>71.97</v>
      </c>
      <c r="DX1091" s="2" t="n">
        <v>0</v>
      </c>
      <c r="DY1091" s="2" t="n">
        <v>80.49</v>
      </c>
      <c r="DZ1091" s="2" t="n">
        <v>79.5</v>
      </c>
      <c r="EA1091" s="2" t="n">
        <v>0</v>
      </c>
      <c r="EB1091" s="2" t="n">
        <v>88.49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 customFormat="false" ht="15" hidden="false" customHeight="false" outlineLevel="0" collapsed="false">
      <c r="A1092" s="2" t="n">
        <v>3</v>
      </c>
      <c r="B1092" s="2" t="s">
        <v>2521</v>
      </c>
      <c r="C1092" s="2" t="s">
        <v>2522</v>
      </c>
      <c r="D1092" s="2" t="s">
        <v>2486</v>
      </c>
      <c r="E1092" s="2" t="s">
        <v>2244</v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74.24</v>
      </c>
      <c r="DW1092" s="2" t="n">
        <v>71.97</v>
      </c>
      <c r="DX1092" s="2" t="n">
        <v>0</v>
      </c>
      <c r="DY1092" s="2" t="n">
        <v>80.49</v>
      </c>
      <c r="DZ1092" s="2" t="n">
        <v>79.5</v>
      </c>
      <c r="EA1092" s="2" t="n">
        <v>0</v>
      </c>
      <c r="EB1092" s="2" t="n">
        <v>88.49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 customFormat="false" ht="15" hidden="false" customHeight="false" outlineLevel="0" collapsed="false">
      <c r="A1093" s="2" t="n">
        <v>3</v>
      </c>
      <c r="B1093" s="2" t="s">
        <v>2523</v>
      </c>
      <c r="C1093" s="2" t="s">
        <v>2524</v>
      </c>
      <c r="D1093" s="2" t="s">
        <v>2486</v>
      </c>
      <c r="E1093" s="2" t="s">
        <v>2244</v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74.24</v>
      </c>
      <c r="DW1093" s="2" t="n">
        <v>71.97</v>
      </c>
      <c r="DX1093" s="2" t="n">
        <v>0</v>
      </c>
      <c r="DY1093" s="2" t="n">
        <v>80.49</v>
      </c>
      <c r="DZ1093" s="2" t="n">
        <v>79.5</v>
      </c>
      <c r="EA1093" s="2" t="n">
        <v>0</v>
      </c>
      <c r="EB1093" s="2" t="n">
        <v>88.49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 customFormat="false" ht="15" hidden="false" customHeight="false" outlineLevel="0" collapsed="false">
      <c r="A1094" s="2" t="n">
        <v>3</v>
      </c>
      <c r="B1094" s="2" t="s">
        <v>2525</v>
      </c>
      <c r="C1094" s="2" t="s">
        <v>2526</v>
      </c>
      <c r="D1094" s="2" t="s">
        <v>2486</v>
      </c>
      <c r="E1094" s="2" t="s">
        <v>2244</v>
      </c>
      <c r="F1094" s="2" t="n">
        <v>8764.56</v>
      </c>
      <c r="G1094" s="2" t="n">
        <v>0</v>
      </c>
      <c r="H1094" s="2" t="n">
        <v>8764.56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74.24</v>
      </c>
      <c r="DW1094" s="2" t="n">
        <v>71.97</v>
      </c>
      <c r="DX1094" s="2" t="n">
        <v>0</v>
      </c>
      <c r="DY1094" s="2" t="n">
        <v>80.49</v>
      </c>
      <c r="DZ1094" s="2" t="n">
        <v>79.5</v>
      </c>
      <c r="EA1094" s="2" t="n">
        <v>0</v>
      </c>
      <c r="EB1094" s="2" t="n">
        <v>88.49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 customFormat="false" ht="15" hidden="false" customHeight="false" outlineLevel="0" collapsed="false">
      <c r="A1095" s="2" t="n">
        <v>2</v>
      </c>
      <c r="B1095" s="2" t="s">
        <v>2527</v>
      </c>
      <c r="C1095" s="2" t="s">
        <v>2528</v>
      </c>
      <c r="D1095" s="2" t="s">
        <v>1963</v>
      </c>
      <c r="E1095" s="2" t="s">
        <v>2529</v>
      </c>
      <c r="F1095" s="2" t="n">
        <v>127893.650680816</v>
      </c>
      <c r="G1095" s="2" t="n">
        <v>0</v>
      </c>
      <c r="H1095" s="2" t="n">
        <v>127893.650680816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 customFormat="false" ht="15" hidden="false" customHeight="false" outlineLevel="0" collapsed="false">
      <c r="A1096" s="2" t="n">
        <v>3</v>
      </c>
      <c r="B1096" s="2" t="s">
        <v>2530</v>
      </c>
      <c r="C1096" s="2" t="s">
        <v>2531</v>
      </c>
      <c r="D1096" s="2" t="s">
        <v>1963</v>
      </c>
      <c r="E1096" s="2" t="s">
        <v>2529</v>
      </c>
      <c r="F1096" s="2" t="n">
        <v>82888.86959415</v>
      </c>
      <c r="G1096" s="2" t="n">
        <v>0</v>
      </c>
      <c r="H1096" s="2" t="n">
        <v>82888.86959415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 customFormat="false" ht="15" hidden="false" customHeight="false" outlineLevel="0" collapsed="false">
      <c r="A1097" s="2" t="n">
        <v>3</v>
      </c>
      <c r="B1097" s="2" t="s">
        <v>2532</v>
      </c>
      <c r="C1097" s="2" t="s">
        <v>2533</v>
      </c>
      <c r="D1097" s="2" t="s">
        <v>1963</v>
      </c>
      <c r="E1097" s="2" t="s">
        <v>2529</v>
      </c>
      <c r="F1097" s="2" t="n">
        <v>45004.7810866664</v>
      </c>
      <c r="G1097" s="2" t="n">
        <v>0</v>
      </c>
      <c r="H1097" s="2" t="n">
        <v>45004.7810866664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 customFormat="false" ht="15" hidden="false" customHeight="false" outlineLevel="0" collapsed="false">
      <c r="A1098" s="2" t="n">
        <v>2</v>
      </c>
      <c r="B1098" s="2" t="s">
        <v>2534</v>
      </c>
      <c r="C1098" s="2" t="s">
        <v>2535</v>
      </c>
      <c r="D1098" s="2" t="s">
        <v>2486</v>
      </c>
      <c r="E1098" s="2" t="s">
        <v>2244</v>
      </c>
      <c r="F1098" s="2" t="n">
        <v>61838.0912094491</v>
      </c>
      <c r="G1098" s="2" t="n">
        <v>0</v>
      </c>
      <c r="H1098" s="2" t="n">
        <v>61838.0912094491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74.24</v>
      </c>
      <c r="DW1098" s="2" t="n">
        <v>71.97</v>
      </c>
      <c r="DX1098" s="2" t="n">
        <v>0</v>
      </c>
      <c r="DY1098" s="2" t="n">
        <v>80.49</v>
      </c>
      <c r="DZ1098" s="2" t="n">
        <v>79.5</v>
      </c>
      <c r="EA1098" s="2" t="n">
        <v>0</v>
      </c>
      <c r="EB1098" s="2" t="n">
        <v>88.49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 customFormat="false" ht="15" hidden="false" customHeight="false" outlineLevel="0" collapsed="false">
      <c r="A1099" s="2" t="n">
        <v>3</v>
      </c>
      <c r="B1099" s="2" t="s">
        <v>2536</v>
      </c>
      <c r="C1099" s="2" t="s">
        <v>2537</v>
      </c>
      <c r="D1099" s="2" t="s">
        <v>2486</v>
      </c>
      <c r="E1099" s="2" t="s">
        <v>2244</v>
      </c>
      <c r="F1099" s="2" t="n">
        <v>61838.0912094491</v>
      </c>
      <c r="G1099" s="2" t="n">
        <v>0</v>
      </c>
      <c r="H1099" s="2" t="n">
        <v>61838.0912094491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74.24</v>
      </c>
      <c r="DW1099" s="2" t="n">
        <v>71.97</v>
      </c>
      <c r="DX1099" s="2" t="n">
        <v>0</v>
      </c>
      <c r="DY1099" s="2" t="n">
        <v>80.49</v>
      </c>
      <c r="DZ1099" s="2" t="n">
        <v>79.5</v>
      </c>
      <c r="EA1099" s="2" t="n">
        <v>0</v>
      </c>
      <c r="EB1099" s="2" t="n">
        <v>88.49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 customFormat="false" ht="15" hidden="false" customHeight="false" outlineLevel="0" collapsed="false">
      <c r="A1100" s="2" t="n">
        <v>2</v>
      </c>
      <c r="B1100" s="2" t="s">
        <v>2538</v>
      </c>
      <c r="C1100" s="2" t="s">
        <v>2539</v>
      </c>
      <c r="D1100" s="2" t="s">
        <v>2247</v>
      </c>
      <c r="E1100" s="2" t="s">
        <v>2292</v>
      </c>
      <c r="F1100" s="2" t="n">
        <v>959810.672476156</v>
      </c>
      <c r="G1100" s="2" t="n">
        <v>0</v>
      </c>
      <c r="H1100" s="2" t="n">
        <v>959810.672476156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</v>
      </c>
      <c r="CP1100" s="2" t="n">
        <v>93.01</v>
      </c>
      <c r="CQ1100" s="2" t="n">
        <v>41.35</v>
      </c>
      <c r="CR1100" s="2" t="n">
        <v>93.94</v>
      </c>
      <c r="CS1100" s="2" t="n">
        <v>93.01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 customFormat="false" ht="15" hidden="false" customHeight="false" outlineLevel="0" collapsed="false">
      <c r="A1101" s="2" t="n">
        <v>3</v>
      </c>
      <c r="B1101" s="2" t="s">
        <v>2540</v>
      </c>
      <c r="C1101" s="2" t="s">
        <v>2541</v>
      </c>
      <c r="D1101" s="2" t="s">
        <v>2247</v>
      </c>
      <c r="E1101" s="2" t="s">
        <v>2292</v>
      </c>
      <c r="F1101" s="2" t="n">
        <v>959810.672476156</v>
      </c>
      <c r="G1101" s="2" t="n">
        <v>0</v>
      </c>
      <c r="H1101" s="2" t="n">
        <v>959810.672476156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</v>
      </c>
      <c r="CP1101" s="2" t="n">
        <v>93.01</v>
      </c>
      <c r="CQ1101" s="2" t="n">
        <v>41.35</v>
      </c>
      <c r="CR1101" s="2" t="n">
        <v>93.94</v>
      </c>
      <c r="CS1101" s="2" t="n">
        <v>93.01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 customFormat="false" ht="15" hidden="false" customHeight="false" outlineLevel="0" collapsed="false">
      <c r="A1102" s="2" t="n">
        <v>2</v>
      </c>
      <c r="B1102" s="2" t="s">
        <v>2542</v>
      </c>
      <c r="C1102" s="2" t="s">
        <v>2518</v>
      </c>
      <c r="D1102" s="2" t="s">
        <v>2486</v>
      </c>
      <c r="E1102" s="2" t="s">
        <v>2244</v>
      </c>
      <c r="F1102" s="2" t="n">
        <v>310420.668738986</v>
      </c>
      <c r="G1102" s="2" t="n">
        <v>0</v>
      </c>
      <c r="H1102" s="2" t="n">
        <v>310420.668738986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74.24</v>
      </c>
      <c r="DW1102" s="2" t="n">
        <v>71.97</v>
      </c>
      <c r="DX1102" s="2" t="n">
        <v>0</v>
      </c>
      <c r="DY1102" s="2" t="n">
        <v>80.49</v>
      </c>
      <c r="DZ1102" s="2" t="n">
        <v>79.5</v>
      </c>
      <c r="EA1102" s="2" t="n">
        <v>0</v>
      </c>
      <c r="EB1102" s="2" t="n">
        <v>88.49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 customFormat="false" ht="15" hidden="false" customHeight="false" outlineLevel="0" collapsed="false">
      <c r="A1103" s="2" t="n">
        <v>3</v>
      </c>
      <c r="B1103" s="2" t="s">
        <v>2543</v>
      </c>
      <c r="C1103" s="2" t="s">
        <v>2544</v>
      </c>
      <c r="D1103" s="2" t="s">
        <v>2486</v>
      </c>
      <c r="E1103" s="2" t="s">
        <v>2244</v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74.24</v>
      </c>
      <c r="DW1103" s="2" t="n">
        <v>71.97</v>
      </c>
      <c r="DX1103" s="2" t="n">
        <v>0</v>
      </c>
      <c r="DY1103" s="2" t="n">
        <v>80.49</v>
      </c>
      <c r="DZ1103" s="2" t="n">
        <v>79.5</v>
      </c>
      <c r="EA1103" s="2" t="n">
        <v>0</v>
      </c>
      <c r="EB1103" s="2" t="n">
        <v>88.49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 customFormat="false" ht="15" hidden="false" customHeight="false" outlineLevel="0" collapsed="false">
      <c r="A1104" s="2" t="n">
        <v>3</v>
      </c>
      <c r="B1104" s="2" t="s">
        <v>2545</v>
      </c>
      <c r="C1104" s="2" t="s">
        <v>2546</v>
      </c>
      <c r="D1104" s="2" t="s">
        <v>2486</v>
      </c>
      <c r="E1104" s="2" t="s">
        <v>2244</v>
      </c>
      <c r="F1104" s="2" t="n">
        <v>70903.7310589861</v>
      </c>
      <c r="G1104" s="2" t="n">
        <v>0</v>
      </c>
      <c r="H1104" s="2" t="n">
        <v>70903.7310589861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74.24</v>
      </c>
      <c r="DW1104" s="2" t="n">
        <v>71.97</v>
      </c>
      <c r="DX1104" s="2" t="n">
        <v>0</v>
      </c>
      <c r="DY1104" s="2" t="n">
        <v>80.49</v>
      </c>
      <c r="DZ1104" s="2" t="n">
        <v>79.5</v>
      </c>
      <c r="EA1104" s="2" t="n">
        <v>0</v>
      </c>
      <c r="EB1104" s="2" t="n">
        <v>88.49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 customFormat="false" ht="15" hidden="false" customHeight="false" outlineLevel="0" collapsed="false">
      <c r="A1105" s="2" t="n">
        <v>1</v>
      </c>
      <c r="B1105" s="2" t="s">
        <v>216</v>
      </c>
      <c r="C1105" s="2" t="s">
        <v>217</v>
      </c>
      <c r="D1105" s="2" t="s">
        <v>1590</v>
      </c>
      <c r="E1105" s="2" t="s">
        <v>1591</v>
      </c>
      <c r="F1105" s="2" t="n">
        <v>865987.930944727</v>
      </c>
      <c r="G1105" s="2" t="n">
        <v>0</v>
      </c>
      <c r="H1105" s="2" t="n">
        <v>865987.930944727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 customFormat="false" ht="15" hidden="false" customHeight="false" outlineLevel="0" collapsed="false">
      <c r="A1106" s="2" t="n">
        <v>2</v>
      </c>
      <c r="B1106" s="2" t="s">
        <v>2547</v>
      </c>
      <c r="C1106" s="2" t="s">
        <v>2548</v>
      </c>
      <c r="D1106" s="2" t="s">
        <v>1590</v>
      </c>
      <c r="E1106" s="2" t="s">
        <v>1591</v>
      </c>
      <c r="F1106" s="2" t="n">
        <v>865987.930944727</v>
      </c>
      <c r="G1106" s="2" t="n">
        <v>0</v>
      </c>
      <c r="H1106" s="2" t="n">
        <v>865987.930944727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 customFormat="false" ht="15" hidden="false" customHeight="false" outlineLevel="0" collapsed="false">
      <c r="A1107" s="2" t="n">
        <v>3</v>
      </c>
      <c r="B1107" s="2" t="s">
        <v>2549</v>
      </c>
      <c r="C1107" s="2" t="s">
        <v>2550</v>
      </c>
      <c r="D1107" s="2" t="s">
        <v>1590</v>
      </c>
      <c r="E1107" s="2" t="s">
        <v>1591</v>
      </c>
      <c r="F1107" s="2" t="n">
        <v>91726.8309447269</v>
      </c>
      <c r="G1107" s="2" t="n">
        <v>0</v>
      </c>
      <c r="H1107" s="2" t="n">
        <v>91726.8309447269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 customFormat="false" ht="15" hidden="false" customHeight="false" outlineLevel="0" collapsed="false">
      <c r="A1108" s="2" t="n">
        <v>3</v>
      </c>
      <c r="B1108" s="2" t="s">
        <v>2551</v>
      </c>
      <c r="C1108" s="2" t="s">
        <v>2552</v>
      </c>
      <c r="D1108" s="2" t="s">
        <v>1590</v>
      </c>
      <c r="E1108" s="2" t="s">
        <v>1591</v>
      </c>
      <c r="F1108" s="2" t="n">
        <v>583839.675</v>
      </c>
      <c r="G1108" s="2" t="n">
        <v>0</v>
      </c>
      <c r="H1108" s="2" t="n">
        <v>583839.675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 customFormat="false" ht="15" hidden="false" customHeight="false" outlineLevel="0" collapsed="false">
      <c r="A1109" s="2" t="n">
        <v>3</v>
      </c>
      <c r="B1109" s="2" t="s">
        <v>2553</v>
      </c>
      <c r="C1109" s="2" t="s">
        <v>2554</v>
      </c>
      <c r="D1109" s="2" t="s">
        <v>1590</v>
      </c>
      <c r="E1109" s="2" t="s">
        <v>1591</v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 customFormat="false" ht="15" hidden="false" customHeight="false" outlineLevel="0" collapsed="false">
      <c r="A1110" s="2" t="n">
        <v>3</v>
      </c>
      <c r="B1110" s="2" t="s">
        <v>2555</v>
      </c>
      <c r="C1110" s="2" t="s">
        <v>2556</v>
      </c>
      <c r="D1110" s="2" t="s">
        <v>1590</v>
      </c>
      <c r="E1110" s="2" t="s">
        <v>1591</v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 customFormat="false" ht="15" hidden="false" customHeight="false" outlineLevel="0" collapsed="false">
      <c r="A1111" s="2" t="n">
        <v>3</v>
      </c>
      <c r="B1111" s="2" t="s">
        <v>2557</v>
      </c>
      <c r="C1111" s="2" t="s">
        <v>2558</v>
      </c>
      <c r="D1111" s="2" t="s">
        <v>1590</v>
      </c>
      <c r="E1111" s="2" t="s">
        <v>1591</v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 customFormat="false" ht="15" hidden="false" customHeight="false" outlineLevel="0" collapsed="false">
      <c r="A1112" s="2" t="n">
        <v>1</v>
      </c>
      <c r="B1112" s="2" t="s">
        <v>219</v>
      </c>
      <c r="C1112" s="2" t="s">
        <v>220</v>
      </c>
      <c r="D1112" s="2" t="s">
        <v>2559</v>
      </c>
      <c r="E1112" s="2" t="s">
        <v>2560</v>
      </c>
      <c r="F1112" s="2" t="n">
        <v>856387.89676625</v>
      </c>
      <c r="G1112" s="2" t="n">
        <v>0</v>
      </c>
      <c r="H1112" s="2" t="n">
        <v>856387.89676625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8.45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 customFormat="false" ht="15" hidden="false" customHeight="false" outlineLevel="0" collapsed="false">
      <c r="A1113" s="2" t="n">
        <v>2</v>
      </c>
      <c r="B1113" s="2" t="s">
        <v>2561</v>
      </c>
      <c r="C1113" s="2" t="s">
        <v>2562</v>
      </c>
      <c r="D1113" s="2" t="s">
        <v>2559</v>
      </c>
      <c r="E1113" s="2" t="s">
        <v>2560</v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8.45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 customFormat="false" ht="15" hidden="false" customHeight="false" outlineLevel="0" collapsed="false">
      <c r="A1114" s="2" t="n">
        <v>3</v>
      </c>
      <c r="B1114" s="2" t="s">
        <v>2563</v>
      </c>
      <c r="C1114" s="2" t="s">
        <v>2564</v>
      </c>
      <c r="D1114" s="2" t="s">
        <v>2559</v>
      </c>
      <c r="E1114" s="2" t="s">
        <v>2560</v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8.45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 customFormat="false" ht="15" hidden="false" customHeight="false" outlineLevel="0" collapsed="false">
      <c r="A1115" s="2" t="n">
        <v>3</v>
      </c>
      <c r="B1115" s="2" t="s">
        <v>2565</v>
      </c>
      <c r="C1115" s="2" t="s">
        <v>2566</v>
      </c>
      <c r="D1115" s="2" t="s">
        <v>2559</v>
      </c>
      <c r="E1115" s="2" t="s">
        <v>2560</v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8.45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 customFormat="false" ht="15" hidden="false" customHeight="false" outlineLevel="0" collapsed="false">
      <c r="A1116" s="2" t="n">
        <v>3</v>
      </c>
      <c r="B1116" s="2" t="s">
        <v>2567</v>
      </c>
      <c r="C1116" s="2" t="s">
        <v>2568</v>
      </c>
      <c r="D1116" s="2" t="s">
        <v>2559</v>
      </c>
      <c r="E1116" s="2" t="s">
        <v>2560</v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8.45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 customFormat="false" ht="15" hidden="false" customHeight="false" outlineLevel="0" collapsed="false">
      <c r="A1117" s="2" t="n">
        <v>3</v>
      </c>
      <c r="B1117" s="2" t="s">
        <v>2569</v>
      </c>
      <c r="C1117" s="2" t="s">
        <v>2570</v>
      </c>
      <c r="D1117" s="2" t="s">
        <v>2559</v>
      </c>
      <c r="E1117" s="2" t="s">
        <v>2560</v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8.45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 customFormat="false" ht="15" hidden="false" customHeight="false" outlineLevel="0" collapsed="false">
      <c r="A1118" s="2" t="n">
        <v>2</v>
      </c>
      <c r="B1118" s="2" t="s">
        <v>2571</v>
      </c>
      <c r="C1118" s="2" t="s">
        <v>2572</v>
      </c>
      <c r="D1118" s="2" t="s">
        <v>2559</v>
      </c>
      <c r="E1118" s="2" t="s">
        <v>2560</v>
      </c>
      <c r="F1118" s="2" t="n">
        <v>452387.89676625</v>
      </c>
      <c r="G1118" s="2" t="n">
        <v>0</v>
      </c>
      <c r="H1118" s="2" t="n">
        <v>452387.89676625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8.45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 customFormat="false" ht="15" hidden="false" customHeight="false" outlineLevel="0" collapsed="false">
      <c r="A1119" s="2" t="n">
        <v>3</v>
      </c>
      <c r="B1119" s="2" t="s">
        <v>2573</v>
      </c>
      <c r="C1119" s="2" t="s">
        <v>2574</v>
      </c>
      <c r="D1119" s="2" t="s">
        <v>2559</v>
      </c>
      <c r="E1119" s="2" t="s">
        <v>2560</v>
      </c>
      <c r="F1119" s="2" t="n">
        <v>87505.9598</v>
      </c>
      <c r="G1119" s="2" t="n">
        <v>0</v>
      </c>
      <c r="H1119" s="2" t="n">
        <v>87505.9598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8.45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 customFormat="false" ht="15" hidden="false" customHeight="false" outlineLevel="0" collapsed="false">
      <c r="A1120" s="2" t="n">
        <v>3</v>
      </c>
      <c r="B1120" s="2" t="s">
        <v>2575</v>
      </c>
      <c r="C1120" s="2" t="s">
        <v>2576</v>
      </c>
      <c r="D1120" s="2" t="s">
        <v>2559</v>
      </c>
      <c r="E1120" s="2" t="s">
        <v>2560</v>
      </c>
      <c r="F1120" s="2" t="n">
        <v>209678.50405</v>
      </c>
      <c r="G1120" s="2" t="n">
        <v>0</v>
      </c>
      <c r="H1120" s="2" t="n">
        <v>209678.50405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8.45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 customFormat="false" ht="15" hidden="false" customHeight="false" outlineLevel="0" collapsed="false">
      <c r="A1121" s="2" t="n">
        <v>3</v>
      </c>
      <c r="B1121" s="2" t="s">
        <v>2577</v>
      </c>
      <c r="C1121" s="2" t="s">
        <v>2251</v>
      </c>
      <c r="D1121" s="2" t="s">
        <v>2559</v>
      </c>
      <c r="E1121" s="2" t="s">
        <v>2560</v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8.45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 customFormat="false" ht="15" hidden="false" customHeight="false" outlineLevel="0" collapsed="false">
      <c r="A1122" s="2" t="n">
        <v>3</v>
      </c>
      <c r="B1122" s="2" t="s">
        <v>2578</v>
      </c>
      <c r="C1122" s="2" t="s">
        <v>2579</v>
      </c>
      <c r="D1122" s="2" t="s">
        <v>2559</v>
      </c>
      <c r="E1122" s="2" t="s">
        <v>2560</v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8.45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 customFormat="false" ht="15" hidden="false" customHeight="false" outlineLevel="0" collapsed="false">
      <c r="A1123" s="2" t="n">
        <v>3</v>
      </c>
      <c r="B1123" s="2" t="s">
        <v>2580</v>
      </c>
      <c r="C1123" s="2" t="s">
        <v>2581</v>
      </c>
      <c r="D1123" s="2" t="s">
        <v>2559</v>
      </c>
      <c r="E1123" s="2" t="s">
        <v>2560</v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8.45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 customFormat="false" ht="15" hidden="false" customHeight="false" outlineLevel="0" collapsed="false">
      <c r="A1124" s="2" t="n">
        <v>2</v>
      </c>
      <c r="B1124" s="2" t="s">
        <v>2582</v>
      </c>
      <c r="C1124" s="2" t="s">
        <v>2583</v>
      </c>
      <c r="D1124" s="2" t="s">
        <v>2559</v>
      </c>
      <c r="E1124" s="2" t="s">
        <v>2560</v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8.45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 customFormat="false" ht="15" hidden="false" customHeight="false" outlineLevel="0" collapsed="false">
      <c r="A1125" s="2" t="n">
        <v>3</v>
      </c>
      <c r="B1125" s="2" t="s">
        <v>2584</v>
      </c>
      <c r="C1125" s="2" t="s">
        <v>2585</v>
      </c>
      <c r="D1125" s="2" t="s">
        <v>2559</v>
      </c>
      <c r="E1125" s="2" t="s">
        <v>2560</v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8.45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 customFormat="false" ht="15" hidden="false" customHeight="false" outlineLevel="0" collapsed="false">
      <c r="A1126" s="2" t="n">
        <v>1</v>
      </c>
      <c r="B1126" s="2" t="s">
        <v>221</v>
      </c>
      <c r="C1126" s="2" t="s">
        <v>2586</v>
      </c>
      <c r="D1126" s="2" t="s">
        <v>433</v>
      </c>
      <c r="E1126" s="2" t="s">
        <v>433</v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2587</v>
      </c>
      <c r="M1" s="124" t="s">
        <v>2588</v>
      </c>
    </row>
    <row r="2" customFormat="false" ht="15" hidden="false" customHeight="false" outlineLevel="0" collapsed="false">
      <c r="A2" s="4" t="s">
        <v>2589</v>
      </c>
      <c r="M2" s="2" t="s">
        <v>2590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2591</v>
      </c>
      <c r="M3" s="5" t="str">
        <f aca="false">"Data do retrato: "&amp;TEXT(DAY('RETRATO 2027'!$K$5),"00")&amp;"/"&amp;TEXT(MONTH('RETRATO 2027'!$K$5),"00")&amp;"/"&amp;YEAR('RETRATO 2027'!$K$5)</f>
        <v>Data do retrato: 31/12/2027</v>
      </c>
      <c r="R3" s="3" t="s">
        <v>2592</v>
      </c>
    </row>
    <row r="4" customFormat="false" ht="31.5" hidden="false" customHeight="true" outlineLevel="0" collapsed="false">
      <c r="B4" s="4" t="s">
        <v>2593</v>
      </c>
      <c r="C4" s="4" t="s">
        <v>2594</v>
      </c>
      <c r="D4" s="4" t="s">
        <v>2595</v>
      </c>
      <c r="E4" s="4" t="s">
        <v>2596</v>
      </c>
      <c r="F4" s="4" t="s">
        <v>2597</v>
      </c>
      <c r="G4" s="4" t="s">
        <v>2598</v>
      </c>
      <c r="H4" s="4" t="s">
        <v>2599</v>
      </c>
      <c r="I4" s="4" t="s">
        <v>430</v>
      </c>
      <c r="J4" s="4" t="s">
        <v>431</v>
      </c>
      <c r="K4" s="4" t="s">
        <v>432</v>
      </c>
      <c r="M4" s="54" t="s">
        <v>115</v>
      </c>
      <c r="N4" s="54" t="s">
        <v>2600</v>
      </c>
      <c r="O4" s="54" t="s">
        <v>2601</v>
      </c>
      <c r="R4" s="54" t="s">
        <v>2602</v>
      </c>
      <c r="S4" s="54" t="s">
        <v>115</v>
      </c>
      <c r="T4" s="54" t="s">
        <v>2603</v>
      </c>
      <c r="U4" s="54" t="s">
        <v>2604</v>
      </c>
      <c r="V4" s="54" t="s">
        <v>2605</v>
      </c>
      <c r="W4" s="54" t="s">
        <v>2606</v>
      </c>
      <c r="X4" s="54" t="s">
        <v>2607</v>
      </c>
      <c r="Y4" s="54" t="s">
        <v>2608</v>
      </c>
      <c r="Z4" s="54" t="s">
        <v>2609</v>
      </c>
      <c r="AA4" s="54" t="s">
        <v>2610</v>
      </c>
    </row>
    <row r="5" customFormat="false" ht="15" hidden="false" customHeight="false" outlineLevel="0" collapsed="false">
      <c r="B5" s="4" t="n">
        <v>25914150</v>
      </c>
      <c r="C5" s="4" t="s">
        <v>2611</v>
      </c>
      <c r="D5" s="4" t="s">
        <v>433</v>
      </c>
      <c r="E5" s="4" t="s">
        <v>81</v>
      </c>
      <c r="F5" s="127" t="n">
        <v>45721</v>
      </c>
      <c r="G5" s="127" t="n">
        <v>45790</v>
      </c>
      <c r="H5" s="127" t="n">
        <v>46293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13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2611</v>
      </c>
      <c r="S5" s="4" t="s">
        <v>152</v>
      </c>
      <c r="T5" s="4" t="s">
        <v>2612</v>
      </c>
      <c r="U5" s="4" t="s">
        <v>2613</v>
      </c>
      <c r="V5" s="2" t="n">
        <f aca="false">IF(R5="","",COUNTIF($C$5:$C$6004,R5))</f>
        <v>24</v>
      </c>
      <c r="W5" s="2" t="n">
        <f aca="false">IF(R5="","",COUNTIFS($C$5:$C$6004,R5,$O$5:$O$6004,"CONCLUÍDA"))</f>
        <v>24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Contenções trecho 2: concluído</v>
      </c>
    </row>
    <row r="6" customFormat="false" ht="15" hidden="false" customHeight="false" outlineLevel="0" collapsed="false">
      <c r="B6" s="4" t="n">
        <v>9241307</v>
      </c>
      <c r="C6" s="4" t="s">
        <v>2611</v>
      </c>
      <c r="D6" s="4" t="s">
        <v>2614</v>
      </c>
      <c r="E6" s="4" t="s">
        <v>81</v>
      </c>
      <c r="F6" s="127" t="n">
        <v>45730</v>
      </c>
      <c r="G6" s="127" t="n">
        <v>45748</v>
      </c>
      <c r="H6" s="127" t="n">
        <v>46293</v>
      </c>
      <c r="I6" s="4" t="n">
        <v>100</v>
      </c>
      <c r="J6" s="4" t="n">
        <v>100</v>
      </c>
      <c r="K6" s="4" t="n">
        <v>100</v>
      </c>
      <c r="M6" s="2" t="str">
        <f aca="false">IF(C6="","",IFERROR(INDEX($S$5:$S$304,MATCH(C6,$R$5:$R$304,0))&amp;"","?"))</f>
        <v>13</v>
      </c>
      <c r="N6" s="2" t="str">
        <f aca="false">IF(E6="","",IF(ISNUMBER(SEARCH("SUBSOLO",E6)),IFERROR(-VALUE(LEFT(E6,FIND("º",SUBSTITUTE(E6,"°","º"))-1)),-1),IF(LEFT(E6,6)="TÉRREO",0,IFERROR(VALUE(LEFT(E6,FIND("º",SUBSTITUTE(E6,"°","º"))-1)),""))))</f>
        <v/>
      </c>
      <c r="O6" s="2" t="str">
        <f aca="false">IF(OR(F6="",G6=""),"",IF(G6&lt;='RETRATO 2027'!$K$5,"CONCLUÍDA",IF(F6&lt;='RETRATO 2027'!$K$5,"EM ANDAMENTO","A INICIAR")))</f>
        <v>CONCLUÍDA</v>
      </c>
      <c r="R6" s="4" t="s">
        <v>2615</v>
      </c>
      <c r="S6" s="4" t="s">
        <v>152</v>
      </c>
      <c r="T6" s="4" t="s">
        <v>2616</v>
      </c>
      <c r="U6" s="4" t="s">
        <v>2613</v>
      </c>
      <c r="V6" s="2" t="n">
        <f aca="false">IF(R6="","",COUNTIF($C$5:$C$6004,R6))</f>
        <v>34</v>
      </c>
      <c r="W6" s="2" t="n">
        <f aca="false">IF(R6="","",COUNTIFS($C$5:$C$6004,R6,$O$5:$O$6004,"CONCLUÍDA"))</f>
        <v>34</v>
      </c>
      <c r="X6" s="2" t="n">
        <f aca="false">IF(R6="","",COUNTIFS($C$5:$C$6004,R6,$O$5:$O$6004,"EM ANDAMENTO"))</f>
        <v>0</v>
      </c>
      <c r="Y6" s="2" t="str">
        <f aca="false">IF(R6="","",IF(COUNTIFS($C$5:$C$6004,R6,$O$5:$O$6004,"CONCLUÍDA",$N$5:$N$6004,"&gt;=-99")=0,"",_xlfn.MAXIFS($N$5:$N$6004,$C$5:$C$6004,R6,$O$5:$O$6004,"CONCLUÍDA")))</f>
        <v/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Contenção trecho 6: concluído</v>
      </c>
    </row>
    <row r="7" customFormat="false" ht="15" hidden="false" customHeight="false" outlineLevel="0" collapsed="false">
      <c r="B7" s="4" t="n">
        <v>9241308</v>
      </c>
      <c r="C7" s="4" t="s">
        <v>2611</v>
      </c>
      <c r="D7" s="4" t="s">
        <v>2617</v>
      </c>
      <c r="E7" s="4" t="s">
        <v>81</v>
      </c>
      <c r="F7" s="127" t="n">
        <v>45749</v>
      </c>
      <c r="G7" s="127" t="n">
        <v>45749</v>
      </c>
      <c r="H7" s="127" t="n">
        <v>46293</v>
      </c>
      <c r="I7" s="4" t="n">
        <v>100</v>
      </c>
      <c r="J7" s="4" t="n">
        <v>100</v>
      </c>
      <c r="K7" s="4" t="n">
        <v>100</v>
      </c>
      <c r="M7" s="2" t="str">
        <f aca="false">IF(C7="","",IFERROR(INDEX($S$5:$S$304,MATCH(C7,$R$5:$R$304,0))&amp;"","?"))</f>
        <v>13</v>
      </c>
      <c r="N7" s="2" t="str">
        <f aca="false">IF(E7="","",IF(ISNUMBER(SEARCH("SUBSOLO",E7)),IFERROR(-VALUE(LEFT(E7,FIND("º",SUBSTITUTE(E7,"°","º"))-1)),-1),IF(LEFT(E7,6)="TÉRREO",0,IFERROR(VALUE(LEFT(E7,FIND("º",SUBSTITUTE(E7,"°","º"))-1)),""))))</f>
        <v/>
      </c>
      <c r="O7" s="2" t="str">
        <f aca="false">IF(OR(F7="",G7=""),"",IF(G7&lt;='RETRATO 2027'!$K$5,"CONCLUÍDA",IF(F7&lt;='RETRATO 2027'!$K$5,"EM ANDAMENTO","A INICIAR")))</f>
        <v>CONCLUÍDA</v>
      </c>
      <c r="R7" s="4" t="s">
        <v>2618</v>
      </c>
      <c r="S7" s="4" t="s">
        <v>152</v>
      </c>
      <c r="T7" s="4" t="s">
        <v>2619</v>
      </c>
      <c r="U7" s="4" t="s">
        <v>2620</v>
      </c>
      <c r="V7" s="2" t="n">
        <f aca="false">IF(R7="","",COUNTIF($C$5:$C$6004,R7))</f>
        <v>1</v>
      </c>
      <c r="W7" s="2" t="n">
        <f aca="false">IF(R7="","",COUNTIFS($C$5:$C$6004,R7,$O$5:$O$6004,"CONCLUÍDA"))</f>
        <v>1</v>
      </c>
      <c r="X7" s="2" t="n">
        <f aca="false">IF(R7="","",COUNTIFS($C$5:$C$6004,R7,$O$5:$O$6004,"EM ANDAMENTO"))</f>
        <v>0</v>
      </c>
      <c r="Y7" s="2" t="str">
        <f aca="false">IF(R7="","",IF(COUNTIFS($C$5:$C$6004,R7,$O$5:$O$6004,"CONCLUÍDA",$N$5:$N$6004,"&gt;=-99")=0,"",_xlfn.MAXIFS($N$5:$N$6004,$C$5:$C$6004,R7,$O$5:$O$6004,"CONCLUÍDA")))</f>
        <v/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 customFormat="false" ht="15" hidden="false" customHeight="false" outlineLevel="0" collapsed="false">
      <c r="B8" s="4" t="n">
        <v>9241309</v>
      </c>
      <c r="C8" s="4" t="s">
        <v>2611</v>
      </c>
      <c r="D8" s="4" t="s">
        <v>2621</v>
      </c>
      <c r="E8" s="4" t="s">
        <v>81</v>
      </c>
      <c r="F8" s="127" t="n">
        <v>45721</v>
      </c>
      <c r="G8" s="127" t="n">
        <v>45728</v>
      </c>
      <c r="H8" s="127" t="n">
        <v>46293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13</v>
      </c>
      <c r="N8" s="2" t="str">
        <f aca="false">IF(E8="","",IF(ISNUMBER(SEARCH("SUBSOLO",E8)),IFERROR(-VALUE(LEFT(E8,FIND("º",SUBSTITUTE(E8,"°","º"))-1)),-1),IF(LEFT(E8,6)="TÉRREO",0,IFERROR(VALUE(LEFT(E8,FIND("º",SUBSTITUTE(E8,"°","º"))-1)),""))))</f>
        <v/>
      </c>
      <c r="O8" s="2" t="str">
        <f aca="false">IF(OR(F8="",G8=""),"",IF(G8&lt;='RETRATO 2027'!$K$5,"CONCLUÍDA",IF(F8&lt;='RETRATO 2027'!$K$5,"EM ANDAMENTO","A INICIAR")))</f>
        <v>CONCLUÍDA</v>
      </c>
      <c r="R8" s="4" t="s">
        <v>2622</v>
      </c>
      <c r="S8" s="4" t="s">
        <v>156</v>
      </c>
      <c r="T8" s="4" t="s">
        <v>2623</v>
      </c>
      <c r="U8" s="4" t="s">
        <v>2613</v>
      </c>
      <c r="V8" s="2" t="n">
        <f aca="false">IF(R8="","",COUNTIF($C$5:$C$6004,R8))</f>
        <v>11</v>
      </c>
      <c r="W8" s="2" t="n">
        <f aca="false">IF(R8="","",COUNTIFS($C$5:$C$6004,R8,$O$5:$O$6004,"CONCLUÍDA"))</f>
        <v>11</v>
      </c>
      <c r="X8" s="2" t="n">
        <f aca="false">IF(R8="","",COUNTIFS($C$5:$C$6004,R8,$O$5:$O$6004,"EM ANDAMENTO"))</f>
        <v>0</v>
      </c>
      <c r="Y8" s="2" t="str">
        <f aca="false">IF(R8="","",IF(COUNTIFS($C$5:$C$6004,R8,$O$5:$O$6004,"CONCLUÍDA",$N$5:$N$6004,"&gt;=-99")=0,"",_xlfn.MAXIFS($N$5:$N$6004,$C$5:$C$6004,R8,$O$5:$O$6004,"CONCLUÍDA")))</f>
        <v/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>Primeira praça de trabalho - tubulões: concluído</v>
      </c>
    </row>
    <row r="9" customFormat="false" ht="15" hidden="false" customHeight="false" outlineLevel="0" collapsed="false">
      <c r="B9" s="4" t="n">
        <v>9241310</v>
      </c>
      <c r="C9" s="4" t="s">
        <v>2611</v>
      </c>
      <c r="D9" s="4" t="s">
        <v>2624</v>
      </c>
      <c r="E9" s="4" t="s">
        <v>81</v>
      </c>
      <c r="F9" s="127" t="n">
        <v>45729</v>
      </c>
      <c r="G9" s="127" t="n">
        <v>45729</v>
      </c>
      <c r="H9" s="127" t="n">
        <v>46293</v>
      </c>
      <c r="I9" s="4" t="n">
        <v>100</v>
      </c>
      <c r="J9" s="4" t="n">
        <v>100</v>
      </c>
      <c r="K9" s="4" t="n">
        <v>100</v>
      </c>
      <c r="M9" s="2" t="str">
        <f aca="false">IF(C9="","",IFERROR(INDEX($S$5:$S$304,MATCH(C9,$R$5:$R$304,0))&amp;"","?"))</f>
        <v>13</v>
      </c>
      <c r="N9" s="2" t="str">
        <f aca="false">IF(E9="","",IF(ISNUMBER(SEARCH("SUBSOLO",E9)),IFERROR(-VALUE(LEFT(E9,FIND("º",SUBSTITUTE(E9,"°","º"))-1)),-1),IF(LEFT(E9,6)="TÉRREO",0,IFERROR(VALUE(LEFT(E9,FIND("º",SUBSTITUTE(E9,"°","º"))-1)),""))))</f>
        <v/>
      </c>
      <c r="O9" s="2" t="str">
        <f aca="false">IF(OR(F9="",G9=""),"",IF(G9&lt;='RETRATO 2027'!$K$5,"CONCLUÍDA",IF(F9&lt;='RETRATO 2027'!$K$5,"EM ANDAMENTO","A INICIAR")))</f>
        <v>CONCLUÍDA</v>
      </c>
      <c r="R9" s="4" t="s">
        <v>2625</v>
      </c>
      <c r="S9" s="4" t="s">
        <v>156</v>
      </c>
      <c r="T9" s="4" t="s">
        <v>2626</v>
      </c>
      <c r="U9" s="4" t="s">
        <v>2620</v>
      </c>
      <c r="V9" s="2" t="n">
        <f aca="false">IF(R9="","",COUNTIF($C$5:$C$6004,R9))</f>
        <v>1</v>
      </c>
      <c r="W9" s="2" t="n">
        <f aca="false">IF(R9="","",COUNTIFS($C$5:$C$6004,R9,$O$5:$O$6004,"CONCLUÍDA"))</f>
        <v>1</v>
      </c>
      <c r="X9" s="2" t="n">
        <f aca="false">IF(R9="","",COUNTIFS($C$5:$C$6004,R9,$O$5:$O$6004,"EM ANDAMENTO"))</f>
        <v>0</v>
      </c>
      <c r="Y9" s="2" t="str">
        <f aca="false">IF(R9="","",IF(COUNTIFS($C$5:$C$6004,R9,$O$5:$O$6004,"CONCLUÍDA",$N$5:$N$6004,"&gt;=-99")=0,"",_xlfn.MAXIFS($N$5:$N$6004,$C$5:$C$6004,R9,$O$5:$O$6004,"CONCLUÍDA")))</f>
        <v/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 customFormat="false" ht="15" hidden="false" customHeight="false" outlineLevel="0" collapsed="false">
      <c r="B10" s="4" t="n">
        <v>9241311</v>
      </c>
      <c r="C10" s="4" t="s">
        <v>2611</v>
      </c>
      <c r="D10" s="4" t="s">
        <v>2627</v>
      </c>
      <c r="E10" s="4" t="s">
        <v>81</v>
      </c>
      <c r="F10" s="127" t="n">
        <v>45721</v>
      </c>
      <c r="G10" s="127" t="n">
        <v>45728</v>
      </c>
      <c r="H10" s="127" t="n">
        <v>46293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13</v>
      </c>
      <c r="N10" s="2" t="str">
        <f aca="false">IF(E10="","",IF(ISNUMBER(SEARCH("SUBSOLO",E10)),IFERROR(-VALUE(LEFT(E10,FIND("º",SUBSTITUTE(E10,"°","º"))-1)),-1),IF(LEFT(E10,6)="TÉRREO",0,IFERROR(VALUE(LEFT(E10,FIND("º",SUBSTITUTE(E10,"°","º"))-1)),""))))</f>
        <v/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2628</v>
      </c>
      <c r="S10" s="4" t="s">
        <v>152</v>
      </c>
      <c r="T10" s="4" t="s">
        <v>2629</v>
      </c>
      <c r="U10" s="4" t="s">
        <v>2613</v>
      </c>
      <c r="V10" s="2" t="n">
        <f aca="false">IF(R10="","",COUNTIF($C$5:$C$6004,R10))</f>
        <v>24</v>
      </c>
      <c r="W10" s="2" t="n">
        <f aca="false">IF(R10="","",COUNTIFS($C$5:$C$6004,R10,$O$5:$O$6004,"CONCLUÍDA"))</f>
        <v>24</v>
      </c>
      <c r="X10" s="2" t="n">
        <f aca="false">IF(R10="","",COUNTIFS($C$5:$C$6004,R10,$O$5:$O$6004,"EM ANDAMENTO"))</f>
        <v>0</v>
      </c>
      <c r="Y10" s="2" t="str">
        <f aca="false">IF(R10="","",IF(COUNTIFS($C$5:$C$6004,R10,$O$5:$O$6004,"CONCLUÍDA",$N$5:$N$6004,"&gt;=-99")=0,"",_xlfn.MAXIFS($N$5:$N$6004,$C$5:$C$6004,R10,$O$5:$O$6004,"CONCLUÍDA")))</f>
        <v/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>Contenção trecho 7: concluído</v>
      </c>
    </row>
    <row r="11" customFormat="false" ht="15" hidden="false" customHeight="false" outlineLevel="0" collapsed="false">
      <c r="B11" s="4" t="n">
        <v>9241312</v>
      </c>
      <c r="C11" s="4" t="s">
        <v>2611</v>
      </c>
      <c r="D11" s="4" t="s">
        <v>2630</v>
      </c>
      <c r="E11" s="4" t="s">
        <v>81</v>
      </c>
      <c r="F11" s="127" t="n">
        <v>45729</v>
      </c>
      <c r="G11" s="127" t="n">
        <v>45729</v>
      </c>
      <c r="H11" s="127" t="n">
        <v>46293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13</v>
      </c>
      <c r="N11" s="2" t="str">
        <f aca="false">IF(E11="","",IF(ISNUMBER(SEARCH("SUBSOLO",E11)),IFERROR(-VALUE(LEFT(E11,FIND("º",SUBSTITUTE(E11,"°","º"))-1)),-1),IF(LEFT(E11,6)="TÉRREO",0,IFERROR(VALUE(LEFT(E11,FIND("º",SUBSTITUTE(E11,"°","º"))-1)),""))))</f>
        <v/>
      </c>
      <c r="O11" s="2" t="str">
        <f aca="false">IF(OR(F11="",G11=""),"",IF(G11&lt;='RETRATO 2027'!$K$5,"CONCLUÍDA",IF(F11&lt;='RETRATO 2027'!$K$5,"EM ANDAMENTO","A INICIAR")))</f>
        <v>CONCLUÍDA</v>
      </c>
      <c r="R11" s="4" t="s">
        <v>2631</v>
      </c>
      <c r="S11" s="4" t="s">
        <v>156</v>
      </c>
      <c r="T11" s="4" t="s">
        <v>2632</v>
      </c>
      <c r="U11" s="4" t="s">
        <v>2613</v>
      </c>
      <c r="V11" s="2" t="n">
        <f aca="false">IF(R11="","",COUNTIF($C$5:$C$6004,R11))</f>
        <v>10</v>
      </c>
      <c r="W11" s="2" t="n">
        <f aca="false">IF(R11="","",COUNTIFS($C$5:$C$6004,R11,$O$5:$O$6004,"CONCLUÍDA"))</f>
        <v>10</v>
      </c>
      <c r="X11" s="2" t="n">
        <f aca="false">IF(R11="","",COUNTIFS($C$5:$C$6004,R11,$O$5:$O$6004,"EM ANDAMENTO"))</f>
        <v>0</v>
      </c>
      <c r="Y11" s="2" t="str">
        <f aca="false">IF(R11="","",IF(COUNTIFS($C$5:$C$6004,R11,$O$5:$O$6004,"CONCLUÍDA",$N$5:$N$6004,"&gt;=-99")=0,"",_xlfn.MAXIFS($N$5:$N$6004,$C$5:$C$6004,R11,$O$5:$O$6004,"CONCLUÍDA")))</f>
        <v/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>Fundações acesso frontal: concluído</v>
      </c>
    </row>
    <row r="12" customFormat="false" ht="15" hidden="false" customHeight="false" outlineLevel="0" collapsed="false">
      <c r="B12" s="4" t="n">
        <v>9241313</v>
      </c>
      <c r="C12" s="4" t="s">
        <v>2611</v>
      </c>
      <c r="D12" s="4" t="s">
        <v>2633</v>
      </c>
      <c r="E12" s="4" t="s">
        <v>81</v>
      </c>
      <c r="F12" s="127" t="n">
        <v>45756</v>
      </c>
      <c r="G12" s="127" t="n">
        <v>45764</v>
      </c>
      <c r="H12" s="127" t="n">
        <v>46293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13</v>
      </c>
      <c r="N12" s="2" t="str">
        <f aca="false">IF(E12="","",IF(ISNUMBER(SEARCH("SUBSOLO",E12)),IFERROR(-VALUE(LEFT(E12,FIND("º",SUBSTITUTE(E12,"°","º"))-1)),-1),IF(LEFT(E12,6)="TÉRREO",0,IFERROR(VALUE(LEFT(E12,FIND("º",SUBSTITUTE(E12,"°","º"))-1)),""))))</f>
        <v/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2634</v>
      </c>
      <c r="S12" s="4" t="s">
        <v>152</v>
      </c>
      <c r="T12" s="4" t="s">
        <v>2635</v>
      </c>
      <c r="U12" s="4" t="s">
        <v>2613</v>
      </c>
      <c r="V12" s="2" t="n">
        <f aca="false">IF(R12="","",COUNTIF($C$5:$C$6004,R12))</f>
        <v>24</v>
      </c>
      <c r="W12" s="2" t="n">
        <f aca="false">IF(R12="","",COUNTIFS($C$5:$C$6004,R12,$O$5:$O$6004,"CONCLUÍDA"))</f>
        <v>24</v>
      </c>
      <c r="X12" s="2" t="n">
        <f aca="false">IF(R12="","",COUNTIFS($C$5:$C$6004,R12,$O$5:$O$6004,"EM ANDAMENTO"))</f>
        <v>0</v>
      </c>
      <c r="Y12" s="2" t="str">
        <f aca="false">IF(R12="","",IF(COUNTIFS($C$5:$C$6004,R12,$O$5:$O$6004,"CONCLUÍDA",$N$5:$N$6004,"&gt;=-99")=0,"",_xlfn.MAXIFS($N$5:$N$6004,$C$5:$C$6004,R12,$O$5:$O$6004,"CONCLUÍDA")))</f>
        <v/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>Contenção trecho 4: concluído</v>
      </c>
    </row>
    <row r="13" customFormat="false" ht="15" hidden="false" customHeight="false" outlineLevel="0" collapsed="false">
      <c r="B13" s="4" t="n">
        <v>9241314</v>
      </c>
      <c r="C13" s="4" t="s">
        <v>2611</v>
      </c>
      <c r="D13" s="4" t="s">
        <v>2636</v>
      </c>
      <c r="E13" s="4" t="s">
        <v>81</v>
      </c>
      <c r="F13" s="127" t="n">
        <v>45769</v>
      </c>
      <c r="G13" s="127" t="n">
        <v>45769</v>
      </c>
      <c r="H13" s="127" t="n">
        <v>46293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13</v>
      </c>
      <c r="N13" s="2" t="str">
        <f aca="false">IF(E13="","",IF(ISNUMBER(SEARCH("SUBSOLO",E13)),IFERROR(-VALUE(LEFT(E13,FIND("º",SUBSTITUTE(E13,"°","º"))-1)),-1),IF(LEFT(E13,6)="TÉRREO",0,IFERROR(VALUE(LEFT(E13,FIND("º",SUBSTITUTE(E13,"°","º"))-1)),""))))</f>
        <v/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2637</v>
      </c>
      <c r="S13" s="4" t="s">
        <v>158</v>
      </c>
      <c r="T13" s="4" t="s">
        <v>2638</v>
      </c>
      <c r="U13" s="4" t="s">
        <v>2613</v>
      </c>
      <c r="V13" s="2" t="n">
        <f aca="false">IF(R13="","",COUNTIF($C$5:$C$6004,R13))</f>
        <v>55</v>
      </c>
      <c r="W13" s="2" t="n">
        <f aca="false">IF(R13="","",COUNTIFS($C$5:$C$6004,R13,$O$5:$O$6004,"CONCLUÍDA"))</f>
        <v>55</v>
      </c>
      <c r="X13" s="2" t="n">
        <f aca="false">IF(R13="","",COUNTIFS($C$5:$C$6004,R13,$O$5:$O$6004,"EM ANDAMENTO"))</f>
        <v>0</v>
      </c>
      <c r="Y13" s="2" t="str">
        <f aca="false">IF(R13="","",IF(COUNTIFS($C$5:$C$6004,R13,$O$5:$O$6004,"CONCLUÍDA",$N$5:$N$6004,"&gt;=-99")=0,"",_xlfn.MAXIFS($N$5:$N$6004,$C$5:$C$6004,R13,$O$5:$O$6004,"CONCLUÍDA")))</f>
        <v/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>Blocos e cintas - periferia alameda: concluído</v>
      </c>
    </row>
    <row r="14" customFormat="false" ht="15" hidden="false" customHeight="false" outlineLevel="0" collapsed="false">
      <c r="B14" s="4" t="n">
        <v>9241315</v>
      </c>
      <c r="C14" s="4" t="s">
        <v>2611</v>
      </c>
      <c r="D14" s="4" t="s">
        <v>2639</v>
      </c>
      <c r="E14" s="4" t="s">
        <v>81</v>
      </c>
      <c r="F14" s="127" t="n">
        <v>45744</v>
      </c>
      <c r="G14" s="127" t="n">
        <v>45754</v>
      </c>
      <c r="H14" s="127" t="n">
        <v>46293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13</v>
      </c>
      <c r="N14" s="2" t="str">
        <f aca="false">IF(E14="","",IF(ISNUMBER(SEARCH("SUBSOLO",E14)),IFERROR(-VALUE(LEFT(E14,FIND("º",SUBSTITUTE(E14,"°","º"))-1)),-1),IF(LEFT(E14,6)="TÉRREO",0,IFERROR(VALUE(LEFT(E14,FIND("º",SUBSTITUTE(E14,"°","º"))-1)),""))))</f>
        <v/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2640</v>
      </c>
      <c r="S14" s="4" t="s">
        <v>156</v>
      </c>
      <c r="T14" s="4" t="s">
        <v>2641</v>
      </c>
      <c r="U14" s="4" t="s">
        <v>2613</v>
      </c>
      <c r="V14" s="2" t="n">
        <f aca="false">IF(R14="","",COUNTIF($C$5:$C$6004,R14))</f>
        <v>10</v>
      </c>
      <c r="W14" s="2" t="n">
        <f aca="false">IF(R14="","",COUNTIFS($C$5:$C$6004,R14,$O$5:$O$6004,"CONCLUÍDA"))</f>
        <v>10</v>
      </c>
      <c r="X14" s="2" t="n">
        <f aca="false">IF(R14="","",COUNTIFS($C$5:$C$6004,R14,$O$5:$O$6004,"EM ANDAMENTO"))</f>
        <v>0</v>
      </c>
      <c r="Y14" s="2" t="str">
        <f aca="false">IF(R14="","",IF(COUNTIFS($C$5:$C$6004,R14,$O$5:$O$6004,"CONCLUÍDA",$N$5:$N$6004,"&gt;=-99")=0,"",_xlfn.MAXIFS($N$5:$N$6004,$C$5:$C$6004,R14,$O$5:$O$6004,"CONCLUÍDA")))</f>
        <v/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>Fundações primeira praça de trabalho: concluído</v>
      </c>
    </row>
    <row r="15" customFormat="false" ht="15" hidden="false" customHeight="false" outlineLevel="0" collapsed="false">
      <c r="B15" s="4" t="n">
        <v>9241316</v>
      </c>
      <c r="C15" s="4" t="s">
        <v>2611</v>
      </c>
      <c r="D15" s="4" t="s">
        <v>2642</v>
      </c>
      <c r="E15" s="4" t="s">
        <v>81</v>
      </c>
      <c r="F15" s="127" t="n">
        <v>45755</v>
      </c>
      <c r="G15" s="127" t="n">
        <v>45755</v>
      </c>
      <c r="H15" s="127" t="n">
        <v>46293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13</v>
      </c>
      <c r="N15" s="2" t="str">
        <f aca="false">IF(E15="","",IF(ISNUMBER(SEARCH("SUBSOLO",E15)),IFERROR(-VALUE(LEFT(E15,FIND("º",SUBSTITUTE(E15,"°","º"))-1)),-1),IF(LEFT(E15,6)="TÉRREO",0,IFERROR(VALUE(LEFT(E15,FIND("º",SUBSTITUTE(E15,"°","º"))-1)),""))))</f>
        <v/>
      </c>
      <c r="O15" s="2" t="str">
        <f aca="false">IF(OR(F15="",G15=""),"",IF(G15&lt;='RETRATO 2027'!$K$5,"CONCLUÍDA",IF(F15&lt;='RETRATO 2027'!$K$5,"EM ANDAMENTO","A INICIAR")))</f>
        <v>CONCLUÍDA</v>
      </c>
      <c r="R15" s="4" t="s">
        <v>2643</v>
      </c>
      <c r="S15" s="4" t="s">
        <v>149</v>
      </c>
      <c r="T15" s="4" t="s">
        <v>2644</v>
      </c>
      <c r="U15" s="4" t="s">
        <v>2613</v>
      </c>
      <c r="V15" s="2" t="n">
        <f aca="false">IF(R15="","",COUNTIF($C$5:$C$6004,R15))</f>
        <v>4</v>
      </c>
      <c r="W15" s="2" t="n">
        <f aca="false">IF(R15="","",COUNTIFS($C$5:$C$6004,R15,$O$5:$O$6004,"CONCLUÍDA"))</f>
        <v>4</v>
      </c>
      <c r="X15" s="2" t="n">
        <f aca="false">IF(R15="","",COUNTIFS($C$5:$C$6004,R15,$O$5:$O$6004,"EM ANDAMENTO"))</f>
        <v>0</v>
      </c>
      <c r="Y15" s="2" t="str">
        <f aca="false">IF(R15="","",IF(COUNTIFS($C$5:$C$6004,R15,$O$5:$O$6004,"CONCLUÍDA",$N$5:$N$6004,"&gt;=-99")=0,"",_xlfn.MAXIFS($N$5:$N$6004,$C$5:$C$6004,R15,$O$5:$O$6004,"CONCLUÍDA")))</f>
        <v/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>Serviços iniciais - adequação para início das estacas: concluído</v>
      </c>
    </row>
    <row r="16" customFormat="false" ht="15" hidden="false" customHeight="false" outlineLevel="0" collapsed="false">
      <c r="B16" s="4" t="n">
        <v>9241317</v>
      </c>
      <c r="C16" s="4" t="s">
        <v>2611</v>
      </c>
      <c r="D16" s="4" t="s">
        <v>2645</v>
      </c>
      <c r="E16" s="4" t="s">
        <v>81</v>
      </c>
      <c r="F16" s="127" t="n">
        <v>45756</v>
      </c>
      <c r="G16" s="127" t="n">
        <v>45764</v>
      </c>
      <c r="H16" s="127" t="n">
        <v>46293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13</v>
      </c>
      <c r="N16" s="2" t="str">
        <f aca="false">IF(E16="","",IF(ISNUMBER(SEARCH("SUBSOLO",E16)),IFERROR(-VALUE(LEFT(E16,FIND("º",SUBSTITUTE(E16,"°","º"))-1)),-1),IF(LEFT(E16,6)="TÉRREO",0,IFERROR(VALUE(LEFT(E16,FIND("º",SUBSTITUTE(E16,"°","º"))-1)),""))))</f>
        <v/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2646</v>
      </c>
      <c r="S16" s="4" t="s">
        <v>152</v>
      </c>
      <c r="T16" s="4" t="s">
        <v>2647</v>
      </c>
      <c r="U16" s="4" t="s">
        <v>2620</v>
      </c>
      <c r="V16" s="2" t="n">
        <f aca="false">IF(R16="","",COUNTIF($C$5:$C$6004,R16))</f>
        <v>1</v>
      </c>
      <c r="W16" s="2" t="n">
        <f aca="false">IF(R16="","",COUNTIFS($C$5:$C$6004,R16,$O$5:$O$6004,"CONCLUÍDA"))</f>
        <v>1</v>
      </c>
      <c r="X16" s="2" t="n">
        <f aca="false">IF(R16="","",COUNTIFS($C$5:$C$6004,R16,$O$5:$O$6004,"EM ANDAMENTO"))</f>
        <v>0</v>
      </c>
      <c r="Y16" s="2" t="str">
        <f aca="false">IF(R16="","",IF(COUNTIFS($C$5:$C$6004,R16,$O$5:$O$6004,"CONCLUÍDA",$N$5:$N$6004,"&gt;=-99")=0,"",_xlfn.MAXIFS($N$5:$N$6004,$C$5:$C$6004,R16,$O$5:$O$6004,"CONCLUÍDA")))</f>
        <v/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 customFormat="false" ht="15" hidden="false" customHeight="false" outlineLevel="0" collapsed="false">
      <c r="B17" s="4" t="n">
        <v>9241318</v>
      </c>
      <c r="C17" s="4" t="s">
        <v>2611</v>
      </c>
      <c r="D17" s="4" t="s">
        <v>2648</v>
      </c>
      <c r="E17" s="4" t="s">
        <v>81</v>
      </c>
      <c r="F17" s="127" t="n">
        <v>45769</v>
      </c>
      <c r="G17" s="127" t="n">
        <v>45769</v>
      </c>
      <c r="H17" s="127" t="n">
        <v>46293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13</v>
      </c>
      <c r="N17" s="2" t="str">
        <f aca="false">IF(E17="","",IF(ISNUMBER(SEARCH("SUBSOLO",E17)),IFERROR(-VALUE(LEFT(E17,FIND("º",SUBSTITUTE(E17,"°","º"))-1)),-1),IF(LEFT(E17,6)="TÉRREO",0,IFERROR(VALUE(LEFT(E17,FIND("º",SUBSTITUTE(E17,"°","º"))-1)),""))))</f>
        <v/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2649</v>
      </c>
      <c r="S17" s="4" t="s">
        <v>158</v>
      </c>
      <c r="T17" s="4" t="s">
        <v>2650</v>
      </c>
      <c r="U17" s="4" t="s">
        <v>2620</v>
      </c>
      <c r="V17" s="2" t="n">
        <f aca="false">IF(R17="","",COUNTIF($C$5:$C$6004,R17))</f>
        <v>1</v>
      </c>
      <c r="W17" s="2" t="n">
        <f aca="false">IF(R17="","",COUNTIFS($C$5:$C$6004,R17,$O$5:$O$6004,"CONCLUÍDA"))</f>
        <v>1</v>
      </c>
      <c r="X17" s="2" t="n">
        <f aca="false">IF(R17="","",COUNTIFS($C$5:$C$6004,R17,$O$5:$O$6004,"EM ANDAMENTO"))</f>
        <v>0</v>
      </c>
      <c r="Y17" s="2" t="str">
        <f aca="false">IF(R17="","",IF(COUNTIFS($C$5:$C$6004,R17,$O$5:$O$6004,"CONCLUÍDA",$N$5:$N$6004,"&gt;=-99")=0,"",_xlfn.MAXIFS($N$5:$N$6004,$C$5:$C$6004,R17,$O$5:$O$6004,"CONCLUÍDA")))</f>
        <v/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 customFormat="false" ht="15" hidden="false" customHeight="false" outlineLevel="0" collapsed="false">
      <c r="B18" s="4" t="n">
        <v>9241319</v>
      </c>
      <c r="C18" s="4" t="s">
        <v>2611</v>
      </c>
      <c r="D18" s="4" t="s">
        <v>2651</v>
      </c>
      <c r="E18" s="4" t="s">
        <v>81</v>
      </c>
      <c r="F18" s="127" t="n">
        <v>45721</v>
      </c>
      <c r="G18" s="127" t="n">
        <v>45729</v>
      </c>
      <c r="H18" s="127" t="n">
        <v>46293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13</v>
      </c>
      <c r="N18" s="2" t="str">
        <f aca="false">IF(E18="","",IF(ISNUMBER(SEARCH("SUBSOLO",E18)),IFERROR(-VALUE(LEFT(E18,FIND("º",SUBSTITUTE(E18,"°","º"))-1)),-1),IF(LEFT(E18,6)="TÉRREO",0,IFERROR(VALUE(LEFT(E18,FIND("º",SUBSTITUTE(E18,"°","º"))-1)),""))))</f>
        <v/>
      </c>
      <c r="O18" s="2" t="str">
        <f aca="false">IF(OR(F18="",G18=""),"",IF(G18&lt;='RETRATO 2027'!$K$5,"CONCLUÍDA",IF(F18&lt;='RETRATO 2027'!$K$5,"EM ANDAMENTO","A INICIAR")))</f>
        <v>CONCLUÍDA</v>
      </c>
      <c r="R18" s="4" t="s">
        <v>2652</v>
      </c>
      <c r="S18" s="4" t="s">
        <v>156</v>
      </c>
      <c r="T18" s="4" t="s">
        <v>2653</v>
      </c>
      <c r="U18" s="4" t="s">
        <v>2613</v>
      </c>
      <c r="V18" s="2" t="n">
        <f aca="false">IF(R18="","",COUNTIF($C$5:$C$6004,R18))</f>
        <v>62</v>
      </c>
      <c r="W18" s="2" t="n">
        <f aca="false">IF(R18="","",COUNTIFS($C$5:$C$6004,R18,$O$5:$O$6004,"CONCLUÍDA"))</f>
        <v>62</v>
      </c>
      <c r="X18" s="2" t="n">
        <f aca="false">IF(R18="","",COUNTIFS($C$5:$C$6004,R18,$O$5:$O$6004,"EM ANDAMENTO"))</f>
        <v>0</v>
      </c>
      <c r="Y18" s="2" t="str">
        <f aca="false">IF(R18="","",IF(COUNTIFS($C$5:$C$6004,R18,$O$5:$O$6004,"CONCLUÍDA",$N$5:$N$6004,"&gt;=-99")=0,"",_xlfn.MAXIFS($N$5:$N$6004,$C$5:$C$6004,R18,$O$5:$O$6004,"CONCLUÍDA")))</f>
        <v/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>Fundações segunda praça de trabalho: concluído</v>
      </c>
    </row>
    <row r="19" customFormat="false" ht="15" hidden="false" customHeight="false" outlineLevel="0" collapsed="false">
      <c r="B19" s="4" t="n">
        <v>9241320</v>
      </c>
      <c r="C19" s="4" t="s">
        <v>2611</v>
      </c>
      <c r="D19" s="4" t="s">
        <v>2654</v>
      </c>
      <c r="E19" s="4" t="s">
        <v>81</v>
      </c>
      <c r="F19" s="127" t="n">
        <v>45730</v>
      </c>
      <c r="G19" s="127" t="n">
        <v>45730</v>
      </c>
      <c r="H19" s="127" t="n">
        <v>46293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13</v>
      </c>
      <c r="N19" s="2" t="str">
        <f aca="false">IF(E19="","",IF(ISNUMBER(SEARCH("SUBSOLO",E19)),IFERROR(-VALUE(LEFT(E19,FIND("º",SUBSTITUTE(E19,"°","º"))-1)),-1),IF(LEFT(E19,6)="TÉRREO",0,IFERROR(VALUE(LEFT(E19,FIND("º",SUBSTITUTE(E19,"°","º"))-1)),""))))</f>
        <v/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2655</v>
      </c>
      <c r="S19" s="4" t="s">
        <v>152</v>
      </c>
      <c r="T19" s="4" t="s">
        <v>2656</v>
      </c>
      <c r="U19" s="4" t="s">
        <v>2613</v>
      </c>
      <c r="V19" s="2" t="n">
        <f aca="false">IF(R19="","",COUNTIF($C$5:$C$6004,R19))</f>
        <v>12</v>
      </c>
      <c r="W19" s="2" t="n">
        <f aca="false">IF(R19="","",COUNTIFS($C$5:$C$6004,R19,$O$5:$O$6004,"CONCLUÍDA"))</f>
        <v>12</v>
      </c>
      <c r="X19" s="2" t="n">
        <f aca="false">IF(R19="","",COUNTIFS($C$5:$C$6004,R19,$O$5:$O$6004,"EM ANDAMENTO"))</f>
        <v>0</v>
      </c>
      <c r="Y19" s="2" t="str">
        <f aca="false">IF(R19="","",IF(COUNTIFS($C$5:$C$6004,R19,$O$5:$O$6004,"CONCLUÍDA",$N$5:$N$6004,"&gt;=-99")=0,"",_xlfn.MAXIFS($N$5:$N$6004,$C$5:$C$6004,R19,$O$5:$O$6004,"CONCLUÍDA")))</f>
        <v/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>Contenção trecho 3: concluído</v>
      </c>
    </row>
    <row r="20" customFormat="false" ht="15" hidden="false" customHeight="false" outlineLevel="0" collapsed="false">
      <c r="B20" s="4" t="n">
        <v>9241321</v>
      </c>
      <c r="C20" s="4" t="s">
        <v>2611</v>
      </c>
      <c r="D20" s="4" t="s">
        <v>2657</v>
      </c>
      <c r="E20" s="4" t="s">
        <v>81</v>
      </c>
      <c r="F20" s="127" t="n">
        <v>45721</v>
      </c>
      <c r="G20" s="127" t="n">
        <v>45733</v>
      </c>
      <c r="H20" s="127" t="n">
        <v>46293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13</v>
      </c>
      <c r="N20" s="2" t="str">
        <f aca="false">IF(E20="","",IF(ISNUMBER(SEARCH("SUBSOLO",E20)),IFERROR(-VALUE(LEFT(E20,FIND("º",SUBSTITUTE(E20,"°","º"))-1)),-1),IF(LEFT(E20,6)="TÉRREO",0,IFERROR(VALUE(LEFT(E20,FIND("º",SUBSTITUTE(E20,"°","º"))-1)),""))))</f>
        <v/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2658</v>
      </c>
      <c r="S20" s="4" t="s">
        <v>160</v>
      </c>
      <c r="T20" s="4" t="s">
        <v>2659</v>
      </c>
      <c r="U20" s="4" t="s">
        <v>2613</v>
      </c>
      <c r="V20" s="2" t="n">
        <f aca="false">IF(R20="","",COUNTIF($C$5:$C$6004,R20))</f>
        <v>15</v>
      </c>
      <c r="W20" s="2" t="n">
        <f aca="false">IF(R20="","",COUNTIFS($C$5:$C$6004,R20,$O$5:$O$6004,"CONCLUÍDA"))</f>
        <v>15</v>
      </c>
      <c r="X20" s="2" t="n">
        <f aca="false">IF(R20="","",COUNTIFS($C$5:$C$6004,R20,$O$5:$O$6004,"EM ANDAMENTO"))</f>
        <v>0</v>
      </c>
      <c r="Y20" s="2" t="n">
        <f aca="false">IF(R20="","",IF(COUNTIFS($C$5:$C$6004,R20,$O$5:$O$6004,"CONCLUÍDA",$N$5:$N$6004,"&gt;=-99")=0,"",_xlfn.MAXIFS($N$5:$N$6004,$C$5:$C$6004,R20,$O$5:$O$6004,"CONCLUÍDA")))</f>
        <v>1</v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>Estrutura - afastamento frontal - medição: concluído</v>
      </c>
    </row>
    <row r="21" customFormat="false" ht="15" hidden="false" customHeight="false" outlineLevel="0" collapsed="false">
      <c r="B21" s="4" t="n">
        <v>9241322</v>
      </c>
      <c r="C21" s="4" t="s">
        <v>2611</v>
      </c>
      <c r="D21" s="4" t="s">
        <v>2660</v>
      </c>
      <c r="E21" s="4" t="s">
        <v>81</v>
      </c>
      <c r="F21" s="127" t="n">
        <v>45734</v>
      </c>
      <c r="G21" s="127" t="n">
        <v>45734</v>
      </c>
      <c r="H21" s="127" t="n">
        <v>46293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13</v>
      </c>
      <c r="N21" s="2" t="str">
        <f aca="false">IF(E21="","",IF(ISNUMBER(SEARCH("SUBSOLO",E21)),IFERROR(-VALUE(LEFT(E21,FIND("º",SUBSTITUTE(E21,"°","º"))-1)),-1),IF(LEFT(E21,6)="TÉRREO",0,IFERROR(VALUE(LEFT(E21,FIND("º",SUBSTITUTE(E21,"°","º"))-1)),""))))</f>
        <v/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2661</v>
      </c>
      <c r="S21" s="4" t="s">
        <v>156</v>
      </c>
      <c r="T21" s="4" t="s">
        <v>2662</v>
      </c>
      <c r="U21" s="4" t="s">
        <v>2613</v>
      </c>
      <c r="V21" s="2" t="n">
        <f aca="false">IF(R21="","",COUNTIF($C$5:$C$6004,R21))</f>
        <v>25</v>
      </c>
      <c r="W21" s="2" t="n">
        <f aca="false">IF(R21="","",COUNTIFS($C$5:$C$6004,R21,$O$5:$O$6004,"CONCLUÍDA"))</f>
        <v>25</v>
      </c>
      <c r="X21" s="2" t="n">
        <f aca="false">IF(R21="","",COUNTIFS($C$5:$C$6004,R21,$O$5:$O$6004,"EM ANDAMENTO"))</f>
        <v>0</v>
      </c>
      <c r="Y21" s="2" t="str">
        <f aca="false">IF(R21="","",IF(COUNTIFS($C$5:$C$6004,R21,$O$5:$O$6004,"CONCLUÍDA",$N$5:$N$6004,"&gt;=-99")=0,"",_xlfn.MAXIFS($N$5:$N$6004,$C$5:$C$6004,R21,$O$5:$O$6004,"CONCLUÍDA")))</f>
        <v/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>Fundações chopp da fábrica: concluído</v>
      </c>
    </row>
    <row r="22" customFormat="false" ht="15" hidden="false" customHeight="false" outlineLevel="0" collapsed="false">
      <c r="B22" s="4" t="n">
        <v>9241323</v>
      </c>
      <c r="C22" s="4" t="s">
        <v>2611</v>
      </c>
      <c r="D22" s="4" t="s">
        <v>2663</v>
      </c>
      <c r="E22" s="4" t="s">
        <v>81</v>
      </c>
      <c r="F22" s="127" t="n">
        <v>45770</v>
      </c>
      <c r="G22" s="127" t="n">
        <v>45784</v>
      </c>
      <c r="H22" s="127" t="n">
        <v>46293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13</v>
      </c>
      <c r="N22" s="2" t="str">
        <f aca="false">IF(E22="","",IF(ISNUMBER(SEARCH("SUBSOLO",E22)),IFERROR(-VALUE(LEFT(E22,FIND("º",SUBSTITUTE(E22,"°","º"))-1)),-1),IF(LEFT(E22,6)="TÉRREO",0,IFERROR(VALUE(LEFT(E22,FIND("º",SUBSTITUTE(E22,"°","º"))-1)),""))))</f>
        <v/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2664</v>
      </c>
      <c r="S22" s="4" t="s">
        <v>152</v>
      </c>
      <c r="T22" s="4" t="s">
        <v>2665</v>
      </c>
      <c r="U22" s="4" t="s">
        <v>2613</v>
      </c>
      <c r="V22" s="2" t="n">
        <f aca="false">IF(R22="","",COUNTIF($C$5:$C$6004,R22))</f>
        <v>22</v>
      </c>
      <c r="W22" s="2" t="n">
        <f aca="false">IF(R22="","",COUNTIFS($C$5:$C$6004,R22,$O$5:$O$6004,"CONCLUÍDA"))</f>
        <v>22</v>
      </c>
      <c r="X22" s="2" t="n">
        <f aca="false">IF(R22="","",COUNTIFS($C$5:$C$6004,R22,$O$5:$O$6004,"EM ANDAMENTO"))</f>
        <v>0</v>
      </c>
      <c r="Y22" s="2" t="str">
        <f aca="false">IF(R22="","",IF(COUNTIFS($C$5:$C$6004,R22,$O$5:$O$6004,"CONCLUÍDA",$N$5:$N$6004,"&gt;=-99")=0,"",_xlfn.MAXIFS($N$5:$N$6004,$C$5:$C$6004,R22,$O$5:$O$6004,"CONCLUÍDA")))</f>
        <v/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Contenções em estacas: concluído</v>
      </c>
    </row>
    <row r="23" customFormat="false" ht="15" hidden="false" customHeight="false" outlineLevel="0" collapsed="false">
      <c r="B23" s="4" t="n">
        <v>9241324</v>
      </c>
      <c r="C23" s="4" t="s">
        <v>2611</v>
      </c>
      <c r="D23" s="4" t="s">
        <v>2666</v>
      </c>
      <c r="E23" s="4" t="s">
        <v>81</v>
      </c>
      <c r="F23" s="127" t="n">
        <v>45770</v>
      </c>
      <c r="G23" s="127" t="n">
        <v>45784</v>
      </c>
      <c r="H23" s="127" t="n">
        <v>46293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13</v>
      </c>
      <c r="N23" s="2" t="str">
        <f aca="false">IF(E23="","",IF(ISNUMBER(SEARCH("SUBSOLO",E23)),IFERROR(-VALUE(LEFT(E23,FIND("º",SUBSTITUTE(E23,"°","º"))-1)),-1),IF(LEFT(E23,6)="TÉRREO",0,IFERROR(VALUE(LEFT(E23,FIND("º",SUBSTITUTE(E23,"°","º"))-1)),""))))</f>
        <v/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2667</v>
      </c>
      <c r="S23" s="4" t="s">
        <v>154</v>
      </c>
      <c r="T23" s="4" t="s">
        <v>2668</v>
      </c>
      <c r="U23" s="4" t="s">
        <v>2613</v>
      </c>
      <c r="V23" s="2" t="n">
        <f aca="false">IF(R23="","",COUNTIF($C$5:$C$6004,R23))</f>
        <v>1</v>
      </c>
      <c r="W23" s="2" t="n">
        <f aca="false">IF(R23="","",COUNTIFS($C$5:$C$6004,R23,$O$5:$O$6004,"CONCLUÍDA"))</f>
        <v>1</v>
      </c>
      <c r="X23" s="2" t="n">
        <f aca="false">IF(R23="","",COUNTIFS($C$5:$C$6004,R23,$O$5:$O$6004,"EM ANDAMENTO"))</f>
        <v>0</v>
      </c>
      <c r="Y23" s="2" t="str">
        <f aca="false">IF(R23="","",IF(COUNTIFS($C$5:$C$6004,R23,$O$5:$O$6004,"CONCLUÍDA",$N$5:$N$6004,"&gt;=-99")=0,"",_xlfn.MAXIFS($N$5:$N$6004,$C$5:$C$6004,R23,$O$5:$O$6004,"CONCLUÍDA")))</f>
        <v/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>Terraplenagem - liberação dos tirantes: concluído</v>
      </c>
    </row>
    <row r="24" customFormat="false" ht="15" hidden="false" customHeight="false" outlineLevel="0" collapsed="false">
      <c r="B24" s="4" t="n">
        <v>9241325</v>
      </c>
      <c r="C24" s="4" t="s">
        <v>2611</v>
      </c>
      <c r="D24" s="4" t="s">
        <v>2669</v>
      </c>
      <c r="E24" s="4" t="s">
        <v>81</v>
      </c>
      <c r="F24" s="127" t="n">
        <v>45785</v>
      </c>
      <c r="G24" s="127" t="n">
        <v>45785</v>
      </c>
      <c r="H24" s="127" t="n">
        <v>46293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13</v>
      </c>
      <c r="N24" s="2" t="str">
        <f aca="false">IF(E24="","",IF(ISNUMBER(SEARCH("SUBSOLO",E24)),IFERROR(-VALUE(LEFT(E24,FIND("º",SUBSTITUTE(E24,"°","º"))-1)),-1),IF(LEFT(E24,6)="TÉRREO",0,IFERROR(VALUE(LEFT(E24,FIND("º",SUBSTITUTE(E24,"°","º"))-1)),""))))</f>
        <v/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2670</v>
      </c>
      <c r="S24" s="4" t="s">
        <v>152</v>
      </c>
      <c r="T24" s="4" t="s">
        <v>2671</v>
      </c>
      <c r="U24" s="4" t="s">
        <v>2613</v>
      </c>
      <c r="V24" s="2" t="n">
        <f aca="false">IF(R24="","",COUNTIF($C$5:$C$6004,R24))</f>
        <v>12</v>
      </c>
      <c r="W24" s="2" t="n">
        <f aca="false">IF(R24="","",COUNTIFS($C$5:$C$6004,R24,$O$5:$O$6004,"CONCLUÍDA"))</f>
        <v>12</v>
      </c>
      <c r="X24" s="2" t="n">
        <f aca="false">IF(R24="","",COUNTIFS($C$5:$C$6004,R24,$O$5:$O$6004,"EM ANDAMENTO"))</f>
        <v>0</v>
      </c>
      <c r="Y24" s="2" t="str">
        <f aca="false">IF(R24="","",IF(COUNTIFS($C$5:$C$6004,R24,$O$5:$O$6004,"CONCLUÍDA",$N$5:$N$6004,"&gt;=-99")=0,"",_xlfn.MAXIFS($N$5:$N$6004,$C$5:$C$6004,R24,$O$5:$O$6004,"CONCLUÍDA")))</f>
        <v/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>Contenção trecho 5: concluído</v>
      </c>
    </row>
    <row r="25" customFormat="false" ht="15" hidden="false" customHeight="false" outlineLevel="0" collapsed="false">
      <c r="B25" s="4" t="n">
        <v>9464785</v>
      </c>
      <c r="C25" s="4" t="s">
        <v>2611</v>
      </c>
      <c r="D25" s="4" t="s">
        <v>2672</v>
      </c>
      <c r="E25" s="4" t="s">
        <v>81</v>
      </c>
      <c r="F25" s="127" t="n">
        <v>45785</v>
      </c>
      <c r="G25" s="127" t="n">
        <v>45789</v>
      </c>
      <c r="H25" s="127" t="n">
        <v>46293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13</v>
      </c>
      <c r="N25" s="2" t="str">
        <f aca="false">IF(E25="","",IF(ISNUMBER(SEARCH("SUBSOLO",E25)),IFERROR(-VALUE(LEFT(E25,FIND("º",SUBSTITUTE(E25,"°","º"))-1)),-1),IF(LEFT(E25,6)="TÉRREO",0,IFERROR(VALUE(LEFT(E25,FIND("º",SUBSTITUTE(E25,"°","º"))-1)),""))))</f>
        <v/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2673</v>
      </c>
      <c r="S25" s="4" t="s">
        <v>154</v>
      </c>
      <c r="T25" s="4" t="s">
        <v>2674</v>
      </c>
      <c r="U25" s="4" t="s">
        <v>2613</v>
      </c>
      <c r="V25" s="2" t="n">
        <f aca="false">IF(R25="","",COUNTIF($C$5:$C$6004,R25))</f>
        <v>1</v>
      </c>
      <c r="W25" s="2" t="n">
        <f aca="false">IF(R25="","",COUNTIFS($C$5:$C$6004,R25,$O$5:$O$6004,"CONCLUÍDA"))</f>
        <v>1</v>
      </c>
      <c r="X25" s="2" t="n">
        <f aca="false">IF(R25="","",COUNTIFS($C$5:$C$6004,R25,$O$5:$O$6004,"EM ANDAMENTO"))</f>
        <v>0</v>
      </c>
      <c r="Y25" s="2" t="str">
        <f aca="false">IF(R25="","",IF(COUNTIFS($C$5:$C$6004,R25,$O$5:$O$6004,"CONCLUÍDA",$N$5:$N$6004,"&gt;=-99")=0,"",_xlfn.MAXIFS($N$5:$N$6004,$C$5:$C$6004,R25,$O$5:$O$6004,"CONCLUÍDA")))</f>
        <v/>
      </c>
      <c r="Z25" s="2" t="str">
        <f aca="false">IF(R25="","",IF(COUNTIFS($C$5:$C$6004,R25,$O$5:$O$6004,"EM ANDAMENTO",$N$5:$N$6004,"&gt;=-99")=0,"",_xlfn.MAXIFS($N$5:$N$6004,$C$5:$C$6004,R25,$O$5:$O$6004,"EM ANDAMENTO")))</f>
        <v/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>Terraplenagem geral: concluído</v>
      </c>
    </row>
    <row r="26" customFormat="false" ht="15" hidden="false" customHeight="false" outlineLevel="0" collapsed="false">
      <c r="B26" s="4" t="n">
        <v>9464786</v>
      </c>
      <c r="C26" s="4" t="s">
        <v>2611</v>
      </c>
      <c r="D26" s="4" t="s">
        <v>2675</v>
      </c>
      <c r="E26" s="4" t="s">
        <v>81</v>
      </c>
      <c r="F26" s="127" t="n">
        <v>45790</v>
      </c>
      <c r="G26" s="127" t="n">
        <v>45790</v>
      </c>
      <c r="H26" s="127" t="n">
        <v>46293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13</v>
      </c>
      <c r="N26" s="2" t="str">
        <f aca="false">IF(E26="","",IF(ISNUMBER(SEARCH("SUBSOLO",E26)),IFERROR(-VALUE(LEFT(E26,FIND("º",SUBSTITUTE(E26,"°","º"))-1)),-1),IF(LEFT(E26,6)="TÉRREO",0,IFERROR(VALUE(LEFT(E26,FIND("º",SUBSTITUTE(E26,"°","º"))-1)),""))))</f>
        <v/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2676</v>
      </c>
      <c r="S26" s="4" t="s">
        <v>156</v>
      </c>
      <c r="T26" s="4" t="s">
        <v>2677</v>
      </c>
      <c r="U26" s="4" t="s">
        <v>2613</v>
      </c>
      <c r="V26" s="2" t="n">
        <f aca="false">IF(R26="","",COUNTIF($C$5:$C$6004,R26))</f>
        <v>28</v>
      </c>
      <c r="W26" s="2" t="n">
        <f aca="false">IF(R26="","",COUNTIFS($C$5:$C$6004,R26,$O$5:$O$6004,"CONCLUÍDA"))</f>
        <v>28</v>
      </c>
      <c r="X26" s="2" t="n">
        <f aca="false">IF(R26="","",COUNTIFS($C$5:$C$6004,R26,$O$5:$O$6004,"EM ANDAMENTO"))</f>
        <v>0</v>
      </c>
      <c r="Y26" s="2" t="str">
        <f aca="false">IF(R26="","",IF(COUNTIFS($C$5:$C$6004,R26,$O$5:$O$6004,"CONCLUÍDA",$N$5:$N$6004,"&gt;=-99")=0,"",_xlfn.MAXIFS($N$5:$N$6004,$C$5:$C$6004,R26,$O$5:$O$6004,"CONCLUÍDA")))</f>
        <v/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>Fundações 1125 prédio: concluído</v>
      </c>
    </row>
    <row r="27" customFormat="false" ht="15" hidden="false" customHeight="false" outlineLevel="0" collapsed="false">
      <c r="B27" s="4" t="n">
        <v>9464789</v>
      </c>
      <c r="C27" s="4" t="s">
        <v>2611</v>
      </c>
      <c r="D27" s="4" t="s">
        <v>2678</v>
      </c>
      <c r="E27" s="4" t="s">
        <v>81</v>
      </c>
      <c r="F27" s="127" t="n">
        <v>45721</v>
      </c>
      <c r="G27" s="127" t="n">
        <v>45730</v>
      </c>
      <c r="H27" s="127" t="n">
        <v>46293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13</v>
      </c>
      <c r="N27" s="2" t="str">
        <f aca="false">IF(E27="","",IF(ISNUMBER(SEARCH("SUBSOLO",E27)),IFERROR(-VALUE(LEFT(E27,FIND("º",SUBSTITUTE(E27,"°","º"))-1)),-1),IF(LEFT(E27,6)="TÉRREO",0,IFERROR(VALUE(LEFT(E27,FIND("º",SUBSTITUTE(E27,"°","º"))-1)),""))))</f>
        <v/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2679</v>
      </c>
      <c r="S27" s="4" t="s">
        <v>152</v>
      </c>
      <c r="T27" s="4" t="s">
        <v>2680</v>
      </c>
      <c r="U27" s="4" t="s">
        <v>2620</v>
      </c>
      <c r="V27" s="2" t="n">
        <f aca="false">IF(R27="","",COUNTIF($C$5:$C$6004,R27))</f>
        <v>6</v>
      </c>
      <c r="W27" s="2" t="n">
        <f aca="false">IF(R27="","",COUNTIFS($C$5:$C$6004,R27,$O$5:$O$6004,"CONCLUÍDA"))</f>
        <v>6</v>
      </c>
      <c r="X27" s="2" t="n">
        <f aca="false">IF(R27="","",COUNTIFS($C$5:$C$6004,R27,$O$5:$O$6004,"EM ANDAMENTO"))</f>
        <v>0</v>
      </c>
      <c r="Y27" s="2" t="str">
        <f aca="false">IF(R27="","",IF(COUNTIFS($C$5:$C$6004,R27,$O$5:$O$6004,"CONCLUÍDA",$N$5:$N$6004,"&gt;=-99")=0,"",_xlfn.MAXIFS($N$5:$N$6004,$C$5:$C$6004,R27,$O$5:$O$6004,"CONCLUÍDA")))</f>
        <v/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9464790</v>
      </c>
      <c r="C28" s="4" t="s">
        <v>2611</v>
      </c>
      <c r="D28" s="4" t="s">
        <v>2681</v>
      </c>
      <c r="E28" s="4" t="s">
        <v>81</v>
      </c>
      <c r="F28" s="127" t="n">
        <v>45733</v>
      </c>
      <c r="G28" s="127" t="n">
        <v>45733</v>
      </c>
      <c r="H28" s="127" t="n">
        <v>46293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13</v>
      </c>
      <c r="N28" s="2" t="str">
        <f aca="false">IF(E28="","",IF(ISNUMBER(SEARCH("SUBSOLO",E28)),IFERROR(-VALUE(LEFT(E28,FIND("º",SUBSTITUTE(E28,"°","º"))-1)),-1),IF(LEFT(E28,6)="TÉRREO",0,IFERROR(VALUE(LEFT(E28,FIND("º",SUBSTITUTE(E28,"°","º"))-1)),""))))</f>
        <v/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2682</v>
      </c>
      <c r="S28" s="4" t="s">
        <v>158</v>
      </c>
      <c r="T28" s="4" t="s">
        <v>2683</v>
      </c>
      <c r="U28" s="4" t="s">
        <v>2613</v>
      </c>
      <c r="V28" s="2" t="n">
        <f aca="false">IF(R28="","",COUNTIF($C$5:$C$6004,R28))</f>
        <v>69</v>
      </c>
      <c r="W28" s="2" t="n">
        <f aca="false">IF(R28="","",COUNTIFS($C$5:$C$6004,R28,$O$5:$O$6004,"CONCLUÍDA"))</f>
        <v>69</v>
      </c>
      <c r="X28" s="2" t="n">
        <f aca="false">IF(R28="","",COUNTIFS($C$5:$C$6004,R28,$O$5:$O$6004,"EM ANDAMENTO"))</f>
        <v>0</v>
      </c>
      <c r="Y28" s="2" t="str">
        <f aca="false">IF(R28="","",IF(COUNTIFS($C$5:$C$6004,R28,$O$5:$O$6004,"CONCLUÍDA",$N$5:$N$6004,"&gt;=-99")=0,"",_xlfn.MAXIFS($N$5:$N$6004,$C$5:$C$6004,R28,$O$5:$O$6004,"CONCLUÍDA")))</f>
        <v/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>Blocos e cintas - torre: concluído</v>
      </c>
    </row>
    <row r="29" customFormat="false" ht="15" hidden="false" customHeight="false" outlineLevel="0" collapsed="false">
      <c r="B29" s="4" t="n">
        <v>25914837</v>
      </c>
      <c r="C29" s="4" t="s">
        <v>2615</v>
      </c>
      <c r="D29" s="4" t="s">
        <v>433</v>
      </c>
      <c r="E29" s="4" t="s">
        <v>81</v>
      </c>
      <c r="F29" s="127" t="n">
        <v>45726</v>
      </c>
      <c r="G29" s="127" t="n">
        <v>45798</v>
      </c>
      <c r="H29" s="127" t="n">
        <v>46293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13</v>
      </c>
      <c r="N29" s="2" t="str">
        <f aca="false">IF(E29="","",IF(ISNUMBER(SEARCH("SUBSOLO",E29)),IFERROR(-VALUE(LEFT(E29,FIND("º",SUBSTITUTE(E29,"°","º"))-1)),-1),IF(LEFT(E29,6)="TÉRREO",0,IFERROR(VALUE(LEFT(E29,FIND("º",SUBSTITUTE(E29,"°","º"))-1)),""))))</f>
        <v/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2684</v>
      </c>
      <c r="S29" s="4" t="s">
        <v>160</v>
      </c>
      <c r="T29" s="4" t="s">
        <v>2685</v>
      </c>
      <c r="U29" s="4" t="s">
        <v>2613</v>
      </c>
      <c r="V29" s="2" t="n">
        <f aca="false">IF(R29="","",COUNTIF($C$5:$C$6004,R29))</f>
        <v>88</v>
      </c>
      <c r="W29" s="2" t="n">
        <f aca="false">IF(R29="","",COUNTIFS($C$5:$C$6004,R29,$O$5:$O$6004,"CONCLUÍDA"))</f>
        <v>88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3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>Estrutura - projeção alameda - medição: concluído</v>
      </c>
    </row>
    <row r="30" customFormat="false" ht="15" hidden="false" customHeight="false" outlineLevel="0" collapsed="false">
      <c r="B30" s="4" t="n">
        <v>9242354</v>
      </c>
      <c r="C30" s="4" t="s">
        <v>2615</v>
      </c>
      <c r="D30" s="4" t="s">
        <v>2672</v>
      </c>
      <c r="E30" s="4" t="s">
        <v>81</v>
      </c>
      <c r="F30" s="127" t="n">
        <v>45726</v>
      </c>
      <c r="G30" s="127" t="n">
        <v>45751</v>
      </c>
      <c r="H30" s="127" t="n">
        <v>46293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13</v>
      </c>
      <c r="N30" s="2" t="str">
        <f aca="false">IF(E30="","",IF(ISNUMBER(SEARCH("SUBSOLO",E30)),IFERROR(-VALUE(LEFT(E30,FIND("º",SUBSTITUTE(E30,"°","º"))-1)),-1),IF(LEFT(E30,6)="TÉRREO",0,IFERROR(VALUE(LEFT(E30,FIND("º",SUBSTITUTE(E30,"°","º"))-1)),""))))</f>
        <v/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2686</v>
      </c>
      <c r="S30" s="4" t="s">
        <v>156</v>
      </c>
      <c r="T30" s="4" t="s">
        <v>2687</v>
      </c>
      <c r="U30" s="4" t="s">
        <v>2613</v>
      </c>
      <c r="V30" s="2" t="n">
        <f aca="false">IF(R30="","",COUNTIF($C$5:$C$6004,R30))</f>
        <v>31</v>
      </c>
      <c r="W30" s="2" t="n">
        <f aca="false">IF(R30="","",COUNTIFS($C$5:$C$6004,R30,$O$5:$O$6004,"CONCLUÍDA"))</f>
        <v>31</v>
      </c>
      <c r="X30" s="2" t="n">
        <f aca="false">IF(R30="","",COUNTIFS($C$5:$C$6004,R30,$O$5:$O$6004,"EM ANDAMENTO"))</f>
        <v>0</v>
      </c>
      <c r="Y30" s="2" t="str">
        <f aca="false">IF(R30="","",IF(COUNTIFS($C$5:$C$6004,R30,$O$5:$O$6004,"CONCLUÍDA",$N$5:$N$6004,"&gt;=-99")=0,"",_xlfn.MAXIFS($N$5:$N$6004,$C$5:$C$6004,R30,$O$5:$O$6004,"CONCLUÍDA")))</f>
        <v/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>Última fase de fundações - prédio: concluído</v>
      </c>
    </row>
    <row r="31" customFormat="false" ht="15" hidden="false" customHeight="false" outlineLevel="0" collapsed="false">
      <c r="B31" s="4" t="n">
        <v>9242355</v>
      </c>
      <c r="C31" s="4" t="s">
        <v>2615</v>
      </c>
      <c r="D31" s="4" t="s">
        <v>2688</v>
      </c>
      <c r="E31" s="4" t="s">
        <v>81</v>
      </c>
      <c r="F31" s="127" t="n">
        <v>45754</v>
      </c>
      <c r="G31" s="127" t="n">
        <v>45754</v>
      </c>
      <c r="H31" s="127" t="n">
        <v>46293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13</v>
      </c>
      <c r="N31" s="2" t="str">
        <f aca="false">IF(E31="","",IF(ISNUMBER(SEARCH("SUBSOLO",E31)),IFERROR(-VALUE(LEFT(E31,FIND("º",SUBSTITUTE(E31,"°","º"))-1)),-1),IF(LEFT(E31,6)="TÉRREO",0,IFERROR(VALUE(LEFT(E31,FIND("º",SUBSTITUTE(E31,"°","º"))-1)),""))))</f>
        <v/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2689</v>
      </c>
      <c r="S31" s="4" t="s">
        <v>152</v>
      </c>
      <c r="T31" s="4" t="s">
        <v>2690</v>
      </c>
      <c r="U31" s="4" t="s">
        <v>2620</v>
      </c>
      <c r="V31" s="2" t="n">
        <f aca="false">IF(R31="","",COUNTIF($C$5:$C$6004,R31))</f>
        <v>1</v>
      </c>
      <c r="W31" s="2" t="n">
        <f aca="false">IF(R31="","",COUNTIFS($C$5:$C$6004,R31,$O$5:$O$6004,"CONCLUÍDA"))</f>
        <v>1</v>
      </c>
      <c r="X31" s="2" t="n">
        <f aca="false">IF(R31="","",COUNTIFS($C$5:$C$6004,R31,$O$5:$O$6004,"EM ANDAMENTO"))</f>
        <v>0</v>
      </c>
      <c r="Y31" s="2" t="str">
        <f aca="false">IF(R31="","",IF(COUNTIFS($C$5:$C$6004,R31,$O$5:$O$6004,"CONCLUÍDA",$N$5:$N$6004,"&gt;=-99")=0,"",_xlfn.MAXIFS($N$5:$N$6004,$C$5:$C$6004,R31,$O$5:$O$6004,"CONCLUÍDA")))</f>
        <v/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 customFormat="false" ht="15" hidden="false" customHeight="false" outlineLevel="0" collapsed="false">
      <c r="B32" s="4" t="n">
        <v>9242381</v>
      </c>
      <c r="C32" s="4" t="s">
        <v>2615</v>
      </c>
      <c r="D32" s="4" t="s">
        <v>2691</v>
      </c>
      <c r="E32" s="4" t="s">
        <v>81</v>
      </c>
      <c r="F32" s="127" t="n">
        <v>45761</v>
      </c>
      <c r="G32" s="127" t="n">
        <v>45771</v>
      </c>
      <c r="H32" s="127" t="n">
        <v>46293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13</v>
      </c>
      <c r="N32" s="2" t="str">
        <f aca="false">IF(E32="","",IF(ISNUMBER(SEARCH("SUBSOLO",E32)),IFERROR(-VALUE(LEFT(E32,FIND("º",SUBSTITUTE(E32,"°","º"))-1)),-1),IF(LEFT(E32,6)="TÉRREO",0,IFERROR(VALUE(LEFT(E32,FIND("º",SUBSTITUTE(E32,"°","º"))-1)),""))))</f>
        <v/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2692</v>
      </c>
      <c r="S32" s="4" t="s">
        <v>152</v>
      </c>
      <c r="T32" s="4" t="s">
        <v>2693</v>
      </c>
      <c r="U32" s="4" t="s">
        <v>2613</v>
      </c>
      <c r="V32" s="2" t="n">
        <f aca="false">IF(R32="","",COUNTIF($C$5:$C$6004,R32))</f>
        <v>44</v>
      </c>
      <c r="W32" s="2" t="n">
        <f aca="false">IF(R32="","",COUNTIFS($C$5:$C$6004,R32,$O$5:$O$6004,"CONCLUÍDA"))</f>
        <v>44</v>
      </c>
      <c r="X32" s="2" t="n">
        <f aca="false">IF(R32="","",COUNTIFS($C$5:$C$6004,R32,$O$5:$O$6004,"EM ANDAMENTO"))</f>
        <v>0</v>
      </c>
      <c r="Y32" s="2" t="str">
        <f aca="false">IF(R32="","",IF(COUNTIFS($C$5:$C$6004,R32,$O$5:$O$6004,"CONCLUÍDA",$N$5:$N$6004,"&gt;=-99")=0,"",_xlfn.MAXIFS($N$5:$N$6004,$C$5:$C$6004,R32,$O$5:$O$6004,"CONCLUÍDA")))</f>
        <v/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>Contenção - bloco do elevador: concluído</v>
      </c>
    </row>
    <row r="33" customFormat="false" ht="15" hidden="false" customHeight="false" outlineLevel="0" collapsed="false">
      <c r="B33" s="4" t="n">
        <v>9242382</v>
      </c>
      <c r="C33" s="4" t="s">
        <v>2615</v>
      </c>
      <c r="D33" s="4" t="s">
        <v>2681</v>
      </c>
      <c r="E33" s="4" t="s">
        <v>81</v>
      </c>
      <c r="F33" s="127" t="n">
        <v>45772</v>
      </c>
      <c r="G33" s="127" t="n">
        <v>45772</v>
      </c>
      <c r="H33" s="127" t="n">
        <v>46293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13</v>
      </c>
      <c r="N33" s="2" t="str">
        <f aca="false">IF(E33="","",IF(ISNUMBER(SEARCH("SUBSOLO",E33)),IFERROR(-VALUE(LEFT(E33,FIND("º",SUBSTITUTE(E33,"°","º"))-1)),-1),IF(LEFT(E33,6)="TÉRREO",0,IFERROR(VALUE(LEFT(E33,FIND("º",SUBSTITUTE(E33,"°","º"))-1)),""))))</f>
        <v/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2694</v>
      </c>
      <c r="S33" s="4" t="s">
        <v>154</v>
      </c>
      <c r="T33" s="4" t="s">
        <v>2695</v>
      </c>
      <c r="U33" s="4" t="s">
        <v>2613</v>
      </c>
      <c r="V33" s="2" t="n">
        <f aca="false">IF(R33="","",COUNTIF($C$5:$C$6004,R33))</f>
        <v>1</v>
      </c>
      <c r="W33" s="2" t="n">
        <f aca="false">IF(R33="","",COUNTIFS($C$5:$C$6004,R33,$O$5:$O$6004,"CONCLUÍDA"))</f>
        <v>1</v>
      </c>
      <c r="X33" s="2" t="n">
        <f aca="false">IF(R33="","",COUNTIFS($C$5:$C$6004,R33,$O$5:$O$6004,"EM ANDAMENTO"))</f>
        <v>0</v>
      </c>
      <c r="Y33" s="2" t="str">
        <f aca="false">IF(R33="","",IF(COUNTIFS($C$5:$C$6004,R33,$O$5:$O$6004,"CONCLUÍDA",$N$5:$N$6004,"&gt;=-99")=0,"",_xlfn.MAXIFS($N$5:$N$6004,$C$5:$C$6004,R33,$O$5:$O$6004,"CONCLUÍDA")))</f>
        <v/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>Terraplenagem - pós tirante: concluído</v>
      </c>
    </row>
    <row r="34" customFormat="false" ht="15" hidden="false" customHeight="false" outlineLevel="0" collapsed="false">
      <c r="B34" s="4" t="n">
        <v>9242383</v>
      </c>
      <c r="C34" s="4" t="s">
        <v>2615</v>
      </c>
      <c r="D34" s="4" t="s">
        <v>2621</v>
      </c>
      <c r="E34" s="4" t="s">
        <v>81</v>
      </c>
      <c r="F34" s="127" t="n">
        <v>45726</v>
      </c>
      <c r="G34" s="127" t="n">
        <v>45743</v>
      </c>
      <c r="H34" s="127" t="n">
        <v>46293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13</v>
      </c>
      <c r="N34" s="2" t="str">
        <f aca="false">IF(E34="","",IF(ISNUMBER(SEARCH("SUBSOLO",E34)),IFERROR(-VALUE(LEFT(E34,FIND("º",SUBSTITUTE(E34,"°","º"))-1)),-1),IF(LEFT(E34,6)="TÉRREO",0,IFERROR(VALUE(LEFT(E34,FIND("º",SUBSTITUTE(E34,"°","º"))-1)),""))))</f>
        <v/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2696</v>
      </c>
      <c r="S34" s="4" t="s">
        <v>152</v>
      </c>
      <c r="T34" s="4" t="s">
        <v>2697</v>
      </c>
      <c r="U34" s="4" t="s">
        <v>2613</v>
      </c>
      <c r="V34" s="2" t="n">
        <f aca="false">IF(R34="","",COUNTIF($C$5:$C$6004,R34))</f>
        <v>17</v>
      </c>
      <c r="W34" s="2" t="n">
        <f aca="false">IF(R34="","",COUNTIFS($C$5:$C$6004,R34,$O$5:$O$6004,"CONCLUÍDA"))</f>
        <v>17</v>
      </c>
      <c r="X34" s="2" t="n">
        <f aca="false">IF(R34="","",COUNTIFS($C$5:$C$6004,R34,$O$5:$O$6004,"EM ANDAMENTO"))</f>
        <v>0</v>
      </c>
      <c r="Y34" s="2" t="str">
        <f aca="false">IF(R34="","",IF(COUNTIFS($C$5:$C$6004,R34,$O$5:$O$6004,"CONCLUÍDA",$N$5:$N$6004,"&gt;=-99")=0,"",_xlfn.MAXIFS($N$5:$N$6004,$C$5:$C$6004,R34,$O$5:$O$6004,"CONCLUÍDA")))</f>
        <v/>
      </c>
      <c r="Z34" s="2" t="str">
        <f aca="false">IF(R34="","",IF(COUNTIFS($C$5:$C$6004,R34,$O$5:$O$6004,"EM ANDAMENTO",$N$5:$N$6004,"&gt;=-99")=0,"",_xlfn.MAXIFS($N$5:$N$6004,$C$5:$C$6004,R34,$O$5:$O$6004,"EM ANDAMENTO")))</f>
        <v/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>Concreto projetado (contenções): concluído</v>
      </c>
    </row>
    <row r="35" customFormat="false" ht="15" hidden="false" customHeight="false" outlineLevel="0" collapsed="false">
      <c r="B35" s="4" t="n">
        <v>9242384</v>
      </c>
      <c r="C35" s="4" t="s">
        <v>2615</v>
      </c>
      <c r="D35" s="4" t="s">
        <v>2624</v>
      </c>
      <c r="E35" s="4" t="s">
        <v>81</v>
      </c>
      <c r="F35" s="127" t="n">
        <v>45744</v>
      </c>
      <c r="G35" s="127" t="n">
        <v>45744</v>
      </c>
      <c r="H35" s="127" t="n">
        <v>46293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13</v>
      </c>
      <c r="N35" s="2" t="str">
        <f aca="false">IF(E35="","",IF(ISNUMBER(SEARCH("SUBSOLO",E35)),IFERROR(-VALUE(LEFT(E35,FIND("º",SUBSTITUTE(E35,"°","º"))-1)),-1),IF(LEFT(E35,6)="TÉRREO",0,IFERROR(VALUE(LEFT(E35,FIND("º",SUBSTITUTE(E35,"°","º"))-1)),""))))</f>
        <v/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2698</v>
      </c>
      <c r="S35" s="4" t="s">
        <v>160</v>
      </c>
      <c r="T35" s="4" t="s">
        <v>2699</v>
      </c>
      <c r="U35" s="4" t="s">
        <v>2613</v>
      </c>
      <c r="V35" s="2" t="n">
        <f aca="false">IF(R35="","",COUNTIF($C$5:$C$6004,R35))</f>
        <v>30</v>
      </c>
      <c r="W35" s="2" t="n">
        <f aca="false">IF(R35="","",COUNTIFS($C$5:$C$6004,R35,$O$5:$O$6004,"CONCLUÍDA"))</f>
        <v>30</v>
      </c>
      <c r="X35" s="2" t="n">
        <f aca="false">IF(R35="","",COUNTIFS($C$5:$C$6004,R35,$O$5:$O$6004,"EM ANDAMENTO"))</f>
        <v>0</v>
      </c>
      <c r="Y35" s="2" t="n">
        <f aca="false">IF(R35="","",IF(COUNTIFS($C$5:$C$6004,R35,$O$5:$O$6004,"CONCLUÍDA",$N$5:$N$6004,"&gt;=-99")=0,"",_xlfn.MAXIFS($N$5:$N$6004,$C$5:$C$6004,R35,$O$5:$O$6004,"CONCLUÍDA")))</f>
        <v>-1</v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>Estrutura - projeção alameda (2º etapa) - medição: concluído</v>
      </c>
    </row>
    <row r="36" customFormat="false" ht="15" hidden="false" customHeight="false" outlineLevel="0" collapsed="false">
      <c r="B36" s="4" t="n">
        <v>9242385</v>
      </c>
      <c r="C36" s="4" t="s">
        <v>2615</v>
      </c>
      <c r="D36" s="4" t="s">
        <v>2633</v>
      </c>
      <c r="E36" s="4" t="s">
        <v>81</v>
      </c>
      <c r="F36" s="127" t="n">
        <v>45789</v>
      </c>
      <c r="G36" s="127" t="n">
        <v>45797</v>
      </c>
      <c r="H36" s="127" t="n">
        <v>46293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13</v>
      </c>
      <c r="N36" s="2" t="str">
        <f aca="false">IF(E36="","",IF(ISNUMBER(SEARCH("SUBSOLO",E36)),IFERROR(-VALUE(LEFT(E36,FIND("º",SUBSTITUTE(E36,"°","º"))-1)),-1),IF(LEFT(E36,6)="TÉRREO",0,IFERROR(VALUE(LEFT(E36,FIND("º",SUBSTITUTE(E36,"°","º"))-1)),""))))</f>
        <v/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2700</v>
      </c>
      <c r="S36" s="4" t="s">
        <v>152</v>
      </c>
      <c r="T36" s="4" t="s">
        <v>2701</v>
      </c>
      <c r="U36" s="4" t="s">
        <v>2620</v>
      </c>
      <c r="V36" s="2" t="n">
        <f aca="false">IF(R36="","",COUNTIF($C$5:$C$6004,R36))</f>
        <v>7</v>
      </c>
      <c r="W36" s="2" t="n">
        <f aca="false">IF(R36="","",COUNTIFS($C$5:$C$6004,R36,$O$5:$O$6004,"CONCLUÍDA"))</f>
        <v>7</v>
      </c>
      <c r="X36" s="2" t="n">
        <f aca="false">IF(R36="","",COUNTIFS($C$5:$C$6004,R36,$O$5:$O$6004,"EM ANDAMENTO"))</f>
        <v>0</v>
      </c>
      <c r="Y36" s="2" t="str">
        <f aca="false">IF(R36="","",IF(COUNTIFS($C$5:$C$6004,R36,$O$5:$O$6004,"CONCLUÍDA",$N$5:$N$6004,"&gt;=-99")=0,"",_xlfn.MAXIFS($N$5:$N$6004,$C$5:$C$6004,R36,$O$5:$O$6004,"CONCLUÍDA")))</f>
        <v/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 customFormat="false" ht="15" hidden="false" customHeight="false" outlineLevel="0" collapsed="false">
      <c r="B37" s="4" t="n">
        <v>9242386</v>
      </c>
      <c r="C37" s="4" t="s">
        <v>2615</v>
      </c>
      <c r="D37" s="4" t="s">
        <v>2636</v>
      </c>
      <c r="E37" s="4" t="s">
        <v>81</v>
      </c>
      <c r="F37" s="127" t="n">
        <v>45798</v>
      </c>
      <c r="G37" s="127" t="n">
        <v>45798</v>
      </c>
      <c r="H37" s="127" t="n">
        <v>46293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13</v>
      </c>
      <c r="N37" s="2" t="str">
        <f aca="false">IF(E37="","",IF(ISNUMBER(SEARCH("SUBSOLO",E37)),IFERROR(-VALUE(LEFT(E37,FIND("º",SUBSTITUTE(E37,"°","º"))-1)),-1),IF(LEFT(E37,6)="TÉRREO",0,IFERROR(VALUE(LEFT(E37,FIND("º",SUBSTITUTE(E37,"°","º"))-1)),""))))</f>
        <v/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2702</v>
      </c>
      <c r="S37" s="4" t="s">
        <v>160</v>
      </c>
      <c r="T37" s="4" t="s">
        <v>2703</v>
      </c>
      <c r="U37" s="4" t="s">
        <v>2613</v>
      </c>
      <c r="V37" s="2" t="n">
        <f aca="false">IF(R37="","",COUNTIF($C$5:$C$6004,R37))</f>
        <v>92</v>
      </c>
      <c r="W37" s="2" t="n">
        <f aca="false">IF(R37="","",COUNTIFS($C$5:$C$6004,R37,$O$5:$O$6004,"CONCLUÍDA"))</f>
        <v>92</v>
      </c>
      <c r="X37" s="2" t="n">
        <f aca="false">IF(R37="","",COUNTIFS($C$5:$C$6004,R37,$O$5:$O$6004,"EM ANDAMENTO"))</f>
        <v>0</v>
      </c>
      <c r="Y37" s="2" t="n">
        <f aca="false">IF(R37="","",IF(COUNTIFS($C$5:$C$6004,R37,$O$5:$O$6004,"CONCLUÍDA",$N$5:$N$6004,"&gt;=-99")=0,"",_xlfn.MAXIFS($N$5:$N$6004,$C$5:$C$6004,R37,$O$5:$O$6004,"CONCLUÍDA")))</f>
        <v>3</v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>Estrutura - projeção concordia - medição: concluído</v>
      </c>
    </row>
    <row r="38" customFormat="false" ht="15" hidden="false" customHeight="false" outlineLevel="0" collapsed="false">
      <c r="B38" s="4" t="n">
        <v>9242438</v>
      </c>
      <c r="C38" s="4" t="s">
        <v>2615</v>
      </c>
      <c r="D38" s="4" t="s">
        <v>2704</v>
      </c>
      <c r="E38" s="4" t="s">
        <v>81</v>
      </c>
      <c r="F38" s="127" t="n">
        <v>45747</v>
      </c>
      <c r="G38" s="127" t="n">
        <v>45758</v>
      </c>
      <c r="H38" s="127" t="n">
        <v>46293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13</v>
      </c>
      <c r="N38" s="2" t="str">
        <f aca="false">IF(E38="","",IF(ISNUMBER(SEARCH("SUBSOLO",E38)),IFERROR(-VALUE(LEFT(E38,FIND("º",SUBSTITUTE(E38,"°","º"))-1)),-1),IF(LEFT(E38,6)="TÉRREO",0,IFERROR(VALUE(LEFT(E38,FIND("º",SUBSTITUTE(E38,"°","º"))-1)),""))))</f>
        <v/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2705</v>
      </c>
      <c r="S38" s="4" t="s">
        <v>160</v>
      </c>
      <c r="T38" s="4" t="s">
        <v>2706</v>
      </c>
      <c r="U38" s="4" t="s">
        <v>2613</v>
      </c>
      <c r="V38" s="2" t="n">
        <f aca="false">IF(R38="","",COUNTIF($C$5:$C$6004,R38))</f>
        <v>382</v>
      </c>
      <c r="W38" s="2" t="n">
        <f aca="false">IF(R38="","",COUNTIFS($C$5:$C$6004,R38,$O$5:$O$6004,"CONCLUÍDA"))</f>
        <v>382</v>
      </c>
      <c r="X38" s="2" t="n">
        <f aca="false">IF(R38="","",COUNTIFS($C$5:$C$6004,R38,$O$5:$O$6004,"EM ANDAMENTO"))</f>
        <v>0</v>
      </c>
      <c r="Y38" s="2" t="n">
        <f aca="false">IF(R38="","",IF(COUNTIFS($C$5:$C$6004,R38,$O$5:$O$6004,"CONCLUÍDA",$N$5:$N$6004,"&gt;=-99")=0,"",_xlfn.MAXIFS($N$5:$N$6004,$C$5:$C$6004,R38,$O$5:$O$6004,"CONCLUÍDA")))</f>
        <v>29</v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>Estrutura torre - medição: concluído</v>
      </c>
    </row>
    <row r="39" customFormat="false" ht="15" hidden="false" customHeight="false" outlineLevel="0" collapsed="false">
      <c r="B39" s="4" t="n">
        <v>9242439</v>
      </c>
      <c r="C39" s="4" t="s">
        <v>2615</v>
      </c>
      <c r="D39" s="4" t="s">
        <v>2707</v>
      </c>
      <c r="E39" s="4" t="s">
        <v>81</v>
      </c>
      <c r="F39" s="127" t="n">
        <v>45761</v>
      </c>
      <c r="G39" s="127" t="n">
        <v>45761</v>
      </c>
      <c r="H39" s="127" t="n">
        <v>46293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13</v>
      </c>
      <c r="N39" s="2" t="str">
        <f aca="false">IF(E39="","",IF(ISNUMBER(SEARCH("SUBSOLO",E39)),IFERROR(-VALUE(LEFT(E39,FIND("º",SUBSTITUTE(E39,"°","º"))-1)),-1),IF(LEFT(E39,6)="TÉRREO",0,IFERROR(VALUE(LEFT(E39,FIND("º",SUBSTITUTE(E39,"°","º"))-1)),""))))</f>
        <v/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2708</v>
      </c>
      <c r="S39" s="4" t="s">
        <v>160</v>
      </c>
      <c r="T39" s="4" t="s">
        <v>2709</v>
      </c>
      <c r="U39" s="4" t="s">
        <v>2613</v>
      </c>
      <c r="V39" s="2" t="n">
        <f aca="false">IF(R39="","",COUNTIF($C$5:$C$6004,R39))</f>
        <v>23</v>
      </c>
      <c r="W39" s="2" t="n">
        <f aca="false">IF(R39="","",COUNTIFS($C$5:$C$6004,R39,$O$5:$O$6004,"CONCLUÍDA"))</f>
        <v>23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3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>Estrutura alameda - lookahead: concluído</v>
      </c>
    </row>
    <row r="40" customFormat="false" ht="15" hidden="false" customHeight="false" outlineLevel="0" collapsed="false">
      <c r="B40" s="4" t="n">
        <v>9242440</v>
      </c>
      <c r="C40" s="4" t="s">
        <v>2615</v>
      </c>
      <c r="D40" s="4" t="s">
        <v>2710</v>
      </c>
      <c r="E40" s="4" t="s">
        <v>81</v>
      </c>
      <c r="F40" s="127" t="n">
        <v>45747</v>
      </c>
      <c r="G40" s="127" t="n">
        <v>45758</v>
      </c>
      <c r="H40" s="127" t="n">
        <v>46293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13</v>
      </c>
      <c r="N40" s="2" t="str">
        <f aca="false">IF(E40="","",IF(ISNUMBER(SEARCH("SUBSOLO",E40)),IFERROR(-VALUE(LEFT(E40,FIND("º",SUBSTITUTE(E40,"°","º"))-1)),-1),IF(LEFT(E40,6)="TÉRREO",0,IFERROR(VALUE(LEFT(E40,FIND("º",SUBSTITUTE(E40,"°","º"))-1)),""))))</f>
        <v/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2711</v>
      </c>
      <c r="S40" s="4" t="s">
        <v>160</v>
      </c>
      <c r="T40" s="4" t="s">
        <v>2712</v>
      </c>
      <c r="U40" s="4" t="s">
        <v>2613</v>
      </c>
      <c r="V40" s="2" t="n">
        <f aca="false">IF(R40="","",COUNTIF($C$5:$C$6004,R40))</f>
        <v>93</v>
      </c>
      <c r="W40" s="2" t="n">
        <f aca="false">IF(R40="","",COUNTIFS($C$5:$C$6004,R40,$O$5:$O$6004,"CONCLUÍDA"))</f>
        <v>93</v>
      </c>
      <c r="X40" s="2" t="n">
        <f aca="false">IF(R40="","",COUNTIFS($C$5:$C$6004,R40,$O$5:$O$6004,"EM ANDAMENTO"))</f>
        <v>0</v>
      </c>
      <c r="Y40" s="2" t="n">
        <f aca="false">IF(R40="","",IF(COUNTIFS($C$5:$C$6004,R40,$O$5:$O$6004,"CONCLUÍDA",$N$5:$N$6004,"&gt;=-99")=0,"",_xlfn.MAXIFS($N$5:$N$6004,$C$5:$C$6004,R40,$O$5:$O$6004,"CONCLUÍDA")))</f>
        <v>3</v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>Estrutura- projeção olympus - medição: concluído</v>
      </c>
    </row>
    <row r="41" customFormat="false" ht="15" hidden="false" customHeight="false" outlineLevel="0" collapsed="false">
      <c r="B41" s="4" t="n">
        <v>9242441</v>
      </c>
      <c r="C41" s="4" t="s">
        <v>2615</v>
      </c>
      <c r="D41" s="4" t="s">
        <v>2713</v>
      </c>
      <c r="E41" s="4" t="s">
        <v>81</v>
      </c>
      <c r="F41" s="127" t="n">
        <v>45761</v>
      </c>
      <c r="G41" s="127" t="n">
        <v>45761</v>
      </c>
      <c r="H41" s="127" t="n">
        <v>46293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13</v>
      </c>
      <c r="N41" s="2" t="str">
        <f aca="false">IF(E41="","",IF(ISNUMBER(SEARCH("SUBSOLO",E41)),IFERROR(-VALUE(LEFT(E41,FIND("º",SUBSTITUTE(E41,"°","º"))-1)),-1),IF(LEFT(E41,6)="TÉRREO",0,IFERROR(VALUE(LEFT(E41,FIND("º",SUBSTITUTE(E41,"°","º"))-1)),""))))</f>
        <v/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2714</v>
      </c>
      <c r="S41" s="4" t="s">
        <v>160</v>
      </c>
      <c r="T41" s="4" t="s">
        <v>2715</v>
      </c>
      <c r="U41" s="4" t="s">
        <v>2613</v>
      </c>
      <c r="V41" s="2" t="n">
        <f aca="false">IF(R41="","",COUNTIF($C$5:$C$6004,R41))</f>
        <v>105</v>
      </c>
      <c r="W41" s="2" t="n">
        <f aca="false">IF(R41="","",COUNTIFS($C$5:$C$6004,R41,$O$5:$O$6004,"CONCLUÍDA"))</f>
        <v>105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8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>Estrutura torre - lookahead: concluído</v>
      </c>
    </row>
    <row r="42" customFormat="false" ht="15" hidden="false" customHeight="false" outlineLevel="0" collapsed="false">
      <c r="B42" s="4" t="n">
        <v>9242442</v>
      </c>
      <c r="C42" s="4" t="s">
        <v>2615</v>
      </c>
      <c r="D42" s="4" t="s">
        <v>2716</v>
      </c>
      <c r="E42" s="4" t="s">
        <v>81</v>
      </c>
      <c r="F42" s="127" t="n">
        <v>45742</v>
      </c>
      <c r="G42" s="127" t="n">
        <v>45755</v>
      </c>
      <c r="H42" s="127" t="n">
        <v>46293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13</v>
      </c>
      <c r="N42" s="2" t="str">
        <f aca="false">IF(E42="","",IF(ISNUMBER(SEARCH("SUBSOLO",E42)),IFERROR(-VALUE(LEFT(E42,FIND("º",SUBSTITUTE(E42,"°","º"))-1)),-1),IF(LEFT(E42,6)="TÉRREO",0,IFERROR(VALUE(LEFT(E42,FIND("º",SUBSTITUTE(E42,"°","º"))-1)),""))))</f>
        <v/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2717</v>
      </c>
      <c r="S42" s="4" t="s">
        <v>160</v>
      </c>
      <c r="T42" s="4" t="s">
        <v>1171</v>
      </c>
      <c r="U42" s="4" t="s">
        <v>2620</v>
      </c>
      <c r="V42" s="2" t="n">
        <f aca="false">IF(R42="","",COUNTIF($C$5:$C$6004,R42))</f>
        <v>1</v>
      </c>
      <c r="W42" s="2" t="n">
        <f aca="false">IF(R42="","",COUNTIFS($C$5:$C$6004,R42,$O$5:$O$6004,"CONCLUÍDA"))</f>
        <v>1</v>
      </c>
      <c r="X42" s="2" t="n">
        <f aca="false">IF(R42="","",COUNTIFS($C$5:$C$6004,R42,$O$5:$O$6004,"EM ANDAMENTO"))</f>
        <v>0</v>
      </c>
      <c r="Y42" s="2" t="str">
        <f aca="false">IF(R42="","",IF(COUNTIFS($C$5:$C$6004,R42,$O$5:$O$6004,"CONCLUÍDA",$N$5:$N$6004,"&gt;=-99")=0,"",_xlfn.MAXIFS($N$5:$N$6004,$C$5:$C$6004,R42,$O$5:$O$6004,"CONCLUÍDA")))</f>
        <v/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9242443</v>
      </c>
      <c r="C43" s="4" t="s">
        <v>2615</v>
      </c>
      <c r="D43" s="4" t="s">
        <v>2718</v>
      </c>
      <c r="E43" s="4" t="s">
        <v>81</v>
      </c>
      <c r="F43" s="127" t="n">
        <v>45756</v>
      </c>
      <c r="G43" s="127" t="n">
        <v>45756</v>
      </c>
      <c r="H43" s="127" t="n">
        <v>46293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13</v>
      </c>
      <c r="N43" s="2" t="str">
        <f aca="false">IF(E43="","",IF(ISNUMBER(SEARCH("SUBSOLO",E43)),IFERROR(-VALUE(LEFT(E43,FIND("º",SUBSTITUTE(E43,"°","º"))-1)),-1),IF(LEFT(E43,6)="TÉRREO",0,IFERROR(VALUE(LEFT(E43,FIND("º",SUBSTITUTE(E43,"°","º"))-1)),""))))</f>
        <v/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2719</v>
      </c>
      <c r="S43" s="4" t="s">
        <v>160</v>
      </c>
      <c r="T43" s="4" t="s">
        <v>2720</v>
      </c>
      <c r="U43" s="4" t="s">
        <v>2613</v>
      </c>
      <c r="V43" s="2" t="n">
        <f aca="false">IF(R43="","",COUNTIF($C$5:$C$6004,R43))</f>
        <v>62</v>
      </c>
      <c r="W43" s="2" t="n">
        <f aca="false">IF(R43="","",COUNTIFS($C$5:$C$6004,R43,$O$5:$O$6004,"CONCLUÍDA"))</f>
        <v>62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3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>Estrutura olympus - lookahead: concluído</v>
      </c>
    </row>
    <row r="44" customFormat="false" ht="15" hidden="false" customHeight="false" outlineLevel="0" collapsed="false">
      <c r="B44" s="4" t="n">
        <v>9242444</v>
      </c>
      <c r="C44" s="4" t="s">
        <v>2615</v>
      </c>
      <c r="D44" s="4" t="s">
        <v>2627</v>
      </c>
      <c r="E44" s="4" t="s">
        <v>81</v>
      </c>
      <c r="F44" s="127" t="n">
        <v>45775</v>
      </c>
      <c r="G44" s="127" t="n">
        <v>45784</v>
      </c>
      <c r="H44" s="127" t="n">
        <v>46293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13</v>
      </c>
      <c r="N44" s="2" t="str">
        <f aca="false">IF(E44="","",IF(ISNUMBER(SEARCH("SUBSOLO",E44)),IFERROR(-VALUE(LEFT(E44,FIND("º",SUBSTITUTE(E44,"°","º"))-1)),-1),IF(LEFT(E44,6)="TÉRREO",0,IFERROR(VALUE(LEFT(E44,FIND("º",SUBSTITUTE(E44,"°","º"))-1)),""))))</f>
        <v/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2721</v>
      </c>
      <c r="S44" s="4" t="s">
        <v>160</v>
      </c>
      <c r="T44" s="4" t="s">
        <v>2722</v>
      </c>
      <c r="U44" s="4" t="s">
        <v>2613</v>
      </c>
      <c r="V44" s="2" t="n">
        <f aca="false">IF(R44="","",COUNTIF($C$5:$C$6004,R44))</f>
        <v>12</v>
      </c>
      <c r="W44" s="2" t="n">
        <f aca="false">IF(R44="","",COUNTIFS($C$5:$C$6004,R44,$O$5:$O$6004,"CONCLUÍDA"))</f>
        <v>12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1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>Estrutura torre - escada: concluído</v>
      </c>
    </row>
    <row r="45" customFormat="false" ht="15" hidden="false" customHeight="false" outlineLevel="0" collapsed="false">
      <c r="B45" s="4" t="n">
        <v>9242445</v>
      </c>
      <c r="C45" s="4" t="s">
        <v>2615</v>
      </c>
      <c r="D45" s="4" t="s">
        <v>2630</v>
      </c>
      <c r="E45" s="4" t="s">
        <v>81</v>
      </c>
      <c r="F45" s="127" t="n">
        <v>45785</v>
      </c>
      <c r="G45" s="127" t="n">
        <v>45785</v>
      </c>
      <c r="H45" s="127" t="n">
        <v>46293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13</v>
      </c>
      <c r="N45" s="2" t="str">
        <f aca="false">IF(E45="","",IF(ISNUMBER(SEARCH("SUBSOLO",E45)),IFERROR(-VALUE(LEFT(E45,FIND("º",SUBSTITUTE(E45,"°","º"))-1)),-1),IF(LEFT(E45,6)="TÉRREO",0,IFERROR(VALUE(LEFT(E45,FIND("º",SUBSTITUTE(E45,"°","º"))-1)),""))))</f>
        <v/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2723</v>
      </c>
      <c r="S45" s="4" t="s">
        <v>160</v>
      </c>
      <c r="T45" s="4" t="s">
        <v>2724</v>
      </c>
      <c r="U45" s="4" t="s">
        <v>2613</v>
      </c>
      <c r="V45" s="2" t="n">
        <f aca="false">IF(R45="","",COUNTIF($C$5:$C$6004,R45))</f>
        <v>36</v>
      </c>
      <c r="W45" s="2" t="n">
        <f aca="false">IF(R45="","",COUNTIFS($C$5:$C$6004,R45,$O$5:$O$6004,"CONCLUÍDA"))</f>
        <v>36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1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>Estrutura - tripinha - lookahead: concluído</v>
      </c>
    </row>
    <row r="46" customFormat="false" ht="15" hidden="false" customHeight="false" outlineLevel="0" collapsed="false">
      <c r="B46" s="4" t="n">
        <v>9242446</v>
      </c>
      <c r="C46" s="4" t="s">
        <v>2615</v>
      </c>
      <c r="D46" s="4" t="s">
        <v>2725</v>
      </c>
      <c r="E46" s="4" t="s">
        <v>81</v>
      </c>
      <c r="F46" s="127" t="n">
        <v>45762</v>
      </c>
      <c r="G46" s="127" t="n">
        <v>45785</v>
      </c>
      <c r="H46" s="127" t="n">
        <v>46293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13</v>
      </c>
      <c r="N46" s="2" t="str">
        <f aca="false">IF(E46="","",IF(ISNUMBER(SEARCH("SUBSOLO",E46)),IFERROR(-VALUE(LEFT(E46,FIND("º",SUBSTITUTE(E46,"°","º"))-1)),-1),IF(LEFT(E46,6)="TÉRREO",0,IFERROR(VALUE(LEFT(E46,FIND("º",SUBSTITUTE(E46,"°","º"))-1)),""))))</f>
        <v/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2726</v>
      </c>
      <c r="S46" s="4" t="s">
        <v>152</v>
      </c>
      <c r="T46" s="4" t="s">
        <v>2727</v>
      </c>
      <c r="U46" s="4" t="s">
        <v>2620</v>
      </c>
      <c r="V46" s="2" t="n">
        <f aca="false">IF(R46="","",COUNTIF($C$5:$C$6004,R46))</f>
        <v>5</v>
      </c>
      <c r="W46" s="2" t="n">
        <f aca="false">IF(R46="","",COUNTIFS($C$5:$C$6004,R46,$O$5:$O$6004,"CONCLUÍDA"))</f>
        <v>5</v>
      </c>
      <c r="X46" s="2" t="n">
        <f aca="false">IF(R46="","",COUNTIFS($C$5:$C$6004,R46,$O$5:$O$6004,"EM ANDAMENTO"))</f>
        <v>0</v>
      </c>
      <c r="Y46" s="2" t="str">
        <f aca="false">IF(R46="","",IF(COUNTIFS($C$5:$C$6004,R46,$O$5:$O$6004,"CONCLUÍDA",$N$5:$N$6004,"&gt;=-99")=0,"",_xlfn.MAXIFS($N$5:$N$6004,$C$5:$C$6004,R46,$O$5:$O$6004,"CONCLUÍDA")))</f>
        <v/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9242447</v>
      </c>
      <c r="C47" s="4" t="s">
        <v>2615</v>
      </c>
      <c r="D47" s="4" t="s">
        <v>2728</v>
      </c>
      <c r="E47" s="4" t="s">
        <v>81</v>
      </c>
      <c r="F47" s="127" t="n">
        <v>45786</v>
      </c>
      <c r="G47" s="127" t="n">
        <v>45786</v>
      </c>
      <c r="H47" s="127" t="n">
        <v>46293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13</v>
      </c>
      <c r="N47" s="2" t="str">
        <f aca="false">IF(E47="","",IF(ISNUMBER(SEARCH("SUBSOLO",E47)),IFERROR(-VALUE(LEFT(E47,FIND("º",SUBSTITUTE(E47,"°","º"))-1)),-1),IF(LEFT(E47,6)="TÉRREO",0,IFERROR(VALUE(LEFT(E47,FIND("º",SUBSTITUTE(E47,"°","º"))-1)),""))))</f>
        <v/>
      </c>
      <c r="O47" s="2" t="str">
        <f aca="false">IF(OR(F47="",G47=""),"",IF(G47&lt;='RETRATO 2027'!$K$5,"CONCLUÍDA",IF(F47&lt;='RETRATO 2027'!$K$5,"EM ANDAMENTO","A INICIAR")))</f>
        <v>CONCLUÍDA</v>
      </c>
      <c r="R47" s="4" t="s">
        <v>2729</v>
      </c>
      <c r="S47" s="4" t="s">
        <v>160</v>
      </c>
      <c r="T47" s="4" t="s">
        <v>2730</v>
      </c>
      <c r="U47" s="4" t="s">
        <v>2613</v>
      </c>
      <c r="V47" s="2" t="n">
        <f aca="false">IF(R47="","",COUNTIF($C$5:$C$6004,R47))</f>
        <v>47</v>
      </c>
      <c r="W47" s="2" t="n">
        <f aca="false">IF(R47="","",COUNTIFS($C$5:$C$6004,R47,$O$5:$O$6004,"CONCLUÍDA"))</f>
        <v>47</v>
      </c>
      <c r="X47" s="2" t="n">
        <f aca="false">IF(R47="","",COUNTIFS($C$5:$C$6004,R47,$O$5:$O$6004,"EM ANDAMENTO"))</f>
        <v>0</v>
      </c>
      <c r="Y47" s="2" t="n">
        <f aca="false">IF(R47="","",IF(COUNTIFS($C$5:$C$6004,R47,$O$5:$O$6004,"CONCLUÍDA",$N$5:$N$6004,"&gt;=-99")=0,"",_xlfn.MAXIFS($N$5:$N$6004,$C$5:$C$6004,R47,$O$5:$O$6004,"CONCLUÍDA")))</f>
        <v>2</v>
      </c>
      <c r="Z47" s="2" t="str">
        <f aca="false">IF(R47="","",IF(COUNTIFS($C$5:$C$6004,R47,$O$5:$O$6004,"EM ANDAMENTO",$N$5:$N$6004,"&gt;=-99")=0,"",_xlfn.MAXIFS($N$5:$N$6004,$C$5:$C$6004,R47,$O$5:$O$6004,"EM ANDAMENTO")))</f>
        <v/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>Estrutura concordia - lookahead: concluído</v>
      </c>
    </row>
    <row r="48" customFormat="false" ht="15" hidden="false" customHeight="false" outlineLevel="0" collapsed="false">
      <c r="B48" s="4" t="n">
        <v>9242448</v>
      </c>
      <c r="C48" s="4" t="s">
        <v>2615</v>
      </c>
      <c r="D48" s="4" t="s">
        <v>2651</v>
      </c>
      <c r="E48" s="4" t="s">
        <v>81</v>
      </c>
      <c r="F48" s="127" t="n">
        <v>45726</v>
      </c>
      <c r="G48" s="127" t="n">
        <v>45743</v>
      </c>
      <c r="H48" s="127" t="n">
        <v>46293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13</v>
      </c>
      <c r="N48" s="2" t="str">
        <f aca="false">IF(E48="","",IF(ISNUMBER(SEARCH("SUBSOLO",E48)),IFERROR(-VALUE(LEFT(E48,FIND("º",SUBSTITUTE(E48,"°","º"))-1)),-1),IF(LEFT(E48,6)="TÉRREO",0,IFERROR(VALUE(LEFT(E48,FIND("º",SUBSTITUTE(E48,"°","º"))-1)),""))))</f>
        <v/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2731</v>
      </c>
      <c r="S48" s="4" t="s">
        <v>160</v>
      </c>
      <c r="T48" s="4" t="s">
        <v>2732</v>
      </c>
      <c r="U48" s="4" t="s">
        <v>2620</v>
      </c>
      <c r="V48" s="2" t="n">
        <f aca="false">IF(R48="","",COUNTIF($C$5:$C$6004,R48))</f>
        <v>5</v>
      </c>
      <c r="W48" s="2" t="n">
        <f aca="false">IF(R48="","",COUNTIFS($C$5:$C$6004,R48,$O$5:$O$6004,"CONCLUÍDA"))</f>
        <v>5</v>
      </c>
      <c r="X48" s="2" t="n">
        <f aca="false">IF(R48="","",COUNTIFS($C$5:$C$6004,R48,$O$5:$O$6004,"EM ANDAMENTO"))</f>
        <v>0</v>
      </c>
      <c r="Y48" s="2" t="n">
        <f aca="false">IF(R48="","",IF(COUNTIFS($C$5:$C$6004,R48,$O$5:$O$6004,"CONCLUÍDA",$N$5:$N$6004,"&gt;=-99")=0,"",_xlfn.MAXIFS($N$5:$N$6004,$C$5:$C$6004,R48,$O$5:$O$6004,"CONCLUÍDA")))</f>
        <v>-4</v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9242449</v>
      </c>
      <c r="C49" s="4" t="s">
        <v>2615</v>
      </c>
      <c r="D49" s="4" t="s">
        <v>2654</v>
      </c>
      <c r="E49" s="4" t="s">
        <v>81</v>
      </c>
      <c r="F49" s="127" t="n">
        <v>45744</v>
      </c>
      <c r="G49" s="127" t="n">
        <v>45744</v>
      </c>
      <c r="H49" s="127" t="n">
        <v>46293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13</v>
      </c>
      <c r="N49" s="2" t="str">
        <f aca="false">IF(E49="","",IF(ISNUMBER(SEARCH("SUBSOLO",E49)),IFERROR(-VALUE(LEFT(E49,FIND("º",SUBSTITUTE(E49,"°","º"))-1)),-1),IF(LEFT(E49,6)="TÉRREO",0,IFERROR(VALUE(LEFT(E49,FIND("º",SUBSTITUTE(E49,"°","º"))-1)),""))))</f>
        <v/>
      </c>
      <c r="O49" s="2" t="str">
        <f aca="false">IF(OR(F49="",G49=""),"",IF(G49&lt;='RETRATO 2027'!$K$5,"CONCLUÍDA",IF(F49&lt;='RETRATO 2027'!$K$5,"EM ANDAMENTO","A INICIAR")))</f>
        <v>CONCLUÍDA</v>
      </c>
      <c r="R49" s="4" t="s">
        <v>2733</v>
      </c>
      <c r="S49" s="4" t="s">
        <v>160</v>
      </c>
      <c r="T49" s="4" t="s">
        <v>2734</v>
      </c>
      <c r="U49" s="4" t="s">
        <v>2613</v>
      </c>
      <c r="V49" s="2" t="n">
        <f aca="false">IF(R49="","",COUNTIF($C$5:$C$6004,R49))</f>
        <v>25</v>
      </c>
      <c r="W49" s="2" t="n">
        <f aca="false">IF(R49="","",COUNTIFS($C$5:$C$6004,R49,$O$5:$O$6004,"CONCLUÍDA"))</f>
        <v>25</v>
      </c>
      <c r="X49" s="2" t="n">
        <f aca="false">IF(R49="","",COUNTIFS($C$5:$C$6004,R49,$O$5:$O$6004,"EM ANDAMENTO"))</f>
        <v>0</v>
      </c>
      <c r="Y49" s="2" t="n">
        <f aca="false">IF(R49="","",IF(COUNTIFS($C$5:$C$6004,R49,$O$5:$O$6004,"CONCLUÍDA",$N$5:$N$6004,"&gt;=-99")=0,"",_xlfn.MAXIFS($N$5:$N$6004,$C$5:$C$6004,R49,$O$5:$O$6004,"CONCLUÍDA")))</f>
        <v>-1</v>
      </c>
      <c r="Z49" s="2" t="str">
        <f aca="false">IF(R49="","",IF(COUNTIFS($C$5:$C$6004,R49,$O$5:$O$6004,"EM ANDAMENTO",$N$5:$N$6004,"&gt;=-99")=0,"",_xlfn.MAXIFS($N$5:$N$6004,$C$5:$C$6004,R49,$O$5:$O$6004,"EM ANDAMENTO")))</f>
        <v/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Estrutura - escada da torre: concluído</v>
      </c>
    </row>
    <row r="50" customFormat="false" ht="15" hidden="false" customHeight="false" outlineLevel="0" collapsed="false">
      <c r="B50" s="4" t="n">
        <v>9242450</v>
      </c>
      <c r="C50" s="4" t="s">
        <v>2615</v>
      </c>
      <c r="D50" s="4" t="s">
        <v>2614</v>
      </c>
      <c r="E50" s="4" t="s">
        <v>81</v>
      </c>
      <c r="F50" s="127" t="n">
        <v>45775</v>
      </c>
      <c r="G50" s="127" t="n">
        <v>45784</v>
      </c>
      <c r="H50" s="127" t="n">
        <v>46293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13</v>
      </c>
      <c r="N50" s="2" t="str">
        <f aca="false">IF(E50="","",IF(ISNUMBER(SEARCH("SUBSOLO",E50)),IFERROR(-VALUE(LEFT(E50,FIND("º",SUBSTITUTE(E50,"°","º"))-1)),-1),IF(LEFT(E50,6)="TÉRREO",0,IFERROR(VALUE(LEFT(E50,FIND("º",SUBSTITUTE(E50,"°","º"))-1)),""))))</f>
        <v/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2735</v>
      </c>
      <c r="S50" s="4" t="s">
        <v>160</v>
      </c>
      <c r="T50" s="4" t="s">
        <v>2736</v>
      </c>
      <c r="U50" s="4" t="s">
        <v>2620</v>
      </c>
      <c r="V50" s="2" t="n">
        <f aca="false">IF(R50="","",COUNTIF($C$5:$C$6004,R50))</f>
        <v>4</v>
      </c>
      <c r="W50" s="2" t="n">
        <f aca="false">IF(R50="","",COUNTIFS($C$5:$C$6004,R50,$O$5:$O$6004,"CONCLUÍDA"))</f>
        <v>4</v>
      </c>
      <c r="X50" s="2" t="n">
        <f aca="false">IF(R50="","",COUNTIFS($C$5:$C$6004,R50,$O$5:$O$6004,"EM ANDAMENTO"))</f>
        <v>0</v>
      </c>
      <c r="Y50" s="2" t="n">
        <f aca="false">IF(R50="","",IF(COUNTIFS($C$5:$C$6004,R50,$O$5:$O$6004,"CONCLUÍDA",$N$5:$N$6004,"&gt;=-99")=0,"",_xlfn.MAXIFS($N$5:$N$6004,$C$5:$C$6004,R50,$O$5:$O$6004,"CONCLUÍDA")))</f>
        <v>-3</v>
      </c>
      <c r="Z50" s="2" t="str">
        <f aca="false">IF(R50="","",IF(COUNTIFS($C$5:$C$6004,R50,$O$5:$O$6004,"EM ANDAMENTO",$N$5:$N$6004,"&gt;=-99")=0,"",_xlfn.MAXIFS($N$5:$N$6004,$C$5:$C$6004,R50,$O$5:$O$6004,"EM ANDAMENTO")))</f>
        <v/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 customFormat="false" ht="15" hidden="false" customHeight="false" outlineLevel="0" collapsed="false">
      <c r="B51" s="4" t="n">
        <v>9242451</v>
      </c>
      <c r="C51" s="4" t="s">
        <v>2615</v>
      </c>
      <c r="D51" s="4" t="s">
        <v>2617</v>
      </c>
      <c r="E51" s="4" t="s">
        <v>81</v>
      </c>
      <c r="F51" s="127" t="n">
        <v>45785</v>
      </c>
      <c r="G51" s="127" t="n">
        <v>45785</v>
      </c>
      <c r="H51" s="127" t="n">
        <v>46293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13</v>
      </c>
      <c r="N51" s="2" t="str">
        <f aca="false">IF(E51="","",IF(ISNUMBER(SEARCH("SUBSOLO",E51)),IFERROR(-VALUE(LEFT(E51,FIND("º",SUBSTITUTE(E51,"°","º"))-1)),-1),IF(LEFT(E51,6)="TÉRREO",0,IFERROR(VALUE(LEFT(E51,FIND("º",SUBSTITUTE(E51,"°","º"))-1)),""))))</f>
        <v/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2737</v>
      </c>
      <c r="S51" s="4" t="s">
        <v>158</v>
      </c>
      <c r="T51" s="4" t="s">
        <v>2738</v>
      </c>
      <c r="U51" s="4" t="s">
        <v>2620</v>
      </c>
      <c r="V51" s="2" t="n">
        <f aca="false">IF(R51="","",COUNTIF($C$5:$C$6004,R51))</f>
        <v>8</v>
      </c>
      <c r="W51" s="2" t="n">
        <f aca="false">IF(R51="","",COUNTIFS($C$5:$C$6004,R51,$O$5:$O$6004,"CONCLUÍDA"))</f>
        <v>8</v>
      </c>
      <c r="X51" s="2" t="n">
        <f aca="false">IF(R51="","",COUNTIFS($C$5:$C$6004,R51,$O$5:$O$6004,"EM ANDAMENTO"))</f>
        <v>0</v>
      </c>
      <c r="Y51" s="2" t="str">
        <f aca="false">IF(R51="","",IF(COUNTIFS($C$5:$C$6004,R51,$O$5:$O$6004,"CONCLUÍDA",$N$5:$N$6004,"&gt;=-99")=0,"",_xlfn.MAXIFS($N$5:$N$6004,$C$5:$C$6004,R51,$O$5:$O$6004,"CONCLUÍDA")))</f>
        <v/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 customFormat="false" ht="15" hidden="false" customHeight="false" outlineLevel="0" collapsed="false">
      <c r="B52" s="4" t="n">
        <v>9242452</v>
      </c>
      <c r="C52" s="4" t="s">
        <v>2615</v>
      </c>
      <c r="D52" s="4" t="s">
        <v>2739</v>
      </c>
      <c r="E52" s="4" t="s">
        <v>81</v>
      </c>
      <c r="F52" s="127" t="n">
        <v>45757</v>
      </c>
      <c r="G52" s="127" t="n">
        <v>45769</v>
      </c>
      <c r="H52" s="127" t="n">
        <v>46293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13</v>
      </c>
      <c r="N52" s="2" t="str">
        <f aca="false">IF(E52="","",IF(ISNUMBER(SEARCH("SUBSOLO",E52)),IFERROR(-VALUE(LEFT(E52,FIND("º",SUBSTITUTE(E52,"°","º"))-1)),-1),IF(LEFT(E52,6)="TÉRREO",0,IFERROR(VALUE(LEFT(E52,FIND("º",SUBSTITUTE(E52,"°","º"))-1)),""))))</f>
        <v/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2740</v>
      </c>
      <c r="S52" s="4" t="s">
        <v>160</v>
      </c>
      <c r="T52" s="4" t="s">
        <v>2741</v>
      </c>
      <c r="U52" s="4" t="s">
        <v>2620</v>
      </c>
      <c r="V52" s="2" t="n">
        <f aca="false">IF(R52="","",COUNTIF($C$5:$C$6004,R52))</f>
        <v>5</v>
      </c>
      <c r="W52" s="2" t="n">
        <f aca="false">IF(R52="","",COUNTIFS($C$5:$C$6004,R52,$O$5:$O$6004,"CONCLUÍDA"))</f>
        <v>5</v>
      </c>
      <c r="X52" s="2" t="n">
        <f aca="false">IF(R52="","",COUNTIFS($C$5:$C$6004,R52,$O$5:$O$6004,"EM ANDAMENTO"))</f>
        <v>0</v>
      </c>
      <c r="Y52" s="2" t="n">
        <f aca="false">IF(R52="","",IF(COUNTIFS($C$5:$C$6004,R52,$O$5:$O$6004,"CONCLUÍDA",$N$5:$N$6004,"&gt;=-99")=0,"",_xlfn.MAXIFS($N$5:$N$6004,$C$5:$C$6004,R52,$O$5:$O$6004,"CONCLUÍDA")))</f>
        <v>-5</v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9242453</v>
      </c>
      <c r="C53" s="4" t="s">
        <v>2615</v>
      </c>
      <c r="D53" s="4" t="s">
        <v>2742</v>
      </c>
      <c r="E53" s="4" t="s">
        <v>81</v>
      </c>
      <c r="F53" s="127" t="n">
        <v>45770</v>
      </c>
      <c r="G53" s="127" t="n">
        <v>45770</v>
      </c>
      <c r="H53" s="127" t="n">
        <v>46293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13</v>
      </c>
      <c r="N53" s="2" t="str">
        <f aca="false">IF(E53="","",IF(ISNUMBER(SEARCH("SUBSOLO",E53)),IFERROR(-VALUE(LEFT(E53,FIND("º",SUBSTITUTE(E53,"°","º"))-1)),-1),IF(LEFT(E53,6)="TÉRREO",0,IFERROR(VALUE(LEFT(E53,FIND("º",SUBSTITUTE(E53,"°","º"))-1)),""))))</f>
        <v/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2743</v>
      </c>
      <c r="S53" s="4" t="s">
        <v>154</v>
      </c>
      <c r="T53" s="4" t="s">
        <v>2744</v>
      </c>
      <c r="U53" s="4" t="s">
        <v>2613</v>
      </c>
      <c r="V53" s="2" t="n">
        <f aca="false">IF(R53="","",COUNTIF($C$5:$C$6004,R53))</f>
        <v>1</v>
      </c>
      <c r="W53" s="2" t="n">
        <f aca="false">IF(R53="","",COUNTIFS($C$5:$C$6004,R53,$O$5:$O$6004,"CONCLUÍDA"))</f>
        <v>1</v>
      </c>
      <c r="X53" s="2" t="n">
        <f aca="false">IF(R53="","",COUNTIFS($C$5:$C$6004,R53,$O$5:$O$6004,"EM ANDAMENTO"))</f>
        <v>0</v>
      </c>
      <c r="Y53" s="2" t="n">
        <f aca="false">IF(R53="","",IF(COUNTIFS($C$5:$C$6004,R53,$O$5:$O$6004,"CONCLUÍDA",$N$5:$N$6004,"&gt;=-99")=0,"",_xlfn.MAXIFS($N$5:$N$6004,$C$5:$C$6004,R53,$O$5:$O$6004,"CONCLUÍDA")))</f>
        <v>-6</v>
      </c>
      <c r="Z53" s="2" t="str">
        <f aca="false">IF(R53="","",IF(COUNTIFS($C$5:$C$6004,R53,$O$5:$O$6004,"EM ANDAMENTO",$N$5:$N$6004,"&gt;=-99")=0,"",_xlfn.MAXIFS($N$5:$N$6004,$C$5:$C$6004,R53,$O$5:$O$6004,"EM ANDAMENTO")))</f>
        <v/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Retirada/escavação do talude da contenção 06: concluído</v>
      </c>
    </row>
    <row r="54" customFormat="false" ht="15" hidden="false" customHeight="false" outlineLevel="0" collapsed="false">
      <c r="B54" s="4" t="n">
        <v>9242454</v>
      </c>
      <c r="C54" s="4" t="s">
        <v>2615</v>
      </c>
      <c r="D54" s="4" t="s">
        <v>2639</v>
      </c>
      <c r="E54" s="4" t="s">
        <v>81</v>
      </c>
      <c r="F54" s="127" t="n">
        <v>45747</v>
      </c>
      <c r="G54" s="127" t="n">
        <v>45758</v>
      </c>
      <c r="H54" s="127" t="n">
        <v>46293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13</v>
      </c>
      <c r="N54" s="2" t="str">
        <f aca="false">IF(E54="","",IF(ISNUMBER(SEARCH("SUBSOLO",E54)),IFERROR(-VALUE(LEFT(E54,FIND("º",SUBSTITUTE(E54,"°","º"))-1)),-1),IF(LEFT(E54,6)="TÉRREO",0,IFERROR(VALUE(LEFT(E54,FIND("º",SUBSTITUTE(E54,"°","º"))-1)),""))))</f>
        <v/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2745</v>
      </c>
      <c r="S54" s="4" t="s">
        <v>160</v>
      </c>
      <c r="T54" s="4" t="s">
        <v>2746</v>
      </c>
      <c r="U54" s="4" t="s">
        <v>2620</v>
      </c>
      <c r="V54" s="2" t="n">
        <f aca="false">IF(R54="","",COUNTIF($C$5:$C$6004,R54))</f>
        <v>5</v>
      </c>
      <c r="W54" s="2" t="n">
        <f aca="false">IF(R54="","",COUNTIFS($C$5:$C$6004,R54,$O$5:$O$6004,"CONCLUÍDA"))</f>
        <v>5</v>
      </c>
      <c r="X54" s="2" t="n">
        <f aca="false">IF(R54="","",COUNTIFS($C$5:$C$6004,R54,$O$5:$O$6004,"EM ANDAMENTO"))</f>
        <v>0</v>
      </c>
      <c r="Y54" s="2" t="str">
        <f aca="false">IF(R54="","",IF(COUNTIFS($C$5:$C$6004,R54,$O$5:$O$6004,"CONCLUÍDA",$N$5:$N$6004,"&gt;=-99")=0,"",_xlfn.MAXIFS($N$5:$N$6004,$C$5:$C$6004,R54,$O$5:$O$6004,"CONCLUÍDA")))</f>
        <v/>
      </c>
      <c r="Z54" s="2" t="str">
        <f aca="false">IF(R54="","",IF(COUNTIFS($C$5:$C$6004,R54,$O$5:$O$6004,"EM ANDAMENTO",$N$5:$N$6004,"&gt;=-99")=0,"",_xlfn.MAXIFS($N$5:$N$6004,$C$5:$C$6004,R54,$O$5:$O$6004,"EM ANDAMENTO")))</f>
        <v/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 customFormat="false" ht="15" hidden="false" customHeight="false" outlineLevel="0" collapsed="false">
      <c r="B55" s="4" t="n">
        <v>9242455</v>
      </c>
      <c r="C55" s="4" t="s">
        <v>2615</v>
      </c>
      <c r="D55" s="4" t="s">
        <v>2642</v>
      </c>
      <c r="E55" s="4" t="s">
        <v>81</v>
      </c>
      <c r="F55" s="127" t="n">
        <v>45761</v>
      </c>
      <c r="G55" s="127" t="n">
        <v>45761</v>
      </c>
      <c r="H55" s="127" t="n">
        <v>46293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13</v>
      </c>
      <c r="N55" s="2" t="str">
        <f aca="false">IF(E55="","",IF(ISNUMBER(SEARCH("SUBSOLO",E55)),IFERROR(-VALUE(LEFT(E55,FIND("º",SUBSTITUTE(E55,"°","º"))-1)),-1),IF(LEFT(E55,6)="TÉRREO",0,IFERROR(VALUE(LEFT(E55,FIND("º",SUBSTITUTE(E55,"°","º"))-1)),""))))</f>
        <v/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2747</v>
      </c>
      <c r="S55" s="4" t="s">
        <v>160</v>
      </c>
      <c r="T55" s="4" t="s">
        <v>2748</v>
      </c>
      <c r="U55" s="4" t="s">
        <v>2613</v>
      </c>
      <c r="V55" s="2" t="n">
        <f aca="false">IF(R55="","",COUNTIF($C$5:$C$6004,R55))</f>
        <v>12</v>
      </c>
      <c r="W55" s="2" t="n">
        <f aca="false">IF(R55="","",COUNTIFS($C$5:$C$6004,R55,$O$5:$O$6004,"CONCLUÍDA"))</f>
        <v>12</v>
      </c>
      <c r="X55" s="2" t="n">
        <f aca="false">IF(R55="","",COUNTIFS($C$5:$C$6004,R55,$O$5:$O$6004,"EM ANDAMENTO"))</f>
        <v>0</v>
      </c>
      <c r="Y55" s="2" t="n">
        <f aca="false">IF(R55="","",IF(COUNTIFS($C$5:$C$6004,R55,$O$5:$O$6004,"CONCLUÍDA",$N$5:$N$6004,"&gt;=-99")=0,"",_xlfn.MAXIFS($N$5:$N$6004,$C$5:$C$6004,R55,$O$5:$O$6004,"CONCLUÍDA")))</f>
        <v>-6</v>
      </c>
      <c r="Z55" s="2" t="str">
        <f aca="false">IF(R55="","",IF(COUNTIFS($C$5:$C$6004,R55,$O$5:$O$6004,"EM ANDAMENTO",$N$5:$N$6004,"&gt;=-99")=0,"",_xlfn.MAXIFS($N$5:$N$6004,$C$5:$C$6004,R55,$O$5:$O$6004,"EM ANDAMENTO")))</f>
        <v/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Piso em concreto projeção concordia lookahead: concluído</v>
      </c>
    </row>
    <row r="56" customFormat="false" ht="15" hidden="false" customHeight="false" outlineLevel="0" collapsed="false">
      <c r="B56" s="4" t="n">
        <v>9242456</v>
      </c>
      <c r="C56" s="4" t="s">
        <v>2615</v>
      </c>
      <c r="D56" s="4" t="s">
        <v>2645</v>
      </c>
      <c r="E56" s="4" t="s">
        <v>81</v>
      </c>
      <c r="F56" s="127" t="n">
        <v>45769</v>
      </c>
      <c r="G56" s="127" t="n">
        <v>45783</v>
      </c>
      <c r="H56" s="127" t="n">
        <v>46293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13</v>
      </c>
      <c r="N56" s="2" t="str">
        <f aca="false">IF(E56="","",IF(ISNUMBER(SEARCH("SUBSOLO",E56)),IFERROR(-VALUE(LEFT(E56,FIND("º",SUBSTITUTE(E56,"°","º"))-1)),-1),IF(LEFT(E56,6)="TÉRREO",0,IFERROR(VALUE(LEFT(E56,FIND("º",SUBSTITUTE(E56,"°","º"))-1)),""))))</f>
        <v/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2749</v>
      </c>
      <c r="S56" s="4" t="s">
        <v>160</v>
      </c>
      <c r="T56" s="4" t="s">
        <v>2750</v>
      </c>
      <c r="U56" s="4" t="s">
        <v>2613</v>
      </c>
      <c r="V56" s="2" t="n">
        <f aca="false">IF(R56="","",COUNTIF($C$5:$C$6004,R56))</f>
        <v>36</v>
      </c>
      <c r="W56" s="2" t="n">
        <f aca="false">IF(R56="","",COUNTIFS($C$5:$C$6004,R56,$O$5:$O$6004,"CONCLUÍDA"))</f>
        <v>36</v>
      </c>
      <c r="X56" s="2" t="n">
        <f aca="false">IF(R56="","",COUNTIFS($C$5:$C$6004,R56,$O$5:$O$6004,"EM ANDAMENTO"))</f>
        <v>0</v>
      </c>
      <c r="Y56" s="2" t="n">
        <f aca="false">IF(R56="","",IF(COUNTIFS($C$5:$C$6004,R56,$O$5:$O$6004,"CONCLUÍDA",$N$5:$N$6004,"&gt;=-99")=0,"",_xlfn.MAXIFS($N$5:$N$6004,$C$5:$C$6004,R56,$O$5:$O$6004,"CONCLUÍDA")))</f>
        <v>1</v>
      </c>
      <c r="Z56" s="2" t="str">
        <f aca="false">IF(R56="","",IF(COUNTIFS($C$5:$C$6004,R56,$O$5:$O$6004,"EM ANDAMENTO",$N$5:$N$6004,"&gt;=-99")=0,"",_xlfn.MAXIFS($N$5:$N$6004,$C$5:$C$6004,R56,$O$5:$O$6004,"EM ANDAMENTO")))</f>
        <v/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>Estrutura projeção rampa olimpus: concluído</v>
      </c>
    </row>
    <row r="57" customFormat="false" ht="15" hidden="false" customHeight="false" outlineLevel="0" collapsed="false">
      <c r="B57" s="4" t="n">
        <v>9242457</v>
      </c>
      <c r="C57" s="4" t="s">
        <v>2615</v>
      </c>
      <c r="D57" s="4" t="s">
        <v>2648</v>
      </c>
      <c r="E57" s="4" t="s">
        <v>81</v>
      </c>
      <c r="F57" s="127" t="n">
        <v>45784</v>
      </c>
      <c r="G57" s="127" t="n">
        <v>45784</v>
      </c>
      <c r="H57" s="127" t="n">
        <v>46293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13</v>
      </c>
      <c r="N57" s="2" t="str">
        <f aca="false">IF(E57="","",IF(ISNUMBER(SEARCH("SUBSOLO",E57)),IFERROR(-VALUE(LEFT(E57,FIND("º",SUBSTITUTE(E57,"°","º"))-1)),-1),IF(LEFT(E57,6)="TÉRREO",0,IFERROR(VALUE(LEFT(E57,FIND("º",SUBSTITUTE(E57,"°","º"))-1)),""))))</f>
        <v/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2751</v>
      </c>
      <c r="S57" s="4" t="s">
        <v>213</v>
      </c>
      <c r="T57" s="4" t="s">
        <v>2752</v>
      </c>
      <c r="U57" s="4" t="s">
        <v>2620</v>
      </c>
      <c r="V57" s="2" t="n">
        <f aca="false">IF(R57="","",COUNTIF($C$5:$C$6004,R57))</f>
        <v>8</v>
      </c>
      <c r="W57" s="2" t="n">
        <f aca="false">IF(R57="","",COUNTIFS($C$5:$C$6004,R57,$O$5:$O$6004,"CONCLUÍDA"))</f>
        <v>8</v>
      </c>
      <c r="X57" s="2" t="n">
        <f aca="false">IF(R57="","",COUNTIFS($C$5:$C$6004,R57,$O$5:$O$6004,"EM ANDAMENTO"))</f>
        <v>0</v>
      </c>
      <c r="Y57" s="2" t="n">
        <f aca="false">IF(R57="","",IF(COUNTIFS($C$5:$C$6004,R57,$O$5:$O$6004,"CONCLUÍDA",$N$5:$N$6004,"&gt;=-99")=0,"",_xlfn.MAXIFS($N$5:$N$6004,$C$5:$C$6004,R57,$O$5:$O$6004,"CONCLUÍDA")))</f>
        <v>-1</v>
      </c>
      <c r="Z57" s="2" t="str">
        <f aca="false">IF(R57="","",IF(COUNTIFS($C$5:$C$6004,R57,$O$5:$O$6004,"EM ANDAMENTO",$N$5:$N$6004,"&gt;=-99")=0,"",_xlfn.MAXIFS($N$5:$N$6004,$C$5:$C$6004,R57,$O$5:$O$6004,"EM ANDAMENTO")))</f>
        <v/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 customFormat="false" ht="15" hidden="false" customHeight="false" outlineLevel="0" collapsed="false">
      <c r="B58" s="4" t="n">
        <v>9242458</v>
      </c>
      <c r="C58" s="4" t="s">
        <v>2615</v>
      </c>
      <c r="D58" s="4" t="s">
        <v>2657</v>
      </c>
      <c r="E58" s="4" t="s">
        <v>81</v>
      </c>
      <c r="F58" s="127" t="n">
        <v>45726</v>
      </c>
      <c r="G58" s="127" t="n">
        <v>45758</v>
      </c>
      <c r="H58" s="127" t="n">
        <v>46293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13</v>
      </c>
      <c r="N58" s="2" t="str">
        <f aca="false">IF(E58="","",IF(ISNUMBER(SEARCH("SUBSOLO",E58)),IFERROR(-VALUE(LEFT(E58,FIND("º",SUBSTITUTE(E58,"°","º"))-1)),-1),IF(LEFT(E58,6)="TÉRREO",0,IFERROR(VALUE(LEFT(E58,FIND("º",SUBSTITUTE(E58,"°","º"))-1)),""))))</f>
        <v/>
      </c>
      <c r="O58" s="2" t="str">
        <f aca="false">IF(OR(F58="",G58=""),"",IF(G58&lt;='RETRATO 2027'!$K$5,"CONCLUÍDA",IF(F58&lt;='RETRATO 2027'!$K$5,"EM ANDAMENTO","A INICIAR")))</f>
        <v>CONCLUÍDA</v>
      </c>
      <c r="R58" s="4" t="s">
        <v>163</v>
      </c>
      <c r="S58" s="4" t="s">
        <v>162</v>
      </c>
      <c r="T58" s="4" t="s">
        <v>2753</v>
      </c>
      <c r="U58" s="4" t="s">
        <v>2613</v>
      </c>
      <c r="V58" s="2" t="n">
        <f aca="false">IF(R58="","",COUNTIF($C$5:$C$6004,R58))</f>
        <v>70</v>
      </c>
      <c r="W58" s="2" t="n">
        <f aca="false">IF(R58="","",COUNTIFS($C$5:$C$6004,R58,$O$5:$O$6004,"CONCLUÍDA"))</f>
        <v>70</v>
      </c>
      <c r="X58" s="2" t="n">
        <f aca="false">IF(R58="","",COUNTIFS($C$5:$C$6004,R58,$O$5:$O$6004,"EM ANDAMENTO"))</f>
        <v>0</v>
      </c>
      <c r="Y58" s="2" t="n">
        <f aca="false">IF(R58="","",IF(COUNTIFS($C$5:$C$6004,R58,$O$5:$O$6004,"CONCLUÍDA",$N$5:$N$6004,"&gt;=-99")=0,"",_xlfn.MAXIFS($N$5:$N$6004,$C$5:$C$6004,R58,$O$5:$O$6004,"CONCLUÍDA")))</f>
        <v>29</v>
      </c>
      <c r="Z58" s="2" t="str">
        <f aca="false">IF(R58="","",IF(COUNTIFS($C$5:$C$6004,R58,$O$5:$O$6004,"EM ANDAMENTO",$N$5:$N$6004,"&gt;=-99")=0,"",_xlfn.MAXIFS($N$5:$N$6004,$C$5:$C$6004,R58,$O$5:$O$6004,"EM ANDAMENTO")))</f>
        <v/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>Alvenaria: concluído</v>
      </c>
    </row>
    <row r="59" customFormat="false" ht="15" hidden="false" customHeight="false" outlineLevel="0" collapsed="false">
      <c r="B59" s="4" t="n">
        <v>9242459</v>
      </c>
      <c r="C59" s="4" t="s">
        <v>2615</v>
      </c>
      <c r="D59" s="4" t="s">
        <v>2660</v>
      </c>
      <c r="E59" s="4" t="s">
        <v>81</v>
      </c>
      <c r="F59" s="127" t="n">
        <v>45761</v>
      </c>
      <c r="G59" s="127" t="n">
        <v>45761</v>
      </c>
      <c r="H59" s="127" t="n">
        <v>46293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13</v>
      </c>
      <c r="N59" s="2" t="str">
        <f aca="false">IF(E59="","",IF(ISNUMBER(SEARCH("SUBSOLO",E59)),IFERROR(-VALUE(LEFT(E59,FIND("º",SUBSTITUTE(E59,"°","º"))-1)),-1),IF(LEFT(E59,6)="TÉRREO",0,IFERROR(VALUE(LEFT(E59,FIND("º",SUBSTITUTE(E59,"°","º"))-1)),""))))</f>
        <v/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2754</v>
      </c>
      <c r="S59" s="4" t="s">
        <v>160</v>
      </c>
      <c r="T59" s="4" t="s">
        <v>2755</v>
      </c>
      <c r="U59" s="4" t="s">
        <v>2620</v>
      </c>
      <c r="V59" s="2" t="n">
        <f aca="false">IF(R59="","",COUNTIF($C$5:$C$6004,R59))</f>
        <v>8</v>
      </c>
      <c r="W59" s="2" t="n">
        <f aca="false">IF(R59="","",COUNTIFS($C$5:$C$6004,R59,$O$5:$O$6004,"CONCLUÍDA"))</f>
        <v>8</v>
      </c>
      <c r="X59" s="2" t="n">
        <f aca="false">IF(R59="","",COUNTIFS($C$5:$C$6004,R59,$O$5:$O$6004,"EM ANDAMENTO"))</f>
        <v>0</v>
      </c>
      <c r="Y59" s="2" t="n">
        <f aca="false">IF(R59="","",IF(COUNTIFS($C$5:$C$6004,R59,$O$5:$O$6004,"CONCLUÍDA",$N$5:$N$6004,"&gt;=-99")=0,"",_xlfn.MAXIFS($N$5:$N$6004,$C$5:$C$6004,R59,$O$5:$O$6004,"CONCLUÍDA")))</f>
        <v>1</v>
      </c>
      <c r="Z59" s="2" t="str">
        <f aca="false">IF(R59="","",IF(COUNTIFS($C$5:$C$6004,R59,$O$5:$O$6004,"EM ANDAMENTO",$N$5:$N$6004,"&gt;=-99")=0,"",_xlfn.MAXIFS($N$5:$N$6004,$C$5:$C$6004,R59,$O$5:$O$6004,"EM ANDAMENTO")))</f>
        <v/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 customFormat="false" ht="15" hidden="false" customHeight="false" outlineLevel="0" collapsed="false">
      <c r="B60" s="4" t="n">
        <v>9242465</v>
      </c>
      <c r="C60" s="4" t="s">
        <v>2615</v>
      </c>
      <c r="D60" s="4" t="s">
        <v>2756</v>
      </c>
      <c r="E60" s="4" t="s">
        <v>81</v>
      </c>
      <c r="F60" s="127" t="n">
        <v>45789</v>
      </c>
      <c r="G60" s="127" t="n">
        <v>45793</v>
      </c>
      <c r="H60" s="127" t="n">
        <v>46293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13</v>
      </c>
      <c r="N60" s="2" t="str">
        <f aca="false">IF(E60="","",IF(ISNUMBER(SEARCH("SUBSOLO",E60)),IFERROR(-VALUE(LEFT(E60,FIND("º",SUBSTITUTE(E60,"°","º"))-1)),-1),IF(LEFT(E60,6)="TÉRREO",0,IFERROR(VALUE(LEFT(E60,FIND("º",SUBSTITUTE(E60,"°","º"))-1)),""))))</f>
        <v/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2757</v>
      </c>
      <c r="S60" s="4" t="s">
        <v>160</v>
      </c>
      <c r="T60" s="4" t="s">
        <v>2758</v>
      </c>
      <c r="U60" s="4" t="s">
        <v>2613</v>
      </c>
      <c r="V60" s="2" t="n">
        <f aca="false">IF(R60="","",COUNTIF($C$5:$C$6004,R60))</f>
        <v>14</v>
      </c>
      <c r="W60" s="2" t="n">
        <f aca="false">IF(R60="","",COUNTIFS($C$5:$C$6004,R60,$O$5:$O$6004,"CONCLUÍDA"))</f>
        <v>14</v>
      </c>
      <c r="X60" s="2" t="n">
        <f aca="false">IF(R60="","",COUNTIFS($C$5:$C$6004,R60,$O$5:$O$6004,"EM ANDAMENTO"))</f>
        <v>0</v>
      </c>
      <c r="Y60" s="2" t="n">
        <f aca="false">IF(R60="","",IF(COUNTIFS($C$5:$C$6004,R60,$O$5:$O$6004,"CONCLUÍDA",$N$5:$N$6004,"&gt;=-99")=0,"",_xlfn.MAXIFS($N$5:$N$6004,$C$5:$C$6004,R60,$O$5:$O$6004,"CONCLUÍDA")))</f>
        <v>-6</v>
      </c>
      <c r="Z60" s="2" t="str">
        <f aca="false">IF(R60="","",IF(COUNTIFS($C$5:$C$6004,R60,$O$5:$O$6004,"EM ANDAMENTO",$N$5:$N$6004,"&gt;=-99")=0,"",_xlfn.MAXIFS($N$5:$N$6004,$C$5:$C$6004,R60,$O$5:$O$6004,"EM ANDAMENTO")))</f>
        <v/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>Piso em concreto projeção torre lookahead: concluído</v>
      </c>
    </row>
    <row r="61" customFormat="false" ht="15" hidden="false" customHeight="false" outlineLevel="0" collapsed="false">
      <c r="B61" s="4" t="n">
        <v>9242466</v>
      </c>
      <c r="C61" s="4" t="s">
        <v>2615</v>
      </c>
      <c r="D61" s="4" t="s">
        <v>2759</v>
      </c>
      <c r="E61" s="4" t="s">
        <v>81</v>
      </c>
      <c r="F61" s="127" t="n">
        <v>45789</v>
      </c>
      <c r="G61" s="127" t="n">
        <v>45793</v>
      </c>
      <c r="H61" s="127" t="n">
        <v>46293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13</v>
      </c>
      <c r="N61" s="2" t="str">
        <f aca="false">IF(E61="","",IF(ISNUMBER(SEARCH("SUBSOLO",E61)),IFERROR(-VALUE(LEFT(E61,FIND("º",SUBSTITUTE(E61,"°","º"))-1)),-1),IF(LEFT(E61,6)="TÉRREO",0,IFERROR(VALUE(LEFT(E61,FIND("º",SUBSTITUTE(E61,"°","º"))-1)),""))))</f>
        <v/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2760</v>
      </c>
      <c r="S61" s="4" t="s">
        <v>152</v>
      </c>
      <c r="T61" s="4" t="s">
        <v>2761</v>
      </c>
      <c r="U61" s="4" t="s">
        <v>2620</v>
      </c>
      <c r="V61" s="2" t="n">
        <f aca="false">IF(R61="","",COUNTIF($C$5:$C$6004,R61))</f>
        <v>4</v>
      </c>
      <c r="W61" s="2" t="n">
        <f aca="false">IF(R61="","",COUNTIFS($C$5:$C$6004,R61,$O$5:$O$6004,"CONCLUÍDA"))</f>
        <v>4</v>
      </c>
      <c r="X61" s="2" t="n">
        <f aca="false">IF(R61="","",COUNTIFS($C$5:$C$6004,R61,$O$5:$O$6004,"EM ANDAMENTO"))</f>
        <v>0</v>
      </c>
      <c r="Y61" s="2" t="str">
        <f aca="false">IF(R61="","",IF(COUNTIFS($C$5:$C$6004,R61,$O$5:$O$6004,"CONCLUÍDA",$N$5:$N$6004,"&gt;=-99")=0,"",_xlfn.MAXIFS($N$5:$N$6004,$C$5:$C$6004,R61,$O$5:$O$6004,"CONCLUÍDA")))</f>
        <v/>
      </c>
      <c r="Z61" s="2" t="str">
        <f aca="false">IF(R61="","",IF(COUNTIFS($C$5:$C$6004,R61,$O$5:$O$6004,"EM ANDAMENTO",$N$5:$N$6004,"&gt;=-99")=0,"",_xlfn.MAXIFS($N$5:$N$6004,$C$5:$C$6004,R61,$O$5:$O$6004,"EM ANDAMENTO")))</f>
        <v/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 customFormat="false" ht="15" hidden="false" customHeight="false" outlineLevel="0" collapsed="false">
      <c r="B62" s="4" t="n">
        <v>9242467</v>
      </c>
      <c r="C62" s="4" t="s">
        <v>2615</v>
      </c>
      <c r="D62" s="4" t="s">
        <v>2762</v>
      </c>
      <c r="E62" s="4" t="s">
        <v>81</v>
      </c>
      <c r="F62" s="127" t="n">
        <v>45796</v>
      </c>
      <c r="G62" s="127" t="n">
        <v>45796</v>
      </c>
      <c r="H62" s="127" t="n">
        <v>46293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13</v>
      </c>
      <c r="N62" s="2" t="str">
        <f aca="false">IF(E62="","",IF(ISNUMBER(SEARCH("SUBSOLO",E62)),IFERROR(-VALUE(LEFT(E62,FIND("º",SUBSTITUTE(E62,"°","º"))-1)),-1),IF(LEFT(E62,6)="TÉRREO",0,IFERROR(VALUE(LEFT(E62,FIND("º",SUBSTITUTE(E62,"°","º"))-1)),""))))</f>
        <v/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2763</v>
      </c>
      <c r="S62" s="4" t="s">
        <v>160</v>
      </c>
      <c r="T62" s="4" t="s">
        <v>2764</v>
      </c>
      <c r="U62" s="4" t="s">
        <v>2620</v>
      </c>
      <c r="V62" s="2" t="n">
        <f aca="false">IF(R62="","",COUNTIF($C$5:$C$6004,R62))</f>
        <v>5</v>
      </c>
      <c r="W62" s="2" t="n">
        <f aca="false">IF(R62="","",COUNTIFS($C$5:$C$6004,R62,$O$5:$O$6004,"CONCLUÍDA"))</f>
        <v>5</v>
      </c>
      <c r="X62" s="2" t="n">
        <f aca="false">IF(R62="","",COUNTIFS($C$5:$C$6004,R62,$O$5:$O$6004,"EM ANDAMENTO"))</f>
        <v>0</v>
      </c>
      <c r="Y62" s="2" t="n">
        <f aca="false">IF(R62="","",IF(COUNTIFS($C$5:$C$6004,R62,$O$5:$O$6004,"CONCLUÍDA",$N$5:$N$6004,"&gt;=-99")=0,"",_xlfn.MAXIFS($N$5:$N$6004,$C$5:$C$6004,R62,$O$5:$O$6004,"CONCLUÍDA")))</f>
        <v>-4</v>
      </c>
      <c r="Z62" s="2" t="str">
        <f aca="false">IF(R62="","",IF(COUNTIFS($C$5:$C$6004,R62,$O$5:$O$6004,"EM ANDAMENTO",$N$5:$N$6004,"&gt;=-99")=0,"",_xlfn.MAXIFS($N$5:$N$6004,$C$5:$C$6004,R62,$O$5:$O$6004,"EM ANDAMENTO")))</f>
        <v/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 customFormat="false" ht="15" hidden="false" customHeight="false" outlineLevel="0" collapsed="false">
      <c r="B63" s="4" t="n">
        <v>29766457</v>
      </c>
      <c r="C63" s="4" t="s">
        <v>2618</v>
      </c>
      <c r="D63" s="4" t="s">
        <v>433</v>
      </c>
      <c r="E63" s="4" t="s">
        <v>81</v>
      </c>
      <c r="F63" s="127" t="n">
        <v>45748</v>
      </c>
      <c r="G63" s="127" t="n">
        <v>45777</v>
      </c>
      <c r="H63" s="127" t="n">
        <v>46293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13</v>
      </c>
      <c r="N63" s="2" t="str">
        <f aca="false">IF(E63="","",IF(ISNUMBER(SEARCH("SUBSOLO",E63)),IFERROR(-VALUE(LEFT(E63,FIND("º",SUBSTITUTE(E63,"°","º"))-1)),-1),IF(LEFT(E63,6)="TÉRREO",0,IFERROR(VALUE(LEFT(E63,FIND("º",SUBSTITUTE(E63,"°","º"))-1)),""))))</f>
        <v/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2765</v>
      </c>
      <c r="S63" s="4" t="s">
        <v>160</v>
      </c>
      <c r="T63" s="4" t="s">
        <v>2766</v>
      </c>
      <c r="U63" s="4" t="s">
        <v>2620</v>
      </c>
      <c r="V63" s="2" t="n">
        <f aca="false">IF(R63="","",COUNTIF($C$5:$C$6004,R63))</f>
        <v>9</v>
      </c>
      <c r="W63" s="2" t="n">
        <f aca="false">IF(R63="","",COUNTIFS($C$5:$C$6004,R63,$O$5:$O$6004,"CONCLUÍDA"))</f>
        <v>9</v>
      </c>
      <c r="X63" s="2" t="n">
        <f aca="false">IF(R63="","",COUNTIFS($C$5:$C$6004,R63,$O$5:$O$6004,"EM ANDAMENTO"))</f>
        <v>0</v>
      </c>
      <c r="Y63" s="2" t="n">
        <f aca="false">IF(R63="","",IF(COUNTIFS($C$5:$C$6004,R63,$O$5:$O$6004,"CONCLUÍDA",$N$5:$N$6004,"&gt;=-99")=0,"",_xlfn.MAXIFS($N$5:$N$6004,$C$5:$C$6004,R63,$O$5:$O$6004,"CONCLUÍDA")))</f>
        <v>1</v>
      </c>
      <c r="Z63" s="2" t="str">
        <f aca="false">IF(R63="","",IF(COUNTIFS($C$5:$C$6004,R63,$O$5:$O$6004,"EM ANDAMENTO",$N$5:$N$6004,"&gt;=-99")=0,"",_xlfn.MAXIFS($N$5:$N$6004,$C$5:$C$6004,R63,$O$5:$O$6004,"EM ANDAMENTO")))</f>
        <v/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 customFormat="false" ht="15" hidden="false" customHeight="false" outlineLevel="0" collapsed="false">
      <c r="B64" s="4" t="n">
        <v>27913199</v>
      </c>
      <c r="C64" s="4" t="s">
        <v>2622</v>
      </c>
      <c r="D64" s="4" t="s">
        <v>433</v>
      </c>
      <c r="E64" s="4" t="s">
        <v>81</v>
      </c>
      <c r="F64" s="127" t="n">
        <v>45762</v>
      </c>
      <c r="G64" s="127" t="n">
        <v>45819</v>
      </c>
      <c r="H64" s="127" t="n">
        <v>46293</v>
      </c>
      <c r="I64" s="4" t="n">
        <v>100</v>
      </c>
      <c r="J64" s="4" t="n">
        <v>100</v>
      </c>
      <c r="K64" s="4" t="n">
        <v>100</v>
      </c>
      <c r="M64" s="2" t="str">
        <f aca="false">IF(C64="","",IFERROR(INDEX($S$5:$S$304,MATCH(C64,$R$5:$R$304,0))&amp;"","?"))</f>
        <v>15</v>
      </c>
      <c r="N64" s="2" t="str">
        <f aca="false">IF(E64="","",IF(ISNUMBER(SEARCH("SUBSOLO",E64)),IFERROR(-VALUE(LEFT(E64,FIND("º",SUBSTITUTE(E64,"°","º"))-1)),-1),IF(LEFT(E64,6)="TÉRREO",0,IFERROR(VALUE(LEFT(E64,FIND("º",SUBSTITUTE(E64,"°","º"))-1)),""))))</f>
        <v/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2767</v>
      </c>
      <c r="S64" s="4" t="s">
        <v>160</v>
      </c>
      <c r="T64" s="4" t="s">
        <v>2768</v>
      </c>
      <c r="U64" s="4" t="s">
        <v>2613</v>
      </c>
      <c r="V64" s="2" t="n">
        <f aca="false">IF(R64="","",COUNTIF($C$5:$C$6004,R64))</f>
        <v>17</v>
      </c>
      <c r="W64" s="2" t="n">
        <f aca="false">IF(R64="","",COUNTIFS($C$5:$C$6004,R64,$O$5:$O$6004,"CONCLUÍDA"))</f>
        <v>17</v>
      </c>
      <c r="X64" s="2" t="n">
        <f aca="false">IF(R64="","",COUNTIFS($C$5:$C$6004,R64,$O$5:$O$6004,"EM ANDAMENTO"))</f>
        <v>0</v>
      </c>
      <c r="Y64" s="2" t="n">
        <f aca="false">IF(R64="","",IF(COUNTIFS($C$5:$C$6004,R64,$O$5:$O$6004,"CONCLUÍDA",$N$5:$N$6004,"&gt;=-99")=0,"",_xlfn.MAXIFS($N$5:$N$6004,$C$5:$C$6004,R64,$O$5:$O$6004,"CONCLUÍDA")))</f>
        <v>3</v>
      </c>
      <c r="Z64" s="2" t="str">
        <f aca="false">IF(R64="","",IF(COUNTIFS($C$5:$C$6004,R64,$O$5:$O$6004,"EM ANDAMENTO",$N$5:$N$6004,"&gt;=-99")=0,"",_xlfn.MAXIFS($N$5:$N$6004,$C$5:$C$6004,R64,$O$5:$O$6004,"EM ANDAMENTO")))</f>
        <v/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>Estrutura - concordia lookahead: concluído</v>
      </c>
    </row>
    <row r="65" customFormat="false" ht="15" hidden="false" customHeight="false" outlineLevel="0" collapsed="false">
      <c r="B65" s="4" t="n">
        <v>9945907</v>
      </c>
      <c r="C65" s="4" t="s">
        <v>2622</v>
      </c>
      <c r="D65" s="4" t="s">
        <v>2769</v>
      </c>
      <c r="E65" s="4" t="s">
        <v>81</v>
      </c>
      <c r="F65" s="127" t="n">
        <v>45762</v>
      </c>
      <c r="G65" s="127" t="n">
        <v>45782</v>
      </c>
      <c r="H65" s="127" t="n">
        <v>46293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15</v>
      </c>
      <c r="N65" s="2" t="str">
        <f aca="false">IF(E65="","",IF(ISNUMBER(SEARCH("SUBSOLO",E65)),IFERROR(-VALUE(LEFT(E65,FIND("º",SUBSTITUTE(E65,"°","º"))-1)),-1),IF(LEFT(E65,6)="TÉRREO",0,IFERROR(VALUE(LEFT(E65,FIND("º",SUBSTITUTE(E65,"°","º"))-1)),""))))</f>
        <v/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2770</v>
      </c>
      <c r="S65" s="4" t="s">
        <v>168</v>
      </c>
      <c r="T65" s="4" t="s">
        <v>2771</v>
      </c>
      <c r="U65" s="4" t="s">
        <v>2620</v>
      </c>
      <c r="V65" s="2" t="n">
        <f aca="false">IF(R65="","",COUNTIF($C$5:$C$6004,R65))</f>
        <v>8</v>
      </c>
      <c r="W65" s="2" t="n">
        <f aca="false">IF(R65="","",COUNTIFS($C$5:$C$6004,R65,$O$5:$O$6004,"CONCLUÍDA"))</f>
        <v>8</v>
      </c>
      <c r="X65" s="2" t="n">
        <f aca="false">IF(R65="","",COUNTIFS($C$5:$C$6004,R65,$O$5:$O$6004,"EM ANDAMENTO"))</f>
        <v>0</v>
      </c>
      <c r="Y65" s="2" t="n">
        <f aca="false">IF(R65="","",IF(COUNTIFS($C$5:$C$6004,R65,$O$5:$O$6004,"CONCLUÍDA",$N$5:$N$6004,"&gt;=-99")=0,"",_xlfn.MAXIFS($N$5:$N$6004,$C$5:$C$6004,R65,$O$5:$O$6004,"CONCLUÍDA")))</f>
        <v>-3</v>
      </c>
      <c r="Z65" s="2" t="str">
        <f aca="false">IF(R65="","",IF(COUNTIFS($C$5:$C$6004,R65,$O$5:$O$6004,"EM ANDAMENTO",$N$5:$N$6004,"&gt;=-99")=0,"",_xlfn.MAXIFS($N$5:$N$6004,$C$5:$C$6004,R65,$O$5:$O$6004,"EM ANDAMENTO")))</f>
        <v/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 customFormat="false" ht="15" hidden="false" customHeight="false" outlineLevel="0" collapsed="false">
      <c r="B66" s="4" t="n">
        <v>9945908</v>
      </c>
      <c r="C66" s="4" t="s">
        <v>2622</v>
      </c>
      <c r="D66" s="4" t="s">
        <v>2772</v>
      </c>
      <c r="E66" s="4" t="s">
        <v>81</v>
      </c>
      <c r="F66" s="127" t="n">
        <v>45783</v>
      </c>
      <c r="G66" s="127" t="n">
        <v>45783</v>
      </c>
      <c r="H66" s="127" t="n">
        <v>46293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15</v>
      </c>
      <c r="N66" s="2" t="str">
        <f aca="false">IF(E66="","",IF(ISNUMBER(SEARCH("SUBSOLO",E66)),IFERROR(-VALUE(LEFT(E66,FIND("º",SUBSTITUTE(E66,"°","º"))-1)),-1),IF(LEFT(E66,6)="TÉRREO",0,IFERROR(VALUE(LEFT(E66,FIND("º",SUBSTITUTE(E66,"°","º"))-1)),""))))</f>
        <v/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2773</v>
      </c>
      <c r="S66" s="4" t="s">
        <v>152</v>
      </c>
      <c r="T66" s="4" t="s">
        <v>2774</v>
      </c>
      <c r="U66" s="4" t="s">
        <v>2620</v>
      </c>
      <c r="V66" s="2" t="n">
        <f aca="false">IF(R66="","",COUNTIF($C$5:$C$6004,R66))</f>
        <v>7</v>
      </c>
      <c r="W66" s="2" t="n">
        <f aca="false">IF(R66="","",COUNTIFS($C$5:$C$6004,R66,$O$5:$O$6004,"CONCLUÍDA"))</f>
        <v>7</v>
      </c>
      <c r="X66" s="2" t="n">
        <f aca="false">IF(R66="","",COUNTIFS($C$5:$C$6004,R66,$O$5:$O$6004,"EM ANDAMENTO"))</f>
        <v>0</v>
      </c>
      <c r="Y66" s="2" t="str">
        <f aca="false">IF(R66="","",IF(COUNTIFS($C$5:$C$6004,R66,$O$5:$O$6004,"CONCLUÍDA",$N$5:$N$6004,"&gt;=-99")=0,"",_xlfn.MAXIFS($N$5:$N$6004,$C$5:$C$6004,R66,$O$5:$O$6004,"CONCLUÍDA")))</f>
        <v/>
      </c>
      <c r="Z66" s="2" t="str">
        <f aca="false">IF(R66="","",IF(COUNTIFS($C$5:$C$6004,R66,$O$5:$O$6004,"EM ANDAMENTO",$N$5:$N$6004,"&gt;=-99")=0,"",_xlfn.MAXIFS($N$5:$N$6004,$C$5:$C$6004,R66,$O$5:$O$6004,"EM ANDAMENTO")))</f>
        <v/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 customFormat="false" ht="15" hidden="false" customHeight="false" outlineLevel="0" collapsed="false">
      <c r="B67" s="4" t="n">
        <v>9945909</v>
      </c>
      <c r="C67" s="4" t="s">
        <v>2622</v>
      </c>
      <c r="D67" s="4" t="s">
        <v>2775</v>
      </c>
      <c r="E67" s="4" t="s">
        <v>81</v>
      </c>
      <c r="F67" s="127" t="n">
        <v>45784</v>
      </c>
      <c r="G67" s="127" t="n">
        <v>45799</v>
      </c>
      <c r="H67" s="127" t="n">
        <v>46293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15</v>
      </c>
      <c r="N67" s="2" t="str">
        <f aca="false">IF(E67="","",IF(ISNUMBER(SEARCH("SUBSOLO",E67)),IFERROR(-VALUE(LEFT(E67,FIND("º",SUBSTITUTE(E67,"°","º"))-1)),-1),IF(LEFT(E67,6)="TÉRREO",0,IFERROR(VALUE(LEFT(E67,FIND("º",SUBSTITUTE(E67,"°","º"))-1)),""))))</f>
        <v/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2776</v>
      </c>
      <c r="S67" s="4" t="s">
        <v>160</v>
      </c>
      <c r="T67" s="4" t="s">
        <v>2777</v>
      </c>
      <c r="U67" s="4" t="s">
        <v>2620</v>
      </c>
      <c r="V67" s="2" t="n">
        <f aca="false">IF(R67="","",COUNTIF($C$5:$C$6004,R67))</f>
        <v>5</v>
      </c>
      <c r="W67" s="2" t="n">
        <f aca="false">IF(R67="","",COUNTIFS($C$5:$C$6004,R67,$O$5:$O$6004,"CONCLUÍDA"))</f>
        <v>5</v>
      </c>
      <c r="X67" s="2" t="n">
        <f aca="false">IF(R67="","",COUNTIFS($C$5:$C$6004,R67,$O$5:$O$6004,"EM ANDAMENTO"))</f>
        <v>0</v>
      </c>
      <c r="Y67" s="2" t="n">
        <f aca="false">IF(R67="","",IF(COUNTIFS($C$5:$C$6004,R67,$O$5:$O$6004,"CONCLUÍDA",$N$5:$N$6004,"&gt;=-99")=0,"",_xlfn.MAXIFS($N$5:$N$6004,$C$5:$C$6004,R67,$O$5:$O$6004,"CONCLUÍDA")))</f>
        <v>-4</v>
      </c>
      <c r="Z67" s="2" t="str">
        <f aca="false">IF(R67="","",IF(COUNTIFS($C$5:$C$6004,R67,$O$5:$O$6004,"EM ANDAMENTO",$N$5:$N$6004,"&gt;=-99")=0,"",_xlfn.MAXIFS($N$5:$N$6004,$C$5:$C$6004,R67,$O$5:$O$6004,"EM ANDAMENTO")))</f>
        <v/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 customFormat="false" ht="15" hidden="false" customHeight="false" outlineLevel="0" collapsed="false">
      <c r="B68" s="4" t="n">
        <v>9945910</v>
      </c>
      <c r="C68" s="4" t="s">
        <v>2622</v>
      </c>
      <c r="D68" s="4" t="s">
        <v>2778</v>
      </c>
      <c r="E68" s="4" t="s">
        <v>81</v>
      </c>
      <c r="F68" s="127" t="n">
        <v>45800</v>
      </c>
      <c r="G68" s="127" t="n">
        <v>45800</v>
      </c>
      <c r="H68" s="127" t="n">
        <v>46293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15</v>
      </c>
      <c r="N68" s="2" t="str">
        <f aca="false">IF(E68="","",IF(ISNUMBER(SEARCH("SUBSOLO",E68)),IFERROR(-VALUE(LEFT(E68,FIND("º",SUBSTITUTE(E68,"°","º"))-1)),-1),IF(LEFT(E68,6)="TÉRREO",0,IFERROR(VALUE(LEFT(E68,FIND("º",SUBSTITUTE(E68,"°","º"))-1)),""))))</f>
        <v/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2779</v>
      </c>
      <c r="S68" s="4" t="s">
        <v>160</v>
      </c>
      <c r="T68" s="4" t="s">
        <v>2780</v>
      </c>
      <c r="U68" s="4" t="s">
        <v>2620</v>
      </c>
      <c r="V68" s="2" t="n">
        <f aca="false">IF(R68="","",COUNTIF($C$5:$C$6004,R68))</f>
        <v>8</v>
      </c>
      <c r="W68" s="2" t="n">
        <f aca="false">IF(R68="","",COUNTIFS($C$5:$C$6004,R68,$O$5:$O$6004,"CONCLUÍDA"))</f>
        <v>8</v>
      </c>
      <c r="X68" s="2" t="n">
        <f aca="false">IF(R68="","",COUNTIFS($C$5:$C$6004,R68,$O$5:$O$6004,"EM ANDAMENTO"))</f>
        <v>0</v>
      </c>
      <c r="Y68" s="2" t="n">
        <f aca="false">IF(R68="","",IF(COUNTIFS($C$5:$C$6004,R68,$O$5:$O$6004,"CONCLUÍDA",$N$5:$N$6004,"&gt;=-99")=0,"",_xlfn.MAXIFS($N$5:$N$6004,$C$5:$C$6004,R68,$O$5:$O$6004,"CONCLUÍDA")))</f>
        <v>-6</v>
      </c>
      <c r="Z68" s="2" t="str">
        <f aca="false">IF(R68="","",IF(COUNTIFS($C$5:$C$6004,R68,$O$5:$O$6004,"EM ANDAMENTO",$N$5:$N$6004,"&gt;=-99")=0,"",_xlfn.MAXIFS($N$5:$N$6004,$C$5:$C$6004,R68,$O$5:$O$6004,"EM ANDAMENTO")))</f>
        <v/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 customFormat="false" ht="15" hidden="false" customHeight="false" outlineLevel="0" collapsed="false">
      <c r="B69" s="4" t="n">
        <v>9945911</v>
      </c>
      <c r="C69" s="4" t="s">
        <v>2622</v>
      </c>
      <c r="D69" s="4" t="s">
        <v>2781</v>
      </c>
      <c r="E69" s="4" t="s">
        <v>81</v>
      </c>
      <c r="F69" s="127" t="n">
        <v>45762</v>
      </c>
      <c r="G69" s="127" t="n">
        <v>45782</v>
      </c>
      <c r="H69" s="127" t="n">
        <v>46293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15</v>
      </c>
      <c r="N69" s="2" t="str">
        <f aca="false">IF(E69="","",IF(ISNUMBER(SEARCH("SUBSOLO",E69)),IFERROR(-VALUE(LEFT(E69,FIND("º",SUBSTITUTE(E69,"°","º"))-1)),-1),IF(LEFT(E69,6)="TÉRREO",0,IFERROR(VALUE(LEFT(E69,FIND("º",SUBSTITUTE(E69,"°","º"))-1)),""))))</f>
        <v/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2782</v>
      </c>
      <c r="S69" s="4" t="s">
        <v>160</v>
      </c>
      <c r="T69" s="4" t="s">
        <v>2783</v>
      </c>
      <c r="U69" s="4" t="s">
        <v>2620</v>
      </c>
      <c r="V69" s="2" t="n">
        <f aca="false">IF(R69="","",COUNTIF($C$5:$C$6004,R69))</f>
        <v>7</v>
      </c>
      <c r="W69" s="2" t="n">
        <f aca="false">IF(R69="","",COUNTIFS($C$5:$C$6004,R69,$O$5:$O$6004,"CONCLUÍDA"))</f>
        <v>7</v>
      </c>
      <c r="X69" s="2" t="n">
        <f aca="false">IF(R69="","",COUNTIFS($C$5:$C$6004,R69,$O$5:$O$6004,"EM ANDAMENTO"))</f>
        <v>0</v>
      </c>
      <c r="Y69" s="2" t="n">
        <f aca="false">IF(R69="","",IF(COUNTIFS($C$5:$C$6004,R69,$O$5:$O$6004,"CONCLUÍDA",$N$5:$N$6004,"&gt;=-99")=0,"",_xlfn.MAXIFS($N$5:$N$6004,$C$5:$C$6004,R69,$O$5:$O$6004,"CONCLUÍDA")))</f>
        <v>-2</v>
      </c>
      <c r="Z69" s="2" t="str">
        <f aca="false">IF(R69="","",IF(COUNTIFS($C$5:$C$6004,R69,$O$5:$O$6004,"EM ANDAMENTO",$N$5:$N$6004,"&gt;=-99")=0,"",_xlfn.MAXIFS($N$5:$N$6004,$C$5:$C$6004,R69,$O$5:$O$6004,"EM ANDAMENTO")))</f>
        <v/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 customFormat="false" ht="15" hidden="false" customHeight="false" outlineLevel="0" collapsed="false">
      <c r="B70" s="4" t="n">
        <v>9945912</v>
      </c>
      <c r="C70" s="4" t="s">
        <v>2622</v>
      </c>
      <c r="D70" s="4" t="s">
        <v>2784</v>
      </c>
      <c r="E70" s="4" t="s">
        <v>81</v>
      </c>
      <c r="F70" s="127" t="n">
        <v>45783</v>
      </c>
      <c r="G70" s="127" t="n">
        <v>45783</v>
      </c>
      <c r="H70" s="127" t="n">
        <v>46293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15</v>
      </c>
      <c r="N70" s="2" t="str">
        <f aca="false">IF(E70="","",IF(ISNUMBER(SEARCH("SUBSOLO",E70)),IFERROR(-VALUE(LEFT(E70,FIND("º",SUBSTITUTE(E70,"°","º"))-1)),-1),IF(LEFT(E70,6)="TÉRREO",0,IFERROR(VALUE(LEFT(E70,FIND("º",SUBSTITUTE(E70,"°","º"))-1)),""))))</f>
        <v/>
      </c>
      <c r="O70" s="2" t="str">
        <f aca="false">IF(OR(F70="",G70=""),"",IF(G70&lt;='RETRATO 2027'!$K$5,"CONCLUÍDA",IF(F70&lt;='RETRATO 2027'!$K$5,"EM ANDAMENTO","A INICIAR")))</f>
        <v>CONCLUÍDA</v>
      </c>
      <c r="R70" s="4" t="s">
        <v>2785</v>
      </c>
      <c r="S70" s="4" t="s">
        <v>160</v>
      </c>
      <c r="T70" s="4" t="s">
        <v>2786</v>
      </c>
      <c r="U70" s="4" t="s">
        <v>2620</v>
      </c>
      <c r="V70" s="2" t="n">
        <f aca="false">IF(R70="","",COUNTIF($C$5:$C$6004,R70))</f>
        <v>1</v>
      </c>
      <c r="W70" s="2" t="n">
        <f aca="false">IF(R70="","",COUNTIFS($C$5:$C$6004,R70,$O$5:$O$6004,"CONCLUÍDA"))</f>
        <v>1</v>
      </c>
      <c r="X70" s="2" t="n">
        <f aca="false">IF(R70="","",COUNTIFS($C$5:$C$6004,R70,$O$5:$O$6004,"EM ANDAMENTO"))</f>
        <v>0</v>
      </c>
      <c r="Y70" s="2" t="n">
        <f aca="false">IF(R70="","",IF(COUNTIFS($C$5:$C$6004,R70,$O$5:$O$6004,"CONCLUÍDA",$N$5:$N$6004,"&gt;=-99")=0,"",_xlfn.MAXIFS($N$5:$N$6004,$C$5:$C$6004,R70,$O$5:$O$6004,"CONCLUÍDA")))</f>
        <v>2</v>
      </c>
      <c r="Z70" s="2" t="str">
        <f aca="false">IF(R70="","",IF(COUNTIFS($C$5:$C$6004,R70,$O$5:$O$6004,"EM ANDAMENTO",$N$5:$N$6004,"&gt;=-99")=0,"",_xlfn.MAXIFS($N$5:$N$6004,$C$5:$C$6004,R70,$O$5:$O$6004,"EM ANDAMENTO")))</f>
        <v/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 customFormat="false" ht="15" hidden="false" customHeight="false" outlineLevel="0" collapsed="false">
      <c r="B71" s="4" t="n">
        <v>9945913</v>
      </c>
      <c r="C71" s="4" t="s">
        <v>2622</v>
      </c>
      <c r="D71" s="4" t="s">
        <v>2787</v>
      </c>
      <c r="E71" s="4" t="s">
        <v>81</v>
      </c>
      <c r="F71" s="127" t="n">
        <v>45784</v>
      </c>
      <c r="G71" s="127" t="n">
        <v>45799</v>
      </c>
      <c r="H71" s="127" t="n">
        <v>46293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15</v>
      </c>
      <c r="N71" s="2" t="str">
        <f aca="false">IF(E71="","",IF(ISNUMBER(SEARCH("SUBSOLO",E71)),IFERROR(-VALUE(LEFT(E71,FIND("º",SUBSTITUTE(E71,"°","º"))-1)),-1),IF(LEFT(E71,6)="TÉRREO",0,IFERROR(VALUE(LEFT(E71,FIND("º",SUBSTITUTE(E71,"°","º"))-1)),""))))</f>
        <v/>
      </c>
      <c r="O71" s="2" t="str">
        <f aca="false">IF(OR(F71="",G71=""),"",IF(G71&lt;='RETRATO 2027'!$K$5,"CONCLUÍDA",IF(F71&lt;='RETRATO 2027'!$K$5,"EM ANDAMENTO","A INICIAR")))</f>
        <v>CONCLUÍDA</v>
      </c>
      <c r="R71" s="4" t="s">
        <v>2788</v>
      </c>
      <c r="S71" s="4" t="s">
        <v>152</v>
      </c>
      <c r="T71" s="4" t="s">
        <v>2789</v>
      </c>
      <c r="U71" s="4" t="s">
        <v>2620</v>
      </c>
      <c r="V71" s="2" t="n">
        <f aca="false">IF(R71="","",COUNTIF($C$5:$C$6004,R71))</f>
        <v>7</v>
      </c>
      <c r="W71" s="2" t="n">
        <f aca="false">IF(R71="","",COUNTIFS($C$5:$C$6004,R71,$O$5:$O$6004,"CONCLUÍDA"))</f>
        <v>7</v>
      </c>
      <c r="X71" s="2" t="n">
        <f aca="false">IF(R71="","",COUNTIFS($C$5:$C$6004,R71,$O$5:$O$6004,"EM ANDAMENTO"))</f>
        <v>0</v>
      </c>
      <c r="Y71" s="2" t="str">
        <f aca="false">IF(R71="","",IF(COUNTIFS($C$5:$C$6004,R71,$O$5:$O$6004,"CONCLUÍDA",$N$5:$N$6004,"&gt;=-99")=0,"",_xlfn.MAXIFS($N$5:$N$6004,$C$5:$C$6004,R71,$O$5:$O$6004,"CONCLUÍDA")))</f>
        <v/>
      </c>
      <c r="Z71" s="2" t="str">
        <f aca="false">IF(R71="","",IF(COUNTIFS($C$5:$C$6004,R71,$O$5:$O$6004,"EM ANDAMENTO",$N$5:$N$6004,"&gt;=-99")=0,"",_xlfn.MAXIFS($N$5:$N$6004,$C$5:$C$6004,R71,$O$5:$O$6004,"EM ANDAMENTO")))</f>
        <v/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 customFormat="false" ht="15" hidden="false" customHeight="false" outlineLevel="0" collapsed="false">
      <c r="B72" s="4" t="n">
        <v>9945914</v>
      </c>
      <c r="C72" s="4" t="s">
        <v>2622</v>
      </c>
      <c r="D72" s="4" t="s">
        <v>2790</v>
      </c>
      <c r="E72" s="4" t="s">
        <v>81</v>
      </c>
      <c r="F72" s="127" t="n">
        <v>45800</v>
      </c>
      <c r="G72" s="127" t="n">
        <v>45800</v>
      </c>
      <c r="H72" s="127" t="n">
        <v>46293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15</v>
      </c>
      <c r="N72" s="2" t="str">
        <f aca="false">IF(E72="","",IF(ISNUMBER(SEARCH("SUBSOLO",E72)),IFERROR(-VALUE(LEFT(E72,FIND("º",SUBSTITUTE(E72,"°","º"))-1)),-1),IF(LEFT(E72,6)="TÉRREO",0,IFERROR(VALUE(LEFT(E72,FIND("º",SUBSTITUTE(E72,"°","º"))-1)),""))))</f>
        <v/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2791</v>
      </c>
      <c r="S72" s="4" t="s">
        <v>170</v>
      </c>
      <c r="T72" s="4" t="s">
        <v>2792</v>
      </c>
      <c r="U72" s="4" t="s">
        <v>2620</v>
      </c>
      <c r="V72" s="2" t="n">
        <f aca="false">IF(R72="","",COUNTIF($C$5:$C$6004,R72))</f>
        <v>9</v>
      </c>
      <c r="W72" s="2" t="n">
        <f aca="false">IF(R72="","",COUNTIFS($C$5:$C$6004,R72,$O$5:$O$6004,"CONCLUÍDA"))</f>
        <v>6</v>
      </c>
      <c r="X72" s="2" t="n">
        <f aca="false">IF(R72="","",COUNTIFS($C$5:$C$6004,R72,$O$5:$O$6004,"EM ANDAMENTO"))</f>
        <v>1</v>
      </c>
      <c r="Y72" s="2" t="n">
        <f aca="false">IF(R72="","",IF(COUNTIFS($C$5:$C$6004,R72,$O$5:$O$6004,"CONCLUÍDA",$N$5:$N$6004,"&gt;=-99")=0,"",_xlfn.MAXIFS($N$5:$N$6004,$C$5:$C$6004,R72,$O$5:$O$6004,"CONCLUÍDA")))</f>
        <v>2</v>
      </c>
      <c r="Z72" s="2" t="n">
        <f aca="false">IF(R72="","",IF(COUNTIFS($C$5:$C$6004,R72,$O$5:$O$6004,"EM ANDAMENTO",$N$5:$N$6004,"&gt;=-99")=0,"",_xlfn.MAXIFS($N$5:$N$6004,$C$5:$C$6004,R72,$O$5:$O$6004,"EM ANDAMENTO")))</f>
        <v>2</v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 customFormat="false" ht="15" hidden="false" customHeight="false" outlineLevel="0" collapsed="false">
      <c r="B73" s="4" t="n">
        <v>9945915</v>
      </c>
      <c r="C73" s="4" t="s">
        <v>2622</v>
      </c>
      <c r="D73" s="4" t="s">
        <v>2793</v>
      </c>
      <c r="E73" s="4" t="s">
        <v>81</v>
      </c>
      <c r="F73" s="127" t="n">
        <v>45803</v>
      </c>
      <c r="G73" s="127" t="n">
        <v>45818</v>
      </c>
      <c r="H73" s="127" t="n">
        <v>46293</v>
      </c>
      <c r="I73" s="4" t="n">
        <v>100</v>
      </c>
      <c r="J73" s="4" t="n">
        <v>100</v>
      </c>
      <c r="K73" s="4" t="n">
        <v>100</v>
      </c>
      <c r="M73" s="2" t="str">
        <f aca="false">IF(C73="","",IFERROR(INDEX($S$5:$S$304,MATCH(C73,$R$5:$R$304,0))&amp;"","?"))</f>
        <v>15</v>
      </c>
      <c r="N73" s="2" t="str">
        <f aca="false">IF(E73="","",IF(ISNUMBER(SEARCH("SUBSOLO",E73)),IFERROR(-VALUE(LEFT(E73,FIND("º",SUBSTITUTE(E73,"°","º"))-1)),-1),IF(LEFT(E73,6)="TÉRREO",0,IFERROR(VALUE(LEFT(E73,FIND("º",SUBSTITUTE(E73,"°","º"))-1)),""))))</f>
        <v/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2794</v>
      </c>
      <c r="S73" s="4" t="s">
        <v>160</v>
      </c>
      <c r="T73" s="4" t="s">
        <v>2795</v>
      </c>
      <c r="U73" s="4" t="s">
        <v>2620</v>
      </c>
      <c r="V73" s="2" t="n">
        <f aca="false">IF(R73="","",COUNTIF($C$5:$C$6004,R73))</f>
        <v>6</v>
      </c>
      <c r="W73" s="2" t="n">
        <f aca="false">IF(R73="","",COUNTIFS($C$5:$C$6004,R73,$O$5:$O$6004,"CONCLUÍDA"))</f>
        <v>6</v>
      </c>
      <c r="X73" s="2" t="n">
        <f aca="false">IF(R73="","",COUNTIFS($C$5:$C$6004,R73,$O$5:$O$6004,"EM ANDAMENTO"))</f>
        <v>0</v>
      </c>
      <c r="Y73" s="2" t="n">
        <f aca="false">IF(R73="","",IF(COUNTIFS($C$5:$C$6004,R73,$O$5:$O$6004,"CONCLUÍDA",$N$5:$N$6004,"&gt;=-99")=0,"",_xlfn.MAXIFS($N$5:$N$6004,$C$5:$C$6004,R73,$O$5:$O$6004,"CONCLUÍDA")))</f>
        <v>1</v>
      </c>
      <c r="Z73" s="2" t="str">
        <f aca="false">IF(R73="","",IF(COUNTIFS($C$5:$C$6004,R73,$O$5:$O$6004,"EM ANDAMENTO",$N$5:$N$6004,"&gt;=-99")=0,"",_xlfn.MAXIFS($N$5:$N$6004,$C$5:$C$6004,R73,$O$5:$O$6004,"EM ANDAMENTO")))</f>
        <v/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 customFormat="false" ht="15" hidden="false" customHeight="false" outlineLevel="0" collapsed="false">
      <c r="B74" s="4" t="n">
        <v>9945916</v>
      </c>
      <c r="C74" s="4" t="s">
        <v>2622</v>
      </c>
      <c r="D74" s="4" t="s">
        <v>2796</v>
      </c>
      <c r="E74" s="4" t="s">
        <v>81</v>
      </c>
      <c r="F74" s="127" t="n">
        <v>45819</v>
      </c>
      <c r="G74" s="127" t="n">
        <v>45819</v>
      </c>
      <c r="H74" s="127" t="n">
        <v>46293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15</v>
      </c>
      <c r="N74" s="2" t="str">
        <f aca="false">IF(E74="","",IF(ISNUMBER(SEARCH("SUBSOLO",E74)),IFERROR(-VALUE(LEFT(E74,FIND("º",SUBSTITUTE(E74,"°","º"))-1)),-1),IF(LEFT(E74,6)="TÉRREO",0,IFERROR(VALUE(LEFT(E74,FIND("º",SUBSTITUTE(E74,"°","º"))-1)),""))))</f>
        <v/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2797</v>
      </c>
      <c r="S74" s="4" t="s">
        <v>160</v>
      </c>
      <c r="T74" s="4" t="s">
        <v>2798</v>
      </c>
      <c r="U74" s="4" t="s">
        <v>2613</v>
      </c>
      <c r="V74" s="2" t="n">
        <f aca="false">IF(R74="","",COUNTIF($C$5:$C$6004,R74))</f>
        <v>12</v>
      </c>
      <c r="W74" s="2" t="n">
        <f aca="false">IF(R74="","",COUNTIFS($C$5:$C$6004,R74,$O$5:$O$6004,"CONCLUÍDA"))</f>
        <v>12</v>
      </c>
      <c r="X74" s="2" t="n">
        <f aca="false">IF(R74="","",COUNTIFS($C$5:$C$6004,R74,$O$5:$O$6004,"EM ANDAMENTO"))</f>
        <v>0</v>
      </c>
      <c r="Y74" s="2" t="n">
        <f aca="false">IF(R74="","",IF(COUNTIFS($C$5:$C$6004,R74,$O$5:$O$6004,"CONCLUÍDA",$N$5:$N$6004,"&gt;=-99")=0,"",_xlfn.MAXIFS($N$5:$N$6004,$C$5:$C$6004,R74,$O$5:$O$6004,"CONCLUÍDA")))</f>
        <v>-6</v>
      </c>
      <c r="Z74" s="2" t="str">
        <f aca="false">IF(R74="","",IF(COUNTIFS($C$5:$C$6004,R74,$O$5:$O$6004,"EM ANDAMENTO",$N$5:$N$6004,"&gt;=-99")=0,"",_xlfn.MAXIFS($N$5:$N$6004,$C$5:$C$6004,R74,$O$5:$O$6004,"EM ANDAMENTO")))</f>
        <v/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>Piso de concreto projeção olimpus 1° etapa lookahead: concluído</v>
      </c>
    </row>
    <row r="75" customFormat="false" ht="15" hidden="false" customHeight="false" outlineLevel="0" collapsed="false">
      <c r="B75" s="4" t="n">
        <v>30326716</v>
      </c>
      <c r="C75" s="4" t="s">
        <v>2625</v>
      </c>
      <c r="D75" s="4" t="s">
        <v>433</v>
      </c>
      <c r="E75" s="4" t="s">
        <v>81</v>
      </c>
      <c r="F75" s="127" t="n">
        <v>45771</v>
      </c>
      <c r="G75" s="127" t="n">
        <v>45912</v>
      </c>
      <c r="H75" s="127" t="n">
        <v>46293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15</v>
      </c>
      <c r="N75" s="2" t="str">
        <f aca="false">IF(E75="","",IF(ISNUMBER(SEARCH("SUBSOLO",E75)),IFERROR(-VALUE(LEFT(E75,FIND("º",SUBSTITUTE(E75,"°","º"))-1)),-1),IF(LEFT(E75,6)="TÉRREO",0,IFERROR(VALUE(LEFT(E75,FIND("º",SUBSTITUTE(E75,"°","º"))-1)),""))))</f>
        <v/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2799</v>
      </c>
      <c r="S75" s="4" t="s">
        <v>160</v>
      </c>
      <c r="T75" s="4" t="s">
        <v>2800</v>
      </c>
      <c r="U75" s="4" t="s">
        <v>2620</v>
      </c>
      <c r="V75" s="2" t="n">
        <f aca="false">IF(R75="","",COUNTIF($C$5:$C$6004,R75))</f>
        <v>1</v>
      </c>
      <c r="W75" s="2" t="n">
        <f aca="false">IF(R75="","",COUNTIFS($C$5:$C$6004,R75,$O$5:$O$6004,"CONCLUÍDA"))</f>
        <v>1</v>
      </c>
      <c r="X75" s="2" t="n">
        <f aca="false">IF(R75="","",COUNTIFS($C$5:$C$6004,R75,$O$5:$O$6004,"EM ANDAMENTO"))</f>
        <v>0</v>
      </c>
      <c r="Y75" s="2" t="str">
        <f aca="false">IF(R75="","",IF(COUNTIFS($C$5:$C$6004,R75,$O$5:$O$6004,"CONCLUÍDA",$N$5:$N$6004,"&gt;=-99")=0,"",_xlfn.MAXIFS($N$5:$N$6004,$C$5:$C$6004,R75,$O$5:$O$6004,"CONCLUÍDA")))</f>
        <v/>
      </c>
      <c r="Z75" s="2" t="str">
        <f aca="false">IF(R75="","",IF(COUNTIFS($C$5:$C$6004,R75,$O$5:$O$6004,"EM ANDAMENTO",$N$5:$N$6004,"&gt;=-99")=0,"",_xlfn.MAXIFS($N$5:$N$6004,$C$5:$C$6004,R75,$O$5:$O$6004,"EM ANDAMENTO")))</f>
        <v/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 customFormat="false" ht="15" hidden="false" customHeight="false" outlineLevel="0" collapsed="false">
      <c r="B76" s="4" t="n">
        <v>27899912</v>
      </c>
      <c r="C76" s="4" t="s">
        <v>2628</v>
      </c>
      <c r="D76" s="4" t="s">
        <v>433</v>
      </c>
      <c r="E76" s="4" t="s">
        <v>2801</v>
      </c>
      <c r="F76" s="127" t="n">
        <v>45775</v>
      </c>
      <c r="G76" s="127" t="n">
        <v>45968</v>
      </c>
      <c r="H76" s="127" t="n">
        <v>46293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13</v>
      </c>
      <c r="N76" s="2" t="str">
        <f aca="false">IF(E76="","",IF(ISNUMBER(SEARCH("SUBSOLO",E76)),IFERROR(-VALUE(LEFT(E76,FIND("º",SUBSTITUTE(E76,"°","º"))-1)),-1),IF(LEFT(E76,6)="TÉRREO",0,IFERROR(VALUE(LEFT(E76,FIND("º",SUBSTITUTE(E76,"°","º"))-1)),""))))</f>
        <v/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2802</v>
      </c>
      <c r="S76" s="4" t="s">
        <v>160</v>
      </c>
      <c r="T76" s="4" t="s">
        <v>2803</v>
      </c>
      <c r="U76" s="4" t="s">
        <v>2620</v>
      </c>
      <c r="V76" s="2" t="n">
        <f aca="false">IF(R76="","",COUNTIF($C$5:$C$6004,R76))</f>
        <v>7</v>
      </c>
      <c r="W76" s="2" t="n">
        <f aca="false">IF(R76="","",COUNTIFS($C$5:$C$6004,R76,$O$5:$O$6004,"CONCLUÍDA"))</f>
        <v>7</v>
      </c>
      <c r="X76" s="2" t="n">
        <f aca="false">IF(R76="","",COUNTIFS($C$5:$C$6004,R76,$O$5:$O$6004,"EM ANDAMENTO"))</f>
        <v>0</v>
      </c>
      <c r="Y76" s="2" t="n">
        <f aca="false">IF(R76="","",IF(COUNTIFS($C$5:$C$6004,R76,$O$5:$O$6004,"CONCLUÍDA",$N$5:$N$6004,"&gt;=-99")=0,"",_xlfn.MAXIFS($N$5:$N$6004,$C$5:$C$6004,R76,$O$5:$O$6004,"CONCLUÍDA")))</f>
        <v>1</v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 customFormat="false" ht="15" hidden="false" customHeight="false" outlineLevel="0" collapsed="false">
      <c r="B77" s="4" t="n">
        <v>9945513</v>
      </c>
      <c r="C77" s="4" t="s">
        <v>2628</v>
      </c>
      <c r="D77" s="4" t="s">
        <v>2804</v>
      </c>
      <c r="E77" s="4" t="s">
        <v>2801</v>
      </c>
      <c r="F77" s="127" t="n">
        <v>45775</v>
      </c>
      <c r="G77" s="127" t="n">
        <v>45784</v>
      </c>
      <c r="H77" s="127" t="n">
        <v>46293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13</v>
      </c>
      <c r="N77" s="2" t="str">
        <f aca="false">IF(E77="","",IF(ISNUMBER(SEARCH("SUBSOLO",E77)),IFERROR(-VALUE(LEFT(E77,FIND("º",SUBSTITUTE(E77,"°","º"))-1)),-1),IF(LEFT(E77,6)="TÉRREO",0,IFERROR(VALUE(LEFT(E77,FIND("º",SUBSTITUTE(E77,"°","º"))-1)),""))))</f>
        <v/>
      </c>
      <c r="O77" s="2" t="str">
        <f aca="false">IF(OR(F77="",G77=""),"",IF(G77&lt;='RETRATO 2027'!$K$5,"CONCLUÍDA",IF(F77&lt;='RETRATO 2027'!$K$5,"EM ANDAMENTO","A INICIAR")))</f>
        <v>CONCLUÍDA</v>
      </c>
      <c r="R77" s="4" t="s">
        <v>2805</v>
      </c>
      <c r="S77" s="4" t="s">
        <v>170</v>
      </c>
      <c r="T77" s="4" t="s">
        <v>2806</v>
      </c>
      <c r="U77" s="4" t="s">
        <v>2620</v>
      </c>
      <c r="V77" s="2" t="n">
        <f aca="false">IF(R77="","",COUNTIF($C$5:$C$6004,R77))</f>
        <v>2</v>
      </c>
      <c r="W77" s="2" t="n">
        <f aca="false">IF(R77="","",COUNTIFS($C$5:$C$6004,R77,$O$5:$O$6004,"CONCLUÍDA"))</f>
        <v>2</v>
      </c>
      <c r="X77" s="2" t="n">
        <f aca="false">IF(R77="","",COUNTIFS($C$5:$C$6004,R77,$O$5:$O$6004,"EM ANDAMENTO"))</f>
        <v>0</v>
      </c>
      <c r="Y77" s="2" t="str">
        <f aca="false">IF(R77="","",IF(COUNTIFS($C$5:$C$6004,R77,$O$5:$O$6004,"CONCLUÍDA",$N$5:$N$6004,"&gt;=-99")=0,"",_xlfn.MAXIFS($N$5:$N$6004,$C$5:$C$6004,R77,$O$5:$O$6004,"CONCLUÍDA")))</f>
        <v/>
      </c>
      <c r="Z77" s="2" t="str">
        <f aca="false">IF(R77="","",IF(COUNTIFS($C$5:$C$6004,R77,$O$5:$O$6004,"EM ANDAMENTO",$N$5:$N$6004,"&gt;=-99")=0,"",_xlfn.MAXIFS($N$5:$N$6004,$C$5:$C$6004,R77,$O$5:$O$6004,"EM ANDAMENTO")))</f>
        <v/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 customFormat="false" ht="15" hidden="false" customHeight="false" outlineLevel="0" collapsed="false">
      <c r="B78" s="4" t="n">
        <v>9945514</v>
      </c>
      <c r="C78" s="4" t="s">
        <v>2628</v>
      </c>
      <c r="D78" s="4" t="s">
        <v>2807</v>
      </c>
      <c r="E78" s="4" t="s">
        <v>81</v>
      </c>
      <c r="F78" s="127" t="n">
        <v>45785</v>
      </c>
      <c r="G78" s="127" t="n">
        <v>45785</v>
      </c>
      <c r="H78" s="127" t="n">
        <v>46293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13</v>
      </c>
      <c r="N78" s="2" t="str">
        <f aca="false">IF(E78="","",IF(ISNUMBER(SEARCH("SUBSOLO",E78)),IFERROR(-VALUE(LEFT(E78,FIND("º",SUBSTITUTE(E78,"°","º"))-1)),-1),IF(LEFT(E78,6)="TÉRREO",0,IFERROR(VALUE(LEFT(E78,FIND("º",SUBSTITUTE(E78,"°","º"))-1)),""))))</f>
        <v/>
      </c>
      <c r="O78" s="2" t="str">
        <f aca="false">IF(OR(F78="",G78=""),"",IF(G78&lt;='RETRATO 2027'!$K$5,"CONCLUÍDA",IF(F78&lt;='RETRATO 2027'!$K$5,"EM ANDAMENTO","A INICIAR")))</f>
        <v>CONCLUÍDA</v>
      </c>
      <c r="R78" s="4" t="s">
        <v>2808</v>
      </c>
      <c r="S78" s="4" t="s">
        <v>194</v>
      </c>
      <c r="T78" s="4" t="s">
        <v>2809</v>
      </c>
      <c r="U78" s="4" t="s">
        <v>2613</v>
      </c>
      <c r="V78" s="2" t="n">
        <f aca="false">IF(R78="","",COUNTIF($C$5:$C$6004,R78))</f>
        <v>66</v>
      </c>
      <c r="W78" s="2" t="n">
        <f aca="false">IF(R78="","",COUNTIFS($C$5:$C$6004,R78,$O$5:$O$6004,"CONCLUÍDA"))</f>
        <v>64</v>
      </c>
      <c r="X78" s="2" t="n">
        <f aca="false">IF(R78="","",COUNTIFS($C$5:$C$6004,R78,$O$5:$O$6004,"EM ANDAMENTO"))</f>
        <v>1</v>
      </c>
      <c r="Y78" s="2" t="n">
        <f aca="false">IF(R78="","",IF(COUNTIFS($C$5:$C$6004,R78,$O$5:$O$6004,"CONCLUÍDA",$N$5:$N$6004,"&gt;=-99")=0,"",_xlfn.MAXIFS($N$5:$N$6004,$C$5:$C$6004,R78,$O$5:$O$6004,"CONCLUÍDA")))</f>
        <v>29</v>
      </c>
      <c r="Z78" s="2" t="n">
        <f aca="false">IF(R78="","",IF(COUNTIFS($C$5:$C$6004,R78,$O$5:$O$6004,"EM ANDAMENTO",$N$5:$N$6004,"&gt;=-99")=0,"",_xlfn.MAXIFS($N$5:$N$6004,$C$5:$C$6004,R78,$O$5:$O$6004,"EM ANDAMENTO")))</f>
        <v>3</v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Reboco interno: até 29º pav. (restam serviços no 3º pav.)</v>
      </c>
    </row>
    <row r="79" customFormat="false" ht="15" hidden="false" customHeight="false" outlineLevel="0" collapsed="false">
      <c r="B79" s="4" t="n">
        <v>9945515</v>
      </c>
      <c r="C79" s="4" t="s">
        <v>2628</v>
      </c>
      <c r="D79" s="4" t="s">
        <v>2810</v>
      </c>
      <c r="E79" s="4" t="s">
        <v>81</v>
      </c>
      <c r="F79" s="127" t="n">
        <v>45786</v>
      </c>
      <c r="G79" s="127" t="n">
        <v>45799</v>
      </c>
      <c r="H79" s="127" t="n">
        <v>46293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13</v>
      </c>
      <c r="N79" s="2" t="str">
        <f aca="false">IF(E79="","",IF(ISNUMBER(SEARCH("SUBSOLO",E79)),IFERROR(-VALUE(LEFT(E79,FIND("º",SUBSTITUTE(E79,"°","º"))-1)),-1),IF(LEFT(E79,6)="TÉRREO",0,IFERROR(VALUE(LEFT(E79,FIND("º",SUBSTITUTE(E79,"°","º"))-1)),""))))</f>
        <v/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2811</v>
      </c>
      <c r="S79" s="4" t="s">
        <v>132</v>
      </c>
      <c r="T79" s="4" t="s">
        <v>2812</v>
      </c>
      <c r="U79" s="4" t="s">
        <v>2613</v>
      </c>
      <c r="V79" s="2" t="n">
        <f aca="false">IF(R79="","",COUNTIF($C$5:$C$6004,R79))</f>
        <v>7</v>
      </c>
      <c r="W79" s="2" t="n">
        <f aca="false">IF(R79="","",COUNTIFS($C$5:$C$6004,R79,$O$5:$O$6004,"CONCLUÍDA"))</f>
        <v>7</v>
      </c>
      <c r="X79" s="2" t="n">
        <f aca="false">IF(R79="","",COUNTIFS($C$5:$C$6004,R79,$O$5:$O$6004,"EM ANDAMENTO"))</f>
        <v>0</v>
      </c>
      <c r="Y79" s="2" t="n">
        <f aca="false">IF(R79="","",IF(COUNTIFS($C$5:$C$6004,R79,$O$5:$O$6004,"CONCLUÍDA",$N$5:$N$6004,"&gt;=-99")=0,"",_xlfn.MAXIFS($N$5:$N$6004,$C$5:$C$6004,R79,$O$5:$O$6004,"CONCLUÍDA")))</f>
        <v>-3</v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>Execução do canteiro (engenharia): concluído</v>
      </c>
    </row>
    <row r="80" customFormat="false" ht="15" hidden="false" customHeight="false" outlineLevel="0" collapsed="false">
      <c r="B80" s="4" t="n">
        <v>9945516</v>
      </c>
      <c r="C80" s="4" t="s">
        <v>2628</v>
      </c>
      <c r="D80" s="4" t="s">
        <v>2813</v>
      </c>
      <c r="E80" s="4" t="s">
        <v>81</v>
      </c>
      <c r="F80" s="127" t="n">
        <v>45800</v>
      </c>
      <c r="G80" s="127" t="n">
        <v>45800</v>
      </c>
      <c r="H80" s="127" t="n">
        <v>46293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13</v>
      </c>
      <c r="N80" s="2" t="str">
        <f aca="false">IF(E80="","",IF(ISNUMBER(SEARCH("SUBSOLO",E80)),IFERROR(-VALUE(LEFT(E80,FIND("º",SUBSTITUTE(E80,"°","º"))-1)),-1),IF(LEFT(E80,6)="TÉRREO",0,IFERROR(VALUE(LEFT(E80,FIND("º",SUBSTITUTE(E80,"°","º"))-1)),""))))</f>
        <v/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2814</v>
      </c>
      <c r="S80" s="4" t="s">
        <v>191</v>
      </c>
      <c r="T80" s="4" t="s">
        <v>2815</v>
      </c>
      <c r="U80" s="4" t="s">
        <v>2613</v>
      </c>
      <c r="V80" s="2" t="n">
        <f aca="false">IF(R80="","",COUNTIF($C$5:$C$6004,R80))</f>
        <v>55</v>
      </c>
      <c r="W80" s="2" t="n">
        <f aca="false">IF(R80="","",COUNTIFS($C$5:$C$6004,R80,$O$5:$O$6004,"CONCLUÍDA"))</f>
        <v>53</v>
      </c>
      <c r="X80" s="2" t="n">
        <f aca="false">IF(R80="","",COUNTIFS($C$5:$C$6004,R80,$O$5:$O$6004,"EM ANDAMENTO"))</f>
        <v>0</v>
      </c>
      <c r="Y80" s="2" t="n">
        <f aca="false">IF(R80="","",IF(COUNTIFS($C$5:$C$6004,R80,$O$5:$O$6004,"CONCLUÍDA",$N$5:$N$6004,"&gt;=-99")=0,"",_xlfn.MAXIFS($N$5:$N$6004,$C$5:$C$6004,R80,$O$5:$O$6004,"CONCLUÍDA")))</f>
        <v>29</v>
      </c>
      <c r="Z80" s="2" t="str">
        <f aca="false">IF(R80="","",IF(COUNTIFS($C$5:$C$6004,R80,$O$5:$O$6004,"EM ANDAMENTO",$N$5:$N$6004,"&gt;=-99")=0,"",_xlfn.MAXIFS($N$5:$N$6004,$C$5:$C$6004,R80,$O$5:$O$6004,"EM ANDAMENTO")))</f>
        <v/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Contrapiso: até 29º pav.</v>
      </c>
    </row>
    <row r="81" customFormat="false" ht="15" hidden="false" customHeight="false" outlineLevel="0" collapsed="false">
      <c r="B81" s="4" t="n">
        <v>9945517</v>
      </c>
      <c r="C81" s="4" t="s">
        <v>2628</v>
      </c>
      <c r="D81" s="4" t="s">
        <v>2816</v>
      </c>
      <c r="E81" s="4" t="s">
        <v>81</v>
      </c>
      <c r="F81" s="127" t="n">
        <v>45803</v>
      </c>
      <c r="G81" s="127" t="n">
        <v>45814</v>
      </c>
      <c r="H81" s="127" t="n">
        <v>46293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13</v>
      </c>
      <c r="N81" s="2" t="str">
        <f aca="false">IF(E81="","",IF(ISNUMBER(SEARCH("SUBSOLO",E81)),IFERROR(-VALUE(LEFT(E81,FIND("º",SUBSTITUTE(E81,"°","º"))-1)),-1),IF(LEFT(E81,6)="TÉRREO",0,IFERROR(VALUE(LEFT(E81,FIND("º",SUBSTITUTE(E81,"°","º"))-1)),""))))</f>
        <v/>
      </c>
      <c r="O81" s="2" t="str">
        <f aca="false">IF(OR(F81="",G81=""),"",IF(G81&lt;='RETRATO 2027'!$K$5,"CONCLUÍDA",IF(F81&lt;='RETRATO 2027'!$K$5,"EM ANDAMENTO","A INICIAR")))</f>
        <v>CONCLUÍDA</v>
      </c>
      <c r="R81" s="4" t="s">
        <v>2817</v>
      </c>
      <c r="S81" s="4" t="s">
        <v>132</v>
      </c>
      <c r="T81" s="4" t="s">
        <v>2818</v>
      </c>
      <c r="U81" s="4" t="s">
        <v>2613</v>
      </c>
      <c r="V81" s="2" t="n">
        <f aca="false">IF(R81="","",COUNTIF($C$5:$C$6004,R81))</f>
        <v>4</v>
      </c>
      <c r="W81" s="2" t="n">
        <f aca="false">IF(R81="","",COUNTIFS($C$5:$C$6004,R81,$O$5:$O$6004,"CONCLUÍDA"))</f>
        <v>4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-6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>Mudança do almoxarifado: concluído</v>
      </c>
    </row>
    <row r="82" customFormat="false" ht="15" hidden="false" customHeight="false" outlineLevel="0" collapsed="false">
      <c r="B82" s="4" t="n">
        <v>9945518</v>
      </c>
      <c r="C82" s="4" t="s">
        <v>2628</v>
      </c>
      <c r="D82" s="4" t="s">
        <v>2819</v>
      </c>
      <c r="E82" s="4" t="s">
        <v>81</v>
      </c>
      <c r="F82" s="127" t="n">
        <v>45817</v>
      </c>
      <c r="G82" s="127" t="n">
        <v>45817</v>
      </c>
      <c r="H82" s="127" t="n">
        <v>46293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13</v>
      </c>
      <c r="N82" s="2" t="str">
        <f aca="false">IF(E82="","",IF(ISNUMBER(SEARCH("SUBSOLO",E82)),IFERROR(-VALUE(LEFT(E82,FIND("º",SUBSTITUTE(E82,"°","º"))-1)),-1),IF(LEFT(E82,6)="TÉRREO",0,IFERROR(VALUE(LEFT(E82,FIND("º",SUBSTITUTE(E82,"°","º"))-1)),""))))</f>
        <v/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2820</v>
      </c>
      <c r="S82" s="4" t="s">
        <v>152</v>
      </c>
      <c r="T82" s="4" t="s">
        <v>2821</v>
      </c>
      <c r="U82" s="4" t="s">
        <v>2620</v>
      </c>
      <c r="V82" s="2" t="n">
        <f aca="false">IF(R82="","",COUNTIF($C$5:$C$6004,R82))</f>
        <v>5</v>
      </c>
      <c r="W82" s="2" t="n">
        <f aca="false">IF(R82="","",COUNTIFS($C$5:$C$6004,R82,$O$5:$O$6004,"CONCLUÍDA"))</f>
        <v>5</v>
      </c>
      <c r="X82" s="2" t="n">
        <f aca="false">IF(R82="","",COUNTIFS($C$5:$C$6004,R82,$O$5:$O$6004,"EM ANDAMENTO"))</f>
        <v>0</v>
      </c>
      <c r="Y82" s="2" t="str">
        <f aca="false">IF(R82="","",IF(COUNTIFS($C$5:$C$6004,R82,$O$5:$O$6004,"CONCLUÍDA",$N$5:$N$6004,"&gt;=-99")=0,"",_xlfn.MAXIFS($N$5:$N$6004,$C$5:$C$6004,R82,$O$5:$O$6004,"CONCLUÍDA")))</f>
        <v/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9945519</v>
      </c>
      <c r="C83" s="4" t="s">
        <v>2628</v>
      </c>
      <c r="D83" s="4" t="s">
        <v>2822</v>
      </c>
      <c r="E83" s="4" t="s">
        <v>81</v>
      </c>
      <c r="F83" s="127" t="n">
        <v>45775</v>
      </c>
      <c r="G83" s="127" t="n">
        <v>45789</v>
      </c>
      <c r="H83" s="127" t="n">
        <v>46293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13</v>
      </c>
      <c r="N83" s="2" t="str">
        <f aca="false">IF(E83="","",IF(ISNUMBER(SEARCH("SUBSOLO",E83)),IFERROR(-VALUE(LEFT(E83,FIND("º",SUBSTITUTE(E83,"°","º"))-1)),-1),IF(LEFT(E83,6)="TÉRREO",0,IFERROR(VALUE(LEFT(E83,FIND("º",SUBSTITUTE(E83,"°","º"))-1)),""))))</f>
        <v/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2823</v>
      </c>
      <c r="S83" s="4" t="s">
        <v>132</v>
      </c>
      <c r="T83" s="4" t="s">
        <v>2824</v>
      </c>
      <c r="U83" s="4" t="s">
        <v>2613</v>
      </c>
      <c r="V83" s="2" t="n">
        <f aca="false">IF(R83="","",COUNTIF($C$5:$C$6004,R83))</f>
        <v>7</v>
      </c>
      <c r="W83" s="2" t="n">
        <f aca="false">IF(R83="","",COUNTIFS($C$5:$C$6004,R83,$O$5:$O$6004,"CONCLUÍDA"))</f>
        <v>7</v>
      </c>
      <c r="X83" s="2" t="n">
        <f aca="false">IF(R83="","",COUNTIFS($C$5:$C$6004,R83,$O$5:$O$6004,"EM ANDAMENTO"))</f>
        <v>0</v>
      </c>
      <c r="Y83" s="2" t="n">
        <f aca="false">IF(R83="","",IF(COUNTIFS($C$5:$C$6004,R83,$O$5:$O$6004,"CONCLUÍDA",$N$5:$N$6004,"&gt;=-99")=0,"",_xlfn.MAXIFS($N$5:$N$6004,$C$5:$C$6004,R83,$O$5:$O$6004,"CONCLUÍDA")))</f>
        <v>-2</v>
      </c>
      <c r="Z83" s="2" t="str">
        <f aca="false">IF(R83="","",IF(COUNTIFS($C$5:$C$6004,R83,$O$5:$O$6004,"EM ANDAMENTO",$N$5:$N$6004,"&gt;=-99")=0,"",_xlfn.MAXIFS($N$5:$N$6004,$C$5:$C$6004,R83,$O$5:$O$6004,"EM ANDAMENTO")))</f>
        <v/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Execução do canteiro (refeitório): concluído</v>
      </c>
    </row>
    <row r="84" customFormat="false" ht="15" hidden="false" customHeight="false" outlineLevel="0" collapsed="false">
      <c r="B84" s="4" t="n">
        <v>9945520</v>
      </c>
      <c r="C84" s="4" t="s">
        <v>2628</v>
      </c>
      <c r="D84" s="4" t="s">
        <v>2825</v>
      </c>
      <c r="E84" s="4" t="s">
        <v>81</v>
      </c>
      <c r="F84" s="127" t="n">
        <v>45790</v>
      </c>
      <c r="G84" s="127" t="n">
        <v>45790</v>
      </c>
      <c r="H84" s="127" t="n">
        <v>46293</v>
      </c>
      <c r="I84" s="4" t="n">
        <v>100</v>
      </c>
      <c r="J84" s="4" t="n">
        <v>100</v>
      </c>
      <c r="K84" s="4" t="n">
        <v>100</v>
      </c>
      <c r="M84" s="2" t="str">
        <f aca="false">IF(C84="","",IFERROR(INDEX($S$5:$S$304,MATCH(C84,$R$5:$R$304,0))&amp;"","?"))</f>
        <v>13</v>
      </c>
      <c r="N84" s="2" t="str">
        <f aca="false">IF(E84="","",IF(ISNUMBER(SEARCH("SUBSOLO",E84)),IFERROR(-VALUE(LEFT(E84,FIND("º",SUBSTITUTE(E84,"°","º"))-1)),-1),IF(LEFT(E84,6)="TÉRREO",0,IFERROR(VALUE(LEFT(E84,FIND("º",SUBSTITUTE(E84,"°","º"))-1)),""))))</f>
        <v/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2826</v>
      </c>
      <c r="S84" s="4" t="s">
        <v>170</v>
      </c>
      <c r="T84" s="4" t="s">
        <v>2827</v>
      </c>
      <c r="U84" s="4" t="s">
        <v>2620</v>
      </c>
      <c r="V84" s="2" t="n">
        <f aca="false">IF(R84="","",COUNTIF($C$5:$C$6004,R84))</f>
        <v>3</v>
      </c>
      <c r="W84" s="2" t="n">
        <f aca="false">IF(R84="","",COUNTIFS($C$5:$C$6004,R84,$O$5:$O$6004,"CONCLUÍDA"))</f>
        <v>3</v>
      </c>
      <c r="X84" s="2" t="n">
        <f aca="false">IF(R84="","",COUNTIFS($C$5:$C$6004,R84,$O$5:$O$6004,"EM ANDAMENTO"))</f>
        <v>0</v>
      </c>
      <c r="Y84" s="2" t="n">
        <f aca="false">IF(R84="","",IF(COUNTIFS($C$5:$C$6004,R84,$O$5:$O$6004,"CONCLUÍDA",$N$5:$N$6004,"&gt;=-99")=0,"",_xlfn.MAXIFS($N$5:$N$6004,$C$5:$C$6004,R84,$O$5:$O$6004,"CONCLUÍDA")))</f>
        <v>-2</v>
      </c>
      <c r="Z84" s="2" t="str">
        <f aca="false">IF(R84="","",IF(COUNTIFS($C$5:$C$6004,R84,$O$5:$O$6004,"EM ANDAMENTO",$N$5:$N$6004,"&gt;=-99")=0,"",_xlfn.MAXIFS($N$5:$N$6004,$C$5:$C$6004,R84,$O$5:$O$6004,"EM ANDAMENTO")))</f>
        <v/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 customFormat="false" ht="15" hidden="false" customHeight="false" outlineLevel="0" collapsed="false">
      <c r="B85" s="4" t="n">
        <v>9945521</v>
      </c>
      <c r="C85" s="4" t="s">
        <v>2628</v>
      </c>
      <c r="D85" s="4" t="s">
        <v>2828</v>
      </c>
      <c r="E85" s="4" t="s">
        <v>81</v>
      </c>
      <c r="F85" s="127" t="n">
        <v>45791</v>
      </c>
      <c r="G85" s="127" t="n">
        <v>45804</v>
      </c>
      <c r="H85" s="127" t="n">
        <v>46293</v>
      </c>
      <c r="I85" s="4" t="n">
        <v>100</v>
      </c>
      <c r="J85" s="4" t="n">
        <v>100</v>
      </c>
      <c r="K85" s="4" t="n">
        <v>100</v>
      </c>
      <c r="M85" s="2" t="str">
        <f aca="false">IF(C85="","",IFERROR(INDEX($S$5:$S$304,MATCH(C85,$R$5:$R$304,0))&amp;"","?"))</f>
        <v>13</v>
      </c>
      <c r="N85" s="2" t="str">
        <f aca="false">IF(E85="","",IF(ISNUMBER(SEARCH("SUBSOLO",E85)),IFERROR(-VALUE(LEFT(E85,FIND("º",SUBSTITUTE(E85,"°","º"))-1)),-1),IF(LEFT(E85,6)="TÉRREO",0,IFERROR(VALUE(LEFT(E85,FIND("º",SUBSTITUTE(E85,"°","º"))-1)),""))))</f>
        <v/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2829</v>
      </c>
      <c r="S85" s="4" t="s">
        <v>170</v>
      </c>
      <c r="T85" s="4" t="s">
        <v>2830</v>
      </c>
      <c r="U85" s="4" t="s">
        <v>2613</v>
      </c>
      <c r="V85" s="2" t="n">
        <f aca="false">IF(R85="","",COUNTIF($C$5:$C$6004,R85))</f>
        <v>10</v>
      </c>
      <c r="W85" s="2" t="n">
        <f aca="false">IF(R85="","",COUNTIFS($C$5:$C$6004,R85,$O$5:$O$6004,"CONCLUÍDA"))</f>
        <v>8</v>
      </c>
      <c r="X85" s="2" t="n">
        <f aca="false">IF(R85="","",COUNTIFS($C$5:$C$6004,R85,$O$5:$O$6004,"EM ANDAMENTO"))</f>
        <v>1</v>
      </c>
      <c r="Y85" s="2" t="n">
        <f aca="false">IF(R85="","",IF(COUNTIFS($C$5:$C$6004,R85,$O$5:$O$6004,"CONCLUÍDA",$N$5:$N$6004,"&gt;=-99")=0,"",_xlfn.MAXIFS($N$5:$N$6004,$C$5:$C$6004,R85,$O$5:$O$6004,"CONCLUÍDA")))</f>
        <v>-1</v>
      </c>
      <c r="Z85" s="2" t="n">
        <f aca="false">IF(R85="","",IF(COUNTIFS($C$5:$C$6004,R85,$O$5:$O$6004,"EM ANDAMENTO",$N$5:$N$6004,"&gt;=-99")=0,"",_xlfn.MAXIFS($N$5:$N$6004,$C$5:$C$6004,R85,$O$5:$O$6004,"EM ANDAMENTO")))</f>
        <v>1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Inst. hidráulicas: até 1º subsolo, executando 1º pav.</v>
      </c>
    </row>
    <row r="86" customFormat="false" ht="15" hidden="false" customHeight="false" outlineLevel="0" collapsed="false">
      <c r="B86" s="4" t="n">
        <v>9945522</v>
      </c>
      <c r="C86" s="4" t="s">
        <v>2628</v>
      </c>
      <c r="D86" s="4" t="s">
        <v>2831</v>
      </c>
      <c r="E86" s="4" t="s">
        <v>81</v>
      </c>
      <c r="F86" s="127" t="n">
        <v>45805</v>
      </c>
      <c r="G86" s="127" t="n">
        <v>45805</v>
      </c>
      <c r="H86" s="127" t="n">
        <v>46293</v>
      </c>
      <c r="I86" s="4" t="n">
        <v>100</v>
      </c>
      <c r="J86" s="4" t="n">
        <v>100</v>
      </c>
      <c r="K86" s="4" t="n">
        <v>100</v>
      </c>
      <c r="M86" s="2" t="str">
        <f aca="false">IF(C86="","",IFERROR(INDEX($S$5:$S$304,MATCH(C86,$R$5:$R$304,0))&amp;"","?"))</f>
        <v>13</v>
      </c>
      <c r="N86" s="2" t="str">
        <f aca="false">IF(E86="","",IF(ISNUMBER(SEARCH("SUBSOLO",E86)),IFERROR(-VALUE(LEFT(E86,FIND("º",SUBSTITUTE(E86,"°","º"))-1)),-1),IF(LEFT(E86,6)="TÉRREO",0,IFERROR(VALUE(LEFT(E86,FIND("º",SUBSTITUTE(E86,"°","º"))-1)),""))))</f>
        <v/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2832</v>
      </c>
      <c r="S86" s="4" t="s">
        <v>162</v>
      </c>
      <c r="T86" s="4" t="s">
        <v>2833</v>
      </c>
      <c r="U86" s="4" t="s">
        <v>2620</v>
      </c>
      <c r="V86" s="2" t="n">
        <f aca="false">IF(R86="","",COUNTIF($C$5:$C$6004,R86))</f>
        <v>1</v>
      </c>
      <c r="W86" s="2" t="n">
        <f aca="false">IF(R86="","",COUNTIFS($C$5:$C$6004,R86,$O$5:$O$6004,"CONCLUÍDA"))</f>
        <v>1</v>
      </c>
      <c r="X86" s="2" t="n">
        <f aca="false">IF(R86="","",COUNTIFS($C$5:$C$6004,R86,$O$5:$O$6004,"EM ANDAMENTO"))</f>
        <v>0</v>
      </c>
      <c r="Y86" s="2" t="n">
        <f aca="false">IF(R86="","",IF(COUNTIFS($C$5:$C$6004,R86,$O$5:$O$6004,"CONCLUÍDA",$N$5:$N$6004,"&gt;=-99")=0,"",_xlfn.MAXIFS($N$5:$N$6004,$C$5:$C$6004,R86,$O$5:$O$6004,"CONCLUÍDA")))</f>
        <v>1</v>
      </c>
      <c r="Z86" s="2" t="str">
        <f aca="false">IF(R86="","",IF(COUNTIFS($C$5:$C$6004,R86,$O$5:$O$6004,"EM ANDAMENTO",$N$5:$N$6004,"&gt;=-99")=0,"",_xlfn.MAXIFS($N$5:$N$6004,$C$5:$C$6004,R86,$O$5:$O$6004,"EM ANDAMENTO")))</f>
        <v/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 customFormat="false" ht="15" hidden="false" customHeight="false" outlineLevel="0" collapsed="false">
      <c r="B87" s="4" t="n">
        <v>9945523</v>
      </c>
      <c r="C87" s="4" t="s">
        <v>2628</v>
      </c>
      <c r="D87" s="4" t="s">
        <v>2834</v>
      </c>
      <c r="E87" s="4" t="s">
        <v>81</v>
      </c>
      <c r="F87" s="127" t="n">
        <v>45806</v>
      </c>
      <c r="G87" s="127" t="n">
        <v>45819</v>
      </c>
      <c r="H87" s="127" t="n">
        <v>46293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13</v>
      </c>
      <c r="N87" s="2" t="str">
        <f aca="false">IF(E87="","",IF(ISNUMBER(SEARCH("SUBSOLO",E87)),IFERROR(-VALUE(LEFT(E87,FIND("º",SUBSTITUTE(E87,"°","º"))-1)),-1),IF(LEFT(E87,6)="TÉRREO",0,IFERROR(VALUE(LEFT(E87,FIND("º",SUBSTITUTE(E87,"°","º"))-1)),""))))</f>
        <v/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2835</v>
      </c>
      <c r="S87" s="4" t="s">
        <v>165</v>
      </c>
      <c r="T87" s="4" t="s">
        <v>2836</v>
      </c>
      <c r="U87" s="4" t="s">
        <v>2620</v>
      </c>
      <c r="V87" s="2" t="n">
        <f aca="false">IF(R87="","",COUNTIF($C$5:$C$6004,R87))</f>
        <v>1</v>
      </c>
      <c r="W87" s="2" t="n">
        <f aca="false">IF(R87="","",COUNTIFS($C$5:$C$6004,R87,$O$5:$O$6004,"CONCLUÍDA"))</f>
        <v>1</v>
      </c>
      <c r="X87" s="2" t="n">
        <f aca="false">IF(R87="","",COUNTIFS($C$5:$C$6004,R87,$O$5:$O$6004,"EM ANDAMENTO"))</f>
        <v>0</v>
      </c>
      <c r="Y87" s="2" t="str">
        <f aca="false">IF(R87="","",IF(COUNTIFS($C$5:$C$6004,R87,$O$5:$O$6004,"CONCLUÍDA",$N$5:$N$6004,"&gt;=-99")=0,"",_xlfn.MAXIFS($N$5:$N$6004,$C$5:$C$6004,R87,$O$5:$O$6004,"CONCLUÍDA")))</f>
        <v/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 customFormat="false" ht="15" hidden="false" customHeight="false" outlineLevel="0" collapsed="false">
      <c r="B88" s="4" t="n">
        <v>9945524</v>
      </c>
      <c r="C88" s="4" t="s">
        <v>2628</v>
      </c>
      <c r="D88" s="4" t="s">
        <v>2837</v>
      </c>
      <c r="E88" s="4" t="s">
        <v>81</v>
      </c>
      <c r="F88" s="127" t="n">
        <v>45820</v>
      </c>
      <c r="G88" s="127" t="n">
        <v>45820</v>
      </c>
      <c r="H88" s="127" t="n">
        <v>46293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13</v>
      </c>
      <c r="N88" s="2" t="str">
        <f aca="false">IF(E88="","",IF(ISNUMBER(SEARCH("SUBSOLO",E88)),IFERROR(-VALUE(LEFT(E88,FIND("º",SUBSTITUTE(E88,"°","º"))-1)),-1),IF(LEFT(E88,6)="TÉRREO",0,IFERROR(VALUE(LEFT(E88,FIND("º",SUBSTITUTE(E88,"°","º"))-1)),""))))</f>
        <v/>
      </c>
      <c r="O88" s="2" t="str">
        <f aca="false">IF(OR(F88="",G88=""),"",IF(G88&lt;='RETRATO 2027'!$K$5,"CONCLUÍDA",IF(F88&lt;='RETRATO 2027'!$K$5,"EM ANDAMENTO","A INICIAR")))</f>
        <v>CONCLUÍDA</v>
      </c>
      <c r="R88" s="4" t="s">
        <v>2838</v>
      </c>
      <c r="S88" s="4" t="s">
        <v>198</v>
      </c>
      <c r="T88" s="4" t="s">
        <v>2839</v>
      </c>
      <c r="U88" s="4" t="s">
        <v>2620</v>
      </c>
      <c r="V88" s="2" t="n">
        <f aca="false">IF(R88="","",COUNTIF($C$5:$C$6004,R88))</f>
        <v>3</v>
      </c>
      <c r="W88" s="2" t="n">
        <f aca="false">IF(R88="","",COUNTIFS($C$5:$C$6004,R88,$O$5:$O$6004,"CONCLUÍDA"))</f>
        <v>3</v>
      </c>
      <c r="X88" s="2" t="n">
        <f aca="false">IF(R88="","",COUNTIFS($C$5:$C$6004,R88,$O$5:$O$6004,"EM ANDAMENTO"))</f>
        <v>0</v>
      </c>
      <c r="Y88" s="2" t="n">
        <f aca="false">IF(R88="","",IF(COUNTIFS($C$5:$C$6004,R88,$O$5:$O$6004,"CONCLUÍDA",$N$5:$N$6004,"&gt;=-99")=0,"",_xlfn.MAXIFS($N$5:$N$6004,$C$5:$C$6004,R88,$O$5:$O$6004,"CONCLUÍDA")))</f>
        <v>-2</v>
      </c>
      <c r="Z88" s="2" t="str">
        <f aca="false">IF(R88="","",IF(COUNTIFS($C$5:$C$6004,R88,$O$5:$O$6004,"EM ANDAMENTO",$N$5:$N$6004,"&gt;=-99")=0,"",_xlfn.MAXIFS($N$5:$N$6004,$C$5:$C$6004,R88,$O$5:$O$6004,"EM ANDAMENTO")))</f>
        <v/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 customFormat="false" ht="15" hidden="false" customHeight="false" outlineLevel="0" collapsed="false">
      <c r="B89" s="4" t="n">
        <v>9945525</v>
      </c>
      <c r="C89" s="4" t="s">
        <v>2628</v>
      </c>
      <c r="D89" s="4" t="s">
        <v>2840</v>
      </c>
      <c r="E89" s="4" t="s">
        <v>81</v>
      </c>
      <c r="F89" s="127" t="n">
        <v>45876</v>
      </c>
      <c r="G89" s="127" t="n">
        <v>45889</v>
      </c>
      <c r="H89" s="127" t="n">
        <v>46293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13</v>
      </c>
      <c r="N89" s="2" t="str">
        <f aca="false">IF(E89="","",IF(ISNUMBER(SEARCH("SUBSOLO",E89)),IFERROR(-VALUE(LEFT(E89,FIND("º",SUBSTITUTE(E89,"°","º"))-1)),-1),IF(LEFT(E89,6)="TÉRREO",0,IFERROR(VALUE(LEFT(E89,FIND("º",SUBSTITUTE(E89,"°","º"))-1)),""))))</f>
        <v/>
      </c>
      <c r="O89" s="2" t="str">
        <f aca="false">IF(OR(F89="",G89=""),"",IF(G89&lt;='RETRATO 2027'!$K$5,"CONCLUÍDA",IF(F89&lt;='RETRATO 2027'!$K$5,"EM ANDAMENTO","A INICIAR")))</f>
        <v>CONCLUÍDA</v>
      </c>
      <c r="R89" s="4" t="s">
        <v>177</v>
      </c>
      <c r="S89" s="4" t="s">
        <v>176</v>
      </c>
      <c r="T89" s="4" t="s">
        <v>2841</v>
      </c>
      <c r="U89" s="4" t="s">
        <v>2613</v>
      </c>
      <c r="V89" s="2" t="n">
        <f aca="false">IF(R89="","",COUNTIF($C$5:$C$6004,R89))</f>
        <v>31</v>
      </c>
      <c r="W89" s="2" t="n">
        <f aca="false">IF(R89="","",COUNTIFS($C$5:$C$6004,R89,$O$5:$O$6004,"CONCLUÍDA"))</f>
        <v>31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-1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>Inst. especiais: concluído</v>
      </c>
    </row>
    <row r="90" customFormat="false" ht="15" hidden="false" customHeight="false" outlineLevel="0" collapsed="false">
      <c r="B90" s="4" t="n">
        <v>9945526</v>
      </c>
      <c r="C90" s="4" t="s">
        <v>2628</v>
      </c>
      <c r="D90" s="4" t="s">
        <v>2842</v>
      </c>
      <c r="E90" s="4" t="s">
        <v>81</v>
      </c>
      <c r="F90" s="127" t="n">
        <v>45890</v>
      </c>
      <c r="G90" s="127" t="n">
        <v>45890</v>
      </c>
      <c r="H90" s="127" t="n">
        <v>46293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13</v>
      </c>
      <c r="N90" s="2" t="str">
        <f aca="false">IF(E90="","",IF(ISNUMBER(SEARCH("SUBSOLO",E90)),IFERROR(-VALUE(LEFT(E90,FIND("º",SUBSTITUTE(E90,"°","º"))-1)),-1),IF(LEFT(E90,6)="TÉRREO",0,IFERROR(VALUE(LEFT(E90,FIND("º",SUBSTITUTE(E90,"°","º"))-1)),""))))</f>
        <v/>
      </c>
      <c r="O90" s="2" t="str">
        <f aca="false">IF(OR(F90="",G90=""),"",IF(G90&lt;='RETRATO 2027'!$K$5,"CONCLUÍDA",IF(F90&lt;='RETRATO 2027'!$K$5,"EM ANDAMENTO","A INICIAR")))</f>
        <v>CONCLUÍDA</v>
      </c>
      <c r="R90" s="4" t="s">
        <v>77</v>
      </c>
      <c r="S90" s="4" t="s">
        <v>168</v>
      </c>
      <c r="T90" s="4" t="s">
        <v>2843</v>
      </c>
      <c r="U90" s="4" t="s">
        <v>2613</v>
      </c>
      <c r="V90" s="2" t="n">
        <f aca="false">IF(R90="","",COUNTIF($C$5:$C$6004,R90))</f>
        <v>38</v>
      </c>
      <c r="W90" s="2" t="n">
        <f aca="false">IF(R90="","",COUNTIFS($C$5:$C$6004,R90,$O$5:$O$6004,"CONCLUÍDA"))</f>
        <v>34</v>
      </c>
      <c r="X90" s="2" t="n">
        <f aca="false">IF(R90="","",COUNTIFS($C$5:$C$6004,R90,$O$5:$O$6004,"EM ANDAMENTO"))</f>
        <v>1</v>
      </c>
      <c r="Y90" s="2" t="n">
        <f aca="false">IF(R90="","",IF(COUNTIFS($C$5:$C$6004,R90,$O$5:$O$6004,"CONCLUÍDA",$N$5:$N$6004,"&gt;=-99")=0,"",_xlfn.MAXIFS($N$5:$N$6004,$C$5:$C$6004,R90,$O$5:$O$6004,"CONCLUÍDA")))</f>
        <v>3</v>
      </c>
      <c r="Z90" s="2" t="n">
        <f aca="false">IF(R90="","",IF(COUNTIFS($C$5:$C$6004,R90,$O$5:$O$6004,"EM ANDAMENTO",$N$5:$N$6004,"&gt;=-99")=0,"",_xlfn.MAXIFS($N$5:$N$6004,$C$5:$C$6004,R90,$O$5:$O$6004,"EM ANDAMENTO")))</f>
        <v>1</v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>Inst. elétricas: até 3º pav. (restam serviços no 1º pav.)</v>
      </c>
    </row>
    <row r="91" customFormat="false" ht="15" hidden="false" customHeight="false" outlineLevel="0" collapsed="false">
      <c r="B91" s="4" t="n">
        <v>9945527</v>
      </c>
      <c r="C91" s="4" t="s">
        <v>2628</v>
      </c>
      <c r="D91" s="4" t="s">
        <v>2844</v>
      </c>
      <c r="E91" s="4" t="s">
        <v>81</v>
      </c>
      <c r="F91" s="127" t="n">
        <v>45891</v>
      </c>
      <c r="G91" s="127" t="n">
        <v>45904</v>
      </c>
      <c r="H91" s="127" t="n">
        <v>46293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13</v>
      </c>
      <c r="N91" s="2" t="str">
        <f aca="false">IF(E91="","",IF(ISNUMBER(SEARCH("SUBSOLO",E91)),IFERROR(-VALUE(LEFT(E91,FIND("º",SUBSTITUTE(E91,"°","º"))-1)),-1),IF(LEFT(E91,6)="TÉRREO",0,IFERROR(VALUE(LEFT(E91,FIND("º",SUBSTITUTE(E91,"°","º"))-1)),""))))</f>
        <v/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2845</v>
      </c>
      <c r="S91" s="4" t="s">
        <v>162</v>
      </c>
      <c r="T91" s="4" t="s">
        <v>2846</v>
      </c>
      <c r="U91" s="4" t="s">
        <v>2620</v>
      </c>
      <c r="V91" s="2" t="n">
        <f aca="false">IF(R91="","",COUNTIF($C$5:$C$6004,R91))</f>
        <v>1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1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9945528</v>
      </c>
      <c r="C92" s="4" t="s">
        <v>2628</v>
      </c>
      <c r="D92" s="4" t="s">
        <v>2847</v>
      </c>
      <c r="E92" s="4" t="s">
        <v>81</v>
      </c>
      <c r="F92" s="127" t="n">
        <v>45905</v>
      </c>
      <c r="G92" s="127" t="n">
        <v>45905</v>
      </c>
      <c r="H92" s="127" t="n">
        <v>46293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13</v>
      </c>
      <c r="N92" s="2" t="str">
        <f aca="false">IF(E92="","",IF(ISNUMBER(SEARCH("SUBSOLO",E92)),IFERROR(-VALUE(LEFT(E92,FIND("º",SUBSTITUTE(E92,"°","º"))-1)),-1),IF(LEFT(E92,6)="TÉRREO",0,IFERROR(VALUE(LEFT(E92,FIND("º",SUBSTITUTE(E92,"°","º"))-1)),""))))</f>
        <v/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2848</v>
      </c>
      <c r="S92" s="4" t="s">
        <v>185</v>
      </c>
      <c r="T92" s="4" t="s">
        <v>2849</v>
      </c>
      <c r="U92" s="4" t="s">
        <v>2613</v>
      </c>
      <c r="V92" s="2" t="n">
        <f aca="false">IF(R92="","",COUNTIF($C$5:$C$6004,R92))</f>
        <v>7</v>
      </c>
      <c r="W92" s="2" t="n">
        <f aca="false">IF(R92="","",COUNTIFS($C$5:$C$6004,R92,$O$5:$O$6004,"CONCLUÍDA"))</f>
        <v>7</v>
      </c>
      <c r="X92" s="2" t="n">
        <f aca="false">IF(R92="","",COUNTIFS($C$5:$C$6004,R92,$O$5:$O$6004,"EM ANDAMENTO"))</f>
        <v>0</v>
      </c>
      <c r="Y92" s="2" t="n">
        <f aca="false">IF(R92="","",IF(COUNTIFS($C$5:$C$6004,R92,$O$5:$O$6004,"CONCLUÍDA",$N$5:$N$6004,"&gt;=-99")=0,"",_xlfn.MAXIFS($N$5:$N$6004,$C$5:$C$6004,R92,$O$5:$O$6004,"CONCLUÍDA")))</f>
        <v>-1</v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>PCF (marco): concluído</v>
      </c>
    </row>
    <row r="93" customFormat="false" ht="15" hidden="false" customHeight="false" outlineLevel="0" collapsed="false">
      <c r="B93" s="4" t="n">
        <v>9945529</v>
      </c>
      <c r="C93" s="4" t="s">
        <v>2628</v>
      </c>
      <c r="D93" s="4" t="s">
        <v>2850</v>
      </c>
      <c r="E93" s="4" t="s">
        <v>81</v>
      </c>
      <c r="F93" s="127" t="n">
        <v>45954</v>
      </c>
      <c r="G93" s="127" t="n">
        <v>45967</v>
      </c>
      <c r="H93" s="127" t="n">
        <v>46293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13</v>
      </c>
      <c r="N93" s="2" t="str">
        <f aca="false">IF(E93="","",IF(ISNUMBER(SEARCH("SUBSOLO",E93)),IFERROR(-VALUE(LEFT(E93,FIND("º",SUBSTITUTE(E93,"°","º"))-1)),-1),IF(LEFT(E93,6)="TÉRREO",0,IFERROR(VALUE(LEFT(E93,FIND("º",SUBSTITUTE(E93,"°","º"))-1)),""))))</f>
        <v/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2851</v>
      </c>
      <c r="S93" s="4" t="s">
        <v>160</v>
      </c>
      <c r="T93" s="4" t="s">
        <v>2852</v>
      </c>
      <c r="U93" s="4" t="s">
        <v>2620</v>
      </c>
      <c r="V93" s="2" t="n">
        <f aca="false">IF(R93="","",COUNTIF($C$5:$C$6004,R93))</f>
        <v>7</v>
      </c>
      <c r="W93" s="2" t="n">
        <f aca="false">IF(R93="","",COUNTIFS($C$5:$C$6004,R93,$O$5:$O$6004,"CONCLUÍDA"))</f>
        <v>7</v>
      </c>
      <c r="X93" s="2" t="n">
        <f aca="false">IF(R93="","",COUNTIFS($C$5:$C$6004,R93,$O$5:$O$6004,"EM ANDAMENTO"))</f>
        <v>0</v>
      </c>
      <c r="Y93" s="2" t="str">
        <f aca="false">IF(R93="","",IF(COUNTIFS($C$5:$C$6004,R93,$O$5:$O$6004,"CONCLUÍDA",$N$5:$N$6004,"&gt;=-99")=0,"",_xlfn.MAXIFS($N$5:$N$6004,$C$5:$C$6004,R93,$O$5:$O$6004,"CONCLUÍDA")))</f>
        <v/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 customFormat="false" ht="15" hidden="false" customHeight="false" outlineLevel="0" collapsed="false">
      <c r="B94" s="4" t="n">
        <v>9945530</v>
      </c>
      <c r="C94" s="4" t="s">
        <v>2628</v>
      </c>
      <c r="D94" s="4" t="s">
        <v>2759</v>
      </c>
      <c r="E94" s="4" t="s">
        <v>81</v>
      </c>
      <c r="F94" s="127" t="n">
        <v>45952</v>
      </c>
      <c r="G94" s="127" t="n">
        <v>45965</v>
      </c>
      <c r="H94" s="127" t="n">
        <v>46293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13</v>
      </c>
      <c r="N94" s="2" t="str">
        <f aca="false">IF(E94="","",IF(ISNUMBER(SEARCH("SUBSOLO",E94)),IFERROR(-VALUE(LEFT(E94,FIND("º",SUBSTITUTE(E94,"°","º"))-1)),-1),IF(LEFT(E94,6)="TÉRREO",0,IFERROR(VALUE(LEFT(E94,FIND("º",SUBSTITUTE(E94,"°","º"))-1)),""))))</f>
        <v/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2853</v>
      </c>
      <c r="S94" s="4"/>
      <c r="T94" s="4" t="s">
        <v>2854</v>
      </c>
      <c r="U94" s="4" t="s">
        <v>2620</v>
      </c>
      <c r="V94" s="2" t="n">
        <f aca="false">IF(R94="","",COUNTIF($C$5:$C$6004,R94))</f>
        <v>7</v>
      </c>
      <c r="W94" s="2" t="n">
        <f aca="false">IF(R94="","",COUNTIFS($C$5:$C$6004,R94,$O$5:$O$6004,"CONCLUÍDA"))</f>
        <v>7</v>
      </c>
      <c r="X94" s="2" t="n">
        <f aca="false">IF(R94="","",COUNTIFS($C$5:$C$6004,R94,$O$5:$O$6004,"EM ANDAMENTO"))</f>
        <v>0</v>
      </c>
      <c r="Y94" s="2" t="str">
        <f aca="false">IF(R94="","",IF(COUNTIFS($C$5:$C$6004,R94,$O$5:$O$6004,"CONCLUÍDA",$N$5:$N$6004,"&gt;=-99")=0,"",_xlfn.MAXIFS($N$5:$N$6004,$C$5:$C$6004,R94,$O$5:$O$6004,"CONCLUÍDA")))</f>
        <v/>
      </c>
      <c r="Z94" s="2" t="str">
        <f aca="false">IF(R94="","",IF(COUNTIFS($C$5:$C$6004,R94,$O$5:$O$6004,"EM ANDAMENTO",$N$5:$N$6004,"&gt;=-99")=0,"",_xlfn.MAXIFS($N$5:$N$6004,$C$5:$C$6004,R94,$O$5:$O$6004,"EM ANDAMENTO")))</f>
        <v/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 customFormat="false" ht="15" hidden="false" customHeight="false" outlineLevel="0" collapsed="false">
      <c r="B95" s="4" t="n">
        <v>9945531</v>
      </c>
      <c r="C95" s="4" t="s">
        <v>2628</v>
      </c>
      <c r="D95" s="4" t="s">
        <v>2762</v>
      </c>
      <c r="E95" s="4" t="s">
        <v>81</v>
      </c>
      <c r="F95" s="127" t="n">
        <v>45968</v>
      </c>
      <c r="G95" s="127" t="n">
        <v>45968</v>
      </c>
      <c r="H95" s="127" t="n">
        <v>46293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13</v>
      </c>
      <c r="N95" s="2" t="str">
        <f aca="false">IF(E95="","",IF(ISNUMBER(SEARCH("SUBSOLO",E95)),IFERROR(-VALUE(LEFT(E95,FIND("º",SUBSTITUTE(E95,"°","º"))-1)),-1),IF(LEFT(E95,6)="TÉRREO",0,IFERROR(VALUE(LEFT(E95,FIND("º",SUBSTITUTE(E95,"°","º"))-1)),""))))</f>
        <v/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2855</v>
      </c>
      <c r="S95" s="4" t="s">
        <v>170</v>
      </c>
      <c r="T95" s="4" t="s">
        <v>2856</v>
      </c>
      <c r="U95" s="4" t="s">
        <v>2620</v>
      </c>
      <c r="V95" s="2" t="n">
        <f aca="false">IF(R95="","",COUNTIF($C$5:$C$6004,R95))</f>
        <v>4</v>
      </c>
      <c r="W95" s="2" t="n">
        <f aca="false">IF(R95="","",COUNTIFS($C$5:$C$6004,R95,$O$5:$O$6004,"CONCLUÍDA"))</f>
        <v>4</v>
      </c>
      <c r="X95" s="2" t="n">
        <f aca="false">IF(R95="","",COUNTIFS($C$5:$C$6004,R95,$O$5:$O$6004,"EM ANDAMENTO"))</f>
        <v>0</v>
      </c>
      <c r="Y95" s="2" t="n">
        <f aca="false">IF(R95="","",IF(COUNTIFS($C$5:$C$6004,R95,$O$5:$O$6004,"CONCLUÍDA",$N$5:$N$6004,"&gt;=-99")=0,"",_xlfn.MAXIFS($N$5:$N$6004,$C$5:$C$6004,R95,$O$5:$O$6004,"CONCLUÍDA")))</f>
        <v>1</v>
      </c>
      <c r="Z95" s="2" t="str">
        <f aca="false">IF(R95="","",IF(COUNTIFS($C$5:$C$6004,R95,$O$5:$O$6004,"EM ANDAMENTO",$N$5:$N$6004,"&gt;=-99")=0,"",_xlfn.MAXIFS($N$5:$N$6004,$C$5:$C$6004,R95,$O$5:$O$6004,"EM ANDAMENTO")))</f>
        <v/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 customFormat="false" ht="15" hidden="false" customHeight="false" outlineLevel="0" collapsed="false">
      <c r="B96" s="4" t="n">
        <v>25923176</v>
      </c>
      <c r="C96" s="4" t="s">
        <v>2631</v>
      </c>
      <c r="D96" s="4" t="s">
        <v>433</v>
      </c>
      <c r="E96" s="4" t="s">
        <v>81</v>
      </c>
      <c r="F96" s="127" t="n">
        <v>45775</v>
      </c>
      <c r="G96" s="127" t="n">
        <v>45786</v>
      </c>
      <c r="H96" s="127" t="n">
        <v>46293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15</v>
      </c>
      <c r="N96" s="2" t="str">
        <f aca="false">IF(E96="","",IF(ISNUMBER(SEARCH("SUBSOLO",E96)),IFERROR(-VALUE(LEFT(E96,FIND("º",SUBSTITUTE(E96,"°","º"))-1)),-1),IF(LEFT(E96,6)="TÉRREO",0,IFERROR(VALUE(LEFT(E96,FIND("º",SUBSTITUTE(E96,"°","º"))-1)),""))))</f>
        <v/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2857</v>
      </c>
      <c r="S96" s="4" t="s">
        <v>170</v>
      </c>
      <c r="T96" s="4" t="s">
        <v>2858</v>
      </c>
      <c r="U96" s="4" t="s">
        <v>2620</v>
      </c>
      <c r="V96" s="2" t="n">
        <f aca="false">IF(R96="","",COUNTIF($C$5:$C$6004,R96))</f>
        <v>2</v>
      </c>
      <c r="W96" s="2" t="n">
        <f aca="false">IF(R96="","",COUNTIFS($C$5:$C$6004,R96,$O$5:$O$6004,"CONCLUÍDA"))</f>
        <v>2</v>
      </c>
      <c r="X96" s="2" t="n">
        <f aca="false">IF(R96="","",COUNTIFS($C$5:$C$6004,R96,$O$5:$O$6004,"EM ANDAMENTO"))</f>
        <v>0</v>
      </c>
      <c r="Y96" s="2" t="str">
        <f aca="false">IF(R96="","",IF(COUNTIFS($C$5:$C$6004,R96,$O$5:$O$6004,"CONCLUÍDA",$N$5:$N$6004,"&gt;=-99")=0,"",_xlfn.MAXIFS($N$5:$N$6004,$C$5:$C$6004,R96,$O$5:$O$6004,"CONCLUÍDA")))</f>
        <v/>
      </c>
      <c r="Z96" s="2" t="str">
        <f aca="false">IF(R96="","",IF(COUNTIFS($C$5:$C$6004,R96,$O$5:$O$6004,"EM ANDAMENTO",$N$5:$N$6004,"&gt;=-99")=0,"",_xlfn.MAXIFS($N$5:$N$6004,$C$5:$C$6004,R96,$O$5:$O$6004,"EM ANDAMENTO")))</f>
        <v/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 customFormat="false" ht="15" hidden="false" customHeight="false" outlineLevel="0" collapsed="false">
      <c r="B97" s="4" t="n">
        <v>9248435</v>
      </c>
      <c r="C97" s="4" t="s">
        <v>2631</v>
      </c>
      <c r="D97" s="4" t="s">
        <v>2859</v>
      </c>
      <c r="E97" s="4" t="s">
        <v>81</v>
      </c>
      <c r="F97" s="127" t="n">
        <v>45775</v>
      </c>
      <c r="G97" s="127" t="n">
        <v>45775</v>
      </c>
      <c r="H97" s="127" t="n">
        <v>46293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15</v>
      </c>
      <c r="N97" s="2" t="str">
        <f aca="false">IF(E97="","",IF(ISNUMBER(SEARCH("SUBSOLO",E97)),IFERROR(-VALUE(LEFT(E97,FIND("º",SUBSTITUTE(E97,"°","º"))-1)),-1),IF(LEFT(E97,6)="TÉRREO",0,IFERROR(VALUE(LEFT(E97,FIND("º",SUBSTITUTE(E97,"°","º"))-1)),""))))</f>
        <v/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2860</v>
      </c>
      <c r="S97" s="4" t="s">
        <v>165</v>
      </c>
      <c r="T97" s="4" t="s">
        <v>2861</v>
      </c>
      <c r="U97" s="4" t="s">
        <v>2620</v>
      </c>
      <c r="V97" s="2" t="n">
        <f aca="false">IF(R97="","",COUNTIF($C$5:$C$6004,R97))</f>
        <v>5</v>
      </c>
      <c r="W97" s="2" t="n">
        <f aca="false">IF(R97="","",COUNTIFS($C$5:$C$6004,R97,$O$5:$O$6004,"CONCLUÍDA"))</f>
        <v>5</v>
      </c>
      <c r="X97" s="2" t="n">
        <f aca="false">IF(R97="","",COUNTIFS($C$5:$C$6004,R97,$O$5:$O$6004,"EM ANDAMENTO"))</f>
        <v>0</v>
      </c>
      <c r="Y97" s="2" t="n">
        <f aca="false">IF(R97="","",IF(COUNTIFS($C$5:$C$6004,R97,$O$5:$O$6004,"CONCLUÍDA",$N$5:$N$6004,"&gt;=-99")=0,"",_xlfn.MAXIFS($N$5:$N$6004,$C$5:$C$6004,R97,$O$5:$O$6004,"CONCLUÍDA")))</f>
        <v>-4</v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 customFormat="false" ht="15" hidden="false" customHeight="false" outlineLevel="0" collapsed="false">
      <c r="B98" s="4" t="n">
        <v>9248436</v>
      </c>
      <c r="C98" s="4" t="s">
        <v>2631</v>
      </c>
      <c r="D98" s="4" t="s">
        <v>2862</v>
      </c>
      <c r="E98" s="4" t="s">
        <v>81</v>
      </c>
      <c r="F98" s="127" t="n">
        <v>45776</v>
      </c>
      <c r="G98" s="127" t="n">
        <v>45776</v>
      </c>
      <c r="H98" s="127" t="n">
        <v>46293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15</v>
      </c>
      <c r="N98" s="2" t="str">
        <f aca="false">IF(E98="","",IF(ISNUMBER(SEARCH("SUBSOLO",E98)),IFERROR(-VALUE(LEFT(E98,FIND("º",SUBSTITUTE(E98,"°","º"))-1)),-1),IF(LEFT(E98,6)="TÉRREO",0,IFERROR(VALUE(LEFT(E98,FIND("º",SUBSTITUTE(E98,"°","º"))-1)),""))))</f>
        <v/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2863</v>
      </c>
      <c r="S98" s="4" t="s">
        <v>204</v>
      </c>
      <c r="T98" s="4" t="s">
        <v>2864</v>
      </c>
      <c r="U98" s="4" t="s">
        <v>2613</v>
      </c>
      <c r="V98" s="2" t="n">
        <f aca="false">IF(R98="","",COUNTIF($C$5:$C$6004,R98))</f>
        <v>1</v>
      </c>
      <c r="W98" s="2" t="n">
        <f aca="false">IF(R98="","",COUNTIFS($C$5:$C$6004,R98,$O$5:$O$6004,"CONCLUÍDA"))</f>
        <v>1</v>
      </c>
      <c r="X98" s="2" t="n">
        <f aca="false">IF(R98="","",COUNTIFS($C$5:$C$6004,R98,$O$5:$O$6004,"EM ANDAMENTO"))</f>
        <v>0</v>
      </c>
      <c r="Y98" s="2" t="n">
        <f aca="false">IF(R98="","",IF(COUNTIFS($C$5:$C$6004,R98,$O$5:$O$6004,"CONCLUÍDA",$N$5:$N$6004,"&gt;=-99")=0,"",_xlfn.MAXIFS($N$5:$N$6004,$C$5:$C$6004,R98,$O$5:$O$6004,"CONCLUÍDA")))</f>
        <v>1</v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>Reboco externo (fachada lateral chopp da fábrica): concluído</v>
      </c>
    </row>
    <row r="99" customFormat="false" ht="15" hidden="false" customHeight="false" outlineLevel="0" collapsed="false">
      <c r="B99" s="4" t="n">
        <v>9248437</v>
      </c>
      <c r="C99" s="4" t="s">
        <v>2631</v>
      </c>
      <c r="D99" s="4" t="s">
        <v>2865</v>
      </c>
      <c r="E99" s="4" t="s">
        <v>81</v>
      </c>
      <c r="F99" s="127" t="n">
        <v>45777</v>
      </c>
      <c r="G99" s="127" t="n">
        <v>45777</v>
      </c>
      <c r="H99" s="127" t="n">
        <v>46293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15</v>
      </c>
      <c r="N99" s="2" t="str">
        <f aca="false">IF(E99="","",IF(ISNUMBER(SEARCH("SUBSOLO",E99)),IFERROR(-VALUE(LEFT(E99,FIND("º",SUBSTITUTE(E99,"°","º"))-1)),-1),IF(LEFT(E99,6)="TÉRREO",0,IFERROR(VALUE(LEFT(E99,FIND("º",SUBSTITUTE(E99,"°","º"))-1)),""))))</f>
        <v/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2866</v>
      </c>
      <c r="S99" s="4" t="s">
        <v>162</v>
      </c>
      <c r="T99" s="4" t="s">
        <v>2867</v>
      </c>
      <c r="U99" s="4" t="s">
        <v>2620</v>
      </c>
      <c r="V99" s="2" t="n">
        <f aca="false">IF(R99="","",COUNTIF($C$5:$C$6004,R99))</f>
        <v>1</v>
      </c>
      <c r="W99" s="2" t="n">
        <f aca="false">IF(R99="","",COUNTIFS($C$5:$C$6004,R99,$O$5:$O$6004,"CONCLUÍDA"))</f>
        <v>1</v>
      </c>
      <c r="X99" s="2" t="n">
        <f aca="false">IF(R99="","",COUNTIFS($C$5:$C$6004,R99,$O$5:$O$6004,"EM ANDAMENTO"))</f>
        <v>0</v>
      </c>
      <c r="Y99" s="2" t="n">
        <f aca="false">IF(R99="","",IF(COUNTIFS($C$5:$C$6004,R99,$O$5:$O$6004,"CONCLUÍDA",$N$5:$N$6004,"&gt;=-99")=0,"",_xlfn.MAXIFS($N$5:$N$6004,$C$5:$C$6004,R99,$O$5:$O$6004,"CONCLUÍDA")))</f>
        <v>3</v>
      </c>
      <c r="Z99" s="2" t="str">
        <f aca="false">IF(R99="","",IF(COUNTIFS($C$5:$C$6004,R99,$O$5:$O$6004,"EM ANDAMENTO",$N$5:$N$6004,"&gt;=-99")=0,"",_xlfn.MAXIFS($N$5:$N$6004,$C$5:$C$6004,R99,$O$5:$O$6004,"EM ANDAMENTO")))</f>
        <v/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 customFormat="false" ht="15" hidden="false" customHeight="false" outlineLevel="0" collapsed="false">
      <c r="B100" s="4" t="n">
        <v>9248438</v>
      </c>
      <c r="C100" s="4" t="s">
        <v>2631</v>
      </c>
      <c r="D100" s="4" t="s">
        <v>2868</v>
      </c>
      <c r="E100" s="4" t="s">
        <v>81</v>
      </c>
      <c r="F100" s="127" t="n">
        <v>45779</v>
      </c>
      <c r="G100" s="127" t="n">
        <v>45779</v>
      </c>
      <c r="H100" s="127" t="n">
        <v>46293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15</v>
      </c>
      <c r="N100" s="2" t="str">
        <f aca="false">IF(E100="","",IF(ISNUMBER(SEARCH("SUBSOLO",E100)),IFERROR(-VALUE(LEFT(E100,FIND("º",SUBSTITUTE(E100,"°","º"))-1)),-1),IF(LEFT(E100,6)="TÉRREO",0,IFERROR(VALUE(LEFT(E100,FIND("º",SUBSTITUTE(E100,"°","º"))-1)),""))))</f>
        <v/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2869</v>
      </c>
      <c r="S100" s="4" t="s">
        <v>173</v>
      </c>
      <c r="T100" s="4" t="s">
        <v>2870</v>
      </c>
      <c r="U100" s="4" t="s">
        <v>2613</v>
      </c>
      <c r="V100" s="2" t="n">
        <f aca="false">IF(R100="","",COUNTIF($C$5:$C$6004,R100))</f>
        <v>41</v>
      </c>
      <c r="W100" s="2" t="n">
        <f aca="false">IF(R100="","",COUNTIFS($C$5:$C$6004,R100,$O$5:$O$6004,"CONCLUÍDA"))</f>
        <v>41</v>
      </c>
      <c r="X100" s="2" t="n">
        <f aca="false">IF(R100="","",COUNTIFS($C$5:$C$6004,R100,$O$5:$O$6004,"EM ANDAMENTO"))</f>
        <v>0</v>
      </c>
      <c r="Y100" s="2" t="n">
        <f aca="false">IF(R100="","",IF(COUNTIFS($C$5:$C$6004,R100,$O$5:$O$6004,"CONCLUÍDA",$N$5:$N$6004,"&gt;=-99")=0,"",_xlfn.MAXIFS($N$5:$N$6004,$C$5:$C$6004,R100,$O$5:$O$6004,"CONCLUÍDA")))</f>
        <v>29</v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>Prumada de incêndio: concluído</v>
      </c>
    </row>
    <row r="101" customFormat="false" ht="15" hidden="false" customHeight="false" outlineLevel="0" collapsed="false">
      <c r="B101" s="4" t="n">
        <v>9248439</v>
      </c>
      <c r="C101" s="4" t="s">
        <v>2631</v>
      </c>
      <c r="D101" s="4" t="s">
        <v>2871</v>
      </c>
      <c r="E101" s="4" t="s">
        <v>81</v>
      </c>
      <c r="F101" s="127" t="n">
        <v>45782</v>
      </c>
      <c r="G101" s="127" t="n">
        <v>45782</v>
      </c>
      <c r="H101" s="127" t="n">
        <v>46293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15</v>
      </c>
      <c r="N101" s="2" t="str">
        <f aca="false">IF(E101="","",IF(ISNUMBER(SEARCH("SUBSOLO",E101)),IFERROR(-VALUE(LEFT(E101,FIND("º",SUBSTITUTE(E101,"°","º"))-1)),-1),IF(LEFT(E101,6)="TÉRREO",0,IFERROR(VALUE(LEFT(E101,FIND("º",SUBSTITUTE(E101,"°","º"))-1)),""))))</f>
        <v/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2872</v>
      </c>
      <c r="S101" s="4"/>
      <c r="T101" s="4" t="s">
        <v>2873</v>
      </c>
      <c r="U101" s="4" t="s">
        <v>2613</v>
      </c>
      <c r="V101" s="2" t="n">
        <f aca="false">IF(R101="","",COUNTIF($C$5:$C$6004,R101))</f>
        <v>42</v>
      </c>
      <c r="W101" s="2" t="n">
        <f aca="false">IF(R101="","",COUNTIFS($C$5:$C$6004,R101,$O$5:$O$6004,"CONCLUÍDA"))</f>
        <v>42</v>
      </c>
      <c r="X101" s="2" t="n">
        <f aca="false">IF(R101="","",COUNTIFS($C$5:$C$6004,R101,$O$5:$O$6004,"EM ANDAMENTO"))</f>
        <v>0</v>
      </c>
      <c r="Y101" s="2" t="n">
        <f aca="false">IF(R101="","",IF(COUNTIFS($C$5:$C$6004,R101,$O$5:$O$6004,"CONCLUÍDA",$N$5:$N$6004,"&gt;=-99")=0,"",_xlfn.MAXIFS($N$5:$N$6004,$C$5:$C$6004,R101,$O$5:$O$6004,"CONCLUÍDA")))</f>
        <v>4</v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 customFormat="false" ht="15" hidden="false" customHeight="false" outlineLevel="0" collapsed="false">
      <c r="B102" s="4" t="n">
        <v>9248440</v>
      </c>
      <c r="C102" s="4" t="s">
        <v>2631</v>
      </c>
      <c r="D102" s="4" t="s">
        <v>2874</v>
      </c>
      <c r="E102" s="4" t="s">
        <v>81</v>
      </c>
      <c r="F102" s="127" t="n">
        <v>45783</v>
      </c>
      <c r="G102" s="127" t="n">
        <v>45783</v>
      </c>
      <c r="H102" s="127" t="n">
        <v>46293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15</v>
      </c>
      <c r="N102" s="2" t="str">
        <f aca="false">IF(E102="","",IF(ISNUMBER(SEARCH("SUBSOLO",E102)),IFERROR(-VALUE(LEFT(E102,FIND("º",SUBSTITUTE(E102,"°","º"))-1)),-1),IF(LEFT(E102,6)="TÉRREO",0,IFERROR(VALUE(LEFT(E102,FIND("º",SUBSTITUTE(E102,"°","º"))-1)),""))))</f>
        <v/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2875</v>
      </c>
      <c r="S102" s="4"/>
      <c r="T102" s="4" t="s">
        <v>2876</v>
      </c>
      <c r="U102" s="4" t="s">
        <v>2613</v>
      </c>
      <c r="V102" s="2" t="n">
        <f aca="false">IF(R102="","",COUNTIF($C$5:$C$6004,R102))</f>
        <v>42</v>
      </c>
      <c r="W102" s="2" t="n">
        <f aca="false">IF(R102="","",COUNTIFS($C$5:$C$6004,R102,$O$5:$O$6004,"CONCLUÍDA"))</f>
        <v>42</v>
      </c>
      <c r="X102" s="2" t="n">
        <f aca="false">IF(R102="","",COUNTIFS($C$5:$C$6004,R102,$O$5:$O$6004,"EM ANDAMENTO"))</f>
        <v>0</v>
      </c>
      <c r="Y102" s="2" t="n">
        <f aca="false">IF(R102="","",IF(COUNTIFS($C$5:$C$6004,R102,$O$5:$O$6004,"CONCLUÍDA",$N$5:$N$6004,"&gt;=-99")=0,"",_xlfn.MAXIFS($N$5:$N$6004,$C$5:$C$6004,R102,$O$5:$O$6004,"CONCLUÍDA")))</f>
        <v>4</v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 customFormat="false" ht="15" hidden="false" customHeight="false" outlineLevel="0" collapsed="false">
      <c r="B103" s="4" t="n">
        <v>9248441</v>
      </c>
      <c r="C103" s="4" t="s">
        <v>2631</v>
      </c>
      <c r="D103" s="4" t="s">
        <v>2877</v>
      </c>
      <c r="E103" s="4" t="s">
        <v>81</v>
      </c>
      <c r="F103" s="127" t="n">
        <v>45784</v>
      </c>
      <c r="G103" s="127" t="n">
        <v>45784</v>
      </c>
      <c r="H103" s="127" t="n">
        <v>46293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15</v>
      </c>
      <c r="N103" s="2" t="str">
        <f aca="false">IF(E103="","",IF(ISNUMBER(SEARCH("SUBSOLO",E103)),IFERROR(-VALUE(LEFT(E103,FIND("º",SUBSTITUTE(E103,"°","º"))-1)),-1),IF(LEFT(E103,6)="TÉRREO",0,IFERROR(VALUE(LEFT(E103,FIND("º",SUBSTITUTE(E103,"°","º"))-1)),""))))</f>
        <v/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2878</v>
      </c>
      <c r="S103" s="4"/>
      <c r="T103" s="4" t="s">
        <v>2879</v>
      </c>
      <c r="U103" s="4" t="s">
        <v>2613</v>
      </c>
      <c r="V103" s="2" t="n">
        <f aca="false">IF(R103="","",COUNTIF($C$5:$C$6004,R103))</f>
        <v>42</v>
      </c>
      <c r="W103" s="2" t="n">
        <f aca="false">IF(R103="","",COUNTIFS($C$5:$C$6004,R103,$O$5:$O$6004,"CONCLUÍDA"))</f>
        <v>42</v>
      </c>
      <c r="X103" s="2" t="n">
        <f aca="false">IF(R103="","",COUNTIFS($C$5:$C$6004,R103,$O$5:$O$6004,"EM ANDAMENTO"))</f>
        <v>0</v>
      </c>
      <c r="Y103" s="2" t="n">
        <f aca="false">IF(R103="","",IF(COUNTIFS($C$5:$C$6004,R103,$O$5:$O$6004,"CONCLUÍDA",$N$5:$N$6004,"&gt;=-99")=0,"",_xlfn.MAXIFS($N$5:$N$6004,$C$5:$C$6004,R103,$O$5:$O$6004,"CONCLUÍDA")))</f>
        <v>4</v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 customFormat="false" ht="15" hidden="false" customHeight="false" outlineLevel="0" collapsed="false">
      <c r="B104" s="4" t="n">
        <v>9248442</v>
      </c>
      <c r="C104" s="4" t="s">
        <v>2631</v>
      </c>
      <c r="D104" s="4" t="s">
        <v>2880</v>
      </c>
      <c r="E104" s="4" t="s">
        <v>81</v>
      </c>
      <c r="F104" s="127" t="n">
        <v>45785</v>
      </c>
      <c r="G104" s="127" t="n">
        <v>45785</v>
      </c>
      <c r="H104" s="127" t="n">
        <v>46293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15</v>
      </c>
      <c r="N104" s="2" t="str">
        <f aca="false">IF(E104="","",IF(ISNUMBER(SEARCH("SUBSOLO",E104)),IFERROR(-VALUE(LEFT(E104,FIND("º",SUBSTITUTE(E104,"°","º"))-1)),-1),IF(LEFT(E104,6)="TÉRREO",0,IFERROR(VALUE(LEFT(E104,FIND("º",SUBSTITUTE(E104,"°","º"))-1)),""))))</f>
        <v/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2881</v>
      </c>
      <c r="S104" s="4" t="s">
        <v>204</v>
      </c>
      <c r="T104" s="4" t="s">
        <v>2882</v>
      </c>
      <c r="U104" s="4" t="s">
        <v>2613</v>
      </c>
      <c r="V104" s="2" t="n">
        <f aca="false">IF(R104="","",COUNTIF($C$5:$C$6004,R104))</f>
        <v>1</v>
      </c>
      <c r="W104" s="2" t="n">
        <f aca="false">IF(R104="","",COUNTIFS($C$5:$C$6004,R104,$O$5:$O$6004,"CONCLUÍDA"))</f>
        <v>1</v>
      </c>
      <c r="X104" s="2" t="n">
        <f aca="false">IF(R104="","",COUNTIFS($C$5:$C$6004,R104,$O$5:$O$6004,"EM ANDAMENTO"))</f>
        <v>0</v>
      </c>
      <c r="Y104" s="2" t="n">
        <f aca="false">IF(R104="","",IF(COUNTIFS($C$5:$C$6004,R104,$O$5:$O$6004,"CONCLUÍDA",$N$5:$N$6004,"&gt;=-99")=0,"",_xlfn.MAXIFS($N$5:$N$6004,$C$5:$C$6004,R104,$O$5:$O$6004,"CONCLUÍDA")))</f>
        <v>1</v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>Reboco externo (fachada fundo chopp da fábrica): concluído</v>
      </c>
    </row>
    <row r="105" customFormat="false" ht="15" hidden="false" customHeight="false" outlineLevel="0" collapsed="false">
      <c r="B105" s="4" t="n">
        <v>9248443</v>
      </c>
      <c r="C105" s="4" t="s">
        <v>2631</v>
      </c>
      <c r="D105" s="4" t="s">
        <v>2883</v>
      </c>
      <c r="E105" s="4" t="s">
        <v>81</v>
      </c>
      <c r="F105" s="127" t="n">
        <v>45786</v>
      </c>
      <c r="G105" s="127" t="n">
        <v>45786</v>
      </c>
      <c r="H105" s="127" t="n">
        <v>46293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15</v>
      </c>
      <c r="N105" s="2" t="str">
        <f aca="false">IF(E105="","",IF(ISNUMBER(SEARCH("SUBSOLO",E105)),IFERROR(-VALUE(LEFT(E105,FIND("º",SUBSTITUTE(E105,"°","º"))-1)),-1),IF(LEFT(E105,6)="TÉRREO",0,IFERROR(VALUE(LEFT(E105,FIND("º",SUBSTITUTE(E105,"°","º"))-1)),""))))</f>
        <v/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2884</v>
      </c>
      <c r="S105" s="4" t="s">
        <v>204</v>
      </c>
      <c r="T105" s="4" t="s">
        <v>2885</v>
      </c>
      <c r="U105" s="4" t="s">
        <v>2613</v>
      </c>
      <c r="V105" s="2" t="n">
        <f aca="false">IF(R105="","",COUNTIF($C$5:$C$6004,R105))</f>
        <v>1</v>
      </c>
      <c r="W105" s="2" t="n">
        <f aca="false">IF(R105="","",COUNTIFS($C$5:$C$6004,R105,$O$5:$O$6004,"CONCLUÍDA"))</f>
        <v>1</v>
      </c>
      <c r="X105" s="2" t="n">
        <f aca="false">IF(R105="","",COUNTIFS($C$5:$C$6004,R105,$O$5:$O$6004,"EM ANDAMENTO"))</f>
        <v>0</v>
      </c>
      <c r="Y105" s="2" t="n">
        <f aca="false">IF(R105="","",IF(COUNTIFS($C$5:$C$6004,R105,$O$5:$O$6004,"CONCLUÍDA",$N$5:$N$6004,"&gt;=-99")=0,"",_xlfn.MAXIFS($N$5:$N$6004,$C$5:$C$6004,R105,$O$5:$O$6004,"CONCLUÍDA")))</f>
        <v>3</v>
      </c>
      <c r="Z105" s="2" t="str">
        <f aca="false">IF(R105="","",IF(COUNTIFS($C$5:$C$6004,R105,$O$5:$O$6004,"EM ANDAMENTO",$N$5:$N$6004,"&gt;=-99")=0,"",_xlfn.MAXIFS($N$5:$N$6004,$C$5:$C$6004,R105,$O$5:$O$6004,"EM ANDAMENTO")))</f>
        <v/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>Reboco plano de ação fachada concordia: concluído</v>
      </c>
    </row>
    <row r="106" customFormat="false" ht="15" hidden="false" customHeight="false" outlineLevel="0" collapsed="false">
      <c r="B106" s="4" t="n">
        <v>25923118</v>
      </c>
      <c r="C106" s="4" t="s">
        <v>2634</v>
      </c>
      <c r="D106" s="4" t="s">
        <v>433</v>
      </c>
      <c r="E106" s="4" t="s">
        <v>81</v>
      </c>
      <c r="F106" s="127" t="n">
        <v>45782</v>
      </c>
      <c r="G106" s="127" t="n">
        <v>45820</v>
      </c>
      <c r="H106" s="127" t="n">
        <v>46293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13</v>
      </c>
      <c r="N106" s="2" t="str">
        <f aca="false">IF(E106="","",IF(ISNUMBER(SEARCH("SUBSOLO",E106)),IFERROR(-VALUE(LEFT(E106,FIND("º",SUBSTITUTE(E106,"°","º"))-1)),-1),IF(LEFT(E106,6)="TÉRREO",0,IFERROR(VALUE(LEFT(E106,FIND("º",SUBSTITUTE(E106,"°","º"))-1)),""))))</f>
        <v/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2886</v>
      </c>
      <c r="S106" s="4" t="s">
        <v>170</v>
      </c>
      <c r="T106" s="4" t="s">
        <v>2887</v>
      </c>
      <c r="U106" s="4" t="s">
        <v>2613</v>
      </c>
      <c r="V106" s="2" t="n">
        <f aca="false">IF(R106="","",COUNTIF($C$5:$C$6004,R106))</f>
        <v>41</v>
      </c>
      <c r="W106" s="2" t="n">
        <f aca="false">IF(R106="","",COUNTIFS($C$5:$C$6004,R106,$O$5:$O$6004,"CONCLUÍDA"))</f>
        <v>41</v>
      </c>
      <c r="X106" s="2" t="n">
        <f aca="false">IF(R106="","",COUNTIFS($C$5:$C$6004,R106,$O$5:$O$6004,"EM ANDAMENTO"))</f>
        <v>0</v>
      </c>
      <c r="Y106" s="2" t="n">
        <f aca="false">IF(R106="","",IF(COUNTIFS($C$5:$C$6004,R106,$O$5:$O$6004,"CONCLUÍDA",$N$5:$N$6004,"&gt;=-99")=0,"",_xlfn.MAXIFS($N$5:$N$6004,$C$5:$C$6004,R106,$O$5:$O$6004,"CONCLUÍDA")))</f>
        <v>29</v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>Prumada hidrossanitária: concluído</v>
      </c>
    </row>
    <row r="107" customFormat="false" ht="15" hidden="false" customHeight="false" outlineLevel="0" collapsed="false">
      <c r="B107" s="4" t="n">
        <v>9248401</v>
      </c>
      <c r="C107" s="4" t="s">
        <v>2634</v>
      </c>
      <c r="D107" s="4" t="s">
        <v>2672</v>
      </c>
      <c r="E107" s="4" t="s">
        <v>81</v>
      </c>
      <c r="F107" s="127" t="n">
        <v>45789</v>
      </c>
      <c r="G107" s="127" t="n">
        <v>45797</v>
      </c>
      <c r="H107" s="127" t="n">
        <v>46293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13</v>
      </c>
      <c r="N107" s="2" t="str">
        <f aca="false">IF(E107="","",IF(ISNUMBER(SEARCH("SUBSOLO",E107)),IFERROR(-VALUE(LEFT(E107,FIND("º",SUBSTITUTE(E107,"°","º"))-1)),-1),IF(LEFT(E107,6)="TÉRREO",0,IFERROR(VALUE(LEFT(E107,FIND("º",SUBSTITUTE(E107,"°","º"))-1)),""))))</f>
        <v/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2888</v>
      </c>
      <c r="S107" s="4" t="s">
        <v>168</v>
      </c>
      <c r="T107" s="4" t="s">
        <v>2889</v>
      </c>
      <c r="U107" s="4" t="s">
        <v>2613</v>
      </c>
      <c r="V107" s="2" t="n">
        <f aca="false">IF(R107="","",COUNTIF($C$5:$C$6004,R107))</f>
        <v>35</v>
      </c>
      <c r="W107" s="2" t="n">
        <f aca="false">IF(R107="","",COUNTIFS($C$5:$C$6004,R107,$O$5:$O$6004,"CONCLUÍDA"))</f>
        <v>34</v>
      </c>
      <c r="X107" s="2" t="n">
        <f aca="false">IF(R107="","",COUNTIFS($C$5:$C$6004,R107,$O$5:$O$6004,"EM ANDAMENTO"))</f>
        <v>0</v>
      </c>
      <c r="Y107" s="2" t="n">
        <f aca="false">IF(R107="","",IF(COUNTIFS($C$5:$C$6004,R107,$O$5:$O$6004,"CONCLUÍDA",$N$5:$N$6004,"&gt;=-99")=0,"",_xlfn.MAXIFS($N$5:$N$6004,$C$5:$C$6004,R107,$O$5:$O$6004,"CONCLUÍDA")))</f>
        <v>29</v>
      </c>
      <c r="Z107" s="2" t="str">
        <f aca="false">IF(R107="","",IF(COUNTIFS($C$5:$C$6004,R107,$O$5:$O$6004,"EM ANDAMENTO",$N$5:$N$6004,"&gt;=-99")=0,"",_xlfn.MAXIFS($N$5:$N$6004,$C$5:$C$6004,R107,$O$5:$O$6004,"EM ANDAMENTO")))</f>
        <v/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>Prumada elétrica (infra): até 29º pav.</v>
      </c>
    </row>
    <row r="108" customFormat="false" ht="15" hidden="false" customHeight="false" outlineLevel="0" collapsed="false">
      <c r="B108" s="4" t="n">
        <v>9248402</v>
      </c>
      <c r="C108" s="4" t="s">
        <v>2634</v>
      </c>
      <c r="D108" s="4" t="s">
        <v>2688</v>
      </c>
      <c r="E108" s="4" t="s">
        <v>81</v>
      </c>
      <c r="F108" s="127" t="n">
        <v>45798</v>
      </c>
      <c r="G108" s="127" t="n">
        <v>45798</v>
      </c>
      <c r="H108" s="127" t="n">
        <v>46293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13</v>
      </c>
      <c r="N108" s="2" t="str">
        <f aca="false">IF(E108="","",IF(ISNUMBER(SEARCH("SUBSOLO",E108)),IFERROR(-VALUE(LEFT(E108,FIND("º",SUBSTITUTE(E108,"°","º"))-1)),-1),IF(LEFT(E108,6)="TÉRREO",0,IFERROR(VALUE(LEFT(E108,FIND("º",SUBSTITUTE(E108,"°","º"))-1)),""))))</f>
        <v/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2890</v>
      </c>
      <c r="S108" s="4" t="s">
        <v>162</v>
      </c>
      <c r="T108" s="4" t="s">
        <v>2891</v>
      </c>
      <c r="U108" s="4" t="s">
        <v>2613</v>
      </c>
      <c r="V108" s="2" t="n">
        <f aca="false">IF(R108="","",COUNTIF($C$5:$C$6004,R108))</f>
        <v>26</v>
      </c>
      <c r="W108" s="2" t="n">
        <f aca="false">IF(R108="","",COUNTIFS($C$5:$C$6004,R108,$O$5:$O$6004,"CONCLUÍDA"))</f>
        <v>26</v>
      </c>
      <c r="X108" s="2" t="n">
        <f aca="false">IF(R108="","",COUNTIFS($C$5:$C$6004,R108,$O$5:$O$6004,"EM ANDAMENTO"))</f>
        <v>0</v>
      </c>
      <c r="Y108" s="2" t="n">
        <f aca="false">IF(R108="","",IF(COUNTIFS($C$5:$C$6004,R108,$O$5:$O$6004,"CONCLUÍDA",$N$5:$N$6004,"&gt;=-99")=0,"",_xlfn.MAXIFS($N$5:$N$6004,$C$5:$C$6004,R108,$O$5:$O$6004,"CONCLUÍDA")))</f>
        <v>29</v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>Encunhamento: concluído</v>
      </c>
    </row>
    <row r="109" customFormat="false" ht="15" hidden="false" customHeight="false" outlineLevel="0" collapsed="false">
      <c r="B109" s="4" t="n">
        <v>9248403</v>
      </c>
      <c r="C109" s="4" t="s">
        <v>2634</v>
      </c>
      <c r="D109" s="4" t="s">
        <v>2691</v>
      </c>
      <c r="E109" s="4" t="s">
        <v>81</v>
      </c>
      <c r="F109" s="127" t="n">
        <v>45782</v>
      </c>
      <c r="G109" s="127" t="n">
        <v>45798</v>
      </c>
      <c r="H109" s="127" t="n">
        <v>46293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13</v>
      </c>
      <c r="N109" s="2" t="str">
        <f aca="false">IF(E109="","",IF(ISNUMBER(SEARCH("SUBSOLO",E109)),IFERROR(-VALUE(LEFT(E109,FIND("º",SUBSTITUTE(E109,"°","º"))-1)),-1),IF(LEFT(E109,6)="TÉRREO",0,IFERROR(VALUE(LEFT(E109,FIND("º",SUBSTITUTE(E109,"°","º"))-1)),""))))</f>
        <v/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2892</v>
      </c>
      <c r="S109" s="4" t="s">
        <v>160</v>
      </c>
      <c r="T109" s="4" t="s">
        <v>2893</v>
      </c>
      <c r="U109" s="4" t="s">
        <v>2620</v>
      </c>
      <c r="V109" s="2" t="n">
        <f aca="false">IF(R109="","",COUNTIF($C$5:$C$6004,R109))</f>
        <v>4</v>
      </c>
      <c r="W109" s="2" t="n">
        <f aca="false">IF(R109="","",COUNTIFS($C$5:$C$6004,R109,$O$5:$O$6004,"CONCLUÍDA"))</f>
        <v>4</v>
      </c>
      <c r="X109" s="2" t="n">
        <f aca="false">IF(R109="","",COUNTIFS($C$5:$C$6004,R109,$O$5:$O$6004,"EM ANDAMENTO"))</f>
        <v>0</v>
      </c>
      <c r="Y109" s="2" t="n">
        <f aca="false">IF(R109="","",IF(COUNTIFS($C$5:$C$6004,R109,$O$5:$O$6004,"CONCLUÍDA",$N$5:$N$6004,"&gt;=-99")=0,"",_xlfn.MAXIFS($N$5:$N$6004,$C$5:$C$6004,R109,$O$5:$O$6004,"CONCLUÍDA")))</f>
        <v>1</v>
      </c>
      <c r="Z109" s="2" t="str">
        <f aca="false">IF(R109="","",IF(COUNTIFS($C$5:$C$6004,R109,$O$5:$O$6004,"EM ANDAMENTO",$N$5:$N$6004,"&gt;=-99")=0,"",_xlfn.MAXIFS($N$5:$N$6004,$C$5:$C$6004,R109,$O$5:$O$6004,"EM ANDAMENTO")))</f>
        <v/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 customFormat="false" ht="15" hidden="false" customHeight="false" outlineLevel="0" collapsed="false">
      <c r="B110" s="4" t="n">
        <v>9248404</v>
      </c>
      <c r="C110" s="4" t="s">
        <v>2634</v>
      </c>
      <c r="D110" s="4" t="s">
        <v>2681</v>
      </c>
      <c r="E110" s="4" t="s">
        <v>81</v>
      </c>
      <c r="F110" s="127" t="n">
        <v>45799</v>
      </c>
      <c r="G110" s="127" t="n">
        <v>45799</v>
      </c>
      <c r="H110" s="127" t="n">
        <v>46293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13</v>
      </c>
      <c r="N110" s="2" t="str">
        <f aca="false">IF(E110="","",IF(ISNUMBER(SEARCH("SUBSOLO",E110)),IFERROR(-VALUE(LEFT(E110,FIND("º",SUBSTITUTE(E110,"°","º"))-1)),-1),IF(LEFT(E110,6)="TÉRREO",0,IFERROR(VALUE(LEFT(E110,FIND("º",SUBSTITUTE(E110,"°","º"))-1)),""))))</f>
        <v/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2894</v>
      </c>
      <c r="S110" s="4" t="s">
        <v>204</v>
      </c>
      <c r="T110" s="4" t="s">
        <v>2895</v>
      </c>
      <c r="U110" s="4" t="s">
        <v>2613</v>
      </c>
      <c r="V110" s="2" t="n">
        <f aca="false">IF(R110="","",COUNTIF($C$5:$C$6004,R110))</f>
        <v>1</v>
      </c>
      <c r="W110" s="2" t="n">
        <f aca="false">IF(R110="","",COUNTIFS($C$5:$C$6004,R110,$O$5:$O$6004,"CONCLUÍDA"))</f>
        <v>1</v>
      </c>
      <c r="X110" s="2" t="n">
        <f aca="false">IF(R110="","",COUNTIFS($C$5:$C$6004,R110,$O$5:$O$6004,"EM ANDAMENTO"))</f>
        <v>0</v>
      </c>
      <c r="Y110" s="2" t="n">
        <f aca="false">IF(R110="","",IF(COUNTIFS($C$5:$C$6004,R110,$O$5:$O$6004,"CONCLUÍDA",$N$5:$N$6004,"&gt;=-99")=0,"",_xlfn.MAXIFS($N$5:$N$6004,$C$5:$C$6004,R110,$O$5:$O$6004,"CONCLUÍDA")))</f>
        <v>3</v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>Plano de ação reboco fachada acácia: concluído</v>
      </c>
    </row>
    <row r="111" customFormat="false" ht="15" hidden="false" customHeight="false" outlineLevel="0" collapsed="false">
      <c r="B111" s="4" t="n">
        <v>9248405</v>
      </c>
      <c r="C111" s="4" t="s">
        <v>2634</v>
      </c>
      <c r="D111" s="4" t="s">
        <v>2627</v>
      </c>
      <c r="E111" s="4" t="s">
        <v>81</v>
      </c>
      <c r="F111" s="127" t="n">
        <v>45792</v>
      </c>
      <c r="G111" s="127" t="n">
        <v>45800</v>
      </c>
      <c r="H111" s="127" t="n">
        <v>46293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13</v>
      </c>
      <c r="N111" s="2" t="str">
        <f aca="false">IF(E111="","",IF(ISNUMBER(SEARCH("SUBSOLO",E111)),IFERROR(-VALUE(LEFT(E111,FIND("º",SUBSTITUTE(E111,"°","º"))-1)),-1),IF(LEFT(E111,6)="TÉRREO",0,IFERROR(VALUE(LEFT(E111,FIND("º",SUBSTITUTE(E111,"°","º"))-1)),""))))</f>
        <v/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2896</v>
      </c>
      <c r="S111" s="4" t="s">
        <v>168</v>
      </c>
      <c r="T111" s="4" t="s">
        <v>2897</v>
      </c>
      <c r="U111" s="4" t="s">
        <v>2613</v>
      </c>
      <c r="V111" s="2" t="n">
        <f aca="false">IF(R111="","",COUNTIF($C$5:$C$6004,R111))</f>
        <v>28</v>
      </c>
      <c r="W111" s="2" t="n">
        <f aca="false">IF(R111="","",COUNTIFS($C$5:$C$6004,R111,$O$5:$O$6004,"CONCLUÍDA"))</f>
        <v>28</v>
      </c>
      <c r="X111" s="2" t="n">
        <f aca="false">IF(R111="","",COUNTIFS($C$5:$C$6004,R111,$O$5:$O$6004,"EM ANDAMENTO"))</f>
        <v>0</v>
      </c>
      <c r="Y111" s="2" t="n">
        <f aca="false">IF(R111="","",IF(COUNTIFS($C$5:$C$6004,R111,$O$5:$O$6004,"CONCLUÍDA",$N$5:$N$6004,"&gt;=-99")=0,"",_xlfn.MAXIFS($N$5:$N$6004,$C$5:$C$6004,R111,$O$5:$O$6004,"CONCLUÍDA")))</f>
        <v>29</v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>Inst. embutidas na alvenaria: concluído</v>
      </c>
    </row>
    <row r="112" customFormat="false" ht="15" hidden="false" customHeight="false" outlineLevel="0" collapsed="false">
      <c r="B112" s="4" t="n">
        <v>9248406</v>
      </c>
      <c r="C112" s="4" t="s">
        <v>2634</v>
      </c>
      <c r="D112" s="4" t="s">
        <v>2630</v>
      </c>
      <c r="E112" s="4" t="s">
        <v>81</v>
      </c>
      <c r="F112" s="127" t="n">
        <v>45803</v>
      </c>
      <c r="G112" s="127" t="n">
        <v>45803</v>
      </c>
      <c r="H112" s="127" t="n">
        <v>46293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13</v>
      </c>
      <c r="N112" s="2" t="str">
        <f aca="false">IF(E112="","",IF(ISNUMBER(SEARCH("SUBSOLO",E112)),IFERROR(-VALUE(LEFT(E112,FIND("º",SUBSTITUTE(E112,"°","º"))-1)),-1),IF(LEFT(E112,6)="TÉRREO",0,IFERROR(VALUE(LEFT(E112,FIND("º",SUBSTITUTE(E112,"°","º"))-1)),""))))</f>
        <v/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2898</v>
      </c>
      <c r="S112" s="4" t="s">
        <v>194</v>
      </c>
      <c r="T112" s="4" t="s">
        <v>2899</v>
      </c>
      <c r="U112" s="4" t="s">
        <v>2613</v>
      </c>
      <c r="V112" s="2" t="n">
        <f aca="false">IF(R112="","",COUNTIF($C$5:$C$6004,R112))</f>
        <v>26</v>
      </c>
      <c r="W112" s="2" t="n">
        <f aca="false">IF(R112="","",COUNTIFS($C$5:$C$6004,R112,$O$5:$O$6004,"CONCLUÍDA"))</f>
        <v>26</v>
      </c>
      <c r="X112" s="2" t="n">
        <f aca="false">IF(R112="","",COUNTIFS($C$5:$C$6004,R112,$O$5:$O$6004,"EM ANDAMENTO"))</f>
        <v>0</v>
      </c>
      <c r="Y112" s="2" t="n">
        <f aca="false">IF(R112="","",IF(COUNTIFS($C$5:$C$6004,R112,$O$5:$O$6004,"CONCLUÍDA",$N$5:$N$6004,"&gt;=-99")=0,"",_xlfn.MAXIFS($N$5:$N$6004,$C$5:$C$6004,R112,$O$5:$O$6004,"CONCLUÍDA")))</f>
        <v>29</v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>Taliscamento: concluído</v>
      </c>
    </row>
    <row r="113" customFormat="false" ht="15" hidden="false" customHeight="false" outlineLevel="0" collapsed="false">
      <c r="B113" s="4" t="n">
        <v>9248407</v>
      </c>
      <c r="C113" s="4" t="s">
        <v>2634</v>
      </c>
      <c r="D113" s="4" t="s">
        <v>2633</v>
      </c>
      <c r="E113" s="4" t="s">
        <v>81</v>
      </c>
      <c r="F113" s="127" t="n">
        <v>45804</v>
      </c>
      <c r="G113" s="127" t="n">
        <v>45812</v>
      </c>
      <c r="H113" s="127" t="n">
        <v>46293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13</v>
      </c>
      <c r="N113" s="2" t="str">
        <f aca="false">IF(E113="","",IF(ISNUMBER(SEARCH("SUBSOLO",E113)),IFERROR(-VALUE(LEFT(E113,FIND("º",SUBSTITUTE(E113,"°","º"))-1)),-1),IF(LEFT(E113,6)="TÉRREO",0,IFERROR(VALUE(LEFT(E113,FIND("º",SUBSTITUTE(E113,"°","º"))-1)),""))))</f>
        <v/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2900</v>
      </c>
      <c r="S113" s="4" t="s">
        <v>173</v>
      </c>
      <c r="T113" s="4" t="s">
        <v>2901</v>
      </c>
      <c r="U113" s="4" t="s">
        <v>2613</v>
      </c>
      <c r="V113" s="2" t="n">
        <f aca="false">IF(R113="","",COUNTIF($C$5:$C$6004,R113))</f>
        <v>15</v>
      </c>
      <c r="W113" s="2" t="n">
        <f aca="false">IF(R113="","",COUNTIFS($C$5:$C$6004,R113,$O$5:$O$6004,"CONCLUÍDA"))</f>
        <v>12</v>
      </c>
      <c r="X113" s="2" t="n">
        <f aca="false">IF(R113="","",COUNTIFS($C$5:$C$6004,R113,$O$5:$O$6004,"EM ANDAMENTO"))</f>
        <v>1</v>
      </c>
      <c r="Y113" s="2" t="n">
        <f aca="false">IF(R113="","",IF(COUNTIFS($C$5:$C$6004,R113,$O$5:$O$6004,"CONCLUÍDA",$N$5:$N$6004,"&gt;=-99")=0,"",_xlfn.MAXIFS($N$5:$N$6004,$C$5:$C$6004,R113,$O$5:$O$6004,"CONCLUÍDA")))</f>
        <v>2</v>
      </c>
      <c r="Z113" s="2" t="n">
        <f aca="false">IF(R113="","",IF(COUNTIFS($C$5:$C$6004,R113,$O$5:$O$6004,"EM ANDAMENTO",$N$5:$N$6004,"&gt;=-99")=0,"",_xlfn.MAXIFS($N$5:$N$6004,$C$5:$C$6004,R113,$O$5:$O$6004,"EM ANDAMENTO")))</f>
        <v>2</v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>Inst. incêndio: até 2º pav. (restam serviços no 2º pav.)</v>
      </c>
    </row>
    <row r="114" customFormat="false" ht="15" hidden="false" customHeight="false" outlineLevel="0" collapsed="false">
      <c r="B114" s="4" t="n">
        <v>9248408</v>
      </c>
      <c r="C114" s="4" t="s">
        <v>2634</v>
      </c>
      <c r="D114" s="4" t="s">
        <v>2636</v>
      </c>
      <c r="E114" s="4" t="s">
        <v>81</v>
      </c>
      <c r="F114" s="127" t="n">
        <v>45813</v>
      </c>
      <c r="G114" s="127" t="n">
        <v>45813</v>
      </c>
      <c r="H114" s="127" t="n">
        <v>46293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13</v>
      </c>
      <c r="N114" s="2" t="str">
        <f aca="false">IF(E114="","",IF(ISNUMBER(SEARCH("SUBSOLO",E114)),IFERROR(-VALUE(LEFT(E114,FIND("º",SUBSTITUTE(E114,"°","º"))-1)),-1),IF(LEFT(E114,6)="TÉRREO",0,IFERROR(VALUE(LEFT(E114,FIND("º",SUBSTITUTE(E114,"°","º"))-1)),""))))</f>
        <v/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2902</v>
      </c>
      <c r="S114" s="4" t="s">
        <v>162</v>
      </c>
      <c r="T114" s="4" t="s">
        <v>2903</v>
      </c>
      <c r="U114" s="4" t="s">
        <v>2620</v>
      </c>
      <c r="V114" s="2" t="n">
        <f aca="false">IF(R114="","",COUNTIF($C$5:$C$6004,R114))</f>
        <v>1</v>
      </c>
      <c r="W114" s="2" t="n">
        <f aca="false">IF(R114="","",COUNTIFS($C$5:$C$6004,R114,$O$5:$O$6004,"CONCLUÍDA"))</f>
        <v>1</v>
      </c>
      <c r="X114" s="2" t="n">
        <f aca="false">IF(R114="","",COUNTIFS($C$5:$C$6004,R114,$O$5:$O$6004,"EM ANDAMENTO"))</f>
        <v>0</v>
      </c>
      <c r="Y114" s="2" t="n">
        <f aca="false">IF(R114="","",IF(COUNTIFS($C$5:$C$6004,R114,$O$5:$O$6004,"CONCLUÍDA",$N$5:$N$6004,"&gt;=-99")=0,"",_xlfn.MAXIFS($N$5:$N$6004,$C$5:$C$6004,R114,$O$5:$O$6004,"CONCLUÍDA")))</f>
        <v>3</v>
      </c>
      <c r="Z114" s="2" t="str">
        <f aca="false">IF(R114="","",IF(COUNTIFS($C$5:$C$6004,R114,$O$5:$O$6004,"EM ANDAMENTO",$N$5:$N$6004,"&gt;=-99")=0,"",_xlfn.MAXIFS($N$5:$N$6004,$C$5:$C$6004,R114,$O$5:$O$6004,"EM ANDAMENTO")))</f>
        <v/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 customFormat="false" ht="15" hidden="false" customHeight="false" outlineLevel="0" collapsed="false">
      <c r="B115" s="4" t="n">
        <v>9248409</v>
      </c>
      <c r="C115" s="4" t="s">
        <v>2634</v>
      </c>
      <c r="D115" s="4" t="s">
        <v>2704</v>
      </c>
      <c r="E115" s="4" t="s">
        <v>81</v>
      </c>
      <c r="F115" s="127" t="n">
        <v>45782</v>
      </c>
      <c r="G115" s="127" t="n">
        <v>45790</v>
      </c>
      <c r="H115" s="127" t="n">
        <v>46293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13</v>
      </c>
      <c r="N115" s="2" t="str">
        <f aca="false">IF(E115="","",IF(ISNUMBER(SEARCH("SUBSOLO",E115)),IFERROR(-VALUE(LEFT(E115,FIND("º",SUBSTITUTE(E115,"°","º"))-1)),-1),IF(LEFT(E115,6)="TÉRREO",0,IFERROR(VALUE(LEFT(E115,FIND("º",SUBSTITUTE(E115,"°","º"))-1)),""))))</f>
        <v/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2904</v>
      </c>
      <c r="S115" s="4" t="s">
        <v>160</v>
      </c>
      <c r="T115" s="4" t="s">
        <v>2905</v>
      </c>
      <c r="U115" s="4" t="s">
        <v>2620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1</v>
      </c>
      <c r="X115" s="2" t="n">
        <f aca="false">IF(R115="","",COUNTIFS($C$5:$C$6004,R115,$O$5:$O$6004,"EM ANDAMENTO"))</f>
        <v>0</v>
      </c>
      <c r="Y115" s="2" t="n">
        <f aca="false">IF(R115="","",IF(COUNTIFS($C$5:$C$6004,R115,$O$5:$O$6004,"CONCLUÍDA",$N$5:$N$6004,"&gt;=-99")=0,"",_xlfn.MAXIFS($N$5:$N$6004,$C$5:$C$6004,R115,$O$5:$O$6004,"CONCLUÍDA")))</f>
        <v>3</v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9248410</v>
      </c>
      <c r="C116" s="4" t="s">
        <v>2634</v>
      </c>
      <c r="D116" s="4" t="s">
        <v>2707</v>
      </c>
      <c r="E116" s="4" t="s">
        <v>81</v>
      </c>
      <c r="F116" s="127" t="n">
        <v>45791</v>
      </c>
      <c r="G116" s="127" t="n">
        <v>45791</v>
      </c>
      <c r="H116" s="127" t="n">
        <v>46293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13</v>
      </c>
      <c r="N116" s="2" t="str">
        <f aca="false">IF(E116="","",IF(ISNUMBER(SEARCH("SUBSOLO",E116)),IFERROR(-VALUE(LEFT(E116,FIND("º",SUBSTITUTE(E116,"°","º"))-1)),-1),IF(LEFT(E116,6)="TÉRREO",0,IFERROR(VALUE(LEFT(E116,FIND("º",SUBSTITUTE(E116,"°","º"))-1)),""))))</f>
        <v/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2906</v>
      </c>
      <c r="S116" s="4" t="s">
        <v>165</v>
      </c>
      <c r="T116" s="4" t="s">
        <v>2907</v>
      </c>
      <c r="U116" s="4" t="s">
        <v>2620</v>
      </c>
      <c r="V116" s="2" t="n">
        <f aca="false">IF(R116="","",COUNTIF($C$5:$C$6004,R116))</f>
        <v>8</v>
      </c>
      <c r="W116" s="2" t="n">
        <f aca="false">IF(R116="","",COUNTIFS($C$5:$C$6004,R116,$O$5:$O$6004,"CONCLUÍDA"))</f>
        <v>4</v>
      </c>
      <c r="X116" s="2" t="n">
        <f aca="false">IF(R116="","",COUNTIFS($C$5:$C$6004,R116,$O$5:$O$6004,"EM ANDAMENTO"))</f>
        <v>3</v>
      </c>
      <c r="Y116" s="2" t="n">
        <f aca="false">IF(R116="","",IF(COUNTIFS($C$5:$C$6004,R116,$O$5:$O$6004,"CONCLUÍDA",$N$5:$N$6004,"&gt;=-99")=0,"",_xlfn.MAXIFS($N$5:$N$6004,$C$5:$C$6004,R116,$O$5:$O$6004,"CONCLUÍDA")))</f>
        <v>3</v>
      </c>
      <c r="Z116" s="2" t="n">
        <f aca="false">IF(R116="","",IF(COUNTIFS($C$5:$C$6004,R116,$O$5:$O$6004,"EM ANDAMENTO",$N$5:$N$6004,"&gt;=-99")=0,"",_xlfn.MAXIFS($N$5:$N$6004,$C$5:$C$6004,R116,$O$5:$O$6004,"EM ANDAMENTO")))</f>
        <v>3</v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 customFormat="false" ht="15" hidden="false" customHeight="false" outlineLevel="0" collapsed="false">
      <c r="B117" s="4" t="n">
        <v>9248411</v>
      </c>
      <c r="C117" s="4" t="s">
        <v>2634</v>
      </c>
      <c r="D117" s="4" t="s">
        <v>2614</v>
      </c>
      <c r="E117" s="4" t="s">
        <v>81</v>
      </c>
      <c r="F117" s="127" t="n">
        <v>45800</v>
      </c>
      <c r="G117" s="127" t="n">
        <v>45810</v>
      </c>
      <c r="H117" s="127" t="n">
        <v>46293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13</v>
      </c>
      <c r="N117" s="2" t="str">
        <f aca="false">IF(E117="","",IF(ISNUMBER(SEARCH("SUBSOLO",E117)),IFERROR(-VALUE(LEFT(E117,FIND("º",SUBSTITUTE(E117,"°","º"))-1)),-1),IF(LEFT(E117,6)="TÉRREO",0,IFERROR(VALUE(LEFT(E117,FIND("º",SUBSTITUTE(E117,"°","º"))-1)),""))))</f>
        <v/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2908</v>
      </c>
      <c r="S117" s="4" t="s">
        <v>162</v>
      </c>
      <c r="T117" s="4" t="s">
        <v>2909</v>
      </c>
      <c r="U117" s="4" t="s">
        <v>2620</v>
      </c>
      <c r="V117" s="2" t="n">
        <f aca="false">IF(R117="","",COUNTIF($C$5:$C$6004,R117))</f>
        <v>1</v>
      </c>
      <c r="W117" s="2" t="n">
        <f aca="false">IF(R117="","",COUNTIFS($C$5:$C$6004,R117,$O$5:$O$6004,"CONCLUÍDA"))</f>
        <v>1</v>
      </c>
      <c r="X117" s="2" t="n">
        <f aca="false">IF(R117="","",COUNTIFS($C$5:$C$6004,R117,$O$5:$O$6004,"EM ANDAMENTO"))</f>
        <v>0</v>
      </c>
      <c r="Y117" s="2" t="n">
        <f aca="false">IF(R117="","",IF(COUNTIFS($C$5:$C$6004,R117,$O$5:$O$6004,"CONCLUÍDA",$N$5:$N$6004,"&gt;=-99")=0,"",_xlfn.MAXIFS($N$5:$N$6004,$C$5:$C$6004,R117,$O$5:$O$6004,"CONCLUÍDA")))</f>
        <v>3</v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 customFormat="false" ht="15" hidden="false" customHeight="false" outlineLevel="0" collapsed="false">
      <c r="B118" s="4" t="n">
        <v>9248412</v>
      </c>
      <c r="C118" s="4" t="s">
        <v>2634</v>
      </c>
      <c r="D118" s="4" t="s">
        <v>2617</v>
      </c>
      <c r="E118" s="4" t="s">
        <v>81</v>
      </c>
      <c r="F118" s="127" t="n">
        <v>45811</v>
      </c>
      <c r="G118" s="127" t="n">
        <v>45811</v>
      </c>
      <c r="H118" s="127" t="n">
        <v>46293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13</v>
      </c>
      <c r="N118" s="2" t="str">
        <f aca="false">IF(E118="","",IF(ISNUMBER(SEARCH("SUBSOLO",E118)),IFERROR(-VALUE(LEFT(E118,FIND("º",SUBSTITUTE(E118,"°","º"))-1)),-1),IF(LEFT(E118,6)="TÉRREO",0,IFERROR(VALUE(LEFT(E118,FIND("º",SUBSTITUTE(E118,"°","º"))-1)),""))))</f>
        <v/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2910</v>
      </c>
      <c r="S118" s="4" t="s">
        <v>182</v>
      </c>
      <c r="T118" s="4" t="s">
        <v>2911</v>
      </c>
      <c r="U118" s="4" t="s">
        <v>2613</v>
      </c>
      <c r="V118" s="2" t="n">
        <f aca="false">IF(R118="","",COUNTIF($C$5:$C$6004,R118))</f>
        <v>32</v>
      </c>
      <c r="W118" s="2" t="n">
        <f aca="false">IF(R118="","",COUNTIFS($C$5:$C$6004,R118,$O$5:$O$6004,"CONCLUÍDA"))</f>
        <v>31</v>
      </c>
      <c r="X118" s="2" t="n">
        <f aca="false">IF(R118="","",COUNTIFS($C$5:$C$6004,R118,$O$5:$O$6004,"EM ANDAMENTO"))</f>
        <v>1</v>
      </c>
      <c r="Y118" s="2" t="n">
        <f aca="false">IF(R118="","",IF(COUNTIFS($C$5:$C$6004,R118,$O$5:$O$6004,"CONCLUÍDA",$N$5:$N$6004,"&gt;=-99")=0,"",_xlfn.MAXIFS($N$5:$N$6004,$C$5:$C$6004,R118,$O$5:$O$6004,"CONCLUÍDA")))</f>
        <v>29</v>
      </c>
      <c r="Z118" s="2" t="n">
        <f aca="false">IF(R118="","",IF(COUNTIFS($C$5:$C$6004,R118,$O$5:$O$6004,"EM ANDAMENTO",$N$5:$N$6004,"&gt;=-99")=0,"",_xlfn.MAXIFS($N$5:$N$6004,$C$5:$C$6004,R118,$O$5:$O$6004,"EM ANDAMENTO")))</f>
        <v>3</v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>Contramarco: até 29º pav. (restam serviços no 3º pav.)</v>
      </c>
    </row>
    <row r="119" customFormat="false" ht="15" hidden="false" customHeight="false" outlineLevel="0" collapsed="false">
      <c r="B119" s="4" t="n">
        <v>9248413</v>
      </c>
      <c r="C119" s="4" t="s">
        <v>2634</v>
      </c>
      <c r="D119" s="4" t="s">
        <v>2621</v>
      </c>
      <c r="E119" s="4" t="s">
        <v>81</v>
      </c>
      <c r="F119" s="127" t="n">
        <v>45782</v>
      </c>
      <c r="G119" s="127" t="n">
        <v>45790</v>
      </c>
      <c r="H119" s="127" t="n">
        <v>46293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13</v>
      </c>
      <c r="N119" s="2" t="str">
        <f aca="false">IF(E119="","",IF(ISNUMBER(SEARCH("SUBSOLO",E119)),IFERROR(-VALUE(LEFT(E119,FIND("º",SUBSTITUTE(E119,"°","º"))-1)),-1),IF(LEFT(E119,6)="TÉRREO",0,IFERROR(VALUE(LEFT(E119,FIND("º",SUBSTITUTE(E119,"°","º"))-1)),""))))</f>
        <v/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2912</v>
      </c>
      <c r="S119" s="4" t="s">
        <v>204</v>
      </c>
      <c r="T119" s="4" t="s">
        <v>2913</v>
      </c>
      <c r="U119" s="4" t="s">
        <v>2613</v>
      </c>
      <c r="V119" s="2" t="n">
        <f aca="false">IF(R119="","",COUNTIF($C$5:$C$6004,R119))</f>
        <v>1</v>
      </c>
      <c r="W119" s="2" t="n">
        <f aca="false">IF(R119="","",COUNTIFS($C$5:$C$6004,R119,$O$5:$O$6004,"CONCLUÍDA"))</f>
        <v>1</v>
      </c>
      <c r="X119" s="2" t="n">
        <f aca="false">IF(R119="","",COUNTIFS($C$5:$C$6004,R119,$O$5:$O$6004,"EM ANDAMENTO"))</f>
        <v>0</v>
      </c>
      <c r="Y119" s="2" t="n">
        <f aca="false">IF(R119="","",IF(COUNTIFS($C$5:$C$6004,R119,$O$5:$O$6004,"CONCLUÍDA",$N$5:$N$6004,"&gt;=-99")=0,"",_xlfn.MAXIFS($N$5:$N$6004,$C$5:$C$6004,R119,$O$5:$O$6004,"CONCLUÍDA")))</f>
        <v>3</v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>Plano de ação reboco fachada olympus: concluído</v>
      </c>
    </row>
    <row r="120" customFormat="false" ht="15" hidden="false" customHeight="false" outlineLevel="0" collapsed="false">
      <c r="B120" s="4" t="n">
        <v>9248414</v>
      </c>
      <c r="C120" s="4" t="s">
        <v>2634</v>
      </c>
      <c r="D120" s="4" t="s">
        <v>2624</v>
      </c>
      <c r="E120" s="4" t="s">
        <v>81</v>
      </c>
      <c r="F120" s="127" t="n">
        <v>45791</v>
      </c>
      <c r="G120" s="127" t="n">
        <v>45791</v>
      </c>
      <c r="H120" s="127" t="n">
        <v>46293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13</v>
      </c>
      <c r="N120" s="2" t="str">
        <f aca="false">IF(E120="","",IF(ISNUMBER(SEARCH("SUBSOLO",E120)),IFERROR(-VALUE(LEFT(E120,FIND("º",SUBSTITUTE(E120,"°","º"))-1)),-1),IF(LEFT(E120,6)="TÉRREO",0,IFERROR(VALUE(LEFT(E120,FIND("º",SUBSTITUTE(E120,"°","º"))-1)),""))))</f>
        <v/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2914</v>
      </c>
      <c r="S120" s="4" t="s">
        <v>170</v>
      </c>
      <c r="T120" s="4" t="s">
        <v>2915</v>
      </c>
      <c r="U120" s="4" t="s">
        <v>2613</v>
      </c>
      <c r="V120" s="2" t="n">
        <f aca="false">IF(R120="","",COUNTIF($C$5:$C$6004,R120))</f>
        <v>28</v>
      </c>
      <c r="W120" s="2" t="n">
        <f aca="false">IF(R120="","",COUNTIFS($C$5:$C$6004,R120,$O$5:$O$6004,"CONCLUÍDA"))</f>
        <v>28</v>
      </c>
      <c r="X120" s="2" t="n">
        <f aca="false">IF(R120="","",COUNTIFS($C$5:$C$6004,R120,$O$5:$O$6004,"EM ANDAMENTO"))</f>
        <v>0</v>
      </c>
      <c r="Y120" s="2" t="n">
        <f aca="false">IF(R120="","",IF(COUNTIFS($C$5:$C$6004,R120,$O$5:$O$6004,"CONCLUÍDA",$N$5:$N$6004,"&gt;=-99")=0,"",_xlfn.MAXIFS($N$5:$N$6004,$C$5:$C$6004,R120,$O$5:$O$6004,"CONCLUÍDA")))</f>
        <v>29</v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>Gás piso: concluído</v>
      </c>
    </row>
    <row r="121" customFormat="false" ht="15" hidden="false" customHeight="false" outlineLevel="0" collapsed="false">
      <c r="B121" s="4" t="n">
        <v>9248415</v>
      </c>
      <c r="C121" s="4" t="s">
        <v>2634</v>
      </c>
      <c r="D121" s="4" t="s">
        <v>2639</v>
      </c>
      <c r="E121" s="4" t="s">
        <v>81</v>
      </c>
      <c r="F121" s="127" t="n">
        <v>45782</v>
      </c>
      <c r="G121" s="127" t="n">
        <v>45790</v>
      </c>
      <c r="H121" s="127" t="n">
        <v>46293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13</v>
      </c>
      <c r="N121" s="2" t="str">
        <f aca="false">IF(E121="","",IF(ISNUMBER(SEARCH("SUBSOLO",E121)),IFERROR(-VALUE(LEFT(E121,FIND("º",SUBSTITUTE(E121,"°","º"))-1)),-1),IF(LEFT(E121,6)="TÉRREO",0,IFERROR(VALUE(LEFT(E121,FIND("º",SUBSTITUTE(E121,"°","º"))-1)),""))))</f>
        <v/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2916</v>
      </c>
      <c r="S121" s="4" t="s">
        <v>162</v>
      </c>
      <c r="T121" s="4" t="s">
        <v>2917</v>
      </c>
      <c r="U121" s="4" t="s">
        <v>2613</v>
      </c>
      <c r="V121" s="2" t="n">
        <f aca="false">IF(R121="","",COUNTIF($C$5:$C$6004,R121))</f>
        <v>36</v>
      </c>
      <c r="W121" s="2" t="n">
        <f aca="false">IF(R121="","",COUNTIFS($C$5:$C$6004,R121,$O$5:$O$6004,"CONCLUÍDA"))</f>
        <v>35</v>
      </c>
      <c r="X121" s="2" t="n">
        <f aca="false">IF(R121="","",COUNTIFS($C$5:$C$6004,R121,$O$5:$O$6004,"EM ANDAMENTO"))</f>
        <v>1</v>
      </c>
      <c r="Y121" s="2" t="n">
        <f aca="false">IF(R121="","",IF(COUNTIFS($C$5:$C$6004,R121,$O$5:$O$6004,"CONCLUÍDA",$N$5:$N$6004,"&gt;=-99")=0,"",_xlfn.MAXIFS($N$5:$N$6004,$C$5:$C$6004,R121,$O$5:$O$6004,"CONCLUÍDA")))</f>
        <v>29</v>
      </c>
      <c r="Z121" s="2" t="n">
        <f aca="false">IF(R121="","",IF(COUNTIFS($C$5:$C$6004,R121,$O$5:$O$6004,"EM ANDAMENTO",$N$5:$N$6004,"&gt;=-99")=0,"",_xlfn.MAXIFS($N$5:$N$6004,$C$5:$C$6004,R121,$O$5:$O$6004,"EM ANDAMENTO")))</f>
        <v>2</v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>Montantes do drywall: até 29º pav. (restam serviços no 2º pav.)</v>
      </c>
    </row>
    <row r="122" customFormat="false" ht="15" hidden="false" customHeight="false" outlineLevel="0" collapsed="false">
      <c r="B122" s="4" t="n">
        <v>9248416</v>
      </c>
      <c r="C122" s="4" t="s">
        <v>2634</v>
      </c>
      <c r="D122" s="4" t="s">
        <v>2642</v>
      </c>
      <c r="E122" s="4" t="s">
        <v>81</v>
      </c>
      <c r="F122" s="127" t="n">
        <v>45791</v>
      </c>
      <c r="G122" s="127" t="n">
        <v>45791</v>
      </c>
      <c r="H122" s="127" t="n">
        <v>46293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13</v>
      </c>
      <c r="N122" s="2" t="str">
        <f aca="false">IF(E122="","",IF(ISNUMBER(SEARCH("SUBSOLO",E122)),IFERROR(-VALUE(LEFT(E122,FIND("º",SUBSTITUTE(E122,"°","º"))-1)),-1),IF(LEFT(E122,6)="TÉRREO",0,IFERROR(VALUE(LEFT(E122,FIND("º",SUBSTITUTE(E122,"°","º"))-1)),""))))</f>
        <v/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2918</v>
      </c>
      <c r="S122" s="4" t="s">
        <v>160</v>
      </c>
      <c r="T122" s="4" t="s">
        <v>2919</v>
      </c>
      <c r="U122" s="4" t="s">
        <v>2620</v>
      </c>
      <c r="V122" s="2" t="n">
        <f aca="false">IF(R122="","",COUNTIF($C$5:$C$6004,R122))</f>
        <v>1</v>
      </c>
      <c r="W122" s="2" t="n">
        <f aca="false">IF(R122="","",COUNTIFS($C$5:$C$6004,R122,$O$5:$O$6004,"CONCLUÍDA"))</f>
        <v>1</v>
      </c>
      <c r="X122" s="2" t="n">
        <f aca="false">IF(R122="","",COUNTIFS($C$5:$C$6004,R122,$O$5:$O$6004,"EM ANDAMENTO"))</f>
        <v>0</v>
      </c>
      <c r="Y122" s="2" t="n">
        <f aca="false">IF(R122="","",IF(COUNTIFS($C$5:$C$6004,R122,$O$5:$O$6004,"CONCLUÍDA",$N$5:$N$6004,"&gt;=-99")=0,"",_xlfn.MAXIFS($N$5:$N$6004,$C$5:$C$6004,R122,$O$5:$O$6004,"CONCLUÍDA")))</f>
        <v>3</v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 customFormat="false" ht="15" hidden="false" customHeight="false" outlineLevel="0" collapsed="false">
      <c r="B123" s="4" t="n">
        <v>9248417</v>
      </c>
      <c r="C123" s="4" t="s">
        <v>2634</v>
      </c>
      <c r="D123" s="4" t="s">
        <v>2645</v>
      </c>
      <c r="E123" s="4" t="s">
        <v>81</v>
      </c>
      <c r="F123" s="127" t="n">
        <v>45792</v>
      </c>
      <c r="G123" s="127" t="n">
        <v>45800</v>
      </c>
      <c r="H123" s="127" t="n">
        <v>46293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13</v>
      </c>
      <c r="N123" s="2" t="str">
        <f aca="false">IF(E123="","",IF(ISNUMBER(SEARCH("SUBSOLO",E123)),IFERROR(-VALUE(LEFT(E123,FIND("º",SUBSTITUTE(E123,"°","º"))-1)),-1),IF(LEFT(E123,6)="TÉRREO",0,IFERROR(VALUE(LEFT(E123,FIND("º",SUBSTITUTE(E123,"°","º"))-1)),""))))</f>
        <v/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2920</v>
      </c>
      <c r="S123" s="4" t="s">
        <v>160</v>
      </c>
      <c r="T123" s="4" t="s">
        <v>2921</v>
      </c>
      <c r="U123" s="4" t="s">
        <v>2620</v>
      </c>
      <c r="V123" s="2" t="n">
        <f aca="false">IF(R123="","",COUNTIF($C$5:$C$6004,R123))</f>
        <v>1</v>
      </c>
      <c r="W123" s="2" t="n">
        <f aca="false">IF(R123="","",COUNTIFS($C$5:$C$6004,R123,$O$5:$O$6004,"CONCLUÍDA"))</f>
        <v>1</v>
      </c>
      <c r="X123" s="2" t="n">
        <f aca="false">IF(R123="","",COUNTIFS($C$5:$C$6004,R123,$O$5:$O$6004,"EM ANDAMENTO"))</f>
        <v>0</v>
      </c>
      <c r="Y123" s="2" t="n">
        <f aca="false">IF(R123="","",IF(COUNTIFS($C$5:$C$6004,R123,$O$5:$O$6004,"CONCLUÍDA",$N$5:$N$6004,"&gt;=-99")=0,"",_xlfn.MAXIFS($N$5:$N$6004,$C$5:$C$6004,R123,$O$5:$O$6004,"CONCLUÍDA")))</f>
        <v>3</v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9248418</v>
      </c>
      <c r="C124" s="4" t="s">
        <v>2634</v>
      </c>
      <c r="D124" s="4" t="s">
        <v>2648</v>
      </c>
      <c r="E124" s="4" t="s">
        <v>81</v>
      </c>
      <c r="F124" s="127" t="n">
        <v>45803</v>
      </c>
      <c r="G124" s="127" t="n">
        <v>45803</v>
      </c>
      <c r="H124" s="127" t="n">
        <v>46293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13</v>
      </c>
      <c r="N124" s="2" t="str">
        <f aca="false">IF(E124="","",IF(ISNUMBER(SEARCH("SUBSOLO",E124)),IFERROR(-VALUE(LEFT(E124,FIND("º",SUBSTITUTE(E124,"°","º"))-1)),-1),IF(LEFT(E124,6)="TÉRREO",0,IFERROR(VALUE(LEFT(E124,FIND("º",SUBSTITUTE(E124,"°","º"))-1)),""))))</f>
        <v/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2922</v>
      </c>
      <c r="S124" s="4" t="s">
        <v>162</v>
      </c>
      <c r="T124" s="4" t="s">
        <v>2923</v>
      </c>
      <c r="U124" s="4" t="s">
        <v>2613</v>
      </c>
      <c r="V124" s="2" t="n">
        <f aca="false">IF(R124="","",COUNTIF($C$5:$C$6004,R124))</f>
        <v>28</v>
      </c>
      <c r="W124" s="2" t="n">
        <f aca="false">IF(R124="","",COUNTIFS($C$5:$C$6004,R124,$O$5:$O$6004,"CONCLUÍDA"))</f>
        <v>28</v>
      </c>
      <c r="X124" s="2" t="n">
        <f aca="false">IF(R124="","",COUNTIFS($C$5:$C$6004,R124,$O$5:$O$6004,"EM ANDAMENTO"))</f>
        <v>0</v>
      </c>
      <c r="Y124" s="2" t="n">
        <f aca="false">IF(R124="","",IF(COUNTIFS($C$5:$C$6004,R124,$O$5:$O$6004,"CONCLUÍDA",$N$5:$N$6004,"&gt;=-99")=0,"",_xlfn.MAXIFS($N$5:$N$6004,$C$5:$C$6004,R124,$O$5:$O$6004,"CONCLUÍDA")))</f>
        <v>29</v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>Drywall 1ª face: concluído</v>
      </c>
    </row>
    <row r="125" customFormat="false" ht="15" hidden="false" customHeight="false" outlineLevel="0" collapsed="false">
      <c r="B125" s="4" t="n">
        <v>9248419</v>
      </c>
      <c r="C125" s="4" t="s">
        <v>2634</v>
      </c>
      <c r="D125" s="4" t="s">
        <v>2651</v>
      </c>
      <c r="E125" s="4" t="s">
        <v>81</v>
      </c>
      <c r="F125" s="127" t="n">
        <v>45804</v>
      </c>
      <c r="G125" s="127" t="n">
        <v>45812</v>
      </c>
      <c r="H125" s="127" t="n">
        <v>46293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13</v>
      </c>
      <c r="N125" s="2" t="str">
        <f aca="false">IF(E125="","",IF(ISNUMBER(SEARCH("SUBSOLO",E125)),IFERROR(-VALUE(LEFT(E125,FIND("º",SUBSTITUTE(E125,"°","º"))-1)),-1),IF(LEFT(E125,6)="TÉRREO",0,IFERROR(VALUE(LEFT(E125,FIND("º",SUBSTITUTE(E125,"°","º"))-1)),""))))</f>
        <v/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2924</v>
      </c>
      <c r="S125" s="4" t="s">
        <v>170</v>
      </c>
      <c r="T125" s="4" t="s">
        <v>2925</v>
      </c>
      <c r="U125" s="4" t="s">
        <v>2613</v>
      </c>
      <c r="V125" s="2" t="n">
        <f aca="false">IF(R125="","",COUNTIF($C$5:$C$6004,R125))</f>
        <v>33</v>
      </c>
      <c r="W125" s="2" t="n">
        <f aca="false">IF(R125="","",COUNTIFS($C$5:$C$6004,R125,$O$5:$O$6004,"CONCLUÍDA"))</f>
        <v>33</v>
      </c>
      <c r="X125" s="2" t="n">
        <f aca="false">IF(R125="","",COUNTIFS($C$5:$C$6004,R125,$O$5:$O$6004,"EM ANDAMENTO"))</f>
        <v>0</v>
      </c>
      <c r="Y125" s="2" t="n">
        <f aca="false">IF(R125="","",IF(COUNTIFS($C$5:$C$6004,R125,$O$5:$O$6004,"CONCLUÍDA",$N$5:$N$6004,"&gt;=-99")=0,"",_xlfn.MAXIFS($N$5:$N$6004,$C$5:$C$6004,R125,$O$5:$O$6004,"CONCLUÍDA")))</f>
        <v>29</v>
      </c>
      <c r="Z125" s="2" t="str">
        <f aca="false">IF(R125="","",IF(COUNTIFS($C$5:$C$6004,R125,$O$5:$O$6004,"EM ANDAMENTO",$N$5:$N$6004,"&gt;=-99")=0,"",_xlfn.MAXIFS($N$5:$N$6004,$C$5:$C$6004,R125,$O$5:$O$6004,"EM ANDAMENTO")))</f>
        <v/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>Distribuição hidrossanitária: concluído</v>
      </c>
    </row>
    <row r="126" customFormat="false" ht="15" hidden="false" customHeight="false" outlineLevel="0" collapsed="false">
      <c r="B126" s="4" t="n">
        <v>9248420</v>
      </c>
      <c r="C126" s="4" t="s">
        <v>2634</v>
      </c>
      <c r="D126" s="4" t="s">
        <v>2654</v>
      </c>
      <c r="E126" s="4" t="s">
        <v>81</v>
      </c>
      <c r="F126" s="127" t="n">
        <v>45813</v>
      </c>
      <c r="G126" s="127" t="n">
        <v>45813</v>
      </c>
      <c r="H126" s="127" t="n">
        <v>46293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13</v>
      </c>
      <c r="N126" s="2" t="str">
        <f aca="false">IF(E126="","",IF(ISNUMBER(SEARCH("SUBSOLO",E126)),IFERROR(-VALUE(LEFT(E126,FIND("º",SUBSTITUTE(E126,"°","º"))-1)),-1),IF(LEFT(E126,6)="TÉRREO",0,IFERROR(VALUE(LEFT(E126,FIND("º",SUBSTITUTE(E126,"°","º"))-1)),""))))</f>
        <v/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2926</v>
      </c>
      <c r="S126" s="4" t="s">
        <v>168</v>
      </c>
      <c r="T126" s="4" t="s">
        <v>2927</v>
      </c>
      <c r="U126" s="4" t="s">
        <v>2613</v>
      </c>
      <c r="V126" s="2" t="n">
        <f aca="false">IF(R126="","",COUNTIF($C$5:$C$6004,R126))</f>
        <v>35</v>
      </c>
      <c r="W126" s="2" t="n">
        <f aca="false">IF(R126="","",COUNTIFS($C$5:$C$6004,R126,$O$5:$O$6004,"CONCLUÍDA"))</f>
        <v>35</v>
      </c>
      <c r="X126" s="2" t="n">
        <f aca="false">IF(R126="","",COUNTIFS($C$5:$C$6004,R126,$O$5:$O$6004,"EM ANDAMENTO"))</f>
        <v>0</v>
      </c>
      <c r="Y126" s="2" t="n">
        <f aca="false">IF(R126="","",IF(COUNTIFS($C$5:$C$6004,R126,$O$5:$O$6004,"CONCLUÍDA",$N$5:$N$6004,"&gt;=-99")=0,"",_xlfn.MAXIFS($N$5:$N$6004,$C$5:$C$6004,R126,$O$5:$O$6004,"CONCLUÍDA")))</f>
        <v>29</v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>Distribuição elétrica / quadro: concluído</v>
      </c>
    </row>
    <row r="127" customFormat="false" ht="15" hidden="false" customHeight="false" outlineLevel="0" collapsed="false">
      <c r="B127" s="4" t="n">
        <v>9248421</v>
      </c>
      <c r="C127" s="4" t="s">
        <v>2634</v>
      </c>
      <c r="D127" s="4" t="s">
        <v>2756</v>
      </c>
      <c r="E127" s="4" t="s">
        <v>81</v>
      </c>
      <c r="F127" s="127" t="n">
        <v>45817</v>
      </c>
      <c r="G127" s="127" t="n">
        <v>45818</v>
      </c>
      <c r="H127" s="127" t="n">
        <v>46293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13</v>
      </c>
      <c r="N127" s="2" t="str">
        <f aca="false">IF(E127="","",IF(ISNUMBER(SEARCH("SUBSOLO",E127)),IFERROR(-VALUE(LEFT(E127,FIND("º",SUBSTITUTE(E127,"°","º"))-1)),-1),IF(LEFT(E127,6)="TÉRREO",0,IFERROR(VALUE(LEFT(E127,FIND("º",SUBSTITUTE(E127,"°","º"))-1)),""))))</f>
        <v/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2928</v>
      </c>
      <c r="S127" s="4" t="s">
        <v>176</v>
      </c>
      <c r="T127" s="4" t="s">
        <v>2929</v>
      </c>
      <c r="U127" s="4" t="s">
        <v>2613</v>
      </c>
      <c r="V127" s="2" t="n">
        <f aca="false">IF(R127="","",COUNTIF($C$5:$C$6004,R127))</f>
        <v>36</v>
      </c>
      <c r="W127" s="2" t="n">
        <f aca="false">IF(R127="","",COUNTIFS($C$5:$C$6004,R127,$O$5:$O$6004,"CONCLUÍDA"))</f>
        <v>33</v>
      </c>
      <c r="X127" s="2" t="n">
        <f aca="false">IF(R127="","",COUNTIFS($C$5:$C$6004,R127,$O$5:$O$6004,"EM ANDAMENTO"))</f>
        <v>1</v>
      </c>
      <c r="Y127" s="2" t="n">
        <f aca="false">IF(R127="","",IF(COUNTIFS($C$5:$C$6004,R127,$O$5:$O$6004,"CONCLUÍDA",$N$5:$N$6004,"&gt;=-99")=0,"",_xlfn.MAXIFS($N$5:$N$6004,$C$5:$C$6004,R127,$O$5:$O$6004,"CONCLUÍDA")))</f>
        <v>29</v>
      </c>
      <c r="Z127" s="2" t="n">
        <f aca="false">IF(R127="","",IF(COUNTIFS($C$5:$C$6004,R127,$O$5:$O$6004,"EM ANDAMENTO",$N$5:$N$6004,"&gt;=-99")=0,"",_xlfn.MAXIFS($N$5:$N$6004,$C$5:$C$6004,R127,$O$5:$O$6004,"EM ANDAMENTO")))</f>
        <v>2</v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>Infra de ar condicionado: até 29º pav. (restam serviços no 2º pav.)</v>
      </c>
    </row>
    <row r="128" customFormat="false" ht="15" hidden="false" customHeight="false" outlineLevel="0" collapsed="false">
      <c r="B128" s="4" t="n">
        <v>9248422</v>
      </c>
      <c r="C128" s="4" t="s">
        <v>2634</v>
      </c>
      <c r="D128" s="4" t="s">
        <v>2759</v>
      </c>
      <c r="E128" s="4" t="s">
        <v>81</v>
      </c>
      <c r="F128" s="127" t="n">
        <v>45819</v>
      </c>
      <c r="G128" s="127" t="n">
        <v>45819</v>
      </c>
      <c r="H128" s="127" t="n">
        <v>46293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13</v>
      </c>
      <c r="N128" s="2" t="str">
        <f aca="false">IF(E128="","",IF(ISNUMBER(SEARCH("SUBSOLO",E128)),IFERROR(-VALUE(LEFT(E128,FIND("º",SUBSTITUTE(E128,"°","º"))-1)),-1),IF(LEFT(E128,6)="TÉRREO",0,IFERROR(VALUE(LEFT(E128,FIND("º",SUBSTITUTE(E128,"°","º"))-1)),""))))</f>
        <v/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2930</v>
      </c>
      <c r="S128" s="4" t="s">
        <v>170</v>
      </c>
      <c r="T128" s="4" t="s">
        <v>2931</v>
      </c>
      <c r="U128" s="4" t="s">
        <v>2613</v>
      </c>
      <c r="V128" s="2" t="n">
        <f aca="false">IF(R128="","",COUNTIF($C$5:$C$6004,R128))</f>
        <v>28</v>
      </c>
      <c r="W128" s="2" t="n">
        <f aca="false">IF(R128="","",COUNTIFS($C$5:$C$6004,R128,$O$5:$O$6004,"CONCLUÍDA"))</f>
        <v>28</v>
      </c>
      <c r="X128" s="2" t="n">
        <f aca="false">IF(R128="","",COUNTIFS($C$5:$C$6004,R128,$O$5:$O$6004,"EM ANDAMENTO"))</f>
        <v>0</v>
      </c>
      <c r="Y128" s="2" t="n">
        <f aca="false">IF(R128="","",IF(COUNTIFS($C$5:$C$6004,R128,$O$5:$O$6004,"CONCLUÍDA",$N$5:$N$6004,"&gt;=-99")=0,"",_xlfn.MAXIFS($N$5:$N$6004,$C$5:$C$6004,R128,$O$5:$O$6004,"CONCLUÍDA")))</f>
        <v>29</v>
      </c>
      <c r="Z128" s="2" t="str">
        <f aca="false">IF(R128="","",IF(COUNTIFS($C$5:$C$6004,R128,$O$5:$O$6004,"EM ANDAMENTO",$N$5:$N$6004,"&gt;=-99")=0,"",_xlfn.MAXIFS($N$5:$N$6004,$C$5:$C$6004,R128,$O$5:$O$6004,"EM ANDAMENTO")))</f>
        <v/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>Gás parede: concluído</v>
      </c>
    </row>
    <row r="129" customFormat="false" ht="15" hidden="false" customHeight="false" outlineLevel="0" collapsed="false">
      <c r="B129" s="4" t="n">
        <v>9248423</v>
      </c>
      <c r="C129" s="4" t="s">
        <v>2634</v>
      </c>
      <c r="D129" s="4" t="s">
        <v>2932</v>
      </c>
      <c r="E129" s="4" t="s">
        <v>81</v>
      </c>
      <c r="F129" s="127" t="n">
        <v>45820</v>
      </c>
      <c r="G129" s="127" t="n">
        <v>45820</v>
      </c>
      <c r="H129" s="127" t="n">
        <v>46293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13</v>
      </c>
      <c r="N129" s="2" t="str">
        <f aca="false">IF(E129="","",IF(ISNUMBER(SEARCH("SUBSOLO",E129)),IFERROR(-VALUE(LEFT(E129,FIND("º",SUBSTITUTE(E129,"°","º"))-1)),-1),IF(LEFT(E129,6)="TÉRREO",0,IFERROR(VALUE(LEFT(E129,FIND("º",SUBSTITUTE(E129,"°","º"))-1)),""))))</f>
        <v/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2933</v>
      </c>
      <c r="S129" s="4" t="s">
        <v>170</v>
      </c>
      <c r="T129" s="4" t="s">
        <v>2934</v>
      </c>
      <c r="U129" s="4" t="s">
        <v>2613</v>
      </c>
      <c r="V129" s="2" t="n">
        <f aca="false">IF(R129="","",COUNTIF($C$5:$C$6004,R129))</f>
        <v>28</v>
      </c>
      <c r="W129" s="2" t="n">
        <f aca="false">IF(R129="","",COUNTIFS($C$5:$C$6004,R129,$O$5:$O$6004,"CONCLUÍDA"))</f>
        <v>28</v>
      </c>
      <c r="X129" s="2" t="n">
        <f aca="false">IF(R129="","",COUNTIFS($C$5:$C$6004,R129,$O$5:$O$6004,"EM ANDAMENTO"))</f>
        <v>0</v>
      </c>
      <c r="Y129" s="2" t="n">
        <f aca="false">IF(R129="","",IF(COUNTIFS($C$5:$C$6004,R129,$O$5:$O$6004,"CONCLUÍDA",$N$5:$N$6004,"&gt;=-99")=0,"",_xlfn.MAXIFS($N$5:$N$6004,$C$5:$C$6004,R129,$O$5:$O$6004,"CONCLUÍDA")))</f>
        <v>29</v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>Rede hidrossanitária: concluído</v>
      </c>
    </row>
    <row r="130" customFormat="false" ht="15" hidden="false" customHeight="false" outlineLevel="0" collapsed="false">
      <c r="B130" s="4" t="n">
        <v>24964431</v>
      </c>
      <c r="C130" s="4" t="s">
        <v>2637</v>
      </c>
      <c r="D130" s="4" t="s">
        <v>433</v>
      </c>
      <c r="E130" s="4" t="s">
        <v>81</v>
      </c>
      <c r="F130" s="127" t="n">
        <v>45789</v>
      </c>
      <c r="G130" s="127" t="n">
        <v>45902</v>
      </c>
      <c r="H130" s="127" t="n">
        <v>46293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16</v>
      </c>
      <c r="N130" s="2" t="str">
        <f aca="false">IF(E130="","",IF(ISNUMBER(SEARCH("SUBSOLO",E130)),IFERROR(-VALUE(LEFT(E130,FIND("º",SUBSTITUTE(E130,"°","º"))-1)),-1),IF(LEFT(E130,6)="TÉRREO",0,IFERROR(VALUE(LEFT(E130,FIND("º",SUBSTITUTE(E130,"°","º"))-1)),""))))</f>
        <v/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2935</v>
      </c>
      <c r="S130" s="4" t="s">
        <v>198</v>
      </c>
      <c r="T130" s="4" t="s">
        <v>2936</v>
      </c>
      <c r="U130" s="4" t="s">
        <v>2613</v>
      </c>
      <c r="V130" s="2" t="n">
        <f aca="false">IF(R130="","",COUNTIF($C$5:$C$6004,R130))</f>
        <v>52</v>
      </c>
      <c r="W130" s="2" t="n">
        <f aca="false">IF(R130="","",COUNTIFS($C$5:$C$6004,R130,$O$5:$O$6004,"CONCLUÍDA"))</f>
        <v>41</v>
      </c>
      <c r="X130" s="2" t="n">
        <f aca="false">IF(R130="","",COUNTIFS($C$5:$C$6004,R130,$O$5:$O$6004,"EM ANDAMENTO"))</f>
        <v>2</v>
      </c>
      <c r="Y130" s="2" t="n">
        <f aca="false">IF(R130="","",IF(COUNTIFS($C$5:$C$6004,R130,$O$5:$O$6004,"CONCLUÍDA",$N$5:$N$6004,"&gt;=-99")=0,"",_xlfn.MAXIFS($N$5:$N$6004,$C$5:$C$6004,R130,$O$5:$O$6004,"CONCLUÍDA")))</f>
        <v>28</v>
      </c>
      <c r="Z130" s="2" t="n">
        <f aca="false">IF(R130="","",IF(COUNTIFS($C$5:$C$6004,R130,$O$5:$O$6004,"EM ANDAMENTO",$N$5:$N$6004,"&gt;=-99")=0,"",_xlfn.MAXIFS($N$5:$N$6004,$C$5:$C$6004,R130,$O$5:$O$6004,"EM ANDAMENTO")))</f>
        <v>29</v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>Revestimentos porcelanato piso: até 28º pav., executando 29º pav.</v>
      </c>
    </row>
    <row r="131" customFormat="false" ht="15" hidden="false" customHeight="false" outlineLevel="0" collapsed="false">
      <c r="B131" s="4" t="n">
        <v>10711137</v>
      </c>
      <c r="C131" s="4" t="s">
        <v>2637</v>
      </c>
      <c r="D131" s="4" t="s">
        <v>2937</v>
      </c>
      <c r="E131" s="4" t="s">
        <v>81</v>
      </c>
      <c r="F131" s="127" t="n">
        <v>45789</v>
      </c>
      <c r="G131" s="127" t="n">
        <v>45790</v>
      </c>
      <c r="H131" s="127" t="n">
        <v>46293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16</v>
      </c>
      <c r="N131" s="2" t="str">
        <f aca="false">IF(E131="","",IF(ISNUMBER(SEARCH("SUBSOLO",E131)),IFERROR(-VALUE(LEFT(E131,FIND("º",SUBSTITUTE(E131,"°","º"))-1)),-1),IF(LEFT(E131,6)="TÉRREO",0,IFERROR(VALUE(LEFT(E131,FIND("º",SUBSTITUTE(E131,"°","º"))-1)),""))))</f>
        <v/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2938</v>
      </c>
      <c r="S131" s="4" t="s">
        <v>198</v>
      </c>
      <c r="T131" s="4" t="s">
        <v>2939</v>
      </c>
      <c r="U131" s="4" t="s">
        <v>2613</v>
      </c>
      <c r="V131" s="2" t="n">
        <f aca="false">IF(R131="","",COUNTIF($C$5:$C$6004,R131))</f>
        <v>39</v>
      </c>
      <c r="W131" s="2" t="n">
        <f aca="false">IF(R131="","",COUNTIFS($C$5:$C$6004,R131,$O$5:$O$6004,"CONCLUÍDA"))</f>
        <v>31</v>
      </c>
      <c r="X131" s="2" t="n">
        <f aca="false">IF(R131="","",COUNTIFS($C$5:$C$6004,R131,$O$5:$O$6004,"EM ANDAMENTO"))</f>
        <v>0</v>
      </c>
      <c r="Y131" s="2" t="n">
        <f aca="false">IF(R131="","",IF(COUNTIFS($C$5:$C$6004,R131,$O$5:$O$6004,"CONCLUÍDA",$N$5:$N$6004,"&gt;=-99")=0,"",_xlfn.MAXIFS($N$5:$N$6004,$C$5:$C$6004,R131,$O$5:$O$6004,"CONCLUÍDA")))</f>
        <v>29</v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>Revestimento porcelanato parede: até 29º pav.</v>
      </c>
    </row>
    <row r="132" customFormat="false" ht="15" hidden="false" customHeight="false" outlineLevel="0" collapsed="false">
      <c r="B132" s="4" t="n">
        <v>10711138</v>
      </c>
      <c r="C132" s="4" t="s">
        <v>2637</v>
      </c>
      <c r="D132" s="4" t="s">
        <v>2940</v>
      </c>
      <c r="E132" s="4" t="s">
        <v>81</v>
      </c>
      <c r="F132" s="127" t="n">
        <v>45789</v>
      </c>
      <c r="G132" s="127" t="n">
        <v>45790</v>
      </c>
      <c r="H132" s="127" t="n">
        <v>46293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16</v>
      </c>
      <c r="N132" s="2" t="str">
        <f aca="false">IF(E132="","",IF(ISNUMBER(SEARCH("SUBSOLO",E132)),IFERROR(-VALUE(LEFT(E132,FIND("º",SUBSTITUTE(E132,"°","º"))-1)),-1),IF(LEFT(E132,6)="TÉRREO",0,IFERROR(VALUE(LEFT(E132,FIND("º",SUBSTITUTE(E132,"°","º"))-1)),""))))</f>
        <v/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2941</v>
      </c>
      <c r="S132" s="4" t="s">
        <v>162</v>
      </c>
      <c r="T132" s="4" t="s">
        <v>2942</v>
      </c>
      <c r="U132" s="4" t="s">
        <v>2613</v>
      </c>
      <c r="V132" s="2" t="n">
        <f aca="false">IF(R132="","",COUNTIF($C$5:$C$6004,R132))</f>
        <v>28</v>
      </c>
      <c r="W132" s="2" t="n">
        <f aca="false">IF(R132="","",COUNTIFS($C$5:$C$6004,R132,$O$5:$O$6004,"CONCLUÍDA"))</f>
        <v>28</v>
      </c>
      <c r="X132" s="2" t="n">
        <f aca="false">IF(R132="","",COUNTIFS($C$5:$C$6004,R132,$O$5:$O$6004,"EM ANDAMENTO"))</f>
        <v>0</v>
      </c>
      <c r="Y132" s="2" t="n">
        <f aca="false">IF(R132="","",IF(COUNTIFS($C$5:$C$6004,R132,$O$5:$O$6004,"CONCLUÍDA",$N$5:$N$6004,"&gt;=-99")=0,"",_xlfn.MAXIFS($N$5:$N$6004,$C$5:$C$6004,R132,$O$5:$O$6004,"CONCLUÍDA")))</f>
        <v>29</v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>Drywall 2ª face: concluído</v>
      </c>
    </row>
    <row r="133" customFormat="false" ht="15" hidden="false" customHeight="false" outlineLevel="0" collapsed="false">
      <c r="B133" s="4" t="n">
        <v>10711139</v>
      </c>
      <c r="C133" s="4" t="s">
        <v>2637</v>
      </c>
      <c r="D133" s="4" t="s">
        <v>2943</v>
      </c>
      <c r="E133" s="4" t="s">
        <v>81</v>
      </c>
      <c r="F133" s="127" t="n">
        <v>45789</v>
      </c>
      <c r="G133" s="127" t="n">
        <v>45790</v>
      </c>
      <c r="H133" s="127" t="n">
        <v>46293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16</v>
      </c>
      <c r="N133" s="2" t="str">
        <f aca="false">IF(E133="","",IF(ISNUMBER(SEARCH("SUBSOLO",E133)),IFERROR(-VALUE(LEFT(E133,FIND("º",SUBSTITUTE(E133,"°","º"))-1)),-1),IF(LEFT(E133,6)="TÉRREO",0,IFERROR(VALUE(LEFT(E133,FIND("º",SUBSTITUTE(E133,"°","º"))-1)),""))))</f>
        <v/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208</v>
      </c>
      <c r="S133" s="4" t="s">
        <v>207</v>
      </c>
      <c r="T133" s="4" t="s">
        <v>2944</v>
      </c>
      <c r="U133" s="4" t="s">
        <v>2613</v>
      </c>
      <c r="V133" s="2" t="n">
        <f aca="false">IF(R133="","",COUNTIF($C$5:$C$6004,R133))</f>
        <v>52</v>
      </c>
      <c r="W133" s="2" t="n">
        <f aca="false">IF(R133="","",COUNTIFS($C$5:$C$6004,R133,$O$5:$O$6004,"CONCLUÍDA"))</f>
        <v>34</v>
      </c>
      <c r="X133" s="2" t="n">
        <f aca="false">IF(R133="","",COUNTIFS($C$5:$C$6004,R133,$O$5:$O$6004,"EM ANDAMENTO"))</f>
        <v>1</v>
      </c>
      <c r="Y133" s="2" t="n">
        <f aca="false">IF(R133="","",IF(COUNTIFS($C$5:$C$6004,R133,$O$5:$O$6004,"CONCLUÍDA",$N$5:$N$6004,"&gt;=-99")=0,"",_xlfn.MAXIFS($N$5:$N$6004,$C$5:$C$6004,R133,$O$5:$O$6004,"CONCLUÍDA")))</f>
        <v>25</v>
      </c>
      <c r="Z133" s="2" t="n">
        <f aca="false">IF(R133="","",IF(COUNTIFS($C$5:$C$6004,R133,$O$5:$O$6004,"EM ANDAMENTO",$N$5:$N$6004,"&gt;=-99")=0,"",_xlfn.MAXIFS($N$5:$N$6004,$C$5:$C$6004,R133,$O$5:$O$6004,"EM ANDAMENTO")))</f>
        <v>26</v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>Forro: até 25º pav., executando 26º pav.</v>
      </c>
    </row>
    <row r="134" customFormat="false" ht="15" hidden="false" customHeight="false" outlineLevel="0" collapsed="false">
      <c r="B134" s="4" t="n">
        <v>10711140</v>
      </c>
      <c r="C134" s="4" t="s">
        <v>2637</v>
      </c>
      <c r="D134" s="4" t="s">
        <v>2945</v>
      </c>
      <c r="E134" s="4" t="s">
        <v>81</v>
      </c>
      <c r="F134" s="127" t="n">
        <v>45789</v>
      </c>
      <c r="G134" s="127" t="n">
        <v>45790</v>
      </c>
      <c r="H134" s="127" t="n">
        <v>46293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16</v>
      </c>
      <c r="N134" s="2" t="str">
        <f aca="false">IF(E134="","",IF(ISNUMBER(SEARCH("SUBSOLO",E134)),IFERROR(-VALUE(LEFT(E134,FIND("º",SUBSTITUTE(E134,"°","º"))-1)),-1),IF(LEFT(E134,6)="TÉRREO",0,IFERROR(VALUE(LEFT(E134,FIND("º",SUBSTITUTE(E134,"°","º"))-1)),""))))</f>
        <v/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166</v>
      </c>
      <c r="S134" s="4" t="s">
        <v>165</v>
      </c>
      <c r="T134" s="4" t="s">
        <v>2946</v>
      </c>
      <c r="U134" s="4" t="s">
        <v>2613</v>
      </c>
      <c r="V134" s="2" t="n">
        <f aca="false">IF(R134="","",COUNTIF($C$5:$C$6004,R134))</f>
        <v>33</v>
      </c>
      <c r="W134" s="2" t="n">
        <f aca="false">IF(R134="","",COUNTIFS($C$5:$C$6004,R134,$O$5:$O$6004,"CONCLUÍDA"))</f>
        <v>29</v>
      </c>
      <c r="X134" s="2" t="n">
        <f aca="false">IF(R134="","",COUNTIFS($C$5:$C$6004,R134,$O$5:$O$6004,"EM ANDAMENTO"))</f>
        <v>0</v>
      </c>
      <c r="Y134" s="2" t="n">
        <f aca="false">IF(R134="","",IF(COUNTIFS($C$5:$C$6004,R134,$O$5:$O$6004,"CONCLUÍDA",$N$5:$N$6004,"&gt;=-99")=0,"",_xlfn.MAXIFS($N$5:$N$6004,$C$5:$C$6004,R134,$O$5:$O$6004,"CONCLUÍDA")))</f>
        <v>29</v>
      </c>
      <c r="Z134" s="2" t="str">
        <f aca="false">IF(R134="","",IF(COUNTIFS($C$5:$C$6004,R134,$O$5:$O$6004,"EM ANDAMENTO",$N$5:$N$6004,"&gt;=-99")=0,"",_xlfn.MAXIFS($N$5:$N$6004,$C$5:$C$6004,R134,$O$5:$O$6004,"EM ANDAMENTO")))</f>
        <v/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>Impermeabilização: até 29º pav.</v>
      </c>
    </row>
    <row r="135" customFormat="false" ht="15" hidden="false" customHeight="false" outlineLevel="0" collapsed="false">
      <c r="B135" s="4" t="n">
        <v>10711141</v>
      </c>
      <c r="C135" s="4" t="s">
        <v>2637</v>
      </c>
      <c r="D135" s="4" t="s">
        <v>2947</v>
      </c>
      <c r="E135" s="4" t="s">
        <v>81</v>
      </c>
      <c r="F135" s="127" t="n">
        <v>45789</v>
      </c>
      <c r="G135" s="127" t="n">
        <v>45790</v>
      </c>
      <c r="H135" s="127" t="n">
        <v>46293</v>
      </c>
      <c r="I135" s="4" t="n">
        <v>100</v>
      </c>
      <c r="J135" s="4" t="n">
        <v>100</v>
      </c>
      <c r="K135" s="4" t="n">
        <v>100</v>
      </c>
      <c r="M135" s="2" t="str">
        <f aca="false">IF(C135="","",IFERROR(INDEX($S$5:$S$304,MATCH(C135,$R$5:$R$304,0))&amp;"","?"))</f>
        <v>16</v>
      </c>
      <c r="N135" s="2" t="str">
        <f aca="false">IF(E135="","",IF(ISNUMBER(SEARCH("SUBSOLO",E135)),IFERROR(-VALUE(LEFT(E135,FIND("º",SUBSTITUTE(E135,"°","º"))-1)),-1),IF(LEFT(E135,6)="TÉRREO",0,IFERROR(VALUE(LEFT(E135,FIND("º",SUBSTITUTE(E135,"°","º"))-1)),""))))</f>
        <v/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2948</v>
      </c>
      <c r="S135" s="4" t="s">
        <v>182</v>
      </c>
      <c r="T135" s="4" t="s">
        <v>2949</v>
      </c>
      <c r="U135" s="4" t="s">
        <v>2613</v>
      </c>
      <c r="V135" s="2" t="n">
        <f aca="false">IF(R135="","",COUNTIF($C$5:$C$6004,R135))</f>
        <v>26</v>
      </c>
      <c r="W135" s="2" t="n">
        <f aca="false">IF(R135="","",COUNTIFS($C$5:$C$6004,R135,$O$5:$O$6004,"CONCLUÍDA"))</f>
        <v>12</v>
      </c>
      <c r="X135" s="2" t="n">
        <f aca="false">IF(R135="","",COUNTIFS($C$5:$C$6004,R135,$O$5:$O$6004,"EM ANDAMENTO"))</f>
        <v>1</v>
      </c>
      <c r="Y135" s="2" t="n">
        <f aca="false">IF(R135="","",IF(COUNTIFS($C$5:$C$6004,R135,$O$5:$O$6004,"CONCLUÍDA",$N$5:$N$6004,"&gt;=-99")=0,"",_xlfn.MAXIFS($N$5:$N$6004,$C$5:$C$6004,R135,$O$5:$O$6004,"CONCLUÍDA")))</f>
        <v>2</v>
      </c>
      <c r="Z135" s="2" t="n">
        <f aca="false">IF(R135="","",IF(COUNTIFS($C$5:$C$6004,R135,$O$5:$O$6004,"EM ANDAMENTO",$N$5:$N$6004,"&gt;=-99")=0,"",_xlfn.MAXIFS($N$5:$N$6004,$C$5:$C$6004,R135,$O$5:$O$6004,"EM ANDAMENTO")))</f>
        <v>2</v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>Esquadria de aluminio: até 2º pav. (restam serviços no 2º pav.)</v>
      </c>
    </row>
    <row r="136" customFormat="false" ht="15" hidden="false" customHeight="false" outlineLevel="0" collapsed="false">
      <c r="B136" s="4" t="n">
        <v>10711142</v>
      </c>
      <c r="C136" s="4" t="s">
        <v>2637</v>
      </c>
      <c r="D136" s="4" t="s">
        <v>2950</v>
      </c>
      <c r="E136" s="4" t="s">
        <v>81</v>
      </c>
      <c r="F136" s="127" t="n">
        <v>45789</v>
      </c>
      <c r="G136" s="127" t="n">
        <v>45790</v>
      </c>
      <c r="H136" s="127" t="n">
        <v>46293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16</v>
      </c>
      <c r="N136" s="2" t="str">
        <f aca="false">IF(E136="","",IF(ISNUMBER(SEARCH("SUBSOLO",E136)),IFERROR(-VALUE(LEFT(E136,FIND("º",SUBSTITUTE(E136,"°","º"))-1)),-1),IF(LEFT(E136,6)="TÉRREO",0,IFERROR(VALUE(LEFT(E136,FIND("º",SUBSTITUTE(E136,"°","º"))-1)),""))))</f>
        <v/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2951</v>
      </c>
      <c r="S136" s="4" t="s">
        <v>204</v>
      </c>
      <c r="T136" s="4" t="s">
        <v>2952</v>
      </c>
      <c r="U136" s="4" t="s">
        <v>2613</v>
      </c>
      <c r="V136" s="2" t="n">
        <f aca="false">IF(R136="","",COUNTIF($C$5:$C$6004,R136))</f>
        <v>6</v>
      </c>
      <c r="W136" s="2" t="n">
        <f aca="false">IF(R136="","",COUNTIFS($C$5:$C$6004,R136,$O$5:$O$6004,"CONCLUÍDA"))</f>
        <v>5</v>
      </c>
      <c r="X136" s="2" t="n">
        <f aca="false">IF(R136="","",COUNTIFS($C$5:$C$6004,R136,$O$5:$O$6004,"EM ANDAMENTO"))</f>
        <v>0</v>
      </c>
      <c r="Y136" s="2" t="n">
        <f aca="false">IF(R136="","",IF(COUNTIFS($C$5:$C$6004,R136,$O$5:$O$6004,"CONCLUÍDA",$N$5:$N$6004,"&gt;=-99")=0,"",_xlfn.MAXIFS($N$5:$N$6004,$C$5:$C$6004,R136,$O$5:$O$6004,"CONCLUÍDA")))</f>
        <v>-1</v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>Textura: até 1º subsolo</v>
      </c>
    </row>
    <row r="137" customFormat="false" ht="15" hidden="false" customHeight="false" outlineLevel="0" collapsed="false">
      <c r="B137" s="4" t="n">
        <v>10711143</v>
      </c>
      <c r="C137" s="4" t="s">
        <v>2637</v>
      </c>
      <c r="D137" s="4" t="s">
        <v>2953</v>
      </c>
      <c r="E137" s="4" t="s">
        <v>81</v>
      </c>
      <c r="F137" s="127" t="n">
        <v>45789</v>
      </c>
      <c r="G137" s="127" t="n">
        <v>45790</v>
      </c>
      <c r="H137" s="127" t="n">
        <v>46293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16</v>
      </c>
      <c r="N137" s="2" t="str">
        <f aca="false">IF(E137="","",IF(ISNUMBER(SEARCH("SUBSOLO",E137)),IFERROR(-VALUE(LEFT(E137,FIND("º",SUBSTITUTE(E137,"°","º"))-1)),-1),IF(LEFT(E137,6)="TÉRREO",0,IFERROR(VALUE(LEFT(E137,FIND("º",SUBSTITUTE(E137,"°","º"))-1)),""))))</f>
        <v/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214</v>
      </c>
      <c r="S137" s="4" t="s">
        <v>213</v>
      </c>
      <c r="T137" s="4" t="s">
        <v>2954</v>
      </c>
      <c r="U137" s="4" t="s">
        <v>2613</v>
      </c>
      <c r="V137" s="2" t="n">
        <f aca="false">IF(R137="","",COUNTIF($C$5:$C$6004,R137))</f>
        <v>16</v>
      </c>
      <c r="W137" s="2" t="n">
        <f aca="false">IF(R137="","",COUNTIFS($C$5:$C$6004,R137,$O$5:$O$6004,"CONCLUÍDA"))</f>
        <v>9</v>
      </c>
      <c r="X137" s="2" t="n">
        <f aca="false">IF(R137="","",COUNTIFS($C$5:$C$6004,R137,$O$5:$O$6004,"EM ANDAMENTO"))</f>
        <v>1</v>
      </c>
      <c r="Y137" s="2" t="n">
        <f aca="false">IF(R137="","",IF(COUNTIFS($C$5:$C$6004,R137,$O$5:$O$6004,"CONCLUÍDA",$N$5:$N$6004,"&gt;=-99")=0,"",_xlfn.MAXIFS($N$5:$N$6004,$C$5:$C$6004,R137,$O$5:$O$6004,"CONCLUÍDA")))</f>
        <v>-1</v>
      </c>
      <c r="Z137" s="2" t="n">
        <f aca="false">IF(R137="","",IF(COUNTIFS($C$5:$C$6004,R137,$O$5:$O$6004,"EM ANDAMENTO",$N$5:$N$6004,"&gt;=-99")=0,"",_xlfn.MAXIFS($N$5:$N$6004,$C$5:$C$6004,R137,$O$5:$O$6004,"EM ANDAMENTO")))</f>
        <v>-4</v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>Pintura: até 1º subsolo (restam serviços no 4º subsolo)</v>
      </c>
    </row>
    <row r="138" customFormat="false" ht="15" hidden="false" customHeight="false" outlineLevel="0" collapsed="false">
      <c r="B138" s="4" t="n">
        <v>10711144</v>
      </c>
      <c r="C138" s="4" t="s">
        <v>2637</v>
      </c>
      <c r="D138" s="4" t="s">
        <v>2955</v>
      </c>
      <c r="E138" s="4" t="s">
        <v>81</v>
      </c>
      <c r="F138" s="127" t="n">
        <v>45789</v>
      </c>
      <c r="G138" s="127" t="n">
        <v>45790</v>
      </c>
      <c r="H138" s="127" t="n">
        <v>46293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16</v>
      </c>
      <c r="N138" s="2" t="str">
        <f aca="false">IF(E138="","",IF(ISNUMBER(SEARCH("SUBSOLO",E138)),IFERROR(-VALUE(LEFT(E138,FIND("º",SUBSTITUTE(E138,"°","º"))-1)),-1),IF(LEFT(E138,6)="TÉRREO",0,IFERROR(VALUE(LEFT(E138,FIND("º",SUBSTITUTE(E138,"°","º"))-1)),""))))</f>
        <v/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2956</v>
      </c>
      <c r="S138" s="4" t="s">
        <v>162</v>
      </c>
      <c r="T138" s="4" t="s">
        <v>2957</v>
      </c>
      <c r="U138" s="4" t="s">
        <v>2613</v>
      </c>
      <c r="V138" s="2" t="n">
        <f aca="false">IF(R138="","",COUNTIF($C$5:$C$6004,R138))</f>
        <v>13</v>
      </c>
      <c r="W138" s="2" t="n">
        <f aca="false">IF(R138="","",COUNTIFS($C$5:$C$6004,R138,$O$5:$O$6004,"CONCLUÍDA"))</f>
        <v>9</v>
      </c>
      <c r="X138" s="2" t="n">
        <f aca="false">IF(R138="","",COUNTIFS($C$5:$C$6004,R138,$O$5:$O$6004,"EM ANDAMENTO"))</f>
        <v>1</v>
      </c>
      <c r="Y138" s="2" t="n">
        <f aca="false">IF(R138="","",IF(COUNTIFS($C$5:$C$6004,R138,$O$5:$O$6004,"CONCLUÍDA",$N$5:$N$6004,"&gt;=-99")=0,"",_xlfn.MAXIFS($N$5:$N$6004,$C$5:$C$6004,R138,$O$5:$O$6004,"CONCLUÍDA")))</f>
        <v>3</v>
      </c>
      <c r="Z138" s="2" t="n">
        <f aca="false">IF(R138="","",IF(COUNTIFS($C$5:$C$6004,R138,$O$5:$O$6004,"EM ANDAMENTO",$N$5:$N$6004,"&gt;=-99")=0,"",_xlfn.MAXIFS($N$5:$N$6004,$C$5:$C$6004,R138,$O$5:$O$6004,"EM ANDAMENTO")))</f>
        <v>2</v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>Drywall: até 3º pav. (restam serviços no 2º pav.)</v>
      </c>
    </row>
    <row r="139" customFormat="false" ht="15" hidden="false" customHeight="false" outlineLevel="0" collapsed="false">
      <c r="B139" s="4" t="n">
        <v>10711145</v>
      </c>
      <c r="C139" s="4" t="s">
        <v>2637</v>
      </c>
      <c r="D139" s="4" t="s">
        <v>2958</v>
      </c>
      <c r="E139" s="4" t="s">
        <v>81</v>
      </c>
      <c r="F139" s="127" t="n">
        <v>45789</v>
      </c>
      <c r="G139" s="127" t="n">
        <v>45790</v>
      </c>
      <c r="H139" s="127" t="n">
        <v>46293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16</v>
      </c>
      <c r="N139" s="2" t="str">
        <f aca="false">IF(E139="","",IF(ISNUMBER(SEARCH("SUBSOLO",E139)),IFERROR(-VALUE(LEFT(E139,FIND("º",SUBSTITUTE(E139,"°","º"))-1)),-1),IF(LEFT(E139,6)="TÉRREO",0,IFERROR(VALUE(LEFT(E139,FIND("º",SUBSTITUTE(E139,"°","º"))-1)),""))))</f>
        <v/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2959</v>
      </c>
      <c r="S139" s="4" t="s">
        <v>170</v>
      </c>
      <c r="T139" s="4" t="s">
        <v>2960</v>
      </c>
      <c r="U139" s="4" t="s">
        <v>2620</v>
      </c>
      <c r="V139" s="2" t="n">
        <f aca="false">IF(R139="","",COUNTIF($C$5:$C$6004,R139))</f>
        <v>5</v>
      </c>
      <c r="W139" s="2" t="n">
        <f aca="false">IF(R139="","",COUNTIFS($C$5:$C$6004,R139,$O$5:$O$6004,"CONCLUÍDA"))</f>
        <v>5</v>
      </c>
      <c r="X139" s="2" t="n">
        <f aca="false">IF(R139="","",COUNTIFS($C$5:$C$6004,R139,$O$5:$O$6004,"EM ANDAMENTO"))</f>
        <v>0</v>
      </c>
      <c r="Y139" s="2" t="n">
        <f aca="false">IF(R139="","",IF(COUNTIFS($C$5:$C$6004,R139,$O$5:$O$6004,"CONCLUÍDA",$N$5:$N$6004,"&gt;=-99")=0,"",_xlfn.MAXIFS($N$5:$N$6004,$C$5:$C$6004,R139,$O$5:$O$6004,"CONCLUÍDA")))</f>
        <v>3</v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10711146</v>
      </c>
      <c r="C140" s="4" t="s">
        <v>2637</v>
      </c>
      <c r="D140" s="4" t="s">
        <v>2961</v>
      </c>
      <c r="E140" s="4" t="s">
        <v>81</v>
      </c>
      <c r="F140" s="127" t="n">
        <v>45789</v>
      </c>
      <c r="G140" s="127" t="n">
        <v>45790</v>
      </c>
      <c r="H140" s="127" t="n">
        <v>46293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16</v>
      </c>
      <c r="N140" s="2" t="str">
        <f aca="false">IF(E140="","",IF(ISNUMBER(SEARCH("SUBSOLO",E140)),IFERROR(-VALUE(LEFT(E140,FIND("º",SUBSTITUTE(E140,"°","º"))-1)),-1),IF(LEFT(E140,6)="TÉRREO",0,IFERROR(VALUE(LEFT(E140,FIND("º",SUBSTITUTE(E140,"°","º"))-1)),""))))</f>
        <v/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2962</v>
      </c>
      <c r="S140" s="4" t="s">
        <v>210</v>
      </c>
      <c r="T140" s="4" t="s">
        <v>2963</v>
      </c>
      <c r="U140" s="4" t="s">
        <v>2613</v>
      </c>
      <c r="V140" s="2" t="n">
        <f aca="false">IF(R140="","",COUNTIF($C$5:$C$6004,R140))</f>
        <v>35</v>
      </c>
      <c r="W140" s="2" t="n">
        <f aca="false">IF(R140="","",COUNTIFS($C$5:$C$6004,R140,$O$5:$O$6004,"CONCLUÍDA"))</f>
        <v>2</v>
      </c>
      <c r="X140" s="2" t="n">
        <f aca="false">IF(R140="","",COUNTIFS($C$5:$C$6004,R140,$O$5:$O$6004,"EM ANDAMENTO"))</f>
        <v>0</v>
      </c>
      <c r="Y140" s="2" t="n">
        <f aca="false">IF(R140="","",IF(COUNTIFS($C$5:$C$6004,R140,$O$5:$O$6004,"CONCLUÍDA",$N$5:$N$6004,"&gt;=-99")=0,"",_xlfn.MAXIFS($N$5:$N$6004,$C$5:$C$6004,R140,$O$5:$O$6004,"CONCLUÍDA")))</f>
        <v>-2</v>
      </c>
      <c r="Z140" s="2" t="str">
        <f aca="false">IF(R140="","",IF(COUNTIFS($C$5:$C$6004,R140,$O$5:$O$6004,"EM ANDAMENTO",$N$5:$N$6004,"&gt;=-99")=0,"",_xlfn.MAXIFS($N$5:$N$6004,$C$5:$C$6004,R140,$O$5:$O$6004,"EM ANDAMENTO")))</f>
        <v/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>Louças: até 2º subsolo</v>
      </c>
    </row>
    <row r="141" customFormat="false" ht="15" hidden="false" customHeight="false" outlineLevel="0" collapsed="false">
      <c r="B141" s="4" t="n">
        <v>10711147</v>
      </c>
      <c r="C141" s="4" t="s">
        <v>2637</v>
      </c>
      <c r="D141" s="4" t="s">
        <v>2964</v>
      </c>
      <c r="E141" s="4" t="s">
        <v>81</v>
      </c>
      <c r="F141" s="127" t="n">
        <v>45789</v>
      </c>
      <c r="G141" s="127" t="n">
        <v>45790</v>
      </c>
      <c r="H141" s="127" t="n">
        <v>46293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16</v>
      </c>
      <c r="N141" s="2" t="str">
        <f aca="false">IF(E141="","",IF(ISNUMBER(SEARCH("SUBSOLO",E141)),IFERROR(-VALUE(LEFT(E141,FIND("º",SUBSTITUTE(E141,"°","º"))-1)),-1),IF(LEFT(E141,6)="TÉRREO",0,IFERROR(VALUE(LEFT(E141,FIND("º",SUBSTITUTE(E141,"°","º"))-1)),""))))</f>
        <v/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2965</v>
      </c>
      <c r="S141" s="4" t="s">
        <v>168</v>
      </c>
      <c r="T141" s="4" t="s">
        <v>2966</v>
      </c>
      <c r="U141" s="4" t="s">
        <v>2613</v>
      </c>
      <c r="V141" s="2" t="n">
        <f aca="false">IF(R141="","",COUNTIF($C$5:$C$6004,R141))</f>
        <v>57</v>
      </c>
      <c r="W141" s="2" t="n">
        <f aca="false">IF(R141="","",COUNTIFS($C$5:$C$6004,R141,$O$5:$O$6004,"CONCLUÍDA"))</f>
        <v>12</v>
      </c>
      <c r="X141" s="2" t="n">
        <f aca="false">IF(R141="","",COUNTIFS($C$5:$C$6004,R141,$O$5:$O$6004,"EM ANDAMENTO"))</f>
        <v>1</v>
      </c>
      <c r="Y141" s="2" t="n">
        <f aca="false">IF(R141="","",IF(COUNTIFS($C$5:$C$6004,R141,$O$5:$O$6004,"CONCLUÍDA",$N$5:$N$6004,"&gt;=-99")=0,"",_xlfn.MAXIFS($N$5:$N$6004,$C$5:$C$6004,R141,$O$5:$O$6004,"CONCLUÍDA")))</f>
        <v>2</v>
      </c>
      <c r="Z141" s="2" t="n">
        <f aca="false">IF(R141="","",IF(COUNTIFS($C$5:$C$6004,R141,$O$5:$O$6004,"EM ANDAMENTO",$N$5:$N$6004,"&gt;=-99")=0,"",_xlfn.MAXIFS($N$5:$N$6004,$C$5:$C$6004,R141,$O$5:$O$6004,"EM ANDAMENTO")))</f>
        <v>-3</v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>Acabamentos elétricos: até 2º pav. (restam serviços no 3º subsolo)</v>
      </c>
    </row>
    <row r="142" customFormat="false" ht="15" hidden="false" customHeight="false" outlineLevel="0" collapsed="false">
      <c r="B142" s="4" t="n">
        <v>10711148</v>
      </c>
      <c r="C142" s="4" t="s">
        <v>2637</v>
      </c>
      <c r="D142" s="4" t="s">
        <v>2967</v>
      </c>
      <c r="E142" s="4" t="s">
        <v>81</v>
      </c>
      <c r="F142" s="127" t="n">
        <v>45789</v>
      </c>
      <c r="G142" s="127" t="n">
        <v>45790</v>
      </c>
      <c r="H142" s="127" t="n">
        <v>46293</v>
      </c>
      <c r="I142" s="4" t="n">
        <v>100</v>
      </c>
      <c r="J142" s="4" t="n">
        <v>100</v>
      </c>
      <c r="K142" s="4" t="n">
        <v>100</v>
      </c>
      <c r="M142" s="2" t="str">
        <f aca="false">IF(C142="","",IFERROR(INDEX($S$5:$S$304,MATCH(C142,$R$5:$R$304,0))&amp;"","?"))</f>
        <v>16</v>
      </c>
      <c r="N142" s="2" t="str">
        <f aca="false">IF(E142="","",IF(ISNUMBER(SEARCH("SUBSOLO",E142)),IFERROR(-VALUE(LEFT(E142,FIND("º",SUBSTITUTE(E142,"°","º"))-1)),-1),IF(LEFT(E142,6)="TÉRREO",0,IFERROR(VALUE(LEFT(E142,FIND("º",SUBSTITUTE(E142,"°","º"))-1)),""))))</f>
        <v/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2968</v>
      </c>
      <c r="S142" s="4" t="s">
        <v>204</v>
      </c>
      <c r="T142" s="4" t="s">
        <v>2969</v>
      </c>
      <c r="U142" s="4" t="s">
        <v>2613</v>
      </c>
      <c r="V142" s="2" t="n">
        <f aca="false">IF(R142="","",COUNTIF($C$5:$C$6004,R142))</f>
        <v>20</v>
      </c>
      <c r="W142" s="2" t="n">
        <f aca="false">IF(R142="","",COUNTIFS($C$5:$C$6004,R142,$O$5:$O$6004,"CONCLUÍDA"))</f>
        <v>18</v>
      </c>
      <c r="X142" s="2" t="n">
        <f aca="false">IF(R142="","",COUNTIFS($C$5:$C$6004,R142,$O$5:$O$6004,"EM ANDAMENTO"))</f>
        <v>2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>Reboco de fachada - fase 1: 18 de 20 concluídas</v>
      </c>
    </row>
    <row r="143" customFormat="false" ht="15" hidden="false" customHeight="false" outlineLevel="0" collapsed="false">
      <c r="B143" s="4" t="n">
        <v>10711149</v>
      </c>
      <c r="C143" s="4" t="s">
        <v>2637</v>
      </c>
      <c r="D143" s="4" t="s">
        <v>2970</v>
      </c>
      <c r="E143" s="4" t="s">
        <v>81</v>
      </c>
      <c r="F143" s="127" t="n">
        <v>45789</v>
      </c>
      <c r="G143" s="127" t="n">
        <v>45790</v>
      </c>
      <c r="H143" s="127" t="n">
        <v>46293</v>
      </c>
      <c r="I143" s="4" t="n">
        <v>100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str">
        <f aca="false">IF(E143="","",IF(ISNUMBER(SEARCH("SUBSOLO",E143)),IFERROR(-VALUE(LEFT(E143,FIND("º",SUBSTITUTE(E143,"°","º"))-1)),-1),IF(LEFT(E143,6)="TÉRREO",0,IFERROR(VALUE(LEFT(E143,FIND("º",SUBSTITUTE(E143,"°","º"))-1)),""))))</f>
        <v/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2971</v>
      </c>
      <c r="S143" s="4" t="s">
        <v>219</v>
      </c>
      <c r="T143" s="4" t="s">
        <v>2972</v>
      </c>
      <c r="U143" s="4" t="s">
        <v>2613</v>
      </c>
      <c r="V143" s="2" t="n">
        <f aca="false">IF(R143="","",COUNTIF($C$5:$C$6004,R143))</f>
        <v>72</v>
      </c>
      <c r="W143" s="2" t="n">
        <f aca="false">IF(R143="","",COUNTIFS($C$5:$C$6004,R143,$O$5:$O$6004,"CONCLUÍDA"))</f>
        <v>17</v>
      </c>
      <c r="X143" s="2" t="n">
        <f aca="false">IF(R143="","",COUNTIFS($C$5:$C$6004,R143,$O$5:$O$6004,"EM ANDAMENTO"))</f>
        <v>0</v>
      </c>
      <c r="Y143" s="2" t="n">
        <f aca="false">IF(R143="","",IF(COUNTIFS($C$5:$C$6004,R143,$O$5:$O$6004,"CONCLUÍDA",$N$5:$N$6004,"&gt;=-99")=0,"",_xlfn.MAXIFS($N$5:$N$6004,$C$5:$C$6004,R143,$O$5:$O$6004,"CONCLUÍDA")))</f>
        <v>2</v>
      </c>
      <c r="Z143" s="2" t="str">
        <f aca="false">IF(R143="","",IF(COUNTIFS($C$5:$C$6004,R143,$O$5:$O$6004,"EM ANDAMENTO",$N$5:$N$6004,"&gt;=-99")=0,"",_xlfn.MAXIFS($N$5:$N$6004,$C$5:$C$6004,R143,$O$5:$O$6004,"EM ANDAMENTO")))</f>
        <v/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>Limpeza fina: até 2º pav.</v>
      </c>
    </row>
    <row r="144" customFormat="false" ht="15" hidden="false" customHeight="false" outlineLevel="0" collapsed="false">
      <c r="B144" s="4" t="n">
        <v>10711150</v>
      </c>
      <c r="C144" s="4" t="s">
        <v>2637</v>
      </c>
      <c r="D144" s="4" t="s">
        <v>2973</v>
      </c>
      <c r="E144" s="4" t="s">
        <v>81</v>
      </c>
      <c r="F144" s="127" t="n">
        <v>45789</v>
      </c>
      <c r="G144" s="127" t="n">
        <v>45790</v>
      </c>
      <c r="H144" s="127" t="n">
        <v>46293</v>
      </c>
      <c r="I144" s="4" t="n">
        <v>100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str">
        <f aca="false">IF(E144="","",IF(ISNUMBER(SEARCH("SUBSOLO",E144)),IFERROR(-VALUE(LEFT(E144,FIND("º",SUBSTITUTE(E144,"°","º"))-1)),-1),IF(LEFT(E144,6)="TÉRREO",0,IFERROR(VALUE(LEFT(E144,FIND("º",SUBSTITUTE(E144,"°","º"))-1)),""))))</f>
        <v/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2974</v>
      </c>
      <c r="S144" s="4" t="s">
        <v>170</v>
      </c>
      <c r="T144" s="4" t="s">
        <v>2975</v>
      </c>
      <c r="U144" s="4" t="s">
        <v>2620</v>
      </c>
      <c r="V144" s="2" t="n">
        <f aca="false">IF(R144="","",COUNTIF($C$5:$C$6004,R144))</f>
        <v>5</v>
      </c>
      <c r="W144" s="2" t="n">
        <f aca="false">IF(R144="","",COUNTIFS($C$5:$C$6004,R144,$O$5:$O$6004,"CONCLUÍDA"))</f>
        <v>5</v>
      </c>
      <c r="X144" s="2" t="n">
        <f aca="false">IF(R144="","",COUNTIFS($C$5:$C$6004,R144,$O$5:$O$6004,"EM ANDAMENTO"))</f>
        <v>0</v>
      </c>
      <c r="Y144" s="2" t="n">
        <f aca="false">IF(R144="","",IF(COUNTIFS($C$5:$C$6004,R144,$O$5:$O$6004,"CONCLUÍDA",$N$5:$N$6004,"&gt;=-99")=0,"",_xlfn.MAXIFS($N$5:$N$6004,$C$5:$C$6004,R144,$O$5:$O$6004,"CONCLUÍDA")))</f>
        <v>3</v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 customFormat="false" ht="15" hidden="false" customHeight="false" outlineLevel="0" collapsed="false">
      <c r="B145" s="4" t="n">
        <v>10711151</v>
      </c>
      <c r="C145" s="4" t="s">
        <v>2637</v>
      </c>
      <c r="D145" s="4" t="s">
        <v>2976</v>
      </c>
      <c r="E145" s="4" t="s">
        <v>81</v>
      </c>
      <c r="F145" s="127" t="n">
        <v>45789</v>
      </c>
      <c r="G145" s="127" t="n">
        <v>45790</v>
      </c>
      <c r="H145" s="127" t="n">
        <v>46293</v>
      </c>
      <c r="I145" s="4" t="n">
        <v>100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str">
        <f aca="false">IF(E145="","",IF(ISNUMBER(SEARCH("SUBSOLO",E145)),IFERROR(-VALUE(LEFT(E145,FIND("º",SUBSTITUTE(E145,"°","º"))-1)),-1),IF(LEFT(E145,6)="TÉRREO",0,IFERROR(VALUE(LEFT(E145,FIND("º",SUBSTITUTE(E145,"°","º"))-1)),""))))</f>
        <v/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2977</v>
      </c>
      <c r="S145" s="4" t="s">
        <v>198</v>
      </c>
      <c r="T145" s="4" t="s">
        <v>2978</v>
      </c>
      <c r="U145" s="4" t="s">
        <v>2613</v>
      </c>
      <c r="V145" s="2" t="n">
        <f aca="false">IF(R145="","",COUNTIF($C$5:$C$6004,R145))</f>
        <v>33</v>
      </c>
      <c r="W145" s="2" t="n">
        <f aca="false">IF(R145="","",COUNTIFS($C$5:$C$6004,R145,$O$5:$O$6004,"CONCLUÍDA"))</f>
        <v>23</v>
      </c>
      <c r="X145" s="2" t="n">
        <f aca="false">IF(R145="","",COUNTIFS($C$5:$C$6004,R145,$O$5:$O$6004,"EM ANDAMENTO"))</f>
        <v>1</v>
      </c>
      <c r="Y145" s="2" t="n">
        <f aca="false">IF(R145="","",IF(COUNTIFS($C$5:$C$6004,R145,$O$5:$O$6004,"CONCLUÍDA",$N$5:$N$6004,"&gt;=-99")=0,"",_xlfn.MAXIFS($N$5:$N$6004,$C$5:$C$6004,R145,$O$5:$O$6004,"CONCLUÍDA")))</f>
        <v>27</v>
      </c>
      <c r="Z145" s="2" t="n">
        <f aca="false">IF(R145="","",IF(COUNTIFS($C$5:$C$6004,R145,$O$5:$O$6004,"EM ANDAMENTO",$N$5:$N$6004,"&gt;=-99")=0,"",_xlfn.MAXIFS($N$5:$N$6004,$C$5:$C$6004,R145,$O$5:$O$6004,"EM ANDAMENTO")))</f>
        <v>28</v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>Bancadas: até 27º pav., executando 28º pav.</v>
      </c>
    </row>
    <row r="146" customFormat="false" ht="15" hidden="false" customHeight="false" outlineLevel="0" collapsed="false">
      <c r="B146" s="4" t="n">
        <v>10711152</v>
      </c>
      <c r="C146" s="4" t="s">
        <v>2637</v>
      </c>
      <c r="D146" s="4" t="s">
        <v>2979</v>
      </c>
      <c r="E146" s="4" t="s">
        <v>81</v>
      </c>
      <c r="F146" s="127" t="n">
        <v>45789</v>
      </c>
      <c r="G146" s="127" t="n">
        <v>45790</v>
      </c>
      <c r="H146" s="127" t="n">
        <v>46293</v>
      </c>
      <c r="I146" s="4" t="n">
        <v>100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str">
        <f aca="false">IF(E146="","",IF(ISNUMBER(SEARCH("SUBSOLO",E146)),IFERROR(-VALUE(LEFT(E146,FIND("º",SUBSTITUTE(E146,"°","º"))-1)),-1),IF(LEFT(E146,6)="TÉRREO",0,IFERROR(VALUE(LEFT(E146,FIND("º",SUBSTITUTE(E146,"°","º"))-1)),""))))</f>
        <v/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2980</v>
      </c>
      <c r="S146" s="4" t="s">
        <v>213</v>
      </c>
      <c r="T146" s="4" t="s">
        <v>2981</v>
      </c>
      <c r="U146" s="4" t="s">
        <v>2613</v>
      </c>
      <c r="V146" s="2" t="n">
        <f aca="false">IF(R146="","",COUNTIF($C$5:$C$6004,R146))</f>
        <v>54</v>
      </c>
      <c r="W146" s="2" t="n">
        <f aca="false">IF(R146="","",COUNTIFS($C$5:$C$6004,R146,$O$5:$O$6004,"CONCLUÍDA"))</f>
        <v>34</v>
      </c>
      <c r="X146" s="2" t="n">
        <f aca="false">IF(R146="","",COUNTIFS($C$5:$C$6004,R146,$O$5:$O$6004,"EM ANDAMENTO"))</f>
        <v>1</v>
      </c>
      <c r="Y146" s="2" t="n">
        <f aca="false">IF(R146="","",IF(COUNTIFS($C$5:$C$6004,R146,$O$5:$O$6004,"CONCLUÍDA",$N$5:$N$6004,"&gt;=-99")=0,"",_xlfn.MAXIFS($N$5:$N$6004,$C$5:$C$6004,R146,$O$5:$O$6004,"CONCLUÍDA")))</f>
        <v>24</v>
      </c>
      <c r="Z146" s="2" t="n">
        <f aca="false">IF(R146="","",IF(COUNTIFS($C$5:$C$6004,R146,$O$5:$O$6004,"EM ANDAMENTO",$N$5:$N$6004,"&gt;=-99")=0,"",_xlfn.MAXIFS($N$5:$N$6004,$C$5:$C$6004,R146,$O$5:$O$6004,"EM ANDAMENTO")))</f>
        <v>25</v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>Massa corrida: até 24º pav., executando 25º pav.</v>
      </c>
    </row>
    <row r="147" customFormat="false" ht="15" hidden="false" customHeight="false" outlineLevel="0" collapsed="false">
      <c r="B147" s="4" t="n">
        <v>10711153</v>
      </c>
      <c r="C147" s="4" t="s">
        <v>2637</v>
      </c>
      <c r="D147" s="4" t="s">
        <v>2982</v>
      </c>
      <c r="E147" s="4" t="s">
        <v>81</v>
      </c>
      <c r="F147" s="127" t="n">
        <v>45789</v>
      </c>
      <c r="G147" s="127" t="n">
        <v>45790</v>
      </c>
      <c r="H147" s="127" t="n">
        <v>46293</v>
      </c>
      <c r="I147" s="4" t="n">
        <v>100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str">
        <f aca="false">IF(E147="","",IF(ISNUMBER(SEARCH("SUBSOLO",E147)),IFERROR(-VALUE(LEFT(E147,FIND("º",SUBSTITUTE(E147,"°","º"))-1)),-1),IF(LEFT(E147,6)="TÉRREO",0,IFERROR(VALUE(LEFT(E147,FIND("º",SUBSTITUTE(E147,"°","º"))-1)),""))))</f>
        <v/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2983</v>
      </c>
      <c r="S147" s="4" t="s">
        <v>168</v>
      </c>
      <c r="T147" s="4" t="s">
        <v>2984</v>
      </c>
      <c r="U147" s="4" t="s">
        <v>2613</v>
      </c>
      <c r="V147" s="2" t="n">
        <f aca="false">IF(R147="","",COUNTIF($C$5:$C$6004,R147))</f>
        <v>32</v>
      </c>
      <c r="W147" s="2" t="n">
        <f aca="false">IF(R147="","",COUNTIFS($C$5:$C$6004,R147,$O$5:$O$6004,"CONCLUÍDA"))</f>
        <v>25</v>
      </c>
      <c r="X147" s="2" t="n">
        <f aca="false">IF(R147="","",COUNTIFS($C$5:$C$6004,R147,$O$5:$O$6004,"EM ANDAMENTO"))</f>
        <v>2</v>
      </c>
      <c r="Y147" s="2" t="n">
        <f aca="false">IF(R147="","",IF(COUNTIFS($C$5:$C$6004,R147,$O$5:$O$6004,"CONCLUÍDA",$N$5:$N$6004,"&gt;=-99")=0,"",_xlfn.MAXIFS($N$5:$N$6004,$C$5:$C$6004,R147,$O$5:$O$6004,"CONCLUÍDA")))</f>
        <v>26</v>
      </c>
      <c r="Z147" s="2" t="n">
        <f aca="false">IF(R147="","",IF(COUNTIFS($C$5:$C$6004,R147,$O$5:$O$6004,"EM ANDAMENTO",$N$5:$N$6004,"&gt;=-99")=0,"",_xlfn.MAXIFS($N$5:$N$6004,$C$5:$C$6004,R147,$O$5:$O$6004,"EM ANDAMENTO")))</f>
        <v>27</v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>Fiação elétrica e iluminação: até 26º pav., executando 27º pav.</v>
      </c>
    </row>
    <row r="148" customFormat="false" ht="15" hidden="false" customHeight="false" outlineLevel="0" collapsed="false">
      <c r="B148" s="4" t="n">
        <v>10711154</v>
      </c>
      <c r="C148" s="4" t="s">
        <v>2637</v>
      </c>
      <c r="D148" s="4" t="s">
        <v>2985</v>
      </c>
      <c r="E148" s="4" t="s">
        <v>81</v>
      </c>
      <c r="F148" s="127" t="n">
        <v>45789</v>
      </c>
      <c r="G148" s="127" t="n">
        <v>45790</v>
      </c>
      <c r="H148" s="127" t="n">
        <v>46293</v>
      </c>
      <c r="I148" s="4" t="n">
        <v>100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16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2986</v>
      </c>
      <c r="S148" s="4" t="s">
        <v>168</v>
      </c>
      <c r="T148" s="4" t="s">
        <v>2987</v>
      </c>
      <c r="U148" s="4" t="s">
        <v>2613</v>
      </c>
      <c r="V148" s="2" t="n">
        <f aca="false">IF(R148="","",COUNTIF($C$5:$C$6004,R148))</f>
        <v>35</v>
      </c>
      <c r="W148" s="2" t="n">
        <f aca="false">IF(R148="","",COUNTIFS($C$5:$C$6004,R148,$O$5:$O$6004,"CONCLUÍDA"))</f>
        <v>28</v>
      </c>
      <c r="X148" s="2" t="n">
        <f aca="false">IF(R148="","",COUNTIFS($C$5:$C$6004,R148,$O$5:$O$6004,"EM ANDAMENTO"))</f>
        <v>1</v>
      </c>
      <c r="Y148" s="2" t="n">
        <f aca="false">IF(R148="","",IF(COUNTIFS($C$5:$C$6004,R148,$O$5:$O$6004,"CONCLUÍDA",$N$5:$N$6004,"&gt;=-99")=0,"",_xlfn.MAXIFS($N$5:$N$6004,$C$5:$C$6004,R148,$O$5:$O$6004,"CONCLUÍDA")))</f>
        <v>26</v>
      </c>
      <c r="Z148" s="2" t="n">
        <f aca="false">IF(R148="","",IF(COUNTIFS($C$5:$C$6004,R148,$O$5:$O$6004,"EM ANDAMENTO",$N$5:$N$6004,"&gt;=-99")=0,"",_xlfn.MAXIFS($N$5:$N$6004,$C$5:$C$6004,R148,$O$5:$O$6004,"EM ANDAMENTO")))</f>
        <v>27</v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>Prumada elétrica (cabos): até 26º pav., executando 27º pav.</v>
      </c>
    </row>
    <row r="149" customFormat="false" ht="15" hidden="false" customHeight="false" outlineLevel="0" collapsed="false">
      <c r="B149" s="4" t="n">
        <v>10711155</v>
      </c>
      <c r="C149" s="4" t="s">
        <v>2637</v>
      </c>
      <c r="D149" s="4" t="s">
        <v>2988</v>
      </c>
      <c r="E149" s="4" t="s">
        <v>81</v>
      </c>
      <c r="F149" s="127" t="n">
        <v>45838</v>
      </c>
      <c r="G149" s="127" t="n">
        <v>45842</v>
      </c>
      <c r="H149" s="127" t="n">
        <v>46293</v>
      </c>
      <c r="I149" s="4" t="n">
        <v>100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16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2989</v>
      </c>
      <c r="S149" s="4" t="s">
        <v>176</v>
      </c>
      <c r="T149" s="4" t="s">
        <v>2990</v>
      </c>
      <c r="U149" s="4" t="s">
        <v>2620</v>
      </c>
      <c r="V149" s="2" t="n">
        <f aca="false">IF(R149="","",COUNTIF($C$5:$C$6004,R149))</f>
        <v>8</v>
      </c>
      <c r="W149" s="2" t="n">
        <f aca="false">IF(R149="","",COUNTIFS($C$5:$C$6004,R149,$O$5:$O$6004,"CONCLUÍDA"))</f>
        <v>5</v>
      </c>
      <c r="X149" s="2" t="n">
        <f aca="false">IF(R149="","",COUNTIFS($C$5:$C$6004,R149,$O$5:$O$6004,"EM ANDAMENTO"))</f>
        <v>1</v>
      </c>
      <c r="Y149" s="2" t="n">
        <f aca="false">IF(R149="","",IF(COUNTIFS($C$5:$C$6004,R149,$O$5:$O$6004,"CONCLUÍDA",$N$5:$N$6004,"&gt;=-99")=0,"",_xlfn.MAXIFS($N$5:$N$6004,$C$5:$C$6004,R149,$O$5:$O$6004,"CONCLUÍDA")))</f>
        <v>2</v>
      </c>
      <c r="Z149" s="2" t="n">
        <f aca="false">IF(R149="","",IF(COUNTIFS($C$5:$C$6004,R149,$O$5:$O$6004,"EM ANDAMENTO",$N$5:$N$6004,"&gt;=-99")=0,"",_xlfn.MAXIFS($N$5:$N$6004,$C$5:$C$6004,R149,$O$5:$O$6004,"EM ANDAMENTO")))</f>
        <v>2</v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 customFormat="false" ht="15" hidden="false" customHeight="false" outlineLevel="0" collapsed="false">
      <c r="B150" s="4" t="n">
        <v>10711161</v>
      </c>
      <c r="C150" s="4" t="s">
        <v>2637</v>
      </c>
      <c r="D150" s="4" t="s">
        <v>2991</v>
      </c>
      <c r="E150" s="4" t="s">
        <v>81</v>
      </c>
      <c r="F150" s="127" t="n">
        <v>45789</v>
      </c>
      <c r="G150" s="127" t="n">
        <v>45790</v>
      </c>
      <c r="H150" s="127" t="n">
        <v>46293</v>
      </c>
      <c r="I150" s="4" t="n">
        <v>100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16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2992</v>
      </c>
      <c r="S150" s="4" t="s">
        <v>168</v>
      </c>
      <c r="T150" s="4" t="s">
        <v>2993</v>
      </c>
      <c r="U150" s="4" t="s">
        <v>2620</v>
      </c>
      <c r="V150" s="2" t="n">
        <f aca="false">IF(R150="","",COUNTIF($C$5:$C$6004,R150))</f>
        <v>8</v>
      </c>
      <c r="W150" s="2" t="n">
        <f aca="false">IF(R150="","",COUNTIFS($C$5:$C$6004,R150,$O$5:$O$6004,"CONCLUÍDA"))</f>
        <v>5</v>
      </c>
      <c r="X150" s="2" t="n">
        <f aca="false">IF(R150="","",COUNTIFS($C$5:$C$6004,R150,$O$5:$O$6004,"EM ANDAMENTO"))</f>
        <v>1</v>
      </c>
      <c r="Y150" s="2" t="n">
        <f aca="false">IF(R150="","",IF(COUNTIFS($C$5:$C$6004,R150,$O$5:$O$6004,"CONCLUÍDA",$N$5:$N$6004,"&gt;=-99")=0,"",_xlfn.MAXIFS($N$5:$N$6004,$C$5:$C$6004,R150,$O$5:$O$6004,"CONCLUÍDA")))</f>
        <v>2</v>
      </c>
      <c r="Z150" s="2" t="n">
        <f aca="false">IF(R150="","",IF(COUNTIFS($C$5:$C$6004,R150,$O$5:$O$6004,"EM ANDAMENTO",$N$5:$N$6004,"&gt;=-99")=0,"",_xlfn.MAXIFS($N$5:$N$6004,$C$5:$C$6004,R150,$O$5:$O$6004,"EM ANDAMENTO")))</f>
        <v>2</v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 customFormat="false" ht="15" hidden="false" customHeight="false" outlineLevel="0" collapsed="false">
      <c r="B151" s="4" t="n">
        <v>10711162</v>
      </c>
      <c r="C151" s="4" t="s">
        <v>2637</v>
      </c>
      <c r="D151" s="4" t="s">
        <v>2994</v>
      </c>
      <c r="E151" s="4" t="s">
        <v>81</v>
      </c>
      <c r="F151" s="127" t="n">
        <v>45789</v>
      </c>
      <c r="G151" s="127" t="n">
        <v>45790</v>
      </c>
      <c r="H151" s="127" t="n">
        <v>46293</v>
      </c>
      <c r="I151" s="4" t="n">
        <v>100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16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2995</v>
      </c>
      <c r="S151" s="4" t="s">
        <v>201</v>
      </c>
      <c r="T151" s="4" t="s">
        <v>2228</v>
      </c>
      <c r="U151" s="4" t="s">
        <v>2613</v>
      </c>
      <c r="V151" s="2" t="n">
        <f aca="false">IF(R151="","",COUNTIF($C$5:$C$6004,R151))</f>
        <v>2</v>
      </c>
      <c r="W151" s="2" t="n">
        <f aca="false">IF(R151="","",COUNTIFS($C$5:$C$6004,R151,$O$5:$O$6004,"CONCLUÍDA"))</f>
        <v>2</v>
      </c>
      <c r="X151" s="2" t="n">
        <f aca="false">IF(R151="","",COUNTIFS($C$5:$C$6004,R151,$O$5:$O$6004,"EM ANDAMENTO"))</f>
        <v>0</v>
      </c>
      <c r="Y151" s="2" t="n">
        <f aca="false">IF(R151="","",IF(COUNTIFS($C$5:$C$6004,R151,$O$5:$O$6004,"CONCLUÍDA",$N$5:$N$6004,"&gt;=-99")=0,"",_xlfn.MAXIFS($N$5:$N$6004,$C$5:$C$6004,R151,$O$5:$O$6004,"CONCLUÍDA")))</f>
        <v>1</v>
      </c>
      <c r="Z151" s="2" t="str">
        <f aca="false">IF(R151="","",IF(COUNTIFS($C$5:$C$6004,R151,$O$5:$O$6004,"EM ANDAMENTO",$N$5:$N$6004,"&gt;=-99")=0,"",_xlfn.MAXIFS($N$5:$N$6004,$C$5:$C$6004,R151,$O$5:$O$6004,"EM ANDAMENTO")))</f>
        <v/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>Passeios: concluído</v>
      </c>
    </row>
    <row r="152" customFormat="false" ht="15" hidden="false" customHeight="false" outlineLevel="0" collapsed="false">
      <c r="B152" s="4" t="n">
        <v>10711163</v>
      </c>
      <c r="C152" s="4" t="s">
        <v>2637</v>
      </c>
      <c r="D152" s="4" t="s">
        <v>2996</v>
      </c>
      <c r="E152" s="4" t="s">
        <v>81</v>
      </c>
      <c r="F152" s="127" t="n">
        <v>45789</v>
      </c>
      <c r="G152" s="127" t="n">
        <v>45790</v>
      </c>
      <c r="H152" s="127" t="n">
        <v>46293</v>
      </c>
      <c r="I152" s="4" t="n">
        <v>100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16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2997</v>
      </c>
      <c r="S152" s="4" t="s">
        <v>213</v>
      </c>
      <c r="T152" s="4" t="s">
        <v>2998</v>
      </c>
      <c r="U152" s="4" t="s">
        <v>2613</v>
      </c>
      <c r="V152" s="2" t="n">
        <f aca="false">IF(R152="","",COUNTIF($C$5:$C$6004,R152))</f>
        <v>55</v>
      </c>
      <c r="W152" s="2" t="n">
        <f aca="false">IF(R152="","",COUNTIFS($C$5:$C$6004,R152,$O$5:$O$6004,"CONCLUÍDA"))</f>
        <v>32</v>
      </c>
      <c r="X152" s="2" t="n">
        <f aca="false">IF(R152="","",COUNTIFS($C$5:$C$6004,R152,$O$5:$O$6004,"EM ANDAMENTO"))</f>
        <v>1</v>
      </c>
      <c r="Y152" s="2" t="n">
        <f aca="false">IF(R152="","",IF(COUNTIFS($C$5:$C$6004,R152,$O$5:$O$6004,"CONCLUÍDA",$N$5:$N$6004,"&gt;=-99")=0,"",_xlfn.MAXIFS($N$5:$N$6004,$C$5:$C$6004,R152,$O$5:$O$6004,"CONCLUÍDA")))</f>
        <v>23</v>
      </c>
      <c r="Z152" s="2" t="n">
        <f aca="false">IF(R152="","",IF(COUNTIFS($C$5:$C$6004,R152,$O$5:$O$6004,"EM ANDAMENTO",$N$5:$N$6004,"&gt;=-99")=0,"",_xlfn.MAXIFS($N$5:$N$6004,$C$5:$C$6004,R152,$O$5:$O$6004,"EM ANDAMENTO")))</f>
        <v>24</v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>Pintura 1ª demão: até 23º pav., executando 24º pav.</v>
      </c>
    </row>
    <row r="153" customFormat="false" ht="15" hidden="false" customHeight="false" outlineLevel="0" collapsed="false">
      <c r="B153" s="4" t="n">
        <v>10711164</v>
      </c>
      <c r="C153" s="4" t="s">
        <v>2637</v>
      </c>
      <c r="D153" s="4" t="s">
        <v>2999</v>
      </c>
      <c r="E153" s="4" t="s">
        <v>81</v>
      </c>
      <c r="F153" s="127" t="n">
        <v>45789</v>
      </c>
      <c r="G153" s="127" t="n">
        <v>45790</v>
      </c>
      <c r="H153" s="127" t="n">
        <v>46293</v>
      </c>
      <c r="I153" s="4" t="n">
        <v>100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16</v>
      </c>
      <c r="N153" s="2" t="str">
        <f aca="false">IF(E153="","",IF(ISNUMBER(SEARCH("SUBSOLO",E153)),IFERROR(-VALUE(LEFT(E153,FIND("º",SUBSTITUTE(E153,"°","º"))-1)),-1),IF(LEFT(E153,6)="TÉRREO",0,IFERROR(VALUE(LEFT(E153,FIND("º",SUBSTITUTE(E153,"°","º"))-1)),""))))</f>
        <v/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3000</v>
      </c>
      <c r="S153" s="4" t="s">
        <v>204</v>
      </c>
      <c r="T153" s="4" t="s">
        <v>3001</v>
      </c>
      <c r="U153" s="4" t="s">
        <v>2613</v>
      </c>
      <c r="V153" s="2" t="n">
        <f aca="false">IF(R153="","",COUNTIF($C$5:$C$6004,R153))</f>
        <v>4</v>
      </c>
      <c r="W153" s="2" t="n">
        <f aca="false">IF(R153="","",COUNTIFS($C$5:$C$6004,R153,$O$5:$O$6004,"CONCLUÍDA"))</f>
        <v>3</v>
      </c>
      <c r="X153" s="2" t="n">
        <f aca="false">IF(R153="","",COUNTIFS($C$5:$C$6004,R153,$O$5:$O$6004,"EM ANDAMENTO"))</f>
        <v>1</v>
      </c>
      <c r="Y153" s="2" t="str">
        <f aca="false">IF(R153="","",IF(COUNTIFS($C$5:$C$6004,R153,$O$5:$O$6004,"CONCLUÍDA",$N$5:$N$6004,"&gt;=-99")=0,"",_xlfn.MAXIFS($N$5:$N$6004,$C$5:$C$6004,R153,$O$5:$O$6004,"CONCLUÍDA")))</f>
        <v/>
      </c>
      <c r="Z153" s="2" t="str">
        <f aca="false">IF(R153="","",IF(COUNTIFS($C$5:$C$6004,R153,$O$5:$O$6004,"EM ANDAMENTO",$N$5:$N$6004,"&gt;=-99")=0,"",_xlfn.MAXIFS($N$5:$N$6004,$C$5:$C$6004,R153,$O$5:$O$6004,"EM ANDAMENTO")))</f>
        <v/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>Pintura espala fechada - fase 1: 3 de 4 concluídas</v>
      </c>
    </row>
    <row r="154" customFormat="false" ht="15" hidden="false" customHeight="false" outlineLevel="0" collapsed="false">
      <c r="B154" s="4" t="n">
        <v>10711165</v>
      </c>
      <c r="C154" s="4" t="s">
        <v>2637</v>
      </c>
      <c r="D154" s="4" t="s">
        <v>3002</v>
      </c>
      <c r="E154" s="4" t="s">
        <v>81</v>
      </c>
      <c r="F154" s="127" t="n">
        <v>45789</v>
      </c>
      <c r="G154" s="127" t="n">
        <v>45790</v>
      </c>
      <c r="H154" s="127" t="n">
        <v>46293</v>
      </c>
      <c r="I154" s="4" t="n">
        <v>100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16</v>
      </c>
      <c r="N154" s="2" t="str">
        <f aca="false">IF(E154="","",IF(ISNUMBER(SEARCH("SUBSOLO",E154)),IFERROR(-VALUE(LEFT(E154,FIND("º",SUBSTITUTE(E154,"°","º"))-1)),-1),IF(LEFT(E154,6)="TÉRREO",0,IFERROR(VALUE(LEFT(E154,FIND("º",SUBSTITUTE(E154,"°","º"))-1)),""))))</f>
        <v/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3003</v>
      </c>
      <c r="S154" s="4" t="s">
        <v>168</v>
      </c>
      <c r="T154" s="4" t="s">
        <v>3004</v>
      </c>
      <c r="U154" s="4" t="s">
        <v>2613</v>
      </c>
      <c r="V154" s="2" t="n">
        <f aca="false">IF(R154="","",COUNTIF($C$5:$C$6004,R154))</f>
        <v>18</v>
      </c>
      <c r="W154" s="2" t="n">
        <f aca="false">IF(R154="","",COUNTIFS($C$5:$C$6004,R154,$O$5:$O$6004,"CONCLUÍDA"))</f>
        <v>10</v>
      </c>
      <c r="X154" s="2" t="n">
        <f aca="false">IF(R154="","",COUNTIFS($C$5:$C$6004,R154,$O$5:$O$6004,"EM ANDAMENTO"))</f>
        <v>1</v>
      </c>
      <c r="Y154" s="2" t="n">
        <f aca="false">IF(R154="","",IF(COUNTIFS($C$5:$C$6004,R154,$O$5:$O$6004,"CONCLUÍDA",$N$5:$N$6004,"&gt;=-99")=0,"",_xlfn.MAXIFS($N$5:$N$6004,$C$5:$C$6004,R154,$O$5:$O$6004,"CONCLUÍDA")))</f>
        <v>2</v>
      </c>
      <c r="Z154" s="2" t="n">
        <f aca="false">IF(R154="","",IF(COUNTIFS($C$5:$C$6004,R154,$O$5:$O$6004,"EM ANDAMENTO",$N$5:$N$6004,"&gt;=-99")=0,"",_xlfn.MAXIFS($N$5:$N$6004,$C$5:$C$6004,R154,$O$5:$O$6004,"EM ANDAMENTO")))</f>
        <v>-5</v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>Fiação elétrica: até 2º pav. (restam serviços no 5º subsolo)</v>
      </c>
    </row>
    <row r="155" customFormat="false" ht="15" hidden="false" customHeight="false" outlineLevel="0" collapsed="false">
      <c r="B155" s="4" t="n">
        <v>10711166</v>
      </c>
      <c r="C155" s="4" t="s">
        <v>2637</v>
      </c>
      <c r="D155" s="4" t="s">
        <v>3005</v>
      </c>
      <c r="E155" s="4" t="s">
        <v>81</v>
      </c>
      <c r="F155" s="127" t="n">
        <v>45789</v>
      </c>
      <c r="G155" s="127" t="n">
        <v>45790</v>
      </c>
      <c r="H155" s="127" t="n">
        <v>46293</v>
      </c>
      <c r="I155" s="4" t="n">
        <v>100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16</v>
      </c>
      <c r="N155" s="2" t="str">
        <f aca="false">IF(E155="","",IF(ISNUMBER(SEARCH("SUBSOLO",E155)),IFERROR(-VALUE(LEFT(E155,FIND("º",SUBSTITUTE(E155,"°","º"))-1)),-1),IF(LEFT(E155,6)="TÉRREO",0,IFERROR(VALUE(LEFT(E155,FIND("º",SUBSTITUTE(E155,"°","º"))-1)),""))))</f>
        <v/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3006</v>
      </c>
      <c r="S155" s="4" t="s">
        <v>219</v>
      </c>
      <c r="T155" s="4" t="s">
        <v>3007</v>
      </c>
      <c r="U155" s="4" t="s">
        <v>2613</v>
      </c>
      <c r="V155" s="2" t="n">
        <f aca="false">IF(R155="","",COUNTIF($C$5:$C$6004,R155))</f>
        <v>61</v>
      </c>
      <c r="W155" s="2" t="n">
        <f aca="false">IF(R155="","",COUNTIFS($C$5:$C$6004,R155,$O$5:$O$6004,"CONCLUÍDA"))</f>
        <v>15</v>
      </c>
      <c r="X155" s="2" t="n">
        <f aca="false">IF(R155="","",COUNTIFS($C$5:$C$6004,R155,$O$5:$O$6004,"EM ANDAMENTO"))</f>
        <v>1</v>
      </c>
      <c r="Y155" s="2" t="n">
        <f aca="false">IF(R155="","",IF(COUNTIFS($C$5:$C$6004,R155,$O$5:$O$6004,"CONCLUÍDA",$N$5:$N$6004,"&gt;=-99")=0,"",_xlfn.MAXIFS($N$5:$N$6004,$C$5:$C$6004,R155,$O$5:$O$6004,"CONCLUÍDA")))</f>
        <v>2</v>
      </c>
      <c r="Z155" s="2" t="n">
        <f aca="false">IF(R155="","",IF(COUNTIFS($C$5:$C$6004,R155,$O$5:$O$6004,"EM ANDAMENTO",$N$5:$N$6004,"&gt;=-99")=0,"",_xlfn.MAXIFS($N$5:$N$6004,$C$5:$C$6004,R155,$O$5:$O$6004,"EM ANDAMENTO")))</f>
        <v>-4</v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>Limpeza grossa: até 2º pav. (restam serviços no 4º subsolo)</v>
      </c>
    </row>
    <row r="156" customFormat="false" ht="15" hidden="false" customHeight="false" outlineLevel="0" collapsed="false">
      <c r="B156" s="4" t="n">
        <v>10711173</v>
      </c>
      <c r="C156" s="4" t="s">
        <v>2637</v>
      </c>
      <c r="D156" s="4" t="s">
        <v>3008</v>
      </c>
      <c r="E156" s="4" t="s">
        <v>81</v>
      </c>
      <c r="F156" s="127" t="n">
        <v>45842</v>
      </c>
      <c r="G156" s="127" t="n">
        <v>45845</v>
      </c>
      <c r="H156" s="127" t="n">
        <v>46293</v>
      </c>
      <c r="I156" s="4" t="n">
        <v>100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16</v>
      </c>
      <c r="N156" s="2" t="str">
        <f aca="false">IF(E156="","",IF(ISNUMBER(SEARCH("SUBSOLO",E156)),IFERROR(-VALUE(LEFT(E156,FIND("º",SUBSTITUTE(E156,"°","º"))-1)),-1),IF(LEFT(E156,6)="TÉRREO",0,IFERROR(VALUE(LEFT(E156,FIND("º",SUBSTITUTE(E156,"°","º"))-1)),""))))</f>
        <v/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3009</v>
      </c>
      <c r="S156" s="4" t="s">
        <v>176</v>
      </c>
      <c r="T156" s="4" t="s">
        <v>3010</v>
      </c>
      <c r="U156" s="4" t="s">
        <v>2613</v>
      </c>
      <c r="V156" s="2" t="n">
        <f aca="false">IF(R156="","",COUNTIF($C$5:$C$6004,R156))</f>
        <v>48</v>
      </c>
      <c r="W156" s="2" t="n">
        <f aca="false">IF(R156="","",COUNTIFS($C$5:$C$6004,R156,$O$5:$O$6004,"CONCLUÍDA"))</f>
        <v>6</v>
      </c>
      <c r="X156" s="2" t="n">
        <f aca="false">IF(R156="","",COUNTIFS($C$5:$C$6004,R156,$O$5:$O$6004,"EM ANDAMENTO"))</f>
        <v>1</v>
      </c>
      <c r="Y156" s="2" t="n">
        <f aca="false">IF(R156="","",IF(COUNTIFS($C$5:$C$6004,R156,$O$5:$O$6004,"CONCLUÍDA",$N$5:$N$6004,"&gt;=-99")=0,"",_xlfn.MAXIFS($N$5:$N$6004,$C$5:$C$6004,R156,$O$5:$O$6004,"CONCLUÍDA")))</f>
        <v>1</v>
      </c>
      <c r="Z156" s="2" t="n">
        <f aca="false">IF(R156="","",IF(COUNTIFS($C$5:$C$6004,R156,$O$5:$O$6004,"EM ANDAMENTO",$N$5:$N$6004,"&gt;=-99")=0,"",_xlfn.MAXIFS($N$5:$N$6004,$C$5:$C$6004,R156,$O$5:$O$6004,"EM ANDAMENTO")))</f>
        <v>-1</v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>Comunicação e alarme: até 1º pav. (restam serviços no 1º subsolo)</v>
      </c>
    </row>
    <row r="157" customFormat="false" ht="15" hidden="false" customHeight="false" outlineLevel="0" collapsed="false">
      <c r="B157" s="4" t="n">
        <v>10711179</v>
      </c>
      <c r="C157" s="4" t="s">
        <v>2637</v>
      </c>
      <c r="D157" s="4" t="s">
        <v>3011</v>
      </c>
      <c r="E157" s="4" t="s">
        <v>81</v>
      </c>
      <c r="F157" s="127" t="n">
        <v>45845</v>
      </c>
      <c r="G157" s="127" t="n">
        <v>45849</v>
      </c>
      <c r="H157" s="127" t="n">
        <v>46293</v>
      </c>
      <c r="I157" s="4" t="n">
        <v>100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16</v>
      </c>
      <c r="N157" s="2" t="str">
        <f aca="false">IF(E157="","",IF(ISNUMBER(SEARCH("SUBSOLO",E157)),IFERROR(-VALUE(LEFT(E157,FIND("º",SUBSTITUTE(E157,"°","º"))-1)),-1),IF(LEFT(E157,6)="TÉRREO",0,IFERROR(VALUE(LEFT(E157,FIND("º",SUBSTITUTE(E157,"°","º"))-1)),""))))</f>
        <v/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3012</v>
      </c>
      <c r="S157" s="4" t="s">
        <v>204</v>
      </c>
      <c r="T157" s="4" t="s">
        <v>3013</v>
      </c>
      <c r="U157" s="4" t="s">
        <v>2613</v>
      </c>
      <c r="V157" s="2" t="n">
        <f aca="false">IF(R157="","",COUNTIF($C$5:$C$6004,R157))</f>
        <v>20</v>
      </c>
      <c r="W157" s="2" t="n">
        <f aca="false">IF(R157="","",COUNTIFS($C$5:$C$6004,R157,$O$5:$O$6004,"CONCLUÍDA"))</f>
        <v>6</v>
      </c>
      <c r="X157" s="2" t="n">
        <f aca="false">IF(R157="","",COUNTIFS($C$5:$C$6004,R157,$O$5:$O$6004,"EM ANDAMENTO"))</f>
        <v>9</v>
      </c>
      <c r="Y157" s="2" t="str">
        <f aca="false">IF(R157="","",IF(COUNTIFS($C$5:$C$6004,R157,$O$5:$O$6004,"CONCLUÍDA",$N$5:$N$6004,"&gt;=-99")=0,"",_xlfn.MAXIFS($N$5:$N$6004,$C$5:$C$6004,R157,$O$5:$O$6004,"CONCLUÍDA")))</f>
        <v/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>Reboco de fachada - fase 2: 6 de 20 concluídas</v>
      </c>
    </row>
    <row r="158" customFormat="false" ht="15" hidden="false" customHeight="false" outlineLevel="0" collapsed="false">
      <c r="B158" s="4" t="n">
        <v>10711184</v>
      </c>
      <c r="C158" s="4" t="s">
        <v>2637</v>
      </c>
      <c r="D158" s="4" t="s">
        <v>3014</v>
      </c>
      <c r="E158" s="4" t="s">
        <v>81</v>
      </c>
      <c r="F158" s="127" t="n">
        <v>45839</v>
      </c>
      <c r="G158" s="127" t="n">
        <v>45840</v>
      </c>
      <c r="H158" s="127" t="n">
        <v>46293</v>
      </c>
      <c r="I158" s="4" t="n">
        <v>100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16</v>
      </c>
      <c r="N158" s="2" t="str">
        <f aca="false">IF(E158="","",IF(ISNUMBER(SEARCH("SUBSOLO",E158)),IFERROR(-VALUE(LEFT(E158,FIND("º",SUBSTITUTE(E158,"°","º"))-1)),-1),IF(LEFT(E158,6)="TÉRREO",0,IFERROR(VALUE(LEFT(E158,FIND("º",SUBSTITUTE(E158,"°","º"))-1)),""))))</f>
        <v/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3015</v>
      </c>
      <c r="S158" s="4" t="s">
        <v>198</v>
      </c>
      <c r="T158" s="4" t="s">
        <v>3016</v>
      </c>
      <c r="U158" s="4" t="s">
        <v>2620</v>
      </c>
      <c r="V158" s="2" t="n">
        <f aca="false">IF(R158="","",COUNTIF($C$5:$C$6004,R158))</f>
        <v>6</v>
      </c>
      <c r="W158" s="2" t="n">
        <f aca="false">IF(R158="","",COUNTIFS($C$5:$C$6004,R158,$O$5:$O$6004,"CONCLUÍDA"))</f>
        <v>1</v>
      </c>
      <c r="X158" s="2" t="n">
        <f aca="false">IF(R158="","",COUNTIFS($C$5:$C$6004,R158,$O$5:$O$6004,"EM ANDAMENTO"))</f>
        <v>1</v>
      </c>
      <c r="Y158" s="2" t="n">
        <f aca="false">IF(R158="","",IF(COUNTIFS($C$5:$C$6004,R158,$O$5:$O$6004,"CONCLUÍDA",$N$5:$N$6004,"&gt;=-99")=0,"",_xlfn.MAXIFS($N$5:$N$6004,$C$5:$C$6004,R158,$O$5:$O$6004,"CONCLUÍDA")))</f>
        <v>3</v>
      </c>
      <c r="Z158" s="2" t="n">
        <f aca="false">IF(R158="","",IF(COUNTIFS($C$5:$C$6004,R158,$O$5:$O$6004,"EM ANDAMENTO",$N$5:$N$6004,"&gt;=-99")=0,"",_xlfn.MAXIFS($N$5:$N$6004,$C$5:$C$6004,R158,$O$5:$O$6004,"EM ANDAMENTO")))</f>
        <v>1</v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 customFormat="false" ht="15" hidden="false" customHeight="false" outlineLevel="0" collapsed="false">
      <c r="B159" s="4" t="n">
        <v>10711185</v>
      </c>
      <c r="C159" s="4" t="s">
        <v>2637</v>
      </c>
      <c r="D159" s="4" t="s">
        <v>3017</v>
      </c>
      <c r="E159" s="4" t="s">
        <v>81</v>
      </c>
      <c r="F159" s="127" t="n">
        <v>45789</v>
      </c>
      <c r="G159" s="127" t="n">
        <v>45790</v>
      </c>
      <c r="H159" s="127" t="n">
        <v>46293</v>
      </c>
      <c r="I159" s="4" t="n">
        <v>100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16</v>
      </c>
      <c r="N159" s="2" t="str">
        <f aca="false">IF(E159="","",IF(ISNUMBER(SEARCH("SUBSOLO",E159)),IFERROR(-VALUE(LEFT(E159,FIND("º",SUBSTITUTE(E159,"°","º"))-1)),-1),IF(LEFT(E159,6)="TÉRREO",0,IFERROR(VALUE(LEFT(E159,FIND("º",SUBSTITUTE(E159,"°","º"))-1)),""))))</f>
        <v/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3018</v>
      </c>
      <c r="S159" s="4" t="s">
        <v>198</v>
      </c>
      <c r="T159" s="4" t="s">
        <v>3019</v>
      </c>
      <c r="U159" s="4" t="s">
        <v>2620</v>
      </c>
      <c r="V159" s="2" t="n">
        <f aca="false">IF(R159="","",COUNTIF($C$5:$C$6004,R159))</f>
        <v>6</v>
      </c>
      <c r="W159" s="2" t="n">
        <f aca="false">IF(R159="","",COUNTIFS($C$5:$C$6004,R159,$O$5:$O$6004,"CONCLUÍDA"))</f>
        <v>5</v>
      </c>
      <c r="X159" s="2" t="n">
        <f aca="false">IF(R159="","",COUNTIFS($C$5:$C$6004,R159,$O$5:$O$6004,"EM ANDAMENTO"))</f>
        <v>1</v>
      </c>
      <c r="Y159" s="2" t="n">
        <f aca="false">IF(R159="","",IF(COUNTIFS($C$5:$C$6004,R159,$O$5:$O$6004,"CONCLUÍDA",$N$5:$N$6004,"&gt;=-99")=0,"",_xlfn.MAXIFS($N$5:$N$6004,$C$5:$C$6004,R159,$O$5:$O$6004,"CONCLUÍDA")))</f>
        <v>-1</v>
      </c>
      <c r="Z159" s="2" t="n">
        <f aca="false">IF(R159="","",IF(COUNTIFS($C$5:$C$6004,R159,$O$5:$O$6004,"EM ANDAMENTO",$N$5:$N$6004,"&gt;=-99")=0,"",_xlfn.MAXIFS($N$5:$N$6004,$C$5:$C$6004,R159,$O$5:$O$6004,"EM ANDAMENTO")))</f>
        <v>-5</v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10711186</v>
      </c>
      <c r="C160" s="4" t="s">
        <v>2637</v>
      </c>
      <c r="D160" s="4" t="s">
        <v>3020</v>
      </c>
      <c r="E160" s="4" t="s">
        <v>81</v>
      </c>
      <c r="F160" s="127" t="n">
        <v>45789</v>
      </c>
      <c r="G160" s="127" t="n">
        <v>45790</v>
      </c>
      <c r="H160" s="127" t="n">
        <v>46293</v>
      </c>
      <c r="I160" s="4" t="n">
        <v>100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16</v>
      </c>
      <c r="N160" s="2" t="str">
        <f aca="false">IF(E160="","",IF(ISNUMBER(SEARCH("SUBSOLO",E160)),IFERROR(-VALUE(LEFT(E160,FIND("º",SUBSTITUTE(E160,"°","º"))-1)),-1),IF(LEFT(E160,6)="TÉRREO",0,IFERROR(VALUE(LEFT(E160,FIND("º",SUBSTITUTE(E160,"°","º"))-1)),""))))</f>
        <v/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3021</v>
      </c>
      <c r="S160" s="4" t="s">
        <v>213</v>
      </c>
      <c r="T160" s="4" t="s">
        <v>3022</v>
      </c>
      <c r="U160" s="4" t="s">
        <v>2613</v>
      </c>
      <c r="V160" s="2" t="n">
        <f aca="false">IF(R160="","",COUNTIF($C$5:$C$6004,R160))</f>
        <v>55</v>
      </c>
      <c r="W160" s="2" t="n">
        <f aca="false">IF(R160="","",COUNTIFS($C$5:$C$6004,R160,$O$5:$O$6004,"CONCLUÍDA"))</f>
        <v>12</v>
      </c>
      <c r="X160" s="2" t="n">
        <f aca="false">IF(R160="","",COUNTIFS($C$5:$C$6004,R160,$O$5:$O$6004,"EM ANDAMENTO"))</f>
        <v>0</v>
      </c>
      <c r="Y160" s="2" t="n">
        <f aca="false">IF(R160="","",IF(COUNTIFS($C$5:$C$6004,R160,$O$5:$O$6004,"CONCLUÍDA",$N$5:$N$6004,"&gt;=-99")=0,"",_xlfn.MAXIFS($N$5:$N$6004,$C$5:$C$6004,R160,$O$5:$O$6004,"CONCLUÍDA")))</f>
        <v>2</v>
      </c>
      <c r="Z160" s="2" t="str">
        <f aca="false">IF(R160="","",IF(COUNTIFS($C$5:$C$6004,R160,$O$5:$O$6004,"EM ANDAMENTO",$N$5:$N$6004,"&gt;=-99")=0,"",_xlfn.MAXIFS($N$5:$N$6004,$C$5:$C$6004,R160,$O$5:$O$6004,"EM ANDAMENTO")))</f>
        <v/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>Pintura 2ª demão: até 2º pav.</v>
      </c>
    </row>
    <row r="161" customFormat="false" ht="15" hidden="false" customHeight="false" outlineLevel="0" collapsed="false">
      <c r="B161" s="4" t="n">
        <v>10711187</v>
      </c>
      <c r="C161" s="4" t="s">
        <v>2637</v>
      </c>
      <c r="D161" s="4" t="s">
        <v>3023</v>
      </c>
      <c r="E161" s="4" t="s">
        <v>81</v>
      </c>
      <c r="F161" s="127" t="n">
        <v>45789</v>
      </c>
      <c r="G161" s="127" t="n">
        <v>45790</v>
      </c>
      <c r="H161" s="127" t="n">
        <v>46293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16</v>
      </c>
      <c r="N161" s="2" t="str">
        <f aca="false">IF(E161="","",IF(ISNUMBER(SEARCH("SUBSOLO",E161)),IFERROR(-VALUE(LEFT(E161,FIND("º",SUBSTITUTE(E161,"°","º"))-1)),-1),IF(LEFT(E161,6)="TÉRREO",0,IFERROR(VALUE(LEFT(E161,FIND("º",SUBSTITUTE(E161,"°","º"))-1)),""))))</f>
        <v/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189</v>
      </c>
      <c r="S161" s="4" t="s">
        <v>188</v>
      </c>
      <c r="T161" s="4" t="s">
        <v>3024</v>
      </c>
      <c r="U161" s="4" t="s">
        <v>2613</v>
      </c>
      <c r="V161" s="2" t="n">
        <f aca="false">IF(R161="","",COUNTIF($C$5:$C$6004,R161))</f>
        <v>8</v>
      </c>
      <c r="W161" s="2" t="n">
        <f aca="false">IF(R161="","",COUNTIFS($C$5:$C$6004,R161,$O$5:$O$6004,"CONCLUÍDA"))</f>
        <v>4</v>
      </c>
      <c r="X161" s="2" t="n">
        <f aca="false">IF(R161="","",COUNTIFS($C$5:$C$6004,R161,$O$5:$O$6004,"EM ANDAMENTO"))</f>
        <v>0</v>
      </c>
      <c r="Y161" s="2" t="n">
        <f aca="false">IF(R161="","",IF(COUNTIFS($C$5:$C$6004,R161,$O$5:$O$6004,"CONCLUÍDA",$N$5:$N$6004,"&gt;=-99")=0,"",_xlfn.MAXIFS($N$5:$N$6004,$C$5:$C$6004,R161,$O$5:$O$6004,"CONCLUÍDA")))</f>
        <v>1</v>
      </c>
      <c r="Z161" s="2" t="str">
        <f aca="false">IF(R161="","",IF(COUNTIFS($C$5:$C$6004,R161,$O$5:$O$6004,"EM ANDAMENTO",$N$5:$N$6004,"&gt;=-99")=0,"",_xlfn.MAXIFS($N$5:$N$6004,$C$5:$C$6004,R161,$O$5:$O$6004,"EM ANDAMENTO")))</f>
        <v/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>Marcenaria: até 1º pav.</v>
      </c>
    </row>
    <row r="162" customFormat="false" ht="15" hidden="false" customHeight="false" outlineLevel="0" collapsed="false">
      <c r="B162" s="4" t="n">
        <v>10711188</v>
      </c>
      <c r="C162" s="4" t="s">
        <v>2637</v>
      </c>
      <c r="D162" s="4" t="s">
        <v>3025</v>
      </c>
      <c r="E162" s="4" t="s">
        <v>81</v>
      </c>
      <c r="F162" s="127" t="n">
        <v>45789</v>
      </c>
      <c r="G162" s="127" t="n">
        <v>45790</v>
      </c>
      <c r="H162" s="127" t="n">
        <v>46293</v>
      </c>
      <c r="I162" s="4" t="n">
        <v>100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16</v>
      </c>
      <c r="N162" s="2" t="str">
        <f aca="false">IF(E162="","",IF(ISNUMBER(SEARCH("SUBSOLO",E162)),IFERROR(-VALUE(LEFT(E162,FIND("º",SUBSTITUTE(E162,"°","º"))-1)),-1),IF(LEFT(E162,6)="TÉRREO",0,IFERROR(VALUE(LEFT(E162,FIND("º",SUBSTITUTE(E162,"°","º"))-1)),""))))</f>
        <v/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3026</v>
      </c>
      <c r="S162" s="4" t="s">
        <v>204</v>
      </c>
      <c r="T162" s="4" t="s">
        <v>3027</v>
      </c>
      <c r="U162" s="4" t="s">
        <v>2613</v>
      </c>
      <c r="V162" s="2" t="n">
        <f aca="false">IF(R162="","",COUNTIF($C$5:$C$6004,R162))</f>
        <v>4</v>
      </c>
      <c r="W162" s="2" t="n">
        <f aca="false">IF(R162="","",COUNTIFS($C$5:$C$6004,R162,$O$5:$O$6004,"CONCLUÍDA"))</f>
        <v>2</v>
      </c>
      <c r="X162" s="2" t="n">
        <f aca="false">IF(R162="","",COUNTIFS($C$5:$C$6004,R162,$O$5:$O$6004,"EM ANDAMENTO"))</f>
        <v>1</v>
      </c>
      <c r="Y162" s="2" t="str">
        <f aca="false">IF(R162="","",IF(COUNTIFS($C$5:$C$6004,R162,$O$5:$O$6004,"CONCLUÍDA",$N$5:$N$6004,"&gt;=-99")=0,"",_xlfn.MAXIFS($N$5:$N$6004,$C$5:$C$6004,R162,$O$5:$O$6004,"CONCLUÍDA")))</f>
        <v/>
      </c>
      <c r="Z162" s="2" t="str">
        <f aca="false">IF(R162="","",IF(COUNTIFS($C$5:$C$6004,R162,$O$5:$O$6004,"EM ANDAMENTO",$N$5:$N$6004,"&gt;=-99")=0,"",_xlfn.MAXIFS($N$5:$N$6004,$C$5:$C$6004,R162,$O$5:$O$6004,"EM ANDAMENTO")))</f>
        <v/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>Pintura espala fechada - fase 2: 2 de 4 concluídas</v>
      </c>
    </row>
    <row r="163" customFormat="false" ht="15" hidden="false" customHeight="false" outlineLevel="0" collapsed="false">
      <c r="B163" s="4" t="n">
        <v>10711189</v>
      </c>
      <c r="C163" s="4" t="s">
        <v>2637</v>
      </c>
      <c r="D163" s="4" t="s">
        <v>3028</v>
      </c>
      <c r="E163" s="4" t="s">
        <v>81</v>
      </c>
      <c r="F163" s="127" t="n">
        <v>45789</v>
      </c>
      <c r="G163" s="127" t="n">
        <v>45790</v>
      </c>
      <c r="H163" s="127" t="n">
        <v>46293</v>
      </c>
      <c r="I163" s="4" t="n">
        <v>100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16</v>
      </c>
      <c r="N163" s="2" t="str">
        <f aca="false">IF(E163="","",IF(ISNUMBER(SEARCH("SUBSOLO",E163)),IFERROR(-VALUE(LEFT(E163,FIND("º",SUBSTITUTE(E163,"°","º"))-1)),-1),IF(LEFT(E163,6)="TÉRREO",0,IFERROR(VALUE(LEFT(E163,FIND("º",SUBSTITUTE(E163,"°","º"))-1)),""))))</f>
        <v/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3029</v>
      </c>
      <c r="S163" s="4"/>
      <c r="T163" s="4" t="s">
        <v>3030</v>
      </c>
      <c r="U163" s="4" t="s">
        <v>2613</v>
      </c>
      <c r="V163" s="2" t="n">
        <f aca="false">IF(R163="","",COUNTIF($C$5:$C$6004,R163))</f>
        <v>62</v>
      </c>
      <c r="W163" s="2" t="n">
        <f aca="false">IF(R163="","",COUNTIFS($C$5:$C$6004,R163,$O$5:$O$6004,"CONCLUÍDA"))</f>
        <v>10</v>
      </c>
      <c r="X163" s="2" t="n">
        <f aca="false">IF(R163="","",COUNTIFS($C$5:$C$6004,R163,$O$5:$O$6004,"EM ANDAMENTO"))</f>
        <v>2</v>
      </c>
      <c r="Y163" s="2" t="n">
        <f aca="false">IF(R163="","",IF(COUNTIFS($C$5:$C$6004,R163,$O$5:$O$6004,"CONCLUÍDA",$N$5:$N$6004,"&gt;=-99")=0,"",_xlfn.MAXIFS($N$5:$N$6004,$C$5:$C$6004,R163,$O$5:$O$6004,"CONCLUÍDA")))</f>
        <v>2</v>
      </c>
      <c r="Z163" s="2" t="n">
        <f aca="false">IF(R163="","",IF(COUNTIFS($C$5:$C$6004,R163,$O$5:$O$6004,"EM ANDAMENTO",$N$5:$N$6004,"&gt;=-99")=0,"",_xlfn.MAXIFS($N$5:$N$6004,$C$5:$C$6004,R163,$O$5:$O$6004,"EM ANDAMENTO")))</f>
        <v>-2</v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10711190</v>
      </c>
      <c r="C164" s="4" t="s">
        <v>2637</v>
      </c>
      <c r="D164" s="4" t="s">
        <v>3031</v>
      </c>
      <c r="E164" s="4" t="s">
        <v>81</v>
      </c>
      <c r="F164" s="127" t="n">
        <v>45789</v>
      </c>
      <c r="G164" s="127" t="n">
        <v>45790</v>
      </c>
      <c r="H164" s="127" t="n">
        <v>46293</v>
      </c>
      <c r="I164" s="4" t="n">
        <v>100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16</v>
      </c>
      <c r="N164" s="2" t="str">
        <f aca="false">IF(E164="","",IF(ISNUMBER(SEARCH("SUBSOLO",E164)),IFERROR(-VALUE(LEFT(E164,FIND("º",SUBSTITUTE(E164,"°","º"))-1)),-1),IF(LEFT(E164,6)="TÉRREO",0,IFERROR(VALUE(LEFT(E164,FIND("º",SUBSTITUTE(E164,"°","º"))-1)),""))))</f>
        <v/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3032</v>
      </c>
      <c r="S164" s="4" t="s">
        <v>213</v>
      </c>
      <c r="T164" s="4" t="s">
        <v>3033</v>
      </c>
      <c r="U164" s="4" t="s">
        <v>2613</v>
      </c>
      <c r="V164" s="2" t="n">
        <f aca="false">IF(R164="","",COUNTIF($C$5:$C$6004,R164))</f>
        <v>44</v>
      </c>
      <c r="W164" s="2" t="n">
        <f aca="false">IF(R164="","",COUNTIFS($C$5:$C$6004,R164,$O$5:$O$6004,"CONCLUÍDA"))</f>
        <v>6</v>
      </c>
      <c r="X164" s="2" t="n">
        <f aca="false">IF(R164="","",COUNTIFS($C$5:$C$6004,R164,$O$5:$O$6004,"EM ANDAMENTO"))</f>
        <v>0</v>
      </c>
      <c r="Y164" s="2" t="n">
        <f aca="false">IF(R164="","",IF(COUNTIFS($C$5:$C$6004,R164,$O$5:$O$6004,"CONCLUÍDA",$N$5:$N$6004,"&gt;=-99")=0,"",_xlfn.MAXIFS($N$5:$N$6004,$C$5:$C$6004,R164,$O$5:$O$6004,"CONCLUÍDA")))</f>
        <v>2</v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>Pintura 3ª demão: até 2º pav.</v>
      </c>
    </row>
    <row r="165" customFormat="false" ht="15" hidden="false" customHeight="false" outlineLevel="0" collapsed="false">
      <c r="B165" s="4" t="n">
        <v>10711191</v>
      </c>
      <c r="C165" s="4" t="s">
        <v>2637</v>
      </c>
      <c r="D165" s="4" t="s">
        <v>3034</v>
      </c>
      <c r="E165" s="4" t="s">
        <v>81</v>
      </c>
      <c r="F165" s="127" t="n">
        <v>45839</v>
      </c>
      <c r="G165" s="127" t="n">
        <v>45840</v>
      </c>
      <c r="H165" s="127" t="n">
        <v>46293</v>
      </c>
      <c r="I165" s="4" t="n">
        <v>100</v>
      </c>
      <c r="J165" s="4" t="n">
        <v>100</v>
      </c>
      <c r="K165" s="4" t="n">
        <v>100</v>
      </c>
      <c r="M165" s="2" t="str">
        <f aca="false">IF(C165="","",IFERROR(INDEX($S$5:$S$304,MATCH(C165,$R$5:$R$304,0))&amp;"","?"))</f>
        <v>16</v>
      </c>
      <c r="N165" s="2" t="str">
        <f aca="false">IF(E165="","",IF(ISNUMBER(SEARCH("SUBSOLO",E165)),IFERROR(-VALUE(LEFT(E165,FIND("º",SUBSTITUTE(E165,"°","º"))-1)),-1),IF(LEFT(E165,6)="TÉRREO",0,IFERROR(VALUE(LEFT(E165,FIND("º",SUBSTITUTE(E165,"°","º"))-1)),""))))</f>
        <v/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3035</v>
      </c>
      <c r="S165" s="4" t="s">
        <v>204</v>
      </c>
      <c r="T165" s="4" t="s">
        <v>3036</v>
      </c>
      <c r="U165" s="4" t="s">
        <v>2613</v>
      </c>
      <c r="V165" s="2" t="n">
        <f aca="false">IF(R165="","",COUNTIF($C$5:$C$6004,R165))</f>
        <v>4</v>
      </c>
      <c r="W165" s="2" t="n">
        <f aca="false">IF(R165="","",COUNTIFS($C$5:$C$6004,R165,$O$5:$O$6004,"CONCLUÍDA"))</f>
        <v>1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>Granito fachada: 1 de 4 concluídas</v>
      </c>
    </row>
    <row r="166" customFormat="false" ht="15" hidden="false" customHeight="false" outlineLevel="0" collapsed="false">
      <c r="B166" s="4" t="n">
        <v>10711197</v>
      </c>
      <c r="C166" s="4" t="s">
        <v>2637</v>
      </c>
      <c r="D166" s="4" t="s">
        <v>3037</v>
      </c>
      <c r="E166" s="4" t="s">
        <v>81</v>
      </c>
      <c r="F166" s="127" t="n">
        <v>45842</v>
      </c>
      <c r="G166" s="127" t="n">
        <v>45845</v>
      </c>
      <c r="H166" s="127" t="n">
        <v>46293</v>
      </c>
      <c r="I166" s="4" t="n">
        <v>100</v>
      </c>
      <c r="J166" s="4" t="n">
        <v>100</v>
      </c>
      <c r="K166" s="4" t="n">
        <v>100</v>
      </c>
      <c r="M166" s="2" t="str">
        <f aca="false">IF(C166="","",IFERROR(INDEX($S$5:$S$304,MATCH(C166,$R$5:$R$304,0))&amp;"","?"))</f>
        <v>16</v>
      </c>
      <c r="N166" s="2" t="str">
        <f aca="false">IF(E166="","",IF(ISNUMBER(SEARCH("SUBSOLO",E166)),IFERROR(-VALUE(LEFT(E166,FIND("º",SUBSTITUTE(E166,"°","º"))-1)),-1),IF(LEFT(E166,6)="TÉRREO",0,IFERROR(VALUE(LEFT(E166,FIND("º",SUBSTITUTE(E166,"°","º"))-1)),""))))</f>
        <v/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3038</v>
      </c>
      <c r="S166" s="4" t="s">
        <v>185</v>
      </c>
      <c r="T166" s="4" t="s">
        <v>3039</v>
      </c>
      <c r="U166" s="4" t="s">
        <v>2613</v>
      </c>
      <c r="V166" s="2" t="n">
        <f aca="false">IF(R166="","",COUNTIF($C$5:$C$6004,R166))</f>
        <v>7</v>
      </c>
      <c r="W166" s="2" t="n">
        <f aca="false">IF(R166="","",COUNTIFS($C$5:$C$6004,R166,$O$5:$O$6004,"CONCLUÍDA"))</f>
        <v>4</v>
      </c>
      <c r="X166" s="2" t="n">
        <f aca="false">IF(R166="","",COUNTIFS($C$5:$C$6004,R166,$O$5:$O$6004,"EM ANDAMENTO"))</f>
        <v>0</v>
      </c>
      <c r="Y166" s="2" t="n">
        <f aca="false">IF(R166="","",IF(COUNTIFS($C$5:$C$6004,R166,$O$5:$O$6004,"CONCLUÍDA",$N$5:$N$6004,"&gt;=-99")=0,"",_xlfn.MAXIFS($N$5:$N$6004,$C$5:$C$6004,R166,$O$5:$O$6004,"CONCLUÍDA")))</f>
        <v>-1</v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>PCF (folhas): até 1º subsolo</v>
      </c>
    </row>
    <row r="167" customFormat="false" ht="15" hidden="false" customHeight="false" outlineLevel="0" collapsed="false">
      <c r="B167" s="4" t="n">
        <v>10711203</v>
      </c>
      <c r="C167" s="4" t="s">
        <v>2637</v>
      </c>
      <c r="D167" s="4" t="s">
        <v>3040</v>
      </c>
      <c r="E167" s="4" t="s">
        <v>81</v>
      </c>
      <c r="F167" s="127" t="n">
        <v>45845</v>
      </c>
      <c r="G167" s="127" t="n">
        <v>45849</v>
      </c>
      <c r="H167" s="127" t="n">
        <v>46293</v>
      </c>
      <c r="I167" s="4" t="n">
        <v>100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16</v>
      </c>
      <c r="N167" s="2" t="str">
        <f aca="false">IF(E167="","",IF(ISNUMBER(SEARCH("SUBSOLO",E167)),IFERROR(-VALUE(LEFT(E167,FIND("º",SUBSTITUTE(E167,"°","º"))-1)),-1),IF(LEFT(E167,6)="TÉRREO",0,IFERROR(VALUE(LEFT(E167,FIND("º",SUBSTITUTE(E167,"°","º"))-1)),""))))</f>
        <v/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3041</v>
      </c>
      <c r="S167" s="4" t="s">
        <v>168</v>
      </c>
      <c r="T167" s="4" t="s">
        <v>1292</v>
      </c>
      <c r="U167" s="4" t="s">
        <v>2620</v>
      </c>
      <c r="V167" s="2" t="n">
        <f aca="false">IF(R167="","",COUNTIF($C$5:$C$6004,R167))</f>
        <v>2</v>
      </c>
      <c r="W167" s="2" t="n">
        <f aca="false">IF(R167="","",COUNTIFS($C$5:$C$6004,R167,$O$5:$O$6004,"CONCLUÍDA"))</f>
        <v>2</v>
      </c>
      <c r="X167" s="2" t="n">
        <f aca="false">IF(R167="","",COUNTIFS($C$5:$C$6004,R167,$O$5:$O$6004,"EM ANDAMENTO"))</f>
        <v>0</v>
      </c>
      <c r="Y167" s="2" t="n">
        <f aca="false">IF(R167="","",IF(COUNTIFS($C$5:$C$6004,R167,$O$5:$O$6004,"CONCLUÍDA",$N$5:$N$6004,"&gt;=-99")=0,"",_xlfn.MAXIFS($N$5:$N$6004,$C$5:$C$6004,R167,$O$5:$O$6004,"CONCLUÍDA")))</f>
        <v>-1</v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10711209</v>
      </c>
      <c r="C168" s="4" t="s">
        <v>2637</v>
      </c>
      <c r="D168" s="4" t="s">
        <v>3042</v>
      </c>
      <c r="E168" s="4" t="s">
        <v>81</v>
      </c>
      <c r="F168" s="127" t="n">
        <v>45838</v>
      </c>
      <c r="G168" s="127" t="n">
        <v>45838</v>
      </c>
      <c r="H168" s="127" t="n">
        <v>46293</v>
      </c>
      <c r="I168" s="4" t="n">
        <v>100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16</v>
      </c>
      <c r="N168" s="2" t="str">
        <f aca="false">IF(E168="","",IF(ISNUMBER(SEARCH("SUBSOLO",E168)),IFERROR(-VALUE(LEFT(E168,FIND("º",SUBSTITUTE(E168,"°","º"))-1)),-1),IF(LEFT(E168,6)="TÉRREO",0,IFERROR(VALUE(LEFT(E168,FIND("º",SUBSTITUTE(E168,"°","º"))-1)),""))))</f>
        <v/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3043</v>
      </c>
      <c r="S168" s="4" t="s">
        <v>198</v>
      </c>
      <c r="T168" s="4" t="s">
        <v>3044</v>
      </c>
      <c r="U168" s="4" t="s">
        <v>2620</v>
      </c>
      <c r="V168" s="2" t="n">
        <f aca="false">IF(R168="","",COUNTIF($C$5:$C$6004,R168))</f>
        <v>5</v>
      </c>
      <c r="W168" s="2" t="n">
        <f aca="false">IF(R168="","",COUNTIFS($C$5:$C$6004,R168,$O$5:$O$6004,"CONCLUÍDA"))</f>
        <v>1</v>
      </c>
      <c r="X168" s="2" t="n">
        <f aca="false">IF(R168="","",COUNTIFS($C$5:$C$6004,R168,$O$5:$O$6004,"EM ANDAMENTO"))</f>
        <v>1</v>
      </c>
      <c r="Y168" s="2" t="n">
        <f aca="false">IF(R168="","",IF(COUNTIFS($C$5:$C$6004,R168,$O$5:$O$6004,"CONCLUÍDA",$N$5:$N$6004,"&gt;=-99")=0,"",_xlfn.MAXIFS($N$5:$N$6004,$C$5:$C$6004,R168,$O$5:$O$6004,"CONCLUÍDA")))</f>
        <v>3</v>
      </c>
      <c r="Z168" s="2" t="n">
        <f aca="false">IF(R168="","",IF(COUNTIFS($C$5:$C$6004,R168,$O$5:$O$6004,"EM ANDAMENTO",$N$5:$N$6004,"&gt;=-99")=0,"",_xlfn.MAXIFS($N$5:$N$6004,$C$5:$C$6004,R168,$O$5:$O$6004,"EM ANDAMENTO")))</f>
        <v>1</v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10711210</v>
      </c>
      <c r="C169" s="4" t="s">
        <v>2637</v>
      </c>
      <c r="D169" s="4" t="s">
        <v>3045</v>
      </c>
      <c r="E169" s="4" t="s">
        <v>81</v>
      </c>
      <c r="F169" s="127" t="n">
        <v>45838</v>
      </c>
      <c r="G169" s="127" t="n">
        <v>45838</v>
      </c>
      <c r="H169" s="127" t="n">
        <v>46293</v>
      </c>
      <c r="I169" s="4" t="n">
        <v>100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str">
        <f aca="false">IF(E169="","",IF(ISNUMBER(SEARCH("SUBSOLO",E169)),IFERROR(-VALUE(LEFT(E169,FIND("º",SUBSTITUTE(E169,"°","º"))-1)),-1),IF(LEFT(E169,6)="TÉRREO",0,IFERROR(VALUE(LEFT(E169,FIND("º",SUBSTITUTE(E169,"°","º"))-1)),""))))</f>
        <v/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3046</v>
      </c>
      <c r="S169" s="4" t="s">
        <v>185</v>
      </c>
      <c r="T169" s="4" t="s">
        <v>3047</v>
      </c>
      <c r="U169" s="4" t="s">
        <v>2613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1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>Pontos de ancoragem inox: concluído</v>
      </c>
    </row>
    <row r="170" customFormat="false" ht="15" hidden="false" customHeight="false" outlineLevel="0" collapsed="false">
      <c r="B170" s="4" t="n">
        <v>10711211</v>
      </c>
      <c r="C170" s="4" t="s">
        <v>2637</v>
      </c>
      <c r="D170" s="4" t="s">
        <v>3048</v>
      </c>
      <c r="E170" s="4" t="s">
        <v>81</v>
      </c>
      <c r="F170" s="127" t="n">
        <v>45838</v>
      </c>
      <c r="G170" s="127" t="n">
        <v>45838</v>
      </c>
      <c r="H170" s="127" t="n">
        <v>46293</v>
      </c>
      <c r="I170" s="4" t="n">
        <v>100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str">
        <f aca="false">IF(E170="","",IF(ISNUMBER(SEARCH("SUBSOLO",E170)),IFERROR(-VALUE(LEFT(E170,FIND("º",SUBSTITUTE(E170,"°","º"))-1)),-1),IF(LEFT(E170,6)="TÉRREO",0,IFERROR(VALUE(LEFT(E170,FIND("º",SUBSTITUTE(E170,"°","º"))-1)),""))))</f>
        <v/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3049</v>
      </c>
      <c r="S170" s="4" t="s">
        <v>179</v>
      </c>
      <c r="T170" s="4" t="s">
        <v>3050</v>
      </c>
      <c r="U170" s="4" t="s">
        <v>2613</v>
      </c>
      <c r="V170" s="2" t="n">
        <f aca="false">IF(R170="","",COUNTIF($C$5:$C$6004,R170))</f>
        <v>1</v>
      </c>
      <c r="W170" s="2" t="n">
        <f aca="false">IF(R170="","",COUNTIFS($C$5:$C$6004,R170,$O$5:$O$6004,"CONCLUÍDA"))</f>
        <v>1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>Elevadores social - 01: concluído</v>
      </c>
    </row>
    <row r="171" customFormat="false" ht="15" hidden="false" customHeight="false" outlineLevel="0" collapsed="false">
      <c r="B171" s="4" t="n">
        <v>10711212</v>
      </c>
      <c r="C171" s="4" t="s">
        <v>2637</v>
      </c>
      <c r="D171" s="4" t="s">
        <v>3051</v>
      </c>
      <c r="E171" s="4" t="s">
        <v>81</v>
      </c>
      <c r="F171" s="127" t="n">
        <v>45838</v>
      </c>
      <c r="G171" s="127" t="n">
        <v>45838</v>
      </c>
      <c r="H171" s="127" t="n">
        <v>46293</v>
      </c>
      <c r="I171" s="4" t="n">
        <v>100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str">
        <f aca="false">IF(E171="","",IF(ISNUMBER(SEARCH("SUBSOLO",E171)),IFERROR(-VALUE(LEFT(E171,FIND("º",SUBSTITUTE(E171,"°","º"))-1)),-1),IF(LEFT(E171,6)="TÉRREO",0,IFERROR(VALUE(LEFT(E171,FIND("º",SUBSTITUTE(E171,"°","º"))-1)),""))))</f>
        <v/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3052</v>
      </c>
      <c r="S171" s="4" t="s">
        <v>179</v>
      </c>
      <c r="T171" s="4" t="s">
        <v>3053</v>
      </c>
      <c r="U171" s="4" t="s">
        <v>2613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1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>Elevadores social - 02: concluído</v>
      </c>
    </row>
    <row r="172" customFormat="false" ht="15" hidden="false" customHeight="false" outlineLevel="0" collapsed="false">
      <c r="B172" s="4" t="n">
        <v>10711213</v>
      </c>
      <c r="C172" s="4" t="s">
        <v>2637</v>
      </c>
      <c r="D172" s="4" t="s">
        <v>3054</v>
      </c>
      <c r="E172" s="4" t="s">
        <v>81</v>
      </c>
      <c r="F172" s="127" t="n">
        <v>45838</v>
      </c>
      <c r="G172" s="127" t="n">
        <v>45838</v>
      </c>
      <c r="H172" s="127" t="n">
        <v>46293</v>
      </c>
      <c r="I172" s="4" t="n">
        <v>100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str">
        <f aca="false">IF(E172="","",IF(ISNUMBER(SEARCH("SUBSOLO",E172)),IFERROR(-VALUE(LEFT(E172,FIND("º",SUBSTITUTE(E172,"°","º"))-1)),-1),IF(LEFT(E172,6)="TÉRREO",0,IFERROR(VALUE(LEFT(E172,FIND("º",SUBSTITUTE(E172,"°","º"))-1)),""))))</f>
        <v/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3055</v>
      </c>
      <c r="S172" s="4" t="s">
        <v>182</v>
      </c>
      <c r="T172" s="4" t="s">
        <v>1620</v>
      </c>
      <c r="U172" s="4" t="s">
        <v>2613</v>
      </c>
      <c r="V172" s="2" t="n">
        <f aca="false">IF(R172="","",COUNTIF($C$5:$C$6004,R172))</f>
        <v>32</v>
      </c>
      <c r="W172" s="2" t="n">
        <f aca="false">IF(R172="","",COUNTIFS($C$5:$C$6004,R172,$O$5:$O$6004,"CONCLUÍDA"))</f>
        <v>3</v>
      </c>
      <c r="X172" s="2" t="n">
        <f aca="false">IF(R172="","",COUNTIFS($C$5:$C$6004,R172,$O$5:$O$6004,"EM ANDAMENTO"))</f>
        <v>1</v>
      </c>
      <c r="Y172" s="2" t="n">
        <f aca="false">IF(R172="","",IF(COUNTIFS($C$5:$C$6004,R172,$O$5:$O$6004,"CONCLUÍDA",$N$5:$N$6004,"&gt;=-99")=0,"",_xlfn.MAXIFS($N$5:$N$6004,$C$5:$C$6004,R172,$O$5:$O$6004,"CONCLUÍDA")))</f>
        <v>4</v>
      </c>
      <c r="Z172" s="2" t="n">
        <f aca="false">IF(R172="","",IF(COUNTIFS($C$5:$C$6004,R172,$O$5:$O$6004,"EM ANDAMENTO",$N$5:$N$6004,"&gt;=-99")=0,"",_xlfn.MAXIFS($N$5:$N$6004,$C$5:$C$6004,R172,$O$5:$O$6004,"EM ANDAMENTO")))</f>
        <v>5</v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>Esquadrias de alumínio: até 4º pav., executando 5º pav.</v>
      </c>
    </row>
    <row r="173" customFormat="false" ht="15" hidden="false" customHeight="false" outlineLevel="0" collapsed="false">
      <c r="B173" s="4" t="n">
        <v>10711214</v>
      </c>
      <c r="C173" s="4" t="s">
        <v>2637</v>
      </c>
      <c r="D173" s="4" t="s">
        <v>3056</v>
      </c>
      <c r="E173" s="4" t="s">
        <v>81</v>
      </c>
      <c r="F173" s="127" t="n">
        <v>45838</v>
      </c>
      <c r="G173" s="127" t="n">
        <v>45838</v>
      </c>
      <c r="H173" s="127" t="n">
        <v>46293</v>
      </c>
      <c r="I173" s="4" t="n">
        <v>100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str">
        <f aca="false">IF(E173="","",IF(ISNUMBER(SEARCH("SUBSOLO",E173)),IFERROR(-VALUE(LEFT(E173,FIND("º",SUBSTITUTE(E173,"°","º"))-1)),-1),IF(LEFT(E173,6)="TÉRREO",0,IFERROR(VALUE(LEFT(E173,FIND("º",SUBSTITUTE(E173,"°","º"))-1)),""))))</f>
        <v/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3057</v>
      </c>
      <c r="S173" s="4" t="s">
        <v>185</v>
      </c>
      <c r="T173" s="4" t="s">
        <v>3058</v>
      </c>
      <c r="U173" s="4" t="s">
        <v>2613</v>
      </c>
      <c r="V173" s="2" t="n">
        <f aca="false">IF(R173="","",COUNTIF($C$5:$C$6004,R173))</f>
        <v>5</v>
      </c>
      <c r="W173" s="2" t="n">
        <f aca="false">IF(R173="","",COUNTIFS($C$5:$C$6004,R173,$O$5:$O$6004,"CONCLUÍDA"))</f>
        <v>3</v>
      </c>
      <c r="X173" s="2" t="n">
        <f aca="false">IF(R173="","",COUNTIFS($C$5:$C$6004,R173,$O$5:$O$6004,"EM ANDAMENTO"))</f>
        <v>0</v>
      </c>
      <c r="Y173" s="2" t="n">
        <f aca="false">IF(R173="","",IF(COUNTIFS($C$5:$C$6004,R173,$O$5:$O$6004,"CONCLUÍDA",$N$5:$N$6004,"&gt;=-99")=0,"",_xlfn.MAXIFS($N$5:$N$6004,$C$5:$C$6004,R173,$O$5:$O$6004,"CONCLUÍDA")))</f>
        <v>2</v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>Guarda- corpo: até 2º pav.</v>
      </c>
    </row>
    <row r="174" customFormat="false" ht="15" hidden="false" customHeight="false" outlineLevel="0" collapsed="false">
      <c r="B174" s="4" t="n">
        <v>10711215</v>
      </c>
      <c r="C174" s="4" t="s">
        <v>2637</v>
      </c>
      <c r="D174" s="4" t="s">
        <v>3059</v>
      </c>
      <c r="E174" s="4" t="s">
        <v>81</v>
      </c>
      <c r="F174" s="127" t="n">
        <v>45841</v>
      </c>
      <c r="G174" s="127" t="n">
        <v>45841</v>
      </c>
      <c r="H174" s="127" t="n">
        <v>46293</v>
      </c>
      <c r="I174" s="4" t="n">
        <v>100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str">
        <f aca="false">IF(E174="","",IF(ISNUMBER(SEARCH("SUBSOLO",E174)),IFERROR(-VALUE(LEFT(E174,FIND("º",SUBSTITUTE(E174,"°","º"))-1)),-1),IF(LEFT(E174,6)="TÉRREO",0,IFERROR(VALUE(LEFT(E174,FIND("º",SUBSTITUTE(E174,"°","º"))-1)),""))))</f>
        <v/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3060</v>
      </c>
      <c r="S174" s="4" t="s">
        <v>198</v>
      </c>
      <c r="T174" s="4" t="s">
        <v>3061</v>
      </c>
      <c r="U174" s="4" t="s">
        <v>2620</v>
      </c>
      <c r="V174" s="2" t="n">
        <f aca="false">IF(R174="","",COUNTIF($C$5:$C$6004,R174))</f>
        <v>2</v>
      </c>
      <c r="W174" s="2" t="n">
        <f aca="false">IF(R174="","",COUNTIFS($C$5:$C$6004,R174,$O$5:$O$6004,"CONCLUÍDA"))</f>
        <v>1</v>
      </c>
      <c r="X174" s="2" t="n">
        <f aca="false">IF(R174="","",COUNTIFS($C$5:$C$6004,R174,$O$5:$O$6004,"EM ANDAMENTO"))</f>
        <v>1</v>
      </c>
      <c r="Y174" s="2" t="n">
        <f aca="false">IF(R174="","",IF(COUNTIFS($C$5:$C$6004,R174,$O$5:$O$6004,"CONCLUÍDA",$N$5:$N$6004,"&gt;=-99")=0,"",_xlfn.MAXIFS($N$5:$N$6004,$C$5:$C$6004,R174,$O$5:$O$6004,"CONCLUÍDA")))</f>
        <v>3</v>
      </c>
      <c r="Z174" s="2" t="n">
        <f aca="false">IF(R174="","",IF(COUNTIFS($C$5:$C$6004,R174,$O$5:$O$6004,"EM ANDAMENTO",$N$5:$N$6004,"&gt;=-99")=0,"",_xlfn.MAXIFS($N$5:$N$6004,$C$5:$C$6004,R174,$O$5:$O$6004,"EM ANDAMENTO")))</f>
        <v>3</v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10711221</v>
      </c>
      <c r="C175" s="4" t="s">
        <v>2637</v>
      </c>
      <c r="D175" s="4" t="s">
        <v>3062</v>
      </c>
      <c r="E175" s="4" t="s">
        <v>81</v>
      </c>
      <c r="F175" s="127" t="n">
        <v>45846</v>
      </c>
      <c r="G175" s="127" t="n">
        <v>45846</v>
      </c>
      <c r="H175" s="127" t="n">
        <v>46293</v>
      </c>
      <c r="I175" s="4" t="n">
        <v>100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str">
        <f aca="false">IF(E175="","",IF(ISNUMBER(SEARCH("SUBSOLO",E175)),IFERROR(-VALUE(LEFT(E175,FIND("º",SUBSTITUTE(E175,"°","º"))-1)),-1),IF(LEFT(E175,6)="TÉRREO",0,IFERROR(VALUE(LEFT(E175,FIND("º",SUBSTITUTE(E175,"°","º"))-1)),""))))</f>
        <v/>
      </c>
      <c r="O175" s="2" t="str">
        <f aca="false">IF(OR(F175="",G175=""),"",IF(G175&lt;='RETRATO 2027'!$K$5,"CONCLUÍDA",IF(F175&lt;='RETRATO 2027'!$K$5,"EM ANDAMENTO","A INICIAR")))</f>
        <v>CONCLUÍDA</v>
      </c>
      <c r="R175" s="4" t="s">
        <v>3063</v>
      </c>
      <c r="S175" s="4" t="s">
        <v>201</v>
      </c>
      <c r="T175" s="4" t="s">
        <v>3064</v>
      </c>
      <c r="U175" s="4" t="s">
        <v>2613</v>
      </c>
      <c r="V175" s="2" t="n">
        <f aca="false">IF(R175="","",COUNTIF($C$5:$C$6004,R175))</f>
        <v>6</v>
      </c>
      <c r="W175" s="2" t="n">
        <f aca="false">IF(R175="","",COUNTIFS($C$5:$C$6004,R175,$O$5:$O$6004,"CONCLUÍDA"))</f>
        <v>2</v>
      </c>
      <c r="X175" s="2" t="n">
        <f aca="false">IF(R175="","",COUNTIFS($C$5:$C$6004,R175,$O$5:$O$6004,"EM ANDAMENTO"))</f>
        <v>1</v>
      </c>
      <c r="Y175" s="2" t="n">
        <f aca="false">IF(R175="","",IF(COUNTIFS($C$5:$C$6004,R175,$O$5:$O$6004,"CONCLUÍDA",$N$5:$N$6004,"&gt;=-99")=0,"",_xlfn.MAXIFS($N$5:$N$6004,$C$5:$C$6004,R175,$O$5:$O$6004,"CONCLUÍDA")))</f>
        <v>-1</v>
      </c>
      <c r="Z175" s="2" t="n">
        <f aca="false">IF(R175="","",IF(COUNTIFS($C$5:$C$6004,R175,$O$5:$O$6004,"EM ANDAMENTO",$N$5:$N$6004,"&gt;=-99")=0,"",_xlfn.MAXIFS($N$5:$N$6004,$C$5:$C$6004,R175,$O$5:$O$6004,"EM ANDAMENTO")))</f>
        <v>-2</v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>Pintura de demarcação de vagas: até 1º subsolo (restam serviços no 2º subsolo)</v>
      </c>
    </row>
    <row r="176" customFormat="false" ht="15" hidden="false" customHeight="false" outlineLevel="0" collapsed="false">
      <c r="B176" s="4" t="n">
        <v>10711227</v>
      </c>
      <c r="C176" s="4" t="s">
        <v>2637</v>
      </c>
      <c r="D176" s="4" t="s">
        <v>3065</v>
      </c>
      <c r="E176" s="4" t="s">
        <v>81</v>
      </c>
      <c r="F176" s="127" t="n">
        <v>45852</v>
      </c>
      <c r="G176" s="127" t="n">
        <v>45852</v>
      </c>
      <c r="H176" s="127" t="n">
        <v>46293</v>
      </c>
      <c r="I176" s="4" t="n">
        <v>100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str">
        <f aca="false">IF(E176="","",IF(ISNUMBER(SEARCH("SUBSOLO",E176)),IFERROR(-VALUE(LEFT(E176,FIND("º",SUBSTITUTE(E176,"°","º"))-1)),-1),IF(LEFT(E176,6)="TÉRREO",0,IFERROR(VALUE(LEFT(E176,FIND("º",SUBSTITUTE(E176,"°","º"))-1)),""))))</f>
        <v/>
      </c>
      <c r="O176" s="2" t="str">
        <f aca="false">IF(OR(F176="",G176=""),"",IF(G176&lt;='RETRATO 2027'!$K$5,"CONCLUÍDA",IF(F176&lt;='RETRATO 2027'!$K$5,"EM ANDAMENTO","A INICIAR")))</f>
        <v>CONCLUÍDA</v>
      </c>
      <c r="R176" s="4" t="s">
        <v>3066</v>
      </c>
      <c r="S176" s="4" t="s">
        <v>204</v>
      </c>
      <c r="T176" s="4" t="s">
        <v>3067</v>
      </c>
      <c r="U176" s="4" t="s">
        <v>2613</v>
      </c>
      <c r="V176" s="2" t="n">
        <f aca="false">IF(R176="","",COUNTIF($C$5:$C$6004,R176))</f>
        <v>4</v>
      </c>
      <c r="W176" s="2" t="n">
        <f aca="false">IF(R176="","",COUNTIFS($C$5:$C$6004,R176,$O$5:$O$6004,"CONCLUÍDA"))</f>
        <v>0</v>
      </c>
      <c r="X176" s="2" t="n">
        <f aca="false">IF(R176="","",COUNTIFS($C$5:$C$6004,R176,$O$5:$O$6004,"EM ANDAMENTO"))</f>
        <v>1</v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>Pintura/textura da fachada: em execução</v>
      </c>
    </row>
    <row r="177" customFormat="false" ht="15" hidden="false" customHeight="false" outlineLevel="0" collapsed="false">
      <c r="B177" s="4" t="n">
        <v>11111366</v>
      </c>
      <c r="C177" s="4" t="s">
        <v>2637</v>
      </c>
      <c r="D177" s="4" t="s">
        <v>3068</v>
      </c>
      <c r="E177" s="4" t="s">
        <v>81</v>
      </c>
      <c r="F177" s="127" t="n">
        <v>45883</v>
      </c>
      <c r="G177" s="127" t="n">
        <v>45890</v>
      </c>
      <c r="H177" s="127" t="n">
        <v>46293</v>
      </c>
      <c r="I177" s="4" t="n">
        <v>100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str">
        <f aca="false">IF(E177="","",IF(ISNUMBER(SEARCH("SUBSOLO",E177)),IFERROR(-VALUE(LEFT(E177,FIND("º",SUBSTITUTE(E177,"°","º"))-1)),-1),IF(LEFT(E177,6)="TÉRREO",0,IFERROR(VALUE(LEFT(E177,FIND("º",SUBSTITUTE(E177,"°","º"))-1)),""))))</f>
        <v/>
      </c>
      <c r="O177" s="2" t="str">
        <f aca="false">IF(OR(F177="",G177=""),"",IF(G177&lt;='RETRATO 2027'!$K$5,"CONCLUÍDA",IF(F177&lt;='RETRATO 2027'!$K$5,"EM ANDAMENTO","A INICIAR")))</f>
        <v>CONCLUÍDA</v>
      </c>
      <c r="R177" s="4" t="s">
        <v>217</v>
      </c>
      <c r="S177" s="4" t="s">
        <v>216</v>
      </c>
      <c r="T177" s="4" t="s">
        <v>2552</v>
      </c>
      <c r="U177" s="4" t="s">
        <v>2613</v>
      </c>
      <c r="V177" s="2" t="n">
        <f aca="false">IF(R177="","",COUNTIF($C$5:$C$6004,R177))</f>
        <v>5</v>
      </c>
      <c r="W177" s="2" t="n">
        <f aca="false">IF(R177="","",COUNTIFS($C$5:$C$6004,R177,$O$5:$O$6004,"CONCLUÍDA"))</f>
        <v>0</v>
      </c>
      <c r="X177" s="2" t="n">
        <f aca="false">IF(R177="","",COUNTIFS($C$5:$C$6004,R177,$O$5:$O$6004,"EM ANDAMENTO"))</f>
        <v>2</v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n">
        <f aca="false">IF(R177="","",IF(COUNTIFS($C$5:$C$6004,R177,$O$5:$O$6004,"EM ANDAMENTO",$N$5:$N$6004,"&gt;=-99")=0,"",_xlfn.MAXIFS($N$5:$N$6004,$C$5:$C$6004,R177,$O$5:$O$6004,"EM ANDAMENTO")))</f>
        <v>3</v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>Paisagismo: em execução (3º pav.)</v>
      </c>
    </row>
    <row r="178" customFormat="false" ht="15" hidden="false" customHeight="false" outlineLevel="0" collapsed="false">
      <c r="B178" s="4" t="n">
        <v>11111369</v>
      </c>
      <c r="C178" s="4" t="s">
        <v>2637</v>
      </c>
      <c r="D178" s="4" t="s">
        <v>3069</v>
      </c>
      <c r="E178" s="4" t="s">
        <v>81</v>
      </c>
      <c r="F178" s="127" t="n">
        <v>45828</v>
      </c>
      <c r="G178" s="127" t="n">
        <v>45834</v>
      </c>
      <c r="H178" s="127" t="n">
        <v>46293</v>
      </c>
      <c r="I178" s="4" t="n">
        <v>100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str">
        <f aca="false">IF(E178="","",IF(ISNUMBER(SEARCH("SUBSOLO",E178)),IFERROR(-VALUE(LEFT(E178,FIND("º",SUBSTITUTE(E178,"°","º"))-1)),-1),IF(LEFT(E178,6)="TÉRREO",0,IFERROR(VALUE(LEFT(E178,FIND("º",SUBSTITUTE(E178,"°","º"))-1)),""))))</f>
        <v/>
      </c>
      <c r="O178" s="2" t="str">
        <f aca="false">IF(OR(F178="",G178=""),"",IF(G178&lt;='RETRATO 2027'!$K$5,"CONCLUÍDA",IF(F178&lt;='RETRATO 2027'!$K$5,"EM ANDAMENTO","A INICIAR")))</f>
        <v>CONCLUÍDA</v>
      </c>
      <c r="R178" s="4" t="s">
        <v>3070</v>
      </c>
      <c r="S178" s="4" t="s">
        <v>204</v>
      </c>
      <c r="T178" s="4" t="s">
        <v>3071</v>
      </c>
      <c r="U178" s="4" t="s">
        <v>2613</v>
      </c>
      <c r="V178" s="2" t="n">
        <f aca="false">IF(R178="","",COUNTIF($C$5:$C$6004,R178))</f>
        <v>1</v>
      </c>
      <c r="W178" s="2" t="n">
        <f aca="false">IF(R178="","",COUNTIFS($C$5:$C$6004,R178,$O$5:$O$6004,"CONCLUÍDA"))</f>
        <v>0</v>
      </c>
      <c r="X178" s="2" t="n">
        <f aca="false">IF(R178="","",COUNTIFS($C$5:$C$6004,R178,$O$5:$O$6004,"EM ANDAMENTO"))</f>
        <v>1</v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>Reboco externo: em execução</v>
      </c>
    </row>
    <row r="179" customFormat="false" ht="15" hidden="false" customHeight="false" outlineLevel="0" collapsed="false">
      <c r="B179" s="4" t="n">
        <v>11111372</v>
      </c>
      <c r="C179" s="4" t="s">
        <v>2637</v>
      </c>
      <c r="D179" s="4" t="s">
        <v>3072</v>
      </c>
      <c r="E179" s="4" t="s">
        <v>81</v>
      </c>
      <c r="F179" s="127" t="n">
        <v>45891</v>
      </c>
      <c r="G179" s="127" t="n">
        <v>45895</v>
      </c>
      <c r="H179" s="127" t="n">
        <v>46293</v>
      </c>
      <c r="I179" s="4" t="n">
        <v>100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str">
        <f aca="false">IF(E179="","",IF(ISNUMBER(SEARCH("SUBSOLO",E179)),IFERROR(-VALUE(LEFT(E179,FIND("º",SUBSTITUTE(E179,"°","º"))-1)),-1),IF(LEFT(E179,6)="TÉRREO",0,IFERROR(VALUE(LEFT(E179,FIND("º",SUBSTITUTE(E179,"°","º"))-1)),""))))</f>
        <v/>
      </c>
      <c r="O179" s="2" t="str">
        <f aca="false">IF(OR(F179="",G179=""),"",IF(G179&lt;='RETRATO 2027'!$K$5,"CONCLUÍDA",IF(F179&lt;='RETRATO 2027'!$K$5,"EM ANDAMENTO","A INICIAR")))</f>
        <v>CONCLUÍDA</v>
      </c>
      <c r="R179" s="4" t="s">
        <v>3073</v>
      </c>
      <c r="S179" s="4" t="s">
        <v>198</v>
      </c>
      <c r="T179" s="4" t="s">
        <v>3074</v>
      </c>
      <c r="U179" s="4" t="s">
        <v>2613</v>
      </c>
      <c r="V179" s="2" t="n">
        <f aca="false">IF(R179="","",COUNTIF($C$5:$C$6004,R179))</f>
        <v>26</v>
      </c>
      <c r="W179" s="2" t="n">
        <f aca="false">IF(R179="","",COUNTIFS($C$5:$C$6004,R179,$O$5:$O$6004,"CONCLUÍDA"))</f>
        <v>0</v>
      </c>
      <c r="X179" s="2" t="n">
        <f aca="false">IF(R179="","",COUNTIFS($C$5:$C$6004,R179,$O$5:$O$6004,"EM ANDAMENTO"))</f>
        <v>1</v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n">
        <f aca="false">IF(R179="","",IF(COUNTIFS($C$5:$C$6004,R179,$O$5:$O$6004,"EM ANDAMENTO",$N$5:$N$6004,"&gt;=-99")=0,"",_xlfn.MAXIFS($N$5:$N$6004,$C$5:$C$6004,R179,$O$5:$O$6004,"EM ANDAMENTO")))</f>
        <v>4</v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>Piso vinílico / laminado: em execução (4º pav.)</v>
      </c>
    </row>
    <row r="180" customFormat="false" ht="15" hidden="false" customHeight="false" outlineLevel="0" collapsed="false">
      <c r="B180" s="4" t="n">
        <v>11111375</v>
      </c>
      <c r="C180" s="4" t="s">
        <v>2637</v>
      </c>
      <c r="D180" s="4" t="s">
        <v>3075</v>
      </c>
      <c r="E180" s="4" t="s">
        <v>81</v>
      </c>
      <c r="F180" s="127" t="n">
        <v>45880</v>
      </c>
      <c r="G180" s="127" t="n">
        <v>45882</v>
      </c>
      <c r="H180" s="127" t="n">
        <v>46293</v>
      </c>
      <c r="I180" s="4" t="n">
        <v>100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str">
        <f aca="false">IF(E180="","",IF(ISNUMBER(SEARCH("SUBSOLO",E180)),IFERROR(-VALUE(LEFT(E180,FIND("º",SUBSTITUTE(E180,"°","º"))-1)),-1),IF(LEFT(E180,6)="TÉRREO",0,IFERROR(VALUE(LEFT(E180,FIND("º",SUBSTITUTE(E180,"°","º"))-1)),""))))</f>
        <v/>
      </c>
      <c r="O180" s="2" t="str">
        <f aca="false">IF(OR(F180="",G180=""),"",IF(G180&lt;='RETRATO 2027'!$K$5,"CONCLUÍDA",IF(F180&lt;='RETRATO 2027'!$K$5,"EM ANDAMENTO","A INICIAR")))</f>
        <v>CONCLUÍDA</v>
      </c>
      <c r="R180" s="4" t="s">
        <v>3076</v>
      </c>
      <c r="S180" s="4" t="s">
        <v>168</v>
      </c>
      <c r="T180" s="4" t="s">
        <v>3077</v>
      </c>
      <c r="U180" s="4" t="s">
        <v>2620</v>
      </c>
      <c r="V180" s="2" t="n">
        <f aca="false">IF(R180="","",COUNTIF($C$5:$C$6004,R180))</f>
        <v>1</v>
      </c>
      <c r="W180" s="2" t="n">
        <f aca="false">IF(R180="","",COUNTIFS($C$5:$C$6004,R180,$O$5:$O$6004,"CONCLUÍDA"))</f>
        <v>0</v>
      </c>
      <c r="X180" s="2" t="n">
        <f aca="false">IF(R180="","",COUNTIFS($C$5:$C$6004,R180,$O$5:$O$6004,"EM ANDAMENTO"))</f>
        <v>1</v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n">
        <f aca="false">IF(R180="","",IF(COUNTIFS($C$5:$C$6004,R180,$O$5:$O$6004,"EM ANDAMENTO",$N$5:$N$6004,"&gt;=-99")=0,"",_xlfn.MAXIFS($N$5:$N$6004,$C$5:$C$6004,R180,$O$5:$O$6004,"EM ANDAMENTO")))</f>
        <v>-6</v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11111378</v>
      </c>
      <c r="C181" s="4" t="s">
        <v>2637</v>
      </c>
      <c r="D181" s="4" t="s">
        <v>3078</v>
      </c>
      <c r="E181" s="4" t="s">
        <v>81</v>
      </c>
      <c r="F181" s="127" t="n">
        <v>45897</v>
      </c>
      <c r="G181" s="127" t="n">
        <v>45901</v>
      </c>
      <c r="H181" s="127" t="n">
        <v>46293</v>
      </c>
      <c r="I181" s="4" t="n">
        <v>100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16</v>
      </c>
      <c r="N181" s="2" t="str">
        <f aca="false">IF(E181="","",IF(ISNUMBER(SEARCH("SUBSOLO",E181)),IFERROR(-VALUE(LEFT(E181,FIND("º",SUBSTITUTE(E181,"°","º"))-1)),-1),IF(LEFT(E181,6)="TÉRREO",0,IFERROR(VALUE(LEFT(E181,FIND("º",SUBSTITUTE(E181,"°","º"))-1)),""))))</f>
        <v/>
      </c>
      <c r="O181" s="2" t="str">
        <f aca="false">IF(OR(F181="",G181=""),"",IF(G181&lt;='RETRATO 2027'!$K$5,"CONCLUÍDA",IF(F181&lt;='RETRATO 2027'!$K$5,"EM ANDAMENTO","A INICIAR")))</f>
        <v>CONCLUÍDA</v>
      </c>
      <c r="R181" s="4" t="s">
        <v>3079</v>
      </c>
      <c r="S181" s="4" t="s">
        <v>182</v>
      </c>
      <c r="T181" s="4" t="s">
        <v>3080</v>
      </c>
      <c r="U181" s="4" t="s">
        <v>2613</v>
      </c>
      <c r="V181" s="2" t="n">
        <f aca="false">IF(R181="","",COUNTIF($C$5:$C$6004,R181))</f>
        <v>33</v>
      </c>
      <c r="W181" s="2" t="n">
        <f aca="false">IF(R181="","",COUNTIFS($C$5:$C$6004,R181,$O$5:$O$6004,"CONCLUÍDA"))</f>
        <v>0</v>
      </c>
      <c r="X181" s="2" t="n">
        <f aca="false">IF(R181="","",COUNTIFS($C$5:$C$6004,R181,$O$5:$O$6004,"EM ANDAMENTO"))</f>
        <v>0</v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11111381</v>
      </c>
      <c r="C182" s="4" t="s">
        <v>2637</v>
      </c>
      <c r="D182" s="4" t="s">
        <v>3081</v>
      </c>
      <c r="E182" s="4" t="s">
        <v>81</v>
      </c>
      <c r="F182" s="127" t="n">
        <v>45880</v>
      </c>
      <c r="G182" s="127" t="n">
        <v>45882</v>
      </c>
      <c r="H182" s="127" t="n">
        <v>46293</v>
      </c>
      <c r="I182" s="4" t="n">
        <v>100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16</v>
      </c>
      <c r="N182" s="2" t="str">
        <f aca="false">IF(E182="","",IF(ISNUMBER(SEARCH("SUBSOLO",E182)),IFERROR(-VALUE(LEFT(E182,FIND("º",SUBSTITUTE(E182,"°","º"))-1)),-1),IF(LEFT(E182,6)="TÉRREO",0,IFERROR(VALUE(LEFT(E182,FIND("º",SUBSTITUTE(E182,"°","º"))-1)),""))))</f>
        <v/>
      </c>
      <c r="O182" s="2" t="str">
        <f aca="false">IF(OR(F182="",G182=""),"",IF(G182&lt;='RETRATO 2027'!$K$5,"CONCLUÍDA",IF(F182&lt;='RETRATO 2027'!$K$5,"EM ANDAMENTO","A INICIAR")))</f>
        <v>CONCLUÍDA</v>
      </c>
      <c r="R182" s="4" t="s">
        <v>3082</v>
      </c>
      <c r="S182" s="4" t="s">
        <v>198</v>
      </c>
      <c r="T182" s="4" t="s">
        <v>3083</v>
      </c>
      <c r="U182" s="4" t="s">
        <v>2613</v>
      </c>
      <c r="V182" s="2" t="n">
        <f aca="false">IF(R182="","",COUNTIF($C$5:$C$6004,R182))</f>
        <v>31</v>
      </c>
      <c r="W182" s="2" t="n">
        <f aca="false">IF(R182="","",COUNTIFS($C$5:$C$6004,R182,$O$5:$O$6004,"CONCLUÍDA"))</f>
        <v>0</v>
      </c>
      <c r="X182" s="2" t="n">
        <f aca="false">IF(R182="","",COUNTIFS($C$5:$C$6004,R182,$O$5:$O$6004,"EM ANDAMENTO"))</f>
        <v>0</v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11111384</v>
      </c>
      <c r="C183" s="4" t="s">
        <v>2637</v>
      </c>
      <c r="D183" s="4" t="s">
        <v>3084</v>
      </c>
      <c r="E183" s="4" t="s">
        <v>81</v>
      </c>
      <c r="F183" s="127" t="n">
        <v>45902</v>
      </c>
      <c r="G183" s="127" t="n">
        <v>45902</v>
      </c>
      <c r="H183" s="127" t="n">
        <v>46293</v>
      </c>
      <c r="I183" s="4" t="n">
        <v>100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16</v>
      </c>
      <c r="N183" s="2" t="str">
        <f aca="false">IF(E183="","",IF(ISNUMBER(SEARCH("SUBSOLO",E183)),IFERROR(-VALUE(LEFT(E183,FIND("º",SUBSTITUTE(E183,"°","º"))-1)),-1),IF(LEFT(E183,6)="TÉRREO",0,IFERROR(VALUE(LEFT(E183,FIND("º",SUBSTITUTE(E183,"°","º"))-1)),""))))</f>
        <v/>
      </c>
      <c r="O183" s="2" t="str">
        <f aca="false">IF(OR(F183="",G183=""),"",IF(G183&lt;='RETRATO 2027'!$K$5,"CONCLUÍDA",IF(F183&lt;='RETRATO 2027'!$K$5,"EM ANDAMENTO","A INICIAR")))</f>
        <v>CONCLUÍDA</v>
      </c>
      <c r="R183" s="4" t="s">
        <v>3085</v>
      </c>
      <c r="S183" s="4" t="s">
        <v>176</v>
      </c>
      <c r="T183" s="4" t="s">
        <v>3086</v>
      </c>
      <c r="U183" s="4" t="s">
        <v>2620</v>
      </c>
      <c r="V183" s="2" t="n">
        <f aca="false">IF(R183="","",COUNTIF($C$5:$C$6004,R183))</f>
        <v>2</v>
      </c>
      <c r="W183" s="2" t="n">
        <f aca="false">IF(R183="","",COUNTIFS($C$5:$C$6004,R183,$O$5:$O$6004,"CONCLUÍDA"))</f>
        <v>0</v>
      </c>
      <c r="X183" s="2" t="n">
        <f aca="false">IF(R183="","",COUNTIFS($C$5:$C$6004,R183,$O$5:$O$6004,"EM ANDAMENTO"))</f>
        <v>0</v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11111387</v>
      </c>
      <c r="C184" s="4" t="s">
        <v>2637</v>
      </c>
      <c r="D184" s="4" t="s">
        <v>3087</v>
      </c>
      <c r="E184" s="4" t="s">
        <v>81</v>
      </c>
      <c r="F184" s="127" t="n">
        <v>45882</v>
      </c>
      <c r="G184" s="127" t="n">
        <v>45882</v>
      </c>
      <c r="H184" s="127" t="n">
        <v>46293</v>
      </c>
      <c r="I184" s="4" t="n">
        <v>100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16</v>
      </c>
      <c r="N184" s="2" t="str">
        <f aca="false">IF(E184="","",IF(ISNUMBER(SEARCH("SUBSOLO",E184)),IFERROR(-VALUE(LEFT(E184,FIND("º",SUBSTITUTE(E184,"°","º"))-1)),-1),IF(LEFT(E184,6)="TÉRREO",0,IFERROR(VALUE(LEFT(E184,FIND("º",SUBSTITUTE(E184,"°","º"))-1)),""))))</f>
        <v/>
      </c>
      <c r="O184" s="2" t="str">
        <f aca="false">IF(OR(F184="",G184=""),"",IF(G184&lt;='RETRATO 2027'!$K$5,"CONCLUÍDA",IF(F184&lt;='RETRATO 2027'!$K$5,"EM ANDAMENTO","A INICIAR")))</f>
        <v>CONCLUÍDA</v>
      </c>
      <c r="R184" s="4" t="s">
        <v>3088</v>
      </c>
      <c r="S184" s="4" t="s">
        <v>168</v>
      </c>
      <c r="T184" s="4" t="s">
        <v>3089</v>
      </c>
      <c r="U184" s="4" t="s">
        <v>2613</v>
      </c>
      <c r="V184" s="2" t="n">
        <f aca="false">IF(R184="","",COUNTIF($C$5:$C$6004,R184))</f>
        <v>33</v>
      </c>
      <c r="W184" s="2" t="n">
        <f aca="false">IF(R184="","",COUNTIFS($C$5:$C$6004,R184,$O$5:$O$6004,"CONCLUÍDA"))</f>
        <v>0</v>
      </c>
      <c r="X184" s="2" t="n">
        <f aca="false">IF(R184="","",COUNTIFS($C$5:$C$6004,R184,$O$5:$O$6004,"EM ANDAMENTO"))</f>
        <v>0</v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25916639</v>
      </c>
      <c r="C185" s="4" t="s">
        <v>2628</v>
      </c>
      <c r="D185" s="4" t="s">
        <v>433</v>
      </c>
      <c r="E185" s="4" t="s">
        <v>3090</v>
      </c>
      <c r="F185" s="127" t="n">
        <v>45789</v>
      </c>
      <c r="G185" s="127" t="n">
        <v>45797</v>
      </c>
      <c r="H185" s="127" t="n">
        <v>46293</v>
      </c>
      <c r="I185" s="4" t="n">
        <v>100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13</v>
      </c>
      <c r="N185" s="2" t="str">
        <f aca="false">IF(E185="","",IF(ISNUMBER(SEARCH("SUBSOLO",E185)),IFERROR(-VALUE(LEFT(E185,FIND("º",SUBSTITUTE(E185,"°","º"))-1)),-1),IF(LEFT(E185,6)="TÉRREO",0,IFERROR(VALUE(LEFT(E185,FIND("º",SUBSTITUTE(E185,"°","º"))-1)),""))))</f>
        <v/>
      </c>
      <c r="O185" s="2" t="str">
        <f aca="false">IF(OR(F185="",G185=""),"",IF(G185&lt;='RETRATO 2027'!$K$5,"CONCLUÍDA",IF(F185&lt;='RETRATO 2027'!$K$5,"EM ANDAMENTO","A INICIAR")))</f>
        <v>CONCLUÍDA</v>
      </c>
      <c r="R185" s="4" t="s">
        <v>3091</v>
      </c>
      <c r="S185" s="4" t="s">
        <v>168</v>
      </c>
      <c r="T185" s="4" t="s">
        <v>3092</v>
      </c>
      <c r="U185" s="4" t="s">
        <v>2620</v>
      </c>
      <c r="V185" s="2" t="n">
        <f aca="false">IF(R185="","",COUNTIF($C$5:$C$6004,R185))</f>
        <v>1</v>
      </c>
      <c r="W185" s="2" t="n">
        <f aca="false">IF(R185="","",COUNTIFS($C$5:$C$6004,R185,$O$5:$O$6004,"CONCLUÍDA"))</f>
        <v>0</v>
      </c>
      <c r="X185" s="2" t="n">
        <f aca="false">IF(R185="","",COUNTIFS($C$5:$C$6004,R185,$O$5:$O$6004,"EM ANDAMENTO"))</f>
        <v>0</v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9242483</v>
      </c>
      <c r="C186" s="4" t="s">
        <v>2628</v>
      </c>
      <c r="D186" s="4" t="s">
        <v>2804</v>
      </c>
      <c r="E186" s="4" t="s">
        <v>3090</v>
      </c>
      <c r="F186" s="127" t="n">
        <v>45789</v>
      </c>
      <c r="G186" s="127" t="n">
        <v>45791</v>
      </c>
      <c r="H186" s="127" t="n">
        <v>46293</v>
      </c>
      <c r="I186" s="4" t="n">
        <v>100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13</v>
      </c>
      <c r="N186" s="2" t="str">
        <f aca="false">IF(E186="","",IF(ISNUMBER(SEARCH("SUBSOLO",E186)),IFERROR(-VALUE(LEFT(E186,FIND("º",SUBSTITUTE(E186,"°","º"))-1)),-1),IF(LEFT(E186,6)="TÉRREO",0,IFERROR(VALUE(LEFT(E186,FIND("º",SUBSTITUTE(E186,"°","º"))-1)),""))))</f>
        <v/>
      </c>
      <c r="O186" s="2" t="str">
        <f aca="false">IF(OR(F186="",G186=""),"",IF(G186&lt;='RETRATO 2027'!$K$5,"CONCLUÍDA",IF(F186&lt;='RETRATO 2027'!$K$5,"EM ANDAMENTO","A INICIAR")))</f>
        <v>CONCLUÍDA</v>
      </c>
      <c r="R186" s="4" t="s">
        <v>3093</v>
      </c>
      <c r="S186" s="4" t="s">
        <v>210</v>
      </c>
      <c r="T186" s="4" t="s">
        <v>3094</v>
      </c>
      <c r="U186" s="4" t="s">
        <v>2613</v>
      </c>
      <c r="V186" s="2" t="n">
        <f aca="false">IF(R186="","",COUNTIF($C$5:$C$6004,R186))</f>
        <v>35</v>
      </c>
      <c r="W186" s="2" t="n">
        <f aca="false">IF(R186="","",COUNTIFS($C$5:$C$6004,R186,$O$5:$O$6004,"CONCLUÍDA"))</f>
        <v>0</v>
      </c>
      <c r="X186" s="2" t="n">
        <f aca="false">IF(R186="","",COUNTIFS($C$5:$C$6004,R186,$O$5:$O$6004,"EM ANDAMENTO"))</f>
        <v>0</v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9247569</v>
      </c>
      <c r="C187" s="4" t="s">
        <v>2628</v>
      </c>
      <c r="D187" s="4" t="s">
        <v>3095</v>
      </c>
      <c r="E187" s="4" t="s">
        <v>81</v>
      </c>
      <c r="F187" s="127" t="n">
        <v>45796</v>
      </c>
      <c r="G187" s="127" t="n">
        <v>45796</v>
      </c>
      <c r="H187" s="127" t="n">
        <v>46293</v>
      </c>
      <c r="I187" s="4" t="n">
        <v>100</v>
      </c>
      <c r="J187" s="4" t="n">
        <v>100</v>
      </c>
      <c r="K187" s="4" t="n">
        <v>100</v>
      </c>
      <c r="M187" s="2" t="str">
        <f aca="false">IF(C187="","",IFERROR(INDEX($S$5:$S$304,MATCH(C187,$R$5:$R$304,0))&amp;"","?"))</f>
        <v>13</v>
      </c>
      <c r="N187" s="2" t="str">
        <f aca="false">IF(E187="","",IF(ISNUMBER(SEARCH("SUBSOLO",E187)),IFERROR(-VALUE(LEFT(E187,FIND("º",SUBSTITUTE(E187,"°","º"))-1)),-1),IF(LEFT(E187,6)="TÉRREO",0,IFERROR(VALUE(LEFT(E187,FIND("º",SUBSTITUTE(E187,"°","º"))-1)),""))))</f>
        <v/>
      </c>
      <c r="O187" s="2" t="str">
        <f aca="false">IF(OR(F187="",G187=""),"",IF(G187&lt;='RETRATO 2027'!$K$5,"CONCLUÍDA",IF(F187&lt;='RETRATO 2027'!$K$5,"EM ANDAMENTO","A INICIAR")))</f>
        <v>CONCLUÍDA</v>
      </c>
      <c r="R187" s="4" t="s">
        <v>3096</v>
      </c>
      <c r="S187" s="4"/>
      <c r="T187" s="4" t="s">
        <v>3097</v>
      </c>
      <c r="U187" s="4" t="s">
        <v>2613</v>
      </c>
      <c r="V187" s="2" t="n">
        <f aca="false">IF(R187="","",COUNTIF($C$5:$C$6004,R187))</f>
        <v>26</v>
      </c>
      <c r="W187" s="2" t="n">
        <f aca="false">IF(R187="","",COUNTIFS($C$5:$C$6004,R187,$O$5:$O$6004,"CONCLUÍDA"))</f>
        <v>0</v>
      </c>
      <c r="X187" s="2" t="n">
        <f aca="false">IF(R187="","",COUNTIFS($C$5:$C$6004,R187,$O$5:$O$6004,"EM ANDAMENTO"))</f>
        <v>0</v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9247570</v>
      </c>
      <c r="C188" s="4" t="s">
        <v>2628</v>
      </c>
      <c r="D188" s="4" t="s">
        <v>3098</v>
      </c>
      <c r="E188" s="4" t="s">
        <v>81</v>
      </c>
      <c r="F188" s="127" t="n">
        <v>45797</v>
      </c>
      <c r="G188" s="127" t="n">
        <v>45797</v>
      </c>
      <c r="H188" s="127" t="n">
        <v>46293</v>
      </c>
      <c r="I188" s="4" t="n">
        <v>100</v>
      </c>
      <c r="J188" s="4" t="n">
        <v>100</v>
      </c>
      <c r="K188" s="4" t="n">
        <v>100</v>
      </c>
      <c r="M188" s="2" t="str">
        <f aca="false">IF(C188="","",IFERROR(INDEX($S$5:$S$304,MATCH(C188,$R$5:$R$304,0))&amp;"","?"))</f>
        <v>13</v>
      </c>
      <c r="N188" s="2" t="str">
        <f aca="false">IF(E188="","",IF(ISNUMBER(SEARCH("SUBSOLO",E188)),IFERROR(-VALUE(LEFT(E188,FIND("º",SUBSTITUTE(E188,"°","º"))-1)),-1),IF(LEFT(E188,6)="TÉRREO",0,IFERROR(VALUE(LEFT(E188,FIND("º",SUBSTITUTE(E188,"°","º"))-1)),""))))</f>
        <v/>
      </c>
      <c r="O188" s="2" t="str">
        <f aca="false">IF(OR(F188="",G188=""),"",IF(G188&lt;='RETRATO 2027'!$K$5,"CONCLUÍDA",IF(F188&lt;='RETRATO 2027'!$K$5,"EM ANDAMENTO","A INICIAR")))</f>
        <v>CONCLUÍDA</v>
      </c>
      <c r="R188" s="4" t="s">
        <v>3099</v>
      </c>
      <c r="S188" s="4" t="s">
        <v>168</v>
      </c>
      <c r="T188" s="4" t="s">
        <v>1387</v>
      </c>
      <c r="U188" s="4" t="s">
        <v>2620</v>
      </c>
      <c r="V188" s="2" t="n">
        <f aca="false">IF(R188="","",COUNTIF($C$5:$C$6004,R188))</f>
        <v>1</v>
      </c>
      <c r="W188" s="2" t="n">
        <f aca="false">IF(R188="","",COUNTIFS($C$5:$C$6004,R188,$O$5:$O$6004,"CONCLUÍDA"))</f>
        <v>0</v>
      </c>
      <c r="X188" s="2" t="n">
        <f aca="false">IF(R188="","",COUNTIFS($C$5:$C$6004,R188,$O$5:$O$6004,"EM ANDAMENTO"))</f>
        <v>0</v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25923177</v>
      </c>
      <c r="C189" s="4" t="s">
        <v>2640</v>
      </c>
      <c r="D189" s="4" t="s">
        <v>433</v>
      </c>
      <c r="E189" s="4" t="s">
        <v>81</v>
      </c>
      <c r="F189" s="127" t="n">
        <v>45789</v>
      </c>
      <c r="G189" s="127" t="n">
        <v>45798</v>
      </c>
      <c r="H189" s="127" t="n">
        <v>46293</v>
      </c>
      <c r="I189" s="4" t="n">
        <v>100</v>
      </c>
      <c r="J189" s="4" t="n">
        <v>100</v>
      </c>
      <c r="K189" s="4" t="n">
        <v>100</v>
      </c>
      <c r="M189" s="2" t="str">
        <f aca="false">IF(C189="","",IFERROR(INDEX($S$5:$S$304,MATCH(C189,$R$5:$R$304,0))&amp;"","?"))</f>
        <v>15</v>
      </c>
      <c r="N189" s="2" t="str">
        <f aca="false">IF(E189="","",IF(ISNUMBER(SEARCH("SUBSOLO",E189)),IFERROR(-VALUE(LEFT(E189,FIND("º",SUBSTITUTE(E189,"°","º"))-1)),-1),IF(LEFT(E189,6)="TÉRREO",0,IFERROR(VALUE(LEFT(E189,FIND("º",SUBSTITUTE(E189,"°","º"))-1)),""))))</f>
        <v/>
      </c>
      <c r="O189" s="2" t="str">
        <f aca="false">IF(OR(F189="",G189=""),"",IF(G189&lt;='RETRATO 2027'!$K$5,"CONCLUÍDA",IF(F189&lt;='RETRATO 2027'!$K$5,"EM ANDAMENTO","A INICIAR")))</f>
        <v>CONCLUÍDA</v>
      </c>
      <c r="R189" s="4" t="s">
        <v>3100</v>
      </c>
      <c r="S189" s="4" t="s">
        <v>179</v>
      </c>
      <c r="T189" s="4" t="s">
        <v>3101</v>
      </c>
      <c r="U189" s="4" t="s">
        <v>2613</v>
      </c>
      <c r="V189" s="2" t="n">
        <f aca="false">IF(R189="","",COUNTIF($C$5:$C$6004,R189))</f>
        <v>1</v>
      </c>
      <c r="W189" s="2" t="n">
        <f aca="false">IF(R189="","",COUNTIFS($C$5:$C$6004,R189,$O$5:$O$6004,"CONCLUÍDA"))</f>
        <v>0</v>
      </c>
      <c r="X189" s="2" t="n">
        <f aca="false">IF(R189="","",COUNTIFS($C$5:$C$6004,R189,$O$5:$O$6004,"EM ANDAMENTO"))</f>
        <v>0</v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9248444</v>
      </c>
      <c r="C190" s="4" t="s">
        <v>2640</v>
      </c>
      <c r="D190" s="4" t="s">
        <v>3102</v>
      </c>
      <c r="E190" s="4" t="s">
        <v>81</v>
      </c>
      <c r="F190" s="127" t="n">
        <v>45789</v>
      </c>
      <c r="G190" s="127" t="n">
        <v>45789</v>
      </c>
      <c r="H190" s="127" t="n">
        <v>46293</v>
      </c>
      <c r="I190" s="4" t="n">
        <v>100</v>
      </c>
      <c r="J190" s="4" t="n">
        <v>100</v>
      </c>
      <c r="K190" s="4" t="n">
        <v>100</v>
      </c>
      <c r="M190" s="2" t="str">
        <f aca="false">IF(C190="","",IFERROR(INDEX($S$5:$S$304,MATCH(C190,$R$5:$R$304,0))&amp;"","?"))</f>
        <v>15</v>
      </c>
      <c r="N190" s="2" t="str">
        <f aca="false">IF(E190="","",IF(ISNUMBER(SEARCH("SUBSOLO",E190)),IFERROR(-VALUE(LEFT(E190,FIND("º",SUBSTITUTE(E190,"°","º"))-1)),-1),IF(LEFT(E190,6)="TÉRREO",0,IFERROR(VALUE(LEFT(E190,FIND("º",SUBSTITUTE(E190,"°","º"))-1)),""))))</f>
        <v/>
      </c>
      <c r="O190" s="2" t="str">
        <f aca="false">IF(OR(F190="",G190=""),"",IF(G190&lt;='RETRATO 2027'!$K$5,"CONCLUÍDA",IF(F190&lt;='RETRATO 2027'!$K$5,"EM ANDAMENTO","A INICIAR")))</f>
        <v>CONCLUÍDA</v>
      </c>
      <c r="R190" s="4" t="s">
        <v>3103</v>
      </c>
      <c r="S190" s="4" t="s">
        <v>179</v>
      </c>
      <c r="T190" s="4" t="s">
        <v>3104</v>
      </c>
      <c r="U190" s="4" t="s">
        <v>2613</v>
      </c>
      <c r="V190" s="2" t="n">
        <f aca="false">IF(R190="","",COUNTIF($C$5:$C$6004,R190))</f>
        <v>1</v>
      </c>
      <c r="W190" s="2" t="n">
        <f aca="false">IF(R190="","",COUNTIFS($C$5:$C$6004,R190,$O$5:$O$6004,"CONCLUÍDA"))</f>
        <v>0</v>
      </c>
      <c r="X190" s="2" t="n">
        <f aca="false">IF(R190="","",COUNTIFS($C$5:$C$6004,R190,$O$5:$O$6004,"EM ANDAMENTO"))</f>
        <v>0</v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9248445</v>
      </c>
      <c r="C191" s="4" t="s">
        <v>2640</v>
      </c>
      <c r="D191" s="4" t="s">
        <v>3105</v>
      </c>
      <c r="E191" s="4" t="s">
        <v>81</v>
      </c>
      <c r="F191" s="127" t="n">
        <v>45790</v>
      </c>
      <c r="G191" s="127" t="n">
        <v>45790</v>
      </c>
      <c r="H191" s="127" t="n">
        <v>46293</v>
      </c>
      <c r="I191" s="4" t="n">
        <v>100</v>
      </c>
      <c r="J191" s="4" t="n">
        <v>100</v>
      </c>
      <c r="K191" s="4" t="n">
        <v>100</v>
      </c>
      <c r="M191" s="2" t="str">
        <f aca="false">IF(C191="","",IFERROR(INDEX($S$5:$S$304,MATCH(C191,$R$5:$R$304,0))&amp;"","?"))</f>
        <v>15</v>
      </c>
      <c r="N191" s="2" t="str">
        <f aca="false">IF(E191="","",IF(ISNUMBER(SEARCH("SUBSOLO",E191)),IFERROR(-VALUE(LEFT(E191,FIND("º",SUBSTITUTE(E191,"°","º"))-1)),-1),IF(LEFT(E191,6)="TÉRREO",0,IFERROR(VALUE(LEFT(E191,FIND("º",SUBSTITUTE(E191,"°","º"))-1)),""))))</f>
        <v/>
      </c>
      <c r="O191" s="2" t="str">
        <f aca="false">IF(OR(F191="",G191=""),"",IF(G191&lt;='RETRATO 2027'!$K$5,"CONCLUÍDA",IF(F191&lt;='RETRATO 2027'!$K$5,"EM ANDAMENTO","A INICIAR")))</f>
        <v>CONCLUÍDA</v>
      </c>
      <c r="R191" s="4" t="s">
        <v>3106</v>
      </c>
      <c r="S191" s="4" t="s">
        <v>176</v>
      </c>
      <c r="T191" s="4" t="s">
        <v>3107</v>
      </c>
      <c r="U191" s="4" t="s">
        <v>2620</v>
      </c>
      <c r="V191" s="2" t="n">
        <f aca="false">IF(R191="","",COUNTIF($C$5:$C$6004,R191))</f>
        <v>1</v>
      </c>
      <c r="W191" s="2" t="n">
        <f aca="false">IF(R191="","",COUNTIFS($C$5:$C$6004,R191,$O$5:$O$6004,"CONCLUÍDA"))</f>
        <v>0</v>
      </c>
      <c r="X191" s="2" t="n">
        <f aca="false">IF(R191="","",COUNTIFS($C$5:$C$6004,R191,$O$5:$O$6004,"EM ANDAMENTO"))</f>
        <v>0</v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9248446</v>
      </c>
      <c r="C192" s="4" t="s">
        <v>2640</v>
      </c>
      <c r="D192" s="4" t="s">
        <v>3108</v>
      </c>
      <c r="E192" s="4" t="s">
        <v>81</v>
      </c>
      <c r="F192" s="127" t="n">
        <v>45791</v>
      </c>
      <c r="G192" s="127" t="n">
        <v>45791</v>
      </c>
      <c r="H192" s="127" t="n">
        <v>46293</v>
      </c>
      <c r="I192" s="4" t="n">
        <v>100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15</v>
      </c>
      <c r="N192" s="2" t="str">
        <f aca="false">IF(E192="","",IF(ISNUMBER(SEARCH("SUBSOLO",E192)),IFERROR(-VALUE(LEFT(E192,FIND("º",SUBSTITUTE(E192,"°","º"))-1)),-1),IF(LEFT(E192,6)="TÉRREO",0,IFERROR(VALUE(LEFT(E192,FIND("º",SUBSTITUTE(E192,"°","º"))-1)),""))))</f>
        <v/>
      </c>
      <c r="O192" s="2" t="str">
        <f aca="false">IF(OR(F192="",G192=""),"",IF(G192&lt;='RETRATO 2027'!$K$5,"CONCLUÍDA",IF(F192&lt;='RETRATO 2027'!$K$5,"EM ANDAMENTO","A INICIAR")))</f>
        <v>CONCLUÍDA</v>
      </c>
      <c r="R192" s="4" t="s">
        <v>186</v>
      </c>
      <c r="S192" s="4" t="s">
        <v>185</v>
      </c>
      <c r="T192" s="4" t="s">
        <v>3109</v>
      </c>
      <c r="U192" s="4" t="s">
        <v>2613</v>
      </c>
      <c r="V192" s="2" t="n">
        <f aca="false">IF(R192="","",COUNTIF($C$5:$C$6004,R192))</f>
        <v>1</v>
      </c>
      <c r="W192" s="2" t="n">
        <f aca="false">IF(R192="","",COUNTIFS($C$5:$C$6004,R192,$O$5:$O$6004,"CONCLUÍDA"))</f>
        <v>0</v>
      </c>
      <c r="X192" s="2" t="n">
        <f aca="false">IF(R192="","",COUNTIFS($C$5:$C$6004,R192,$O$5:$O$6004,"EM ANDAMENTO"))</f>
        <v>0</v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9248449</v>
      </c>
      <c r="C193" s="4" t="s">
        <v>2640</v>
      </c>
      <c r="D193" s="4" t="s">
        <v>3110</v>
      </c>
      <c r="E193" s="4" t="s">
        <v>81</v>
      </c>
      <c r="F193" s="127" t="n">
        <v>45792</v>
      </c>
      <c r="G193" s="127" t="n">
        <v>45792</v>
      </c>
      <c r="H193" s="127" t="n">
        <v>46293</v>
      </c>
      <c r="I193" s="4" t="n">
        <v>100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15</v>
      </c>
      <c r="N193" s="2" t="str">
        <f aca="false">IF(E193="","",IF(ISNUMBER(SEARCH("SUBSOLO",E193)),IFERROR(-VALUE(LEFT(E193,FIND("º",SUBSTITUTE(E193,"°","º"))-1)),-1),IF(LEFT(E193,6)="TÉRREO",0,IFERROR(VALUE(LEFT(E193,FIND("º",SUBSTITUTE(E193,"°","º"))-1)),""))))</f>
        <v/>
      </c>
      <c r="O193" s="2" t="str">
        <f aca="false">IF(OR(F193="",G193=""),"",IF(G193&lt;='RETRATO 2027'!$K$5,"CONCLUÍDA",IF(F193&lt;='RETRATO 2027'!$K$5,"EM ANDAMENTO","A INICIAR")))</f>
        <v>CONCLUÍDA</v>
      </c>
      <c r="R193" s="4" t="s">
        <v>3111</v>
      </c>
      <c r="S193" s="4" t="s">
        <v>162</v>
      </c>
      <c r="T193" s="4" t="s">
        <v>3112</v>
      </c>
      <c r="U193" s="4" t="s">
        <v>2620</v>
      </c>
      <c r="V193" s="2" t="n">
        <f aca="false">IF(R193="","",COUNTIF($C$5:$C$6004,R193))</f>
        <v>1</v>
      </c>
      <c r="W193" s="2" t="n">
        <f aca="false">IF(R193="","",COUNTIFS($C$5:$C$6004,R193,$O$5:$O$6004,"CONCLUÍDA"))</f>
        <v>0</v>
      </c>
      <c r="X193" s="2" t="n">
        <f aca="false">IF(R193="","",COUNTIFS($C$5:$C$6004,R193,$O$5:$O$6004,"EM ANDAMENTO"))</f>
        <v>0</v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9248450</v>
      </c>
      <c r="C194" s="4" t="s">
        <v>2640</v>
      </c>
      <c r="D194" s="4" t="s">
        <v>3113</v>
      </c>
      <c r="E194" s="4" t="s">
        <v>81</v>
      </c>
      <c r="F194" s="127" t="n">
        <v>45792</v>
      </c>
      <c r="G194" s="127" t="n">
        <v>45792</v>
      </c>
      <c r="H194" s="127" t="n">
        <v>46293</v>
      </c>
      <c r="I194" s="4" t="n">
        <v>100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15</v>
      </c>
      <c r="N194" s="2" t="str">
        <f aca="false">IF(E194="","",IF(ISNUMBER(SEARCH("SUBSOLO",E194)),IFERROR(-VALUE(LEFT(E194,FIND("º",SUBSTITUTE(E194,"°","º"))-1)),-1),IF(LEFT(E194,6)="TÉRREO",0,IFERROR(VALUE(LEFT(E194,FIND("º",SUBSTITUTE(E194,"°","º"))-1)),""))))</f>
        <v/>
      </c>
      <c r="O194" s="2" t="str">
        <f aca="false">IF(OR(F194="",G194=""),"",IF(G194&lt;='RETRATO 2027'!$K$5,"CONCLUÍDA",IF(F194&lt;='RETRATO 2027'!$K$5,"EM ANDAMENTO","A INICIAR")))</f>
        <v>CONCLUÍDA</v>
      </c>
      <c r="R194" s="4" t="s">
        <v>3114</v>
      </c>
      <c r="S194" s="4" t="s">
        <v>201</v>
      </c>
      <c r="T194" s="4" t="s">
        <v>3115</v>
      </c>
      <c r="U194" s="4" t="s">
        <v>2613</v>
      </c>
      <c r="V194" s="2" t="n">
        <f aca="false">IF(R194="","",COUNTIF($C$5:$C$6004,R194))</f>
        <v>1</v>
      </c>
      <c r="W194" s="2" t="n">
        <f aca="false">IF(R194="","",COUNTIFS($C$5:$C$6004,R194,$O$5:$O$6004,"CONCLUÍDA"))</f>
        <v>0</v>
      </c>
      <c r="X194" s="2" t="n">
        <f aca="false">IF(R194="","",COUNTIFS($C$5:$C$6004,R194,$O$5:$O$6004,"EM ANDAMENTO"))</f>
        <v>0</v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9248451</v>
      </c>
      <c r="C195" s="4" t="s">
        <v>2640</v>
      </c>
      <c r="D195" s="4" t="s">
        <v>3116</v>
      </c>
      <c r="E195" s="4" t="s">
        <v>81</v>
      </c>
      <c r="F195" s="127" t="n">
        <v>45793</v>
      </c>
      <c r="G195" s="127" t="n">
        <v>45793</v>
      </c>
      <c r="H195" s="127" t="n">
        <v>46293</v>
      </c>
      <c r="I195" s="4" t="n">
        <v>100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15</v>
      </c>
      <c r="N195" s="2" t="str">
        <f aca="false">IF(E195="","",IF(ISNUMBER(SEARCH("SUBSOLO",E195)),IFERROR(-VALUE(LEFT(E195,FIND("º",SUBSTITUTE(E195,"°","º"))-1)),-1),IF(LEFT(E195,6)="TÉRREO",0,IFERROR(VALUE(LEFT(E195,FIND("º",SUBSTITUTE(E195,"°","º"))-1)),""))))</f>
        <v/>
      </c>
      <c r="O195" s="2" t="str">
        <f aca="false">IF(OR(F195="",G195=""),"",IF(G195&lt;='RETRATO 2027'!$K$5,"CONCLUÍDA",IF(F195&lt;='RETRATO 2027'!$K$5,"EM ANDAMENTO","A INICIAR")))</f>
        <v>CONCLUÍDA</v>
      </c>
      <c r="R195" s="4" t="s">
        <v>3117</v>
      </c>
      <c r="S195" s="4" t="s">
        <v>170</v>
      </c>
      <c r="T195" s="4" t="s">
        <v>3118</v>
      </c>
      <c r="U195" s="4" t="s">
        <v>2620</v>
      </c>
      <c r="V195" s="2" t="n">
        <f aca="false">IF(R195="","",COUNTIF($C$5:$C$6004,R195))</f>
        <v>1</v>
      </c>
      <c r="W195" s="2" t="n">
        <f aca="false">IF(R195="","",COUNTIFS($C$5:$C$6004,R195,$O$5:$O$6004,"CONCLUÍDA"))</f>
        <v>0</v>
      </c>
      <c r="X195" s="2" t="n">
        <f aca="false">IF(R195="","",COUNTIFS($C$5:$C$6004,R195,$O$5:$O$6004,"EM ANDAMENTO"))</f>
        <v>0</v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9248452</v>
      </c>
      <c r="C196" s="4" t="s">
        <v>2640</v>
      </c>
      <c r="D196" s="4" t="s">
        <v>3119</v>
      </c>
      <c r="E196" s="4" t="s">
        <v>81</v>
      </c>
      <c r="F196" s="127" t="n">
        <v>45796</v>
      </c>
      <c r="G196" s="127" t="n">
        <v>45796</v>
      </c>
      <c r="H196" s="127" t="n">
        <v>46293</v>
      </c>
      <c r="I196" s="4" t="n">
        <v>100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15</v>
      </c>
      <c r="N196" s="2" t="str">
        <f aca="false">IF(E196="","",IF(ISNUMBER(SEARCH("SUBSOLO",E196)),IFERROR(-VALUE(LEFT(E196,FIND("º",SUBSTITUTE(E196,"°","º"))-1)),-1),IF(LEFT(E196,6)="TÉRREO",0,IFERROR(VALUE(LEFT(E196,FIND("º",SUBSTITUTE(E196,"°","º"))-1)),""))))</f>
        <v/>
      </c>
      <c r="O196" s="2" t="str">
        <f aca="false">IF(OR(F196="",G196=""),"",IF(G196&lt;='RETRATO 2027'!$K$5,"CONCLUÍDA",IF(F196&lt;='RETRATO 2027'!$K$5,"EM ANDAMENTO","A INICIAR")))</f>
        <v>CONCLUÍDA</v>
      </c>
      <c r="R196" s="4" t="s">
        <v>3120</v>
      </c>
      <c r="S196" s="4" t="s">
        <v>170</v>
      </c>
      <c r="T196" s="4" t="s">
        <v>3121</v>
      </c>
      <c r="U196" s="4" t="s">
        <v>2620</v>
      </c>
      <c r="V196" s="2" t="n">
        <f aca="false">IF(R196="","",COUNTIF($C$5:$C$6004,R196))</f>
        <v>2</v>
      </c>
      <c r="W196" s="2" t="n">
        <f aca="false">IF(R196="","",COUNTIFS($C$5:$C$6004,R196,$O$5:$O$6004,"CONCLUÍDA"))</f>
        <v>0</v>
      </c>
      <c r="X196" s="2" t="n">
        <f aca="false">IF(R196="","",COUNTIFS($C$5:$C$6004,R196,$O$5:$O$6004,"EM ANDAMENTO"))</f>
        <v>0</v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9248453</v>
      </c>
      <c r="C197" s="4" t="s">
        <v>2640</v>
      </c>
      <c r="D197" s="4" t="s">
        <v>3122</v>
      </c>
      <c r="E197" s="4" t="s">
        <v>81</v>
      </c>
      <c r="F197" s="127" t="n">
        <v>45797</v>
      </c>
      <c r="G197" s="127" t="n">
        <v>45797</v>
      </c>
      <c r="H197" s="127" t="n">
        <v>46293</v>
      </c>
      <c r="I197" s="4" t="n">
        <v>100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15</v>
      </c>
      <c r="N197" s="2" t="str">
        <f aca="false">IF(E197="","",IF(ISNUMBER(SEARCH("SUBSOLO",E197)),IFERROR(-VALUE(LEFT(E197,FIND("º",SUBSTITUTE(E197,"°","º"))-1)),-1),IF(LEFT(E197,6)="TÉRREO",0,IFERROR(VALUE(LEFT(E197,FIND("º",SUBSTITUTE(E197,"°","º"))-1)),""))))</f>
        <v/>
      </c>
      <c r="O197" s="2" t="str">
        <f aca="false">IF(OR(F197="",G197=""),"",IF(G197&lt;='RETRATO 2027'!$K$5,"CONCLUÍDA",IF(F197&lt;='RETRATO 2027'!$K$5,"EM ANDAMENTO","A INICIAR")))</f>
        <v>CONCLUÍDA</v>
      </c>
      <c r="R197" s="4" t="s">
        <v>3123</v>
      </c>
      <c r="S197" s="4"/>
      <c r="T197" s="4" t="s">
        <v>3124</v>
      </c>
      <c r="U197" s="4" t="s">
        <v>2620</v>
      </c>
      <c r="V197" s="2" t="n">
        <f aca="false">IF(R197="","",COUNTIF($C$5:$C$6004,R197))</f>
        <v>1</v>
      </c>
      <c r="W197" s="2" t="n">
        <f aca="false">IF(R197="","",COUNTIFS($C$5:$C$6004,R197,$O$5:$O$6004,"CONCLUÍDA"))</f>
        <v>0</v>
      </c>
      <c r="X197" s="2" t="n">
        <f aca="false">IF(R197="","",COUNTIFS($C$5:$C$6004,R197,$O$5:$O$6004,"EM ANDAMENTO"))</f>
        <v>0</v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9248454</v>
      </c>
      <c r="C198" s="4" t="s">
        <v>2640</v>
      </c>
      <c r="D198" s="4" t="s">
        <v>3125</v>
      </c>
      <c r="E198" s="4" t="s">
        <v>81</v>
      </c>
      <c r="F198" s="127" t="n">
        <v>45798</v>
      </c>
      <c r="G198" s="127" t="n">
        <v>45798</v>
      </c>
      <c r="H198" s="127" t="n">
        <v>46293</v>
      </c>
      <c r="I198" s="4" t="n">
        <v>100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15</v>
      </c>
      <c r="N198" s="2" t="str">
        <f aca="false">IF(E198="","",IF(ISNUMBER(SEARCH("SUBSOLO",E198)),IFERROR(-VALUE(LEFT(E198,FIND("º",SUBSTITUTE(E198,"°","º"))-1)),-1),IF(LEFT(E198,6)="TÉRREO",0,IFERROR(VALUE(LEFT(E198,FIND("º",SUBSTITUTE(E198,"°","º"))-1)),""))))</f>
        <v/>
      </c>
      <c r="O198" s="2" t="str">
        <f aca="false">IF(OR(F198="",G198=""),"",IF(G198&lt;='RETRATO 2027'!$K$5,"CONCLUÍDA",IF(F198&lt;='RETRATO 2027'!$K$5,"EM ANDAMENTO","A INICIAR")))</f>
        <v>CONCLUÍDA</v>
      </c>
      <c r="R198" s="4" t="s">
        <v>3126</v>
      </c>
      <c r="S198" s="4"/>
      <c r="T198" s="4" t="s">
        <v>3127</v>
      </c>
      <c r="U198" s="4" t="s">
        <v>2620</v>
      </c>
      <c r="V198" s="2" t="n">
        <f aca="false">IF(R198="","",COUNTIF($C$5:$C$6004,R198))</f>
        <v>1</v>
      </c>
      <c r="W198" s="2" t="n">
        <f aca="false">IF(R198="","",COUNTIFS($C$5:$C$6004,R198,$O$5:$O$6004,"CONCLUÍDA"))</f>
        <v>0</v>
      </c>
      <c r="X198" s="2" t="n">
        <f aca="false">IF(R198="","",COUNTIFS($C$5:$C$6004,R198,$O$5:$O$6004,"EM ANDAMENTO"))</f>
        <v>0</v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25949883</v>
      </c>
      <c r="C199" s="4" t="s">
        <v>2643</v>
      </c>
      <c r="D199" s="4" t="s">
        <v>433</v>
      </c>
      <c r="E199" s="4" t="s">
        <v>81</v>
      </c>
      <c r="F199" s="127" t="n">
        <v>45789</v>
      </c>
      <c r="G199" s="127" t="n">
        <v>45807</v>
      </c>
      <c r="H199" s="127" t="n">
        <v>46293</v>
      </c>
      <c r="I199" s="4" t="n">
        <v>100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12</v>
      </c>
      <c r="N199" s="2" t="str">
        <f aca="false">IF(E199="","",IF(ISNUMBER(SEARCH("SUBSOLO",E199)),IFERROR(-VALUE(LEFT(E199,FIND("º",SUBSTITUTE(E199,"°","º"))-1)),-1),IF(LEFT(E199,6)="TÉRREO",0,IFERROR(VALUE(LEFT(E199,FIND("º",SUBSTITUTE(E199,"°","º"))-1)),""))))</f>
        <v/>
      </c>
      <c r="O199" s="2" t="str">
        <f aca="false">IF(OR(F199="",G199=""),"",IF(G199&lt;='RETRATO 2027'!$K$5,"CONCLUÍDA",IF(F199&lt;='RETRATO 2027'!$K$5,"EM ANDAMENTO","A INICIAR")))</f>
        <v>CONCLUÍDA</v>
      </c>
      <c r="R199" s="4" t="s">
        <v>3128</v>
      </c>
      <c r="S199" s="4"/>
      <c r="T199" s="4" t="s">
        <v>3129</v>
      </c>
      <c r="U199" s="4" t="s">
        <v>2620</v>
      </c>
      <c r="V199" s="2" t="n">
        <f aca="false">IF(R199="","",COUNTIF($C$5:$C$6004,R199))</f>
        <v>1</v>
      </c>
      <c r="W199" s="2" t="n">
        <f aca="false">IF(R199="","",COUNTIFS($C$5:$C$6004,R199,$O$5:$O$6004,"CONCLUÍDA"))</f>
        <v>0</v>
      </c>
      <c r="X199" s="2" t="n">
        <f aca="false">IF(R199="","",COUNTIFS($C$5:$C$6004,R199,$O$5:$O$6004,"EM ANDAMENTO"))</f>
        <v>0</v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9251589</v>
      </c>
      <c r="C200" s="4" t="s">
        <v>2643</v>
      </c>
      <c r="D200" s="4" t="s">
        <v>3130</v>
      </c>
      <c r="E200" s="4" t="s">
        <v>81</v>
      </c>
      <c r="F200" s="127" t="n">
        <v>45789</v>
      </c>
      <c r="G200" s="127" t="n">
        <v>45793</v>
      </c>
      <c r="H200" s="127" t="n">
        <v>46293</v>
      </c>
      <c r="I200" s="4" t="n">
        <v>100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12</v>
      </c>
      <c r="N200" s="2" t="str">
        <f aca="false">IF(E200="","",IF(ISNUMBER(SEARCH("SUBSOLO",E200)),IFERROR(-VALUE(LEFT(E200,FIND("º",SUBSTITUTE(E200,"°","º"))-1)),-1),IF(LEFT(E200,6)="TÉRREO",0,IFERROR(VALUE(LEFT(E200,FIND("º",SUBSTITUTE(E200,"°","º"))-1)),""))))</f>
        <v/>
      </c>
      <c r="O200" s="2" t="str">
        <f aca="false">IF(OR(F200="",G200=""),"",IF(G200&lt;='RETRATO 2027'!$K$5,"CONCLUÍDA",IF(F200&lt;='RETRATO 2027'!$K$5,"EM ANDAMENTO","A INICIAR")))</f>
        <v>CONCLUÍDA</v>
      </c>
      <c r="R200" s="4" t="s">
        <v>3131</v>
      </c>
      <c r="S200" s="4"/>
      <c r="T200" s="4" t="s">
        <v>3132</v>
      </c>
      <c r="U200" s="4" t="s">
        <v>2620</v>
      </c>
      <c r="V200" s="2" t="n">
        <f aca="false">IF(R200="","",COUNTIF($C$5:$C$6004,R200))</f>
        <v>1</v>
      </c>
      <c r="W200" s="2" t="n">
        <f aca="false">IF(R200="","",COUNTIFS($C$5:$C$6004,R200,$O$5:$O$6004,"CONCLUÍDA"))</f>
        <v>0</v>
      </c>
      <c r="X200" s="2" t="n">
        <f aca="false">IF(R200="","",COUNTIFS($C$5:$C$6004,R200,$O$5:$O$6004,"EM ANDAMENTO"))</f>
        <v>0</v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9251590</v>
      </c>
      <c r="C201" s="4" t="s">
        <v>2643</v>
      </c>
      <c r="D201" s="4" t="s">
        <v>3133</v>
      </c>
      <c r="E201" s="4" t="s">
        <v>81</v>
      </c>
      <c r="F201" s="127" t="n">
        <v>45796</v>
      </c>
      <c r="G201" s="127" t="n">
        <v>45800</v>
      </c>
      <c r="H201" s="127" t="n">
        <v>46293</v>
      </c>
      <c r="I201" s="4" t="n">
        <v>100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12</v>
      </c>
      <c r="N201" s="2" t="str">
        <f aca="false">IF(E201="","",IF(ISNUMBER(SEARCH("SUBSOLO",E201)),IFERROR(-VALUE(LEFT(E201,FIND("º",SUBSTITUTE(E201,"°","º"))-1)),-1),IF(LEFT(E201,6)="TÉRREO",0,IFERROR(VALUE(LEFT(E201,FIND("º",SUBSTITUTE(E201,"°","º"))-1)),""))))</f>
        <v/>
      </c>
      <c r="O201" s="2" t="str">
        <f aca="false">IF(OR(F201="",G201=""),"",IF(G201&lt;='RETRATO 2027'!$K$5,"CONCLUÍDA",IF(F201&lt;='RETRATO 2027'!$K$5,"EM ANDAMENTO","A INICIAR")))</f>
        <v>CONCLUÍDA</v>
      </c>
      <c r="R201" s="4" t="s">
        <v>3134</v>
      </c>
      <c r="S201" s="4" t="s">
        <v>179</v>
      </c>
      <c r="T201" s="4" t="s">
        <v>3135</v>
      </c>
      <c r="U201" s="4" t="s">
        <v>2613</v>
      </c>
      <c r="V201" s="2" t="n">
        <f aca="false">IF(R201="","",COUNTIF($C$5:$C$6004,R201))</f>
        <v>1</v>
      </c>
      <c r="W201" s="2" t="n">
        <f aca="false">IF(R201="","",COUNTIFS($C$5:$C$6004,R201,$O$5:$O$6004,"CONCLUÍDA"))</f>
        <v>0</v>
      </c>
      <c r="X201" s="2" t="n">
        <f aca="false">IF(R201="","",COUNTIFS($C$5:$C$6004,R201,$O$5:$O$6004,"EM ANDAMENTO"))</f>
        <v>0</v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9251591</v>
      </c>
      <c r="C202" s="4" t="s">
        <v>2643</v>
      </c>
      <c r="D202" s="4" t="s">
        <v>3136</v>
      </c>
      <c r="E202" s="4" t="s">
        <v>81</v>
      </c>
      <c r="F202" s="127" t="n">
        <v>45803</v>
      </c>
      <c r="G202" s="127" t="n">
        <v>45807</v>
      </c>
      <c r="H202" s="127" t="n">
        <v>46293</v>
      </c>
      <c r="I202" s="4" t="n">
        <v>100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12</v>
      </c>
      <c r="N202" s="2" t="str">
        <f aca="false">IF(E202="","",IF(ISNUMBER(SEARCH("SUBSOLO",E202)),IFERROR(-VALUE(LEFT(E202,FIND("º",SUBSTITUTE(E202,"°","º"))-1)),-1),IF(LEFT(E202,6)="TÉRREO",0,IFERROR(VALUE(LEFT(E202,FIND("º",SUBSTITUTE(E202,"°","º"))-1)),""))))</f>
        <v/>
      </c>
      <c r="O202" s="2" t="str">
        <f aca="false">IF(OR(F202="",G202=""),"",IF(G202&lt;='RETRATO 2027'!$K$5,"CONCLUÍDA",IF(F202&lt;='RETRATO 2027'!$K$5,"EM ANDAMENTO","A INICIAR")))</f>
        <v>CONCLUÍDA</v>
      </c>
      <c r="R202" s="4" t="s">
        <v>3137</v>
      </c>
      <c r="S202" s="4" t="s">
        <v>179</v>
      </c>
      <c r="T202" s="4" t="s">
        <v>3138</v>
      </c>
      <c r="U202" s="4" t="s">
        <v>2613</v>
      </c>
      <c r="V202" s="2" t="n">
        <f aca="false">IF(R202="","",COUNTIF($C$5:$C$6004,R202))</f>
        <v>1</v>
      </c>
      <c r="W202" s="2" t="n">
        <f aca="false">IF(R202="","",COUNTIFS($C$5:$C$6004,R202,$O$5:$O$6004,"CONCLUÍDA"))</f>
        <v>0</v>
      </c>
      <c r="X202" s="2" t="n">
        <f aca="false">IF(R202="","",COUNTIFS($C$5:$C$6004,R202,$O$5:$O$6004,"EM ANDAMENTO"))</f>
        <v>0</v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30661538</v>
      </c>
      <c r="C203" s="4" t="s">
        <v>2646</v>
      </c>
      <c r="D203" s="4" t="s">
        <v>433</v>
      </c>
      <c r="E203" s="4" t="s">
        <v>81</v>
      </c>
      <c r="F203" s="127" t="n">
        <v>45789</v>
      </c>
      <c r="G203" s="127" t="n">
        <v>46001</v>
      </c>
      <c r="H203" s="127" t="n">
        <v>46293</v>
      </c>
      <c r="I203" s="4" t="n">
        <v>100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13</v>
      </c>
      <c r="N203" s="2" t="str">
        <f aca="false">IF(E203="","",IF(ISNUMBER(SEARCH("SUBSOLO",E203)),IFERROR(-VALUE(LEFT(E203,FIND("º",SUBSTITUTE(E203,"°","º"))-1)),-1),IF(LEFT(E203,6)="TÉRREO",0,IFERROR(VALUE(LEFT(E203,FIND("º",SUBSTITUTE(E203,"°","º"))-1)),""))))</f>
        <v/>
      </c>
      <c r="O203" s="2" t="str">
        <f aca="false">IF(OR(F203="",G203=""),"",IF(G203&lt;='RETRATO 2027'!$K$5,"CONCLUÍDA",IF(F203&lt;='RETRATO 2027'!$K$5,"EM ANDAMENTO","A INICIAR")))</f>
        <v>CONCLUÍDA</v>
      </c>
      <c r="R203" s="4" t="s">
        <v>3139</v>
      </c>
      <c r="S203" s="4" t="s">
        <v>198</v>
      </c>
      <c r="T203" s="4" t="s">
        <v>3140</v>
      </c>
      <c r="U203" s="4" t="s">
        <v>2620</v>
      </c>
      <c r="V203" s="2" t="n">
        <f aca="false">IF(R203="","",COUNTIF($C$5:$C$6004,R203))</f>
        <v>1</v>
      </c>
      <c r="W203" s="2" t="n">
        <f aca="false">IF(R203="","",COUNTIFS($C$5:$C$6004,R203,$O$5:$O$6004,"CONCLUÍDA"))</f>
        <v>0</v>
      </c>
      <c r="X203" s="2" t="n">
        <f aca="false">IF(R203="","",COUNTIFS($C$5:$C$6004,R203,$O$5:$O$6004,"EM ANDAMENTO"))</f>
        <v>0</v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30661518</v>
      </c>
      <c r="C204" s="4" t="s">
        <v>2649</v>
      </c>
      <c r="D204" s="4" t="s">
        <v>433</v>
      </c>
      <c r="E204" s="4" t="s">
        <v>81</v>
      </c>
      <c r="F204" s="127" t="n">
        <v>45793</v>
      </c>
      <c r="G204" s="127" t="n">
        <v>46154</v>
      </c>
      <c r="H204" s="127" t="n">
        <v>46293</v>
      </c>
      <c r="I204" s="4" t="n">
        <v>100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16</v>
      </c>
      <c r="N204" s="2" t="str">
        <f aca="false">IF(E204="","",IF(ISNUMBER(SEARCH("SUBSOLO",E204)),IFERROR(-VALUE(LEFT(E204,FIND("º",SUBSTITUTE(E204,"°","º"))-1)),-1),IF(LEFT(E204,6)="TÉRREO",0,IFERROR(VALUE(LEFT(E204,FIND("º",SUBSTITUTE(E204,"°","º"))-1)),""))))</f>
        <v/>
      </c>
      <c r="O204" s="2" t="str">
        <f aca="false">IF(OR(F204="",G204=""),"",IF(G204&lt;='RETRATO 2027'!$K$5,"CONCLUÍDA",IF(F204&lt;='RETRATO 2027'!$K$5,"EM ANDAMENTO","A INICIAR")))</f>
        <v>CONCLUÍDA</v>
      </c>
      <c r="R204" s="4" t="s">
        <v>3141</v>
      </c>
      <c r="S204" s="4"/>
      <c r="T204" s="4" t="s">
        <v>3142</v>
      </c>
      <c r="U204" s="4" t="s">
        <v>2620</v>
      </c>
      <c r="V204" s="2" t="n">
        <f aca="false">IF(R204="","",COUNTIF($C$5:$C$6004,R204))</f>
        <v>1</v>
      </c>
      <c r="W204" s="2" t="n">
        <f aca="false">IF(R204="","",COUNTIFS($C$5:$C$6004,R204,$O$5:$O$6004,"CONCLUÍDA"))</f>
        <v>0</v>
      </c>
      <c r="X204" s="2" t="n">
        <f aca="false">IF(R204="","",COUNTIFS($C$5:$C$6004,R204,$O$5:$O$6004,"EM ANDAMENTO"))</f>
        <v>0</v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25923178</v>
      </c>
      <c r="C205" s="4" t="s">
        <v>2652</v>
      </c>
      <c r="D205" s="4" t="s">
        <v>433</v>
      </c>
      <c r="E205" s="4" t="s">
        <v>81</v>
      </c>
      <c r="F205" s="127" t="n">
        <v>45804</v>
      </c>
      <c r="G205" s="127" t="n">
        <v>45840</v>
      </c>
      <c r="H205" s="127" t="n">
        <v>46293</v>
      </c>
      <c r="I205" s="4" t="n">
        <v>100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15</v>
      </c>
      <c r="N205" s="2" t="str">
        <f aca="false">IF(E205="","",IF(ISNUMBER(SEARCH("SUBSOLO",E205)),IFERROR(-VALUE(LEFT(E205,FIND("º",SUBSTITUTE(E205,"°","º"))-1)),-1),IF(LEFT(E205,6)="TÉRREO",0,IFERROR(VALUE(LEFT(E205,FIND("º",SUBSTITUTE(E205,"°","º"))-1)),""))))</f>
        <v/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9248455</v>
      </c>
      <c r="C206" s="4" t="s">
        <v>2652</v>
      </c>
      <c r="D206" s="4" t="s">
        <v>3143</v>
      </c>
      <c r="E206" s="4" t="s">
        <v>81</v>
      </c>
      <c r="F206" s="127" t="n">
        <v>45804</v>
      </c>
      <c r="G206" s="127" t="n">
        <v>45804</v>
      </c>
      <c r="H206" s="127" t="n">
        <v>46293</v>
      </c>
      <c r="I206" s="4" t="n">
        <v>100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15</v>
      </c>
      <c r="N206" s="2" t="str">
        <f aca="false">IF(E206="","",IF(ISNUMBER(SEARCH("SUBSOLO",E206)),IFERROR(-VALUE(LEFT(E206,FIND("º",SUBSTITUTE(E206,"°","º"))-1)),-1),IF(LEFT(E206,6)="TÉRREO",0,IFERROR(VALUE(LEFT(E206,FIND("º",SUBSTITUTE(E206,"°","º"))-1)),""))))</f>
        <v/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9248456</v>
      </c>
      <c r="C207" s="4" t="s">
        <v>2652</v>
      </c>
      <c r="D207" s="4" t="s">
        <v>3144</v>
      </c>
      <c r="E207" s="4" t="s">
        <v>81</v>
      </c>
      <c r="F207" s="127" t="n">
        <v>45804</v>
      </c>
      <c r="G207" s="127" t="n">
        <v>45804</v>
      </c>
      <c r="H207" s="127" t="n">
        <v>46293</v>
      </c>
      <c r="I207" s="4" t="n">
        <v>100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15</v>
      </c>
      <c r="N207" s="2" t="str">
        <f aca="false">IF(E207="","",IF(ISNUMBER(SEARCH("SUBSOLO",E207)),IFERROR(-VALUE(LEFT(E207,FIND("º",SUBSTITUTE(E207,"°","º"))-1)),-1),IF(LEFT(E207,6)="TÉRREO",0,IFERROR(VALUE(LEFT(E207,FIND("º",SUBSTITUTE(E207,"°","º"))-1)),""))))</f>
        <v/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9248457</v>
      </c>
      <c r="C208" s="4" t="s">
        <v>2652</v>
      </c>
      <c r="D208" s="4" t="s">
        <v>3145</v>
      </c>
      <c r="E208" s="4" t="s">
        <v>81</v>
      </c>
      <c r="F208" s="127" t="n">
        <v>45804</v>
      </c>
      <c r="G208" s="127" t="n">
        <v>45804</v>
      </c>
      <c r="H208" s="127" t="n">
        <v>46293</v>
      </c>
      <c r="I208" s="4" t="n">
        <v>100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15</v>
      </c>
      <c r="N208" s="2" t="str">
        <f aca="false">IF(E208="","",IF(ISNUMBER(SEARCH("SUBSOLO",E208)),IFERROR(-VALUE(LEFT(E208,FIND("º",SUBSTITUTE(E208,"°","º"))-1)),-1),IF(LEFT(E208,6)="TÉRREO",0,IFERROR(VALUE(LEFT(E208,FIND("º",SUBSTITUTE(E208,"°","º"))-1)),""))))</f>
        <v/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9248458</v>
      </c>
      <c r="C209" s="4" t="s">
        <v>2652</v>
      </c>
      <c r="D209" s="4" t="s">
        <v>3146</v>
      </c>
      <c r="E209" s="4" t="s">
        <v>81</v>
      </c>
      <c r="F209" s="127" t="n">
        <v>45806</v>
      </c>
      <c r="G209" s="127" t="n">
        <v>45806</v>
      </c>
      <c r="H209" s="127" t="n">
        <v>46293</v>
      </c>
      <c r="I209" s="4" t="n">
        <v>100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15</v>
      </c>
      <c r="N209" s="2" t="str">
        <f aca="false">IF(E209="","",IF(ISNUMBER(SEARCH("SUBSOLO",E209)),IFERROR(-VALUE(LEFT(E209,FIND("º",SUBSTITUTE(E209,"°","º"))-1)),-1),IF(LEFT(E209,6)="TÉRREO",0,IFERROR(VALUE(LEFT(E209,FIND("º",SUBSTITUTE(E209,"°","º"))-1)),""))))</f>
        <v/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9248459</v>
      </c>
      <c r="C210" s="4" t="s">
        <v>2652</v>
      </c>
      <c r="D210" s="4" t="s">
        <v>3147</v>
      </c>
      <c r="E210" s="4" t="s">
        <v>81</v>
      </c>
      <c r="F210" s="127" t="n">
        <v>45806</v>
      </c>
      <c r="G210" s="127" t="n">
        <v>45806</v>
      </c>
      <c r="H210" s="127" t="n">
        <v>46293</v>
      </c>
      <c r="I210" s="4" t="n">
        <v>100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15</v>
      </c>
      <c r="N210" s="2" t="str">
        <f aca="false">IF(E210="","",IF(ISNUMBER(SEARCH("SUBSOLO",E210)),IFERROR(-VALUE(LEFT(E210,FIND("º",SUBSTITUTE(E210,"°","º"))-1)),-1),IF(LEFT(E210,6)="TÉRREO",0,IFERROR(VALUE(LEFT(E210,FIND("º",SUBSTITUTE(E210,"°","º"))-1)),""))))</f>
        <v/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9248460</v>
      </c>
      <c r="C211" s="4" t="s">
        <v>2652</v>
      </c>
      <c r="D211" s="4" t="s">
        <v>3148</v>
      </c>
      <c r="E211" s="4" t="s">
        <v>81</v>
      </c>
      <c r="F211" s="127" t="n">
        <v>45807</v>
      </c>
      <c r="G211" s="127" t="n">
        <v>45807</v>
      </c>
      <c r="H211" s="127" t="n">
        <v>46293</v>
      </c>
      <c r="I211" s="4" t="n">
        <v>100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15</v>
      </c>
      <c r="N211" s="2" t="str">
        <f aca="false">IF(E211="","",IF(ISNUMBER(SEARCH("SUBSOLO",E211)),IFERROR(-VALUE(LEFT(E211,FIND("º",SUBSTITUTE(E211,"°","º"))-1)),-1),IF(LEFT(E211,6)="TÉRREO",0,IFERROR(VALUE(LEFT(E211,FIND("º",SUBSTITUTE(E211,"°","º"))-1)),""))))</f>
        <v/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9248461</v>
      </c>
      <c r="C212" s="4" t="s">
        <v>2652</v>
      </c>
      <c r="D212" s="4" t="s">
        <v>3149</v>
      </c>
      <c r="E212" s="4" t="s">
        <v>81</v>
      </c>
      <c r="F212" s="127" t="n">
        <v>45807</v>
      </c>
      <c r="G212" s="127" t="n">
        <v>45807</v>
      </c>
      <c r="H212" s="127" t="n">
        <v>46293</v>
      </c>
      <c r="I212" s="4" t="n">
        <v>100</v>
      </c>
      <c r="J212" s="4" t="n">
        <v>100</v>
      </c>
      <c r="K212" s="4" t="n">
        <v>100</v>
      </c>
      <c r="M212" s="2" t="str">
        <f aca="false">IF(C212="","",IFERROR(INDEX($S$5:$S$304,MATCH(C212,$R$5:$R$304,0))&amp;"","?"))</f>
        <v>15</v>
      </c>
      <c r="N212" s="2" t="str">
        <f aca="false">IF(E212="","",IF(ISNUMBER(SEARCH("SUBSOLO",E212)),IFERROR(-VALUE(LEFT(E212,FIND("º",SUBSTITUTE(E212,"°","º"))-1)),-1),IF(LEFT(E212,6)="TÉRREO",0,IFERROR(VALUE(LEFT(E212,FIND("º",SUBSTITUTE(E212,"°","º"))-1)),""))))</f>
        <v/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9248462</v>
      </c>
      <c r="C213" s="4" t="s">
        <v>2652</v>
      </c>
      <c r="D213" s="4" t="s">
        <v>3150</v>
      </c>
      <c r="E213" s="4" t="s">
        <v>81</v>
      </c>
      <c r="F213" s="127" t="n">
        <v>45810</v>
      </c>
      <c r="G213" s="127" t="n">
        <v>45810</v>
      </c>
      <c r="H213" s="127" t="n">
        <v>46293</v>
      </c>
      <c r="I213" s="4" t="n">
        <v>100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15</v>
      </c>
      <c r="N213" s="2" t="str">
        <f aca="false">IF(E213="","",IF(ISNUMBER(SEARCH("SUBSOLO",E213)),IFERROR(-VALUE(LEFT(E213,FIND("º",SUBSTITUTE(E213,"°","º"))-1)),-1),IF(LEFT(E213,6)="TÉRREO",0,IFERROR(VALUE(LEFT(E213,FIND("º",SUBSTITUTE(E213,"°","º"))-1)),""))))</f>
        <v/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9248463</v>
      </c>
      <c r="C214" s="4" t="s">
        <v>2652</v>
      </c>
      <c r="D214" s="4" t="s">
        <v>3151</v>
      </c>
      <c r="E214" s="4" t="s">
        <v>81</v>
      </c>
      <c r="F214" s="127" t="n">
        <v>45810</v>
      </c>
      <c r="G214" s="127" t="n">
        <v>45810</v>
      </c>
      <c r="H214" s="127" t="n">
        <v>46293</v>
      </c>
      <c r="I214" s="4" t="n">
        <v>100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15</v>
      </c>
      <c r="N214" s="2" t="str">
        <f aca="false">IF(E214="","",IF(ISNUMBER(SEARCH("SUBSOLO",E214)),IFERROR(-VALUE(LEFT(E214,FIND("º",SUBSTITUTE(E214,"°","º"))-1)),-1),IF(LEFT(E214,6)="TÉRREO",0,IFERROR(VALUE(LEFT(E214,FIND("º",SUBSTITUTE(E214,"°","º"))-1)),""))))</f>
        <v/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9248464</v>
      </c>
      <c r="C215" s="4" t="s">
        <v>2652</v>
      </c>
      <c r="D215" s="4" t="s">
        <v>3152</v>
      </c>
      <c r="E215" s="4" t="s">
        <v>81</v>
      </c>
      <c r="F215" s="127" t="n">
        <v>45811</v>
      </c>
      <c r="G215" s="127" t="n">
        <v>45811</v>
      </c>
      <c r="H215" s="127" t="n">
        <v>46293</v>
      </c>
      <c r="I215" s="4" t="n">
        <v>100</v>
      </c>
      <c r="J215" s="4" t="n">
        <v>100</v>
      </c>
      <c r="K215" s="4" t="n">
        <v>100</v>
      </c>
      <c r="M215" s="2" t="str">
        <f aca="false">IF(C215="","",IFERROR(INDEX($S$5:$S$304,MATCH(C215,$R$5:$R$304,0))&amp;"","?"))</f>
        <v>15</v>
      </c>
      <c r="N215" s="2" t="str">
        <f aca="false">IF(E215="","",IF(ISNUMBER(SEARCH("SUBSOLO",E215)),IFERROR(-VALUE(LEFT(E215,FIND("º",SUBSTITUTE(E215,"°","º"))-1)),-1),IF(LEFT(E215,6)="TÉRREO",0,IFERROR(VALUE(LEFT(E215,FIND("º",SUBSTITUTE(E215,"°","º"))-1)),""))))</f>
        <v/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9248465</v>
      </c>
      <c r="C216" s="4" t="s">
        <v>2652</v>
      </c>
      <c r="D216" s="4" t="s">
        <v>3153</v>
      </c>
      <c r="E216" s="4" t="s">
        <v>81</v>
      </c>
      <c r="F216" s="127" t="n">
        <v>45811</v>
      </c>
      <c r="G216" s="127" t="n">
        <v>45811</v>
      </c>
      <c r="H216" s="127" t="n">
        <v>46293</v>
      </c>
      <c r="I216" s="4" t="n">
        <v>100</v>
      </c>
      <c r="J216" s="4" t="n">
        <v>100</v>
      </c>
      <c r="K216" s="4" t="n">
        <v>100</v>
      </c>
      <c r="M216" s="2" t="str">
        <f aca="false">IF(C216="","",IFERROR(INDEX($S$5:$S$304,MATCH(C216,$R$5:$R$304,0))&amp;"","?"))</f>
        <v>15</v>
      </c>
      <c r="N216" s="2" t="str">
        <f aca="false">IF(E216="","",IF(ISNUMBER(SEARCH("SUBSOLO",E216)),IFERROR(-VALUE(LEFT(E216,FIND("º",SUBSTITUTE(E216,"°","º"))-1)),-1),IF(LEFT(E216,6)="TÉRREO",0,IFERROR(VALUE(LEFT(E216,FIND("º",SUBSTITUTE(E216,"°","º"))-1)),""))))</f>
        <v/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9248466</v>
      </c>
      <c r="C217" s="4" t="s">
        <v>2652</v>
      </c>
      <c r="D217" s="4" t="s">
        <v>3154</v>
      </c>
      <c r="E217" s="4" t="s">
        <v>81</v>
      </c>
      <c r="F217" s="127" t="n">
        <v>45812</v>
      </c>
      <c r="G217" s="127" t="n">
        <v>45812</v>
      </c>
      <c r="H217" s="127" t="n">
        <v>46293</v>
      </c>
      <c r="I217" s="4" t="n">
        <v>100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15</v>
      </c>
      <c r="N217" s="2" t="str">
        <f aca="false">IF(E217="","",IF(ISNUMBER(SEARCH("SUBSOLO",E217)),IFERROR(-VALUE(LEFT(E217,FIND("º",SUBSTITUTE(E217,"°","º"))-1)),-1),IF(LEFT(E217,6)="TÉRREO",0,IFERROR(VALUE(LEFT(E217,FIND("º",SUBSTITUTE(E217,"°","º"))-1)),""))))</f>
        <v/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9248467</v>
      </c>
      <c r="C218" s="4" t="s">
        <v>2652</v>
      </c>
      <c r="D218" s="4" t="s">
        <v>3155</v>
      </c>
      <c r="E218" s="4" t="s">
        <v>81</v>
      </c>
      <c r="F218" s="127" t="n">
        <v>45812</v>
      </c>
      <c r="G218" s="127" t="n">
        <v>45812</v>
      </c>
      <c r="H218" s="127" t="n">
        <v>46293</v>
      </c>
      <c r="I218" s="4" t="n">
        <v>100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15</v>
      </c>
      <c r="N218" s="2" t="str">
        <f aca="false">IF(E218="","",IF(ISNUMBER(SEARCH("SUBSOLO",E218)),IFERROR(-VALUE(LEFT(E218,FIND("º",SUBSTITUTE(E218,"°","º"))-1)),-1),IF(LEFT(E218,6)="TÉRREO",0,IFERROR(VALUE(LEFT(E218,FIND("º",SUBSTITUTE(E218,"°","º"))-1)),""))))</f>
        <v/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9248468</v>
      </c>
      <c r="C219" s="4" t="s">
        <v>2652</v>
      </c>
      <c r="D219" s="4" t="s">
        <v>3156</v>
      </c>
      <c r="E219" s="4" t="s">
        <v>81</v>
      </c>
      <c r="F219" s="127" t="n">
        <v>45813</v>
      </c>
      <c r="G219" s="127" t="n">
        <v>45813</v>
      </c>
      <c r="H219" s="127" t="n">
        <v>46293</v>
      </c>
      <c r="I219" s="4" t="n">
        <v>100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15</v>
      </c>
      <c r="N219" s="2" t="str">
        <f aca="false">IF(E219="","",IF(ISNUMBER(SEARCH("SUBSOLO",E219)),IFERROR(-VALUE(LEFT(E219,FIND("º",SUBSTITUTE(E219,"°","º"))-1)),-1),IF(LEFT(E219,6)="TÉRREO",0,IFERROR(VALUE(LEFT(E219,FIND("º",SUBSTITUTE(E219,"°","º"))-1)),""))))</f>
        <v/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9248469</v>
      </c>
      <c r="C220" s="4" t="s">
        <v>2652</v>
      </c>
      <c r="D220" s="4" t="s">
        <v>3157</v>
      </c>
      <c r="E220" s="4" t="s">
        <v>81</v>
      </c>
      <c r="F220" s="127" t="n">
        <v>45812</v>
      </c>
      <c r="G220" s="127" t="n">
        <v>45812</v>
      </c>
      <c r="H220" s="127" t="n">
        <v>46293</v>
      </c>
      <c r="I220" s="4" t="n">
        <v>100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15</v>
      </c>
      <c r="N220" s="2" t="str">
        <f aca="false">IF(E220="","",IF(ISNUMBER(SEARCH("SUBSOLO",E220)),IFERROR(-VALUE(LEFT(E220,FIND("º",SUBSTITUTE(E220,"°","º"))-1)),-1),IF(LEFT(E220,6)="TÉRREO",0,IFERROR(VALUE(LEFT(E220,FIND("º",SUBSTITUTE(E220,"°","º"))-1)),""))))</f>
        <v/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9248470</v>
      </c>
      <c r="C221" s="4" t="s">
        <v>2652</v>
      </c>
      <c r="D221" s="4" t="s">
        <v>3158</v>
      </c>
      <c r="E221" s="4" t="s">
        <v>81</v>
      </c>
      <c r="F221" s="127" t="n">
        <v>45813</v>
      </c>
      <c r="G221" s="127" t="n">
        <v>45813</v>
      </c>
      <c r="H221" s="127" t="n">
        <v>46293</v>
      </c>
      <c r="I221" s="4" t="n">
        <v>100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15</v>
      </c>
      <c r="N221" s="2" t="str">
        <f aca="false">IF(E221="","",IF(ISNUMBER(SEARCH("SUBSOLO",E221)),IFERROR(-VALUE(LEFT(E221,FIND("º",SUBSTITUTE(E221,"°","º"))-1)),-1),IF(LEFT(E221,6)="TÉRREO",0,IFERROR(VALUE(LEFT(E221,FIND("º",SUBSTITUTE(E221,"°","º"))-1)),""))))</f>
        <v/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9248471</v>
      </c>
      <c r="C222" s="4" t="s">
        <v>2652</v>
      </c>
      <c r="D222" s="4" t="s">
        <v>3159</v>
      </c>
      <c r="E222" s="4" t="s">
        <v>81</v>
      </c>
      <c r="F222" s="127" t="n">
        <v>45814</v>
      </c>
      <c r="G222" s="127" t="n">
        <v>45814</v>
      </c>
      <c r="H222" s="127" t="n">
        <v>46293</v>
      </c>
      <c r="I222" s="4" t="n">
        <v>100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15</v>
      </c>
      <c r="N222" s="2" t="str">
        <f aca="false">IF(E222="","",IF(ISNUMBER(SEARCH("SUBSOLO",E222)),IFERROR(-VALUE(LEFT(E222,FIND("º",SUBSTITUTE(E222,"°","º"))-1)),-1),IF(LEFT(E222,6)="TÉRREO",0,IFERROR(VALUE(LEFT(E222,FIND("º",SUBSTITUTE(E222,"°","º"))-1)),""))))</f>
        <v/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10707447</v>
      </c>
      <c r="C223" s="4" t="s">
        <v>2652</v>
      </c>
      <c r="D223" s="4" t="s">
        <v>3160</v>
      </c>
      <c r="E223" s="4" t="s">
        <v>81</v>
      </c>
      <c r="F223" s="127" t="n">
        <v>45817</v>
      </c>
      <c r="G223" s="127" t="n">
        <v>45817</v>
      </c>
      <c r="H223" s="127" t="n">
        <v>46293</v>
      </c>
      <c r="I223" s="4" t="n">
        <v>100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15</v>
      </c>
      <c r="N223" s="2" t="str">
        <f aca="false">IF(E223="","",IF(ISNUMBER(SEARCH("SUBSOLO",E223)),IFERROR(-VALUE(LEFT(E223,FIND("º",SUBSTITUTE(E223,"°","º"))-1)),-1),IF(LEFT(E223,6)="TÉRREO",0,IFERROR(VALUE(LEFT(E223,FIND("º",SUBSTITUTE(E223,"°","º"))-1)),""))))</f>
        <v/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10707448</v>
      </c>
      <c r="C224" s="4" t="s">
        <v>2652</v>
      </c>
      <c r="D224" s="4" t="s">
        <v>3161</v>
      </c>
      <c r="E224" s="4" t="s">
        <v>81</v>
      </c>
      <c r="F224" s="127" t="n">
        <v>45817</v>
      </c>
      <c r="G224" s="127" t="n">
        <v>45817</v>
      </c>
      <c r="H224" s="127" t="n">
        <v>46293</v>
      </c>
      <c r="I224" s="4" t="n">
        <v>100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15</v>
      </c>
      <c r="N224" s="2" t="str">
        <f aca="false">IF(E224="","",IF(ISNUMBER(SEARCH("SUBSOLO",E224)),IFERROR(-VALUE(LEFT(E224,FIND("º",SUBSTITUTE(E224,"°","º"))-1)),-1),IF(LEFT(E224,6)="TÉRREO",0,IFERROR(VALUE(LEFT(E224,FIND("º",SUBSTITUTE(E224,"°","º"))-1)),""))))</f>
        <v/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10707449</v>
      </c>
      <c r="C225" s="4" t="s">
        <v>2652</v>
      </c>
      <c r="D225" s="4" t="s">
        <v>3162</v>
      </c>
      <c r="E225" s="4" t="s">
        <v>81</v>
      </c>
      <c r="F225" s="127" t="n">
        <v>45818</v>
      </c>
      <c r="G225" s="127" t="n">
        <v>45818</v>
      </c>
      <c r="H225" s="127" t="n">
        <v>46293</v>
      </c>
      <c r="I225" s="4" t="n">
        <v>100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15</v>
      </c>
      <c r="N225" s="2" t="str">
        <f aca="false">IF(E225="","",IF(ISNUMBER(SEARCH("SUBSOLO",E225)),IFERROR(-VALUE(LEFT(E225,FIND("º",SUBSTITUTE(E225,"°","º"))-1)),-1),IF(LEFT(E225,6)="TÉRREO",0,IFERROR(VALUE(LEFT(E225,FIND("º",SUBSTITUTE(E225,"°","º"))-1)),""))))</f>
        <v/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10707499</v>
      </c>
      <c r="C226" s="4" t="s">
        <v>2652</v>
      </c>
      <c r="D226" s="4" t="s">
        <v>3163</v>
      </c>
      <c r="E226" s="4" t="s">
        <v>81</v>
      </c>
      <c r="F226" s="127" t="n">
        <v>45819</v>
      </c>
      <c r="G226" s="127" t="n">
        <v>45819</v>
      </c>
      <c r="H226" s="127" t="n">
        <v>46293</v>
      </c>
      <c r="I226" s="4" t="n">
        <v>100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15</v>
      </c>
      <c r="N226" s="2" t="str">
        <f aca="false">IF(E226="","",IF(ISNUMBER(SEARCH("SUBSOLO",E226)),IFERROR(-VALUE(LEFT(E226,FIND("º",SUBSTITUTE(E226,"°","º"))-1)),-1),IF(LEFT(E226,6)="TÉRREO",0,IFERROR(VALUE(LEFT(E226,FIND("º",SUBSTITUTE(E226,"°","º"))-1)),""))))</f>
        <v/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10707500</v>
      </c>
      <c r="C227" s="4" t="s">
        <v>2652</v>
      </c>
      <c r="D227" s="4" t="s">
        <v>3164</v>
      </c>
      <c r="E227" s="4" t="s">
        <v>81</v>
      </c>
      <c r="F227" s="127" t="n">
        <v>45807</v>
      </c>
      <c r="G227" s="127" t="n">
        <v>45807</v>
      </c>
      <c r="H227" s="127" t="n">
        <v>46293</v>
      </c>
      <c r="I227" s="4" t="n">
        <v>100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15</v>
      </c>
      <c r="N227" s="2" t="str">
        <f aca="false">IF(E227="","",IF(ISNUMBER(SEARCH("SUBSOLO",E227)),IFERROR(-VALUE(LEFT(E227,FIND("º",SUBSTITUTE(E227,"°","º"))-1)),-1),IF(LEFT(E227,6)="TÉRREO",0,IFERROR(VALUE(LEFT(E227,FIND("º",SUBSTITUTE(E227,"°","º"))-1)),""))))</f>
        <v/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10707501</v>
      </c>
      <c r="C228" s="4" t="s">
        <v>2652</v>
      </c>
      <c r="D228" s="4" t="s">
        <v>3165</v>
      </c>
      <c r="E228" s="4" t="s">
        <v>81</v>
      </c>
      <c r="F228" s="127" t="n">
        <v>45807</v>
      </c>
      <c r="G228" s="127" t="n">
        <v>45807</v>
      </c>
      <c r="H228" s="127" t="n">
        <v>46293</v>
      </c>
      <c r="I228" s="4" t="n">
        <v>100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15</v>
      </c>
      <c r="N228" s="2" t="str">
        <f aca="false">IF(E228="","",IF(ISNUMBER(SEARCH("SUBSOLO",E228)),IFERROR(-VALUE(LEFT(E228,FIND("º",SUBSTITUTE(E228,"°","º"))-1)),-1),IF(LEFT(E228,6)="TÉRREO",0,IFERROR(VALUE(LEFT(E228,FIND("º",SUBSTITUTE(E228,"°","º"))-1)),""))))</f>
        <v/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10707502</v>
      </c>
      <c r="C229" s="4" t="s">
        <v>2652</v>
      </c>
      <c r="D229" s="4" t="s">
        <v>3166</v>
      </c>
      <c r="E229" s="4" t="s">
        <v>81</v>
      </c>
      <c r="F229" s="127" t="n">
        <v>45810</v>
      </c>
      <c r="G229" s="127" t="n">
        <v>45810</v>
      </c>
      <c r="H229" s="127" t="n">
        <v>46293</v>
      </c>
      <c r="I229" s="4" t="n">
        <v>100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15</v>
      </c>
      <c r="N229" s="2" t="str">
        <f aca="false">IF(E229="","",IF(ISNUMBER(SEARCH("SUBSOLO",E229)),IFERROR(-VALUE(LEFT(E229,FIND("º",SUBSTITUTE(E229,"°","º"))-1)),-1),IF(LEFT(E229,6)="TÉRREO",0,IFERROR(VALUE(LEFT(E229,FIND("º",SUBSTITUTE(E229,"°","º"))-1)),""))))</f>
        <v/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10707503</v>
      </c>
      <c r="C230" s="4" t="s">
        <v>2652</v>
      </c>
      <c r="D230" s="4" t="s">
        <v>3167</v>
      </c>
      <c r="E230" s="4" t="s">
        <v>81</v>
      </c>
      <c r="F230" s="127" t="n">
        <v>45810</v>
      </c>
      <c r="G230" s="127" t="n">
        <v>45810</v>
      </c>
      <c r="H230" s="127" t="n">
        <v>46293</v>
      </c>
      <c r="I230" s="4" t="n">
        <v>100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15</v>
      </c>
      <c r="N230" s="2" t="str">
        <f aca="false">IF(E230="","",IF(ISNUMBER(SEARCH("SUBSOLO",E230)),IFERROR(-VALUE(LEFT(E230,FIND("º",SUBSTITUTE(E230,"°","º"))-1)),-1),IF(LEFT(E230,6)="TÉRREO",0,IFERROR(VALUE(LEFT(E230,FIND("º",SUBSTITUTE(E230,"°","º"))-1)),""))))</f>
        <v/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10707504</v>
      </c>
      <c r="C231" s="4" t="s">
        <v>2652</v>
      </c>
      <c r="D231" s="4" t="s">
        <v>3168</v>
      </c>
      <c r="E231" s="4" t="s">
        <v>81</v>
      </c>
      <c r="F231" s="127" t="n">
        <v>45811</v>
      </c>
      <c r="G231" s="127" t="n">
        <v>45811</v>
      </c>
      <c r="H231" s="127" t="n">
        <v>46293</v>
      </c>
      <c r="I231" s="4" t="n">
        <v>100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15</v>
      </c>
      <c r="N231" s="2" t="str">
        <f aca="false">IF(E231="","",IF(ISNUMBER(SEARCH("SUBSOLO",E231)),IFERROR(-VALUE(LEFT(E231,FIND("º",SUBSTITUTE(E231,"°","º"))-1)),-1),IF(LEFT(E231,6)="TÉRREO",0,IFERROR(VALUE(LEFT(E231,FIND("º",SUBSTITUTE(E231,"°","º"))-1)),""))))</f>
        <v/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10707505</v>
      </c>
      <c r="C232" s="4" t="s">
        <v>2652</v>
      </c>
      <c r="D232" s="4" t="s">
        <v>3169</v>
      </c>
      <c r="E232" s="4" t="s">
        <v>81</v>
      </c>
      <c r="F232" s="127" t="n">
        <v>45811</v>
      </c>
      <c r="G232" s="127" t="n">
        <v>45811</v>
      </c>
      <c r="H232" s="127" t="n">
        <v>46293</v>
      </c>
      <c r="I232" s="4" t="n">
        <v>100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15</v>
      </c>
      <c r="N232" s="2" t="str">
        <f aca="false">IF(E232="","",IF(ISNUMBER(SEARCH("SUBSOLO",E232)),IFERROR(-VALUE(LEFT(E232,FIND("º",SUBSTITUTE(E232,"°","º"))-1)),-1),IF(LEFT(E232,6)="TÉRREO",0,IFERROR(VALUE(LEFT(E232,FIND("º",SUBSTITUTE(E232,"°","º"))-1)),""))))</f>
        <v/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10707506</v>
      </c>
      <c r="C233" s="4" t="s">
        <v>2652</v>
      </c>
      <c r="D233" s="4" t="s">
        <v>3170</v>
      </c>
      <c r="E233" s="4" t="s">
        <v>81</v>
      </c>
      <c r="F233" s="127" t="n">
        <v>45811</v>
      </c>
      <c r="G233" s="127" t="n">
        <v>45811</v>
      </c>
      <c r="H233" s="127" t="n">
        <v>46293</v>
      </c>
      <c r="I233" s="4" t="n">
        <v>100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15</v>
      </c>
      <c r="N233" s="2" t="str">
        <f aca="false">IF(E233="","",IF(ISNUMBER(SEARCH("SUBSOLO",E233)),IFERROR(-VALUE(LEFT(E233,FIND("º",SUBSTITUTE(E233,"°","º"))-1)),-1),IF(LEFT(E233,6)="TÉRREO",0,IFERROR(VALUE(LEFT(E233,FIND("º",SUBSTITUTE(E233,"°","º"))-1)),""))))</f>
        <v/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10707507</v>
      </c>
      <c r="C234" s="4" t="s">
        <v>2652</v>
      </c>
      <c r="D234" s="4" t="s">
        <v>3171</v>
      </c>
      <c r="E234" s="4" t="s">
        <v>81</v>
      </c>
      <c r="F234" s="127" t="n">
        <v>45811</v>
      </c>
      <c r="G234" s="127" t="n">
        <v>45811</v>
      </c>
      <c r="H234" s="127" t="n">
        <v>46293</v>
      </c>
      <c r="I234" s="4" t="n">
        <v>100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15</v>
      </c>
      <c r="N234" s="2" t="str">
        <f aca="false">IF(E234="","",IF(ISNUMBER(SEARCH("SUBSOLO",E234)),IFERROR(-VALUE(LEFT(E234,FIND("º",SUBSTITUTE(E234,"°","º"))-1)),-1),IF(LEFT(E234,6)="TÉRREO",0,IFERROR(VALUE(LEFT(E234,FIND("º",SUBSTITUTE(E234,"°","º"))-1)),""))))</f>
        <v/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10707508</v>
      </c>
      <c r="C235" s="4" t="s">
        <v>2652</v>
      </c>
      <c r="D235" s="4" t="s">
        <v>3172</v>
      </c>
      <c r="E235" s="4" t="s">
        <v>81</v>
      </c>
      <c r="F235" s="127" t="n">
        <v>45821</v>
      </c>
      <c r="G235" s="127" t="n">
        <v>45821</v>
      </c>
      <c r="H235" s="127" t="n">
        <v>46293</v>
      </c>
      <c r="I235" s="4" t="n">
        <v>100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15</v>
      </c>
      <c r="N235" s="2" t="str">
        <f aca="false">IF(E235="","",IF(ISNUMBER(SEARCH("SUBSOLO",E235)),IFERROR(-VALUE(LEFT(E235,FIND("º",SUBSTITUTE(E235,"°","º"))-1)),-1),IF(LEFT(E235,6)="TÉRREO",0,IFERROR(VALUE(LEFT(E235,FIND("º",SUBSTITUTE(E235,"°","º"))-1)),""))))</f>
        <v/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10707509</v>
      </c>
      <c r="C236" s="4" t="s">
        <v>2652</v>
      </c>
      <c r="D236" s="4" t="s">
        <v>3173</v>
      </c>
      <c r="E236" s="4" t="s">
        <v>81</v>
      </c>
      <c r="F236" s="127" t="n">
        <v>45832</v>
      </c>
      <c r="G236" s="127" t="n">
        <v>45832</v>
      </c>
      <c r="H236" s="127" t="n">
        <v>46293</v>
      </c>
      <c r="I236" s="4" t="n">
        <v>100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15</v>
      </c>
      <c r="N236" s="2" t="str">
        <f aca="false">IF(E236="","",IF(ISNUMBER(SEARCH("SUBSOLO",E236)),IFERROR(-VALUE(LEFT(E236,FIND("º",SUBSTITUTE(E236,"°","º"))-1)),-1),IF(LEFT(E236,6)="TÉRREO",0,IFERROR(VALUE(LEFT(E236,FIND("º",SUBSTITUTE(E236,"°","º"))-1)),""))))</f>
        <v/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10707510</v>
      </c>
      <c r="C237" s="4" t="s">
        <v>2652</v>
      </c>
      <c r="D237" s="4" t="s">
        <v>3174</v>
      </c>
      <c r="E237" s="4" t="s">
        <v>81</v>
      </c>
      <c r="F237" s="127" t="n">
        <v>45825</v>
      </c>
      <c r="G237" s="127" t="n">
        <v>45825</v>
      </c>
      <c r="H237" s="127" t="n">
        <v>46293</v>
      </c>
      <c r="I237" s="4" t="n">
        <v>100</v>
      </c>
      <c r="J237" s="4" t="n">
        <v>100</v>
      </c>
      <c r="K237" s="4" t="n">
        <v>100</v>
      </c>
      <c r="M237" s="2" t="str">
        <f aca="false">IF(C237="","",IFERROR(INDEX($S$5:$S$304,MATCH(C237,$R$5:$R$304,0))&amp;"","?"))</f>
        <v>15</v>
      </c>
      <c r="N237" s="2" t="str">
        <f aca="false">IF(E237="","",IF(ISNUMBER(SEARCH("SUBSOLO",E237)),IFERROR(-VALUE(LEFT(E237,FIND("º",SUBSTITUTE(E237,"°","º"))-1)),-1),IF(LEFT(E237,6)="TÉRREO",0,IFERROR(VALUE(LEFT(E237,FIND("º",SUBSTITUTE(E237,"°","º"))-1)),""))))</f>
        <v/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10707511</v>
      </c>
      <c r="C238" s="4" t="s">
        <v>2652</v>
      </c>
      <c r="D238" s="4" t="s">
        <v>3175</v>
      </c>
      <c r="E238" s="4" t="s">
        <v>81</v>
      </c>
      <c r="F238" s="127" t="n">
        <v>45825</v>
      </c>
      <c r="G238" s="127" t="n">
        <v>45825</v>
      </c>
      <c r="H238" s="127" t="n">
        <v>46293</v>
      </c>
      <c r="I238" s="4" t="n">
        <v>100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15</v>
      </c>
      <c r="N238" s="2" t="str">
        <f aca="false">IF(E238="","",IF(ISNUMBER(SEARCH("SUBSOLO",E238)),IFERROR(-VALUE(LEFT(E238,FIND("º",SUBSTITUTE(E238,"°","º"))-1)),-1),IF(LEFT(E238,6)="TÉRREO",0,IFERROR(VALUE(LEFT(E238,FIND("º",SUBSTITUTE(E238,"°","º"))-1)),""))))</f>
        <v/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10707512</v>
      </c>
      <c r="C239" s="4" t="s">
        <v>2652</v>
      </c>
      <c r="D239" s="4" t="s">
        <v>3176</v>
      </c>
      <c r="E239" s="4" t="s">
        <v>81</v>
      </c>
      <c r="F239" s="127" t="n">
        <v>45825</v>
      </c>
      <c r="G239" s="127" t="n">
        <v>45825</v>
      </c>
      <c r="H239" s="127" t="n">
        <v>46293</v>
      </c>
      <c r="I239" s="4" t="n">
        <v>100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15</v>
      </c>
      <c r="N239" s="2" t="str">
        <f aca="false">IF(E239="","",IF(ISNUMBER(SEARCH("SUBSOLO",E239)),IFERROR(-VALUE(LEFT(E239,FIND("º",SUBSTITUTE(E239,"°","º"))-1)),-1),IF(LEFT(E239,6)="TÉRREO",0,IFERROR(VALUE(LEFT(E239,FIND("º",SUBSTITUTE(E239,"°","º"))-1)),""))))</f>
        <v/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10707513</v>
      </c>
      <c r="C240" s="4" t="s">
        <v>2652</v>
      </c>
      <c r="D240" s="4" t="s">
        <v>3177</v>
      </c>
      <c r="E240" s="4" t="s">
        <v>81</v>
      </c>
      <c r="F240" s="127" t="n">
        <v>45804</v>
      </c>
      <c r="G240" s="127" t="n">
        <v>45804</v>
      </c>
      <c r="H240" s="127" t="n">
        <v>46293</v>
      </c>
      <c r="I240" s="4" t="n">
        <v>100</v>
      </c>
      <c r="J240" s="4" t="n">
        <v>100</v>
      </c>
      <c r="K240" s="4" t="n">
        <v>100</v>
      </c>
      <c r="M240" s="2" t="str">
        <f aca="false">IF(C240="","",IFERROR(INDEX($S$5:$S$304,MATCH(C240,$R$5:$R$304,0))&amp;"","?"))</f>
        <v>15</v>
      </c>
      <c r="N240" s="2" t="str">
        <f aca="false">IF(E240="","",IF(ISNUMBER(SEARCH("SUBSOLO",E240)),IFERROR(-VALUE(LEFT(E240,FIND("º",SUBSTITUTE(E240,"°","º"))-1)),-1),IF(LEFT(E240,6)="TÉRREO",0,IFERROR(VALUE(LEFT(E240,FIND("º",SUBSTITUTE(E240,"°","º"))-1)),""))))</f>
        <v/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10707514</v>
      </c>
      <c r="C241" s="4" t="s">
        <v>2652</v>
      </c>
      <c r="D241" s="4" t="s">
        <v>3178</v>
      </c>
      <c r="E241" s="4" t="s">
        <v>81</v>
      </c>
      <c r="F241" s="127" t="n">
        <v>45824</v>
      </c>
      <c r="G241" s="127" t="n">
        <v>45824</v>
      </c>
      <c r="H241" s="127" t="n">
        <v>46293</v>
      </c>
      <c r="I241" s="4" t="n">
        <v>100</v>
      </c>
      <c r="J241" s="4" t="n">
        <v>100</v>
      </c>
      <c r="K241" s="4" t="n">
        <v>100</v>
      </c>
      <c r="M241" s="2" t="str">
        <f aca="false">IF(C241="","",IFERROR(INDEX($S$5:$S$304,MATCH(C241,$R$5:$R$304,0))&amp;"","?"))</f>
        <v>15</v>
      </c>
      <c r="N241" s="2" t="str">
        <f aca="false">IF(E241="","",IF(ISNUMBER(SEARCH("SUBSOLO",E241)),IFERROR(-VALUE(LEFT(E241,FIND("º",SUBSTITUTE(E241,"°","º"))-1)),-1),IF(LEFT(E241,6)="TÉRREO",0,IFERROR(VALUE(LEFT(E241,FIND("º",SUBSTITUTE(E241,"°","º"))-1)),""))))</f>
        <v/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10707515</v>
      </c>
      <c r="C242" s="4" t="s">
        <v>2652</v>
      </c>
      <c r="D242" s="4" t="s">
        <v>3179</v>
      </c>
      <c r="E242" s="4" t="s">
        <v>81</v>
      </c>
      <c r="F242" s="127" t="n">
        <v>45824</v>
      </c>
      <c r="G242" s="127" t="n">
        <v>45824</v>
      </c>
      <c r="H242" s="127" t="n">
        <v>46293</v>
      </c>
      <c r="I242" s="4" t="n">
        <v>100</v>
      </c>
      <c r="J242" s="4" t="n">
        <v>100</v>
      </c>
      <c r="K242" s="4" t="n">
        <v>100</v>
      </c>
      <c r="M242" s="2" t="str">
        <f aca="false">IF(C242="","",IFERROR(INDEX($S$5:$S$304,MATCH(C242,$R$5:$R$304,0))&amp;"","?"))</f>
        <v>15</v>
      </c>
      <c r="N242" s="2" t="str">
        <f aca="false">IF(E242="","",IF(ISNUMBER(SEARCH("SUBSOLO",E242)),IFERROR(-VALUE(LEFT(E242,FIND("º",SUBSTITUTE(E242,"°","º"))-1)),-1),IF(LEFT(E242,6)="TÉRREO",0,IFERROR(VALUE(LEFT(E242,FIND("º",SUBSTITUTE(E242,"°","º"))-1)),""))))</f>
        <v/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10707516</v>
      </c>
      <c r="C243" s="4" t="s">
        <v>2652</v>
      </c>
      <c r="D243" s="4" t="s">
        <v>3180</v>
      </c>
      <c r="E243" s="4" t="s">
        <v>81</v>
      </c>
      <c r="F243" s="127" t="n">
        <v>45839</v>
      </c>
      <c r="G243" s="127" t="n">
        <v>45839</v>
      </c>
      <c r="H243" s="127" t="n">
        <v>46293</v>
      </c>
      <c r="I243" s="4" t="n">
        <v>100</v>
      </c>
      <c r="J243" s="4" t="n">
        <v>100</v>
      </c>
      <c r="K243" s="4" t="n">
        <v>100</v>
      </c>
      <c r="M243" s="2" t="str">
        <f aca="false">IF(C243="","",IFERROR(INDEX($S$5:$S$304,MATCH(C243,$R$5:$R$304,0))&amp;"","?"))</f>
        <v>15</v>
      </c>
      <c r="N243" s="2" t="str">
        <f aca="false">IF(E243="","",IF(ISNUMBER(SEARCH("SUBSOLO",E243)),IFERROR(-VALUE(LEFT(E243,FIND("º",SUBSTITUTE(E243,"°","º"))-1)),-1),IF(LEFT(E243,6)="TÉRREO",0,IFERROR(VALUE(LEFT(E243,FIND("º",SUBSTITUTE(E243,"°","º"))-1)),""))))</f>
        <v/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10707517</v>
      </c>
      <c r="C244" s="4" t="s">
        <v>2652</v>
      </c>
      <c r="D244" s="4" t="s">
        <v>3181</v>
      </c>
      <c r="E244" s="4" t="s">
        <v>81</v>
      </c>
      <c r="F244" s="127" t="n">
        <v>45839</v>
      </c>
      <c r="G244" s="127" t="n">
        <v>45839</v>
      </c>
      <c r="H244" s="127" t="n">
        <v>46293</v>
      </c>
      <c r="I244" s="4" t="n">
        <v>100</v>
      </c>
      <c r="J244" s="4" t="n">
        <v>100</v>
      </c>
      <c r="K244" s="4" t="n">
        <v>100</v>
      </c>
      <c r="M244" s="2" t="str">
        <f aca="false">IF(C244="","",IFERROR(INDEX($S$5:$S$304,MATCH(C244,$R$5:$R$304,0))&amp;"","?"))</f>
        <v>15</v>
      </c>
      <c r="N244" s="2" t="str">
        <f aca="false">IF(E244="","",IF(ISNUMBER(SEARCH("SUBSOLO",E244)),IFERROR(-VALUE(LEFT(E244,FIND("º",SUBSTITUTE(E244,"°","º"))-1)),-1),IF(LEFT(E244,6)="TÉRREO",0,IFERROR(VALUE(LEFT(E244,FIND("º",SUBSTITUTE(E244,"°","º"))-1)),""))))</f>
        <v/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10707518</v>
      </c>
      <c r="C245" s="4" t="s">
        <v>2652</v>
      </c>
      <c r="D245" s="4" t="s">
        <v>3182</v>
      </c>
      <c r="E245" s="4" t="s">
        <v>81</v>
      </c>
      <c r="F245" s="127" t="n">
        <v>45840</v>
      </c>
      <c r="G245" s="127" t="n">
        <v>45840</v>
      </c>
      <c r="H245" s="127" t="n">
        <v>46293</v>
      </c>
      <c r="I245" s="4" t="n">
        <v>100</v>
      </c>
      <c r="J245" s="4" t="n">
        <v>100</v>
      </c>
      <c r="K245" s="4" t="n">
        <v>100</v>
      </c>
      <c r="M245" s="2" t="str">
        <f aca="false">IF(C245="","",IFERROR(INDEX($S$5:$S$304,MATCH(C245,$R$5:$R$304,0))&amp;"","?"))</f>
        <v>15</v>
      </c>
      <c r="N245" s="2" t="str">
        <f aca="false">IF(E245="","",IF(ISNUMBER(SEARCH("SUBSOLO",E245)),IFERROR(-VALUE(LEFT(E245,FIND("º",SUBSTITUTE(E245,"°","º"))-1)),-1),IF(LEFT(E245,6)="TÉRREO",0,IFERROR(VALUE(LEFT(E245,FIND("º",SUBSTITUTE(E245,"°","º"))-1)),""))))</f>
        <v/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10707519</v>
      </c>
      <c r="C246" s="4" t="s">
        <v>2652</v>
      </c>
      <c r="D246" s="4" t="s">
        <v>3183</v>
      </c>
      <c r="E246" s="4" t="s">
        <v>81</v>
      </c>
      <c r="F246" s="127" t="n">
        <v>45840</v>
      </c>
      <c r="G246" s="127" t="n">
        <v>45840</v>
      </c>
      <c r="H246" s="127" t="n">
        <v>46293</v>
      </c>
      <c r="I246" s="4" t="n">
        <v>100</v>
      </c>
      <c r="J246" s="4" t="n">
        <v>100</v>
      </c>
      <c r="K246" s="4" t="n">
        <v>100</v>
      </c>
      <c r="M246" s="2" t="str">
        <f aca="false">IF(C246="","",IFERROR(INDEX($S$5:$S$304,MATCH(C246,$R$5:$R$304,0))&amp;"","?"))</f>
        <v>15</v>
      </c>
      <c r="N246" s="2" t="str">
        <f aca="false">IF(E246="","",IF(ISNUMBER(SEARCH("SUBSOLO",E246)),IFERROR(-VALUE(LEFT(E246,FIND("º",SUBSTITUTE(E246,"°","º"))-1)),-1),IF(LEFT(E246,6)="TÉRREO",0,IFERROR(VALUE(LEFT(E246,FIND("º",SUBSTITUTE(E246,"°","º"))-1)),""))))</f>
        <v/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10711117</v>
      </c>
      <c r="C247" s="4" t="s">
        <v>2652</v>
      </c>
      <c r="D247" s="4" t="s">
        <v>3184</v>
      </c>
      <c r="E247" s="4" t="s">
        <v>81</v>
      </c>
      <c r="F247" s="127" t="n">
        <v>45831</v>
      </c>
      <c r="G247" s="127" t="n">
        <v>45831</v>
      </c>
      <c r="H247" s="127" t="n">
        <v>46293</v>
      </c>
      <c r="I247" s="4" t="n">
        <v>100</v>
      </c>
      <c r="J247" s="4" t="n">
        <v>100</v>
      </c>
      <c r="K247" s="4" t="n">
        <v>100</v>
      </c>
      <c r="M247" s="2" t="str">
        <f aca="false">IF(C247="","",IFERROR(INDEX($S$5:$S$304,MATCH(C247,$R$5:$R$304,0))&amp;"","?"))</f>
        <v>15</v>
      </c>
      <c r="N247" s="2" t="str">
        <f aca="false">IF(E247="","",IF(ISNUMBER(SEARCH("SUBSOLO",E247)),IFERROR(-VALUE(LEFT(E247,FIND("º",SUBSTITUTE(E247,"°","º"))-1)),-1),IF(LEFT(E247,6)="TÉRREO",0,IFERROR(VALUE(LEFT(E247,FIND("º",SUBSTITUTE(E247,"°","º"))-1)),""))))</f>
        <v/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10711118</v>
      </c>
      <c r="C248" s="4" t="s">
        <v>2652</v>
      </c>
      <c r="D248" s="4" t="s">
        <v>3185</v>
      </c>
      <c r="E248" s="4" t="s">
        <v>81</v>
      </c>
      <c r="F248" s="127" t="n">
        <v>45831</v>
      </c>
      <c r="G248" s="127" t="n">
        <v>45831</v>
      </c>
      <c r="H248" s="127" t="n">
        <v>46293</v>
      </c>
      <c r="I248" s="4" t="n">
        <v>100</v>
      </c>
      <c r="J248" s="4" t="n">
        <v>100</v>
      </c>
      <c r="K248" s="4" t="n">
        <v>100</v>
      </c>
      <c r="M248" s="2" t="str">
        <f aca="false">IF(C248="","",IFERROR(INDEX($S$5:$S$304,MATCH(C248,$R$5:$R$304,0))&amp;"","?"))</f>
        <v>15</v>
      </c>
      <c r="N248" s="2" t="str">
        <f aca="false">IF(E248="","",IF(ISNUMBER(SEARCH("SUBSOLO",E248)),IFERROR(-VALUE(LEFT(E248,FIND("º",SUBSTITUTE(E248,"°","º"))-1)),-1),IF(LEFT(E248,6)="TÉRREO",0,IFERROR(VALUE(LEFT(E248,FIND("º",SUBSTITUTE(E248,"°","º"))-1)),""))))</f>
        <v/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10711119</v>
      </c>
      <c r="C249" s="4" t="s">
        <v>2652</v>
      </c>
      <c r="D249" s="4" t="s">
        <v>3186</v>
      </c>
      <c r="E249" s="4" t="s">
        <v>81</v>
      </c>
      <c r="F249" s="127" t="n">
        <v>45832</v>
      </c>
      <c r="G249" s="127" t="n">
        <v>45832</v>
      </c>
      <c r="H249" s="127" t="n">
        <v>46293</v>
      </c>
      <c r="I249" s="4" t="n">
        <v>100</v>
      </c>
      <c r="J249" s="4" t="n">
        <v>100</v>
      </c>
      <c r="K249" s="4" t="n">
        <v>100</v>
      </c>
      <c r="M249" s="2" t="str">
        <f aca="false">IF(C249="","",IFERROR(INDEX($S$5:$S$304,MATCH(C249,$R$5:$R$304,0))&amp;"","?"))</f>
        <v>15</v>
      </c>
      <c r="N249" s="2" t="str">
        <f aca="false">IF(E249="","",IF(ISNUMBER(SEARCH("SUBSOLO",E249)),IFERROR(-VALUE(LEFT(E249,FIND("º",SUBSTITUTE(E249,"°","º"))-1)),-1),IF(LEFT(E249,6)="TÉRREO",0,IFERROR(VALUE(LEFT(E249,FIND("º",SUBSTITUTE(E249,"°","º"))-1)),""))))</f>
        <v/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10711120</v>
      </c>
      <c r="C250" s="4" t="s">
        <v>2652</v>
      </c>
      <c r="D250" s="4" t="s">
        <v>3187</v>
      </c>
      <c r="E250" s="4" t="s">
        <v>81</v>
      </c>
      <c r="F250" s="127" t="n">
        <v>45832</v>
      </c>
      <c r="G250" s="127" t="n">
        <v>45832</v>
      </c>
      <c r="H250" s="127" t="n">
        <v>46293</v>
      </c>
      <c r="I250" s="4" t="n">
        <v>100</v>
      </c>
      <c r="J250" s="4" t="n">
        <v>100</v>
      </c>
      <c r="K250" s="4" t="n">
        <v>100</v>
      </c>
      <c r="M250" s="2" t="str">
        <f aca="false">IF(C250="","",IFERROR(INDEX($S$5:$S$304,MATCH(C250,$R$5:$R$304,0))&amp;"","?"))</f>
        <v>15</v>
      </c>
      <c r="N250" s="2" t="str">
        <f aca="false">IF(E250="","",IF(ISNUMBER(SEARCH("SUBSOLO",E250)),IFERROR(-VALUE(LEFT(E250,FIND("º",SUBSTITUTE(E250,"°","º"))-1)),-1),IF(LEFT(E250,6)="TÉRREO",0,IFERROR(VALUE(LEFT(E250,FIND("º",SUBSTITUTE(E250,"°","º"))-1)),""))))</f>
        <v/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10711121</v>
      </c>
      <c r="C251" s="4" t="s">
        <v>2652</v>
      </c>
      <c r="D251" s="4" t="s">
        <v>3188</v>
      </c>
      <c r="E251" s="4" t="s">
        <v>81</v>
      </c>
      <c r="F251" s="127" t="n">
        <v>45831</v>
      </c>
      <c r="G251" s="127" t="n">
        <v>45831</v>
      </c>
      <c r="H251" s="127" t="n">
        <v>46293</v>
      </c>
      <c r="I251" s="4" t="n">
        <v>100</v>
      </c>
      <c r="J251" s="4" t="n">
        <v>100</v>
      </c>
      <c r="K251" s="4" t="n">
        <v>100</v>
      </c>
      <c r="M251" s="2" t="str">
        <f aca="false">IF(C251="","",IFERROR(INDEX($S$5:$S$304,MATCH(C251,$R$5:$R$304,0))&amp;"","?"))</f>
        <v>15</v>
      </c>
      <c r="N251" s="2" t="str">
        <f aca="false">IF(E251="","",IF(ISNUMBER(SEARCH("SUBSOLO",E251)),IFERROR(-VALUE(LEFT(E251,FIND("º",SUBSTITUTE(E251,"°","º"))-1)),-1),IF(LEFT(E251,6)="TÉRREO",0,IFERROR(VALUE(LEFT(E251,FIND("º",SUBSTITUTE(E251,"°","º"))-1)),""))))</f>
        <v/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10711122</v>
      </c>
      <c r="C252" s="4" t="s">
        <v>2652</v>
      </c>
      <c r="D252" s="4" t="s">
        <v>3189</v>
      </c>
      <c r="E252" s="4" t="s">
        <v>81</v>
      </c>
      <c r="F252" s="127" t="n">
        <v>45831</v>
      </c>
      <c r="G252" s="127" t="n">
        <v>45831</v>
      </c>
      <c r="H252" s="127" t="n">
        <v>46293</v>
      </c>
      <c r="I252" s="4" t="n">
        <v>100</v>
      </c>
      <c r="J252" s="4" t="n">
        <v>100</v>
      </c>
      <c r="K252" s="4" t="n">
        <v>100</v>
      </c>
      <c r="M252" s="2" t="str">
        <f aca="false">IF(C252="","",IFERROR(INDEX($S$5:$S$304,MATCH(C252,$R$5:$R$304,0))&amp;"","?"))</f>
        <v>15</v>
      </c>
      <c r="N252" s="2" t="str">
        <f aca="false">IF(E252="","",IF(ISNUMBER(SEARCH("SUBSOLO",E252)),IFERROR(-VALUE(LEFT(E252,FIND("º",SUBSTITUTE(E252,"°","º"))-1)),-1),IF(LEFT(E252,6)="TÉRREO",0,IFERROR(VALUE(LEFT(E252,FIND("º",SUBSTITUTE(E252,"°","º"))-1)),""))))</f>
        <v/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10711123</v>
      </c>
      <c r="C253" s="4" t="s">
        <v>2652</v>
      </c>
      <c r="D253" s="4" t="s">
        <v>3190</v>
      </c>
      <c r="E253" s="4" t="s">
        <v>81</v>
      </c>
      <c r="F253" s="127" t="n">
        <v>45832</v>
      </c>
      <c r="G253" s="127" t="n">
        <v>45832</v>
      </c>
      <c r="H253" s="127" t="n">
        <v>46293</v>
      </c>
      <c r="I253" s="4" t="n">
        <v>100</v>
      </c>
      <c r="J253" s="4" t="n">
        <v>100</v>
      </c>
      <c r="K253" s="4" t="n">
        <v>100</v>
      </c>
      <c r="M253" s="2" t="str">
        <f aca="false">IF(C253="","",IFERROR(INDEX($S$5:$S$304,MATCH(C253,$R$5:$R$304,0))&amp;"","?"))</f>
        <v>15</v>
      </c>
      <c r="N253" s="2" t="str">
        <f aca="false">IF(E253="","",IF(ISNUMBER(SEARCH("SUBSOLO",E253)),IFERROR(-VALUE(LEFT(E253,FIND("º",SUBSTITUTE(E253,"°","º"))-1)),-1),IF(LEFT(E253,6)="TÉRREO",0,IFERROR(VALUE(LEFT(E253,FIND("º",SUBSTITUTE(E253,"°","º"))-1)),""))))</f>
        <v/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10711124</v>
      </c>
      <c r="C254" s="4" t="s">
        <v>2652</v>
      </c>
      <c r="D254" s="4" t="s">
        <v>3191</v>
      </c>
      <c r="E254" s="4" t="s">
        <v>81</v>
      </c>
      <c r="F254" s="127" t="n">
        <v>45832</v>
      </c>
      <c r="G254" s="127" t="n">
        <v>45832</v>
      </c>
      <c r="H254" s="127" t="n">
        <v>46293</v>
      </c>
      <c r="I254" s="4" t="n">
        <v>100</v>
      </c>
      <c r="J254" s="4" t="n">
        <v>100</v>
      </c>
      <c r="K254" s="4" t="n">
        <v>100</v>
      </c>
      <c r="M254" s="2" t="str">
        <f aca="false">IF(C254="","",IFERROR(INDEX($S$5:$S$304,MATCH(C254,$R$5:$R$304,0))&amp;"","?"))</f>
        <v>15</v>
      </c>
      <c r="N254" s="2" t="str">
        <f aca="false">IF(E254="","",IF(ISNUMBER(SEARCH("SUBSOLO",E254)),IFERROR(-VALUE(LEFT(E254,FIND("º",SUBSTITUTE(E254,"°","º"))-1)),-1),IF(LEFT(E254,6)="TÉRREO",0,IFERROR(VALUE(LEFT(E254,FIND("º",SUBSTITUTE(E254,"°","º"))-1)),""))))</f>
        <v/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10711125</v>
      </c>
      <c r="C255" s="4" t="s">
        <v>2652</v>
      </c>
      <c r="D255" s="4" t="s">
        <v>3192</v>
      </c>
      <c r="E255" s="4" t="s">
        <v>81</v>
      </c>
      <c r="F255" s="127" t="n">
        <v>45833</v>
      </c>
      <c r="G255" s="127" t="n">
        <v>45833</v>
      </c>
      <c r="H255" s="127" t="n">
        <v>46293</v>
      </c>
      <c r="I255" s="4" t="n">
        <v>100</v>
      </c>
      <c r="J255" s="4" t="n">
        <v>100</v>
      </c>
      <c r="K255" s="4" t="n">
        <v>100</v>
      </c>
      <c r="M255" s="2" t="str">
        <f aca="false">IF(C255="","",IFERROR(INDEX($S$5:$S$304,MATCH(C255,$R$5:$R$304,0))&amp;"","?"))</f>
        <v>15</v>
      </c>
      <c r="N255" s="2" t="str">
        <f aca="false">IF(E255="","",IF(ISNUMBER(SEARCH("SUBSOLO",E255)),IFERROR(-VALUE(LEFT(E255,FIND("º",SUBSTITUTE(E255,"°","º"))-1)),-1),IF(LEFT(E255,6)="TÉRREO",0,IFERROR(VALUE(LEFT(E255,FIND("º",SUBSTITUTE(E255,"°","º"))-1)),""))))</f>
        <v/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10711126</v>
      </c>
      <c r="C256" s="4" t="s">
        <v>2652</v>
      </c>
      <c r="D256" s="4" t="s">
        <v>3193</v>
      </c>
      <c r="E256" s="4" t="s">
        <v>81</v>
      </c>
      <c r="F256" s="127" t="n">
        <v>45833</v>
      </c>
      <c r="G256" s="127" t="n">
        <v>45833</v>
      </c>
      <c r="H256" s="127" t="n">
        <v>46293</v>
      </c>
      <c r="I256" s="4" t="n">
        <v>100</v>
      </c>
      <c r="J256" s="4" t="n">
        <v>100</v>
      </c>
      <c r="K256" s="4" t="n">
        <v>100</v>
      </c>
      <c r="M256" s="2" t="str">
        <f aca="false">IF(C256="","",IFERROR(INDEX($S$5:$S$304,MATCH(C256,$R$5:$R$304,0))&amp;"","?"))</f>
        <v>15</v>
      </c>
      <c r="N256" s="2" t="str">
        <f aca="false">IF(E256="","",IF(ISNUMBER(SEARCH("SUBSOLO",E256)),IFERROR(-VALUE(LEFT(E256,FIND("º",SUBSTITUTE(E256,"°","º"))-1)),-1),IF(LEFT(E256,6)="TÉRREO",0,IFERROR(VALUE(LEFT(E256,FIND("º",SUBSTITUTE(E256,"°","º"))-1)),""))))</f>
        <v/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10711127</v>
      </c>
      <c r="C257" s="4" t="s">
        <v>2652</v>
      </c>
      <c r="D257" s="4" t="s">
        <v>3194</v>
      </c>
      <c r="E257" s="4" t="s">
        <v>81</v>
      </c>
      <c r="F257" s="127" t="n">
        <v>45834</v>
      </c>
      <c r="G257" s="127" t="n">
        <v>45834</v>
      </c>
      <c r="H257" s="127" t="n">
        <v>46293</v>
      </c>
      <c r="I257" s="4" t="n">
        <v>100</v>
      </c>
      <c r="J257" s="4" t="n">
        <v>100</v>
      </c>
      <c r="K257" s="4" t="n">
        <v>100</v>
      </c>
      <c r="M257" s="2" t="str">
        <f aca="false">IF(C257="","",IFERROR(INDEX($S$5:$S$304,MATCH(C257,$R$5:$R$304,0))&amp;"","?"))</f>
        <v>15</v>
      </c>
      <c r="N257" s="2" t="str">
        <f aca="false">IF(E257="","",IF(ISNUMBER(SEARCH("SUBSOLO",E257)),IFERROR(-VALUE(LEFT(E257,FIND("º",SUBSTITUTE(E257,"°","º"))-1)),-1),IF(LEFT(E257,6)="TÉRREO",0,IFERROR(VALUE(LEFT(E257,FIND("º",SUBSTITUTE(E257,"°","º"))-1)),""))))</f>
        <v/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10711128</v>
      </c>
      <c r="C258" s="4" t="s">
        <v>2652</v>
      </c>
      <c r="D258" s="4" t="s">
        <v>3195</v>
      </c>
      <c r="E258" s="4" t="s">
        <v>81</v>
      </c>
      <c r="F258" s="127" t="n">
        <v>45834</v>
      </c>
      <c r="G258" s="127" t="n">
        <v>45834</v>
      </c>
      <c r="H258" s="127" t="n">
        <v>46293</v>
      </c>
      <c r="I258" s="4" t="n">
        <v>100</v>
      </c>
      <c r="J258" s="4" t="n">
        <v>100</v>
      </c>
      <c r="K258" s="4" t="n">
        <v>100</v>
      </c>
      <c r="M258" s="2" t="str">
        <f aca="false">IF(C258="","",IFERROR(INDEX($S$5:$S$304,MATCH(C258,$R$5:$R$304,0))&amp;"","?"))</f>
        <v>15</v>
      </c>
      <c r="N258" s="2" t="str">
        <f aca="false">IF(E258="","",IF(ISNUMBER(SEARCH("SUBSOLO",E258)),IFERROR(-VALUE(LEFT(E258,FIND("º",SUBSTITUTE(E258,"°","º"))-1)),-1),IF(LEFT(E258,6)="TÉRREO",0,IFERROR(VALUE(LEFT(E258,FIND("º",SUBSTITUTE(E258,"°","º"))-1)),""))))</f>
        <v/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10711129</v>
      </c>
      <c r="C259" s="4" t="s">
        <v>2652</v>
      </c>
      <c r="D259" s="4" t="s">
        <v>3196</v>
      </c>
      <c r="E259" s="4" t="s">
        <v>81</v>
      </c>
      <c r="F259" s="127" t="n">
        <v>45833</v>
      </c>
      <c r="G259" s="127" t="n">
        <v>45833</v>
      </c>
      <c r="H259" s="127" t="n">
        <v>46293</v>
      </c>
      <c r="I259" s="4" t="n">
        <v>100</v>
      </c>
      <c r="J259" s="4" t="n">
        <v>100</v>
      </c>
      <c r="K259" s="4" t="n">
        <v>100</v>
      </c>
      <c r="M259" s="2" t="str">
        <f aca="false">IF(C259="","",IFERROR(INDEX($S$5:$S$304,MATCH(C259,$R$5:$R$304,0))&amp;"","?"))</f>
        <v>15</v>
      </c>
      <c r="N259" s="2" t="str">
        <f aca="false">IF(E259="","",IF(ISNUMBER(SEARCH("SUBSOLO",E259)),IFERROR(-VALUE(LEFT(E259,FIND("º",SUBSTITUTE(E259,"°","º"))-1)),-1),IF(LEFT(E259,6)="TÉRREO",0,IFERROR(VALUE(LEFT(E259,FIND("º",SUBSTITUTE(E259,"°","º"))-1)),""))))</f>
        <v/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10711130</v>
      </c>
      <c r="C260" s="4" t="s">
        <v>2652</v>
      </c>
      <c r="D260" s="4" t="s">
        <v>3197</v>
      </c>
      <c r="E260" s="4" t="s">
        <v>81</v>
      </c>
      <c r="F260" s="127" t="n">
        <v>45833</v>
      </c>
      <c r="G260" s="127" t="n">
        <v>45833</v>
      </c>
      <c r="H260" s="127" t="n">
        <v>46293</v>
      </c>
      <c r="I260" s="4" t="n">
        <v>100</v>
      </c>
      <c r="J260" s="4" t="n">
        <v>100</v>
      </c>
      <c r="K260" s="4" t="n">
        <v>100</v>
      </c>
      <c r="M260" s="2" t="str">
        <f aca="false">IF(C260="","",IFERROR(INDEX($S$5:$S$304,MATCH(C260,$R$5:$R$304,0))&amp;"","?"))</f>
        <v>15</v>
      </c>
      <c r="N260" s="2" t="str">
        <f aca="false">IF(E260="","",IF(ISNUMBER(SEARCH("SUBSOLO",E260)),IFERROR(-VALUE(LEFT(E260,FIND("º",SUBSTITUTE(E260,"°","º"))-1)),-1),IF(LEFT(E260,6)="TÉRREO",0,IFERROR(VALUE(LEFT(E260,FIND("º",SUBSTITUTE(E260,"°","º"))-1)),""))))</f>
        <v/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10711131</v>
      </c>
      <c r="C261" s="4" t="s">
        <v>2652</v>
      </c>
      <c r="D261" s="4" t="s">
        <v>3198</v>
      </c>
      <c r="E261" s="4" t="s">
        <v>81</v>
      </c>
      <c r="F261" s="127" t="n">
        <v>45834</v>
      </c>
      <c r="G261" s="127" t="n">
        <v>45834</v>
      </c>
      <c r="H261" s="127" t="n">
        <v>46293</v>
      </c>
      <c r="I261" s="4" t="n">
        <v>100</v>
      </c>
      <c r="J261" s="4" t="n">
        <v>100</v>
      </c>
      <c r="K261" s="4" t="n">
        <v>100</v>
      </c>
      <c r="M261" s="2" t="str">
        <f aca="false">IF(C261="","",IFERROR(INDEX($S$5:$S$304,MATCH(C261,$R$5:$R$304,0))&amp;"","?"))</f>
        <v>15</v>
      </c>
      <c r="N261" s="2" t="str">
        <f aca="false">IF(E261="","",IF(ISNUMBER(SEARCH("SUBSOLO",E261)),IFERROR(-VALUE(LEFT(E261,FIND("º",SUBSTITUTE(E261,"°","º"))-1)),-1),IF(LEFT(E261,6)="TÉRREO",0,IFERROR(VALUE(LEFT(E261,FIND("º",SUBSTITUTE(E261,"°","º"))-1)),""))))</f>
        <v/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10711132</v>
      </c>
      <c r="C262" s="4" t="s">
        <v>2652</v>
      </c>
      <c r="D262" s="4" t="s">
        <v>3199</v>
      </c>
      <c r="E262" s="4" t="s">
        <v>81</v>
      </c>
      <c r="F262" s="127" t="n">
        <v>45834</v>
      </c>
      <c r="G262" s="127" t="n">
        <v>45834</v>
      </c>
      <c r="H262" s="127" t="n">
        <v>46293</v>
      </c>
      <c r="I262" s="4" t="n">
        <v>100</v>
      </c>
      <c r="J262" s="4" t="n">
        <v>100</v>
      </c>
      <c r="K262" s="4" t="n">
        <v>100</v>
      </c>
      <c r="M262" s="2" t="str">
        <f aca="false">IF(C262="","",IFERROR(INDEX($S$5:$S$304,MATCH(C262,$R$5:$R$304,0))&amp;"","?"))</f>
        <v>15</v>
      </c>
      <c r="N262" s="2" t="str">
        <f aca="false">IF(E262="","",IF(ISNUMBER(SEARCH("SUBSOLO",E262)),IFERROR(-VALUE(LEFT(E262,FIND("º",SUBSTITUTE(E262,"°","º"))-1)),-1),IF(LEFT(E262,6)="TÉRREO",0,IFERROR(VALUE(LEFT(E262,FIND("º",SUBSTITUTE(E262,"°","º"))-1)),""))))</f>
        <v/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10711133</v>
      </c>
      <c r="C263" s="4" t="s">
        <v>2652</v>
      </c>
      <c r="D263" s="4" t="s">
        <v>3200</v>
      </c>
      <c r="E263" s="4" t="s">
        <v>81</v>
      </c>
      <c r="F263" s="127" t="n">
        <v>45835</v>
      </c>
      <c r="G263" s="127" t="n">
        <v>45835</v>
      </c>
      <c r="H263" s="127" t="n">
        <v>46293</v>
      </c>
      <c r="I263" s="4" t="n">
        <v>100</v>
      </c>
      <c r="J263" s="4" t="n">
        <v>100</v>
      </c>
      <c r="K263" s="4" t="n">
        <v>100</v>
      </c>
      <c r="M263" s="2" t="str">
        <f aca="false">IF(C263="","",IFERROR(INDEX($S$5:$S$304,MATCH(C263,$R$5:$R$304,0))&amp;"","?"))</f>
        <v>15</v>
      </c>
      <c r="N263" s="2" t="str">
        <f aca="false">IF(E263="","",IF(ISNUMBER(SEARCH("SUBSOLO",E263)),IFERROR(-VALUE(LEFT(E263,FIND("º",SUBSTITUTE(E263,"°","º"))-1)),-1),IF(LEFT(E263,6)="TÉRREO",0,IFERROR(VALUE(LEFT(E263,FIND("º",SUBSTITUTE(E263,"°","º"))-1)),""))))</f>
        <v/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10711134</v>
      </c>
      <c r="C264" s="4" t="s">
        <v>2652</v>
      </c>
      <c r="D264" s="4" t="s">
        <v>3201</v>
      </c>
      <c r="E264" s="4" t="s">
        <v>81</v>
      </c>
      <c r="F264" s="127" t="n">
        <v>45835</v>
      </c>
      <c r="G264" s="127" t="n">
        <v>45835</v>
      </c>
      <c r="H264" s="127" t="n">
        <v>46293</v>
      </c>
      <c r="I264" s="4" t="n">
        <v>100</v>
      </c>
      <c r="J264" s="4" t="n">
        <v>100</v>
      </c>
      <c r="K264" s="4" t="n">
        <v>100</v>
      </c>
      <c r="M264" s="2" t="str">
        <f aca="false">IF(C264="","",IFERROR(INDEX($S$5:$S$304,MATCH(C264,$R$5:$R$304,0))&amp;"","?"))</f>
        <v>15</v>
      </c>
      <c r="N264" s="2" t="str">
        <f aca="false">IF(E264="","",IF(ISNUMBER(SEARCH("SUBSOLO",E264)),IFERROR(-VALUE(LEFT(E264,FIND("º",SUBSTITUTE(E264,"°","º"))-1)),-1),IF(LEFT(E264,6)="TÉRREO",0,IFERROR(VALUE(LEFT(E264,FIND("º",SUBSTITUTE(E264,"°","º"))-1)),""))))</f>
        <v/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10711135</v>
      </c>
      <c r="C265" s="4" t="s">
        <v>2652</v>
      </c>
      <c r="D265" s="4" t="s">
        <v>3202</v>
      </c>
      <c r="E265" s="4" t="s">
        <v>81</v>
      </c>
      <c r="F265" s="127" t="n">
        <v>45838</v>
      </c>
      <c r="G265" s="127" t="n">
        <v>45838</v>
      </c>
      <c r="H265" s="127" t="n">
        <v>46293</v>
      </c>
      <c r="I265" s="4" t="n">
        <v>100</v>
      </c>
      <c r="J265" s="4" t="n">
        <v>100</v>
      </c>
      <c r="K265" s="4" t="n">
        <v>100</v>
      </c>
      <c r="M265" s="2" t="str">
        <f aca="false">IF(C265="","",IFERROR(INDEX($S$5:$S$304,MATCH(C265,$R$5:$R$304,0))&amp;"","?"))</f>
        <v>15</v>
      </c>
      <c r="N265" s="2" t="str">
        <f aca="false">IF(E265="","",IF(ISNUMBER(SEARCH("SUBSOLO",E265)),IFERROR(-VALUE(LEFT(E265,FIND("º",SUBSTITUTE(E265,"°","º"))-1)),-1),IF(LEFT(E265,6)="TÉRREO",0,IFERROR(VALUE(LEFT(E265,FIND("º",SUBSTITUTE(E265,"°","º"))-1)),""))))</f>
        <v/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10711136</v>
      </c>
      <c r="C266" s="4" t="s">
        <v>2652</v>
      </c>
      <c r="D266" s="4" t="s">
        <v>3203</v>
      </c>
      <c r="E266" s="4" t="s">
        <v>81</v>
      </c>
      <c r="F266" s="127" t="n">
        <v>45838</v>
      </c>
      <c r="G266" s="127" t="n">
        <v>45838</v>
      </c>
      <c r="H266" s="127" t="n">
        <v>46293</v>
      </c>
      <c r="I266" s="4" t="n">
        <v>100</v>
      </c>
      <c r="J266" s="4" t="n">
        <v>100</v>
      </c>
      <c r="K266" s="4" t="n">
        <v>100</v>
      </c>
      <c r="M266" s="2" t="str">
        <f aca="false">IF(C266="","",IFERROR(INDEX($S$5:$S$304,MATCH(C266,$R$5:$R$304,0))&amp;"","?"))</f>
        <v>15</v>
      </c>
      <c r="N266" s="2" t="str">
        <f aca="false">IF(E266="","",IF(ISNUMBER(SEARCH("SUBSOLO",E266)),IFERROR(-VALUE(LEFT(E266,FIND("º",SUBSTITUTE(E266,"°","º"))-1)),-1),IF(LEFT(E266,6)="TÉRREO",0,IFERROR(VALUE(LEFT(E266,FIND("º",SUBSTITUTE(E266,"°","º"))-1)),""))))</f>
        <v/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25949187</v>
      </c>
      <c r="C267" s="4" t="s">
        <v>2655</v>
      </c>
      <c r="D267" s="4" t="s">
        <v>433</v>
      </c>
      <c r="E267" s="4" t="s">
        <v>81</v>
      </c>
      <c r="F267" s="127" t="n">
        <v>45810</v>
      </c>
      <c r="G267" s="127" t="n">
        <v>45832</v>
      </c>
      <c r="H267" s="127" t="n">
        <v>46293</v>
      </c>
      <c r="I267" s="4" t="n">
        <v>100</v>
      </c>
      <c r="J267" s="4" t="n">
        <v>100</v>
      </c>
      <c r="K267" s="4" t="n">
        <v>100</v>
      </c>
      <c r="M267" s="2" t="str">
        <f aca="false">IF(C267="","",IFERROR(INDEX($S$5:$S$304,MATCH(C267,$R$5:$R$304,0))&amp;"","?"))</f>
        <v>13</v>
      </c>
      <c r="N267" s="2" t="str">
        <f aca="false">IF(E267="","",IF(ISNUMBER(SEARCH("SUBSOLO",E267)),IFERROR(-VALUE(LEFT(E267,FIND("º",SUBSTITUTE(E267,"°","º"))-1)),-1),IF(LEFT(E267,6)="TÉRREO",0,IFERROR(VALUE(LEFT(E267,FIND("º",SUBSTITUTE(E267,"°","º"))-1)),""))))</f>
        <v/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9251538</v>
      </c>
      <c r="C268" s="4" t="s">
        <v>2655</v>
      </c>
      <c r="D268" s="4" t="s">
        <v>3204</v>
      </c>
      <c r="E268" s="4" t="s">
        <v>81</v>
      </c>
      <c r="F268" s="127" t="n">
        <v>45820</v>
      </c>
      <c r="G268" s="127" t="n">
        <v>45820</v>
      </c>
      <c r="H268" s="127" t="n">
        <v>46293</v>
      </c>
      <c r="I268" s="4" t="n">
        <v>100</v>
      </c>
      <c r="J268" s="4" t="n">
        <v>100</v>
      </c>
      <c r="K268" s="4" t="n">
        <v>100</v>
      </c>
      <c r="M268" s="2" t="str">
        <f aca="false">IF(C268="","",IFERROR(INDEX($S$5:$S$304,MATCH(C268,$R$5:$R$304,0))&amp;"","?"))</f>
        <v>13</v>
      </c>
      <c r="N268" s="2" t="str">
        <f aca="false">IF(E268="","",IF(ISNUMBER(SEARCH("SUBSOLO",E268)),IFERROR(-VALUE(LEFT(E268,FIND("º",SUBSTITUTE(E268,"°","º"))-1)),-1),IF(LEFT(E268,6)="TÉRREO",0,IFERROR(VALUE(LEFT(E268,FIND("º",SUBSTITUTE(E268,"°","º"))-1)),""))))</f>
        <v/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9251539</v>
      </c>
      <c r="C269" s="4" t="s">
        <v>2655</v>
      </c>
      <c r="D269" s="4" t="s">
        <v>3205</v>
      </c>
      <c r="E269" s="4" t="s">
        <v>81</v>
      </c>
      <c r="F269" s="127" t="n">
        <v>45821</v>
      </c>
      <c r="G269" s="127" t="n">
        <v>45821</v>
      </c>
      <c r="H269" s="127" t="n">
        <v>46293</v>
      </c>
      <c r="I269" s="4" t="n">
        <v>100</v>
      </c>
      <c r="J269" s="4" t="n">
        <v>100</v>
      </c>
      <c r="K269" s="4" t="n">
        <v>100</v>
      </c>
      <c r="M269" s="2" t="str">
        <f aca="false">IF(C269="","",IFERROR(INDEX($S$5:$S$304,MATCH(C269,$R$5:$R$304,0))&amp;"","?"))</f>
        <v>13</v>
      </c>
      <c r="N269" s="2" t="str">
        <f aca="false">IF(E269="","",IF(ISNUMBER(SEARCH("SUBSOLO",E269)),IFERROR(-VALUE(LEFT(E269,FIND("º",SUBSTITUTE(E269,"°","º"))-1)),-1),IF(LEFT(E269,6)="TÉRREO",0,IFERROR(VALUE(LEFT(E269,FIND("º",SUBSTITUTE(E269,"°","º"))-1)),""))))</f>
        <v/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9251540</v>
      </c>
      <c r="C270" s="4" t="s">
        <v>2655</v>
      </c>
      <c r="D270" s="4" t="s">
        <v>3206</v>
      </c>
      <c r="E270" s="4" t="s">
        <v>81</v>
      </c>
      <c r="F270" s="127" t="n">
        <v>45824</v>
      </c>
      <c r="G270" s="127" t="n">
        <v>45824</v>
      </c>
      <c r="H270" s="127" t="n">
        <v>46293</v>
      </c>
      <c r="I270" s="4" t="n">
        <v>100</v>
      </c>
      <c r="J270" s="4" t="n">
        <v>100</v>
      </c>
      <c r="K270" s="4" t="n">
        <v>100</v>
      </c>
      <c r="M270" s="2" t="str">
        <f aca="false">IF(C270="","",IFERROR(INDEX($S$5:$S$304,MATCH(C270,$R$5:$R$304,0))&amp;"","?"))</f>
        <v>13</v>
      </c>
      <c r="N270" s="2" t="str">
        <f aca="false">IF(E270="","",IF(ISNUMBER(SEARCH("SUBSOLO",E270)),IFERROR(-VALUE(LEFT(E270,FIND("º",SUBSTITUTE(E270,"°","º"))-1)),-1),IF(LEFT(E270,6)="TÉRREO",0,IFERROR(VALUE(LEFT(E270,FIND("º",SUBSTITUTE(E270,"°","º"))-1)),""))))</f>
        <v/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9251541</v>
      </c>
      <c r="C271" s="4" t="s">
        <v>2655</v>
      </c>
      <c r="D271" s="4" t="s">
        <v>3207</v>
      </c>
      <c r="E271" s="4" t="s">
        <v>81</v>
      </c>
      <c r="F271" s="127" t="n">
        <v>45825</v>
      </c>
      <c r="G271" s="127" t="n">
        <v>45825</v>
      </c>
      <c r="H271" s="127" t="n">
        <v>46293</v>
      </c>
      <c r="I271" s="4" t="n">
        <v>100</v>
      </c>
      <c r="J271" s="4" t="n">
        <v>100</v>
      </c>
      <c r="K271" s="4" t="n">
        <v>100</v>
      </c>
      <c r="M271" s="2" t="str">
        <f aca="false">IF(C271="","",IFERROR(INDEX($S$5:$S$304,MATCH(C271,$R$5:$R$304,0))&amp;"","?"))</f>
        <v>13</v>
      </c>
      <c r="N271" s="2" t="str">
        <f aca="false">IF(E271="","",IF(ISNUMBER(SEARCH("SUBSOLO",E271)),IFERROR(-VALUE(LEFT(E271,FIND("º",SUBSTITUTE(E271,"°","º"))-1)),-1),IF(LEFT(E271,6)="TÉRREO",0,IFERROR(VALUE(LEFT(E271,FIND("º",SUBSTITUTE(E271,"°","º"))-1)),""))))</f>
        <v/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9251542</v>
      </c>
      <c r="C272" s="4" t="s">
        <v>2655</v>
      </c>
      <c r="D272" s="4" t="s">
        <v>3208</v>
      </c>
      <c r="E272" s="4" t="s">
        <v>81</v>
      </c>
      <c r="F272" s="127" t="n">
        <v>45826</v>
      </c>
      <c r="G272" s="127" t="n">
        <v>45826</v>
      </c>
      <c r="H272" s="127" t="n">
        <v>46293</v>
      </c>
      <c r="I272" s="4" t="n">
        <v>100</v>
      </c>
      <c r="J272" s="4" t="n">
        <v>100</v>
      </c>
      <c r="K272" s="4" t="n">
        <v>100</v>
      </c>
      <c r="M272" s="2" t="str">
        <f aca="false">IF(C272="","",IFERROR(INDEX($S$5:$S$304,MATCH(C272,$R$5:$R$304,0))&amp;"","?"))</f>
        <v>13</v>
      </c>
      <c r="N272" s="2" t="str">
        <f aca="false">IF(E272="","",IF(ISNUMBER(SEARCH("SUBSOLO",E272)),IFERROR(-VALUE(LEFT(E272,FIND("º",SUBSTITUTE(E272,"°","º"))-1)),-1),IF(LEFT(E272,6)="TÉRREO",0,IFERROR(VALUE(LEFT(E272,FIND("º",SUBSTITUTE(E272,"°","º"))-1)),""))))</f>
        <v/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9251543</v>
      </c>
      <c r="C273" s="4" t="s">
        <v>2655</v>
      </c>
      <c r="D273" s="4" t="s">
        <v>3209</v>
      </c>
      <c r="E273" s="4" t="s">
        <v>81</v>
      </c>
      <c r="F273" s="127" t="n">
        <v>45828</v>
      </c>
      <c r="G273" s="127" t="n">
        <v>45828</v>
      </c>
      <c r="H273" s="127" t="n">
        <v>46293</v>
      </c>
      <c r="I273" s="4" t="n">
        <v>100</v>
      </c>
      <c r="J273" s="4" t="n">
        <v>100</v>
      </c>
      <c r="K273" s="4" t="n">
        <v>100</v>
      </c>
      <c r="M273" s="2" t="str">
        <f aca="false">IF(C273="","",IFERROR(INDEX($S$5:$S$304,MATCH(C273,$R$5:$R$304,0))&amp;"","?"))</f>
        <v>13</v>
      </c>
      <c r="N273" s="2" t="str">
        <f aca="false">IF(E273="","",IF(ISNUMBER(SEARCH("SUBSOLO",E273)),IFERROR(-VALUE(LEFT(E273,FIND("º",SUBSTITUTE(E273,"°","º"))-1)),-1),IF(LEFT(E273,6)="TÉRREO",0,IFERROR(VALUE(LEFT(E273,FIND("º",SUBSTITUTE(E273,"°","º"))-1)),""))))</f>
        <v/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9251544</v>
      </c>
      <c r="C274" s="4" t="s">
        <v>2655</v>
      </c>
      <c r="D274" s="4" t="s">
        <v>3210</v>
      </c>
      <c r="E274" s="4" t="s">
        <v>81</v>
      </c>
      <c r="F274" s="127" t="n">
        <v>45831</v>
      </c>
      <c r="G274" s="127" t="n">
        <v>45831</v>
      </c>
      <c r="H274" s="127" t="n">
        <v>46293</v>
      </c>
      <c r="I274" s="4" t="n">
        <v>100</v>
      </c>
      <c r="J274" s="4" t="n">
        <v>100</v>
      </c>
      <c r="K274" s="4" t="n">
        <v>100</v>
      </c>
      <c r="M274" s="2" t="str">
        <f aca="false">IF(C274="","",IFERROR(INDEX($S$5:$S$304,MATCH(C274,$R$5:$R$304,0))&amp;"","?"))</f>
        <v>13</v>
      </c>
      <c r="N274" s="2" t="str">
        <f aca="false">IF(E274="","",IF(ISNUMBER(SEARCH("SUBSOLO",E274)),IFERROR(-VALUE(LEFT(E274,FIND("º",SUBSTITUTE(E274,"°","º"))-1)),-1),IF(LEFT(E274,6)="TÉRREO",0,IFERROR(VALUE(LEFT(E274,FIND("º",SUBSTITUTE(E274,"°","º"))-1)),""))))</f>
        <v/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9251545</v>
      </c>
      <c r="C275" s="4" t="s">
        <v>2655</v>
      </c>
      <c r="D275" s="4" t="s">
        <v>3211</v>
      </c>
      <c r="E275" s="4" t="s">
        <v>81</v>
      </c>
      <c r="F275" s="127" t="n">
        <v>45832</v>
      </c>
      <c r="G275" s="127" t="n">
        <v>45832</v>
      </c>
      <c r="H275" s="127" t="n">
        <v>46293</v>
      </c>
      <c r="I275" s="4" t="n">
        <v>100</v>
      </c>
      <c r="J275" s="4" t="n">
        <v>100</v>
      </c>
      <c r="K275" s="4" t="n">
        <v>100</v>
      </c>
      <c r="M275" s="2" t="str">
        <f aca="false">IF(C275="","",IFERROR(INDEX($S$5:$S$304,MATCH(C275,$R$5:$R$304,0))&amp;"","?"))</f>
        <v>13</v>
      </c>
      <c r="N275" s="2" t="str">
        <f aca="false">IF(E275="","",IF(ISNUMBER(SEARCH("SUBSOLO",E275)),IFERROR(-VALUE(LEFT(E275,FIND("º",SUBSTITUTE(E275,"°","º"))-1)),-1),IF(LEFT(E275,6)="TÉRREO",0,IFERROR(VALUE(LEFT(E275,FIND("º",SUBSTITUTE(E275,"°","º"))-1)),""))))</f>
        <v/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10708900</v>
      </c>
      <c r="C276" s="4" t="s">
        <v>2655</v>
      </c>
      <c r="D276" s="4" t="s">
        <v>3212</v>
      </c>
      <c r="E276" s="4" t="s">
        <v>81</v>
      </c>
      <c r="F276" s="127" t="n">
        <v>45810</v>
      </c>
      <c r="G276" s="127" t="n">
        <v>45814</v>
      </c>
      <c r="H276" s="127" t="n">
        <v>46293</v>
      </c>
      <c r="I276" s="4" t="n">
        <v>100</v>
      </c>
      <c r="J276" s="4" t="n">
        <v>100</v>
      </c>
      <c r="K276" s="4" t="n">
        <v>100</v>
      </c>
      <c r="M276" s="2" t="str">
        <f aca="false">IF(C276="","",IFERROR(INDEX($S$5:$S$304,MATCH(C276,$R$5:$R$304,0))&amp;"","?"))</f>
        <v>13</v>
      </c>
      <c r="N276" s="2" t="str">
        <f aca="false">IF(E276="","",IF(ISNUMBER(SEARCH("SUBSOLO",E276)),IFERROR(-VALUE(LEFT(E276,FIND("º",SUBSTITUTE(E276,"°","º"))-1)),-1),IF(LEFT(E276,6)="TÉRREO",0,IFERROR(VALUE(LEFT(E276,FIND("º",SUBSTITUTE(E276,"°","º"))-1)),""))))</f>
        <v/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10708901</v>
      </c>
      <c r="C277" s="4" t="s">
        <v>2655</v>
      </c>
      <c r="D277" s="4" t="s">
        <v>3213</v>
      </c>
      <c r="E277" s="4" t="s">
        <v>81</v>
      </c>
      <c r="F277" s="127" t="n">
        <v>45817</v>
      </c>
      <c r="G277" s="127" t="n">
        <v>45820</v>
      </c>
      <c r="H277" s="127" t="n">
        <v>46293</v>
      </c>
      <c r="I277" s="4" t="n">
        <v>100</v>
      </c>
      <c r="J277" s="4" t="n">
        <v>100</v>
      </c>
      <c r="K277" s="4" t="n">
        <v>100</v>
      </c>
      <c r="M277" s="2" t="str">
        <f aca="false">IF(C277="","",IFERROR(INDEX($S$5:$S$304,MATCH(C277,$R$5:$R$304,0))&amp;"","?"))</f>
        <v>13</v>
      </c>
      <c r="N277" s="2" t="str">
        <f aca="false">IF(E277="","",IF(ISNUMBER(SEARCH("SUBSOLO",E277)),IFERROR(-VALUE(LEFT(E277,FIND("º",SUBSTITUTE(E277,"°","º"))-1)),-1),IF(LEFT(E277,6)="TÉRREO",0,IFERROR(VALUE(LEFT(E277,FIND("º",SUBSTITUTE(E277,"°","º"))-1)),""))))</f>
        <v/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10708902</v>
      </c>
      <c r="C278" s="4" t="s">
        <v>2655</v>
      </c>
      <c r="D278" s="4" t="s">
        <v>3214</v>
      </c>
      <c r="E278" s="4" t="s">
        <v>81</v>
      </c>
      <c r="F278" s="127" t="n">
        <v>45820</v>
      </c>
      <c r="G278" s="127" t="n">
        <v>45820</v>
      </c>
      <c r="H278" s="127" t="n">
        <v>46293</v>
      </c>
      <c r="I278" s="4" t="n">
        <v>100</v>
      </c>
      <c r="J278" s="4" t="n">
        <v>100</v>
      </c>
      <c r="K278" s="4" t="n">
        <v>100</v>
      </c>
      <c r="M278" s="2" t="str">
        <f aca="false">IF(C278="","",IFERROR(INDEX($S$5:$S$304,MATCH(C278,$R$5:$R$304,0))&amp;"","?"))</f>
        <v>13</v>
      </c>
      <c r="N278" s="2" t="str">
        <f aca="false">IF(E278="","",IF(ISNUMBER(SEARCH("SUBSOLO",E278)),IFERROR(-VALUE(LEFT(E278,FIND("º",SUBSTITUTE(E278,"°","º"))-1)),-1),IF(LEFT(E278,6)="TÉRREO",0,IFERROR(VALUE(LEFT(E278,FIND("º",SUBSTITUTE(E278,"°","º"))-1)),""))))</f>
        <v/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29793832</v>
      </c>
      <c r="C279" s="4" t="s">
        <v>2658</v>
      </c>
      <c r="D279" s="4" t="s">
        <v>433</v>
      </c>
      <c r="E279" s="4" t="s">
        <v>81</v>
      </c>
      <c r="F279" s="127" t="n">
        <v>45812</v>
      </c>
      <c r="G279" s="127" t="n">
        <v>45833</v>
      </c>
      <c r="H279" s="127" t="n">
        <v>46293</v>
      </c>
      <c r="I279" s="4" t="n">
        <v>100</v>
      </c>
      <c r="J279" s="4" t="n">
        <v>100</v>
      </c>
      <c r="K279" s="4" t="n">
        <v>100</v>
      </c>
      <c r="M279" s="2" t="str">
        <f aca="false">IF(C279="","",IFERROR(INDEX($S$5:$S$304,MATCH(C279,$R$5:$R$304,0))&amp;"","?"))</f>
        <v>17</v>
      </c>
      <c r="N279" s="2" t="str">
        <f aca="false">IF(E279="","",IF(ISNUMBER(SEARCH("SUBSOLO",E279)),IFERROR(-VALUE(LEFT(E279,FIND("º",SUBSTITUTE(E279,"°","º"))-1)),-1),IF(LEFT(E279,6)="TÉRREO",0,IFERROR(VALUE(LEFT(E279,FIND("º",SUBSTITUTE(E279,"°","º"))-1)),""))))</f>
        <v/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10788079</v>
      </c>
      <c r="C280" s="4" t="s">
        <v>2658</v>
      </c>
      <c r="D280" s="4" t="s">
        <v>3215</v>
      </c>
      <c r="E280" s="4" t="s">
        <v>81</v>
      </c>
      <c r="F280" s="127" t="n">
        <v>45812</v>
      </c>
      <c r="G280" s="127" t="n">
        <v>45818</v>
      </c>
      <c r="H280" s="127" t="n">
        <v>46293</v>
      </c>
      <c r="I280" s="4" t="n">
        <v>100</v>
      </c>
      <c r="J280" s="4" t="n">
        <v>100</v>
      </c>
      <c r="K280" s="4" t="n">
        <v>100</v>
      </c>
      <c r="M280" s="2" t="str">
        <f aca="false">IF(C280="","",IFERROR(INDEX($S$5:$S$304,MATCH(C280,$R$5:$R$304,0))&amp;"","?"))</f>
        <v>17</v>
      </c>
      <c r="N280" s="2" t="str">
        <f aca="false">IF(E280="","",IF(ISNUMBER(SEARCH("SUBSOLO",E280)),IFERROR(-VALUE(LEFT(E280,FIND("º",SUBSTITUTE(E280,"°","º"))-1)),-1),IF(LEFT(E280,6)="TÉRREO",0,IFERROR(VALUE(LEFT(E280,FIND("º",SUBSTITUTE(E280,"°","º"))-1)),""))))</f>
        <v/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10788080</v>
      </c>
      <c r="C281" s="4" t="s">
        <v>2658</v>
      </c>
      <c r="D281" s="4" t="s">
        <v>3216</v>
      </c>
      <c r="E281" s="4" t="s">
        <v>81</v>
      </c>
      <c r="F281" s="127" t="n">
        <v>45819</v>
      </c>
      <c r="G281" s="127" t="n">
        <v>45825</v>
      </c>
      <c r="H281" s="127" t="n">
        <v>46293</v>
      </c>
      <c r="I281" s="4" t="n">
        <v>100</v>
      </c>
      <c r="J281" s="4" t="n">
        <v>100</v>
      </c>
      <c r="K281" s="4" t="n">
        <v>100</v>
      </c>
      <c r="M281" s="2" t="str">
        <f aca="false">IF(C281="","",IFERROR(INDEX($S$5:$S$304,MATCH(C281,$R$5:$R$304,0))&amp;"","?"))</f>
        <v>17</v>
      </c>
      <c r="N281" s="2" t="str">
        <f aca="false">IF(E281="","",IF(ISNUMBER(SEARCH("SUBSOLO",E281)),IFERROR(-VALUE(LEFT(E281,FIND("º",SUBSTITUTE(E281,"°","º"))-1)),-1),IF(LEFT(E281,6)="TÉRREO",0,IFERROR(VALUE(LEFT(E281,FIND("º",SUBSTITUTE(E281,"°","º"))-1)),""))))</f>
        <v/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10788081</v>
      </c>
      <c r="C282" s="4" t="s">
        <v>2658</v>
      </c>
      <c r="D282" s="4" t="s">
        <v>3217</v>
      </c>
      <c r="E282" s="4" t="s">
        <v>81</v>
      </c>
      <c r="F282" s="127" t="n">
        <v>45826</v>
      </c>
      <c r="G282" s="127" t="n">
        <v>45832</v>
      </c>
      <c r="H282" s="127" t="n">
        <v>46293</v>
      </c>
      <c r="I282" s="4" t="n">
        <v>100</v>
      </c>
      <c r="J282" s="4" t="n">
        <v>100</v>
      </c>
      <c r="K282" s="4" t="n">
        <v>100</v>
      </c>
      <c r="M282" s="2" t="str">
        <f aca="false">IF(C282="","",IFERROR(INDEX($S$5:$S$304,MATCH(C282,$R$5:$R$304,0))&amp;"","?"))</f>
        <v>17</v>
      </c>
      <c r="N282" s="2" t="str">
        <f aca="false">IF(E282="","",IF(ISNUMBER(SEARCH("SUBSOLO",E282)),IFERROR(-VALUE(LEFT(E282,FIND("º",SUBSTITUTE(E282,"°","º"))-1)),-1),IF(LEFT(E282,6)="TÉRREO",0,IFERROR(VALUE(LEFT(E282,FIND("º",SUBSTITUTE(E282,"°","º"))-1)),""))))</f>
        <v/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10788082</v>
      </c>
      <c r="C283" s="4" t="s">
        <v>2658</v>
      </c>
      <c r="D283" s="4" t="s">
        <v>3218</v>
      </c>
      <c r="E283" s="4" t="s">
        <v>81</v>
      </c>
      <c r="F283" s="127" t="n">
        <v>45833</v>
      </c>
      <c r="G283" s="127" t="n">
        <v>45833</v>
      </c>
      <c r="H283" s="127" t="n">
        <v>46293</v>
      </c>
      <c r="I283" s="4" t="n">
        <v>100</v>
      </c>
      <c r="J283" s="4" t="n">
        <v>100</v>
      </c>
      <c r="K283" s="4" t="n">
        <v>100</v>
      </c>
      <c r="M283" s="2" t="str">
        <f aca="false">IF(C283="","",IFERROR(INDEX($S$5:$S$304,MATCH(C283,$R$5:$R$304,0))&amp;"","?"))</f>
        <v>17</v>
      </c>
      <c r="N283" s="2" t="str">
        <f aca="false">IF(E283="","",IF(ISNUMBER(SEARCH("SUBSOLO",E283)),IFERROR(-VALUE(LEFT(E283,FIND("º",SUBSTITUTE(E283,"°","º"))-1)),-1),IF(LEFT(E283,6)="TÉRREO",0,IFERROR(VALUE(LEFT(E283,FIND("º",SUBSTITUTE(E283,"°","º"))-1)),""))))</f>
        <v/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25923179</v>
      </c>
      <c r="C284" s="4" t="s">
        <v>2661</v>
      </c>
      <c r="D284" s="4" t="s">
        <v>433</v>
      </c>
      <c r="E284" s="4" t="s">
        <v>81</v>
      </c>
      <c r="F284" s="127" t="n">
        <v>45817</v>
      </c>
      <c r="G284" s="127" t="n">
        <v>45825</v>
      </c>
      <c r="H284" s="127" t="n">
        <v>46293</v>
      </c>
      <c r="I284" s="4" t="n">
        <v>100</v>
      </c>
      <c r="J284" s="4" t="n">
        <v>100</v>
      </c>
      <c r="K284" s="4" t="n">
        <v>100</v>
      </c>
      <c r="M284" s="2" t="str">
        <f aca="false">IF(C284="","",IFERROR(INDEX($S$5:$S$304,MATCH(C284,$R$5:$R$304,0))&amp;"","?"))</f>
        <v>15</v>
      </c>
      <c r="N284" s="2" t="str">
        <f aca="false">IF(E284="","",IF(ISNUMBER(SEARCH("SUBSOLO",E284)),IFERROR(-VALUE(LEFT(E284,FIND("º",SUBSTITUTE(E284,"°","º"))-1)),-1),IF(LEFT(E284,6)="TÉRREO",0,IFERROR(VALUE(LEFT(E284,FIND("º",SUBSTITUTE(E284,"°","º"))-1)),""))))</f>
        <v/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10711093</v>
      </c>
      <c r="C285" s="4" t="s">
        <v>2661</v>
      </c>
      <c r="D285" s="4" t="s">
        <v>3219</v>
      </c>
      <c r="E285" s="4" t="s">
        <v>81</v>
      </c>
      <c r="F285" s="127" t="n">
        <v>45817</v>
      </c>
      <c r="G285" s="127" t="n">
        <v>45817</v>
      </c>
      <c r="H285" s="127" t="n">
        <v>46293</v>
      </c>
      <c r="I285" s="4" t="n">
        <v>100</v>
      </c>
      <c r="J285" s="4" t="n">
        <v>100</v>
      </c>
      <c r="K285" s="4" t="n">
        <v>100</v>
      </c>
      <c r="M285" s="2" t="str">
        <f aca="false">IF(C285="","",IFERROR(INDEX($S$5:$S$304,MATCH(C285,$R$5:$R$304,0))&amp;"","?"))</f>
        <v>15</v>
      </c>
      <c r="N285" s="2" t="str">
        <f aca="false">IF(E285="","",IF(ISNUMBER(SEARCH("SUBSOLO",E285)),IFERROR(-VALUE(LEFT(E285,FIND("º",SUBSTITUTE(E285,"°","º"))-1)),-1),IF(LEFT(E285,6)="TÉRREO",0,IFERROR(VALUE(LEFT(E285,FIND("º",SUBSTITUTE(E285,"°","º"))-1)),""))))</f>
        <v/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10711094</v>
      </c>
      <c r="C286" s="4" t="s">
        <v>2661</v>
      </c>
      <c r="D286" s="4" t="s">
        <v>3220</v>
      </c>
      <c r="E286" s="4" t="s">
        <v>81</v>
      </c>
      <c r="F286" s="127" t="n">
        <v>45817</v>
      </c>
      <c r="G286" s="127" t="n">
        <v>45817</v>
      </c>
      <c r="H286" s="127" t="n">
        <v>46293</v>
      </c>
      <c r="I286" s="4" t="n">
        <v>100</v>
      </c>
      <c r="J286" s="4" t="n">
        <v>100</v>
      </c>
      <c r="K286" s="4" t="n">
        <v>100</v>
      </c>
      <c r="M286" s="2" t="str">
        <f aca="false">IF(C286="","",IFERROR(INDEX($S$5:$S$304,MATCH(C286,$R$5:$R$304,0))&amp;"","?"))</f>
        <v>15</v>
      </c>
      <c r="N286" s="2" t="str">
        <f aca="false">IF(E286="","",IF(ISNUMBER(SEARCH("SUBSOLO",E286)),IFERROR(-VALUE(LEFT(E286,FIND("º",SUBSTITUTE(E286,"°","º"))-1)),-1),IF(LEFT(E286,6)="TÉRREO",0,IFERROR(VALUE(LEFT(E286,FIND("º",SUBSTITUTE(E286,"°","º"))-1)),""))))</f>
        <v/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10711095</v>
      </c>
      <c r="C287" s="4" t="s">
        <v>2661</v>
      </c>
      <c r="D287" s="4" t="s">
        <v>3221</v>
      </c>
      <c r="E287" s="4" t="s">
        <v>81</v>
      </c>
      <c r="F287" s="127" t="n">
        <v>45818</v>
      </c>
      <c r="G287" s="127" t="n">
        <v>45818</v>
      </c>
      <c r="H287" s="127" t="n">
        <v>46293</v>
      </c>
      <c r="I287" s="4" t="n">
        <v>100</v>
      </c>
      <c r="J287" s="4" t="n">
        <v>100</v>
      </c>
      <c r="K287" s="4" t="n">
        <v>100</v>
      </c>
      <c r="M287" s="2" t="str">
        <f aca="false">IF(C287="","",IFERROR(INDEX($S$5:$S$304,MATCH(C287,$R$5:$R$304,0))&amp;"","?"))</f>
        <v>15</v>
      </c>
      <c r="N287" s="2" t="str">
        <f aca="false">IF(E287="","",IF(ISNUMBER(SEARCH("SUBSOLO",E287)),IFERROR(-VALUE(LEFT(E287,FIND("º",SUBSTITUTE(E287,"°","º"))-1)),-1),IF(LEFT(E287,6)="TÉRREO",0,IFERROR(VALUE(LEFT(E287,FIND("º",SUBSTITUTE(E287,"°","º"))-1)),""))))</f>
        <v/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10711096</v>
      </c>
      <c r="C288" s="4" t="s">
        <v>2661</v>
      </c>
      <c r="D288" s="4" t="s">
        <v>3222</v>
      </c>
      <c r="E288" s="4" t="s">
        <v>81</v>
      </c>
      <c r="F288" s="127" t="n">
        <v>45818</v>
      </c>
      <c r="G288" s="127" t="n">
        <v>45818</v>
      </c>
      <c r="H288" s="127" t="n">
        <v>46293</v>
      </c>
      <c r="I288" s="4" t="n">
        <v>100</v>
      </c>
      <c r="J288" s="4" t="n">
        <v>100</v>
      </c>
      <c r="K288" s="4" t="n">
        <v>100</v>
      </c>
      <c r="M288" s="2" t="str">
        <f aca="false">IF(C288="","",IFERROR(INDEX($S$5:$S$304,MATCH(C288,$R$5:$R$304,0))&amp;"","?"))</f>
        <v>15</v>
      </c>
      <c r="N288" s="2" t="str">
        <f aca="false">IF(E288="","",IF(ISNUMBER(SEARCH("SUBSOLO",E288)),IFERROR(-VALUE(LEFT(E288,FIND("º",SUBSTITUTE(E288,"°","º"))-1)),-1),IF(LEFT(E288,6)="TÉRREO",0,IFERROR(VALUE(LEFT(E288,FIND("º",SUBSTITUTE(E288,"°","º"))-1)),""))))</f>
        <v/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10711097</v>
      </c>
      <c r="C289" s="4" t="s">
        <v>2661</v>
      </c>
      <c r="D289" s="4" t="s">
        <v>3223</v>
      </c>
      <c r="E289" s="4" t="s">
        <v>81</v>
      </c>
      <c r="F289" s="127" t="n">
        <v>45817</v>
      </c>
      <c r="G289" s="127" t="n">
        <v>45817</v>
      </c>
      <c r="H289" s="127" t="n">
        <v>46293</v>
      </c>
      <c r="I289" s="4" t="n">
        <v>100</v>
      </c>
      <c r="J289" s="4" t="n">
        <v>100</v>
      </c>
      <c r="K289" s="4" t="n">
        <v>100</v>
      </c>
      <c r="M289" s="2" t="str">
        <f aca="false">IF(C289="","",IFERROR(INDEX($S$5:$S$304,MATCH(C289,$R$5:$R$304,0))&amp;"","?"))</f>
        <v>15</v>
      </c>
      <c r="N289" s="2" t="str">
        <f aca="false">IF(E289="","",IF(ISNUMBER(SEARCH("SUBSOLO",E289)),IFERROR(-VALUE(LEFT(E289,FIND("º",SUBSTITUTE(E289,"°","º"))-1)),-1),IF(LEFT(E289,6)="TÉRREO",0,IFERROR(VALUE(LEFT(E289,FIND("º",SUBSTITUTE(E289,"°","º"))-1)),""))))</f>
        <v/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10711098</v>
      </c>
      <c r="C290" s="4" t="s">
        <v>2661</v>
      </c>
      <c r="D290" s="4" t="s">
        <v>3224</v>
      </c>
      <c r="E290" s="4" t="s">
        <v>81</v>
      </c>
      <c r="F290" s="127" t="n">
        <v>45817</v>
      </c>
      <c r="G290" s="127" t="n">
        <v>45817</v>
      </c>
      <c r="H290" s="127" t="n">
        <v>46293</v>
      </c>
      <c r="I290" s="4" t="n">
        <v>100</v>
      </c>
      <c r="J290" s="4" t="n">
        <v>100</v>
      </c>
      <c r="K290" s="4" t="n">
        <v>100</v>
      </c>
      <c r="M290" s="2" t="str">
        <f aca="false">IF(C290="","",IFERROR(INDEX($S$5:$S$304,MATCH(C290,$R$5:$R$304,0))&amp;"","?"))</f>
        <v>15</v>
      </c>
      <c r="N290" s="2" t="str">
        <f aca="false">IF(E290="","",IF(ISNUMBER(SEARCH("SUBSOLO",E290)),IFERROR(-VALUE(LEFT(E290,FIND("º",SUBSTITUTE(E290,"°","º"))-1)),-1),IF(LEFT(E290,6)="TÉRREO",0,IFERROR(VALUE(LEFT(E290,FIND("º",SUBSTITUTE(E290,"°","º"))-1)),""))))</f>
        <v/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10711099</v>
      </c>
      <c r="C291" s="4" t="s">
        <v>2661</v>
      </c>
      <c r="D291" s="4" t="s">
        <v>3225</v>
      </c>
      <c r="E291" s="4" t="s">
        <v>81</v>
      </c>
      <c r="F291" s="127" t="n">
        <v>45818</v>
      </c>
      <c r="G291" s="127" t="n">
        <v>45818</v>
      </c>
      <c r="H291" s="127" t="n">
        <v>46293</v>
      </c>
      <c r="I291" s="4" t="n">
        <v>100</v>
      </c>
      <c r="J291" s="4" t="n">
        <v>100</v>
      </c>
      <c r="K291" s="4" t="n">
        <v>100</v>
      </c>
      <c r="M291" s="2" t="str">
        <f aca="false">IF(C291="","",IFERROR(INDEX($S$5:$S$304,MATCH(C291,$R$5:$R$304,0))&amp;"","?"))</f>
        <v>15</v>
      </c>
      <c r="N291" s="2" t="str">
        <f aca="false">IF(E291="","",IF(ISNUMBER(SEARCH("SUBSOLO",E291)),IFERROR(-VALUE(LEFT(E291,FIND("º",SUBSTITUTE(E291,"°","º"))-1)),-1),IF(LEFT(E291,6)="TÉRREO",0,IFERROR(VALUE(LEFT(E291,FIND("º",SUBSTITUTE(E291,"°","º"))-1)),""))))</f>
        <v/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10711100</v>
      </c>
      <c r="C292" s="4" t="s">
        <v>2661</v>
      </c>
      <c r="D292" s="4" t="s">
        <v>3226</v>
      </c>
      <c r="E292" s="4" t="s">
        <v>81</v>
      </c>
      <c r="F292" s="127" t="n">
        <v>45818</v>
      </c>
      <c r="G292" s="127" t="n">
        <v>45818</v>
      </c>
      <c r="H292" s="127" t="n">
        <v>46293</v>
      </c>
      <c r="I292" s="4" t="n">
        <v>100</v>
      </c>
      <c r="J292" s="4" t="n">
        <v>100</v>
      </c>
      <c r="K292" s="4" t="n">
        <v>100</v>
      </c>
      <c r="M292" s="2" t="str">
        <f aca="false">IF(C292="","",IFERROR(INDEX($S$5:$S$304,MATCH(C292,$R$5:$R$304,0))&amp;"","?"))</f>
        <v>15</v>
      </c>
      <c r="N292" s="2" t="str">
        <f aca="false">IF(E292="","",IF(ISNUMBER(SEARCH("SUBSOLO",E292)),IFERROR(-VALUE(LEFT(E292,FIND("º",SUBSTITUTE(E292,"°","º"))-1)),-1),IF(LEFT(E292,6)="TÉRREO",0,IFERROR(VALUE(LEFT(E292,FIND("º",SUBSTITUTE(E292,"°","º"))-1)),""))))</f>
        <v/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10711101</v>
      </c>
      <c r="C293" s="4" t="s">
        <v>2661</v>
      </c>
      <c r="D293" s="4" t="s">
        <v>3227</v>
      </c>
      <c r="E293" s="4" t="s">
        <v>81</v>
      </c>
      <c r="F293" s="127" t="n">
        <v>45819</v>
      </c>
      <c r="G293" s="127" t="n">
        <v>45819</v>
      </c>
      <c r="H293" s="127" t="n">
        <v>46293</v>
      </c>
      <c r="I293" s="4" t="n">
        <v>100</v>
      </c>
      <c r="J293" s="4" t="n">
        <v>100</v>
      </c>
      <c r="K293" s="4" t="n">
        <v>100</v>
      </c>
      <c r="M293" s="2" t="str">
        <f aca="false">IF(C293="","",IFERROR(INDEX($S$5:$S$304,MATCH(C293,$R$5:$R$304,0))&amp;"","?"))</f>
        <v>15</v>
      </c>
      <c r="N293" s="2" t="str">
        <f aca="false">IF(E293="","",IF(ISNUMBER(SEARCH("SUBSOLO",E293)),IFERROR(-VALUE(LEFT(E293,FIND("º",SUBSTITUTE(E293,"°","º"))-1)),-1),IF(LEFT(E293,6)="TÉRREO",0,IFERROR(VALUE(LEFT(E293,FIND("º",SUBSTITUTE(E293,"°","º"))-1)),""))))</f>
        <v/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10711102</v>
      </c>
      <c r="C294" s="4" t="s">
        <v>2661</v>
      </c>
      <c r="D294" s="4" t="s">
        <v>3228</v>
      </c>
      <c r="E294" s="4" t="s">
        <v>81</v>
      </c>
      <c r="F294" s="127" t="n">
        <v>45819</v>
      </c>
      <c r="G294" s="127" t="n">
        <v>45819</v>
      </c>
      <c r="H294" s="127" t="n">
        <v>46293</v>
      </c>
      <c r="I294" s="4" t="n">
        <v>100</v>
      </c>
      <c r="J294" s="4" t="n">
        <v>100</v>
      </c>
      <c r="K294" s="4" t="n">
        <v>100</v>
      </c>
      <c r="M294" s="2" t="str">
        <f aca="false">IF(C294="","",IFERROR(INDEX($S$5:$S$304,MATCH(C294,$R$5:$R$304,0))&amp;"","?"))</f>
        <v>15</v>
      </c>
      <c r="N294" s="2" t="str">
        <f aca="false">IF(E294="","",IF(ISNUMBER(SEARCH("SUBSOLO",E294)),IFERROR(-VALUE(LEFT(E294,FIND("º",SUBSTITUTE(E294,"°","º"))-1)),-1),IF(LEFT(E294,6)="TÉRREO",0,IFERROR(VALUE(LEFT(E294,FIND("º",SUBSTITUTE(E294,"°","º"))-1)),""))))</f>
        <v/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10711103</v>
      </c>
      <c r="C295" s="4" t="s">
        <v>2661</v>
      </c>
      <c r="D295" s="4" t="s">
        <v>3229</v>
      </c>
      <c r="E295" s="4" t="s">
        <v>81</v>
      </c>
      <c r="F295" s="127" t="n">
        <v>45820</v>
      </c>
      <c r="G295" s="127" t="n">
        <v>45820</v>
      </c>
      <c r="H295" s="127" t="n">
        <v>46293</v>
      </c>
      <c r="I295" s="4" t="n">
        <v>100</v>
      </c>
      <c r="J295" s="4" t="n">
        <v>100</v>
      </c>
      <c r="K295" s="4" t="n">
        <v>100</v>
      </c>
      <c r="M295" s="2" t="str">
        <f aca="false">IF(C295="","",IFERROR(INDEX($S$5:$S$304,MATCH(C295,$R$5:$R$304,0))&amp;"","?"))</f>
        <v>15</v>
      </c>
      <c r="N295" s="2" t="str">
        <f aca="false">IF(E295="","",IF(ISNUMBER(SEARCH("SUBSOLO",E295)),IFERROR(-VALUE(LEFT(E295,FIND("º",SUBSTITUTE(E295,"°","º"))-1)),-1),IF(LEFT(E295,6)="TÉRREO",0,IFERROR(VALUE(LEFT(E295,FIND("º",SUBSTITUTE(E295,"°","º"))-1)),""))))</f>
        <v/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10711104</v>
      </c>
      <c r="C296" s="4" t="s">
        <v>2661</v>
      </c>
      <c r="D296" s="4" t="s">
        <v>3230</v>
      </c>
      <c r="E296" s="4" t="s">
        <v>81</v>
      </c>
      <c r="F296" s="127" t="n">
        <v>45820</v>
      </c>
      <c r="G296" s="127" t="n">
        <v>45820</v>
      </c>
      <c r="H296" s="127" t="n">
        <v>46293</v>
      </c>
      <c r="I296" s="4" t="n">
        <v>100</v>
      </c>
      <c r="J296" s="4" t="n">
        <v>100</v>
      </c>
      <c r="K296" s="4" t="n">
        <v>100</v>
      </c>
      <c r="M296" s="2" t="str">
        <f aca="false">IF(C296="","",IFERROR(INDEX($S$5:$S$304,MATCH(C296,$R$5:$R$304,0))&amp;"","?"))</f>
        <v>15</v>
      </c>
      <c r="N296" s="2" t="str">
        <f aca="false">IF(E296="","",IF(ISNUMBER(SEARCH("SUBSOLO",E296)),IFERROR(-VALUE(LEFT(E296,FIND("º",SUBSTITUTE(E296,"°","º"))-1)),-1),IF(LEFT(E296,6)="TÉRREO",0,IFERROR(VALUE(LEFT(E296,FIND("º",SUBSTITUTE(E296,"°","º"))-1)),""))))</f>
        <v/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10711105</v>
      </c>
      <c r="C297" s="4" t="s">
        <v>2661</v>
      </c>
      <c r="D297" s="4" t="s">
        <v>3231</v>
      </c>
      <c r="E297" s="4" t="s">
        <v>81</v>
      </c>
      <c r="F297" s="127" t="n">
        <v>45820</v>
      </c>
      <c r="G297" s="127" t="n">
        <v>45820</v>
      </c>
      <c r="H297" s="127" t="n">
        <v>46293</v>
      </c>
      <c r="I297" s="4" t="n">
        <v>100</v>
      </c>
      <c r="J297" s="4" t="n">
        <v>100</v>
      </c>
      <c r="K297" s="4" t="n">
        <v>100</v>
      </c>
      <c r="M297" s="2" t="str">
        <f aca="false">IF(C297="","",IFERROR(INDEX($S$5:$S$304,MATCH(C297,$R$5:$R$304,0))&amp;"","?"))</f>
        <v>15</v>
      </c>
      <c r="N297" s="2" t="str">
        <f aca="false">IF(E297="","",IF(ISNUMBER(SEARCH("SUBSOLO",E297)),IFERROR(-VALUE(LEFT(E297,FIND("º",SUBSTITUTE(E297,"°","º"))-1)),-1),IF(LEFT(E297,6)="TÉRREO",0,IFERROR(VALUE(LEFT(E297,FIND("º",SUBSTITUTE(E297,"°","º"))-1)),""))))</f>
        <v/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10711106</v>
      </c>
      <c r="C298" s="4" t="s">
        <v>2661</v>
      </c>
      <c r="D298" s="4" t="s">
        <v>3232</v>
      </c>
      <c r="E298" s="4" t="s">
        <v>81</v>
      </c>
      <c r="F298" s="127" t="n">
        <v>45820</v>
      </c>
      <c r="G298" s="127" t="n">
        <v>45820</v>
      </c>
      <c r="H298" s="127" t="n">
        <v>46293</v>
      </c>
      <c r="I298" s="4" t="n">
        <v>100</v>
      </c>
      <c r="J298" s="4" t="n">
        <v>100</v>
      </c>
      <c r="K298" s="4" t="n">
        <v>100</v>
      </c>
      <c r="M298" s="2" t="str">
        <f aca="false">IF(C298="","",IFERROR(INDEX($S$5:$S$304,MATCH(C298,$R$5:$R$304,0))&amp;"","?"))</f>
        <v>15</v>
      </c>
      <c r="N298" s="2" t="str">
        <f aca="false">IF(E298="","",IF(ISNUMBER(SEARCH("SUBSOLO",E298)),IFERROR(-VALUE(LEFT(E298,FIND("º",SUBSTITUTE(E298,"°","º"))-1)),-1),IF(LEFT(E298,6)="TÉRREO",0,IFERROR(VALUE(LEFT(E298,FIND("º",SUBSTITUTE(E298,"°","º"))-1)),""))))</f>
        <v/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10711107</v>
      </c>
      <c r="C299" s="4" t="s">
        <v>2661</v>
      </c>
      <c r="D299" s="4" t="s">
        <v>3233</v>
      </c>
      <c r="E299" s="4" t="s">
        <v>81</v>
      </c>
      <c r="F299" s="127" t="n">
        <v>45824</v>
      </c>
      <c r="G299" s="127" t="n">
        <v>45824</v>
      </c>
      <c r="H299" s="127" t="n">
        <v>46293</v>
      </c>
      <c r="I299" s="4" t="n">
        <v>100</v>
      </c>
      <c r="J299" s="4" t="n">
        <v>100</v>
      </c>
      <c r="K299" s="4" t="n">
        <v>100</v>
      </c>
      <c r="M299" s="2" t="str">
        <f aca="false">IF(C299="","",IFERROR(INDEX($S$5:$S$304,MATCH(C299,$R$5:$R$304,0))&amp;"","?"))</f>
        <v>15</v>
      </c>
      <c r="N299" s="2" t="str">
        <f aca="false">IF(E299="","",IF(ISNUMBER(SEARCH("SUBSOLO",E299)),IFERROR(-VALUE(LEFT(E299,FIND("º",SUBSTITUTE(E299,"°","º"))-1)),-1),IF(LEFT(E299,6)="TÉRREO",0,IFERROR(VALUE(LEFT(E299,FIND("º",SUBSTITUTE(E299,"°","º"))-1)),""))))</f>
        <v/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10711108</v>
      </c>
      <c r="C300" s="4" t="s">
        <v>2661</v>
      </c>
      <c r="D300" s="4" t="s">
        <v>3234</v>
      </c>
      <c r="E300" s="4" t="s">
        <v>81</v>
      </c>
      <c r="F300" s="127" t="n">
        <v>45824</v>
      </c>
      <c r="G300" s="127" t="n">
        <v>45824</v>
      </c>
      <c r="H300" s="127" t="n">
        <v>46293</v>
      </c>
      <c r="I300" s="4" t="n">
        <v>100</v>
      </c>
      <c r="J300" s="4" t="n">
        <v>100</v>
      </c>
      <c r="K300" s="4" t="n">
        <v>100</v>
      </c>
      <c r="M300" s="2" t="str">
        <f aca="false">IF(C300="","",IFERROR(INDEX($S$5:$S$304,MATCH(C300,$R$5:$R$304,0))&amp;"","?"))</f>
        <v>15</v>
      </c>
      <c r="N300" s="2" t="str">
        <f aca="false">IF(E300="","",IF(ISNUMBER(SEARCH("SUBSOLO",E300)),IFERROR(-VALUE(LEFT(E300,FIND("º",SUBSTITUTE(E300,"°","º"))-1)),-1),IF(LEFT(E300,6)="TÉRREO",0,IFERROR(VALUE(LEFT(E300,FIND("º",SUBSTITUTE(E300,"°","º"))-1)),""))))</f>
        <v/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10711109</v>
      </c>
      <c r="C301" s="4" t="s">
        <v>2661</v>
      </c>
      <c r="D301" s="4" t="s">
        <v>3235</v>
      </c>
      <c r="E301" s="4" t="s">
        <v>81</v>
      </c>
      <c r="F301" s="127" t="n">
        <v>45825</v>
      </c>
      <c r="G301" s="127" t="n">
        <v>45825</v>
      </c>
      <c r="H301" s="127" t="n">
        <v>46293</v>
      </c>
      <c r="I301" s="4" t="n">
        <v>100</v>
      </c>
      <c r="J301" s="4" t="n">
        <v>100</v>
      </c>
      <c r="K301" s="4" t="n">
        <v>100</v>
      </c>
      <c r="M301" s="2" t="str">
        <f aca="false">IF(C301="","",IFERROR(INDEX($S$5:$S$304,MATCH(C301,$R$5:$R$304,0))&amp;"","?"))</f>
        <v>15</v>
      </c>
      <c r="N301" s="2" t="str">
        <f aca="false">IF(E301="","",IF(ISNUMBER(SEARCH("SUBSOLO",E301)),IFERROR(-VALUE(LEFT(E301,FIND("º",SUBSTITUTE(E301,"°","º"))-1)),-1),IF(LEFT(E301,6)="TÉRREO",0,IFERROR(VALUE(LEFT(E301,FIND("º",SUBSTITUTE(E301,"°","º"))-1)),""))))</f>
        <v/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10711110</v>
      </c>
      <c r="C302" s="4" t="s">
        <v>2661</v>
      </c>
      <c r="D302" s="4" t="s">
        <v>3236</v>
      </c>
      <c r="E302" s="4" t="s">
        <v>81</v>
      </c>
      <c r="F302" s="127" t="n">
        <v>45825</v>
      </c>
      <c r="G302" s="127" t="n">
        <v>45825</v>
      </c>
      <c r="H302" s="127" t="n">
        <v>46293</v>
      </c>
      <c r="I302" s="4" t="n">
        <v>100</v>
      </c>
      <c r="J302" s="4" t="n">
        <v>100</v>
      </c>
      <c r="K302" s="4" t="n">
        <v>100</v>
      </c>
      <c r="M302" s="2" t="str">
        <f aca="false">IF(C302="","",IFERROR(INDEX($S$5:$S$304,MATCH(C302,$R$5:$R$304,0))&amp;"","?"))</f>
        <v>15</v>
      </c>
      <c r="N302" s="2" t="str">
        <f aca="false">IF(E302="","",IF(ISNUMBER(SEARCH("SUBSOLO",E302)),IFERROR(-VALUE(LEFT(E302,FIND("º",SUBSTITUTE(E302,"°","º"))-1)),-1),IF(LEFT(E302,6)="TÉRREO",0,IFERROR(VALUE(LEFT(E302,FIND("º",SUBSTITUTE(E302,"°","º"))-1)),""))))</f>
        <v/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10711111</v>
      </c>
      <c r="C303" s="4" t="s">
        <v>2661</v>
      </c>
      <c r="D303" s="4" t="s">
        <v>3237</v>
      </c>
      <c r="E303" s="4" t="s">
        <v>81</v>
      </c>
      <c r="F303" s="127" t="n">
        <v>45821</v>
      </c>
      <c r="G303" s="127" t="n">
        <v>45821</v>
      </c>
      <c r="H303" s="127" t="n">
        <v>46293</v>
      </c>
      <c r="I303" s="4" t="n">
        <v>100</v>
      </c>
      <c r="J303" s="4" t="n">
        <v>100</v>
      </c>
      <c r="K303" s="4" t="n">
        <v>100</v>
      </c>
      <c r="M303" s="2" t="str">
        <f aca="false">IF(C303="","",IFERROR(INDEX($S$5:$S$304,MATCH(C303,$R$5:$R$304,0))&amp;"","?"))</f>
        <v>15</v>
      </c>
      <c r="N303" s="2" t="str">
        <f aca="false">IF(E303="","",IF(ISNUMBER(SEARCH("SUBSOLO",E303)),IFERROR(-VALUE(LEFT(E303,FIND("º",SUBSTITUTE(E303,"°","º"))-1)),-1),IF(LEFT(E303,6)="TÉRREO",0,IFERROR(VALUE(LEFT(E303,FIND("º",SUBSTITUTE(E303,"°","º"))-1)),""))))</f>
        <v/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10711112</v>
      </c>
      <c r="C304" s="4" t="s">
        <v>2661</v>
      </c>
      <c r="D304" s="4" t="s">
        <v>3238</v>
      </c>
      <c r="E304" s="4" t="s">
        <v>81</v>
      </c>
      <c r="F304" s="127" t="n">
        <v>45821</v>
      </c>
      <c r="G304" s="127" t="n">
        <v>45821</v>
      </c>
      <c r="H304" s="127" t="n">
        <v>46293</v>
      </c>
      <c r="I304" s="4" t="n">
        <v>100</v>
      </c>
      <c r="J304" s="4" t="n">
        <v>100</v>
      </c>
      <c r="K304" s="4" t="n">
        <v>100</v>
      </c>
      <c r="M304" s="2" t="str">
        <f aca="false">IF(C304="","",IFERROR(INDEX($S$5:$S$304,MATCH(C304,$R$5:$R$304,0))&amp;"","?"))</f>
        <v>15</v>
      </c>
      <c r="N304" s="2" t="str">
        <f aca="false">IF(E304="","",IF(ISNUMBER(SEARCH("SUBSOLO",E304)),IFERROR(-VALUE(LEFT(E304,FIND("º",SUBSTITUTE(E304,"°","º"))-1)),-1),IF(LEFT(E304,6)="TÉRREO",0,IFERROR(VALUE(LEFT(E304,FIND("º",SUBSTITUTE(E304,"°","º"))-1)),""))))</f>
        <v/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10711113</v>
      </c>
      <c r="C305" s="4" t="s">
        <v>2661</v>
      </c>
      <c r="D305" s="4" t="s">
        <v>3239</v>
      </c>
      <c r="E305" s="4" t="s">
        <v>81</v>
      </c>
      <c r="F305" s="127" t="n">
        <v>45821</v>
      </c>
      <c r="G305" s="127" t="n">
        <v>45821</v>
      </c>
      <c r="H305" s="127" t="n">
        <v>46293</v>
      </c>
      <c r="I305" s="4" t="n">
        <v>100</v>
      </c>
      <c r="J305" s="4" t="n">
        <v>100</v>
      </c>
      <c r="K305" s="4" t="n">
        <v>100</v>
      </c>
      <c r="M305" s="2" t="str">
        <f aca="false">IF(C305="","",IFERROR(INDEX($S$5:$S$304,MATCH(C305,$R$5:$R$304,0))&amp;"","?"))</f>
        <v>15</v>
      </c>
      <c r="N305" s="2" t="str">
        <f aca="false">IF(E305="","",IF(ISNUMBER(SEARCH("SUBSOLO",E305)),IFERROR(-VALUE(LEFT(E305,FIND("º",SUBSTITUTE(E305,"°","º"))-1)),-1),IF(LEFT(E305,6)="TÉRREO",0,IFERROR(VALUE(LEFT(E305,FIND("º",SUBSTITUTE(E305,"°","º"))-1)),""))))</f>
        <v/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10711114</v>
      </c>
      <c r="C306" s="4" t="s">
        <v>2661</v>
      </c>
      <c r="D306" s="4" t="s">
        <v>3240</v>
      </c>
      <c r="E306" s="4" t="s">
        <v>81</v>
      </c>
      <c r="F306" s="127" t="n">
        <v>45821</v>
      </c>
      <c r="G306" s="127" t="n">
        <v>45821</v>
      </c>
      <c r="H306" s="127" t="n">
        <v>46293</v>
      </c>
      <c r="I306" s="4" t="n">
        <v>100</v>
      </c>
      <c r="J306" s="4" t="n">
        <v>100</v>
      </c>
      <c r="K306" s="4" t="n">
        <v>100</v>
      </c>
      <c r="M306" s="2" t="str">
        <f aca="false">IF(C306="","",IFERROR(INDEX($S$5:$S$304,MATCH(C306,$R$5:$R$304,0))&amp;"","?"))</f>
        <v>15</v>
      </c>
      <c r="N306" s="2" t="str">
        <f aca="false">IF(E306="","",IF(ISNUMBER(SEARCH("SUBSOLO",E306)),IFERROR(-VALUE(LEFT(E306,FIND("º",SUBSTITUTE(E306,"°","º"))-1)),-1),IF(LEFT(E306,6)="TÉRREO",0,IFERROR(VALUE(LEFT(E306,FIND("º",SUBSTITUTE(E306,"°","º"))-1)),""))))</f>
        <v/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10711115</v>
      </c>
      <c r="C307" s="4" t="s">
        <v>2661</v>
      </c>
      <c r="D307" s="4" t="s">
        <v>3241</v>
      </c>
      <c r="E307" s="4" t="s">
        <v>81</v>
      </c>
      <c r="F307" s="127" t="n">
        <v>45819</v>
      </c>
      <c r="G307" s="127" t="n">
        <v>45819</v>
      </c>
      <c r="H307" s="127" t="n">
        <v>46293</v>
      </c>
      <c r="I307" s="4" t="n">
        <v>100</v>
      </c>
      <c r="J307" s="4" t="n">
        <v>100</v>
      </c>
      <c r="K307" s="4" t="n">
        <v>100</v>
      </c>
      <c r="M307" s="2" t="str">
        <f aca="false">IF(C307="","",IFERROR(INDEX($S$5:$S$304,MATCH(C307,$R$5:$R$304,0))&amp;"","?"))</f>
        <v>15</v>
      </c>
      <c r="N307" s="2" t="str">
        <f aca="false">IF(E307="","",IF(ISNUMBER(SEARCH("SUBSOLO",E307)),IFERROR(-VALUE(LEFT(E307,FIND("º",SUBSTITUTE(E307,"°","º"))-1)),-1),IF(LEFT(E307,6)="TÉRREO",0,IFERROR(VALUE(LEFT(E307,FIND("º",SUBSTITUTE(E307,"°","º"))-1)),""))))</f>
        <v/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10711116</v>
      </c>
      <c r="C308" s="4" t="s">
        <v>2661</v>
      </c>
      <c r="D308" s="4" t="s">
        <v>3242</v>
      </c>
      <c r="E308" s="4" t="s">
        <v>81</v>
      </c>
      <c r="F308" s="127" t="n">
        <v>45819</v>
      </c>
      <c r="G308" s="127" t="n">
        <v>45819</v>
      </c>
      <c r="H308" s="127" t="n">
        <v>46293</v>
      </c>
      <c r="I308" s="4" t="n">
        <v>100</v>
      </c>
      <c r="J308" s="4" t="n">
        <v>100</v>
      </c>
      <c r="K308" s="4" t="n">
        <v>100</v>
      </c>
      <c r="M308" s="2" t="str">
        <f aca="false">IF(C308="","",IFERROR(INDEX($S$5:$S$304,MATCH(C308,$R$5:$R$304,0))&amp;"","?"))</f>
        <v>15</v>
      </c>
      <c r="N308" s="2" t="str">
        <f aca="false">IF(E308="","",IF(ISNUMBER(SEARCH("SUBSOLO",E308)),IFERROR(-VALUE(LEFT(E308,FIND("º",SUBSTITUTE(E308,"°","º"))-1)),-1),IF(LEFT(E308,6)="TÉRREO",0,IFERROR(VALUE(LEFT(E308,FIND("º",SUBSTITUTE(E308,"°","º"))-1)),""))))</f>
        <v/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26734837</v>
      </c>
      <c r="C309" s="4" t="s">
        <v>2658</v>
      </c>
      <c r="D309" s="4" t="s">
        <v>433</v>
      </c>
      <c r="E309" s="4" t="s">
        <v>3243</v>
      </c>
      <c r="F309" s="127" t="n">
        <v>45824</v>
      </c>
      <c r="G309" s="127" t="n">
        <v>45852</v>
      </c>
      <c r="H309" s="127" t="n">
        <v>46293</v>
      </c>
      <c r="I309" s="4" t="n">
        <v>100</v>
      </c>
      <c r="J309" s="4" t="n">
        <v>100</v>
      </c>
      <c r="K309" s="4" t="n">
        <v>100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1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9522983</v>
      </c>
      <c r="C310" s="4" t="s">
        <v>2658</v>
      </c>
      <c r="D310" s="4" t="s">
        <v>3244</v>
      </c>
      <c r="E310" s="4" t="s">
        <v>3243</v>
      </c>
      <c r="F310" s="127" t="n">
        <v>45824</v>
      </c>
      <c r="G310" s="127" t="n">
        <v>45831</v>
      </c>
      <c r="H310" s="127" t="n">
        <v>46293</v>
      </c>
      <c r="I310" s="4" t="n">
        <v>100</v>
      </c>
      <c r="J310" s="4" t="n">
        <v>100</v>
      </c>
      <c r="K310" s="4" t="n">
        <v>100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1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9522984</v>
      </c>
      <c r="C311" s="4" t="s">
        <v>2658</v>
      </c>
      <c r="D311" s="4" t="s">
        <v>3245</v>
      </c>
      <c r="E311" s="4" t="s">
        <v>3243</v>
      </c>
      <c r="F311" s="127" t="n">
        <v>45831</v>
      </c>
      <c r="G311" s="127" t="n">
        <v>45835</v>
      </c>
      <c r="H311" s="127" t="n">
        <v>46293</v>
      </c>
      <c r="I311" s="4" t="n">
        <v>100</v>
      </c>
      <c r="J311" s="4" t="n">
        <v>100</v>
      </c>
      <c r="K311" s="4" t="n">
        <v>100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1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9522985</v>
      </c>
      <c r="C312" s="4" t="s">
        <v>2658</v>
      </c>
      <c r="D312" s="4" t="s">
        <v>3246</v>
      </c>
      <c r="E312" s="4" t="s">
        <v>3243</v>
      </c>
      <c r="F312" s="127" t="n">
        <v>45832</v>
      </c>
      <c r="G312" s="127" t="n">
        <v>45838</v>
      </c>
      <c r="H312" s="127" t="n">
        <v>46293</v>
      </c>
      <c r="I312" s="4" t="n">
        <v>100</v>
      </c>
      <c r="J312" s="4" t="n">
        <v>100</v>
      </c>
      <c r="K312" s="4" t="n">
        <v>100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1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9522986</v>
      </c>
      <c r="C313" s="4" t="s">
        <v>2658</v>
      </c>
      <c r="D313" s="4" t="s">
        <v>3247</v>
      </c>
      <c r="E313" s="4" t="s">
        <v>3243</v>
      </c>
      <c r="F313" s="127" t="n">
        <v>45839</v>
      </c>
      <c r="G313" s="127" t="n">
        <v>45839</v>
      </c>
      <c r="H313" s="127" t="n">
        <v>46293</v>
      </c>
      <c r="I313" s="4" t="n">
        <v>100</v>
      </c>
      <c r="J313" s="4" t="n">
        <v>100</v>
      </c>
      <c r="K313" s="4" t="n">
        <v>100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1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9522987</v>
      </c>
      <c r="C314" s="4" t="s">
        <v>2658</v>
      </c>
      <c r="D314" s="4" t="s">
        <v>3248</v>
      </c>
      <c r="E314" s="4" t="s">
        <v>3243</v>
      </c>
      <c r="F314" s="127" t="n">
        <v>45840</v>
      </c>
      <c r="G314" s="127" t="n">
        <v>45847</v>
      </c>
      <c r="H314" s="127" t="n">
        <v>46293</v>
      </c>
      <c r="I314" s="4" t="n">
        <v>100</v>
      </c>
      <c r="J314" s="4" t="n">
        <v>100</v>
      </c>
      <c r="K314" s="4" t="n">
        <v>100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1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9522988</v>
      </c>
      <c r="C315" s="4" t="s">
        <v>2658</v>
      </c>
      <c r="D315" s="4" t="s">
        <v>3249</v>
      </c>
      <c r="E315" s="4" t="s">
        <v>3243</v>
      </c>
      <c r="F315" s="127" t="n">
        <v>45841</v>
      </c>
      <c r="G315" s="127" t="n">
        <v>45848</v>
      </c>
      <c r="H315" s="127" t="n">
        <v>46293</v>
      </c>
      <c r="I315" s="4" t="n">
        <v>100</v>
      </c>
      <c r="J315" s="4" t="n">
        <v>100</v>
      </c>
      <c r="K315" s="4" t="n">
        <v>100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1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9522989</v>
      </c>
      <c r="C316" s="4" t="s">
        <v>2658</v>
      </c>
      <c r="D316" s="4" t="s">
        <v>3250</v>
      </c>
      <c r="E316" s="4" t="s">
        <v>3243</v>
      </c>
      <c r="F316" s="127" t="n">
        <v>45847</v>
      </c>
      <c r="G316" s="127" t="n">
        <v>45848</v>
      </c>
      <c r="H316" s="127" t="n">
        <v>46293</v>
      </c>
      <c r="I316" s="4" t="n">
        <v>100</v>
      </c>
      <c r="J316" s="4" t="n">
        <v>100</v>
      </c>
      <c r="K316" s="4" t="n">
        <v>100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1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9522990</v>
      </c>
      <c r="C317" s="4" t="s">
        <v>2658</v>
      </c>
      <c r="D317" s="4" t="s">
        <v>3251</v>
      </c>
      <c r="E317" s="4" t="s">
        <v>3243</v>
      </c>
      <c r="F317" s="127" t="n">
        <v>45848</v>
      </c>
      <c r="G317" s="127" t="n">
        <v>45849</v>
      </c>
      <c r="H317" s="127" t="n">
        <v>46293</v>
      </c>
      <c r="I317" s="4" t="n">
        <v>100</v>
      </c>
      <c r="J317" s="4" t="n">
        <v>100</v>
      </c>
      <c r="K317" s="4" t="n">
        <v>100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1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9522991</v>
      </c>
      <c r="C318" s="4" t="s">
        <v>2658</v>
      </c>
      <c r="D318" s="4" t="s">
        <v>3252</v>
      </c>
      <c r="E318" s="4" t="s">
        <v>3243</v>
      </c>
      <c r="F318" s="127" t="n">
        <v>45852</v>
      </c>
      <c r="G318" s="127" t="n">
        <v>45852</v>
      </c>
      <c r="H318" s="127" t="n">
        <v>46293</v>
      </c>
      <c r="I318" s="4" t="n">
        <v>100</v>
      </c>
      <c r="J318" s="4" t="n">
        <v>100</v>
      </c>
      <c r="K318" s="4" t="n">
        <v>100</v>
      </c>
      <c r="M318" s="2" t="str">
        <f aca="false">IF(C318="","",IFERROR(INDEX($S$5:$S$304,MATCH(C318,$R$5:$R$304,0))&amp;"","?"))</f>
        <v>17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1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24964227</v>
      </c>
      <c r="C319" s="4" t="s">
        <v>2664</v>
      </c>
      <c r="D319" s="4" t="s">
        <v>433</v>
      </c>
      <c r="E319" s="4" t="s">
        <v>81</v>
      </c>
      <c r="F319" s="127" t="n">
        <v>45834</v>
      </c>
      <c r="G319" s="127" t="n">
        <v>45875</v>
      </c>
      <c r="H319" s="127" t="n">
        <v>46293</v>
      </c>
      <c r="I319" s="4" t="n">
        <v>100</v>
      </c>
      <c r="J319" s="4" t="n">
        <v>100</v>
      </c>
      <c r="K319" s="4" t="n">
        <v>100</v>
      </c>
      <c r="M319" s="2" t="str">
        <f aca="false">IF(C319="","",IFERROR(INDEX($S$5:$S$304,MATCH(C319,$R$5:$R$304,0))&amp;"","?"))</f>
        <v>13</v>
      </c>
      <c r="N319" s="2" t="str">
        <f aca="false">IF(E319="","",IF(ISNUMBER(SEARCH("SUBSOLO",E319)),IFERROR(-VALUE(LEFT(E319,FIND("º",SUBSTITUTE(E319,"°","º"))-1)),-1),IF(LEFT(E319,6)="TÉRREO",0,IFERROR(VALUE(LEFT(E319,FIND("º",SUBSTITUTE(E319,"°","º"))-1)),""))))</f>
        <v/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10712478</v>
      </c>
      <c r="C320" s="4" t="s">
        <v>2664</v>
      </c>
      <c r="D320" s="4" t="s">
        <v>3253</v>
      </c>
      <c r="E320" s="4" t="s">
        <v>81</v>
      </c>
      <c r="F320" s="127" t="n">
        <v>45840</v>
      </c>
      <c r="G320" s="127" t="n">
        <v>45840</v>
      </c>
      <c r="H320" s="127" t="n">
        <v>46293</v>
      </c>
      <c r="I320" s="4" t="n">
        <v>100</v>
      </c>
      <c r="J320" s="4" t="n">
        <v>100</v>
      </c>
      <c r="K320" s="4" t="n">
        <v>100</v>
      </c>
      <c r="M320" s="2" t="str">
        <f aca="false">IF(C320="","",IFERROR(INDEX($S$5:$S$304,MATCH(C320,$R$5:$R$304,0))&amp;"","?"))</f>
        <v>13</v>
      </c>
      <c r="N320" s="2" t="str">
        <f aca="false">IF(E320="","",IF(ISNUMBER(SEARCH("SUBSOLO",E320)),IFERROR(-VALUE(LEFT(E320,FIND("º",SUBSTITUTE(E320,"°","º"))-1)),-1),IF(LEFT(E320,6)="TÉRREO",0,IFERROR(VALUE(LEFT(E320,FIND("º",SUBSTITUTE(E320,"°","º"))-1)),""))))</f>
        <v/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10712479</v>
      </c>
      <c r="C321" s="4" t="s">
        <v>2664</v>
      </c>
      <c r="D321" s="4" t="s">
        <v>3254</v>
      </c>
      <c r="E321" s="4" t="s">
        <v>81</v>
      </c>
      <c r="F321" s="127" t="n">
        <v>45841</v>
      </c>
      <c r="G321" s="127" t="n">
        <v>45841</v>
      </c>
      <c r="H321" s="127" t="n">
        <v>46293</v>
      </c>
      <c r="I321" s="4" t="n">
        <v>100</v>
      </c>
      <c r="J321" s="4" t="n">
        <v>100</v>
      </c>
      <c r="K321" s="4" t="n">
        <v>100</v>
      </c>
      <c r="M321" s="2" t="str">
        <f aca="false">IF(C321="","",IFERROR(INDEX($S$5:$S$304,MATCH(C321,$R$5:$R$304,0))&amp;"","?"))</f>
        <v>13</v>
      </c>
      <c r="N321" s="2" t="str">
        <f aca="false">IF(E321="","",IF(ISNUMBER(SEARCH("SUBSOLO",E321)),IFERROR(-VALUE(LEFT(E321,FIND("º",SUBSTITUTE(E321,"°","º"))-1)),-1),IF(LEFT(E321,6)="TÉRREO",0,IFERROR(VALUE(LEFT(E321,FIND("º",SUBSTITUTE(E321,"°","º"))-1)),""))))</f>
        <v/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10712480</v>
      </c>
      <c r="C322" s="4" t="s">
        <v>2664</v>
      </c>
      <c r="D322" s="4" t="s">
        <v>3255</v>
      </c>
      <c r="E322" s="4" t="s">
        <v>81</v>
      </c>
      <c r="F322" s="127" t="n">
        <v>45845</v>
      </c>
      <c r="G322" s="127" t="n">
        <v>45845</v>
      </c>
      <c r="H322" s="127" t="n">
        <v>46293</v>
      </c>
      <c r="I322" s="4" t="n">
        <v>100</v>
      </c>
      <c r="J322" s="4" t="n">
        <v>100</v>
      </c>
      <c r="K322" s="4" t="n">
        <v>100</v>
      </c>
      <c r="M322" s="2" t="str">
        <f aca="false">IF(C322="","",IFERROR(INDEX($S$5:$S$304,MATCH(C322,$R$5:$R$304,0))&amp;"","?"))</f>
        <v>13</v>
      </c>
      <c r="N322" s="2" t="str">
        <f aca="false">IF(E322="","",IF(ISNUMBER(SEARCH("SUBSOLO",E322)),IFERROR(-VALUE(LEFT(E322,FIND("º",SUBSTITUTE(E322,"°","º"))-1)),-1),IF(LEFT(E322,6)="TÉRREO",0,IFERROR(VALUE(LEFT(E322,FIND("º",SUBSTITUTE(E322,"°","º"))-1)),""))))</f>
        <v/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10712481</v>
      </c>
      <c r="C323" s="4" t="s">
        <v>2664</v>
      </c>
      <c r="D323" s="4" t="s">
        <v>3256</v>
      </c>
      <c r="E323" s="4" t="s">
        <v>81</v>
      </c>
      <c r="F323" s="127" t="n">
        <v>45846</v>
      </c>
      <c r="G323" s="127" t="n">
        <v>45846</v>
      </c>
      <c r="H323" s="127" t="n">
        <v>46293</v>
      </c>
      <c r="I323" s="4" t="n">
        <v>100</v>
      </c>
      <c r="J323" s="4" t="n">
        <v>100</v>
      </c>
      <c r="K323" s="4" t="n">
        <v>100</v>
      </c>
      <c r="M323" s="2" t="str">
        <f aca="false">IF(C323="","",IFERROR(INDEX($S$5:$S$304,MATCH(C323,$R$5:$R$304,0))&amp;"","?"))</f>
        <v>13</v>
      </c>
      <c r="N323" s="2" t="str">
        <f aca="false">IF(E323="","",IF(ISNUMBER(SEARCH("SUBSOLO",E323)),IFERROR(-VALUE(LEFT(E323,FIND("º",SUBSTITUTE(E323,"°","º"))-1)),-1),IF(LEFT(E323,6)="TÉRREO",0,IFERROR(VALUE(LEFT(E323,FIND("º",SUBSTITUTE(E323,"°","º"))-1)),""))))</f>
        <v/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10712482</v>
      </c>
      <c r="C324" s="4" t="s">
        <v>2664</v>
      </c>
      <c r="D324" s="4" t="s">
        <v>3257</v>
      </c>
      <c r="E324" s="4" t="s">
        <v>81</v>
      </c>
      <c r="F324" s="127" t="n">
        <v>45847</v>
      </c>
      <c r="G324" s="127" t="n">
        <v>45847</v>
      </c>
      <c r="H324" s="127" t="n">
        <v>46293</v>
      </c>
      <c r="I324" s="4" t="n">
        <v>100</v>
      </c>
      <c r="J324" s="4" t="n">
        <v>100</v>
      </c>
      <c r="K324" s="4" t="n">
        <v>100</v>
      </c>
      <c r="M324" s="2" t="str">
        <f aca="false">IF(C324="","",IFERROR(INDEX($S$5:$S$304,MATCH(C324,$R$5:$R$304,0))&amp;"","?"))</f>
        <v>13</v>
      </c>
      <c r="N324" s="2" t="str">
        <f aca="false">IF(E324="","",IF(ISNUMBER(SEARCH("SUBSOLO",E324)),IFERROR(-VALUE(LEFT(E324,FIND("º",SUBSTITUTE(E324,"°","º"))-1)),-1),IF(LEFT(E324,6)="TÉRREO",0,IFERROR(VALUE(LEFT(E324,FIND("º",SUBSTITUTE(E324,"°","º"))-1)),""))))</f>
        <v/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10712483</v>
      </c>
      <c r="C325" s="4" t="s">
        <v>2664</v>
      </c>
      <c r="D325" s="4" t="s">
        <v>3258</v>
      </c>
      <c r="E325" s="4" t="s">
        <v>81</v>
      </c>
      <c r="F325" s="127" t="n">
        <v>45848</v>
      </c>
      <c r="G325" s="127" t="n">
        <v>45848</v>
      </c>
      <c r="H325" s="127" t="n">
        <v>46293</v>
      </c>
      <c r="I325" s="4" t="n">
        <v>100</v>
      </c>
      <c r="J325" s="4" t="n">
        <v>100</v>
      </c>
      <c r="K325" s="4" t="n">
        <v>100</v>
      </c>
      <c r="M325" s="2" t="str">
        <f aca="false">IF(C325="","",IFERROR(INDEX($S$5:$S$304,MATCH(C325,$R$5:$R$304,0))&amp;"","?"))</f>
        <v>13</v>
      </c>
      <c r="N325" s="2" t="str">
        <f aca="false">IF(E325="","",IF(ISNUMBER(SEARCH("SUBSOLO",E325)),IFERROR(-VALUE(LEFT(E325,FIND("º",SUBSTITUTE(E325,"°","º"))-1)),-1),IF(LEFT(E325,6)="TÉRREO",0,IFERROR(VALUE(LEFT(E325,FIND("º",SUBSTITUTE(E325,"°","º"))-1)),""))))</f>
        <v/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10712484</v>
      </c>
      <c r="C326" s="4" t="s">
        <v>2664</v>
      </c>
      <c r="D326" s="4" t="s">
        <v>3259</v>
      </c>
      <c r="E326" s="4" t="s">
        <v>81</v>
      </c>
      <c r="F326" s="127" t="n">
        <v>45849</v>
      </c>
      <c r="G326" s="127" t="n">
        <v>45849</v>
      </c>
      <c r="H326" s="127" t="n">
        <v>46293</v>
      </c>
      <c r="I326" s="4" t="n">
        <v>100</v>
      </c>
      <c r="J326" s="4" t="n">
        <v>100</v>
      </c>
      <c r="K326" s="4" t="n">
        <v>100</v>
      </c>
      <c r="M326" s="2" t="str">
        <f aca="false">IF(C326="","",IFERROR(INDEX($S$5:$S$304,MATCH(C326,$R$5:$R$304,0))&amp;"","?"))</f>
        <v>13</v>
      </c>
      <c r="N326" s="2" t="str">
        <f aca="false">IF(E326="","",IF(ISNUMBER(SEARCH("SUBSOLO",E326)),IFERROR(-VALUE(LEFT(E326,FIND("º",SUBSTITUTE(E326,"°","º"))-1)),-1),IF(LEFT(E326,6)="TÉRREO",0,IFERROR(VALUE(LEFT(E326,FIND("º",SUBSTITUTE(E326,"°","º"))-1)),""))))</f>
        <v/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10712485</v>
      </c>
      <c r="C327" s="4" t="s">
        <v>2664</v>
      </c>
      <c r="D327" s="4" t="s">
        <v>3260</v>
      </c>
      <c r="E327" s="4" t="s">
        <v>81</v>
      </c>
      <c r="F327" s="127" t="n">
        <v>45852</v>
      </c>
      <c r="G327" s="127" t="n">
        <v>45852</v>
      </c>
      <c r="H327" s="127" t="n">
        <v>46293</v>
      </c>
      <c r="I327" s="4" t="n">
        <v>100</v>
      </c>
      <c r="J327" s="4" t="n">
        <v>100</v>
      </c>
      <c r="K327" s="4" t="n">
        <v>100</v>
      </c>
      <c r="M327" s="2" t="str">
        <f aca="false">IF(C327="","",IFERROR(INDEX($S$5:$S$304,MATCH(C327,$R$5:$R$304,0))&amp;"","?"))</f>
        <v>13</v>
      </c>
      <c r="N327" s="2" t="str">
        <f aca="false">IF(E327="","",IF(ISNUMBER(SEARCH("SUBSOLO",E327)),IFERROR(-VALUE(LEFT(E327,FIND("º",SUBSTITUTE(E327,"°","º"))-1)),-1),IF(LEFT(E327,6)="TÉRREO",0,IFERROR(VALUE(LEFT(E327,FIND("º",SUBSTITUTE(E327,"°","º"))-1)),""))))</f>
        <v/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10712486</v>
      </c>
      <c r="C328" s="4" t="s">
        <v>2664</v>
      </c>
      <c r="D328" s="4" t="s">
        <v>3261</v>
      </c>
      <c r="E328" s="4" t="s">
        <v>81</v>
      </c>
      <c r="F328" s="127" t="n">
        <v>45853</v>
      </c>
      <c r="G328" s="127" t="n">
        <v>45853</v>
      </c>
      <c r="H328" s="127" t="n">
        <v>46293</v>
      </c>
      <c r="I328" s="4" t="n">
        <v>100</v>
      </c>
      <c r="J328" s="4" t="n">
        <v>100</v>
      </c>
      <c r="K328" s="4" t="n">
        <v>100</v>
      </c>
      <c r="M328" s="2" t="str">
        <f aca="false">IF(C328="","",IFERROR(INDEX($S$5:$S$304,MATCH(C328,$R$5:$R$304,0))&amp;"","?"))</f>
        <v>13</v>
      </c>
      <c r="N328" s="2" t="str">
        <f aca="false">IF(E328="","",IF(ISNUMBER(SEARCH("SUBSOLO",E328)),IFERROR(-VALUE(LEFT(E328,FIND("º",SUBSTITUTE(E328,"°","º"))-1)),-1),IF(LEFT(E328,6)="TÉRREO",0,IFERROR(VALUE(LEFT(E328,FIND("º",SUBSTITUTE(E328,"°","º"))-1)),""))))</f>
        <v/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10712487</v>
      </c>
      <c r="C329" s="4" t="s">
        <v>2664</v>
      </c>
      <c r="D329" s="4" t="s">
        <v>3262</v>
      </c>
      <c r="E329" s="4" t="s">
        <v>81</v>
      </c>
      <c r="F329" s="127" t="n">
        <v>45854</v>
      </c>
      <c r="G329" s="127" t="n">
        <v>45854</v>
      </c>
      <c r="H329" s="127" t="n">
        <v>46293</v>
      </c>
      <c r="I329" s="4" t="n">
        <v>100</v>
      </c>
      <c r="J329" s="4" t="n">
        <v>100</v>
      </c>
      <c r="K329" s="4" t="n">
        <v>100</v>
      </c>
      <c r="M329" s="2" t="str">
        <f aca="false">IF(C329="","",IFERROR(INDEX($S$5:$S$304,MATCH(C329,$R$5:$R$304,0))&amp;"","?"))</f>
        <v>13</v>
      </c>
      <c r="N329" s="2" t="str">
        <f aca="false">IF(E329="","",IF(ISNUMBER(SEARCH("SUBSOLO",E329)),IFERROR(-VALUE(LEFT(E329,FIND("º",SUBSTITUTE(E329,"°","º"))-1)),-1),IF(LEFT(E329,6)="TÉRREO",0,IFERROR(VALUE(LEFT(E329,FIND("º",SUBSTITUTE(E329,"°","º"))-1)),""))))</f>
        <v/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10712488</v>
      </c>
      <c r="C330" s="4" t="s">
        <v>2664</v>
      </c>
      <c r="D330" s="4" t="s">
        <v>3263</v>
      </c>
      <c r="E330" s="4" t="s">
        <v>81</v>
      </c>
      <c r="F330" s="127" t="n">
        <v>45855</v>
      </c>
      <c r="G330" s="127" t="n">
        <v>45855</v>
      </c>
      <c r="H330" s="127" t="n">
        <v>46293</v>
      </c>
      <c r="I330" s="4" t="n">
        <v>100</v>
      </c>
      <c r="J330" s="4" t="n">
        <v>100</v>
      </c>
      <c r="K330" s="4" t="n">
        <v>100</v>
      </c>
      <c r="M330" s="2" t="str">
        <f aca="false">IF(C330="","",IFERROR(INDEX($S$5:$S$304,MATCH(C330,$R$5:$R$304,0))&amp;"","?"))</f>
        <v>13</v>
      </c>
      <c r="N330" s="2" t="str">
        <f aca="false">IF(E330="","",IF(ISNUMBER(SEARCH("SUBSOLO",E330)),IFERROR(-VALUE(LEFT(E330,FIND("º",SUBSTITUTE(E330,"°","º"))-1)),-1),IF(LEFT(E330,6)="TÉRREO",0,IFERROR(VALUE(LEFT(E330,FIND("º",SUBSTITUTE(E330,"°","º"))-1)),""))))</f>
        <v/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11118752</v>
      </c>
      <c r="C331" s="4" t="s">
        <v>2664</v>
      </c>
      <c r="D331" s="4" t="s">
        <v>3264</v>
      </c>
      <c r="E331" s="4" t="s">
        <v>81</v>
      </c>
      <c r="F331" s="127" t="n">
        <v>45834</v>
      </c>
      <c r="G331" s="127" t="n">
        <v>45834</v>
      </c>
      <c r="H331" s="127" t="n">
        <v>46293</v>
      </c>
      <c r="I331" s="4" t="n">
        <v>100</v>
      </c>
      <c r="J331" s="4" t="n">
        <v>100</v>
      </c>
      <c r="K331" s="4" t="n">
        <v>100</v>
      </c>
      <c r="M331" s="2" t="str">
        <f aca="false">IF(C331="","",IFERROR(INDEX($S$5:$S$304,MATCH(C331,$R$5:$R$304,0))&amp;"","?"))</f>
        <v>13</v>
      </c>
      <c r="N331" s="2" t="str">
        <f aca="false">IF(E331="","",IF(ISNUMBER(SEARCH("SUBSOLO",E331)),IFERROR(-VALUE(LEFT(E331,FIND("º",SUBSTITUTE(E331,"°","º"))-1)),-1),IF(LEFT(E331,6)="TÉRREO",0,IFERROR(VALUE(LEFT(E331,FIND("º",SUBSTITUTE(E331,"°","º"))-1)),""))))</f>
        <v/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11119236</v>
      </c>
      <c r="C332" s="4" t="s">
        <v>2664</v>
      </c>
      <c r="D332" s="4" t="s">
        <v>3265</v>
      </c>
      <c r="E332" s="4" t="s">
        <v>81</v>
      </c>
      <c r="F332" s="127" t="n">
        <v>45845</v>
      </c>
      <c r="G332" s="127" t="n">
        <v>45848</v>
      </c>
      <c r="H332" s="127" t="n">
        <v>46293</v>
      </c>
      <c r="I332" s="4" t="n">
        <v>100</v>
      </c>
      <c r="J332" s="4" t="n">
        <v>100</v>
      </c>
      <c r="K332" s="4" t="n">
        <v>100</v>
      </c>
      <c r="M332" s="2" t="str">
        <f aca="false">IF(C332="","",IFERROR(INDEX($S$5:$S$304,MATCH(C332,$R$5:$R$304,0))&amp;"","?"))</f>
        <v>13</v>
      </c>
      <c r="N332" s="2" t="str">
        <f aca="false">IF(E332="","",IF(ISNUMBER(SEARCH("SUBSOLO",E332)),IFERROR(-VALUE(LEFT(E332,FIND("º",SUBSTITUTE(E332,"°","º"))-1)),-1),IF(LEFT(E332,6)="TÉRREO",0,IFERROR(VALUE(LEFT(E332,FIND("º",SUBSTITUTE(E332,"°","º"))-1)),""))))</f>
        <v/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11119237</v>
      </c>
      <c r="C333" s="4" t="s">
        <v>2664</v>
      </c>
      <c r="D333" s="4" t="s">
        <v>3266</v>
      </c>
      <c r="E333" s="4" t="s">
        <v>81</v>
      </c>
      <c r="F333" s="127" t="n">
        <v>45845</v>
      </c>
      <c r="G333" s="127" t="n">
        <v>45848</v>
      </c>
      <c r="H333" s="127" t="n">
        <v>46293</v>
      </c>
      <c r="I333" s="4" t="n">
        <v>100</v>
      </c>
      <c r="J333" s="4" t="n">
        <v>100</v>
      </c>
      <c r="K333" s="4" t="n">
        <v>100</v>
      </c>
      <c r="M333" s="2" t="str">
        <f aca="false">IF(C333="","",IFERROR(INDEX($S$5:$S$304,MATCH(C333,$R$5:$R$304,0))&amp;"","?"))</f>
        <v>13</v>
      </c>
      <c r="N333" s="2" t="str">
        <f aca="false">IF(E333="","",IF(ISNUMBER(SEARCH("SUBSOLO",E333)),IFERROR(-VALUE(LEFT(E333,FIND("º",SUBSTITUTE(E333,"°","º"))-1)),-1),IF(LEFT(E333,6)="TÉRREO",0,IFERROR(VALUE(LEFT(E333,FIND("º",SUBSTITUTE(E333,"°","º"))-1)),""))))</f>
        <v/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11119238</v>
      </c>
      <c r="C334" s="4" t="s">
        <v>2664</v>
      </c>
      <c r="D334" s="4" t="s">
        <v>3267</v>
      </c>
      <c r="E334" s="4" t="s">
        <v>81</v>
      </c>
      <c r="F334" s="127" t="n">
        <v>45849</v>
      </c>
      <c r="G334" s="127" t="n">
        <v>45849</v>
      </c>
      <c r="H334" s="127" t="n">
        <v>46293</v>
      </c>
      <c r="I334" s="4" t="n">
        <v>100</v>
      </c>
      <c r="J334" s="4" t="n">
        <v>100</v>
      </c>
      <c r="K334" s="4" t="n">
        <v>100</v>
      </c>
      <c r="M334" s="2" t="str">
        <f aca="false">IF(C334="","",IFERROR(INDEX($S$5:$S$304,MATCH(C334,$R$5:$R$304,0))&amp;"","?"))</f>
        <v>13</v>
      </c>
      <c r="N334" s="2" t="str">
        <f aca="false">IF(E334="","",IF(ISNUMBER(SEARCH("SUBSOLO",E334)),IFERROR(-VALUE(LEFT(E334,FIND("º",SUBSTITUTE(E334,"°","º"))-1)),-1),IF(LEFT(E334,6)="TÉRREO",0,IFERROR(VALUE(LEFT(E334,FIND("º",SUBSTITUTE(E334,"°","º"))-1)),""))))</f>
        <v/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11119239</v>
      </c>
      <c r="C335" s="4" t="s">
        <v>2664</v>
      </c>
      <c r="D335" s="4" t="s">
        <v>3268</v>
      </c>
      <c r="E335" s="4" t="s">
        <v>81</v>
      </c>
      <c r="F335" s="127" t="n">
        <v>45852</v>
      </c>
      <c r="G335" s="127" t="n">
        <v>45855</v>
      </c>
      <c r="H335" s="127" t="n">
        <v>46293</v>
      </c>
      <c r="I335" s="4" t="n">
        <v>100</v>
      </c>
      <c r="J335" s="4" t="n">
        <v>100</v>
      </c>
      <c r="K335" s="4" t="n">
        <v>100</v>
      </c>
      <c r="M335" s="2" t="str">
        <f aca="false">IF(C335="","",IFERROR(INDEX($S$5:$S$304,MATCH(C335,$R$5:$R$304,0))&amp;"","?"))</f>
        <v>13</v>
      </c>
      <c r="N335" s="2" t="str">
        <f aca="false">IF(E335="","",IF(ISNUMBER(SEARCH("SUBSOLO",E335)),IFERROR(-VALUE(LEFT(E335,FIND("º",SUBSTITUTE(E335,"°","º"))-1)),-1),IF(LEFT(E335,6)="TÉRREO",0,IFERROR(VALUE(LEFT(E335,FIND("º",SUBSTITUTE(E335,"°","º"))-1)),""))))</f>
        <v/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11119244</v>
      </c>
      <c r="C336" s="4" t="s">
        <v>2664</v>
      </c>
      <c r="D336" s="4" t="s">
        <v>3269</v>
      </c>
      <c r="E336" s="4" t="s">
        <v>81</v>
      </c>
      <c r="F336" s="127" t="n">
        <v>45856</v>
      </c>
      <c r="G336" s="127" t="n">
        <v>45861</v>
      </c>
      <c r="H336" s="127" t="n">
        <v>46293</v>
      </c>
      <c r="I336" s="4" t="n">
        <v>100</v>
      </c>
      <c r="J336" s="4" t="n">
        <v>100</v>
      </c>
      <c r="K336" s="4" t="n">
        <v>100</v>
      </c>
      <c r="M336" s="2" t="str">
        <f aca="false">IF(C336="","",IFERROR(INDEX($S$5:$S$304,MATCH(C336,$R$5:$R$304,0))&amp;"","?"))</f>
        <v>13</v>
      </c>
      <c r="N336" s="2" t="str">
        <f aca="false">IF(E336="","",IF(ISNUMBER(SEARCH("SUBSOLO",E336)),IFERROR(-VALUE(LEFT(E336,FIND("º",SUBSTITUTE(E336,"°","º"))-1)),-1),IF(LEFT(E336,6)="TÉRREO",0,IFERROR(VALUE(LEFT(E336,FIND("º",SUBSTITUTE(E336,"°","º"))-1)),""))))</f>
        <v/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11119245</v>
      </c>
      <c r="C337" s="4" t="s">
        <v>2664</v>
      </c>
      <c r="D337" s="4" t="s">
        <v>3270</v>
      </c>
      <c r="E337" s="4" t="s">
        <v>81</v>
      </c>
      <c r="F337" s="127" t="n">
        <v>45862</v>
      </c>
      <c r="G337" s="127" t="n">
        <v>45862</v>
      </c>
      <c r="H337" s="127" t="n">
        <v>46293</v>
      </c>
      <c r="I337" s="4" t="n">
        <v>100</v>
      </c>
      <c r="J337" s="4" t="n">
        <v>100</v>
      </c>
      <c r="K337" s="4" t="n">
        <v>100</v>
      </c>
      <c r="M337" s="2" t="str">
        <f aca="false">IF(C337="","",IFERROR(INDEX($S$5:$S$304,MATCH(C337,$R$5:$R$304,0))&amp;"","?"))</f>
        <v>13</v>
      </c>
      <c r="N337" s="2" t="str">
        <f aca="false">IF(E337="","",IF(ISNUMBER(SEARCH("SUBSOLO",E337)),IFERROR(-VALUE(LEFT(E337,FIND("º",SUBSTITUTE(E337,"°","º"))-1)),-1),IF(LEFT(E337,6)="TÉRREO",0,IFERROR(VALUE(LEFT(E337,FIND("º",SUBSTITUTE(E337,"°","º"))-1)),""))))</f>
        <v/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11119246</v>
      </c>
      <c r="C338" s="4" t="s">
        <v>2664</v>
      </c>
      <c r="D338" s="4" t="s">
        <v>3271</v>
      </c>
      <c r="E338" s="4" t="s">
        <v>81</v>
      </c>
      <c r="F338" s="127" t="n">
        <v>45863</v>
      </c>
      <c r="G338" s="127" t="n">
        <v>45868</v>
      </c>
      <c r="H338" s="127" t="n">
        <v>46293</v>
      </c>
      <c r="I338" s="4" t="n">
        <v>100</v>
      </c>
      <c r="J338" s="4" t="n">
        <v>100</v>
      </c>
      <c r="K338" s="4" t="n">
        <v>100</v>
      </c>
      <c r="M338" s="2" t="str">
        <f aca="false">IF(C338="","",IFERROR(INDEX($S$5:$S$304,MATCH(C338,$R$5:$R$304,0))&amp;"","?"))</f>
        <v>13</v>
      </c>
      <c r="N338" s="2" t="str">
        <f aca="false">IF(E338="","",IF(ISNUMBER(SEARCH("SUBSOLO",E338)),IFERROR(-VALUE(LEFT(E338,FIND("º",SUBSTITUTE(E338,"°","º"))-1)),-1),IF(LEFT(E338,6)="TÉRREO",0,IFERROR(VALUE(LEFT(E338,FIND("º",SUBSTITUTE(E338,"°","º"))-1)),""))))</f>
        <v/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11119247</v>
      </c>
      <c r="C339" s="4" t="s">
        <v>2664</v>
      </c>
      <c r="D339" s="4" t="s">
        <v>3272</v>
      </c>
      <c r="E339" s="4" t="s">
        <v>81</v>
      </c>
      <c r="F339" s="127" t="n">
        <v>45869</v>
      </c>
      <c r="G339" s="127" t="n">
        <v>45874</v>
      </c>
      <c r="H339" s="127" t="n">
        <v>46293</v>
      </c>
      <c r="I339" s="4" t="n">
        <v>100</v>
      </c>
      <c r="J339" s="4" t="n">
        <v>100</v>
      </c>
      <c r="K339" s="4" t="n">
        <v>100</v>
      </c>
      <c r="M339" s="2" t="str">
        <f aca="false">IF(C339="","",IFERROR(INDEX($S$5:$S$304,MATCH(C339,$R$5:$R$304,0))&amp;"","?"))</f>
        <v>13</v>
      </c>
      <c r="N339" s="2" t="str">
        <f aca="false">IF(E339="","",IF(ISNUMBER(SEARCH("SUBSOLO",E339)),IFERROR(-VALUE(LEFT(E339,FIND("º",SUBSTITUTE(E339,"°","º"))-1)),-1),IF(LEFT(E339,6)="TÉRREO",0,IFERROR(VALUE(LEFT(E339,FIND("º",SUBSTITUTE(E339,"°","º"))-1)),""))))</f>
        <v/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11119248</v>
      </c>
      <c r="C340" s="4" t="s">
        <v>2664</v>
      </c>
      <c r="D340" s="4" t="s">
        <v>3273</v>
      </c>
      <c r="E340" s="4" t="s">
        <v>81</v>
      </c>
      <c r="F340" s="127" t="n">
        <v>45875</v>
      </c>
      <c r="G340" s="127" t="n">
        <v>45875</v>
      </c>
      <c r="H340" s="127" t="n">
        <v>46293</v>
      </c>
      <c r="I340" s="4" t="n">
        <v>100</v>
      </c>
      <c r="J340" s="4" t="n">
        <v>100</v>
      </c>
      <c r="K340" s="4" t="n">
        <v>100</v>
      </c>
      <c r="M340" s="2" t="str">
        <f aca="false">IF(C340="","",IFERROR(INDEX($S$5:$S$304,MATCH(C340,$R$5:$R$304,0))&amp;"","?"))</f>
        <v>13</v>
      </c>
      <c r="N340" s="2" t="str">
        <f aca="false">IF(E340="","",IF(ISNUMBER(SEARCH("SUBSOLO",E340)),IFERROR(-VALUE(LEFT(E340,FIND("º",SUBSTITUTE(E340,"°","º"))-1)),-1),IF(LEFT(E340,6)="TÉRREO",0,IFERROR(VALUE(LEFT(E340,FIND("º",SUBSTITUTE(E340,"°","º"))-1)),""))))</f>
        <v/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24964337</v>
      </c>
      <c r="C341" s="4" t="s">
        <v>2667</v>
      </c>
      <c r="D341" s="4" t="s">
        <v>433</v>
      </c>
      <c r="E341" s="4" t="s">
        <v>81</v>
      </c>
      <c r="F341" s="127" t="n">
        <v>45845</v>
      </c>
      <c r="G341" s="127" t="n">
        <v>45849</v>
      </c>
      <c r="H341" s="127" t="n">
        <v>46293</v>
      </c>
      <c r="I341" s="4" t="n">
        <v>100</v>
      </c>
      <c r="J341" s="4" t="n">
        <v>100</v>
      </c>
      <c r="K341" s="4" t="n">
        <v>100</v>
      </c>
      <c r="M341" s="2" t="str">
        <f aca="false">IF(C341="","",IFERROR(INDEX($S$5:$S$304,MATCH(C341,$R$5:$R$304,0))&amp;"","?"))</f>
        <v>14</v>
      </c>
      <c r="N341" s="2" t="str">
        <f aca="false">IF(E341="","",IF(ISNUMBER(SEARCH("SUBSOLO",E341)),IFERROR(-VALUE(LEFT(E341,FIND("º",SUBSTITUTE(E341,"°","º"))-1)),-1),IF(LEFT(E341,6)="TÉRREO",0,IFERROR(VALUE(LEFT(E341,FIND("º",SUBSTITUTE(E341,"°","º"))-1)),""))))</f>
        <v/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25923128</v>
      </c>
      <c r="C342" s="4" t="s">
        <v>2670</v>
      </c>
      <c r="D342" s="4" t="s">
        <v>433</v>
      </c>
      <c r="E342" s="4" t="s">
        <v>81</v>
      </c>
      <c r="F342" s="127" t="n">
        <v>45847</v>
      </c>
      <c r="G342" s="127" t="n">
        <v>45876</v>
      </c>
      <c r="H342" s="127" t="n">
        <v>46293</v>
      </c>
      <c r="I342" s="4" t="n">
        <v>100</v>
      </c>
      <c r="J342" s="4" t="n">
        <v>100</v>
      </c>
      <c r="K342" s="4" t="n">
        <v>100</v>
      </c>
      <c r="M342" s="2" t="str">
        <f aca="false">IF(C342="","",IFERROR(INDEX($S$5:$S$304,MATCH(C342,$R$5:$R$304,0))&amp;"","?"))</f>
        <v>13</v>
      </c>
      <c r="N342" s="2" t="str">
        <f aca="false">IF(E342="","",IF(ISNUMBER(SEARCH("SUBSOLO",E342)),IFERROR(-VALUE(LEFT(E342,FIND("º",SUBSTITUTE(E342,"°","º"))-1)),-1),IF(LEFT(E342,6)="TÉRREO",0,IFERROR(VALUE(LEFT(E342,FIND("º",SUBSTITUTE(E342,"°","º"))-1)),""))))</f>
        <v/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9248424</v>
      </c>
      <c r="C343" s="4" t="s">
        <v>2670</v>
      </c>
      <c r="D343" s="4" t="s">
        <v>2710</v>
      </c>
      <c r="E343" s="4" t="s">
        <v>81</v>
      </c>
      <c r="F343" s="127" t="n">
        <v>45847</v>
      </c>
      <c r="G343" s="127" t="n">
        <v>45855</v>
      </c>
      <c r="H343" s="127" t="n">
        <v>46293</v>
      </c>
      <c r="I343" s="4" t="n">
        <v>100</v>
      </c>
      <c r="J343" s="4" t="n">
        <v>100</v>
      </c>
      <c r="K343" s="4" t="n">
        <v>100</v>
      </c>
      <c r="M343" s="2" t="str">
        <f aca="false">IF(C343="","",IFERROR(INDEX($S$5:$S$304,MATCH(C343,$R$5:$R$304,0))&amp;"","?"))</f>
        <v>13</v>
      </c>
      <c r="N343" s="2" t="str">
        <f aca="false">IF(E343="","",IF(ISNUMBER(SEARCH("SUBSOLO",E343)),IFERROR(-VALUE(LEFT(E343,FIND("º",SUBSTITUTE(E343,"°","º"))-1)),-1),IF(LEFT(E343,6)="TÉRREO",0,IFERROR(VALUE(LEFT(E343,FIND("º",SUBSTITUTE(E343,"°","º"))-1)),""))))</f>
        <v/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9248425</v>
      </c>
      <c r="C344" s="4" t="s">
        <v>2670</v>
      </c>
      <c r="D344" s="4" t="s">
        <v>2713</v>
      </c>
      <c r="E344" s="4" t="s">
        <v>81</v>
      </c>
      <c r="F344" s="127" t="n">
        <v>45856</v>
      </c>
      <c r="G344" s="127" t="n">
        <v>45856</v>
      </c>
      <c r="H344" s="127" t="n">
        <v>46293</v>
      </c>
      <c r="I344" s="4" t="n">
        <v>100</v>
      </c>
      <c r="J344" s="4" t="n">
        <v>100</v>
      </c>
      <c r="K344" s="4" t="n">
        <v>100</v>
      </c>
      <c r="M344" s="2" t="str">
        <f aca="false">IF(C344="","",IFERROR(INDEX($S$5:$S$304,MATCH(C344,$R$5:$R$304,0))&amp;"","?"))</f>
        <v>13</v>
      </c>
      <c r="N344" s="2" t="str">
        <f aca="false">IF(E344="","",IF(ISNUMBER(SEARCH("SUBSOLO",E344)),IFERROR(-VALUE(LEFT(E344,FIND("º",SUBSTITUTE(E344,"°","º"))-1)),-1),IF(LEFT(E344,6)="TÉRREO",0,IFERROR(VALUE(LEFT(E344,FIND("º",SUBSTITUTE(E344,"°","º"))-1)),""))))</f>
        <v/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9248426</v>
      </c>
      <c r="C345" s="4" t="s">
        <v>2670</v>
      </c>
      <c r="D345" s="4" t="s">
        <v>2657</v>
      </c>
      <c r="E345" s="4" t="s">
        <v>81</v>
      </c>
      <c r="F345" s="127" t="n">
        <v>45847</v>
      </c>
      <c r="G345" s="127" t="n">
        <v>45855</v>
      </c>
      <c r="H345" s="127" t="n">
        <v>46293</v>
      </c>
      <c r="I345" s="4" t="n">
        <v>100</v>
      </c>
      <c r="J345" s="4" t="n">
        <v>100</v>
      </c>
      <c r="K345" s="4" t="n">
        <v>100</v>
      </c>
      <c r="M345" s="2" t="str">
        <f aca="false">IF(C345="","",IFERROR(INDEX($S$5:$S$304,MATCH(C345,$R$5:$R$304,0))&amp;"","?"))</f>
        <v>13</v>
      </c>
      <c r="N345" s="2" t="str">
        <f aca="false">IF(E345="","",IF(ISNUMBER(SEARCH("SUBSOLO",E345)),IFERROR(-VALUE(LEFT(E345,FIND("º",SUBSTITUTE(E345,"°","º"))-1)),-1),IF(LEFT(E345,6)="TÉRREO",0,IFERROR(VALUE(LEFT(E345,FIND("º",SUBSTITUTE(E345,"°","º"))-1)),""))))</f>
        <v/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9248427</v>
      </c>
      <c r="C346" s="4" t="s">
        <v>2670</v>
      </c>
      <c r="D346" s="4" t="s">
        <v>2660</v>
      </c>
      <c r="E346" s="4" t="s">
        <v>81</v>
      </c>
      <c r="F346" s="127" t="n">
        <v>45856</v>
      </c>
      <c r="G346" s="127" t="n">
        <v>45856</v>
      </c>
      <c r="H346" s="127" t="n">
        <v>46293</v>
      </c>
      <c r="I346" s="4" t="n">
        <v>100</v>
      </c>
      <c r="J346" s="4" t="n">
        <v>100</v>
      </c>
      <c r="K346" s="4" t="n">
        <v>100</v>
      </c>
      <c r="M346" s="2" t="str">
        <f aca="false">IF(C346="","",IFERROR(INDEX($S$5:$S$304,MATCH(C346,$R$5:$R$304,0))&amp;"","?"))</f>
        <v>13</v>
      </c>
      <c r="N346" s="2" t="str">
        <f aca="false">IF(E346="","",IF(ISNUMBER(SEARCH("SUBSOLO",E346)),IFERROR(-VALUE(LEFT(E346,FIND("º",SUBSTITUTE(E346,"°","º"))-1)),-1),IF(LEFT(E346,6)="TÉRREO",0,IFERROR(VALUE(LEFT(E346,FIND("º",SUBSTITUTE(E346,"°","º"))-1)),""))))</f>
        <v/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9248428</v>
      </c>
      <c r="C347" s="4" t="s">
        <v>2670</v>
      </c>
      <c r="D347" s="4" t="s">
        <v>2725</v>
      </c>
      <c r="E347" s="4" t="s">
        <v>81</v>
      </c>
      <c r="F347" s="127" t="n">
        <v>45859</v>
      </c>
      <c r="G347" s="127" t="n">
        <v>45867</v>
      </c>
      <c r="H347" s="127" t="n">
        <v>46293</v>
      </c>
      <c r="I347" s="4" t="n">
        <v>100</v>
      </c>
      <c r="J347" s="4" t="n">
        <v>100</v>
      </c>
      <c r="K347" s="4" t="n">
        <v>100</v>
      </c>
      <c r="M347" s="2" t="str">
        <f aca="false">IF(C347="","",IFERROR(INDEX($S$5:$S$304,MATCH(C347,$R$5:$R$304,0))&amp;"","?"))</f>
        <v>13</v>
      </c>
      <c r="N347" s="2" t="str">
        <f aca="false">IF(E347="","",IF(ISNUMBER(SEARCH("SUBSOLO",E347)),IFERROR(-VALUE(LEFT(E347,FIND("º",SUBSTITUTE(E347,"°","º"))-1)),-1),IF(LEFT(E347,6)="TÉRREO",0,IFERROR(VALUE(LEFT(E347,FIND("º",SUBSTITUTE(E347,"°","º"))-1)),""))))</f>
        <v/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9248429</v>
      </c>
      <c r="C348" s="4" t="s">
        <v>2670</v>
      </c>
      <c r="D348" s="4" t="s">
        <v>2728</v>
      </c>
      <c r="E348" s="4" t="s">
        <v>81</v>
      </c>
      <c r="F348" s="127" t="n">
        <v>45868</v>
      </c>
      <c r="G348" s="127" t="n">
        <v>45868</v>
      </c>
      <c r="H348" s="127" t="n">
        <v>46293</v>
      </c>
      <c r="I348" s="4" t="n">
        <v>100</v>
      </c>
      <c r="J348" s="4" t="n">
        <v>100</v>
      </c>
      <c r="K348" s="4" t="n">
        <v>100</v>
      </c>
      <c r="M348" s="2" t="str">
        <f aca="false">IF(C348="","",IFERROR(INDEX($S$5:$S$304,MATCH(C348,$R$5:$R$304,0))&amp;"","?"))</f>
        <v>13</v>
      </c>
      <c r="N348" s="2" t="str">
        <f aca="false">IF(E348="","",IF(ISNUMBER(SEARCH("SUBSOLO",E348)),IFERROR(-VALUE(LEFT(E348,FIND("º",SUBSTITUTE(E348,"°","º"))-1)),-1),IF(LEFT(E348,6)="TÉRREO",0,IFERROR(VALUE(LEFT(E348,FIND("º",SUBSTITUTE(E348,"°","º"))-1)),""))))</f>
        <v/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9248430</v>
      </c>
      <c r="C349" s="4" t="s">
        <v>2670</v>
      </c>
      <c r="D349" s="4" t="s">
        <v>2739</v>
      </c>
      <c r="E349" s="4" t="s">
        <v>81</v>
      </c>
      <c r="F349" s="127" t="n">
        <v>45859</v>
      </c>
      <c r="G349" s="127" t="n">
        <v>45867</v>
      </c>
      <c r="H349" s="127" t="n">
        <v>46293</v>
      </c>
      <c r="I349" s="4" t="n">
        <v>100</v>
      </c>
      <c r="J349" s="4" t="n">
        <v>100</v>
      </c>
      <c r="K349" s="4" t="n">
        <v>100</v>
      </c>
      <c r="M349" s="2" t="str">
        <f aca="false">IF(C349="","",IFERROR(INDEX($S$5:$S$304,MATCH(C349,$R$5:$R$304,0))&amp;"","?"))</f>
        <v>13</v>
      </c>
      <c r="N349" s="2" t="str">
        <f aca="false">IF(E349="","",IF(ISNUMBER(SEARCH("SUBSOLO",E349)),IFERROR(-VALUE(LEFT(E349,FIND("º",SUBSTITUTE(E349,"°","º"))-1)),-1),IF(LEFT(E349,6)="TÉRREO",0,IFERROR(VALUE(LEFT(E349,FIND("º",SUBSTITUTE(E349,"°","º"))-1)),""))))</f>
        <v/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9248431</v>
      </c>
      <c r="C350" s="4" t="s">
        <v>2670</v>
      </c>
      <c r="D350" s="4" t="s">
        <v>2742</v>
      </c>
      <c r="E350" s="4" t="s">
        <v>81</v>
      </c>
      <c r="F350" s="127" t="n">
        <v>45868</v>
      </c>
      <c r="G350" s="127" t="n">
        <v>45868</v>
      </c>
      <c r="H350" s="127" t="n">
        <v>46293</v>
      </c>
      <c r="I350" s="4" t="n">
        <v>100</v>
      </c>
      <c r="J350" s="4" t="n">
        <v>100</v>
      </c>
      <c r="K350" s="4" t="n">
        <v>100</v>
      </c>
      <c r="M350" s="2" t="str">
        <f aca="false">IF(C350="","",IFERROR(INDEX($S$5:$S$304,MATCH(C350,$R$5:$R$304,0))&amp;"","?"))</f>
        <v>13</v>
      </c>
      <c r="N350" s="2" t="str">
        <f aca="false">IF(E350="","",IF(ISNUMBER(SEARCH("SUBSOLO",E350)),IFERROR(-VALUE(LEFT(E350,FIND("º",SUBSTITUTE(E350,"°","º"))-1)),-1),IF(LEFT(E350,6)="TÉRREO",0,IFERROR(VALUE(LEFT(E350,FIND("º",SUBSTITUTE(E350,"°","º"))-1)),""))))</f>
        <v/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9248432</v>
      </c>
      <c r="C351" s="4" t="s">
        <v>2670</v>
      </c>
      <c r="D351" s="4" t="s">
        <v>2756</v>
      </c>
      <c r="E351" s="4" t="s">
        <v>81</v>
      </c>
      <c r="F351" s="127" t="n">
        <v>45869</v>
      </c>
      <c r="G351" s="127" t="n">
        <v>45875</v>
      </c>
      <c r="H351" s="127" t="n">
        <v>46293</v>
      </c>
      <c r="I351" s="4" t="n">
        <v>100</v>
      </c>
      <c r="J351" s="4" t="n">
        <v>100</v>
      </c>
      <c r="K351" s="4" t="n">
        <v>100</v>
      </c>
      <c r="M351" s="2" t="str">
        <f aca="false">IF(C351="","",IFERROR(INDEX($S$5:$S$304,MATCH(C351,$R$5:$R$304,0))&amp;"","?"))</f>
        <v>13</v>
      </c>
      <c r="N351" s="2" t="str">
        <f aca="false">IF(E351="","",IF(ISNUMBER(SEARCH("SUBSOLO",E351)),IFERROR(-VALUE(LEFT(E351,FIND("º",SUBSTITUTE(E351,"°","º"))-1)),-1),IF(LEFT(E351,6)="TÉRREO",0,IFERROR(VALUE(LEFT(E351,FIND("º",SUBSTITUTE(E351,"°","º"))-1)),""))))</f>
        <v/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9248433</v>
      </c>
      <c r="C352" s="4" t="s">
        <v>2670</v>
      </c>
      <c r="D352" s="4" t="s">
        <v>2759</v>
      </c>
      <c r="E352" s="4" t="s">
        <v>81</v>
      </c>
      <c r="F352" s="127" t="n">
        <v>45869</v>
      </c>
      <c r="G352" s="127" t="n">
        <v>45875</v>
      </c>
      <c r="H352" s="127" t="n">
        <v>46293</v>
      </c>
      <c r="I352" s="4" t="n">
        <v>100</v>
      </c>
      <c r="J352" s="4" t="n">
        <v>100</v>
      </c>
      <c r="K352" s="4" t="n">
        <v>100</v>
      </c>
      <c r="M352" s="2" t="str">
        <f aca="false">IF(C352="","",IFERROR(INDEX($S$5:$S$304,MATCH(C352,$R$5:$R$304,0))&amp;"","?"))</f>
        <v>13</v>
      </c>
      <c r="N352" s="2" t="str">
        <f aca="false">IF(E352="","",IF(ISNUMBER(SEARCH("SUBSOLO",E352)),IFERROR(-VALUE(LEFT(E352,FIND("º",SUBSTITUTE(E352,"°","º"))-1)),-1),IF(LEFT(E352,6)="TÉRREO",0,IFERROR(VALUE(LEFT(E352,FIND("º",SUBSTITUTE(E352,"°","º"))-1)),""))))</f>
        <v/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9248434</v>
      </c>
      <c r="C353" s="4" t="s">
        <v>2670</v>
      </c>
      <c r="D353" s="4" t="s">
        <v>2932</v>
      </c>
      <c r="E353" s="4" t="s">
        <v>81</v>
      </c>
      <c r="F353" s="127" t="n">
        <v>45876</v>
      </c>
      <c r="G353" s="127" t="n">
        <v>45876</v>
      </c>
      <c r="H353" s="127" t="n">
        <v>46293</v>
      </c>
      <c r="I353" s="4" t="n">
        <v>100</v>
      </c>
      <c r="J353" s="4" t="n">
        <v>100</v>
      </c>
      <c r="K353" s="4" t="n">
        <v>100</v>
      </c>
      <c r="M353" s="2" t="str">
        <f aca="false">IF(C353="","",IFERROR(INDEX($S$5:$S$304,MATCH(C353,$R$5:$R$304,0))&amp;"","?"))</f>
        <v>13</v>
      </c>
      <c r="N353" s="2" t="str">
        <f aca="false">IF(E353="","",IF(ISNUMBER(SEARCH("SUBSOLO",E353)),IFERROR(-VALUE(LEFT(E353,FIND("º",SUBSTITUTE(E353,"°","º"))-1)),-1),IF(LEFT(E353,6)="TÉRREO",0,IFERROR(VALUE(LEFT(E353,FIND("º",SUBSTITUTE(E353,"°","º"))-1)),""))))</f>
        <v/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24964342</v>
      </c>
      <c r="C354" s="4" t="s">
        <v>2673</v>
      </c>
      <c r="D354" s="4" t="s">
        <v>433</v>
      </c>
      <c r="E354" s="4" t="s">
        <v>81</v>
      </c>
      <c r="F354" s="127" t="n">
        <v>45854</v>
      </c>
      <c r="G354" s="127" t="n">
        <v>46247</v>
      </c>
      <c r="H354" s="127" t="n">
        <v>46293</v>
      </c>
      <c r="I354" s="4" t="n">
        <v>100</v>
      </c>
      <c r="J354" s="4" t="n">
        <v>100</v>
      </c>
      <c r="K354" s="4" t="n">
        <v>100</v>
      </c>
      <c r="M354" s="2" t="str">
        <f aca="false">IF(C354="","",IFERROR(INDEX($S$5:$S$304,MATCH(C354,$R$5:$R$304,0))&amp;"","?"))</f>
        <v>14</v>
      </c>
      <c r="N354" s="2" t="str">
        <f aca="false">IF(E354="","",IF(ISNUMBER(SEARCH("SUBSOLO",E354)),IFERROR(-VALUE(LEFT(E354,FIND("º",SUBSTITUTE(E354,"°","º"))-1)),-1),IF(LEFT(E354,6)="TÉRREO",0,IFERROR(VALUE(LEFT(E354,FIND("º",SUBSTITUTE(E354,"°","º"))-1)),""))))</f>
        <v/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25923180</v>
      </c>
      <c r="C355" s="4" t="s">
        <v>2676</v>
      </c>
      <c r="D355" s="4" t="s">
        <v>433</v>
      </c>
      <c r="E355" s="4" t="s">
        <v>81</v>
      </c>
      <c r="F355" s="127" t="n">
        <v>45856</v>
      </c>
      <c r="G355" s="127" t="n">
        <v>45905</v>
      </c>
      <c r="H355" s="127" t="n">
        <v>46293</v>
      </c>
      <c r="I355" s="4" t="n">
        <v>100</v>
      </c>
      <c r="J355" s="4" t="n">
        <v>100</v>
      </c>
      <c r="K355" s="4" t="n">
        <v>100</v>
      </c>
      <c r="M355" s="2" t="str">
        <f aca="false">IF(C355="","",IFERROR(INDEX($S$5:$S$304,MATCH(C355,$R$5:$R$304,0))&amp;"","?"))</f>
        <v>15</v>
      </c>
      <c r="N355" s="2" t="str">
        <f aca="false">IF(E355="","",IF(ISNUMBER(SEARCH("SUBSOLO",E355)),IFERROR(-VALUE(LEFT(E355,FIND("º",SUBSTITUTE(E355,"°","º"))-1)),-1),IF(LEFT(E355,6)="TÉRREO",0,IFERROR(VALUE(LEFT(E355,FIND("º",SUBSTITUTE(E355,"°","º"))-1)),""))))</f>
        <v/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9248505</v>
      </c>
      <c r="C356" s="4" t="s">
        <v>2676</v>
      </c>
      <c r="D356" s="4" t="s">
        <v>3274</v>
      </c>
      <c r="E356" s="4" t="s">
        <v>81</v>
      </c>
      <c r="F356" s="127" t="n">
        <v>45856</v>
      </c>
      <c r="G356" s="127" t="n">
        <v>45856</v>
      </c>
      <c r="H356" s="127" t="n">
        <v>46293</v>
      </c>
      <c r="I356" s="4" t="n">
        <v>100</v>
      </c>
      <c r="J356" s="4" t="n">
        <v>100</v>
      </c>
      <c r="K356" s="4" t="n">
        <v>100</v>
      </c>
      <c r="M356" s="2" t="str">
        <f aca="false">IF(C356="","",IFERROR(INDEX($S$5:$S$304,MATCH(C356,$R$5:$R$304,0))&amp;"","?"))</f>
        <v>15</v>
      </c>
      <c r="N356" s="2" t="str">
        <f aca="false">IF(E356="","",IF(ISNUMBER(SEARCH("SUBSOLO",E356)),IFERROR(-VALUE(LEFT(E356,FIND("º",SUBSTITUTE(E356,"°","º"))-1)),-1),IF(LEFT(E356,6)="TÉRREO",0,IFERROR(VALUE(LEFT(E356,FIND("º",SUBSTITUTE(E356,"°","º"))-1)),""))))</f>
        <v/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9248506</v>
      </c>
      <c r="C357" s="4" t="s">
        <v>2676</v>
      </c>
      <c r="D357" s="4" t="s">
        <v>3275</v>
      </c>
      <c r="E357" s="4" t="s">
        <v>81</v>
      </c>
      <c r="F357" s="127" t="n">
        <v>45856</v>
      </c>
      <c r="G357" s="127" t="n">
        <v>45856</v>
      </c>
      <c r="H357" s="127" t="n">
        <v>46293</v>
      </c>
      <c r="I357" s="4" t="n">
        <v>100</v>
      </c>
      <c r="J357" s="4" t="n">
        <v>100</v>
      </c>
      <c r="K357" s="4" t="n">
        <v>100</v>
      </c>
      <c r="M357" s="2" t="str">
        <f aca="false">IF(C357="","",IFERROR(INDEX($S$5:$S$304,MATCH(C357,$R$5:$R$304,0))&amp;"","?"))</f>
        <v>15</v>
      </c>
      <c r="N357" s="2" t="str">
        <f aca="false">IF(E357="","",IF(ISNUMBER(SEARCH("SUBSOLO",E357)),IFERROR(-VALUE(LEFT(E357,FIND("º",SUBSTITUTE(E357,"°","º"))-1)),-1),IF(LEFT(E357,6)="TÉRREO",0,IFERROR(VALUE(LEFT(E357,FIND("º",SUBSTITUTE(E357,"°","º"))-1)),""))))</f>
        <v/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9248507</v>
      </c>
      <c r="C358" s="4" t="s">
        <v>2676</v>
      </c>
      <c r="D358" s="4" t="s">
        <v>3276</v>
      </c>
      <c r="E358" s="4" t="s">
        <v>81</v>
      </c>
      <c r="F358" s="127" t="n">
        <v>45856</v>
      </c>
      <c r="G358" s="127" t="n">
        <v>45856</v>
      </c>
      <c r="H358" s="127" t="n">
        <v>46293</v>
      </c>
      <c r="I358" s="4" t="n">
        <v>100</v>
      </c>
      <c r="J358" s="4" t="n">
        <v>100</v>
      </c>
      <c r="K358" s="4" t="n">
        <v>100</v>
      </c>
      <c r="M358" s="2" t="str">
        <f aca="false">IF(C358="","",IFERROR(INDEX($S$5:$S$304,MATCH(C358,$R$5:$R$304,0))&amp;"","?"))</f>
        <v>15</v>
      </c>
      <c r="N358" s="2" t="str">
        <f aca="false">IF(E358="","",IF(ISNUMBER(SEARCH("SUBSOLO",E358)),IFERROR(-VALUE(LEFT(E358,FIND("º",SUBSTITUTE(E358,"°","º"))-1)),-1),IF(LEFT(E358,6)="TÉRREO",0,IFERROR(VALUE(LEFT(E358,FIND("º",SUBSTITUTE(E358,"°","º"))-1)),""))))</f>
        <v/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9248508</v>
      </c>
      <c r="C359" s="4" t="s">
        <v>2676</v>
      </c>
      <c r="D359" s="4" t="s">
        <v>3277</v>
      </c>
      <c r="E359" s="4" t="s">
        <v>81</v>
      </c>
      <c r="F359" s="127" t="n">
        <v>45856</v>
      </c>
      <c r="G359" s="127" t="n">
        <v>45856</v>
      </c>
      <c r="H359" s="127" t="n">
        <v>46293</v>
      </c>
      <c r="I359" s="4" t="n">
        <v>100</v>
      </c>
      <c r="J359" s="4" t="n">
        <v>100</v>
      </c>
      <c r="K359" s="4" t="n">
        <v>100</v>
      </c>
      <c r="M359" s="2" t="str">
        <f aca="false">IF(C359="","",IFERROR(INDEX($S$5:$S$304,MATCH(C359,$R$5:$R$304,0))&amp;"","?"))</f>
        <v>15</v>
      </c>
      <c r="N359" s="2" t="str">
        <f aca="false">IF(E359="","",IF(ISNUMBER(SEARCH("SUBSOLO",E359)),IFERROR(-VALUE(LEFT(E359,FIND("º",SUBSTITUTE(E359,"°","º"))-1)),-1),IF(LEFT(E359,6)="TÉRREO",0,IFERROR(VALUE(LEFT(E359,FIND("º",SUBSTITUTE(E359,"°","º"))-1)),""))))</f>
        <v/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9248509</v>
      </c>
      <c r="C360" s="4" t="s">
        <v>2676</v>
      </c>
      <c r="D360" s="4" t="s">
        <v>3278</v>
      </c>
      <c r="E360" s="4" t="s">
        <v>81</v>
      </c>
      <c r="F360" s="127" t="n">
        <v>45856</v>
      </c>
      <c r="G360" s="127" t="n">
        <v>45856</v>
      </c>
      <c r="H360" s="127" t="n">
        <v>46293</v>
      </c>
      <c r="I360" s="4" t="n">
        <v>100</v>
      </c>
      <c r="J360" s="4" t="n">
        <v>100</v>
      </c>
      <c r="K360" s="4" t="n">
        <v>100</v>
      </c>
      <c r="M360" s="2" t="str">
        <f aca="false">IF(C360="","",IFERROR(INDEX($S$5:$S$304,MATCH(C360,$R$5:$R$304,0))&amp;"","?"))</f>
        <v>15</v>
      </c>
      <c r="N360" s="2" t="str">
        <f aca="false">IF(E360="","",IF(ISNUMBER(SEARCH("SUBSOLO",E360)),IFERROR(-VALUE(LEFT(E360,FIND("º",SUBSTITUTE(E360,"°","º"))-1)),-1),IF(LEFT(E360,6)="TÉRREO",0,IFERROR(VALUE(LEFT(E360,FIND("º",SUBSTITUTE(E360,"°","º"))-1)),""))))</f>
        <v/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9248510</v>
      </c>
      <c r="C361" s="4" t="s">
        <v>2676</v>
      </c>
      <c r="D361" s="4" t="s">
        <v>3279</v>
      </c>
      <c r="E361" s="4" t="s">
        <v>81</v>
      </c>
      <c r="F361" s="127" t="n">
        <v>45856</v>
      </c>
      <c r="G361" s="127" t="n">
        <v>45856</v>
      </c>
      <c r="H361" s="127" t="n">
        <v>46293</v>
      </c>
      <c r="I361" s="4" t="n">
        <v>100</v>
      </c>
      <c r="J361" s="4" t="n">
        <v>100</v>
      </c>
      <c r="K361" s="4" t="n">
        <v>100</v>
      </c>
      <c r="M361" s="2" t="str">
        <f aca="false">IF(C361="","",IFERROR(INDEX($S$5:$S$304,MATCH(C361,$R$5:$R$304,0))&amp;"","?"))</f>
        <v>15</v>
      </c>
      <c r="N361" s="2" t="str">
        <f aca="false">IF(E361="","",IF(ISNUMBER(SEARCH("SUBSOLO",E361)),IFERROR(-VALUE(LEFT(E361,FIND("º",SUBSTITUTE(E361,"°","º"))-1)),-1),IF(LEFT(E361,6)="TÉRREO",0,IFERROR(VALUE(LEFT(E361,FIND("º",SUBSTITUTE(E361,"°","º"))-1)),""))))</f>
        <v/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9248511</v>
      </c>
      <c r="C362" s="4" t="s">
        <v>2676</v>
      </c>
      <c r="D362" s="4" t="s">
        <v>3280</v>
      </c>
      <c r="E362" s="4" t="s">
        <v>81</v>
      </c>
      <c r="F362" s="127" t="n">
        <v>45856</v>
      </c>
      <c r="G362" s="127" t="n">
        <v>45856</v>
      </c>
      <c r="H362" s="127" t="n">
        <v>46293</v>
      </c>
      <c r="I362" s="4" t="n">
        <v>100</v>
      </c>
      <c r="J362" s="4" t="n">
        <v>100</v>
      </c>
      <c r="K362" s="4" t="n">
        <v>100</v>
      </c>
      <c r="M362" s="2" t="str">
        <f aca="false">IF(C362="","",IFERROR(INDEX($S$5:$S$304,MATCH(C362,$R$5:$R$304,0))&amp;"","?"))</f>
        <v>15</v>
      </c>
      <c r="N362" s="2" t="str">
        <f aca="false">IF(E362="","",IF(ISNUMBER(SEARCH("SUBSOLO",E362)),IFERROR(-VALUE(LEFT(E362,FIND("º",SUBSTITUTE(E362,"°","º"))-1)),-1),IF(LEFT(E362,6)="TÉRREO",0,IFERROR(VALUE(LEFT(E362,FIND("º",SUBSTITUTE(E362,"°","º"))-1)),""))))</f>
        <v/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11118511</v>
      </c>
      <c r="C363" s="4" t="s">
        <v>2676</v>
      </c>
      <c r="D363" s="4" t="s">
        <v>3281</v>
      </c>
      <c r="E363" s="4" t="s">
        <v>81</v>
      </c>
      <c r="F363" s="127" t="n">
        <v>45856</v>
      </c>
      <c r="G363" s="127" t="n">
        <v>45856</v>
      </c>
      <c r="H363" s="127" t="n">
        <v>46293</v>
      </c>
      <c r="I363" s="4" t="n">
        <v>100</v>
      </c>
      <c r="J363" s="4" t="n">
        <v>100</v>
      </c>
      <c r="K363" s="4" t="n">
        <v>100</v>
      </c>
      <c r="M363" s="2" t="str">
        <f aca="false">IF(C363="","",IFERROR(INDEX($S$5:$S$304,MATCH(C363,$R$5:$R$304,0))&amp;"","?"))</f>
        <v>15</v>
      </c>
      <c r="N363" s="2" t="str">
        <f aca="false">IF(E363="","",IF(ISNUMBER(SEARCH("SUBSOLO",E363)),IFERROR(-VALUE(LEFT(E363,FIND("º",SUBSTITUTE(E363,"°","º"))-1)),-1),IF(LEFT(E363,6)="TÉRREO",0,IFERROR(VALUE(LEFT(E363,FIND("º",SUBSTITUTE(E363,"°","º"))-1)),""))))</f>
        <v/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11118512</v>
      </c>
      <c r="C364" s="4" t="s">
        <v>2676</v>
      </c>
      <c r="D364" s="4" t="s">
        <v>3282</v>
      </c>
      <c r="E364" s="4" t="s">
        <v>81</v>
      </c>
      <c r="F364" s="127" t="n">
        <v>45856</v>
      </c>
      <c r="G364" s="127" t="n">
        <v>45856</v>
      </c>
      <c r="H364" s="127" t="n">
        <v>46293</v>
      </c>
      <c r="I364" s="4" t="n">
        <v>100</v>
      </c>
      <c r="J364" s="4" t="n">
        <v>100</v>
      </c>
      <c r="K364" s="4" t="n">
        <v>100</v>
      </c>
      <c r="M364" s="2" t="str">
        <f aca="false">IF(C364="","",IFERROR(INDEX($S$5:$S$304,MATCH(C364,$R$5:$R$304,0))&amp;"","?"))</f>
        <v>15</v>
      </c>
      <c r="N364" s="2" t="str">
        <f aca="false">IF(E364="","",IF(ISNUMBER(SEARCH("SUBSOLO",E364)),IFERROR(-VALUE(LEFT(E364,FIND("º",SUBSTITUTE(E364,"°","º"))-1)),-1),IF(LEFT(E364,6)="TÉRREO",0,IFERROR(VALUE(LEFT(E364,FIND("º",SUBSTITUTE(E364,"°","º"))-1)),""))))</f>
        <v/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11118513</v>
      </c>
      <c r="C365" s="4" t="s">
        <v>2676</v>
      </c>
      <c r="D365" s="4" t="s">
        <v>3283</v>
      </c>
      <c r="E365" s="4" t="s">
        <v>81</v>
      </c>
      <c r="F365" s="127" t="n">
        <v>45856</v>
      </c>
      <c r="G365" s="127" t="n">
        <v>45856</v>
      </c>
      <c r="H365" s="127" t="n">
        <v>46293</v>
      </c>
      <c r="I365" s="4" t="n">
        <v>100</v>
      </c>
      <c r="J365" s="4" t="n">
        <v>100</v>
      </c>
      <c r="K365" s="4" t="n">
        <v>100</v>
      </c>
      <c r="M365" s="2" t="str">
        <f aca="false">IF(C365="","",IFERROR(INDEX($S$5:$S$304,MATCH(C365,$R$5:$R$304,0))&amp;"","?"))</f>
        <v>15</v>
      </c>
      <c r="N365" s="2" t="str">
        <f aca="false">IF(E365="","",IF(ISNUMBER(SEARCH("SUBSOLO",E365)),IFERROR(-VALUE(LEFT(E365,FIND("º",SUBSTITUTE(E365,"°","º"))-1)),-1),IF(LEFT(E365,6)="TÉRREO",0,IFERROR(VALUE(LEFT(E365,FIND("º",SUBSTITUTE(E365,"°","º"))-1)),""))))</f>
        <v/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11118514</v>
      </c>
      <c r="C366" s="4" t="s">
        <v>2676</v>
      </c>
      <c r="D366" s="4" t="s">
        <v>3284</v>
      </c>
      <c r="E366" s="4" t="s">
        <v>81</v>
      </c>
      <c r="F366" s="127" t="n">
        <v>45856</v>
      </c>
      <c r="G366" s="127" t="n">
        <v>45856</v>
      </c>
      <c r="H366" s="127" t="n">
        <v>46293</v>
      </c>
      <c r="I366" s="4" t="n">
        <v>100</v>
      </c>
      <c r="J366" s="4" t="n">
        <v>100</v>
      </c>
      <c r="K366" s="4" t="n">
        <v>100</v>
      </c>
      <c r="M366" s="2" t="str">
        <f aca="false">IF(C366="","",IFERROR(INDEX($S$5:$S$304,MATCH(C366,$R$5:$R$304,0))&amp;"","?"))</f>
        <v>15</v>
      </c>
      <c r="N366" s="2" t="str">
        <f aca="false">IF(E366="","",IF(ISNUMBER(SEARCH("SUBSOLO",E366)),IFERROR(-VALUE(LEFT(E366,FIND("º",SUBSTITUTE(E366,"°","º"))-1)),-1),IF(LEFT(E366,6)="TÉRREO",0,IFERROR(VALUE(LEFT(E366,FIND("º",SUBSTITUTE(E366,"°","º"))-1)),""))))</f>
        <v/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11118518</v>
      </c>
      <c r="C367" s="4" t="s">
        <v>2676</v>
      </c>
      <c r="D367" s="4" t="s">
        <v>3285</v>
      </c>
      <c r="E367" s="4" t="s">
        <v>81</v>
      </c>
      <c r="F367" s="127" t="n">
        <v>45873</v>
      </c>
      <c r="G367" s="127" t="n">
        <v>45873</v>
      </c>
      <c r="H367" s="127" t="n">
        <v>46293</v>
      </c>
      <c r="I367" s="4" t="n">
        <v>100</v>
      </c>
      <c r="J367" s="4" t="n">
        <v>100</v>
      </c>
      <c r="K367" s="4" t="n">
        <v>100</v>
      </c>
      <c r="M367" s="2" t="str">
        <f aca="false">IF(C367="","",IFERROR(INDEX($S$5:$S$304,MATCH(C367,$R$5:$R$304,0))&amp;"","?"))</f>
        <v>15</v>
      </c>
      <c r="N367" s="2" t="str">
        <f aca="false">IF(E367="","",IF(ISNUMBER(SEARCH("SUBSOLO",E367)),IFERROR(-VALUE(LEFT(E367,FIND("º",SUBSTITUTE(E367,"°","º"))-1)),-1),IF(LEFT(E367,6)="TÉRREO",0,IFERROR(VALUE(LEFT(E367,FIND("º",SUBSTITUTE(E367,"°","º"))-1)),""))))</f>
        <v/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11118519</v>
      </c>
      <c r="C368" s="4" t="s">
        <v>2676</v>
      </c>
      <c r="D368" s="4" t="s">
        <v>3286</v>
      </c>
      <c r="E368" s="4" t="s">
        <v>81</v>
      </c>
      <c r="F368" s="127" t="n">
        <v>45856</v>
      </c>
      <c r="G368" s="127" t="n">
        <v>45856</v>
      </c>
      <c r="H368" s="127" t="n">
        <v>46293</v>
      </c>
      <c r="I368" s="4" t="n">
        <v>100</v>
      </c>
      <c r="J368" s="4" t="n">
        <v>100</v>
      </c>
      <c r="K368" s="4" t="n">
        <v>100</v>
      </c>
      <c r="M368" s="2" t="str">
        <f aca="false">IF(C368="","",IFERROR(INDEX($S$5:$S$304,MATCH(C368,$R$5:$R$304,0))&amp;"","?"))</f>
        <v>15</v>
      </c>
      <c r="N368" s="2" t="str">
        <f aca="false">IF(E368="","",IF(ISNUMBER(SEARCH("SUBSOLO",E368)),IFERROR(-VALUE(LEFT(E368,FIND("º",SUBSTITUTE(E368,"°","º"))-1)),-1),IF(LEFT(E368,6)="TÉRREO",0,IFERROR(VALUE(LEFT(E368,FIND("º",SUBSTITUTE(E368,"°","º"))-1)),""))))</f>
        <v/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11118520</v>
      </c>
      <c r="C369" s="4" t="s">
        <v>2676</v>
      </c>
      <c r="D369" s="4" t="s">
        <v>3287</v>
      </c>
      <c r="E369" s="4" t="s">
        <v>81</v>
      </c>
      <c r="F369" s="127" t="n">
        <v>45856</v>
      </c>
      <c r="G369" s="127" t="n">
        <v>45856</v>
      </c>
      <c r="H369" s="127" t="n">
        <v>46293</v>
      </c>
      <c r="I369" s="4" t="n">
        <v>100</v>
      </c>
      <c r="J369" s="4" t="n">
        <v>100</v>
      </c>
      <c r="K369" s="4" t="n">
        <v>100</v>
      </c>
      <c r="M369" s="2" t="str">
        <f aca="false">IF(C369="","",IFERROR(INDEX($S$5:$S$304,MATCH(C369,$R$5:$R$304,0))&amp;"","?"))</f>
        <v>15</v>
      </c>
      <c r="N369" s="2" t="str">
        <f aca="false">IF(E369="","",IF(ISNUMBER(SEARCH("SUBSOLO",E369)),IFERROR(-VALUE(LEFT(E369,FIND("º",SUBSTITUTE(E369,"°","º"))-1)),-1),IF(LEFT(E369,6)="TÉRREO",0,IFERROR(VALUE(LEFT(E369,FIND("º",SUBSTITUTE(E369,"°","º"))-1)),""))))</f>
        <v/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11118521</v>
      </c>
      <c r="C370" s="4" t="s">
        <v>2676</v>
      </c>
      <c r="D370" s="4" t="s">
        <v>3288</v>
      </c>
      <c r="E370" s="4" t="s">
        <v>81</v>
      </c>
      <c r="F370" s="127" t="n">
        <v>45856</v>
      </c>
      <c r="G370" s="127" t="n">
        <v>45856</v>
      </c>
      <c r="H370" s="127" t="n">
        <v>46293</v>
      </c>
      <c r="I370" s="4" t="n">
        <v>100</v>
      </c>
      <c r="J370" s="4" t="n">
        <v>100</v>
      </c>
      <c r="K370" s="4" t="n">
        <v>100</v>
      </c>
      <c r="M370" s="2" t="str">
        <f aca="false">IF(C370="","",IFERROR(INDEX($S$5:$S$304,MATCH(C370,$R$5:$R$304,0))&amp;"","?"))</f>
        <v>15</v>
      </c>
      <c r="N370" s="2" t="str">
        <f aca="false">IF(E370="","",IF(ISNUMBER(SEARCH("SUBSOLO",E370)),IFERROR(-VALUE(LEFT(E370,FIND("º",SUBSTITUTE(E370,"°","º"))-1)),-1),IF(LEFT(E370,6)="TÉRREO",0,IFERROR(VALUE(LEFT(E370,FIND("º",SUBSTITUTE(E370,"°","º"))-1)),""))))</f>
        <v/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11118526</v>
      </c>
      <c r="C371" s="4" t="s">
        <v>2676</v>
      </c>
      <c r="D371" s="4" t="s">
        <v>3289</v>
      </c>
      <c r="E371" s="4" t="s">
        <v>81</v>
      </c>
      <c r="F371" s="127" t="n">
        <v>45876</v>
      </c>
      <c r="G371" s="127" t="n">
        <v>45876</v>
      </c>
      <c r="H371" s="127" t="n">
        <v>46293</v>
      </c>
      <c r="I371" s="4" t="n">
        <v>100</v>
      </c>
      <c r="J371" s="4" t="n">
        <v>100</v>
      </c>
      <c r="K371" s="4" t="n">
        <v>100</v>
      </c>
      <c r="M371" s="2" t="str">
        <f aca="false">IF(C371="","",IFERROR(INDEX($S$5:$S$304,MATCH(C371,$R$5:$R$304,0))&amp;"","?"))</f>
        <v>15</v>
      </c>
      <c r="N371" s="2" t="str">
        <f aca="false">IF(E371="","",IF(ISNUMBER(SEARCH("SUBSOLO",E371)),IFERROR(-VALUE(LEFT(E371,FIND("º",SUBSTITUTE(E371,"°","º"))-1)),-1),IF(LEFT(E371,6)="TÉRREO",0,IFERROR(VALUE(LEFT(E371,FIND("º",SUBSTITUTE(E371,"°","º"))-1)),""))))</f>
        <v/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12999354</v>
      </c>
      <c r="C372" s="4" t="s">
        <v>2676</v>
      </c>
      <c r="D372" s="4" t="s">
        <v>3290</v>
      </c>
      <c r="E372" s="4" t="s">
        <v>81</v>
      </c>
      <c r="F372" s="127" t="n">
        <v>45877</v>
      </c>
      <c r="G372" s="127" t="n">
        <v>45877</v>
      </c>
      <c r="H372" s="127" t="n">
        <v>46293</v>
      </c>
      <c r="I372" s="4" t="n">
        <v>100</v>
      </c>
      <c r="J372" s="4" t="n">
        <v>100</v>
      </c>
      <c r="K372" s="4" t="n">
        <v>100</v>
      </c>
      <c r="M372" s="2" t="str">
        <f aca="false">IF(C372="","",IFERROR(INDEX($S$5:$S$304,MATCH(C372,$R$5:$R$304,0))&amp;"","?"))</f>
        <v>15</v>
      </c>
      <c r="N372" s="2" t="str">
        <f aca="false">IF(E372="","",IF(ISNUMBER(SEARCH("SUBSOLO",E372)),IFERROR(-VALUE(LEFT(E372,FIND("º",SUBSTITUTE(E372,"°","º"))-1)),-1),IF(LEFT(E372,6)="TÉRREO",0,IFERROR(VALUE(LEFT(E372,FIND("º",SUBSTITUTE(E372,"°","º"))-1)),""))))</f>
        <v/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12999355</v>
      </c>
      <c r="C373" s="4" t="s">
        <v>2676</v>
      </c>
      <c r="D373" s="4" t="s">
        <v>3291</v>
      </c>
      <c r="E373" s="4" t="s">
        <v>81</v>
      </c>
      <c r="F373" s="127" t="n">
        <v>45880</v>
      </c>
      <c r="G373" s="127" t="n">
        <v>45880</v>
      </c>
      <c r="H373" s="127" t="n">
        <v>46293</v>
      </c>
      <c r="I373" s="4" t="n">
        <v>100</v>
      </c>
      <c r="J373" s="4" t="n">
        <v>100</v>
      </c>
      <c r="K373" s="4" t="n">
        <v>100</v>
      </c>
      <c r="M373" s="2" t="str">
        <f aca="false">IF(C373="","",IFERROR(INDEX($S$5:$S$304,MATCH(C373,$R$5:$R$304,0))&amp;"","?"))</f>
        <v>15</v>
      </c>
      <c r="N373" s="2" t="str">
        <f aca="false">IF(E373="","",IF(ISNUMBER(SEARCH("SUBSOLO",E373)),IFERROR(-VALUE(LEFT(E373,FIND("º",SUBSTITUTE(E373,"°","º"))-1)),-1),IF(LEFT(E373,6)="TÉRREO",0,IFERROR(VALUE(LEFT(E373,FIND("º",SUBSTITUTE(E373,"°","º"))-1)),""))))</f>
        <v/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12999356</v>
      </c>
      <c r="C374" s="4" t="s">
        <v>2676</v>
      </c>
      <c r="D374" s="4" t="s">
        <v>3292</v>
      </c>
      <c r="E374" s="4" t="s">
        <v>81</v>
      </c>
      <c r="F374" s="127" t="n">
        <v>45881</v>
      </c>
      <c r="G374" s="127" t="n">
        <v>45881</v>
      </c>
      <c r="H374" s="127" t="n">
        <v>46293</v>
      </c>
      <c r="I374" s="4" t="n">
        <v>100</v>
      </c>
      <c r="J374" s="4" t="n">
        <v>100</v>
      </c>
      <c r="K374" s="4" t="n">
        <v>100</v>
      </c>
      <c r="M374" s="2" t="str">
        <f aca="false">IF(C374="","",IFERROR(INDEX($S$5:$S$304,MATCH(C374,$R$5:$R$304,0))&amp;"","?"))</f>
        <v>15</v>
      </c>
      <c r="N374" s="2" t="str">
        <f aca="false">IF(E374="","",IF(ISNUMBER(SEARCH("SUBSOLO",E374)),IFERROR(-VALUE(LEFT(E374,FIND("º",SUBSTITUTE(E374,"°","º"))-1)),-1),IF(LEFT(E374,6)="TÉRREO",0,IFERROR(VALUE(LEFT(E374,FIND("º",SUBSTITUTE(E374,"°","º"))-1)),""))))</f>
        <v/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12999357</v>
      </c>
      <c r="C375" s="4" t="s">
        <v>2676</v>
      </c>
      <c r="D375" s="4" t="s">
        <v>3293</v>
      </c>
      <c r="E375" s="4" t="s">
        <v>81</v>
      </c>
      <c r="F375" s="127" t="n">
        <v>45882</v>
      </c>
      <c r="G375" s="127" t="n">
        <v>45882</v>
      </c>
      <c r="H375" s="127" t="n">
        <v>46293</v>
      </c>
      <c r="I375" s="4" t="n">
        <v>100</v>
      </c>
      <c r="J375" s="4" t="n">
        <v>100</v>
      </c>
      <c r="K375" s="4" t="n">
        <v>100</v>
      </c>
      <c r="M375" s="2" t="str">
        <f aca="false">IF(C375="","",IFERROR(INDEX($S$5:$S$304,MATCH(C375,$R$5:$R$304,0))&amp;"","?"))</f>
        <v>15</v>
      </c>
      <c r="N375" s="2" t="str">
        <f aca="false">IF(E375="","",IF(ISNUMBER(SEARCH("SUBSOLO",E375)),IFERROR(-VALUE(LEFT(E375,FIND("º",SUBSTITUTE(E375,"°","º"))-1)),-1),IF(LEFT(E375,6)="TÉRREO",0,IFERROR(VALUE(LEFT(E375,FIND("º",SUBSTITUTE(E375,"°","º"))-1)),""))))</f>
        <v/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12999358</v>
      </c>
      <c r="C376" s="4" t="s">
        <v>2676</v>
      </c>
      <c r="D376" s="4" t="s">
        <v>3294</v>
      </c>
      <c r="E376" s="4" t="s">
        <v>81</v>
      </c>
      <c r="F376" s="127" t="n">
        <v>45904</v>
      </c>
      <c r="G376" s="127" t="n">
        <v>45904</v>
      </c>
      <c r="H376" s="127" t="n">
        <v>46293</v>
      </c>
      <c r="I376" s="4" t="n">
        <v>100</v>
      </c>
      <c r="J376" s="4" t="n">
        <v>100</v>
      </c>
      <c r="K376" s="4" t="n">
        <v>100</v>
      </c>
      <c r="M376" s="2" t="str">
        <f aca="false">IF(C376="","",IFERROR(INDEX($S$5:$S$304,MATCH(C376,$R$5:$R$304,0))&amp;"","?"))</f>
        <v>15</v>
      </c>
      <c r="N376" s="2" t="str">
        <f aca="false">IF(E376="","",IF(ISNUMBER(SEARCH("SUBSOLO",E376)),IFERROR(-VALUE(LEFT(E376,FIND("º",SUBSTITUTE(E376,"°","º"))-1)),-1),IF(LEFT(E376,6)="TÉRREO",0,IFERROR(VALUE(LEFT(E376,FIND("º",SUBSTITUTE(E376,"°","º"))-1)),""))))</f>
        <v/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12999359</v>
      </c>
      <c r="C377" s="4" t="s">
        <v>2676</v>
      </c>
      <c r="D377" s="4" t="s">
        <v>3295</v>
      </c>
      <c r="E377" s="4" t="s">
        <v>81</v>
      </c>
      <c r="F377" s="127" t="n">
        <v>45905</v>
      </c>
      <c r="G377" s="127" t="n">
        <v>45905</v>
      </c>
      <c r="H377" s="127" t="n">
        <v>46293</v>
      </c>
      <c r="I377" s="4" t="n">
        <v>100</v>
      </c>
      <c r="J377" s="4" t="n">
        <v>100</v>
      </c>
      <c r="K377" s="4" t="n">
        <v>100</v>
      </c>
      <c r="M377" s="2" t="str">
        <f aca="false">IF(C377="","",IFERROR(INDEX($S$5:$S$304,MATCH(C377,$R$5:$R$304,0))&amp;"","?"))</f>
        <v>15</v>
      </c>
      <c r="N377" s="2" t="str">
        <f aca="false">IF(E377="","",IF(ISNUMBER(SEARCH("SUBSOLO",E377)),IFERROR(-VALUE(LEFT(E377,FIND("º",SUBSTITUTE(E377,"°","º"))-1)),-1),IF(LEFT(E377,6)="TÉRREO",0,IFERROR(VALUE(LEFT(E377,FIND("º",SUBSTITUTE(E377,"°","º"))-1)),""))))</f>
        <v/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12999360</v>
      </c>
      <c r="C378" s="4" t="s">
        <v>2676</v>
      </c>
      <c r="D378" s="4" t="s">
        <v>3296</v>
      </c>
      <c r="E378" s="4" t="s">
        <v>81</v>
      </c>
      <c r="F378" s="127" t="n">
        <v>45901</v>
      </c>
      <c r="G378" s="127" t="n">
        <v>45901</v>
      </c>
      <c r="H378" s="127" t="n">
        <v>46293</v>
      </c>
      <c r="I378" s="4" t="n">
        <v>100</v>
      </c>
      <c r="J378" s="4" t="n">
        <v>100</v>
      </c>
      <c r="K378" s="4" t="n">
        <v>100</v>
      </c>
      <c r="M378" s="2" t="str">
        <f aca="false">IF(C378="","",IFERROR(INDEX($S$5:$S$304,MATCH(C378,$R$5:$R$304,0))&amp;"","?"))</f>
        <v>15</v>
      </c>
      <c r="N378" s="2" t="str">
        <f aca="false">IF(E378="","",IF(ISNUMBER(SEARCH("SUBSOLO",E378)),IFERROR(-VALUE(LEFT(E378,FIND("º",SUBSTITUTE(E378,"°","º"))-1)),-1),IF(LEFT(E378,6)="TÉRREO",0,IFERROR(VALUE(LEFT(E378,FIND("º",SUBSTITUTE(E378,"°","º"))-1)),""))))</f>
        <v/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12999361</v>
      </c>
      <c r="C379" s="4" t="s">
        <v>2676</v>
      </c>
      <c r="D379" s="4" t="s">
        <v>3297</v>
      </c>
      <c r="E379" s="4" t="s">
        <v>81</v>
      </c>
      <c r="F379" s="127" t="n">
        <v>45902</v>
      </c>
      <c r="G379" s="127" t="n">
        <v>45902</v>
      </c>
      <c r="H379" s="127" t="n">
        <v>46293</v>
      </c>
      <c r="I379" s="4" t="n">
        <v>100</v>
      </c>
      <c r="J379" s="4" t="n">
        <v>100</v>
      </c>
      <c r="K379" s="4" t="n">
        <v>100</v>
      </c>
      <c r="M379" s="2" t="str">
        <f aca="false">IF(C379="","",IFERROR(INDEX($S$5:$S$304,MATCH(C379,$R$5:$R$304,0))&amp;"","?"))</f>
        <v>15</v>
      </c>
      <c r="N379" s="2" t="str">
        <f aca="false">IF(E379="","",IF(ISNUMBER(SEARCH("SUBSOLO",E379)),IFERROR(-VALUE(LEFT(E379,FIND("º",SUBSTITUTE(E379,"°","º"))-1)),-1),IF(LEFT(E379,6)="TÉRREO",0,IFERROR(VALUE(LEFT(E379,FIND("º",SUBSTITUTE(E379,"°","º"))-1)),""))))</f>
        <v/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13386638</v>
      </c>
      <c r="C380" s="4" t="s">
        <v>2676</v>
      </c>
      <c r="D380" s="4" t="s">
        <v>3298</v>
      </c>
      <c r="E380" s="4" t="s">
        <v>81</v>
      </c>
      <c r="F380" s="127" t="n">
        <v>45901</v>
      </c>
      <c r="G380" s="127" t="n">
        <v>45901</v>
      </c>
      <c r="H380" s="127" t="n">
        <v>46293</v>
      </c>
      <c r="I380" s="4" t="n">
        <v>100</v>
      </c>
      <c r="J380" s="4" t="n">
        <v>100</v>
      </c>
      <c r="K380" s="4" t="n">
        <v>100</v>
      </c>
      <c r="M380" s="2" t="str">
        <f aca="false">IF(C380="","",IFERROR(INDEX($S$5:$S$304,MATCH(C380,$R$5:$R$304,0))&amp;"","?"))</f>
        <v>15</v>
      </c>
      <c r="N380" s="2" t="str">
        <f aca="false">IF(E380="","",IF(ISNUMBER(SEARCH("SUBSOLO",E380)),IFERROR(-VALUE(LEFT(E380,FIND("º",SUBSTITUTE(E380,"°","º"))-1)),-1),IF(LEFT(E380,6)="TÉRREO",0,IFERROR(VALUE(LEFT(E380,FIND("º",SUBSTITUTE(E380,"°","º"))-1)),""))))</f>
        <v/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13386639</v>
      </c>
      <c r="C381" s="4" t="s">
        <v>2676</v>
      </c>
      <c r="D381" s="4" t="s">
        <v>3299</v>
      </c>
      <c r="E381" s="4" t="s">
        <v>81</v>
      </c>
      <c r="F381" s="127" t="n">
        <v>45901</v>
      </c>
      <c r="G381" s="127" t="n">
        <v>45901</v>
      </c>
      <c r="H381" s="127" t="n">
        <v>46293</v>
      </c>
      <c r="I381" s="4" t="n">
        <v>100</v>
      </c>
      <c r="J381" s="4" t="n">
        <v>100</v>
      </c>
      <c r="K381" s="4" t="n">
        <v>100</v>
      </c>
      <c r="M381" s="2" t="str">
        <f aca="false">IF(C381="","",IFERROR(INDEX($S$5:$S$304,MATCH(C381,$R$5:$R$304,0))&amp;"","?"))</f>
        <v>15</v>
      </c>
      <c r="N381" s="2" t="str">
        <f aca="false">IF(E381="","",IF(ISNUMBER(SEARCH("SUBSOLO",E381)),IFERROR(-VALUE(LEFT(E381,FIND("º",SUBSTITUTE(E381,"°","º"))-1)),-1),IF(LEFT(E381,6)="TÉRREO",0,IFERROR(VALUE(LEFT(E381,FIND("º",SUBSTITUTE(E381,"°","º"))-1)),""))))</f>
        <v/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13386640</v>
      </c>
      <c r="C382" s="4" t="s">
        <v>2676</v>
      </c>
      <c r="D382" s="4" t="s">
        <v>3300</v>
      </c>
      <c r="E382" s="4" t="s">
        <v>81</v>
      </c>
      <c r="F382" s="127" t="n">
        <v>45902</v>
      </c>
      <c r="G382" s="127" t="n">
        <v>45902</v>
      </c>
      <c r="H382" s="127" t="n">
        <v>46293</v>
      </c>
      <c r="I382" s="4" t="n">
        <v>100</v>
      </c>
      <c r="J382" s="4" t="n">
        <v>100</v>
      </c>
      <c r="K382" s="4" t="n">
        <v>100</v>
      </c>
      <c r="M382" s="2" t="str">
        <f aca="false">IF(C382="","",IFERROR(INDEX($S$5:$S$304,MATCH(C382,$R$5:$R$304,0))&amp;"","?"))</f>
        <v>15</v>
      </c>
      <c r="N382" s="2" t="str">
        <f aca="false">IF(E382="","",IF(ISNUMBER(SEARCH("SUBSOLO",E382)),IFERROR(-VALUE(LEFT(E382,FIND("º",SUBSTITUTE(E382,"°","º"))-1)),-1),IF(LEFT(E382,6)="TÉRREO",0,IFERROR(VALUE(LEFT(E382,FIND("º",SUBSTITUTE(E382,"°","º"))-1)),""))))</f>
        <v/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24964332</v>
      </c>
      <c r="C383" s="4" t="s">
        <v>2679</v>
      </c>
      <c r="D383" s="4" t="s">
        <v>433</v>
      </c>
      <c r="E383" s="4" t="s">
        <v>81</v>
      </c>
      <c r="F383" s="127" t="n">
        <v>45861</v>
      </c>
      <c r="G383" s="127" t="n">
        <v>45911</v>
      </c>
      <c r="H383" s="127" t="n">
        <v>46293</v>
      </c>
      <c r="I383" s="4" t="n">
        <v>100</v>
      </c>
      <c r="J383" s="4" t="n">
        <v>100</v>
      </c>
      <c r="K383" s="4" t="n">
        <v>100</v>
      </c>
      <c r="M383" s="2" t="str">
        <f aca="false">IF(C383="","",IFERROR(INDEX($S$5:$S$304,MATCH(C383,$R$5:$R$304,0))&amp;"","?"))</f>
        <v>13</v>
      </c>
      <c r="N383" s="2" t="str">
        <f aca="false">IF(E383="","",IF(ISNUMBER(SEARCH("SUBSOLO",E383)),IFERROR(-VALUE(LEFT(E383,FIND("º",SUBSTITUTE(E383,"°","º"))-1)),-1),IF(LEFT(E383,6)="TÉRREO",0,IFERROR(VALUE(LEFT(E383,FIND("º",SUBSTITUTE(E383,"°","º"))-1)),""))))</f>
        <v/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11118738</v>
      </c>
      <c r="C384" s="4" t="s">
        <v>2679</v>
      </c>
      <c r="D384" s="4" t="s">
        <v>3301</v>
      </c>
      <c r="E384" s="4" t="s">
        <v>81</v>
      </c>
      <c r="F384" s="127" t="n">
        <v>45861</v>
      </c>
      <c r="G384" s="127" t="n">
        <v>45876</v>
      </c>
      <c r="H384" s="127" t="n">
        <v>46293</v>
      </c>
      <c r="I384" s="4" t="n">
        <v>100</v>
      </c>
      <c r="J384" s="4" t="n">
        <v>100</v>
      </c>
      <c r="K384" s="4" t="n">
        <v>100</v>
      </c>
      <c r="M384" s="2" t="str">
        <f aca="false">IF(C384="","",IFERROR(INDEX($S$5:$S$304,MATCH(C384,$R$5:$R$304,0))&amp;"","?"))</f>
        <v>13</v>
      </c>
      <c r="N384" s="2" t="str">
        <f aca="false">IF(E384="","",IF(ISNUMBER(SEARCH("SUBSOLO",E384)),IFERROR(-VALUE(LEFT(E384,FIND("º",SUBSTITUTE(E384,"°","º"))-1)),-1),IF(LEFT(E384,6)="TÉRREO",0,IFERROR(VALUE(LEFT(E384,FIND("º",SUBSTITUTE(E384,"°","º"))-1)),""))))</f>
        <v/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11118739</v>
      </c>
      <c r="C385" s="4" t="s">
        <v>2679</v>
      </c>
      <c r="D385" s="4" t="s">
        <v>3302</v>
      </c>
      <c r="E385" s="4" t="s">
        <v>81</v>
      </c>
      <c r="F385" s="127" t="n">
        <v>45867</v>
      </c>
      <c r="G385" s="127" t="n">
        <v>45882</v>
      </c>
      <c r="H385" s="127" t="n">
        <v>46293</v>
      </c>
      <c r="I385" s="4" t="n">
        <v>100</v>
      </c>
      <c r="J385" s="4" t="n">
        <v>100</v>
      </c>
      <c r="K385" s="4" t="n">
        <v>100</v>
      </c>
      <c r="M385" s="2" t="str">
        <f aca="false">IF(C385="","",IFERROR(INDEX($S$5:$S$304,MATCH(C385,$R$5:$R$304,0))&amp;"","?"))</f>
        <v>13</v>
      </c>
      <c r="N385" s="2" t="str">
        <f aca="false">IF(E385="","",IF(ISNUMBER(SEARCH("SUBSOLO",E385)),IFERROR(-VALUE(LEFT(E385,FIND("º",SUBSTITUTE(E385,"°","º"))-1)),-1),IF(LEFT(E385,6)="TÉRREO",0,IFERROR(VALUE(LEFT(E385,FIND("º",SUBSTITUTE(E385,"°","º"))-1)),""))))</f>
        <v/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11118740</v>
      </c>
      <c r="C386" s="4" t="s">
        <v>2679</v>
      </c>
      <c r="D386" s="4" t="s">
        <v>3303</v>
      </c>
      <c r="E386" s="4" t="s">
        <v>81</v>
      </c>
      <c r="F386" s="127" t="n">
        <v>45873</v>
      </c>
      <c r="G386" s="127" t="n">
        <v>45889</v>
      </c>
      <c r="H386" s="127" t="n">
        <v>46293</v>
      </c>
      <c r="I386" s="4" t="n">
        <v>100</v>
      </c>
      <c r="J386" s="4" t="n">
        <v>100</v>
      </c>
      <c r="K386" s="4" t="n">
        <v>100</v>
      </c>
      <c r="M386" s="2" t="str">
        <f aca="false">IF(C386="","",IFERROR(INDEX($S$5:$S$304,MATCH(C386,$R$5:$R$304,0))&amp;"","?"))</f>
        <v>13</v>
      </c>
      <c r="N386" s="2" t="str">
        <f aca="false">IF(E386="","",IF(ISNUMBER(SEARCH("SUBSOLO",E386)),IFERROR(-VALUE(LEFT(E386,FIND("º",SUBSTITUTE(E386,"°","º"))-1)),-1),IF(LEFT(E386,6)="TÉRREO",0,IFERROR(VALUE(LEFT(E386,FIND("º",SUBSTITUTE(E386,"°","º"))-1)),""))))</f>
        <v/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11118741</v>
      </c>
      <c r="C387" s="4" t="s">
        <v>2679</v>
      </c>
      <c r="D387" s="4" t="s">
        <v>3304</v>
      </c>
      <c r="E387" s="4" t="s">
        <v>81</v>
      </c>
      <c r="F387" s="127" t="n">
        <v>45877</v>
      </c>
      <c r="G387" s="127" t="n">
        <v>45895</v>
      </c>
      <c r="H387" s="127" t="n">
        <v>46293</v>
      </c>
      <c r="I387" s="4" t="n">
        <v>100</v>
      </c>
      <c r="J387" s="4" t="n">
        <v>100</v>
      </c>
      <c r="K387" s="4" t="n">
        <v>100</v>
      </c>
      <c r="M387" s="2" t="str">
        <f aca="false">IF(C387="","",IFERROR(INDEX($S$5:$S$304,MATCH(C387,$R$5:$R$304,0))&amp;"","?"))</f>
        <v>13</v>
      </c>
      <c r="N387" s="2" t="str">
        <f aca="false">IF(E387="","",IF(ISNUMBER(SEARCH("SUBSOLO",E387)),IFERROR(-VALUE(LEFT(E387,FIND("º",SUBSTITUTE(E387,"°","º"))-1)),-1),IF(LEFT(E387,6)="TÉRREO",0,IFERROR(VALUE(LEFT(E387,FIND("º",SUBSTITUTE(E387,"°","º"))-1)),""))))</f>
        <v/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13377268</v>
      </c>
      <c r="C388" s="4" t="s">
        <v>2679</v>
      </c>
      <c r="D388" s="4" t="s">
        <v>3305</v>
      </c>
      <c r="E388" s="4" t="s">
        <v>81</v>
      </c>
      <c r="F388" s="127" t="n">
        <v>45896</v>
      </c>
      <c r="G388" s="127" t="n">
        <v>45911</v>
      </c>
      <c r="H388" s="127" t="n">
        <v>46293</v>
      </c>
      <c r="I388" s="4" t="n">
        <v>100</v>
      </c>
      <c r="J388" s="4" t="n">
        <v>100</v>
      </c>
      <c r="K388" s="4" t="n">
        <v>100</v>
      </c>
      <c r="M388" s="2" t="str">
        <f aca="false">IF(C388="","",IFERROR(INDEX($S$5:$S$304,MATCH(C388,$R$5:$R$304,0))&amp;"","?"))</f>
        <v>13</v>
      </c>
      <c r="N388" s="2" t="str">
        <f aca="false">IF(E388="","",IF(ISNUMBER(SEARCH("SUBSOLO",E388)),IFERROR(-VALUE(LEFT(E388,FIND("º",SUBSTITUTE(E388,"°","º"))-1)),-1),IF(LEFT(E388,6)="TÉRREO",0,IFERROR(VALUE(LEFT(E388,FIND("º",SUBSTITUTE(E388,"°","º"))-1)),""))))</f>
        <v/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30456737</v>
      </c>
      <c r="C389" s="4" t="s">
        <v>2682</v>
      </c>
      <c r="D389" s="4" t="s">
        <v>433</v>
      </c>
      <c r="E389" s="4" t="s">
        <v>81</v>
      </c>
      <c r="F389" s="127" t="n">
        <v>45868</v>
      </c>
      <c r="G389" s="127" t="n">
        <v>45975</v>
      </c>
      <c r="H389" s="127" t="n">
        <v>46293</v>
      </c>
      <c r="I389" s="4" t="n">
        <v>100</v>
      </c>
      <c r="J389" s="4" t="n">
        <v>100</v>
      </c>
      <c r="K389" s="4" t="n">
        <v>100</v>
      </c>
      <c r="M389" s="2" t="str">
        <f aca="false">IF(C389="","",IFERROR(INDEX($S$5:$S$304,MATCH(C389,$R$5:$R$304,0))&amp;"","?"))</f>
        <v>16</v>
      </c>
      <c r="N389" s="2" t="str">
        <f aca="false">IF(E389="","",IF(ISNUMBER(SEARCH("SUBSOLO",E389)),IFERROR(-VALUE(LEFT(E389,FIND("º",SUBSTITUTE(E389,"°","º"))-1)),-1),IF(LEFT(E389,6)="TÉRREO",0,IFERROR(VALUE(LEFT(E389,FIND("º",SUBSTITUTE(E389,"°","º"))-1)),""))))</f>
        <v/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11115173</v>
      </c>
      <c r="C390" s="4" t="s">
        <v>2682</v>
      </c>
      <c r="D390" s="4" t="s">
        <v>3306</v>
      </c>
      <c r="E390" s="4" t="s">
        <v>81</v>
      </c>
      <c r="F390" s="127" t="n">
        <v>45868</v>
      </c>
      <c r="G390" s="127" t="n">
        <v>45876</v>
      </c>
      <c r="H390" s="127" t="n">
        <v>46293</v>
      </c>
      <c r="I390" s="4" t="n">
        <v>100</v>
      </c>
      <c r="J390" s="4" t="n">
        <v>100</v>
      </c>
      <c r="K390" s="4" t="n">
        <v>100</v>
      </c>
      <c r="M390" s="2" t="str">
        <f aca="false">IF(C390="","",IFERROR(INDEX($S$5:$S$304,MATCH(C390,$R$5:$R$304,0))&amp;"","?"))</f>
        <v>16</v>
      </c>
      <c r="N390" s="2" t="str">
        <f aca="false">IF(E390="","",IF(ISNUMBER(SEARCH("SUBSOLO",E390)),IFERROR(-VALUE(LEFT(E390,FIND("º",SUBSTITUTE(E390,"°","º"))-1)),-1),IF(LEFT(E390,6)="TÉRREO",0,IFERROR(VALUE(LEFT(E390,FIND("º",SUBSTITUTE(E390,"°","º"))-1)),""))))</f>
        <v/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11115174</v>
      </c>
      <c r="C391" s="4" t="s">
        <v>2682</v>
      </c>
      <c r="D391" s="4" t="s">
        <v>3307</v>
      </c>
      <c r="E391" s="4" t="s">
        <v>81</v>
      </c>
      <c r="F391" s="127" t="n">
        <v>45868</v>
      </c>
      <c r="G391" s="127" t="n">
        <v>45874</v>
      </c>
      <c r="H391" s="127" t="n">
        <v>46293</v>
      </c>
      <c r="I391" s="4" t="n">
        <v>100</v>
      </c>
      <c r="J391" s="4" t="n">
        <v>100</v>
      </c>
      <c r="K391" s="4" t="n">
        <v>100</v>
      </c>
      <c r="M391" s="2" t="str">
        <f aca="false">IF(C391="","",IFERROR(INDEX($S$5:$S$304,MATCH(C391,$R$5:$R$304,0))&amp;"","?"))</f>
        <v>16</v>
      </c>
      <c r="N391" s="2" t="str">
        <f aca="false">IF(E391="","",IF(ISNUMBER(SEARCH("SUBSOLO",E391)),IFERROR(-VALUE(LEFT(E391,FIND("º",SUBSTITUTE(E391,"°","º"))-1)),-1),IF(LEFT(E391,6)="TÉRREO",0,IFERROR(VALUE(LEFT(E391,FIND("º",SUBSTITUTE(E391,"°","º"))-1)),""))))</f>
        <v/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11115175</v>
      </c>
      <c r="C392" s="4" t="s">
        <v>2682</v>
      </c>
      <c r="D392" s="4" t="s">
        <v>3308</v>
      </c>
      <c r="E392" s="4" t="s">
        <v>81</v>
      </c>
      <c r="F392" s="127" t="n">
        <v>45868</v>
      </c>
      <c r="G392" s="127" t="n">
        <v>45874</v>
      </c>
      <c r="H392" s="127" t="n">
        <v>46293</v>
      </c>
      <c r="I392" s="4" t="n">
        <v>100</v>
      </c>
      <c r="J392" s="4" t="n">
        <v>100</v>
      </c>
      <c r="K392" s="4" t="n">
        <v>100</v>
      </c>
      <c r="M392" s="2" t="str">
        <f aca="false">IF(C392="","",IFERROR(INDEX($S$5:$S$304,MATCH(C392,$R$5:$R$304,0))&amp;"","?"))</f>
        <v>16</v>
      </c>
      <c r="N392" s="2" t="str">
        <f aca="false">IF(E392="","",IF(ISNUMBER(SEARCH("SUBSOLO",E392)),IFERROR(-VALUE(LEFT(E392,FIND("º",SUBSTITUTE(E392,"°","º"))-1)),-1),IF(LEFT(E392,6)="TÉRREO",0,IFERROR(VALUE(LEFT(E392,FIND("º",SUBSTITUTE(E392,"°","º"))-1)),""))))</f>
        <v/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11115176</v>
      </c>
      <c r="C393" s="4" t="s">
        <v>2682</v>
      </c>
      <c r="D393" s="4" t="s">
        <v>3309</v>
      </c>
      <c r="E393" s="4" t="s">
        <v>81</v>
      </c>
      <c r="F393" s="127" t="n">
        <v>45868</v>
      </c>
      <c r="G393" s="127" t="n">
        <v>45868</v>
      </c>
      <c r="H393" s="127" t="n">
        <v>46293</v>
      </c>
      <c r="I393" s="4" t="n">
        <v>100</v>
      </c>
      <c r="J393" s="4" t="n">
        <v>100</v>
      </c>
      <c r="K393" s="4" t="n">
        <v>100</v>
      </c>
      <c r="M393" s="2" t="str">
        <f aca="false">IF(C393="","",IFERROR(INDEX($S$5:$S$304,MATCH(C393,$R$5:$R$304,0))&amp;"","?"))</f>
        <v>16</v>
      </c>
      <c r="N393" s="2" t="str">
        <f aca="false">IF(E393="","",IF(ISNUMBER(SEARCH("SUBSOLO",E393)),IFERROR(-VALUE(LEFT(E393,FIND("º",SUBSTITUTE(E393,"°","º"))-1)),-1),IF(LEFT(E393,6)="TÉRREO",0,IFERROR(VALUE(LEFT(E393,FIND("º",SUBSTITUTE(E393,"°","º"))-1)),""))))</f>
        <v/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11115177</v>
      </c>
      <c r="C394" s="4" t="s">
        <v>2682</v>
      </c>
      <c r="D394" s="4" t="s">
        <v>3310</v>
      </c>
      <c r="E394" s="4" t="s">
        <v>81</v>
      </c>
      <c r="F394" s="127" t="n">
        <v>45868</v>
      </c>
      <c r="G394" s="127" t="n">
        <v>45877</v>
      </c>
      <c r="H394" s="127" t="n">
        <v>46293</v>
      </c>
      <c r="I394" s="4" t="n">
        <v>100</v>
      </c>
      <c r="J394" s="4" t="n">
        <v>100</v>
      </c>
      <c r="K394" s="4" t="n">
        <v>100</v>
      </c>
      <c r="M394" s="2" t="str">
        <f aca="false">IF(C394="","",IFERROR(INDEX($S$5:$S$304,MATCH(C394,$R$5:$R$304,0))&amp;"","?"))</f>
        <v>16</v>
      </c>
      <c r="N394" s="2" t="str">
        <f aca="false">IF(E394="","",IF(ISNUMBER(SEARCH("SUBSOLO",E394)),IFERROR(-VALUE(LEFT(E394,FIND("º",SUBSTITUTE(E394,"°","º"))-1)),-1),IF(LEFT(E394,6)="TÉRREO",0,IFERROR(VALUE(LEFT(E394,FIND("º",SUBSTITUTE(E394,"°","º"))-1)),""))))</f>
        <v/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11115178</v>
      </c>
      <c r="C395" s="4" t="s">
        <v>2682</v>
      </c>
      <c r="D395" s="4" t="s">
        <v>3311</v>
      </c>
      <c r="E395" s="4" t="s">
        <v>81</v>
      </c>
      <c r="F395" s="127" t="n">
        <v>45868</v>
      </c>
      <c r="G395" s="127" t="n">
        <v>45874</v>
      </c>
      <c r="H395" s="127" t="n">
        <v>46293</v>
      </c>
      <c r="I395" s="4" t="n">
        <v>100</v>
      </c>
      <c r="J395" s="4" t="n">
        <v>100</v>
      </c>
      <c r="K395" s="4" t="n">
        <v>100</v>
      </c>
      <c r="M395" s="2" t="str">
        <f aca="false">IF(C395="","",IFERROR(INDEX($S$5:$S$304,MATCH(C395,$R$5:$R$304,0))&amp;"","?"))</f>
        <v>16</v>
      </c>
      <c r="N395" s="2" t="str">
        <f aca="false">IF(E395="","",IF(ISNUMBER(SEARCH("SUBSOLO",E395)),IFERROR(-VALUE(LEFT(E395,FIND("º",SUBSTITUTE(E395,"°","º"))-1)),-1),IF(LEFT(E395,6)="TÉRREO",0,IFERROR(VALUE(LEFT(E395,FIND("º",SUBSTITUTE(E395,"°","º"))-1)),""))))</f>
        <v/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11115179</v>
      </c>
      <c r="C396" s="4" t="s">
        <v>2682</v>
      </c>
      <c r="D396" s="4" t="s">
        <v>3312</v>
      </c>
      <c r="E396" s="4" t="s">
        <v>81</v>
      </c>
      <c r="F396" s="127" t="n">
        <v>45868</v>
      </c>
      <c r="G396" s="127" t="n">
        <v>45874</v>
      </c>
      <c r="H396" s="127" t="n">
        <v>46293</v>
      </c>
      <c r="I396" s="4" t="n">
        <v>100</v>
      </c>
      <c r="J396" s="4" t="n">
        <v>100</v>
      </c>
      <c r="K396" s="4" t="n">
        <v>100</v>
      </c>
      <c r="M396" s="2" t="str">
        <f aca="false">IF(C396="","",IFERROR(INDEX($S$5:$S$304,MATCH(C396,$R$5:$R$304,0))&amp;"","?"))</f>
        <v>16</v>
      </c>
      <c r="N396" s="2" t="str">
        <f aca="false">IF(E396="","",IF(ISNUMBER(SEARCH("SUBSOLO",E396)),IFERROR(-VALUE(LEFT(E396,FIND("º",SUBSTITUTE(E396,"°","º"))-1)),-1),IF(LEFT(E396,6)="TÉRREO",0,IFERROR(VALUE(LEFT(E396,FIND("º",SUBSTITUTE(E396,"°","º"))-1)),""))))</f>
        <v/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11115180</v>
      </c>
      <c r="C397" s="4" t="s">
        <v>2682</v>
      </c>
      <c r="D397" s="4" t="s">
        <v>3313</v>
      </c>
      <c r="E397" s="4" t="s">
        <v>81</v>
      </c>
      <c r="F397" s="127" t="n">
        <v>45868</v>
      </c>
      <c r="G397" s="127" t="n">
        <v>45868</v>
      </c>
      <c r="H397" s="127" t="n">
        <v>46293</v>
      </c>
      <c r="I397" s="4" t="n">
        <v>100</v>
      </c>
      <c r="J397" s="4" t="n">
        <v>100</v>
      </c>
      <c r="K397" s="4" t="n">
        <v>100</v>
      </c>
      <c r="M397" s="2" t="str">
        <f aca="false">IF(C397="","",IFERROR(INDEX($S$5:$S$304,MATCH(C397,$R$5:$R$304,0))&amp;"","?"))</f>
        <v>16</v>
      </c>
      <c r="N397" s="2" t="str">
        <f aca="false">IF(E397="","",IF(ISNUMBER(SEARCH("SUBSOLO",E397)),IFERROR(-VALUE(LEFT(E397,FIND("º",SUBSTITUTE(E397,"°","º"))-1)),-1),IF(LEFT(E397,6)="TÉRREO",0,IFERROR(VALUE(LEFT(E397,FIND("º",SUBSTITUTE(E397,"°","º"))-1)),""))))</f>
        <v/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11215649</v>
      </c>
      <c r="C398" s="4" t="s">
        <v>2682</v>
      </c>
      <c r="D398" s="4" t="s">
        <v>3314</v>
      </c>
      <c r="E398" s="4" t="s">
        <v>81</v>
      </c>
      <c r="F398" s="127" t="n">
        <v>45868</v>
      </c>
      <c r="G398" s="127" t="n">
        <v>45869</v>
      </c>
      <c r="H398" s="127" t="n">
        <v>46293</v>
      </c>
      <c r="I398" s="4" t="n">
        <v>100</v>
      </c>
      <c r="J398" s="4" t="n">
        <v>100</v>
      </c>
      <c r="K398" s="4" t="n">
        <v>100</v>
      </c>
      <c r="M398" s="2" t="str">
        <f aca="false">IF(C398="","",IFERROR(INDEX($S$5:$S$304,MATCH(C398,$R$5:$R$304,0))&amp;"","?"))</f>
        <v>16</v>
      </c>
      <c r="N398" s="2" t="str">
        <f aca="false">IF(E398="","",IF(ISNUMBER(SEARCH("SUBSOLO",E398)),IFERROR(-VALUE(LEFT(E398,FIND("º",SUBSTITUTE(E398,"°","º"))-1)),-1),IF(LEFT(E398,6)="TÉRREO",0,IFERROR(VALUE(LEFT(E398,FIND("º",SUBSTITUTE(E398,"°","º"))-1)),""))))</f>
        <v/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11215650</v>
      </c>
      <c r="C399" s="4" t="s">
        <v>2682</v>
      </c>
      <c r="D399" s="4" t="s">
        <v>3315</v>
      </c>
      <c r="E399" s="4" t="s">
        <v>81</v>
      </c>
      <c r="F399" s="127" t="n">
        <v>45868</v>
      </c>
      <c r="G399" s="127" t="n">
        <v>45870</v>
      </c>
      <c r="H399" s="127" t="n">
        <v>46293</v>
      </c>
      <c r="I399" s="4" t="n">
        <v>100</v>
      </c>
      <c r="J399" s="4" t="n">
        <v>100</v>
      </c>
      <c r="K399" s="4" t="n">
        <v>100</v>
      </c>
      <c r="M399" s="2" t="str">
        <f aca="false">IF(C399="","",IFERROR(INDEX($S$5:$S$304,MATCH(C399,$R$5:$R$304,0))&amp;"","?"))</f>
        <v>16</v>
      </c>
      <c r="N399" s="2" t="str">
        <f aca="false">IF(E399="","",IF(ISNUMBER(SEARCH("SUBSOLO",E399)),IFERROR(-VALUE(LEFT(E399,FIND("º",SUBSTITUTE(E399,"°","º"))-1)),-1),IF(LEFT(E399,6)="TÉRREO",0,IFERROR(VALUE(LEFT(E399,FIND("º",SUBSTITUTE(E399,"°","º"))-1)),""))))</f>
        <v/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11215651</v>
      </c>
      <c r="C400" s="4" t="s">
        <v>2682</v>
      </c>
      <c r="D400" s="4" t="s">
        <v>3316</v>
      </c>
      <c r="E400" s="4" t="s">
        <v>81</v>
      </c>
      <c r="F400" s="127" t="n">
        <v>45868</v>
      </c>
      <c r="G400" s="127" t="n">
        <v>45873</v>
      </c>
      <c r="H400" s="127" t="n">
        <v>46293</v>
      </c>
      <c r="I400" s="4" t="n">
        <v>100</v>
      </c>
      <c r="J400" s="4" t="n">
        <v>100</v>
      </c>
      <c r="K400" s="4" t="n">
        <v>100</v>
      </c>
      <c r="M400" s="2" t="str">
        <f aca="false">IF(C400="","",IFERROR(INDEX($S$5:$S$304,MATCH(C400,$R$5:$R$304,0))&amp;"","?"))</f>
        <v>16</v>
      </c>
      <c r="N400" s="2" t="str">
        <f aca="false">IF(E400="","",IF(ISNUMBER(SEARCH("SUBSOLO",E400)),IFERROR(-VALUE(LEFT(E400,FIND("º",SUBSTITUTE(E400,"°","º"))-1)),-1),IF(LEFT(E400,6)="TÉRREO",0,IFERROR(VALUE(LEFT(E400,FIND("º",SUBSTITUTE(E400,"°","º"))-1)),""))))</f>
        <v/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11215652</v>
      </c>
      <c r="C401" s="4" t="s">
        <v>2682</v>
      </c>
      <c r="D401" s="4" t="s">
        <v>3317</v>
      </c>
      <c r="E401" s="4" t="s">
        <v>81</v>
      </c>
      <c r="F401" s="127" t="n">
        <v>45868</v>
      </c>
      <c r="G401" s="127" t="n">
        <v>45868</v>
      </c>
      <c r="H401" s="127" t="n">
        <v>46293</v>
      </c>
      <c r="I401" s="4" t="n">
        <v>100</v>
      </c>
      <c r="J401" s="4" t="n">
        <v>100</v>
      </c>
      <c r="K401" s="4" t="n">
        <v>100</v>
      </c>
      <c r="M401" s="2" t="str">
        <f aca="false">IF(C401="","",IFERROR(INDEX($S$5:$S$304,MATCH(C401,$R$5:$R$304,0))&amp;"","?"))</f>
        <v>16</v>
      </c>
      <c r="N401" s="2" t="str">
        <f aca="false">IF(E401="","",IF(ISNUMBER(SEARCH("SUBSOLO",E401)),IFERROR(-VALUE(LEFT(E401,FIND("º",SUBSTITUTE(E401,"°","º"))-1)),-1),IF(LEFT(E401,6)="TÉRREO",0,IFERROR(VALUE(LEFT(E401,FIND("º",SUBSTITUTE(E401,"°","º"))-1)),""))))</f>
        <v/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11215683</v>
      </c>
      <c r="C402" s="4" t="s">
        <v>2682</v>
      </c>
      <c r="D402" s="4" t="s">
        <v>3318</v>
      </c>
      <c r="E402" s="4" t="s">
        <v>81</v>
      </c>
      <c r="F402" s="127" t="n">
        <v>45868</v>
      </c>
      <c r="G402" s="127" t="n">
        <v>45933</v>
      </c>
      <c r="H402" s="127" t="n">
        <v>46293</v>
      </c>
      <c r="I402" s="4" t="n">
        <v>100</v>
      </c>
      <c r="J402" s="4" t="n">
        <v>100</v>
      </c>
      <c r="K402" s="4" t="n">
        <v>100</v>
      </c>
      <c r="M402" s="2" t="str">
        <f aca="false">IF(C402="","",IFERROR(INDEX($S$5:$S$304,MATCH(C402,$R$5:$R$304,0))&amp;"","?"))</f>
        <v>16</v>
      </c>
      <c r="N402" s="2" t="str">
        <f aca="false">IF(E402="","",IF(ISNUMBER(SEARCH("SUBSOLO",E402)),IFERROR(-VALUE(LEFT(E402,FIND("º",SUBSTITUTE(E402,"°","º"))-1)),-1),IF(LEFT(E402,6)="TÉRREO",0,IFERROR(VALUE(LEFT(E402,FIND("º",SUBSTITUTE(E402,"°","º"))-1)),""))))</f>
        <v/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11215684</v>
      </c>
      <c r="C403" s="4" t="s">
        <v>2682</v>
      </c>
      <c r="D403" s="4" t="s">
        <v>3319</v>
      </c>
      <c r="E403" s="4" t="s">
        <v>81</v>
      </c>
      <c r="F403" s="127" t="n">
        <v>45929</v>
      </c>
      <c r="G403" s="127" t="n">
        <v>45929</v>
      </c>
      <c r="H403" s="127" t="n">
        <v>46293</v>
      </c>
      <c r="I403" s="4" t="n">
        <v>100</v>
      </c>
      <c r="J403" s="4" t="n">
        <v>100</v>
      </c>
      <c r="K403" s="4" t="n">
        <v>100</v>
      </c>
      <c r="M403" s="2" t="str">
        <f aca="false">IF(C403="","",IFERROR(INDEX($S$5:$S$304,MATCH(C403,$R$5:$R$304,0))&amp;"","?"))</f>
        <v>16</v>
      </c>
      <c r="N403" s="2" t="str">
        <f aca="false">IF(E403="","",IF(ISNUMBER(SEARCH("SUBSOLO",E403)),IFERROR(-VALUE(LEFT(E403,FIND("º",SUBSTITUTE(E403,"°","º"))-1)),-1),IF(LEFT(E403,6)="TÉRREO",0,IFERROR(VALUE(LEFT(E403,FIND("º",SUBSTITUTE(E403,"°","º"))-1)),""))))</f>
        <v/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11215685</v>
      </c>
      <c r="C404" s="4" t="s">
        <v>2682</v>
      </c>
      <c r="D404" s="4" t="s">
        <v>3320</v>
      </c>
      <c r="E404" s="4" t="s">
        <v>81</v>
      </c>
      <c r="F404" s="127" t="n">
        <v>45868</v>
      </c>
      <c r="G404" s="127" t="n">
        <v>45933</v>
      </c>
      <c r="H404" s="127" t="n">
        <v>46293</v>
      </c>
      <c r="I404" s="4" t="n">
        <v>100</v>
      </c>
      <c r="J404" s="4" t="n">
        <v>100</v>
      </c>
      <c r="K404" s="4" t="n">
        <v>100</v>
      </c>
      <c r="M404" s="2" t="str">
        <f aca="false">IF(C404="","",IFERROR(INDEX($S$5:$S$304,MATCH(C404,$R$5:$R$304,0))&amp;"","?"))</f>
        <v>16</v>
      </c>
      <c r="N404" s="2" t="str">
        <f aca="false">IF(E404="","",IF(ISNUMBER(SEARCH("SUBSOLO",E404)),IFERROR(-VALUE(LEFT(E404,FIND("º",SUBSTITUTE(E404,"°","º"))-1)),-1),IF(LEFT(E404,6)="TÉRREO",0,IFERROR(VALUE(LEFT(E404,FIND("º",SUBSTITUTE(E404,"°","º"))-1)),""))))</f>
        <v/>
      </c>
      <c r="O404" s="2" t="str">
        <f aca="false">IF(OR(F404="",G404=""),"",IF(G404&lt;='RETRATO 2027'!$K$5,"CONCLUÍDA",IF(F404&lt;='RETRATO 2027'!$K$5,"EM ANDAMENTO","A INICIAR")))</f>
        <v>CONCLUÍDA</v>
      </c>
    </row>
    <row r="405" customFormat="false" ht="15" hidden="false" customHeight="false" outlineLevel="0" collapsed="false">
      <c r="B405" s="4" t="n">
        <v>11215686</v>
      </c>
      <c r="C405" s="4" t="s">
        <v>2682</v>
      </c>
      <c r="D405" s="4" t="s">
        <v>3321</v>
      </c>
      <c r="E405" s="4" t="s">
        <v>81</v>
      </c>
      <c r="F405" s="127" t="n">
        <v>45868</v>
      </c>
      <c r="G405" s="127" t="n">
        <v>45936</v>
      </c>
      <c r="H405" s="127" t="n">
        <v>46293</v>
      </c>
      <c r="I405" s="4" t="n">
        <v>100</v>
      </c>
      <c r="J405" s="4" t="n">
        <v>100</v>
      </c>
      <c r="K405" s="4" t="n">
        <v>100</v>
      </c>
      <c r="M405" s="2" t="str">
        <f aca="false">IF(C405="","",IFERROR(INDEX($S$5:$S$304,MATCH(C405,$R$5:$R$304,0))&amp;"","?"))</f>
        <v>16</v>
      </c>
      <c r="N405" s="2" t="str">
        <f aca="false">IF(E405="","",IF(ISNUMBER(SEARCH("SUBSOLO",E405)),IFERROR(-VALUE(LEFT(E405,FIND("º",SUBSTITUTE(E405,"°","º"))-1)),-1),IF(LEFT(E405,6)="TÉRREO",0,IFERROR(VALUE(LEFT(E405,FIND("º",SUBSTITUTE(E405,"°","º"))-1)),""))))</f>
        <v/>
      </c>
      <c r="O405" s="2" t="str">
        <f aca="false">IF(OR(F405="",G405=""),"",IF(G405&lt;='RETRATO 2027'!$K$5,"CONCLUÍDA",IF(F405&lt;='RETRATO 2027'!$K$5,"EM ANDAMENTO","A INICIAR")))</f>
        <v>CONCLUÍDA</v>
      </c>
    </row>
    <row r="406" customFormat="false" ht="15" hidden="false" customHeight="false" outlineLevel="0" collapsed="false">
      <c r="B406" s="4" t="n">
        <v>11215687</v>
      </c>
      <c r="C406" s="4" t="s">
        <v>2682</v>
      </c>
      <c r="D406" s="4" t="s">
        <v>3322</v>
      </c>
      <c r="E406" s="4" t="s">
        <v>81</v>
      </c>
      <c r="F406" s="127" t="n">
        <v>45929</v>
      </c>
      <c r="G406" s="127" t="n">
        <v>45933</v>
      </c>
      <c r="H406" s="127" t="n">
        <v>46293</v>
      </c>
      <c r="I406" s="4" t="n">
        <v>100</v>
      </c>
      <c r="J406" s="4" t="n">
        <v>100</v>
      </c>
      <c r="K406" s="4" t="n">
        <v>100</v>
      </c>
      <c r="M406" s="2" t="str">
        <f aca="false">IF(C406="","",IFERROR(INDEX($S$5:$S$304,MATCH(C406,$R$5:$R$304,0))&amp;"","?"))</f>
        <v>16</v>
      </c>
      <c r="N406" s="2" t="str">
        <f aca="false">IF(E406="","",IF(ISNUMBER(SEARCH("SUBSOLO",E406)),IFERROR(-VALUE(LEFT(E406,FIND("º",SUBSTITUTE(E406,"°","º"))-1)),-1),IF(LEFT(E406,6)="TÉRREO",0,IFERROR(VALUE(LEFT(E406,FIND("º",SUBSTITUTE(E406,"°","º"))-1)),""))))</f>
        <v/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11215688</v>
      </c>
      <c r="C407" s="4" t="s">
        <v>2682</v>
      </c>
      <c r="D407" s="4" t="s">
        <v>3323</v>
      </c>
      <c r="E407" s="4" t="s">
        <v>81</v>
      </c>
      <c r="F407" s="127" t="n">
        <v>45937</v>
      </c>
      <c r="G407" s="127" t="n">
        <v>45940</v>
      </c>
      <c r="H407" s="127" t="n">
        <v>46293</v>
      </c>
      <c r="I407" s="4" t="n">
        <v>100</v>
      </c>
      <c r="J407" s="4" t="n">
        <v>100</v>
      </c>
      <c r="K407" s="4" t="n">
        <v>100</v>
      </c>
      <c r="M407" s="2" t="str">
        <f aca="false">IF(C407="","",IFERROR(INDEX($S$5:$S$304,MATCH(C407,$R$5:$R$304,0))&amp;"","?"))</f>
        <v>16</v>
      </c>
      <c r="N407" s="2" t="str">
        <f aca="false">IF(E407="","",IF(ISNUMBER(SEARCH("SUBSOLO",E407)),IFERROR(-VALUE(LEFT(E407,FIND("º",SUBSTITUTE(E407,"°","º"))-1)),-1),IF(LEFT(E407,6)="TÉRREO",0,IFERROR(VALUE(LEFT(E407,FIND("º",SUBSTITUTE(E407,"°","º"))-1)),""))))</f>
        <v/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11215689</v>
      </c>
      <c r="C408" s="4" t="s">
        <v>2682</v>
      </c>
      <c r="D408" s="4" t="s">
        <v>3324</v>
      </c>
      <c r="E408" s="4" t="s">
        <v>81</v>
      </c>
      <c r="F408" s="127" t="n">
        <v>45937</v>
      </c>
      <c r="G408" s="127" t="n">
        <v>45940</v>
      </c>
      <c r="H408" s="127" t="n">
        <v>46293</v>
      </c>
      <c r="I408" s="4" t="n">
        <v>100</v>
      </c>
      <c r="J408" s="4" t="n">
        <v>100</v>
      </c>
      <c r="K408" s="4" t="n">
        <v>100</v>
      </c>
      <c r="M408" s="2" t="str">
        <f aca="false">IF(C408="","",IFERROR(INDEX($S$5:$S$304,MATCH(C408,$R$5:$R$304,0))&amp;"","?"))</f>
        <v>16</v>
      </c>
      <c r="N408" s="2" t="str">
        <f aca="false">IF(E408="","",IF(ISNUMBER(SEARCH("SUBSOLO",E408)),IFERROR(-VALUE(LEFT(E408,FIND("º",SUBSTITUTE(E408,"°","º"))-1)),-1),IF(LEFT(E408,6)="TÉRREO",0,IFERROR(VALUE(LEFT(E408,FIND("º",SUBSTITUTE(E408,"°","º"))-1)),""))))</f>
        <v/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11215690</v>
      </c>
      <c r="C409" s="4" t="s">
        <v>2682</v>
      </c>
      <c r="D409" s="4" t="s">
        <v>3325</v>
      </c>
      <c r="E409" s="4" t="s">
        <v>81</v>
      </c>
      <c r="F409" s="127" t="n">
        <v>45940</v>
      </c>
      <c r="G409" s="127" t="n">
        <v>45940</v>
      </c>
      <c r="H409" s="127" t="n">
        <v>46293</v>
      </c>
      <c r="I409" s="4" t="n">
        <v>100</v>
      </c>
      <c r="J409" s="4" t="n">
        <v>100</v>
      </c>
      <c r="K409" s="4" t="n">
        <v>100</v>
      </c>
      <c r="M409" s="2" t="str">
        <f aca="false">IF(C409="","",IFERROR(INDEX($S$5:$S$304,MATCH(C409,$R$5:$R$304,0))&amp;"","?"))</f>
        <v>16</v>
      </c>
      <c r="N409" s="2" t="str">
        <f aca="false">IF(E409="","",IF(ISNUMBER(SEARCH("SUBSOLO",E409)),IFERROR(-VALUE(LEFT(E409,FIND("º",SUBSTITUTE(E409,"°","º"))-1)),-1),IF(LEFT(E409,6)="TÉRREO",0,IFERROR(VALUE(LEFT(E409,FIND("º",SUBSTITUTE(E409,"°","º"))-1)),""))))</f>
        <v/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11215697</v>
      </c>
      <c r="C410" s="4" t="s">
        <v>2682</v>
      </c>
      <c r="D410" s="4" t="s">
        <v>3326</v>
      </c>
      <c r="E410" s="4" t="s">
        <v>81</v>
      </c>
      <c r="F410" s="127" t="n">
        <v>45936</v>
      </c>
      <c r="G410" s="127" t="n">
        <v>45939</v>
      </c>
      <c r="H410" s="127" t="n">
        <v>46293</v>
      </c>
      <c r="I410" s="4" t="n">
        <v>100</v>
      </c>
      <c r="J410" s="4" t="n">
        <v>100</v>
      </c>
      <c r="K410" s="4" t="n">
        <v>100</v>
      </c>
      <c r="M410" s="2" t="str">
        <f aca="false">IF(C410="","",IFERROR(INDEX($S$5:$S$304,MATCH(C410,$R$5:$R$304,0))&amp;"","?"))</f>
        <v>16</v>
      </c>
      <c r="N410" s="2" t="str">
        <f aca="false">IF(E410="","",IF(ISNUMBER(SEARCH("SUBSOLO",E410)),IFERROR(-VALUE(LEFT(E410,FIND("º",SUBSTITUTE(E410,"°","º"))-1)),-1),IF(LEFT(E410,6)="TÉRREO",0,IFERROR(VALUE(LEFT(E410,FIND("º",SUBSTITUTE(E410,"°","º"))-1)),""))))</f>
        <v/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11215698</v>
      </c>
      <c r="C411" s="4" t="s">
        <v>2682</v>
      </c>
      <c r="D411" s="4" t="s">
        <v>3327</v>
      </c>
      <c r="E411" s="4" t="s">
        <v>81</v>
      </c>
      <c r="F411" s="127" t="n">
        <v>45944</v>
      </c>
      <c r="G411" s="127" t="n">
        <v>45947</v>
      </c>
      <c r="H411" s="127" t="n">
        <v>46293</v>
      </c>
      <c r="I411" s="4" t="n">
        <v>100</v>
      </c>
      <c r="J411" s="4" t="n">
        <v>100</v>
      </c>
      <c r="K411" s="4" t="n">
        <v>100</v>
      </c>
      <c r="M411" s="2" t="str">
        <f aca="false">IF(C411="","",IFERROR(INDEX($S$5:$S$304,MATCH(C411,$R$5:$R$304,0))&amp;"","?"))</f>
        <v>16</v>
      </c>
      <c r="N411" s="2" t="str">
        <f aca="false">IF(E411="","",IF(ISNUMBER(SEARCH("SUBSOLO",E411)),IFERROR(-VALUE(LEFT(E411,FIND("º",SUBSTITUTE(E411,"°","º"))-1)),-1),IF(LEFT(E411,6)="TÉRREO",0,IFERROR(VALUE(LEFT(E411,FIND("º",SUBSTITUTE(E411,"°","º"))-1)),""))))</f>
        <v/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11215699</v>
      </c>
      <c r="C412" s="4" t="s">
        <v>2682</v>
      </c>
      <c r="D412" s="4" t="s">
        <v>3328</v>
      </c>
      <c r="E412" s="4" t="s">
        <v>81</v>
      </c>
      <c r="F412" s="127" t="n">
        <v>45944</v>
      </c>
      <c r="G412" s="127" t="n">
        <v>45950</v>
      </c>
      <c r="H412" s="127" t="n">
        <v>46293</v>
      </c>
      <c r="I412" s="4" t="n">
        <v>100</v>
      </c>
      <c r="J412" s="4" t="n">
        <v>100</v>
      </c>
      <c r="K412" s="4" t="n">
        <v>100</v>
      </c>
      <c r="M412" s="2" t="str">
        <f aca="false">IF(C412="","",IFERROR(INDEX($S$5:$S$304,MATCH(C412,$R$5:$R$304,0))&amp;"","?"))</f>
        <v>16</v>
      </c>
      <c r="N412" s="2" t="str">
        <f aca="false">IF(E412="","",IF(ISNUMBER(SEARCH("SUBSOLO",E412)),IFERROR(-VALUE(LEFT(E412,FIND("º",SUBSTITUTE(E412,"°","º"))-1)),-1),IF(LEFT(E412,6)="TÉRREO",0,IFERROR(VALUE(LEFT(E412,FIND("º",SUBSTITUTE(E412,"°","º"))-1)),""))))</f>
        <v/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11215700</v>
      </c>
      <c r="C413" s="4" t="s">
        <v>2682</v>
      </c>
      <c r="D413" s="4" t="s">
        <v>3329</v>
      </c>
      <c r="E413" s="4" t="s">
        <v>81</v>
      </c>
      <c r="F413" s="127" t="n">
        <v>45950</v>
      </c>
      <c r="G413" s="127" t="n">
        <v>45950</v>
      </c>
      <c r="H413" s="127" t="n">
        <v>46293</v>
      </c>
      <c r="I413" s="4" t="n">
        <v>100</v>
      </c>
      <c r="J413" s="4" t="n">
        <v>100</v>
      </c>
      <c r="K413" s="4" t="n">
        <v>100</v>
      </c>
      <c r="M413" s="2" t="str">
        <f aca="false">IF(C413="","",IFERROR(INDEX($S$5:$S$304,MATCH(C413,$R$5:$R$304,0))&amp;"","?"))</f>
        <v>16</v>
      </c>
      <c r="N413" s="2" t="str">
        <f aca="false">IF(E413="","",IF(ISNUMBER(SEARCH("SUBSOLO",E413)),IFERROR(-VALUE(LEFT(E413,FIND("º",SUBSTITUTE(E413,"°","º"))-1)),-1),IF(LEFT(E413,6)="TÉRREO",0,IFERROR(VALUE(LEFT(E413,FIND("º",SUBSTITUTE(E413,"°","º"))-1)),""))))</f>
        <v/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11215701</v>
      </c>
      <c r="C414" s="4" t="s">
        <v>2682</v>
      </c>
      <c r="D414" s="4" t="s">
        <v>3330</v>
      </c>
      <c r="E414" s="4" t="s">
        <v>81</v>
      </c>
      <c r="F414" s="127" t="n">
        <v>45951</v>
      </c>
      <c r="G414" s="127" t="n">
        <v>45958</v>
      </c>
      <c r="H414" s="127" t="n">
        <v>46293</v>
      </c>
      <c r="I414" s="4" t="n">
        <v>100</v>
      </c>
      <c r="J414" s="4" t="n">
        <v>100</v>
      </c>
      <c r="K414" s="4" t="n">
        <v>100</v>
      </c>
      <c r="M414" s="2" t="str">
        <f aca="false">IF(C414="","",IFERROR(INDEX($S$5:$S$304,MATCH(C414,$R$5:$R$304,0))&amp;"","?"))</f>
        <v>16</v>
      </c>
      <c r="N414" s="2" t="str">
        <f aca="false">IF(E414="","",IF(ISNUMBER(SEARCH("SUBSOLO",E414)),IFERROR(-VALUE(LEFT(E414,FIND("º",SUBSTITUTE(E414,"°","º"))-1)),-1),IF(LEFT(E414,6)="TÉRREO",0,IFERROR(VALUE(LEFT(E414,FIND("º",SUBSTITUTE(E414,"°","º"))-1)),""))))</f>
        <v/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11215702</v>
      </c>
      <c r="C415" s="4" t="s">
        <v>2682</v>
      </c>
      <c r="D415" s="4" t="s">
        <v>3331</v>
      </c>
      <c r="E415" s="4" t="s">
        <v>81</v>
      </c>
      <c r="F415" s="127" t="n">
        <v>45959</v>
      </c>
      <c r="G415" s="127" t="n">
        <v>45964</v>
      </c>
      <c r="H415" s="127" t="n">
        <v>46293</v>
      </c>
      <c r="I415" s="4" t="n">
        <v>100</v>
      </c>
      <c r="J415" s="4" t="n">
        <v>100</v>
      </c>
      <c r="K415" s="4" t="n">
        <v>100</v>
      </c>
      <c r="M415" s="2" t="str">
        <f aca="false">IF(C415="","",IFERROR(INDEX($S$5:$S$304,MATCH(C415,$R$5:$R$304,0))&amp;"","?"))</f>
        <v>16</v>
      </c>
      <c r="N415" s="2" t="str">
        <f aca="false">IF(E415="","",IF(ISNUMBER(SEARCH("SUBSOLO",E415)),IFERROR(-VALUE(LEFT(E415,FIND("º",SUBSTITUTE(E415,"°","º"))-1)),-1),IF(LEFT(E415,6)="TÉRREO",0,IFERROR(VALUE(LEFT(E415,FIND("º",SUBSTITUTE(E415,"°","º"))-1)),""))))</f>
        <v/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11215703</v>
      </c>
      <c r="C416" s="4" t="s">
        <v>2682</v>
      </c>
      <c r="D416" s="4" t="s">
        <v>3332</v>
      </c>
      <c r="E416" s="4" t="s">
        <v>81</v>
      </c>
      <c r="F416" s="127" t="n">
        <v>45959</v>
      </c>
      <c r="G416" s="127" t="n">
        <v>45964</v>
      </c>
      <c r="H416" s="127" t="n">
        <v>46293</v>
      </c>
      <c r="I416" s="4" t="n">
        <v>100</v>
      </c>
      <c r="J416" s="4" t="n">
        <v>100</v>
      </c>
      <c r="K416" s="4" t="n">
        <v>100</v>
      </c>
      <c r="M416" s="2" t="str">
        <f aca="false">IF(C416="","",IFERROR(INDEX($S$5:$S$304,MATCH(C416,$R$5:$R$304,0))&amp;"","?"))</f>
        <v>16</v>
      </c>
      <c r="N416" s="2" t="str">
        <f aca="false">IF(E416="","",IF(ISNUMBER(SEARCH("SUBSOLO",E416)),IFERROR(-VALUE(LEFT(E416,FIND("º",SUBSTITUTE(E416,"°","º"))-1)),-1),IF(LEFT(E416,6)="TÉRREO",0,IFERROR(VALUE(LEFT(E416,FIND("º",SUBSTITUTE(E416,"°","º"))-1)),""))))</f>
        <v/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11215704</v>
      </c>
      <c r="C417" s="4" t="s">
        <v>2682</v>
      </c>
      <c r="D417" s="4" t="s">
        <v>3333</v>
      </c>
      <c r="E417" s="4" t="s">
        <v>81</v>
      </c>
      <c r="F417" s="127" t="n">
        <v>45964</v>
      </c>
      <c r="G417" s="127" t="n">
        <v>45964</v>
      </c>
      <c r="H417" s="127" t="n">
        <v>46293</v>
      </c>
      <c r="I417" s="4" t="n">
        <v>100</v>
      </c>
      <c r="J417" s="4" t="n">
        <v>100</v>
      </c>
      <c r="K417" s="4" t="n">
        <v>100</v>
      </c>
      <c r="M417" s="2" t="str">
        <f aca="false">IF(C417="","",IFERROR(INDEX($S$5:$S$304,MATCH(C417,$R$5:$R$304,0))&amp;"","?"))</f>
        <v>16</v>
      </c>
      <c r="N417" s="2" t="str">
        <f aca="false">IF(E417="","",IF(ISNUMBER(SEARCH("SUBSOLO",E417)),IFERROR(-VALUE(LEFT(E417,FIND("º",SUBSTITUTE(E417,"°","º"))-1)),-1),IF(LEFT(E417,6)="TÉRREO",0,IFERROR(VALUE(LEFT(E417,FIND("º",SUBSTITUTE(E417,"°","º"))-1)),""))))</f>
        <v/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11215705</v>
      </c>
      <c r="C418" s="4" t="s">
        <v>2682</v>
      </c>
      <c r="D418" s="4" t="s">
        <v>3334</v>
      </c>
      <c r="E418" s="4" t="s">
        <v>81</v>
      </c>
      <c r="F418" s="127" t="n">
        <v>45953</v>
      </c>
      <c r="G418" s="127" t="n">
        <v>45960</v>
      </c>
      <c r="H418" s="127" t="n">
        <v>46293</v>
      </c>
      <c r="I418" s="4" t="n">
        <v>100</v>
      </c>
      <c r="J418" s="4" t="n">
        <v>100</v>
      </c>
      <c r="K418" s="4" t="n">
        <v>100</v>
      </c>
      <c r="M418" s="2" t="str">
        <f aca="false">IF(C418="","",IFERROR(INDEX($S$5:$S$304,MATCH(C418,$R$5:$R$304,0))&amp;"","?"))</f>
        <v>16</v>
      </c>
      <c r="N418" s="2" t="str">
        <f aca="false">IF(E418="","",IF(ISNUMBER(SEARCH("SUBSOLO",E418)),IFERROR(-VALUE(LEFT(E418,FIND("º",SUBSTITUTE(E418,"°","º"))-1)),-1),IF(LEFT(E418,6)="TÉRREO",0,IFERROR(VALUE(LEFT(E418,FIND("º",SUBSTITUTE(E418,"°","º"))-1)),""))))</f>
        <v/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11215706</v>
      </c>
      <c r="C419" s="4" t="s">
        <v>2682</v>
      </c>
      <c r="D419" s="4" t="s">
        <v>3335</v>
      </c>
      <c r="E419" s="4" t="s">
        <v>81</v>
      </c>
      <c r="F419" s="127" t="n">
        <v>45965</v>
      </c>
      <c r="G419" s="127" t="n">
        <v>45968</v>
      </c>
      <c r="H419" s="127" t="n">
        <v>46293</v>
      </c>
      <c r="I419" s="4" t="n">
        <v>100</v>
      </c>
      <c r="J419" s="4" t="n">
        <v>100</v>
      </c>
      <c r="K419" s="4" t="n">
        <v>100</v>
      </c>
      <c r="M419" s="2" t="str">
        <f aca="false">IF(C419="","",IFERROR(INDEX($S$5:$S$304,MATCH(C419,$R$5:$R$304,0))&amp;"","?"))</f>
        <v>16</v>
      </c>
      <c r="N419" s="2" t="str">
        <f aca="false">IF(E419="","",IF(ISNUMBER(SEARCH("SUBSOLO",E419)),IFERROR(-VALUE(LEFT(E419,FIND("º",SUBSTITUTE(E419,"°","º"))-1)),-1),IF(LEFT(E419,6)="TÉRREO",0,IFERROR(VALUE(LEFT(E419,FIND("º",SUBSTITUTE(E419,"°","º"))-1)),""))))</f>
        <v/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11215802</v>
      </c>
      <c r="C420" s="4" t="s">
        <v>2682</v>
      </c>
      <c r="D420" s="4" t="s">
        <v>3336</v>
      </c>
      <c r="E420" s="4" t="s">
        <v>81</v>
      </c>
      <c r="F420" s="127" t="n">
        <v>45965</v>
      </c>
      <c r="G420" s="127" t="n">
        <v>45968</v>
      </c>
      <c r="H420" s="127" t="n">
        <v>46293</v>
      </c>
      <c r="I420" s="4" t="n">
        <v>100</v>
      </c>
      <c r="J420" s="4" t="n">
        <v>100</v>
      </c>
      <c r="K420" s="4" t="n">
        <v>100</v>
      </c>
      <c r="M420" s="2" t="str">
        <f aca="false">IF(C420="","",IFERROR(INDEX($S$5:$S$304,MATCH(C420,$R$5:$R$304,0))&amp;"","?"))</f>
        <v>16</v>
      </c>
      <c r="N420" s="2" t="str">
        <f aca="false">IF(E420="","",IF(ISNUMBER(SEARCH("SUBSOLO",E420)),IFERROR(-VALUE(LEFT(E420,FIND("º",SUBSTITUTE(E420,"°","º"))-1)),-1),IF(LEFT(E420,6)="TÉRREO",0,IFERROR(VALUE(LEFT(E420,FIND("º",SUBSTITUTE(E420,"°","º"))-1)),""))))</f>
        <v/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11215803</v>
      </c>
      <c r="C421" s="4" t="s">
        <v>2682</v>
      </c>
      <c r="D421" s="4" t="s">
        <v>3337</v>
      </c>
      <c r="E421" s="4" t="s">
        <v>81</v>
      </c>
      <c r="F421" s="127" t="n">
        <v>45968</v>
      </c>
      <c r="G421" s="127" t="n">
        <v>45968</v>
      </c>
      <c r="H421" s="127" t="n">
        <v>46293</v>
      </c>
      <c r="I421" s="4" t="n">
        <v>100</v>
      </c>
      <c r="J421" s="4" t="n">
        <v>100</v>
      </c>
      <c r="K421" s="4" t="n">
        <v>100</v>
      </c>
      <c r="M421" s="2" t="str">
        <f aca="false">IF(C421="","",IFERROR(INDEX($S$5:$S$304,MATCH(C421,$R$5:$R$304,0))&amp;"","?"))</f>
        <v>16</v>
      </c>
      <c r="N421" s="2" t="str">
        <f aca="false">IF(E421="","",IF(ISNUMBER(SEARCH("SUBSOLO",E421)),IFERROR(-VALUE(LEFT(E421,FIND("º",SUBSTITUTE(E421,"°","º"))-1)),-1),IF(LEFT(E421,6)="TÉRREO",0,IFERROR(VALUE(LEFT(E421,FIND("º",SUBSTITUTE(E421,"°","º"))-1)),""))))</f>
        <v/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11215804</v>
      </c>
      <c r="C422" s="4" t="s">
        <v>2682</v>
      </c>
      <c r="D422" s="4" t="s">
        <v>3338</v>
      </c>
      <c r="E422" s="4" t="s">
        <v>81</v>
      </c>
      <c r="F422" s="127" t="n">
        <v>45929</v>
      </c>
      <c r="G422" s="127" t="n">
        <v>45933</v>
      </c>
      <c r="H422" s="127" t="n">
        <v>46293</v>
      </c>
      <c r="I422" s="4" t="n">
        <v>100</v>
      </c>
      <c r="J422" s="4" t="n">
        <v>100</v>
      </c>
      <c r="K422" s="4" t="n">
        <v>100</v>
      </c>
      <c r="M422" s="2" t="str">
        <f aca="false">IF(C422="","",IFERROR(INDEX($S$5:$S$304,MATCH(C422,$R$5:$R$304,0))&amp;"","?"))</f>
        <v>16</v>
      </c>
      <c r="N422" s="2" t="str">
        <f aca="false">IF(E422="","",IF(ISNUMBER(SEARCH("SUBSOLO",E422)),IFERROR(-VALUE(LEFT(E422,FIND("º",SUBSTITUTE(E422,"°","º"))-1)),-1),IF(LEFT(E422,6)="TÉRREO",0,IFERROR(VALUE(LEFT(E422,FIND("º",SUBSTITUTE(E422,"°","º"))-1)),""))))</f>
        <v/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11215805</v>
      </c>
      <c r="C423" s="4" t="s">
        <v>2682</v>
      </c>
      <c r="D423" s="4" t="s">
        <v>3339</v>
      </c>
      <c r="E423" s="4" t="s">
        <v>81</v>
      </c>
      <c r="F423" s="127" t="n">
        <v>45937</v>
      </c>
      <c r="G423" s="127" t="n">
        <v>45940</v>
      </c>
      <c r="H423" s="127" t="n">
        <v>46293</v>
      </c>
      <c r="I423" s="4" t="n">
        <v>100</v>
      </c>
      <c r="J423" s="4" t="n">
        <v>100</v>
      </c>
      <c r="K423" s="4" t="n">
        <v>100</v>
      </c>
      <c r="M423" s="2" t="str">
        <f aca="false">IF(C423="","",IFERROR(INDEX($S$5:$S$304,MATCH(C423,$R$5:$R$304,0))&amp;"","?"))</f>
        <v>16</v>
      </c>
      <c r="N423" s="2" t="str">
        <f aca="false">IF(E423="","",IF(ISNUMBER(SEARCH("SUBSOLO",E423)),IFERROR(-VALUE(LEFT(E423,FIND("º",SUBSTITUTE(E423,"°","º"))-1)),-1),IF(LEFT(E423,6)="TÉRREO",0,IFERROR(VALUE(LEFT(E423,FIND("º",SUBSTITUTE(E423,"°","º"))-1)),""))))</f>
        <v/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11215806</v>
      </c>
      <c r="C424" s="4" t="s">
        <v>2682</v>
      </c>
      <c r="D424" s="4" t="s">
        <v>3340</v>
      </c>
      <c r="E424" s="4" t="s">
        <v>81</v>
      </c>
      <c r="F424" s="127" t="n">
        <v>45937</v>
      </c>
      <c r="G424" s="127" t="n">
        <v>45940</v>
      </c>
      <c r="H424" s="127" t="n">
        <v>46293</v>
      </c>
      <c r="I424" s="4" t="n">
        <v>100</v>
      </c>
      <c r="J424" s="4" t="n">
        <v>100</v>
      </c>
      <c r="K424" s="4" t="n">
        <v>100</v>
      </c>
      <c r="M424" s="2" t="str">
        <f aca="false">IF(C424="","",IFERROR(INDEX($S$5:$S$304,MATCH(C424,$R$5:$R$304,0))&amp;"","?"))</f>
        <v>16</v>
      </c>
      <c r="N424" s="2" t="str">
        <f aca="false">IF(E424="","",IF(ISNUMBER(SEARCH("SUBSOLO",E424)),IFERROR(-VALUE(LEFT(E424,FIND("º",SUBSTITUTE(E424,"°","º"))-1)),-1),IF(LEFT(E424,6)="TÉRREO",0,IFERROR(VALUE(LEFT(E424,FIND("º",SUBSTITUTE(E424,"°","º"))-1)),""))))</f>
        <v/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11215807</v>
      </c>
      <c r="C425" s="4" t="s">
        <v>2682</v>
      </c>
      <c r="D425" s="4" t="s">
        <v>3341</v>
      </c>
      <c r="E425" s="4" t="s">
        <v>81</v>
      </c>
      <c r="F425" s="127" t="n">
        <v>45940</v>
      </c>
      <c r="G425" s="127" t="n">
        <v>45940</v>
      </c>
      <c r="H425" s="127" t="n">
        <v>46293</v>
      </c>
      <c r="I425" s="4" t="n">
        <v>100</v>
      </c>
      <c r="J425" s="4" t="n">
        <v>100</v>
      </c>
      <c r="K425" s="4" t="n">
        <v>100</v>
      </c>
      <c r="M425" s="2" t="str">
        <f aca="false">IF(C425="","",IFERROR(INDEX($S$5:$S$304,MATCH(C425,$R$5:$R$304,0))&amp;"","?"))</f>
        <v>16</v>
      </c>
      <c r="N425" s="2" t="str">
        <f aca="false">IF(E425="","",IF(ISNUMBER(SEARCH("SUBSOLO",E425)),IFERROR(-VALUE(LEFT(E425,FIND("º",SUBSTITUTE(E425,"°","º"))-1)),-1),IF(LEFT(E425,6)="TÉRREO",0,IFERROR(VALUE(LEFT(E425,FIND("º",SUBSTITUTE(E425,"°","º"))-1)),""))))</f>
        <v/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11215813</v>
      </c>
      <c r="C426" s="4" t="s">
        <v>2682</v>
      </c>
      <c r="D426" s="4" t="s">
        <v>3342</v>
      </c>
      <c r="E426" s="4" t="s">
        <v>81</v>
      </c>
      <c r="F426" s="127" t="n">
        <v>45929</v>
      </c>
      <c r="G426" s="127" t="n">
        <v>45933</v>
      </c>
      <c r="H426" s="127" t="n">
        <v>46293</v>
      </c>
      <c r="I426" s="4" t="n">
        <v>100</v>
      </c>
      <c r="J426" s="4" t="n">
        <v>100</v>
      </c>
      <c r="K426" s="4" t="n">
        <v>100</v>
      </c>
      <c r="M426" s="2" t="str">
        <f aca="false">IF(C426="","",IFERROR(INDEX($S$5:$S$304,MATCH(C426,$R$5:$R$304,0))&amp;"","?"))</f>
        <v>16</v>
      </c>
      <c r="N426" s="2" t="str">
        <f aca="false">IF(E426="","",IF(ISNUMBER(SEARCH("SUBSOLO",E426)),IFERROR(-VALUE(LEFT(E426,FIND("º",SUBSTITUTE(E426,"°","º"))-1)),-1),IF(LEFT(E426,6)="TÉRREO",0,IFERROR(VALUE(LEFT(E426,FIND("º",SUBSTITUTE(E426,"°","º"))-1)),""))))</f>
        <v/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11215814</v>
      </c>
      <c r="C427" s="4" t="s">
        <v>2682</v>
      </c>
      <c r="D427" s="4" t="s">
        <v>3343</v>
      </c>
      <c r="E427" s="4" t="s">
        <v>81</v>
      </c>
      <c r="F427" s="127" t="n">
        <v>45937</v>
      </c>
      <c r="G427" s="127" t="n">
        <v>45940</v>
      </c>
      <c r="H427" s="127" t="n">
        <v>46293</v>
      </c>
      <c r="I427" s="4" t="n">
        <v>100</v>
      </c>
      <c r="J427" s="4" t="n">
        <v>100</v>
      </c>
      <c r="K427" s="4" t="n">
        <v>100</v>
      </c>
      <c r="M427" s="2" t="str">
        <f aca="false">IF(C427="","",IFERROR(INDEX($S$5:$S$304,MATCH(C427,$R$5:$R$304,0))&amp;"","?"))</f>
        <v>16</v>
      </c>
      <c r="N427" s="2" t="str">
        <f aca="false">IF(E427="","",IF(ISNUMBER(SEARCH("SUBSOLO",E427)),IFERROR(-VALUE(LEFT(E427,FIND("º",SUBSTITUTE(E427,"°","º"))-1)),-1),IF(LEFT(E427,6)="TÉRREO",0,IFERROR(VALUE(LEFT(E427,FIND("º",SUBSTITUTE(E427,"°","º"))-1)),""))))</f>
        <v/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11215815</v>
      </c>
      <c r="C428" s="4" t="s">
        <v>2682</v>
      </c>
      <c r="D428" s="4" t="s">
        <v>3344</v>
      </c>
      <c r="E428" s="4" t="s">
        <v>81</v>
      </c>
      <c r="F428" s="127" t="n">
        <v>45937</v>
      </c>
      <c r="G428" s="127" t="n">
        <v>45940</v>
      </c>
      <c r="H428" s="127" t="n">
        <v>46293</v>
      </c>
      <c r="I428" s="4" t="n">
        <v>100</v>
      </c>
      <c r="J428" s="4" t="n">
        <v>100</v>
      </c>
      <c r="K428" s="4" t="n">
        <v>100</v>
      </c>
      <c r="M428" s="2" t="str">
        <f aca="false">IF(C428="","",IFERROR(INDEX($S$5:$S$304,MATCH(C428,$R$5:$R$304,0))&amp;"","?"))</f>
        <v>16</v>
      </c>
      <c r="N428" s="2" t="str">
        <f aca="false">IF(E428="","",IF(ISNUMBER(SEARCH("SUBSOLO",E428)),IFERROR(-VALUE(LEFT(E428,FIND("º",SUBSTITUTE(E428,"°","º"))-1)),-1),IF(LEFT(E428,6)="TÉRREO",0,IFERROR(VALUE(LEFT(E428,FIND("º",SUBSTITUTE(E428,"°","º"))-1)),""))))</f>
        <v/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11215816</v>
      </c>
      <c r="C429" s="4" t="s">
        <v>2682</v>
      </c>
      <c r="D429" s="4" t="s">
        <v>3345</v>
      </c>
      <c r="E429" s="4" t="s">
        <v>81</v>
      </c>
      <c r="F429" s="127" t="n">
        <v>45940</v>
      </c>
      <c r="G429" s="127" t="n">
        <v>45940</v>
      </c>
      <c r="H429" s="127" t="n">
        <v>46293</v>
      </c>
      <c r="I429" s="4" t="n">
        <v>100</v>
      </c>
      <c r="J429" s="4" t="n">
        <v>100</v>
      </c>
      <c r="K429" s="4" t="n">
        <v>100</v>
      </c>
      <c r="M429" s="2" t="str">
        <f aca="false">IF(C429="","",IFERROR(INDEX($S$5:$S$304,MATCH(C429,$R$5:$R$304,0))&amp;"","?"))</f>
        <v>16</v>
      </c>
      <c r="N429" s="2" t="str">
        <f aca="false">IF(E429="","",IF(ISNUMBER(SEARCH("SUBSOLO",E429)),IFERROR(-VALUE(LEFT(E429,FIND("º",SUBSTITUTE(E429,"°","º"))-1)),-1),IF(LEFT(E429,6)="TÉRREO",0,IFERROR(VALUE(LEFT(E429,FIND("º",SUBSTITUTE(E429,"°","º"))-1)),""))))</f>
        <v/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11215820</v>
      </c>
      <c r="C430" s="4" t="s">
        <v>2682</v>
      </c>
      <c r="D430" s="4" t="s">
        <v>3346</v>
      </c>
      <c r="E430" s="4" t="s">
        <v>81</v>
      </c>
      <c r="F430" s="127" t="n">
        <v>45940</v>
      </c>
      <c r="G430" s="127" t="n">
        <v>45946</v>
      </c>
      <c r="H430" s="127" t="n">
        <v>46293</v>
      </c>
      <c r="I430" s="4" t="n">
        <v>100</v>
      </c>
      <c r="J430" s="4" t="n">
        <v>100</v>
      </c>
      <c r="K430" s="4" t="n">
        <v>100</v>
      </c>
      <c r="M430" s="2" t="str">
        <f aca="false">IF(C430="","",IFERROR(INDEX($S$5:$S$304,MATCH(C430,$R$5:$R$304,0))&amp;"","?"))</f>
        <v>16</v>
      </c>
      <c r="N430" s="2" t="str">
        <f aca="false">IF(E430="","",IF(ISNUMBER(SEARCH("SUBSOLO",E430)),IFERROR(-VALUE(LEFT(E430,FIND("º",SUBSTITUTE(E430,"°","º"))-1)),-1),IF(LEFT(E430,6)="TÉRREO",0,IFERROR(VALUE(LEFT(E430,FIND("º",SUBSTITUTE(E430,"°","º"))-1)),""))))</f>
        <v/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11215821</v>
      </c>
      <c r="C431" s="4" t="s">
        <v>2682</v>
      </c>
      <c r="D431" s="4" t="s">
        <v>3347</v>
      </c>
      <c r="E431" s="4" t="s">
        <v>81</v>
      </c>
      <c r="F431" s="127" t="n">
        <v>45950</v>
      </c>
      <c r="G431" s="127" t="n">
        <v>45953</v>
      </c>
      <c r="H431" s="127" t="n">
        <v>46293</v>
      </c>
      <c r="I431" s="4" t="n">
        <v>100</v>
      </c>
      <c r="J431" s="4" t="n">
        <v>100</v>
      </c>
      <c r="K431" s="4" t="n">
        <v>100</v>
      </c>
      <c r="M431" s="2" t="str">
        <f aca="false">IF(C431="","",IFERROR(INDEX($S$5:$S$304,MATCH(C431,$R$5:$R$304,0))&amp;"","?"))</f>
        <v>16</v>
      </c>
      <c r="N431" s="2" t="str">
        <f aca="false">IF(E431="","",IF(ISNUMBER(SEARCH("SUBSOLO",E431)),IFERROR(-VALUE(LEFT(E431,FIND("º",SUBSTITUTE(E431,"°","º"))-1)),-1),IF(LEFT(E431,6)="TÉRREO",0,IFERROR(VALUE(LEFT(E431,FIND("º",SUBSTITUTE(E431,"°","º"))-1)),""))))</f>
        <v/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11215822</v>
      </c>
      <c r="C432" s="4" t="s">
        <v>2682</v>
      </c>
      <c r="D432" s="4" t="s">
        <v>3348</v>
      </c>
      <c r="E432" s="4" t="s">
        <v>81</v>
      </c>
      <c r="F432" s="127" t="n">
        <v>45950</v>
      </c>
      <c r="G432" s="127" t="n">
        <v>45953</v>
      </c>
      <c r="H432" s="127" t="n">
        <v>46293</v>
      </c>
      <c r="I432" s="4" t="n">
        <v>100</v>
      </c>
      <c r="J432" s="4" t="n">
        <v>100</v>
      </c>
      <c r="K432" s="4" t="n">
        <v>100</v>
      </c>
      <c r="M432" s="2" t="str">
        <f aca="false">IF(C432="","",IFERROR(INDEX($S$5:$S$304,MATCH(C432,$R$5:$R$304,0))&amp;"","?"))</f>
        <v>16</v>
      </c>
      <c r="N432" s="2" t="str">
        <f aca="false">IF(E432="","",IF(ISNUMBER(SEARCH("SUBSOLO",E432)),IFERROR(-VALUE(LEFT(E432,FIND("º",SUBSTITUTE(E432,"°","º"))-1)),-1),IF(LEFT(E432,6)="TÉRREO",0,IFERROR(VALUE(LEFT(E432,FIND("º",SUBSTITUTE(E432,"°","º"))-1)),""))))</f>
        <v/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11215823</v>
      </c>
      <c r="C433" s="4" t="s">
        <v>2682</v>
      </c>
      <c r="D433" s="4" t="s">
        <v>3349</v>
      </c>
      <c r="E433" s="4" t="s">
        <v>81</v>
      </c>
      <c r="F433" s="127" t="n">
        <v>45953</v>
      </c>
      <c r="G433" s="127" t="n">
        <v>45953</v>
      </c>
      <c r="H433" s="127" t="n">
        <v>46293</v>
      </c>
      <c r="I433" s="4" t="n">
        <v>100</v>
      </c>
      <c r="J433" s="4" t="n">
        <v>100</v>
      </c>
      <c r="K433" s="4" t="n">
        <v>100</v>
      </c>
      <c r="M433" s="2" t="str">
        <f aca="false">IF(C433="","",IFERROR(INDEX($S$5:$S$304,MATCH(C433,$R$5:$R$304,0))&amp;"","?"))</f>
        <v>16</v>
      </c>
      <c r="N433" s="2" t="str">
        <f aca="false">IF(E433="","",IF(ISNUMBER(SEARCH("SUBSOLO",E433)),IFERROR(-VALUE(LEFT(E433,FIND("º",SUBSTITUTE(E433,"°","º"))-1)),-1),IF(LEFT(E433,6)="TÉRREO",0,IFERROR(VALUE(LEFT(E433,FIND("º",SUBSTITUTE(E433,"°","º"))-1)),""))))</f>
        <v/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11215824</v>
      </c>
      <c r="C434" s="4" t="s">
        <v>2682</v>
      </c>
      <c r="D434" s="4" t="s">
        <v>3350</v>
      </c>
      <c r="E434" s="4" t="s">
        <v>81</v>
      </c>
      <c r="F434" s="127" t="n">
        <v>45957</v>
      </c>
      <c r="G434" s="127" t="n">
        <v>45961</v>
      </c>
      <c r="H434" s="127" t="n">
        <v>46293</v>
      </c>
      <c r="I434" s="4" t="n">
        <v>100</v>
      </c>
      <c r="J434" s="4" t="n">
        <v>100</v>
      </c>
      <c r="K434" s="4" t="n">
        <v>100</v>
      </c>
      <c r="M434" s="2" t="str">
        <f aca="false">IF(C434="","",IFERROR(INDEX($S$5:$S$304,MATCH(C434,$R$5:$R$304,0))&amp;"","?"))</f>
        <v>16</v>
      </c>
      <c r="N434" s="2" t="str">
        <f aca="false">IF(E434="","",IF(ISNUMBER(SEARCH("SUBSOLO",E434)),IFERROR(-VALUE(LEFT(E434,FIND("º",SUBSTITUTE(E434,"°","º"))-1)),-1),IF(LEFT(E434,6)="TÉRREO",0,IFERROR(VALUE(LEFT(E434,FIND("º",SUBSTITUTE(E434,"°","º"))-1)),""))))</f>
        <v/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11215825</v>
      </c>
      <c r="C435" s="4" t="s">
        <v>2682</v>
      </c>
      <c r="D435" s="4" t="s">
        <v>3351</v>
      </c>
      <c r="E435" s="4" t="s">
        <v>81</v>
      </c>
      <c r="F435" s="127" t="n">
        <v>45965</v>
      </c>
      <c r="G435" s="127" t="n">
        <v>45968</v>
      </c>
      <c r="H435" s="127" t="n">
        <v>46293</v>
      </c>
      <c r="I435" s="4" t="n">
        <v>100</v>
      </c>
      <c r="J435" s="4" t="n">
        <v>100</v>
      </c>
      <c r="K435" s="4" t="n">
        <v>100</v>
      </c>
      <c r="M435" s="2" t="str">
        <f aca="false">IF(C435="","",IFERROR(INDEX($S$5:$S$304,MATCH(C435,$R$5:$R$304,0))&amp;"","?"))</f>
        <v>16</v>
      </c>
      <c r="N435" s="2" t="str">
        <f aca="false">IF(E435="","",IF(ISNUMBER(SEARCH("SUBSOLO",E435)),IFERROR(-VALUE(LEFT(E435,FIND("º",SUBSTITUTE(E435,"°","º"))-1)),-1),IF(LEFT(E435,6)="TÉRREO",0,IFERROR(VALUE(LEFT(E435,FIND("º",SUBSTITUTE(E435,"°","º"))-1)),""))))</f>
        <v/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11215826</v>
      </c>
      <c r="C436" s="4" t="s">
        <v>2682</v>
      </c>
      <c r="D436" s="4" t="s">
        <v>3352</v>
      </c>
      <c r="E436" s="4" t="s">
        <v>81</v>
      </c>
      <c r="F436" s="127" t="n">
        <v>45965</v>
      </c>
      <c r="G436" s="127" t="n">
        <v>45968</v>
      </c>
      <c r="H436" s="127" t="n">
        <v>46293</v>
      </c>
      <c r="I436" s="4" t="n">
        <v>100</v>
      </c>
      <c r="J436" s="4" t="n">
        <v>100</v>
      </c>
      <c r="K436" s="4" t="n">
        <v>100</v>
      </c>
      <c r="M436" s="2" t="str">
        <f aca="false">IF(C436="","",IFERROR(INDEX($S$5:$S$304,MATCH(C436,$R$5:$R$304,0))&amp;"","?"))</f>
        <v>16</v>
      </c>
      <c r="N436" s="2" t="str">
        <f aca="false">IF(E436="","",IF(ISNUMBER(SEARCH("SUBSOLO",E436)),IFERROR(-VALUE(LEFT(E436,FIND("º",SUBSTITUTE(E436,"°","º"))-1)),-1),IF(LEFT(E436,6)="TÉRREO",0,IFERROR(VALUE(LEFT(E436,FIND("º",SUBSTITUTE(E436,"°","º"))-1)),""))))</f>
        <v/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11215827</v>
      </c>
      <c r="C437" s="4" t="s">
        <v>2682</v>
      </c>
      <c r="D437" s="4" t="s">
        <v>3353</v>
      </c>
      <c r="E437" s="4" t="s">
        <v>81</v>
      </c>
      <c r="F437" s="127" t="n">
        <v>45968</v>
      </c>
      <c r="G437" s="127" t="n">
        <v>45968</v>
      </c>
      <c r="H437" s="127" t="n">
        <v>46293</v>
      </c>
      <c r="I437" s="4" t="n">
        <v>100</v>
      </c>
      <c r="J437" s="4" t="n">
        <v>100</v>
      </c>
      <c r="K437" s="4" t="n">
        <v>100</v>
      </c>
      <c r="M437" s="2" t="str">
        <f aca="false">IF(C437="","",IFERROR(INDEX($S$5:$S$304,MATCH(C437,$R$5:$R$304,0))&amp;"","?"))</f>
        <v>16</v>
      </c>
      <c r="N437" s="2" t="str">
        <f aca="false">IF(E437="","",IF(ISNUMBER(SEARCH("SUBSOLO",E437)),IFERROR(-VALUE(LEFT(E437,FIND("º",SUBSTITUTE(E437,"°","º"))-1)),-1),IF(LEFT(E437,6)="TÉRREO",0,IFERROR(VALUE(LEFT(E437,FIND("º",SUBSTITUTE(E437,"°","º"))-1)),""))))</f>
        <v/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11215828</v>
      </c>
      <c r="C438" s="4" t="s">
        <v>2682</v>
      </c>
      <c r="D438" s="4" t="s">
        <v>3354</v>
      </c>
      <c r="E438" s="4" t="s">
        <v>81</v>
      </c>
      <c r="F438" s="127" t="n">
        <v>45965</v>
      </c>
      <c r="G438" s="127" t="n">
        <v>45971</v>
      </c>
      <c r="H438" s="127" t="n">
        <v>46293</v>
      </c>
      <c r="I438" s="4" t="n">
        <v>100</v>
      </c>
      <c r="J438" s="4" t="n">
        <v>100</v>
      </c>
      <c r="K438" s="4" t="n">
        <v>100</v>
      </c>
      <c r="M438" s="2" t="str">
        <f aca="false">IF(C438="","",IFERROR(INDEX($S$5:$S$304,MATCH(C438,$R$5:$R$304,0))&amp;"","?"))</f>
        <v>16</v>
      </c>
      <c r="N438" s="2" t="str">
        <f aca="false">IF(E438="","",IF(ISNUMBER(SEARCH("SUBSOLO",E438)),IFERROR(-VALUE(LEFT(E438,FIND("º",SUBSTITUTE(E438,"°","º"))-1)),-1),IF(LEFT(E438,6)="TÉRREO",0,IFERROR(VALUE(LEFT(E438,FIND("º",SUBSTITUTE(E438,"°","º"))-1)),""))))</f>
        <v/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11215829</v>
      </c>
      <c r="C439" s="4" t="s">
        <v>2682</v>
      </c>
      <c r="D439" s="4" t="s">
        <v>3355</v>
      </c>
      <c r="E439" s="4" t="s">
        <v>81</v>
      </c>
      <c r="F439" s="127" t="n">
        <v>45973</v>
      </c>
      <c r="G439" s="127" t="n">
        <v>45974</v>
      </c>
      <c r="H439" s="127" t="n">
        <v>46293</v>
      </c>
      <c r="I439" s="4" t="n">
        <v>100</v>
      </c>
      <c r="J439" s="4" t="n">
        <v>100</v>
      </c>
      <c r="K439" s="4" t="n">
        <v>100</v>
      </c>
      <c r="M439" s="2" t="str">
        <f aca="false">IF(C439="","",IFERROR(INDEX($S$5:$S$304,MATCH(C439,$R$5:$R$304,0))&amp;"","?"))</f>
        <v>16</v>
      </c>
      <c r="N439" s="2" t="str">
        <f aca="false">IF(E439="","",IF(ISNUMBER(SEARCH("SUBSOLO",E439)),IFERROR(-VALUE(LEFT(E439,FIND("º",SUBSTITUTE(E439,"°","º"))-1)),-1),IF(LEFT(E439,6)="TÉRREO",0,IFERROR(VALUE(LEFT(E439,FIND("º",SUBSTITUTE(E439,"°","º"))-1)),""))))</f>
        <v/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11215830</v>
      </c>
      <c r="C440" s="4" t="s">
        <v>2682</v>
      </c>
      <c r="D440" s="4" t="s">
        <v>3356</v>
      </c>
      <c r="E440" s="4" t="s">
        <v>81</v>
      </c>
      <c r="F440" s="127" t="n">
        <v>45973</v>
      </c>
      <c r="G440" s="127" t="n">
        <v>45975</v>
      </c>
      <c r="H440" s="127" t="n">
        <v>46293</v>
      </c>
      <c r="I440" s="4" t="n">
        <v>100</v>
      </c>
      <c r="J440" s="4" t="n">
        <v>100</v>
      </c>
      <c r="K440" s="4" t="n">
        <v>100</v>
      </c>
      <c r="M440" s="2" t="str">
        <f aca="false">IF(C440="","",IFERROR(INDEX($S$5:$S$304,MATCH(C440,$R$5:$R$304,0))&amp;"","?"))</f>
        <v>16</v>
      </c>
      <c r="N440" s="2" t="str">
        <f aca="false">IF(E440="","",IF(ISNUMBER(SEARCH("SUBSOLO",E440)),IFERROR(-VALUE(LEFT(E440,FIND("º",SUBSTITUTE(E440,"°","º"))-1)),-1),IF(LEFT(E440,6)="TÉRREO",0,IFERROR(VALUE(LEFT(E440,FIND("º",SUBSTITUTE(E440,"°","º"))-1)),""))))</f>
        <v/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11215831</v>
      </c>
      <c r="C441" s="4" t="s">
        <v>2682</v>
      </c>
      <c r="D441" s="4" t="s">
        <v>3357</v>
      </c>
      <c r="E441" s="4" t="s">
        <v>81</v>
      </c>
      <c r="F441" s="127" t="n">
        <v>45975</v>
      </c>
      <c r="G441" s="127" t="n">
        <v>45975</v>
      </c>
      <c r="H441" s="127" t="n">
        <v>46293</v>
      </c>
      <c r="I441" s="4" t="n">
        <v>100</v>
      </c>
      <c r="J441" s="4" t="n">
        <v>100</v>
      </c>
      <c r="K441" s="4" t="n">
        <v>100</v>
      </c>
      <c r="M441" s="2" t="str">
        <f aca="false">IF(C441="","",IFERROR(INDEX($S$5:$S$304,MATCH(C441,$R$5:$R$304,0))&amp;"","?"))</f>
        <v>16</v>
      </c>
      <c r="N441" s="2" t="str">
        <f aca="false">IF(E441="","",IF(ISNUMBER(SEARCH("SUBSOLO",E441)),IFERROR(-VALUE(LEFT(E441,FIND("º",SUBSTITUTE(E441,"°","º"))-1)),-1),IF(LEFT(E441,6)="TÉRREO",0,IFERROR(VALUE(LEFT(E441,FIND("º",SUBSTITUTE(E441,"°","º"))-1)),""))))</f>
        <v/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11215832</v>
      </c>
      <c r="C442" s="4" t="s">
        <v>2682</v>
      </c>
      <c r="D442" s="4" t="s">
        <v>3358</v>
      </c>
      <c r="E442" s="4" t="s">
        <v>81</v>
      </c>
      <c r="F442" s="127" t="n">
        <v>45868</v>
      </c>
      <c r="G442" s="127" t="n">
        <v>45940</v>
      </c>
      <c r="H442" s="127" t="n">
        <v>46293</v>
      </c>
      <c r="I442" s="4" t="n">
        <v>100</v>
      </c>
      <c r="J442" s="4" t="n">
        <v>100</v>
      </c>
      <c r="K442" s="4" t="n">
        <v>100</v>
      </c>
      <c r="M442" s="2" t="str">
        <f aca="false">IF(C442="","",IFERROR(INDEX($S$5:$S$304,MATCH(C442,$R$5:$R$304,0))&amp;"","?"))</f>
        <v>16</v>
      </c>
      <c r="N442" s="2" t="str">
        <f aca="false">IF(E442="","",IF(ISNUMBER(SEARCH("SUBSOLO",E442)),IFERROR(-VALUE(LEFT(E442,FIND("º",SUBSTITUTE(E442,"°","º"))-1)),-1),IF(LEFT(E442,6)="TÉRREO",0,IFERROR(VALUE(LEFT(E442,FIND("º",SUBSTITUTE(E442,"°","º"))-1)),""))))</f>
        <v/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11215834</v>
      </c>
      <c r="C443" s="4" t="s">
        <v>2682</v>
      </c>
      <c r="D443" s="4" t="s">
        <v>3359</v>
      </c>
      <c r="E443" s="4" t="s">
        <v>81</v>
      </c>
      <c r="F443" s="127" t="n">
        <v>45946</v>
      </c>
      <c r="G443" s="127" t="n">
        <v>45953</v>
      </c>
      <c r="H443" s="127" t="n">
        <v>46293</v>
      </c>
      <c r="I443" s="4" t="n">
        <v>100</v>
      </c>
      <c r="J443" s="4" t="n">
        <v>100</v>
      </c>
      <c r="K443" s="4" t="n">
        <v>100</v>
      </c>
      <c r="M443" s="2" t="str">
        <f aca="false">IF(C443="","",IFERROR(INDEX($S$5:$S$304,MATCH(C443,$R$5:$R$304,0))&amp;"","?"))</f>
        <v>16</v>
      </c>
      <c r="N443" s="2" t="str">
        <f aca="false">IF(E443="","",IF(ISNUMBER(SEARCH("SUBSOLO",E443)),IFERROR(-VALUE(LEFT(E443,FIND("º",SUBSTITUTE(E443,"°","º"))-1)),-1),IF(LEFT(E443,6)="TÉRREO",0,IFERROR(VALUE(LEFT(E443,FIND("º",SUBSTITUTE(E443,"°","º"))-1)),""))))</f>
        <v/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11215835</v>
      </c>
      <c r="C444" s="4" t="s">
        <v>2682</v>
      </c>
      <c r="D444" s="4" t="s">
        <v>3360</v>
      </c>
      <c r="E444" s="4" t="s">
        <v>81</v>
      </c>
      <c r="F444" s="127" t="n">
        <v>45954</v>
      </c>
      <c r="G444" s="127" t="n">
        <v>45954</v>
      </c>
      <c r="H444" s="127" t="n">
        <v>46293</v>
      </c>
      <c r="I444" s="4" t="n">
        <v>100</v>
      </c>
      <c r="J444" s="4" t="n">
        <v>100</v>
      </c>
      <c r="K444" s="4" t="n">
        <v>100</v>
      </c>
      <c r="M444" s="2" t="str">
        <f aca="false">IF(C444="","",IFERROR(INDEX($S$5:$S$304,MATCH(C444,$R$5:$R$304,0))&amp;"","?"))</f>
        <v>16</v>
      </c>
      <c r="N444" s="2" t="str">
        <f aca="false">IF(E444="","",IF(ISNUMBER(SEARCH("SUBSOLO",E444)),IFERROR(-VALUE(LEFT(E444,FIND("º",SUBSTITUTE(E444,"°","º"))-1)),-1),IF(LEFT(E444,6)="TÉRREO",0,IFERROR(VALUE(LEFT(E444,FIND("º",SUBSTITUTE(E444,"°","º"))-1)),""))))</f>
        <v/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13404732</v>
      </c>
      <c r="C445" s="4" t="s">
        <v>2682</v>
      </c>
      <c r="D445" s="4" t="s">
        <v>3361</v>
      </c>
      <c r="E445" s="4" t="s">
        <v>81</v>
      </c>
      <c r="F445" s="127" t="n">
        <v>45960</v>
      </c>
      <c r="G445" s="127" t="n">
        <v>45960</v>
      </c>
      <c r="H445" s="127" t="n">
        <v>46293</v>
      </c>
      <c r="I445" s="4" t="n">
        <v>100</v>
      </c>
      <c r="J445" s="4" t="n">
        <v>100</v>
      </c>
      <c r="K445" s="4" t="n">
        <v>100</v>
      </c>
      <c r="M445" s="2" t="str">
        <f aca="false">IF(C445="","",IFERROR(INDEX($S$5:$S$304,MATCH(C445,$R$5:$R$304,0))&amp;"","?"))</f>
        <v>16</v>
      </c>
      <c r="N445" s="2" t="str">
        <f aca="false">IF(E445="","",IF(ISNUMBER(SEARCH("SUBSOLO",E445)),IFERROR(-VALUE(LEFT(E445,FIND("º",SUBSTITUTE(E445,"°","º"))-1)),-1),IF(LEFT(E445,6)="TÉRREO",0,IFERROR(VALUE(LEFT(E445,FIND("º",SUBSTITUTE(E445,"°","º"))-1)),""))))</f>
        <v/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13774586</v>
      </c>
      <c r="C446" s="4" t="s">
        <v>2682</v>
      </c>
      <c r="D446" s="4" t="s">
        <v>3362</v>
      </c>
      <c r="E446" s="4" t="s">
        <v>81</v>
      </c>
      <c r="F446" s="127" t="n">
        <v>45931</v>
      </c>
      <c r="G446" s="127" t="n">
        <v>45936</v>
      </c>
      <c r="H446" s="127" t="n">
        <v>46293</v>
      </c>
      <c r="I446" s="4" t="n">
        <v>100</v>
      </c>
      <c r="J446" s="4" t="n">
        <v>100</v>
      </c>
      <c r="K446" s="4" t="n">
        <v>100</v>
      </c>
      <c r="M446" s="2" t="str">
        <f aca="false">IF(C446="","",IFERROR(INDEX($S$5:$S$304,MATCH(C446,$R$5:$R$304,0))&amp;"","?"))</f>
        <v>16</v>
      </c>
      <c r="N446" s="2" t="str">
        <f aca="false">IF(E446="","",IF(ISNUMBER(SEARCH("SUBSOLO",E446)),IFERROR(-VALUE(LEFT(E446,FIND("º",SUBSTITUTE(E446,"°","º"))-1)),-1),IF(LEFT(E446,6)="TÉRREO",0,IFERROR(VALUE(LEFT(E446,FIND("º",SUBSTITUTE(E446,"°","º"))-1)),""))))</f>
        <v/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13774587</v>
      </c>
      <c r="C447" s="4" t="s">
        <v>2682</v>
      </c>
      <c r="D447" s="4" t="s">
        <v>3363</v>
      </c>
      <c r="E447" s="4" t="s">
        <v>81</v>
      </c>
      <c r="F447" s="127" t="n">
        <v>45938</v>
      </c>
      <c r="G447" s="127" t="n">
        <v>45943</v>
      </c>
      <c r="H447" s="127" t="n">
        <v>46293</v>
      </c>
      <c r="I447" s="4" t="n">
        <v>100</v>
      </c>
      <c r="J447" s="4" t="n">
        <v>100</v>
      </c>
      <c r="K447" s="4" t="n">
        <v>100</v>
      </c>
      <c r="M447" s="2" t="str">
        <f aca="false">IF(C447="","",IFERROR(INDEX($S$5:$S$304,MATCH(C447,$R$5:$R$304,0))&amp;"","?"))</f>
        <v>16</v>
      </c>
      <c r="N447" s="2" t="str">
        <f aca="false">IF(E447="","",IF(ISNUMBER(SEARCH("SUBSOLO",E447)),IFERROR(-VALUE(LEFT(E447,FIND("º",SUBSTITUTE(E447,"°","º"))-1)),-1),IF(LEFT(E447,6)="TÉRREO",0,IFERROR(VALUE(LEFT(E447,FIND("º",SUBSTITUTE(E447,"°","º"))-1)),""))))</f>
        <v/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13774588</v>
      </c>
      <c r="C448" s="4" t="s">
        <v>2682</v>
      </c>
      <c r="D448" s="4" t="s">
        <v>3364</v>
      </c>
      <c r="E448" s="4" t="s">
        <v>81</v>
      </c>
      <c r="F448" s="127" t="n">
        <v>45953</v>
      </c>
      <c r="G448" s="127" t="n">
        <v>45958</v>
      </c>
      <c r="H448" s="127" t="n">
        <v>46293</v>
      </c>
      <c r="I448" s="4" t="n">
        <v>100</v>
      </c>
      <c r="J448" s="4" t="n">
        <v>100</v>
      </c>
      <c r="K448" s="4" t="n">
        <v>100</v>
      </c>
      <c r="M448" s="2" t="str">
        <f aca="false">IF(C448="","",IFERROR(INDEX($S$5:$S$304,MATCH(C448,$R$5:$R$304,0))&amp;"","?"))</f>
        <v>16</v>
      </c>
      <c r="N448" s="2" t="str">
        <f aca="false">IF(E448="","",IF(ISNUMBER(SEARCH("SUBSOLO",E448)),IFERROR(-VALUE(LEFT(E448,FIND("º",SUBSTITUTE(E448,"°","º"))-1)),-1),IF(LEFT(E448,6)="TÉRREO",0,IFERROR(VALUE(LEFT(E448,FIND("º",SUBSTITUTE(E448,"°","º"))-1)),""))))</f>
        <v/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13774589</v>
      </c>
      <c r="C449" s="4" t="s">
        <v>2682</v>
      </c>
      <c r="D449" s="4" t="s">
        <v>3365</v>
      </c>
      <c r="E449" s="4" t="s">
        <v>81</v>
      </c>
      <c r="F449" s="127" t="n">
        <v>45959</v>
      </c>
      <c r="G449" s="127" t="n">
        <v>45964</v>
      </c>
      <c r="H449" s="127" t="n">
        <v>46293</v>
      </c>
      <c r="I449" s="4" t="n">
        <v>100</v>
      </c>
      <c r="J449" s="4" t="n">
        <v>100</v>
      </c>
      <c r="K449" s="4" t="n">
        <v>100</v>
      </c>
      <c r="M449" s="2" t="str">
        <f aca="false">IF(C449="","",IFERROR(INDEX($S$5:$S$304,MATCH(C449,$R$5:$R$304,0))&amp;"","?"))</f>
        <v>16</v>
      </c>
      <c r="N449" s="2" t="str">
        <f aca="false">IF(E449="","",IF(ISNUMBER(SEARCH("SUBSOLO",E449)),IFERROR(-VALUE(LEFT(E449,FIND("º",SUBSTITUTE(E449,"°","º"))-1)),-1),IF(LEFT(E449,6)="TÉRREO",0,IFERROR(VALUE(LEFT(E449,FIND("º",SUBSTITUTE(E449,"°","º"))-1)),""))))</f>
        <v/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13774590</v>
      </c>
      <c r="C450" s="4" t="s">
        <v>2682</v>
      </c>
      <c r="D450" s="4" t="s">
        <v>3366</v>
      </c>
      <c r="E450" s="4" t="s">
        <v>81</v>
      </c>
      <c r="F450" s="127" t="n">
        <v>45931</v>
      </c>
      <c r="G450" s="127" t="n">
        <v>45936</v>
      </c>
      <c r="H450" s="127" t="n">
        <v>46293</v>
      </c>
      <c r="I450" s="4" t="n">
        <v>100</v>
      </c>
      <c r="J450" s="4" t="n">
        <v>100</v>
      </c>
      <c r="K450" s="4" t="n">
        <v>100</v>
      </c>
      <c r="M450" s="2" t="str">
        <f aca="false">IF(C450="","",IFERROR(INDEX($S$5:$S$304,MATCH(C450,$R$5:$R$304,0))&amp;"","?"))</f>
        <v>16</v>
      </c>
      <c r="N450" s="2" t="str">
        <f aca="false">IF(E450="","",IF(ISNUMBER(SEARCH("SUBSOLO",E450)),IFERROR(-VALUE(LEFT(E450,FIND("º",SUBSTITUTE(E450,"°","º"))-1)),-1),IF(LEFT(E450,6)="TÉRREO",0,IFERROR(VALUE(LEFT(E450,FIND("º",SUBSTITUTE(E450,"°","º"))-1)),""))))</f>
        <v/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13774591</v>
      </c>
      <c r="C451" s="4" t="s">
        <v>2682</v>
      </c>
      <c r="D451" s="4" t="s">
        <v>3367</v>
      </c>
      <c r="E451" s="4" t="s">
        <v>81</v>
      </c>
      <c r="F451" s="127" t="n">
        <v>45931</v>
      </c>
      <c r="G451" s="127" t="n">
        <v>45936</v>
      </c>
      <c r="H451" s="127" t="n">
        <v>46293</v>
      </c>
      <c r="I451" s="4" t="n">
        <v>100</v>
      </c>
      <c r="J451" s="4" t="n">
        <v>100</v>
      </c>
      <c r="K451" s="4" t="n">
        <v>100</v>
      </c>
      <c r="M451" s="2" t="str">
        <f aca="false">IF(C451="","",IFERROR(INDEX($S$5:$S$304,MATCH(C451,$R$5:$R$304,0))&amp;"","?"))</f>
        <v>16</v>
      </c>
      <c r="N451" s="2" t="str">
        <f aca="false">IF(E451="","",IF(ISNUMBER(SEARCH("SUBSOLO",E451)),IFERROR(-VALUE(LEFT(E451,FIND("º",SUBSTITUTE(E451,"°","º"))-1)),-1),IF(LEFT(E451,6)="TÉRREO",0,IFERROR(VALUE(LEFT(E451,FIND("º",SUBSTITUTE(E451,"°","º"))-1)),""))))</f>
        <v/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13774592</v>
      </c>
      <c r="C452" s="4" t="s">
        <v>2682</v>
      </c>
      <c r="D452" s="4" t="s">
        <v>3368</v>
      </c>
      <c r="E452" s="4" t="s">
        <v>81</v>
      </c>
      <c r="F452" s="127" t="n">
        <v>45944</v>
      </c>
      <c r="G452" s="127" t="n">
        <v>45947</v>
      </c>
      <c r="H452" s="127" t="n">
        <v>46293</v>
      </c>
      <c r="I452" s="4" t="n">
        <v>100</v>
      </c>
      <c r="J452" s="4" t="n">
        <v>100</v>
      </c>
      <c r="K452" s="4" t="n">
        <v>100</v>
      </c>
      <c r="M452" s="2" t="str">
        <f aca="false">IF(C452="","",IFERROR(INDEX($S$5:$S$304,MATCH(C452,$R$5:$R$304,0))&amp;"","?"))</f>
        <v>16</v>
      </c>
      <c r="N452" s="2" t="str">
        <f aca="false">IF(E452="","",IF(ISNUMBER(SEARCH("SUBSOLO",E452)),IFERROR(-VALUE(LEFT(E452,FIND("º",SUBSTITUTE(E452,"°","º"))-1)),-1),IF(LEFT(E452,6)="TÉRREO",0,IFERROR(VALUE(LEFT(E452,FIND("º",SUBSTITUTE(E452,"°","º"))-1)),""))))</f>
        <v/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13774593</v>
      </c>
      <c r="C453" s="4" t="s">
        <v>2682</v>
      </c>
      <c r="D453" s="4" t="s">
        <v>3369</v>
      </c>
      <c r="E453" s="4" t="s">
        <v>81</v>
      </c>
      <c r="F453" s="127" t="n">
        <v>45959</v>
      </c>
      <c r="G453" s="127" t="n">
        <v>45964</v>
      </c>
      <c r="H453" s="127" t="n">
        <v>46293</v>
      </c>
      <c r="I453" s="4" t="n">
        <v>100</v>
      </c>
      <c r="J453" s="4" t="n">
        <v>100</v>
      </c>
      <c r="K453" s="4" t="n">
        <v>100</v>
      </c>
      <c r="M453" s="2" t="str">
        <f aca="false">IF(C453="","",IFERROR(INDEX($S$5:$S$304,MATCH(C453,$R$5:$R$304,0))&amp;"","?"))</f>
        <v>16</v>
      </c>
      <c r="N453" s="2" t="str">
        <f aca="false">IF(E453="","",IF(ISNUMBER(SEARCH("SUBSOLO",E453)),IFERROR(-VALUE(LEFT(E453,FIND("º",SUBSTITUTE(E453,"°","º"))-1)),-1),IF(LEFT(E453,6)="TÉRREO",0,IFERROR(VALUE(LEFT(E453,FIND("º",SUBSTITUTE(E453,"°","º"))-1)),""))))</f>
        <v/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13774594</v>
      </c>
      <c r="C454" s="4" t="s">
        <v>2682</v>
      </c>
      <c r="D454" s="4" t="s">
        <v>3370</v>
      </c>
      <c r="E454" s="4" t="s">
        <v>81</v>
      </c>
      <c r="F454" s="127" t="n">
        <v>45967</v>
      </c>
      <c r="G454" s="127" t="n">
        <v>45972</v>
      </c>
      <c r="H454" s="127" t="n">
        <v>46293</v>
      </c>
      <c r="I454" s="4" t="n">
        <v>100</v>
      </c>
      <c r="J454" s="4" t="n">
        <v>100</v>
      </c>
      <c r="K454" s="4" t="n">
        <v>100</v>
      </c>
      <c r="M454" s="2" t="str">
        <f aca="false">IF(C454="","",IFERROR(INDEX($S$5:$S$304,MATCH(C454,$R$5:$R$304,0))&amp;"","?"))</f>
        <v>16</v>
      </c>
      <c r="N454" s="2" t="str">
        <f aca="false">IF(E454="","",IF(ISNUMBER(SEARCH("SUBSOLO",E454)),IFERROR(-VALUE(LEFT(E454,FIND("º",SUBSTITUTE(E454,"°","º"))-1)),-1),IF(LEFT(E454,6)="TÉRREO",0,IFERROR(VALUE(LEFT(E454,FIND("º",SUBSTITUTE(E454,"°","º"))-1)),""))))</f>
        <v/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13774595</v>
      </c>
      <c r="C455" s="4" t="s">
        <v>2682</v>
      </c>
      <c r="D455" s="4" t="s">
        <v>3371</v>
      </c>
      <c r="E455" s="4" t="s">
        <v>81</v>
      </c>
      <c r="F455" s="127" t="n">
        <v>45868</v>
      </c>
      <c r="G455" s="127" t="n">
        <v>45873</v>
      </c>
      <c r="H455" s="127" t="n">
        <v>46293</v>
      </c>
      <c r="I455" s="4" t="n">
        <v>100</v>
      </c>
      <c r="J455" s="4" t="n">
        <v>100</v>
      </c>
      <c r="K455" s="4" t="n">
        <v>100</v>
      </c>
      <c r="M455" s="2" t="str">
        <f aca="false">IF(C455="","",IFERROR(INDEX($S$5:$S$304,MATCH(C455,$R$5:$R$304,0))&amp;"","?"))</f>
        <v>16</v>
      </c>
      <c r="N455" s="2" t="str">
        <f aca="false">IF(E455="","",IF(ISNUMBER(SEARCH("SUBSOLO",E455)),IFERROR(-VALUE(LEFT(E455,FIND("º",SUBSTITUTE(E455,"°","º"))-1)),-1),IF(LEFT(E455,6)="TÉRREO",0,IFERROR(VALUE(LEFT(E455,FIND("º",SUBSTITUTE(E455,"°","º"))-1)),""))))</f>
        <v/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13775254</v>
      </c>
      <c r="C456" s="4" t="s">
        <v>2682</v>
      </c>
      <c r="D456" s="4" t="s">
        <v>3372</v>
      </c>
      <c r="E456" s="4" t="s">
        <v>81</v>
      </c>
      <c r="F456" s="127" t="n">
        <v>45940</v>
      </c>
      <c r="G456" s="127" t="n">
        <v>45945</v>
      </c>
      <c r="H456" s="127" t="n">
        <v>46293</v>
      </c>
      <c r="I456" s="4" t="n">
        <v>100</v>
      </c>
      <c r="J456" s="4" t="n">
        <v>100</v>
      </c>
      <c r="K456" s="4" t="n">
        <v>100</v>
      </c>
      <c r="M456" s="2" t="str">
        <f aca="false">IF(C456="","",IFERROR(INDEX($S$5:$S$304,MATCH(C456,$R$5:$R$304,0))&amp;"","?"))</f>
        <v>16</v>
      </c>
      <c r="N456" s="2" t="str">
        <f aca="false">IF(E456="","",IF(ISNUMBER(SEARCH("SUBSOLO",E456)),IFERROR(-VALUE(LEFT(E456,FIND("º",SUBSTITUTE(E456,"°","º"))-1)),-1),IF(LEFT(E456,6)="TÉRREO",0,IFERROR(VALUE(LEFT(E456,FIND("º",SUBSTITUTE(E456,"°","º"))-1)),""))))</f>
        <v/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13779853</v>
      </c>
      <c r="C457" s="4" t="s">
        <v>2682</v>
      </c>
      <c r="D457" s="4" t="s">
        <v>3373</v>
      </c>
      <c r="E457" s="4" t="s">
        <v>81</v>
      </c>
      <c r="F457" s="127" t="n">
        <v>45961</v>
      </c>
      <c r="G457" s="127" t="n">
        <v>45975</v>
      </c>
      <c r="H457" s="127" t="n">
        <v>46293</v>
      </c>
      <c r="I457" s="4" t="n">
        <v>100</v>
      </c>
      <c r="J457" s="4" t="n">
        <v>100</v>
      </c>
      <c r="K457" s="4" t="n">
        <v>100</v>
      </c>
      <c r="M457" s="2" t="str">
        <f aca="false">IF(C457="","",IFERROR(INDEX($S$5:$S$304,MATCH(C457,$R$5:$R$304,0))&amp;"","?"))</f>
        <v>16</v>
      </c>
      <c r="N457" s="2" t="str">
        <f aca="false">IF(E457="","",IF(ISNUMBER(SEARCH("SUBSOLO",E457)),IFERROR(-VALUE(LEFT(E457,FIND("º",SUBSTITUTE(E457,"°","º"))-1)),-1),IF(LEFT(E457,6)="TÉRREO",0,IFERROR(VALUE(LEFT(E457,FIND("º",SUBSTITUTE(E457,"°","º"))-1)),""))))</f>
        <v/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26734326</v>
      </c>
      <c r="C458" s="4" t="s">
        <v>2684</v>
      </c>
      <c r="D458" s="4" t="s">
        <v>433</v>
      </c>
      <c r="E458" s="4" t="s">
        <v>3374</v>
      </c>
      <c r="F458" s="127" t="n">
        <v>45873</v>
      </c>
      <c r="G458" s="127" t="n">
        <v>45887</v>
      </c>
      <c r="H458" s="127" t="n">
        <v>46293</v>
      </c>
      <c r="I458" s="4" t="n">
        <v>100</v>
      </c>
      <c r="J458" s="4" t="n">
        <v>100</v>
      </c>
      <c r="K458" s="4" t="n">
        <v>100</v>
      </c>
      <c r="M458" s="2" t="str">
        <f aca="false">IF(C458="","",IFERROR(INDEX($S$5:$S$304,MATCH(C458,$R$5:$R$304,0))&amp;"","?"))</f>
        <v>17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-4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9522309</v>
      </c>
      <c r="C459" s="4" t="s">
        <v>2684</v>
      </c>
      <c r="D459" s="4" t="s">
        <v>3244</v>
      </c>
      <c r="E459" s="4" t="s">
        <v>3374</v>
      </c>
      <c r="F459" s="127" t="n">
        <v>45873</v>
      </c>
      <c r="G459" s="127" t="n">
        <v>45874</v>
      </c>
      <c r="H459" s="127" t="n">
        <v>46293</v>
      </c>
      <c r="I459" s="4" t="n">
        <v>100</v>
      </c>
      <c r="J459" s="4" t="n">
        <v>100</v>
      </c>
      <c r="K459" s="4" t="n">
        <v>100</v>
      </c>
      <c r="M459" s="2" t="str">
        <f aca="false">IF(C459="","",IFERROR(INDEX($S$5:$S$304,MATCH(C459,$R$5:$R$304,0))&amp;"","?"))</f>
        <v>17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-4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9522310</v>
      </c>
      <c r="C460" s="4" t="s">
        <v>2684</v>
      </c>
      <c r="D460" s="4" t="s">
        <v>3245</v>
      </c>
      <c r="E460" s="4" t="s">
        <v>3374</v>
      </c>
      <c r="F460" s="127" t="n">
        <v>45875</v>
      </c>
      <c r="G460" s="127" t="n">
        <v>45876</v>
      </c>
      <c r="H460" s="127" t="n">
        <v>46293</v>
      </c>
      <c r="I460" s="4" t="n">
        <v>100</v>
      </c>
      <c r="J460" s="4" t="n">
        <v>100</v>
      </c>
      <c r="K460" s="4" t="n">
        <v>100</v>
      </c>
      <c r="M460" s="2" t="str">
        <f aca="false">IF(C460="","",IFERROR(INDEX($S$5:$S$304,MATCH(C460,$R$5:$R$304,0))&amp;"","?"))</f>
        <v>17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-4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9522311</v>
      </c>
      <c r="C461" s="4" t="s">
        <v>2684</v>
      </c>
      <c r="D461" s="4" t="s">
        <v>3246</v>
      </c>
      <c r="E461" s="4" t="s">
        <v>3374</v>
      </c>
      <c r="F461" s="127" t="n">
        <v>45876</v>
      </c>
      <c r="G461" s="127" t="n">
        <v>45876</v>
      </c>
      <c r="H461" s="127" t="n">
        <v>46293</v>
      </c>
      <c r="I461" s="4" t="n">
        <v>100</v>
      </c>
      <c r="J461" s="4" t="n">
        <v>100</v>
      </c>
      <c r="K461" s="4" t="n">
        <v>100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-4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9522312</v>
      </c>
      <c r="C462" s="4" t="s">
        <v>2684</v>
      </c>
      <c r="D462" s="4" t="s">
        <v>3247</v>
      </c>
      <c r="E462" s="4" t="s">
        <v>3374</v>
      </c>
      <c r="F462" s="127" t="n">
        <v>45877</v>
      </c>
      <c r="G462" s="127" t="n">
        <v>45877</v>
      </c>
      <c r="H462" s="127" t="n">
        <v>46293</v>
      </c>
      <c r="I462" s="4" t="n">
        <v>100</v>
      </c>
      <c r="J462" s="4" t="n">
        <v>100</v>
      </c>
      <c r="K462" s="4" t="n">
        <v>100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-4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9522313</v>
      </c>
      <c r="C463" s="4" t="s">
        <v>2684</v>
      </c>
      <c r="D463" s="4" t="s">
        <v>3248</v>
      </c>
      <c r="E463" s="4" t="s">
        <v>3374</v>
      </c>
      <c r="F463" s="127" t="n">
        <v>45880</v>
      </c>
      <c r="G463" s="127" t="n">
        <v>45883</v>
      </c>
      <c r="H463" s="127" t="n">
        <v>46293</v>
      </c>
      <c r="I463" s="4" t="n">
        <v>100</v>
      </c>
      <c r="J463" s="4" t="n">
        <v>100</v>
      </c>
      <c r="K463" s="4" t="n">
        <v>100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-4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9522314</v>
      </c>
      <c r="C464" s="4" t="s">
        <v>2684</v>
      </c>
      <c r="D464" s="4" t="s">
        <v>3249</v>
      </c>
      <c r="E464" s="4" t="s">
        <v>3374</v>
      </c>
      <c r="F464" s="127" t="n">
        <v>45881</v>
      </c>
      <c r="G464" s="127" t="n">
        <v>45887</v>
      </c>
      <c r="H464" s="127" t="n">
        <v>46293</v>
      </c>
      <c r="I464" s="4" t="n">
        <v>100</v>
      </c>
      <c r="J464" s="4" t="n">
        <v>100</v>
      </c>
      <c r="K464" s="4" t="n">
        <v>100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-4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9522315</v>
      </c>
      <c r="C465" s="4" t="s">
        <v>2684</v>
      </c>
      <c r="D465" s="4" t="s">
        <v>3250</v>
      </c>
      <c r="E465" s="4" t="s">
        <v>3374</v>
      </c>
      <c r="F465" s="127" t="n">
        <v>45883</v>
      </c>
      <c r="G465" s="127" t="n">
        <v>45883</v>
      </c>
      <c r="H465" s="127" t="n">
        <v>46293</v>
      </c>
      <c r="I465" s="4" t="n">
        <v>100</v>
      </c>
      <c r="J465" s="4" t="n">
        <v>100</v>
      </c>
      <c r="K465" s="4" t="n">
        <v>100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-4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9522316</v>
      </c>
      <c r="C466" s="4" t="s">
        <v>2684</v>
      </c>
      <c r="D466" s="4" t="s">
        <v>3251</v>
      </c>
      <c r="E466" s="4" t="s">
        <v>3374</v>
      </c>
      <c r="F466" s="127" t="n">
        <v>45883</v>
      </c>
      <c r="G466" s="127" t="n">
        <v>45883</v>
      </c>
      <c r="H466" s="127" t="n">
        <v>46293</v>
      </c>
      <c r="I466" s="4" t="n">
        <v>100</v>
      </c>
      <c r="J466" s="4" t="n">
        <v>100</v>
      </c>
      <c r="K466" s="4" t="n">
        <v>100</v>
      </c>
      <c r="M466" s="2" t="str">
        <f aca="false">IF(C466="","",IFERROR(INDEX($S$5:$S$304,MATCH(C466,$R$5:$R$304,0))&amp;"","?"))</f>
        <v>17</v>
      </c>
      <c r="N466" s="2" t="n">
        <f aca="false">IF(E466="","",IF(ISNUMBER(SEARCH("SUBSOLO",E466)),IFERROR(-VALUE(LEFT(E466,FIND("º",SUBSTITUTE(E466,"°","º"))-1)),-1),IF(LEFT(E466,6)="TÉRREO",0,IFERROR(VALUE(LEFT(E466,FIND("º",SUBSTITUTE(E466,"°","º"))-1)),""))))</f>
        <v>-4</v>
      </c>
      <c r="O466" s="2" t="str">
        <f aca="false">IF(OR(F466="",G466=""),"",IF(G466&lt;='RETRATO 2027'!$K$5,"CONCLUÍDA",IF(F466&lt;='RETRATO 2027'!$K$5,"EM ANDAMENTO","A INICIAR")))</f>
        <v>CONCLUÍDA</v>
      </c>
    </row>
    <row r="467" customFormat="false" ht="15" hidden="false" customHeight="false" outlineLevel="0" collapsed="false">
      <c r="B467" s="4" t="n">
        <v>9522317</v>
      </c>
      <c r="C467" s="4" t="s">
        <v>2684</v>
      </c>
      <c r="D467" s="4" t="s">
        <v>3252</v>
      </c>
      <c r="E467" s="4" t="s">
        <v>3374</v>
      </c>
      <c r="F467" s="127" t="n">
        <v>45887</v>
      </c>
      <c r="G467" s="127" t="n">
        <v>45887</v>
      </c>
      <c r="H467" s="127" t="n">
        <v>46293</v>
      </c>
      <c r="I467" s="4" t="n">
        <v>100</v>
      </c>
      <c r="J467" s="4" t="n">
        <v>100</v>
      </c>
      <c r="K467" s="4" t="n">
        <v>100</v>
      </c>
      <c r="M467" s="2" t="str">
        <f aca="false">IF(C467="","",IFERROR(INDEX($S$5:$S$304,MATCH(C467,$R$5:$R$304,0))&amp;"","?"))</f>
        <v>17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-4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26734327</v>
      </c>
      <c r="C468" s="4" t="s">
        <v>2684</v>
      </c>
      <c r="D468" s="4" t="s">
        <v>433</v>
      </c>
      <c r="E468" s="4" t="s">
        <v>3375</v>
      </c>
      <c r="F468" s="127" t="n">
        <v>45887</v>
      </c>
      <c r="G468" s="127" t="n">
        <v>45908</v>
      </c>
      <c r="H468" s="127" t="n">
        <v>46293</v>
      </c>
      <c r="I468" s="4" t="n">
        <v>100</v>
      </c>
      <c r="J468" s="4" t="n">
        <v>100</v>
      </c>
      <c r="K468" s="4" t="n">
        <v>100</v>
      </c>
      <c r="M468" s="2" t="str">
        <f aca="false">IF(C468="","",IFERROR(INDEX($S$5:$S$304,MATCH(C468,$R$5:$R$304,0))&amp;"","?"))</f>
        <v>17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-3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9522318</v>
      </c>
      <c r="C469" s="4" t="s">
        <v>2684</v>
      </c>
      <c r="D469" s="4" t="s">
        <v>3244</v>
      </c>
      <c r="E469" s="4" t="s">
        <v>3375</v>
      </c>
      <c r="F469" s="127" t="n">
        <v>45887</v>
      </c>
      <c r="G469" s="127" t="n">
        <v>45889</v>
      </c>
      <c r="H469" s="127" t="n">
        <v>46293</v>
      </c>
      <c r="I469" s="4" t="n">
        <v>100</v>
      </c>
      <c r="J469" s="4" t="n">
        <v>100</v>
      </c>
      <c r="K469" s="4" t="n">
        <v>100</v>
      </c>
      <c r="M469" s="2" t="str">
        <f aca="false">IF(C469="","",IFERROR(INDEX($S$5:$S$304,MATCH(C469,$R$5:$R$304,0))&amp;"","?"))</f>
        <v>17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-3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9522319</v>
      </c>
      <c r="C470" s="4" t="s">
        <v>2684</v>
      </c>
      <c r="D470" s="4" t="s">
        <v>3245</v>
      </c>
      <c r="E470" s="4" t="s">
        <v>3375</v>
      </c>
      <c r="F470" s="127" t="n">
        <v>45889</v>
      </c>
      <c r="G470" s="127" t="n">
        <v>45891</v>
      </c>
      <c r="H470" s="127" t="n">
        <v>46293</v>
      </c>
      <c r="I470" s="4" t="n">
        <v>100</v>
      </c>
      <c r="J470" s="4" t="n">
        <v>100</v>
      </c>
      <c r="K470" s="4" t="n">
        <v>100</v>
      </c>
      <c r="M470" s="2" t="str">
        <f aca="false">IF(C470="","",IFERROR(INDEX($S$5:$S$304,MATCH(C470,$R$5:$R$304,0))&amp;"","?"))</f>
        <v>17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-3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9522320</v>
      </c>
      <c r="C471" s="4" t="s">
        <v>2684</v>
      </c>
      <c r="D471" s="4" t="s">
        <v>3246</v>
      </c>
      <c r="E471" s="4" t="s">
        <v>3375</v>
      </c>
      <c r="F471" s="127" t="n">
        <v>45890</v>
      </c>
      <c r="G471" s="127" t="n">
        <v>45896</v>
      </c>
      <c r="H471" s="127" t="n">
        <v>46293</v>
      </c>
      <c r="I471" s="4" t="n">
        <v>100</v>
      </c>
      <c r="J471" s="4" t="n">
        <v>100</v>
      </c>
      <c r="K471" s="4" t="n">
        <v>100</v>
      </c>
      <c r="M471" s="2" t="str">
        <f aca="false">IF(C471="","",IFERROR(INDEX($S$5:$S$304,MATCH(C471,$R$5:$R$304,0))&amp;"","?"))</f>
        <v>17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-3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9522321</v>
      </c>
      <c r="C472" s="4" t="s">
        <v>2684</v>
      </c>
      <c r="D472" s="4" t="s">
        <v>3247</v>
      </c>
      <c r="E472" s="4" t="s">
        <v>3375</v>
      </c>
      <c r="F472" s="127" t="n">
        <v>45897</v>
      </c>
      <c r="G472" s="127" t="n">
        <v>45897</v>
      </c>
      <c r="H472" s="127" t="n">
        <v>46293</v>
      </c>
      <c r="I472" s="4" t="n">
        <v>100</v>
      </c>
      <c r="J472" s="4" t="n">
        <v>100</v>
      </c>
      <c r="K472" s="4" t="n">
        <v>100</v>
      </c>
      <c r="M472" s="2" t="str">
        <f aca="false">IF(C472="","",IFERROR(INDEX($S$5:$S$304,MATCH(C472,$R$5:$R$304,0))&amp;"","?"))</f>
        <v>17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-3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9522322</v>
      </c>
      <c r="C473" s="4" t="s">
        <v>2684</v>
      </c>
      <c r="D473" s="4" t="s">
        <v>3248</v>
      </c>
      <c r="E473" s="4" t="s">
        <v>3375</v>
      </c>
      <c r="F473" s="127" t="n">
        <v>45898</v>
      </c>
      <c r="G473" s="127" t="n">
        <v>45905</v>
      </c>
      <c r="H473" s="127" t="n">
        <v>46293</v>
      </c>
      <c r="I473" s="4" t="n">
        <v>100</v>
      </c>
      <c r="J473" s="4" t="n">
        <v>100</v>
      </c>
      <c r="K473" s="4" t="n">
        <v>100</v>
      </c>
      <c r="M473" s="2" t="str">
        <f aca="false">IF(C473="","",IFERROR(INDEX($S$5:$S$304,MATCH(C473,$R$5:$R$304,0))&amp;"","?"))</f>
        <v>17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-3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9522323</v>
      </c>
      <c r="C474" s="4" t="s">
        <v>2684</v>
      </c>
      <c r="D474" s="4" t="s">
        <v>3249</v>
      </c>
      <c r="E474" s="4" t="s">
        <v>3375</v>
      </c>
      <c r="F474" s="127" t="n">
        <v>45901</v>
      </c>
      <c r="G474" s="127" t="n">
        <v>45908</v>
      </c>
      <c r="H474" s="127" t="n">
        <v>46293</v>
      </c>
      <c r="I474" s="4" t="n">
        <v>100</v>
      </c>
      <c r="J474" s="4" t="n">
        <v>100</v>
      </c>
      <c r="K474" s="4" t="n">
        <v>100</v>
      </c>
      <c r="M474" s="2" t="str">
        <f aca="false">IF(C474="","",IFERROR(INDEX($S$5:$S$304,MATCH(C474,$R$5:$R$304,0))&amp;"","?"))</f>
        <v>17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-3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9522324</v>
      </c>
      <c r="C475" s="4" t="s">
        <v>2684</v>
      </c>
      <c r="D475" s="4" t="s">
        <v>3250</v>
      </c>
      <c r="E475" s="4" t="s">
        <v>3375</v>
      </c>
      <c r="F475" s="127" t="n">
        <v>45905</v>
      </c>
      <c r="G475" s="127" t="n">
        <v>45905</v>
      </c>
      <c r="H475" s="127" t="n">
        <v>46293</v>
      </c>
      <c r="I475" s="4" t="n">
        <v>100</v>
      </c>
      <c r="J475" s="4" t="n">
        <v>100</v>
      </c>
      <c r="K475" s="4" t="n">
        <v>100</v>
      </c>
      <c r="M475" s="2" t="str">
        <f aca="false">IF(C475="","",IFERROR(INDEX($S$5:$S$304,MATCH(C475,$R$5:$R$304,0))&amp;"","?"))</f>
        <v>17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-3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9522325</v>
      </c>
      <c r="C476" s="4" t="s">
        <v>2684</v>
      </c>
      <c r="D476" s="4" t="s">
        <v>3251</v>
      </c>
      <c r="E476" s="4" t="s">
        <v>3375</v>
      </c>
      <c r="F476" s="127" t="n">
        <v>45905</v>
      </c>
      <c r="G476" s="127" t="n">
        <v>45905</v>
      </c>
      <c r="H476" s="127" t="n">
        <v>46293</v>
      </c>
      <c r="I476" s="4" t="n">
        <v>100</v>
      </c>
      <c r="J476" s="4" t="n">
        <v>100</v>
      </c>
      <c r="K476" s="4" t="n">
        <v>100</v>
      </c>
      <c r="M476" s="2" t="str">
        <f aca="false">IF(C476="","",IFERROR(INDEX($S$5:$S$304,MATCH(C476,$R$5:$R$304,0))&amp;"","?"))</f>
        <v>17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-3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9522326</v>
      </c>
      <c r="C477" s="4" t="s">
        <v>2684</v>
      </c>
      <c r="D477" s="4" t="s">
        <v>3252</v>
      </c>
      <c r="E477" s="4" t="s">
        <v>3375</v>
      </c>
      <c r="F477" s="127" t="n">
        <v>45908</v>
      </c>
      <c r="G477" s="127" t="n">
        <v>45908</v>
      </c>
      <c r="H477" s="127" t="n">
        <v>46293</v>
      </c>
      <c r="I477" s="4" t="n">
        <v>100</v>
      </c>
      <c r="J477" s="4" t="n">
        <v>100</v>
      </c>
      <c r="K477" s="4" t="n">
        <v>100</v>
      </c>
      <c r="M477" s="2" t="str">
        <f aca="false">IF(C477="","",IFERROR(INDEX($S$5:$S$304,MATCH(C477,$R$5:$R$304,0))&amp;"","?"))</f>
        <v>17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-3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25923181</v>
      </c>
      <c r="C478" s="4" t="s">
        <v>2686</v>
      </c>
      <c r="D478" s="4" t="s">
        <v>433</v>
      </c>
      <c r="E478" s="4" t="s">
        <v>81</v>
      </c>
      <c r="F478" s="127" t="n">
        <v>45890</v>
      </c>
      <c r="G478" s="127" t="n">
        <v>45912</v>
      </c>
      <c r="H478" s="127" t="n">
        <v>46293</v>
      </c>
      <c r="I478" s="4" t="n">
        <v>100</v>
      </c>
      <c r="J478" s="4" t="n">
        <v>100</v>
      </c>
      <c r="K478" s="4" t="n">
        <v>100</v>
      </c>
      <c r="M478" s="2" t="str">
        <f aca="false">IF(C478="","",IFERROR(INDEX($S$5:$S$304,MATCH(C478,$R$5:$R$304,0))&amp;"","?"))</f>
        <v>15</v>
      </c>
      <c r="N478" s="2" t="str">
        <f aca="false">IF(E478="","",IF(ISNUMBER(SEARCH("SUBSOLO",E478)),IFERROR(-VALUE(LEFT(E478,FIND("º",SUBSTITUTE(E478,"°","º"))-1)),-1),IF(LEFT(E478,6)="TÉRREO",0,IFERROR(VALUE(LEFT(E478,FIND("º",SUBSTITUTE(E478,"°","º"))-1)),""))))</f>
        <v/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11154359</v>
      </c>
      <c r="C479" s="4" t="s">
        <v>2686</v>
      </c>
      <c r="D479" s="4" t="s">
        <v>3376</v>
      </c>
      <c r="E479" s="4" t="s">
        <v>81</v>
      </c>
      <c r="F479" s="127" t="n">
        <v>45910</v>
      </c>
      <c r="G479" s="127" t="n">
        <v>45910</v>
      </c>
      <c r="H479" s="127" t="n">
        <v>46293</v>
      </c>
      <c r="I479" s="4" t="n">
        <v>100</v>
      </c>
      <c r="J479" s="4" t="n">
        <v>100</v>
      </c>
      <c r="K479" s="4" t="n">
        <v>100</v>
      </c>
      <c r="M479" s="2" t="str">
        <f aca="false">IF(C479="","",IFERROR(INDEX($S$5:$S$304,MATCH(C479,$R$5:$R$304,0))&amp;"","?"))</f>
        <v>15</v>
      </c>
      <c r="N479" s="2" t="str">
        <f aca="false">IF(E479="","",IF(ISNUMBER(SEARCH("SUBSOLO",E479)),IFERROR(-VALUE(LEFT(E479,FIND("º",SUBSTITUTE(E479,"°","º"))-1)),-1),IF(LEFT(E479,6)="TÉRREO",0,IFERROR(VALUE(LEFT(E479,FIND("º",SUBSTITUTE(E479,"°","º"))-1)),""))))</f>
        <v/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11154360</v>
      </c>
      <c r="C480" s="4" t="s">
        <v>2686</v>
      </c>
      <c r="D480" s="4" t="s">
        <v>3377</v>
      </c>
      <c r="E480" s="4" t="s">
        <v>81</v>
      </c>
      <c r="F480" s="127" t="n">
        <v>45911</v>
      </c>
      <c r="G480" s="127" t="n">
        <v>45911</v>
      </c>
      <c r="H480" s="127" t="n">
        <v>46293</v>
      </c>
      <c r="I480" s="4" t="n">
        <v>100</v>
      </c>
      <c r="J480" s="4" t="n">
        <v>100</v>
      </c>
      <c r="K480" s="4" t="n">
        <v>100</v>
      </c>
      <c r="M480" s="2" t="str">
        <f aca="false">IF(C480="","",IFERROR(INDEX($S$5:$S$304,MATCH(C480,$R$5:$R$304,0))&amp;"","?"))</f>
        <v>15</v>
      </c>
      <c r="N480" s="2" t="str">
        <f aca="false">IF(E480="","",IF(ISNUMBER(SEARCH("SUBSOLO",E480)),IFERROR(-VALUE(LEFT(E480,FIND("º",SUBSTITUTE(E480,"°","º"))-1)),-1),IF(LEFT(E480,6)="TÉRREO",0,IFERROR(VALUE(LEFT(E480,FIND("º",SUBSTITUTE(E480,"°","º"))-1)),""))))</f>
        <v/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11154361</v>
      </c>
      <c r="C481" s="4" t="s">
        <v>2686</v>
      </c>
      <c r="D481" s="4" t="s">
        <v>3378</v>
      </c>
      <c r="E481" s="4" t="s">
        <v>81</v>
      </c>
      <c r="F481" s="127" t="n">
        <v>45912</v>
      </c>
      <c r="G481" s="127" t="n">
        <v>45912</v>
      </c>
      <c r="H481" s="127" t="n">
        <v>46293</v>
      </c>
      <c r="I481" s="4" t="n">
        <v>100</v>
      </c>
      <c r="J481" s="4" t="n">
        <v>100</v>
      </c>
      <c r="K481" s="4" t="n">
        <v>100</v>
      </c>
      <c r="M481" s="2" t="str">
        <f aca="false">IF(C481="","",IFERROR(INDEX($S$5:$S$304,MATCH(C481,$R$5:$R$304,0))&amp;"","?"))</f>
        <v>15</v>
      </c>
      <c r="N481" s="2" t="str">
        <f aca="false">IF(E481="","",IF(ISNUMBER(SEARCH("SUBSOLO",E481)),IFERROR(-VALUE(LEFT(E481,FIND("º",SUBSTITUTE(E481,"°","º"))-1)),-1),IF(LEFT(E481,6)="TÉRREO",0,IFERROR(VALUE(LEFT(E481,FIND("º",SUBSTITUTE(E481,"°","º"))-1)),""))))</f>
        <v/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11154368</v>
      </c>
      <c r="C482" s="4" t="s">
        <v>2686</v>
      </c>
      <c r="D482" s="4" t="s">
        <v>3379</v>
      </c>
      <c r="E482" s="4" t="s">
        <v>81</v>
      </c>
      <c r="F482" s="127" t="n">
        <v>45912</v>
      </c>
      <c r="G482" s="127" t="n">
        <v>45912</v>
      </c>
      <c r="H482" s="127" t="n">
        <v>46293</v>
      </c>
      <c r="I482" s="4" t="n">
        <v>100</v>
      </c>
      <c r="J482" s="4" t="n">
        <v>100</v>
      </c>
      <c r="K482" s="4" t="n">
        <v>100</v>
      </c>
      <c r="M482" s="2" t="str">
        <f aca="false">IF(C482="","",IFERROR(INDEX($S$5:$S$304,MATCH(C482,$R$5:$R$304,0))&amp;"","?"))</f>
        <v>15</v>
      </c>
      <c r="N482" s="2" t="str">
        <f aca="false">IF(E482="","",IF(ISNUMBER(SEARCH("SUBSOLO",E482)),IFERROR(-VALUE(LEFT(E482,FIND("º",SUBSTITUTE(E482,"°","º"))-1)),-1),IF(LEFT(E482,6)="TÉRREO",0,IFERROR(VALUE(LEFT(E482,FIND("º",SUBSTITUTE(E482,"°","º"))-1)),""))))</f>
        <v/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11154369</v>
      </c>
      <c r="C483" s="4" t="s">
        <v>2686</v>
      </c>
      <c r="D483" s="4" t="s">
        <v>3380</v>
      </c>
      <c r="E483" s="4" t="s">
        <v>81</v>
      </c>
      <c r="F483" s="127" t="n">
        <v>45911</v>
      </c>
      <c r="G483" s="127" t="n">
        <v>45911</v>
      </c>
      <c r="H483" s="127" t="n">
        <v>46293</v>
      </c>
      <c r="I483" s="4" t="n">
        <v>100</v>
      </c>
      <c r="J483" s="4" t="n">
        <v>100</v>
      </c>
      <c r="K483" s="4" t="n">
        <v>100</v>
      </c>
      <c r="M483" s="2" t="str">
        <f aca="false">IF(C483="","",IFERROR(INDEX($S$5:$S$304,MATCH(C483,$R$5:$R$304,0))&amp;"","?"))</f>
        <v>15</v>
      </c>
      <c r="N483" s="2" t="str">
        <f aca="false">IF(E483="","",IF(ISNUMBER(SEARCH("SUBSOLO",E483)),IFERROR(-VALUE(LEFT(E483,FIND("º",SUBSTITUTE(E483,"°","º"))-1)),-1),IF(LEFT(E483,6)="TÉRREO",0,IFERROR(VALUE(LEFT(E483,FIND("º",SUBSTITUTE(E483,"°","º"))-1)),""))))</f>
        <v/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11154370</v>
      </c>
      <c r="C484" s="4" t="s">
        <v>2686</v>
      </c>
      <c r="D484" s="4" t="s">
        <v>3381</v>
      </c>
      <c r="E484" s="4" t="s">
        <v>81</v>
      </c>
      <c r="F484" s="127" t="n">
        <v>45904</v>
      </c>
      <c r="G484" s="127" t="n">
        <v>45904</v>
      </c>
      <c r="H484" s="127" t="n">
        <v>46293</v>
      </c>
      <c r="I484" s="4" t="n">
        <v>100</v>
      </c>
      <c r="J484" s="4" t="n">
        <v>100</v>
      </c>
      <c r="K484" s="4" t="n">
        <v>100</v>
      </c>
      <c r="M484" s="2" t="str">
        <f aca="false">IF(C484="","",IFERROR(INDEX($S$5:$S$304,MATCH(C484,$R$5:$R$304,0))&amp;"","?"))</f>
        <v>15</v>
      </c>
      <c r="N484" s="2" t="str">
        <f aca="false">IF(E484="","",IF(ISNUMBER(SEARCH("SUBSOLO",E484)),IFERROR(-VALUE(LEFT(E484,FIND("º",SUBSTITUTE(E484,"°","º"))-1)),-1),IF(LEFT(E484,6)="TÉRREO",0,IFERROR(VALUE(LEFT(E484,FIND("º",SUBSTITUTE(E484,"°","º"))-1)),""))))</f>
        <v/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11154371</v>
      </c>
      <c r="C485" s="4" t="s">
        <v>2686</v>
      </c>
      <c r="D485" s="4" t="s">
        <v>3382</v>
      </c>
      <c r="E485" s="4" t="s">
        <v>81</v>
      </c>
      <c r="F485" s="127" t="n">
        <v>45909</v>
      </c>
      <c r="G485" s="127" t="n">
        <v>45909</v>
      </c>
      <c r="H485" s="127" t="n">
        <v>46293</v>
      </c>
      <c r="I485" s="4" t="n">
        <v>100</v>
      </c>
      <c r="J485" s="4" t="n">
        <v>100</v>
      </c>
      <c r="K485" s="4" t="n">
        <v>100</v>
      </c>
      <c r="M485" s="2" t="str">
        <f aca="false">IF(C485="","",IFERROR(INDEX($S$5:$S$304,MATCH(C485,$R$5:$R$304,0))&amp;"","?"))</f>
        <v>15</v>
      </c>
      <c r="N485" s="2" t="str">
        <f aca="false">IF(E485="","",IF(ISNUMBER(SEARCH("SUBSOLO",E485)),IFERROR(-VALUE(LEFT(E485,FIND("º",SUBSTITUTE(E485,"°","º"))-1)),-1),IF(LEFT(E485,6)="TÉRREO",0,IFERROR(VALUE(LEFT(E485,FIND("º",SUBSTITUTE(E485,"°","º"))-1)),""))))</f>
        <v/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11154372</v>
      </c>
      <c r="C486" s="4" t="s">
        <v>2686</v>
      </c>
      <c r="D486" s="4" t="s">
        <v>3383</v>
      </c>
      <c r="E486" s="4" t="s">
        <v>81</v>
      </c>
      <c r="F486" s="127" t="n">
        <v>45902</v>
      </c>
      <c r="G486" s="127" t="n">
        <v>45902</v>
      </c>
      <c r="H486" s="127" t="n">
        <v>46293</v>
      </c>
      <c r="I486" s="4" t="n">
        <v>100</v>
      </c>
      <c r="J486" s="4" t="n">
        <v>100</v>
      </c>
      <c r="K486" s="4" t="n">
        <v>100</v>
      </c>
      <c r="M486" s="2" t="str">
        <f aca="false">IF(C486="","",IFERROR(INDEX($S$5:$S$304,MATCH(C486,$R$5:$R$304,0))&amp;"","?"))</f>
        <v>15</v>
      </c>
      <c r="N486" s="2" t="str">
        <f aca="false">IF(E486="","",IF(ISNUMBER(SEARCH("SUBSOLO",E486)),IFERROR(-VALUE(LEFT(E486,FIND("º",SUBSTITUTE(E486,"°","º"))-1)),-1),IF(LEFT(E486,6)="TÉRREO",0,IFERROR(VALUE(LEFT(E486,FIND("º",SUBSTITUTE(E486,"°","º"))-1)),""))))</f>
        <v/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11154476</v>
      </c>
      <c r="C487" s="4" t="s">
        <v>2686</v>
      </c>
      <c r="D487" s="4" t="s">
        <v>3384</v>
      </c>
      <c r="E487" s="4" t="s">
        <v>81</v>
      </c>
      <c r="F487" s="127" t="n">
        <v>45902</v>
      </c>
      <c r="G487" s="127" t="n">
        <v>45902</v>
      </c>
      <c r="H487" s="127" t="n">
        <v>46293</v>
      </c>
      <c r="I487" s="4" t="n">
        <v>100</v>
      </c>
      <c r="J487" s="4" t="n">
        <v>100</v>
      </c>
      <c r="K487" s="4" t="n">
        <v>100</v>
      </c>
      <c r="M487" s="2" t="str">
        <f aca="false">IF(C487="","",IFERROR(INDEX($S$5:$S$304,MATCH(C487,$R$5:$R$304,0))&amp;"","?"))</f>
        <v>15</v>
      </c>
      <c r="N487" s="2" t="str">
        <f aca="false">IF(E487="","",IF(ISNUMBER(SEARCH("SUBSOLO",E487)),IFERROR(-VALUE(LEFT(E487,FIND("º",SUBSTITUTE(E487,"°","º"))-1)),-1),IF(LEFT(E487,6)="TÉRREO",0,IFERROR(VALUE(LEFT(E487,FIND("º",SUBSTITUTE(E487,"°","º"))-1)),""))))</f>
        <v/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11154477</v>
      </c>
      <c r="C488" s="4" t="s">
        <v>2686</v>
      </c>
      <c r="D488" s="4" t="s">
        <v>3385</v>
      </c>
      <c r="E488" s="4" t="s">
        <v>81</v>
      </c>
      <c r="F488" s="127" t="n">
        <v>45903</v>
      </c>
      <c r="G488" s="127" t="n">
        <v>45903</v>
      </c>
      <c r="H488" s="127" t="n">
        <v>46293</v>
      </c>
      <c r="I488" s="4" t="n">
        <v>100</v>
      </c>
      <c r="J488" s="4" t="n">
        <v>100</v>
      </c>
      <c r="K488" s="4" t="n">
        <v>100</v>
      </c>
      <c r="M488" s="2" t="str">
        <f aca="false">IF(C488="","",IFERROR(INDEX($S$5:$S$304,MATCH(C488,$R$5:$R$304,0))&amp;"","?"))</f>
        <v>15</v>
      </c>
      <c r="N488" s="2" t="str">
        <f aca="false">IF(E488="","",IF(ISNUMBER(SEARCH("SUBSOLO",E488)),IFERROR(-VALUE(LEFT(E488,FIND("º",SUBSTITUTE(E488,"°","º"))-1)),-1),IF(LEFT(E488,6)="TÉRREO",0,IFERROR(VALUE(LEFT(E488,FIND("º",SUBSTITUTE(E488,"°","º"))-1)),""))))</f>
        <v/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11156052</v>
      </c>
      <c r="C489" s="4" t="s">
        <v>2686</v>
      </c>
      <c r="D489" s="4" t="s">
        <v>3386</v>
      </c>
      <c r="E489" s="4" t="s">
        <v>81</v>
      </c>
      <c r="F489" s="127" t="n">
        <v>45890</v>
      </c>
      <c r="G489" s="127" t="n">
        <v>45901</v>
      </c>
      <c r="H489" s="127" t="n">
        <v>46293</v>
      </c>
      <c r="I489" s="4" t="n">
        <v>100</v>
      </c>
      <c r="J489" s="4" t="n">
        <v>100</v>
      </c>
      <c r="K489" s="4" t="n">
        <v>100</v>
      </c>
      <c r="M489" s="2" t="str">
        <f aca="false">IF(C489="","",IFERROR(INDEX($S$5:$S$304,MATCH(C489,$R$5:$R$304,0))&amp;"","?"))</f>
        <v>15</v>
      </c>
      <c r="N489" s="2" t="str">
        <f aca="false">IF(E489="","",IF(ISNUMBER(SEARCH("SUBSOLO",E489)),IFERROR(-VALUE(LEFT(E489,FIND("º",SUBSTITUTE(E489,"°","º"))-1)),-1),IF(LEFT(E489,6)="TÉRREO",0,IFERROR(VALUE(LEFT(E489,FIND("º",SUBSTITUTE(E489,"°","º"))-1)),""))))</f>
        <v/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11156053</v>
      </c>
      <c r="C490" s="4" t="s">
        <v>2686</v>
      </c>
      <c r="D490" s="4" t="s">
        <v>3387</v>
      </c>
      <c r="E490" s="4" t="s">
        <v>81</v>
      </c>
      <c r="F490" s="127" t="n">
        <v>45890</v>
      </c>
      <c r="G490" s="127" t="n">
        <v>45890</v>
      </c>
      <c r="H490" s="127" t="n">
        <v>46293</v>
      </c>
      <c r="I490" s="4" t="n">
        <v>100</v>
      </c>
      <c r="J490" s="4" t="n">
        <v>100</v>
      </c>
      <c r="K490" s="4" t="n">
        <v>100</v>
      </c>
      <c r="M490" s="2" t="str">
        <f aca="false">IF(C490="","",IFERROR(INDEX($S$5:$S$304,MATCH(C490,$R$5:$R$304,0))&amp;"","?"))</f>
        <v>15</v>
      </c>
      <c r="N490" s="2" t="str">
        <f aca="false">IF(E490="","",IF(ISNUMBER(SEARCH("SUBSOLO",E490)),IFERROR(-VALUE(LEFT(E490,FIND("º",SUBSTITUTE(E490,"°","º"))-1)),-1),IF(LEFT(E490,6)="TÉRREO",0,IFERROR(VALUE(LEFT(E490,FIND("º",SUBSTITUTE(E490,"°","º"))-1)),""))))</f>
        <v/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11156054</v>
      </c>
      <c r="C491" s="4" t="s">
        <v>2686</v>
      </c>
      <c r="D491" s="4" t="s">
        <v>3388</v>
      </c>
      <c r="E491" s="4" t="s">
        <v>81</v>
      </c>
      <c r="F491" s="127" t="n">
        <v>45908</v>
      </c>
      <c r="G491" s="127" t="n">
        <v>45908</v>
      </c>
      <c r="H491" s="127" t="n">
        <v>46293</v>
      </c>
      <c r="I491" s="4" t="n">
        <v>100</v>
      </c>
      <c r="J491" s="4" t="n">
        <v>100</v>
      </c>
      <c r="K491" s="4" t="n">
        <v>100</v>
      </c>
      <c r="M491" s="2" t="str">
        <f aca="false">IF(C491="","",IFERROR(INDEX($S$5:$S$304,MATCH(C491,$R$5:$R$304,0))&amp;"","?"))</f>
        <v>15</v>
      </c>
      <c r="N491" s="2" t="str">
        <f aca="false">IF(E491="","",IF(ISNUMBER(SEARCH("SUBSOLO",E491)),IFERROR(-VALUE(LEFT(E491,FIND("º",SUBSTITUTE(E491,"°","º"))-1)),-1),IF(LEFT(E491,6)="TÉRREO",0,IFERROR(VALUE(LEFT(E491,FIND("º",SUBSTITUTE(E491,"°","º"))-1)),""))))</f>
        <v/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11156055</v>
      </c>
      <c r="C492" s="4" t="s">
        <v>2686</v>
      </c>
      <c r="D492" s="4" t="s">
        <v>3389</v>
      </c>
      <c r="E492" s="4" t="s">
        <v>81</v>
      </c>
      <c r="F492" s="127" t="n">
        <v>45903</v>
      </c>
      <c r="G492" s="127" t="n">
        <v>45903</v>
      </c>
      <c r="H492" s="127" t="n">
        <v>46293</v>
      </c>
      <c r="I492" s="4" t="n">
        <v>100</v>
      </c>
      <c r="J492" s="4" t="n">
        <v>100</v>
      </c>
      <c r="K492" s="4" t="n">
        <v>100</v>
      </c>
      <c r="M492" s="2" t="str">
        <f aca="false">IF(C492="","",IFERROR(INDEX($S$5:$S$304,MATCH(C492,$R$5:$R$304,0))&amp;"","?"))</f>
        <v>15</v>
      </c>
      <c r="N492" s="2" t="str">
        <f aca="false">IF(E492="","",IF(ISNUMBER(SEARCH("SUBSOLO",E492)),IFERROR(-VALUE(LEFT(E492,FIND("º",SUBSTITUTE(E492,"°","º"))-1)),-1),IF(LEFT(E492,6)="TÉRREO",0,IFERROR(VALUE(LEFT(E492,FIND("º",SUBSTITUTE(E492,"°","º"))-1)),""))))</f>
        <v/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11156056</v>
      </c>
      <c r="C493" s="4" t="s">
        <v>2686</v>
      </c>
      <c r="D493" s="4" t="s">
        <v>3390</v>
      </c>
      <c r="E493" s="4" t="s">
        <v>81</v>
      </c>
      <c r="F493" s="127" t="n">
        <v>45910</v>
      </c>
      <c r="G493" s="127" t="n">
        <v>45910</v>
      </c>
      <c r="H493" s="127" t="n">
        <v>46293</v>
      </c>
      <c r="I493" s="4" t="n">
        <v>100</v>
      </c>
      <c r="J493" s="4" t="n">
        <v>100</v>
      </c>
      <c r="K493" s="4" t="n">
        <v>100</v>
      </c>
      <c r="M493" s="2" t="str">
        <f aca="false">IF(C493="","",IFERROR(INDEX($S$5:$S$304,MATCH(C493,$R$5:$R$304,0))&amp;"","?"))</f>
        <v>15</v>
      </c>
      <c r="N493" s="2" t="str">
        <f aca="false">IF(E493="","",IF(ISNUMBER(SEARCH("SUBSOLO",E493)),IFERROR(-VALUE(LEFT(E493,FIND("º",SUBSTITUTE(E493,"°","º"))-1)),-1),IF(LEFT(E493,6)="TÉRREO",0,IFERROR(VALUE(LEFT(E493,FIND("º",SUBSTITUTE(E493,"°","º"))-1)),""))))</f>
        <v/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11156057</v>
      </c>
      <c r="C494" s="4" t="s">
        <v>2686</v>
      </c>
      <c r="D494" s="4" t="s">
        <v>3391</v>
      </c>
      <c r="E494" s="4" t="s">
        <v>81</v>
      </c>
      <c r="F494" s="127" t="n">
        <v>45905</v>
      </c>
      <c r="G494" s="127" t="n">
        <v>45905</v>
      </c>
      <c r="H494" s="127" t="n">
        <v>46293</v>
      </c>
      <c r="I494" s="4" t="n">
        <v>100</v>
      </c>
      <c r="J494" s="4" t="n">
        <v>100</v>
      </c>
      <c r="K494" s="4" t="n">
        <v>100</v>
      </c>
      <c r="M494" s="2" t="str">
        <f aca="false">IF(C494="","",IFERROR(INDEX($S$5:$S$304,MATCH(C494,$R$5:$R$304,0))&amp;"","?"))</f>
        <v>15</v>
      </c>
      <c r="N494" s="2" t="str">
        <f aca="false">IF(E494="","",IF(ISNUMBER(SEARCH("SUBSOLO",E494)),IFERROR(-VALUE(LEFT(E494,FIND("º",SUBSTITUTE(E494,"°","º"))-1)),-1),IF(LEFT(E494,6)="TÉRREO",0,IFERROR(VALUE(LEFT(E494,FIND("º",SUBSTITUTE(E494,"°","º"))-1)),""))))</f>
        <v/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11156058</v>
      </c>
      <c r="C495" s="4" t="s">
        <v>2686</v>
      </c>
      <c r="D495" s="4" t="s">
        <v>3392</v>
      </c>
      <c r="E495" s="4" t="s">
        <v>81</v>
      </c>
      <c r="F495" s="127" t="n">
        <v>45908</v>
      </c>
      <c r="G495" s="127" t="n">
        <v>45908</v>
      </c>
      <c r="H495" s="127" t="n">
        <v>46293</v>
      </c>
      <c r="I495" s="4" t="n">
        <v>100</v>
      </c>
      <c r="J495" s="4" t="n">
        <v>100</v>
      </c>
      <c r="K495" s="4" t="n">
        <v>100</v>
      </c>
      <c r="M495" s="2" t="str">
        <f aca="false">IF(C495="","",IFERROR(INDEX($S$5:$S$304,MATCH(C495,$R$5:$R$304,0))&amp;"","?"))</f>
        <v>15</v>
      </c>
      <c r="N495" s="2" t="str">
        <f aca="false">IF(E495="","",IF(ISNUMBER(SEARCH("SUBSOLO",E495)),IFERROR(-VALUE(LEFT(E495,FIND("º",SUBSTITUTE(E495,"°","º"))-1)),-1),IF(LEFT(E495,6)="TÉRREO",0,IFERROR(VALUE(LEFT(E495,FIND("º",SUBSTITUTE(E495,"°","º"))-1)),""))))</f>
        <v/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11156059</v>
      </c>
      <c r="C496" s="4" t="s">
        <v>2686</v>
      </c>
      <c r="D496" s="4" t="s">
        <v>3393</v>
      </c>
      <c r="E496" s="4" t="s">
        <v>81</v>
      </c>
      <c r="F496" s="127" t="n">
        <v>45909</v>
      </c>
      <c r="G496" s="127" t="n">
        <v>45909</v>
      </c>
      <c r="H496" s="127" t="n">
        <v>46293</v>
      </c>
      <c r="I496" s="4" t="n">
        <v>100</v>
      </c>
      <c r="J496" s="4" t="n">
        <v>100</v>
      </c>
      <c r="K496" s="4" t="n">
        <v>100</v>
      </c>
      <c r="M496" s="2" t="str">
        <f aca="false">IF(C496="","",IFERROR(INDEX($S$5:$S$304,MATCH(C496,$R$5:$R$304,0))&amp;"","?"))</f>
        <v>15</v>
      </c>
      <c r="N496" s="2" t="str">
        <f aca="false">IF(E496="","",IF(ISNUMBER(SEARCH("SUBSOLO",E496)),IFERROR(-VALUE(LEFT(E496,FIND("º",SUBSTITUTE(E496,"°","º"))-1)),-1),IF(LEFT(E496,6)="TÉRREO",0,IFERROR(VALUE(LEFT(E496,FIND("º",SUBSTITUTE(E496,"°","º"))-1)),""))))</f>
        <v/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11156060</v>
      </c>
      <c r="C497" s="4" t="s">
        <v>2686</v>
      </c>
      <c r="D497" s="4" t="s">
        <v>3394</v>
      </c>
      <c r="E497" s="4" t="s">
        <v>81</v>
      </c>
      <c r="F497" s="127" t="n">
        <v>45904</v>
      </c>
      <c r="G497" s="127" t="n">
        <v>45904</v>
      </c>
      <c r="H497" s="127" t="n">
        <v>46293</v>
      </c>
      <c r="I497" s="4" t="n">
        <v>100</v>
      </c>
      <c r="J497" s="4" t="n">
        <v>100</v>
      </c>
      <c r="K497" s="4" t="n">
        <v>100</v>
      </c>
      <c r="M497" s="2" t="str">
        <f aca="false">IF(C497="","",IFERROR(INDEX($S$5:$S$304,MATCH(C497,$R$5:$R$304,0))&amp;"","?"))</f>
        <v>15</v>
      </c>
      <c r="N497" s="2" t="str">
        <f aca="false">IF(E497="","",IF(ISNUMBER(SEARCH("SUBSOLO",E497)),IFERROR(-VALUE(LEFT(E497,FIND("º",SUBSTITUTE(E497,"°","º"))-1)),-1),IF(LEFT(E497,6)="TÉRREO",0,IFERROR(VALUE(LEFT(E497,FIND("º",SUBSTITUTE(E497,"°","º"))-1)),""))))</f>
        <v/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11156061</v>
      </c>
      <c r="C498" s="4" t="s">
        <v>2686</v>
      </c>
      <c r="D498" s="4" t="s">
        <v>3395</v>
      </c>
      <c r="E498" s="4" t="s">
        <v>81</v>
      </c>
      <c r="F498" s="127" t="n">
        <v>45905</v>
      </c>
      <c r="G498" s="127" t="n">
        <v>45905</v>
      </c>
      <c r="H498" s="127" t="n">
        <v>46293</v>
      </c>
      <c r="I498" s="4" t="n">
        <v>100</v>
      </c>
      <c r="J498" s="4" t="n">
        <v>100</v>
      </c>
      <c r="K498" s="4" t="n">
        <v>100</v>
      </c>
      <c r="M498" s="2" t="str">
        <f aca="false">IF(C498="","",IFERROR(INDEX($S$5:$S$304,MATCH(C498,$R$5:$R$304,0))&amp;"","?"))</f>
        <v>15</v>
      </c>
      <c r="N498" s="2" t="str">
        <f aca="false">IF(E498="","",IF(ISNUMBER(SEARCH("SUBSOLO",E498)),IFERROR(-VALUE(LEFT(E498,FIND("º",SUBSTITUTE(E498,"°","º"))-1)),-1),IF(LEFT(E498,6)="TÉRREO",0,IFERROR(VALUE(LEFT(E498,FIND("º",SUBSTITUTE(E498,"°","º"))-1)),""))))</f>
        <v/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11156062</v>
      </c>
      <c r="C499" s="4" t="s">
        <v>2686</v>
      </c>
      <c r="D499" s="4" t="s">
        <v>3396</v>
      </c>
      <c r="E499" s="4" t="s">
        <v>81</v>
      </c>
      <c r="F499" s="127" t="n">
        <v>45890</v>
      </c>
      <c r="G499" s="127" t="n">
        <v>45890</v>
      </c>
      <c r="H499" s="127" t="n">
        <v>46293</v>
      </c>
      <c r="I499" s="4" t="n">
        <v>100</v>
      </c>
      <c r="J499" s="4" t="n">
        <v>100</v>
      </c>
      <c r="K499" s="4" t="n">
        <v>100</v>
      </c>
      <c r="M499" s="2" t="str">
        <f aca="false">IF(C499="","",IFERROR(INDEX($S$5:$S$304,MATCH(C499,$R$5:$R$304,0))&amp;"","?"))</f>
        <v>15</v>
      </c>
      <c r="N499" s="2" t="str">
        <f aca="false">IF(E499="","",IF(ISNUMBER(SEARCH("SUBSOLO",E499)),IFERROR(-VALUE(LEFT(E499,FIND("º",SUBSTITUTE(E499,"°","º"))-1)),-1),IF(LEFT(E499,6)="TÉRREO",0,IFERROR(VALUE(LEFT(E499,FIND("º",SUBSTITUTE(E499,"°","º"))-1)),""))))</f>
        <v/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11156063</v>
      </c>
      <c r="C500" s="4" t="s">
        <v>2686</v>
      </c>
      <c r="D500" s="4" t="s">
        <v>3397</v>
      </c>
      <c r="E500" s="4" t="s">
        <v>81</v>
      </c>
      <c r="F500" s="127" t="n">
        <v>45890</v>
      </c>
      <c r="G500" s="127" t="n">
        <v>45890</v>
      </c>
      <c r="H500" s="127" t="n">
        <v>46293</v>
      </c>
      <c r="I500" s="4" t="n">
        <v>100</v>
      </c>
      <c r="J500" s="4" t="n">
        <v>100</v>
      </c>
      <c r="K500" s="4" t="n">
        <v>100</v>
      </c>
      <c r="M500" s="2" t="str">
        <f aca="false">IF(C500="","",IFERROR(INDEX($S$5:$S$304,MATCH(C500,$R$5:$R$304,0))&amp;"","?"))</f>
        <v>15</v>
      </c>
      <c r="N500" s="2" t="str">
        <f aca="false">IF(E500="","",IF(ISNUMBER(SEARCH("SUBSOLO",E500)),IFERROR(-VALUE(LEFT(E500,FIND("º",SUBSTITUTE(E500,"°","º"))-1)),-1),IF(LEFT(E500,6)="TÉRREO",0,IFERROR(VALUE(LEFT(E500,FIND("º",SUBSTITUTE(E500,"°","º"))-1)),""))))</f>
        <v/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11156064</v>
      </c>
      <c r="C501" s="4" t="s">
        <v>2686</v>
      </c>
      <c r="D501" s="4" t="s">
        <v>3398</v>
      </c>
      <c r="E501" s="4" t="s">
        <v>81</v>
      </c>
      <c r="F501" s="127" t="n">
        <v>45890</v>
      </c>
      <c r="G501" s="127" t="n">
        <v>45890</v>
      </c>
      <c r="H501" s="127" t="n">
        <v>46293</v>
      </c>
      <c r="I501" s="4" t="n">
        <v>100</v>
      </c>
      <c r="J501" s="4" t="n">
        <v>100</v>
      </c>
      <c r="K501" s="4" t="n">
        <v>100</v>
      </c>
      <c r="M501" s="2" t="str">
        <f aca="false">IF(C501="","",IFERROR(INDEX($S$5:$S$304,MATCH(C501,$R$5:$R$304,0))&amp;"","?"))</f>
        <v>15</v>
      </c>
      <c r="N501" s="2" t="str">
        <f aca="false">IF(E501="","",IF(ISNUMBER(SEARCH("SUBSOLO",E501)),IFERROR(-VALUE(LEFT(E501,FIND("º",SUBSTITUTE(E501,"°","º"))-1)),-1),IF(LEFT(E501,6)="TÉRREO",0,IFERROR(VALUE(LEFT(E501,FIND("º",SUBSTITUTE(E501,"°","º"))-1)),""))))</f>
        <v/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11156065</v>
      </c>
      <c r="C502" s="4" t="s">
        <v>2686</v>
      </c>
      <c r="D502" s="4" t="s">
        <v>3399</v>
      </c>
      <c r="E502" s="4" t="s">
        <v>81</v>
      </c>
      <c r="F502" s="127" t="n">
        <v>45890</v>
      </c>
      <c r="G502" s="127" t="n">
        <v>45890</v>
      </c>
      <c r="H502" s="127" t="n">
        <v>46293</v>
      </c>
      <c r="I502" s="4" t="n">
        <v>100</v>
      </c>
      <c r="J502" s="4" t="n">
        <v>100</v>
      </c>
      <c r="K502" s="4" t="n">
        <v>100</v>
      </c>
      <c r="M502" s="2" t="str">
        <f aca="false">IF(C502="","",IFERROR(INDEX($S$5:$S$304,MATCH(C502,$R$5:$R$304,0))&amp;"","?"))</f>
        <v>15</v>
      </c>
      <c r="N502" s="2" t="str">
        <f aca="false">IF(E502="","",IF(ISNUMBER(SEARCH("SUBSOLO",E502)),IFERROR(-VALUE(LEFT(E502,FIND("º",SUBSTITUTE(E502,"°","º"))-1)),-1),IF(LEFT(E502,6)="TÉRREO",0,IFERROR(VALUE(LEFT(E502,FIND("º",SUBSTITUTE(E502,"°","º"))-1)),""))))</f>
        <v/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12999317</v>
      </c>
      <c r="C503" s="4" t="s">
        <v>2686</v>
      </c>
      <c r="D503" s="4" t="s">
        <v>3400</v>
      </c>
      <c r="E503" s="4" t="s">
        <v>81</v>
      </c>
      <c r="F503" s="127" t="n">
        <v>45891</v>
      </c>
      <c r="G503" s="127" t="n">
        <v>45891</v>
      </c>
      <c r="H503" s="127" t="n">
        <v>46293</v>
      </c>
      <c r="I503" s="4" t="n">
        <v>100</v>
      </c>
      <c r="J503" s="4" t="n">
        <v>100</v>
      </c>
      <c r="K503" s="4" t="n">
        <v>100</v>
      </c>
      <c r="M503" s="2" t="str">
        <f aca="false">IF(C503="","",IFERROR(INDEX($S$5:$S$304,MATCH(C503,$R$5:$R$304,0))&amp;"","?"))</f>
        <v>15</v>
      </c>
      <c r="N503" s="2" t="str">
        <f aca="false">IF(E503="","",IF(ISNUMBER(SEARCH("SUBSOLO",E503)),IFERROR(-VALUE(LEFT(E503,FIND("º",SUBSTITUTE(E503,"°","º"))-1)),-1),IF(LEFT(E503,6)="TÉRREO",0,IFERROR(VALUE(LEFT(E503,FIND("º",SUBSTITUTE(E503,"°","º"))-1)),""))))</f>
        <v/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12999318</v>
      </c>
      <c r="C504" s="4" t="s">
        <v>2686</v>
      </c>
      <c r="D504" s="4" t="s">
        <v>3401</v>
      </c>
      <c r="E504" s="4" t="s">
        <v>81</v>
      </c>
      <c r="F504" s="127" t="n">
        <v>45890</v>
      </c>
      <c r="G504" s="127" t="n">
        <v>45890</v>
      </c>
      <c r="H504" s="127" t="n">
        <v>46293</v>
      </c>
      <c r="I504" s="4" t="n">
        <v>100</v>
      </c>
      <c r="J504" s="4" t="n">
        <v>100</v>
      </c>
      <c r="K504" s="4" t="n">
        <v>100</v>
      </c>
      <c r="M504" s="2" t="str">
        <f aca="false">IF(C504="","",IFERROR(INDEX($S$5:$S$304,MATCH(C504,$R$5:$R$304,0))&amp;"","?"))</f>
        <v>15</v>
      </c>
      <c r="N504" s="2" t="str">
        <f aca="false">IF(E504="","",IF(ISNUMBER(SEARCH("SUBSOLO",E504)),IFERROR(-VALUE(LEFT(E504,FIND("º",SUBSTITUTE(E504,"°","º"))-1)),-1),IF(LEFT(E504,6)="TÉRREO",0,IFERROR(VALUE(LEFT(E504,FIND("º",SUBSTITUTE(E504,"°","º"))-1)),""))))</f>
        <v/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12999319</v>
      </c>
      <c r="C505" s="4" t="s">
        <v>2686</v>
      </c>
      <c r="D505" s="4" t="s">
        <v>3402</v>
      </c>
      <c r="E505" s="4" t="s">
        <v>81</v>
      </c>
      <c r="F505" s="127" t="n">
        <v>45894</v>
      </c>
      <c r="G505" s="127" t="n">
        <v>45894</v>
      </c>
      <c r="H505" s="127" t="n">
        <v>46293</v>
      </c>
      <c r="I505" s="4" t="n">
        <v>100</v>
      </c>
      <c r="J505" s="4" t="n">
        <v>100</v>
      </c>
      <c r="K505" s="4" t="n">
        <v>100</v>
      </c>
      <c r="M505" s="2" t="str">
        <f aca="false">IF(C505="","",IFERROR(INDEX($S$5:$S$304,MATCH(C505,$R$5:$R$304,0))&amp;"","?"))</f>
        <v>15</v>
      </c>
      <c r="N505" s="2" t="str">
        <f aca="false">IF(E505="","",IF(ISNUMBER(SEARCH("SUBSOLO",E505)),IFERROR(-VALUE(LEFT(E505,FIND("º",SUBSTITUTE(E505,"°","º"))-1)),-1),IF(LEFT(E505,6)="TÉRREO",0,IFERROR(VALUE(LEFT(E505,FIND("º",SUBSTITUTE(E505,"°","º"))-1)),""))))</f>
        <v/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12999320</v>
      </c>
      <c r="C506" s="4" t="s">
        <v>2686</v>
      </c>
      <c r="D506" s="4" t="s">
        <v>3403</v>
      </c>
      <c r="E506" s="4" t="s">
        <v>81</v>
      </c>
      <c r="F506" s="127" t="n">
        <v>45895</v>
      </c>
      <c r="G506" s="127" t="n">
        <v>45895</v>
      </c>
      <c r="H506" s="127" t="n">
        <v>46293</v>
      </c>
      <c r="I506" s="4" t="n">
        <v>100</v>
      </c>
      <c r="J506" s="4" t="n">
        <v>100</v>
      </c>
      <c r="K506" s="4" t="n">
        <v>100</v>
      </c>
      <c r="M506" s="2" t="str">
        <f aca="false">IF(C506="","",IFERROR(INDEX($S$5:$S$304,MATCH(C506,$R$5:$R$304,0))&amp;"","?"))</f>
        <v>15</v>
      </c>
      <c r="N506" s="2" t="str">
        <f aca="false">IF(E506="","",IF(ISNUMBER(SEARCH("SUBSOLO",E506)),IFERROR(-VALUE(LEFT(E506,FIND("º",SUBSTITUTE(E506,"°","º"))-1)),-1),IF(LEFT(E506,6)="TÉRREO",0,IFERROR(VALUE(LEFT(E506,FIND("º",SUBSTITUTE(E506,"°","º"))-1)),""))))</f>
        <v/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13390661</v>
      </c>
      <c r="C507" s="4" t="s">
        <v>2686</v>
      </c>
      <c r="D507" s="4" t="s">
        <v>3404</v>
      </c>
      <c r="E507" s="4" t="s">
        <v>81</v>
      </c>
      <c r="F507" s="127" t="n">
        <v>45896</v>
      </c>
      <c r="G507" s="127" t="n">
        <v>45896</v>
      </c>
      <c r="H507" s="127" t="n">
        <v>46293</v>
      </c>
      <c r="I507" s="4" t="n">
        <v>100</v>
      </c>
      <c r="J507" s="4" t="n">
        <v>100</v>
      </c>
      <c r="K507" s="4" t="n">
        <v>100</v>
      </c>
      <c r="M507" s="2" t="str">
        <f aca="false">IF(C507="","",IFERROR(INDEX($S$5:$S$304,MATCH(C507,$R$5:$R$304,0))&amp;"","?"))</f>
        <v>15</v>
      </c>
      <c r="N507" s="2" t="str">
        <f aca="false">IF(E507="","",IF(ISNUMBER(SEARCH("SUBSOLO",E507)),IFERROR(-VALUE(LEFT(E507,FIND("º",SUBSTITUTE(E507,"°","º"))-1)),-1),IF(LEFT(E507,6)="TÉRREO",0,IFERROR(VALUE(LEFT(E507,FIND("º",SUBSTITUTE(E507,"°","º"))-1)),""))))</f>
        <v/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13390662</v>
      </c>
      <c r="C508" s="4" t="s">
        <v>2686</v>
      </c>
      <c r="D508" s="4" t="s">
        <v>3405</v>
      </c>
      <c r="E508" s="4" t="s">
        <v>81</v>
      </c>
      <c r="F508" s="127" t="n">
        <v>45897</v>
      </c>
      <c r="G508" s="127" t="n">
        <v>45897</v>
      </c>
      <c r="H508" s="127" t="n">
        <v>46293</v>
      </c>
      <c r="I508" s="4" t="n">
        <v>100</v>
      </c>
      <c r="J508" s="4" t="n">
        <v>100</v>
      </c>
      <c r="K508" s="4" t="n">
        <v>100</v>
      </c>
      <c r="M508" s="2" t="str">
        <f aca="false">IF(C508="","",IFERROR(INDEX($S$5:$S$304,MATCH(C508,$R$5:$R$304,0))&amp;"","?"))</f>
        <v>15</v>
      </c>
      <c r="N508" s="2" t="str">
        <f aca="false">IF(E508="","",IF(ISNUMBER(SEARCH("SUBSOLO",E508)),IFERROR(-VALUE(LEFT(E508,FIND("º",SUBSTITUTE(E508,"°","º"))-1)),-1),IF(LEFT(E508,6)="TÉRREO",0,IFERROR(VALUE(LEFT(E508,FIND("º",SUBSTITUTE(E508,"°","º"))-1)),""))))</f>
        <v/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24964260</v>
      </c>
      <c r="C509" s="4" t="s">
        <v>2689</v>
      </c>
      <c r="D509" s="4" t="s">
        <v>433</v>
      </c>
      <c r="E509" s="4" t="s">
        <v>81</v>
      </c>
      <c r="F509" s="127" t="n">
        <v>45891</v>
      </c>
      <c r="G509" s="127" t="n">
        <v>46001</v>
      </c>
      <c r="H509" s="127" t="n">
        <v>46293</v>
      </c>
      <c r="I509" s="4" t="n">
        <v>100</v>
      </c>
      <c r="J509" s="4" t="n">
        <v>100</v>
      </c>
      <c r="K509" s="4" t="n">
        <v>100</v>
      </c>
      <c r="M509" s="2" t="str">
        <f aca="false">IF(C509="","",IFERROR(INDEX($S$5:$S$304,MATCH(C509,$R$5:$R$304,0))&amp;"","?"))</f>
        <v>13</v>
      </c>
      <c r="N509" s="2" t="str">
        <f aca="false">IF(E509="","",IF(ISNUMBER(SEARCH("SUBSOLO",E509)),IFERROR(-VALUE(LEFT(E509,FIND("º",SUBSTITUTE(E509,"°","º"))-1)),-1),IF(LEFT(E509,6)="TÉRREO",0,IFERROR(VALUE(LEFT(E509,FIND("º",SUBSTITUTE(E509,"°","º"))-1)),""))))</f>
        <v/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30570521</v>
      </c>
      <c r="C510" s="4" t="s">
        <v>2692</v>
      </c>
      <c r="D510" s="4" t="s">
        <v>433</v>
      </c>
      <c r="E510" s="4" t="s">
        <v>81</v>
      </c>
      <c r="F510" s="127" t="n">
        <v>45897</v>
      </c>
      <c r="G510" s="127" t="n">
        <v>45992</v>
      </c>
      <c r="H510" s="127" t="n">
        <v>46293</v>
      </c>
      <c r="I510" s="4" t="n">
        <v>100</v>
      </c>
      <c r="J510" s="4" t="n">
        <v>100</v>
      </c>
      <c r="K510" s="4" t="n">
        <v>100</v>
      </c>
      <c r="M510" s="2" t="str">
        <f aca="false">IF(C510="","",IFERROR(INDEX($S$5:$S$304,MATCH(C510,$R$5:$R$304,0))&amp;"","?"))</f>
        <v>13</v>
      </c>
      <c r="N510" s="2" t="str">
        <f aca="false">IF(E510="","",IF(ISNUMBER(SEARCH("SUBSOLO",E510)),IFERROR(-VALUE(LEFT(E510,FIND("º",SUBSTITUTE(E510,"°","º"))-1)),-1),IF(LEFT(E510,6)="TÉRREO",0,IFERROR(VALUE(LEFT(E510,FIND("º",SUBSTITUTE(E510,"°","º"))-1)),""))))</f>
        <v/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13391226</v>
      </c>
      <c r="C511" s="4" t="s">
        <v>2692</v>
      </c>
      <c r="D511" s="4" t="s">
        <v>3406</v>
      </c>
      <c r="E511" s="4" t="s">
        <v>81</v>
      </c>
      <c r="F511" s="127" t="n">
        <v>45901</v>
      </c>
      <c r="G511" s="127" t="n">
        <v>45901</v>
      </c>
      <c r="H511" s="127" t="n">
        <v>46293</v>
      </c>
      <c r="I511" s="4" t="n">
        <v>100</v>
      </c>
      <c r="J511" s="4" t="n">
        <v>100</v>
      </c>
      <c r="K511" s="4" t="n">
        <v>100</v>
      </c>
      <c r="M511" s="2" t="str">
        <f aca="false">IF(C511="","",IFERROR(INDEX($S$5:$S$304,MATCH(C511,$R$5:$R$304,0))&amp;"","?"))</f>
        <v>13</v>
      </c>
      <c r="N511" s="2" t="str">
        <f aca="false">IF(E511="","",IF(ISNUMBER(SEARCH("SUBSOLO",E511)),IFERROR(-VALUE(LEFT(E511,FIND("º",SUBSTITUTE(E511,"°","º"))-1)),-1),IF(LEFT(E511,6)="TÉRREO",0,IFERROR(VALUE(LEFT(E511,FIND("º",SUBSTITUTE(E511,"°","º"))-1)),""))))</f>
        <v/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13391227</v>
      </c>
      <c r="C512" s="4" t="s">
        <v>2692</v>
      </c>
      <c r="D512" s="4" t="s">
        <v>3407</v>
      </c>
      <c r="E512" s="4" t="s">
        <v>81</v>
      </c>
      <c r="F512" s="127" t="n">
        <v>45902</v>
      </c>
      <c r="G512" s="127" t="n">
        <v>45902</v>
      </c>
      <c r="H512" s="127" t="n">
        <v>46293</v>
      </c>
      <c r="I512" s="4" t="n">
        <v>100</v>
      </c>
      <c r="J512" s="4" t="n">
        <v>100</v>
      </c>
      <c r="K512" s="4" t="n">
        <v>100</v>
      </c>
      <c r="M512" s="2" t="str">
        <f aca="false">IF(C512="","",IFERROR(INDEX($S$5:$S$304,MATCH(C512,$R$5:$R$304,0))&amp;"","?"))</f>
        <v>13</v>
      </c>
      <c r="N512" s="2" t="str">
        <f aca="false">IF(E512="","",IF(ISNUMBER(SEARCH("SUBSOLO",E512)),IFERROR(-VALUE(LEFT(E512,FIND("º",SUBSTITUTE(E512,"°","º"))-1)),-1),IF(LEFT(E512,6)="TÉRREO",0,IFERROR(VALUE(LEFT(E512,FIND("º",SUBSTITUTE(E512,"°","º"))-1)),""))))</f>
        <v/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13391228</v>
      </c>
      <c r="C513" s="4" t="s">
        <v>2692</v>
      </c>
      <c r="D513" s="4" t="s">
        <v>3408</v>
      </c>
      <c r="E513" s="4" t="s">
        <v>81</v>
      </c>
      <c r="F513" s="127" t="n">
        <v>45901</v>
      </c>
      <c r="G513" s="127" t="n">
        <v>45901</v>
      </c>
      <c r="H513" s="127" t="n">
        <v>46293</v>
      </c>
      <c r="I513" s="4" t="n">
        <v>100</v>
      </c>
      <c r="J513" s="4" t="n">
        <v>100</v>
      </c>
      <c r="K513" s="4" t="n">
        <v>100</v>
      </c>
      <c r="M513" s="2" t="str">
        <f aca="false">IF(C513="","",IFERROR(INDEX($S$5:$S$304,MATCH(C513,$R$5:$R$304,0))&amp;"","?"))</f>
        <v>13</v>
      </c>
      <c r="N513" s="2" t="str">
        <f aca="false">IF(E513="","",IF(ISNUMBER(SEARCH("SUBSOLO",E513)),IFERROR(-VALUE(LEFT(E513,FIND("º",SUBSTITUTE(E513,"°","º"))-1)),-1),IF(LEFT(E513,6)="TÉRREO",0,IFERROR(VALUE(LEFT(E513,FIND("º",SUBSTITUTE(E513,"°","º"))-1)),""))))</f>
        <v/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13391229</v>
      </c>
      <c r="C514" s="4" t="s">
        <v>2692</v>
      </c>
      <c r="D514" s="4" t="s">
        <v>3409</v>
      </c>
      <c r="E514" s="4" t="s">
        <v>81</v>
      </c>
      <c r="F514" s="127" t="n">
        <v>45902</v>
      </c>
      <c r="G514" s="127" t="n">
        <v>45902</v>
      </c>
      <c r="H514" s="127" t="n">
        <v>46293</v>
      </c>
      <c r="I514" s="4" t="n">
        <v>100</v>
      </c>
      <c r="J514" s="4" t="n">
        <v>100</v>
      </c>
      <c r="K514" s="4" t="n">
        <v>100</v>
      </c>
      <c r="M514" s="2" t="str">
        <f aca="false">IF(C514="","",IFERROR(INDEX($S$5:$S$304,MATCH(C514,$R$5:$R$304,0))&amp;"","?"))</f>
        <v>13</v>
      </c>
      <c r="N514" s="2" t="str">
        <f aca="false">IF(E514="","",IF(ISNUMBER(SEARCH("SUBSOLO",E514)),IFERROR(-VALUE(LEFT(E514,FIND("º",SUBSTITUTE(E514,"°","º"))-1)),-1),IF(LEFT(E514,6)="TÉRREO",0,IFERROR(VALUE(LEFT(E514,FIND("º",SUBSTITUTE(E514,"°","º"))-1)),""))))</f>
        <v/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13391230</v>
      </c>
      <c r="C515" s="4" t="s">
        <v>2692</v>
      </c>
      <c r="D515" s="4" t="s">
        <v>3410</v>
      </c>
      <c r="E515" s="4" t="s">
        <v>81</v>
      </c>
      <c r="F515" s="127" t="n">
        <v>45901</v>
      </c>
      <c r="G515" s="127" t="n">
        <v>45901</v>
      </c>
      <c r="H515" s="127" t="n">
        <v>46293</v>
      </c>
      <c r="I515" s="4" t="n">
        <v>100</v>
      </c>
      <c r="J515" s="4" t="n">
        <v>100</v>
      </c>
      <c r="K515" s="4" t="n">
        <v>100</v>
      </c>
      <c r="M515" s="2" t="str">
        <f aca="false">IF(C515="","",IFERROR(INDEX($S$5:$S$304,MATCH(C515,$R$5:$R$304,0))&amp;"","?"))</f>
        <v>13</v>
      </c>
      <c r="N515" s="2" t="str">
        <f aca="false">IF(E515="","",IF(ISNUMBER(SEARCH("SUBSOLO",E515)),IFERROR(-VALUE(LEFT(E515,FIND("º",SUBSTITUTE(E515,"°","º"))-1)),-1),IF(LEFT(E515,6)="TÉRREO",0,IFERROR(VALUE(LEFT(E515,FIND("º",SUBSTITUTE(E515,"°","º"))-1)),""))))</f>
        <v/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13391231</v>
      </c>
      <c r="C516" s="4" t="s">
        <v>2692</v>
      </c>
      <c r="D516" s="4" t="s">
        <v>3411</v>
      </c>
      <c r="E516" s="4" t="s">
        <v>81</v>
      </c>
      <c r="F516" s="127" t="n">
        <v>45902</v>
      </c>
      <c r="G516" s="127" t="n">
        <v>45902</v>
      </c>
      <c r="H516" s="127" t="n">
        <v>46293</v>
      </c>
      <c r="I516" s="4" t="n">
        <v>100</v>
      </c>
      <c r="J516" s="4" t="n">
        <v>100</v>
      </c>
      <c r="K516" s="4" t="n">
        <v>100</v>
      </c>
      <c r="M516" s="2" t="str">
        <f aca="false">IF(C516="","",IFERROR(INDEX($S$5:$S$304,MATCH(C516,$R$5:$R$304,0))&amp;"","?"))</f>
        <v>13</v>
      </c>
      <c r="N516" s="2" t="str">
        <f aca="false">IF(E516="","",IF(ISNUMBER(SEARCH("SUBSOLO",E516)),IFERROR(-VALUE(LEFT(E516,FIND("º",SUBSTITUTE(E516,"°","º"))-1)),-1),IF(LEFT(E516,6)="TÉRREO",0,IFERROR(VALUE(LEFT(E516,FIND("º",SUBSTITUTE(E516,"°","º"))-1)),""))))</f>
        <v/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13391232</v>
      </c>
      <c r="C517" s="4" t="s">
        <v>2692</v>
      </c>
      <c r="D517" s="4" t="s">
        <v>3412</v>
      </c>
      <c r="E517" s="4" t="s">
        <v>81</v>
      </c>
      <c r="F517" s="127" t="n">
        <v>45901</v>
      </c>
      <c r="G517" s="127" t="n">
        <v>45901</v>
      </c>
      <c r="H517" s="127" t="n">
        <v>46293</v>
      </c>
      <c r="I517" s="4" t="n">
        <v>100</v>
      </c>
      <c r="J517" s="4" t="n">
        <v>100</v>
      </c>
      <c r="K517" s="4" t="n">
        <v>100</v>
      </c>
      <c r="M517" s="2" t="str">
        <f aca="false">IF(C517="","",IFERROR(INDEX($S$5:$S$304,MATCH(C517,$R$5:$R$304,0))&amp;"","?"))</f>
        <v>13</v>
      </c>
      <c r="N517" s="2" t="str">
        <f aca="false">IF(E517="","",IF(ISNUMBER(SEARCH("SUBSOLO",E517)),IFERROR(-VALUE(LEFT(E517,FIND("º",SUBSTITUTE(E517,"°","º"))-1)),-1),IF(LEFT(E517,6)="TÉRREO",0,IFERROR(VALUE(LEFT(E517,FIND("º",SUBSTITUTE(E517,"°","º"))-1)),""))))</f>
        <v/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13391233</v>
      </c>
      <c r="C518" s="4" t="s">
        <v>2692</v>
      </c>
      <c r="D518" s="4" t="s">
        <v>3413</v>
      </c>
      <c r="E518" s="4" t="s">
        <v>81</v>
      </c>
      <c r="F518" s="127" t="n">
        <v>45902</v>
      </c>
      <c r="G518" s="127" t="n">
        <v>45902</v>
      </c>
      <c r="H518" s="127" t="n">
        <v>46293</v>
      </c>
      <c r="I518" s="4" t="n">
        <v>100</v>
      </c>
      <c r="J518" s="4" t="n">
        <v>100</v>
      </c>
      <c r="K518" s="4" t="n">
        <v>100</v>
      </c>
      <c r="M518" s="2" t="str">
        <f aca="false">IF(C518="","",IFERROR(INDEX($S$5:$S$304,MATCH(C518,$R$5:$R$304,0))&amp;"","?"))</f>
        <v>13</v>
      </c>
      <c r="N518" s="2" t="str">
        <f aca="false">IF(E518="","",IF(ISNUMBER(SEARCH("SUBSOLO",E518)),IFERROR(-VALUE(LEFT(E518,FIND("º",SUBSTITUTE(E518,"°","º"))-1)),-1),IF(LEFT(E518,6)="TÉRREO",0,IFERROR(VALUE(LEFT(E518,FIND("º",SUBSTITUTE(E518,"°","º"))-1)),""))))</f>
        <v/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13391234</v>
      </c>
      <c r="C519" s="4" t="s">
        <v>2692</v>
      </c>
      <c r="D519" s="4" t="s">
        <v>3414</v>
      </c>
      <c r="E519" s="4" t="s">
        <v>81</v>
      </c>
      <c r="F519" s="127" t="n">
        <v>45901</v>
      </c>
      <c r="G519" s="127" t="n">
        <v>45901</v>
      </c>
      <c r="H519" s="127" t="n">
        <v>46293</v>
      </c>
      <c r="I519" s="4" t="n">
        <v>100</v>
      </c>
      <c r="J519" s="4" t="n">
        <v>100</v>
      </c>
      <c r="K519" s="4" t="n">
        <v>100</v>
      </c>
      <c r="M519" s="2" t="str">
        <f aca="false">IF(C519="","",IFERROR(INDEX($S$5:$S$304,MATCH(C519,$R$5:$R$304,0))&amp;"","?"))</f>
        <v>13</v>
      </c>
      <c r="N519" s="2" t="str">
        <f aca="false">IF(E519="","",IF(ISNUMBER(SEARCH("SUBSOLO",E519)),IFERROR(-VALUE(LEFT(E519,FIND("º",SUBSTITUTE(E519,"°","º"))-1)),-1),IF(LEFT(E519,6)="TÉRREO",0,IFERROR(VALUE(LEFT(E519,FIND("º",SUBSTITUTE(E519,"°","º"))-1)),""))))</f>
        <v/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13391235</v>
      </c>
      <c r="C520" s="4" t="s">
        <v>2692</v>
      </c>
      <c r="D520" s="4" t="s">
        <v>3415</v>
      </c>
      <c r="E520" s="4" t="s">
        <v>81</v>
      </c>
      <c r="F520" s="127" t="n">
        <v>45898</v>
      </c>
      <c r="G520" s="127" t="n">
        <v>45898</v>
      </c>
      <c r="H520" s="127" t="n">
        <v>46293</v>
      </c>
      <c r="I520" s="4" t="n">
        <v>100</v>
      </c>
      <c r="J520" s="4" t="n">
        <v>100</v>
      </c>
      <c r="K520" s="4" t="n">
        <v>100</v>
      </c>
      <c r="M520" s="2" t="str">
        <f aca="false">IF(C520="","",IFERROR(INDEX($S$5:$S$304,MATCH(C520,$R$5:$R$304,0))&amp;"","?"))</f>
        <v>13</v>
      </c>
      <c r="N520" s="2" t="str">
        <f aca="false">IF(E520="","",IF(ISNUMBER(SEARCH("SUBSOLO",E520)),IFERROR(-VALUE(LEFT(E520,FIND("º",SUBSTITUTE(E520,"°","º"))-1)),-1),IF(LEFT(E520,6)="TÉRREO",0,IFERROR(VALUE(LEFT(E520,FIND("º",SUBSTITUTE(E520,"°","º"))-1)),""))))</f>
        <v/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13391236</v>
      </c>
      <c r="C521" s="4" t="s">
        <v>2692</v>
      </c>
      <c r="D521" s="4" t="s">
        <v>3416</v>
      </c>
      <c r="E521" s="4" t="s">
        <v>81</v>
      </c>
      <c r="F521" s="127" t="n">
        <v>45902</v>
      </c>
      <c r="G521" s="127" t="n">
        <v>45902</v>
      </c>
      <c r="H521" s="127" t="n">
        <v>46293</v>
      </c>
      <c r="I521" s="4" t="n">
        <v>100</v>
      </c>
      <c r="J521" s="4" t="n">
        <v>100</v>
      </c>
      <c r="K521" s="4" t="n">
        <v>100</v>
      </c>
      <c r="M521" s="2" t="str">
        <f aca="false">IF(C521="","",IFERROR(INDEX($S$5:$S$304,MATCH(C521,$R$5:$R$304,0))&amp;"","?"))</f>
        <v>13</v>
      </c>
      <c r="N521" s="2" t="str">
        <f aca="false">IF(E521="","",IF(ISNUMBER(SEARCH("SUBSOLO",E521)),IFERROR(-VALUE(LEFT(E521,FIND("º",SUBSTITUTE(E521,"°","º"))-1)),-1),IF(LEFT(E521,6)="TÉRREO",0,IFERROR(VALUE(LEFT(E521,FIND("º",SUBSTITUTE(E521,"°","º"))-1)),""))))</f>
        <v/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13391237</v>
      </c>
      <c r="C522" s="4" t="s">
        <v>2692</v>
      </c>
      <c r="D522" s="4" t="s">
        <v>3417</v>
      </c>
      <c r="E522" s="4" t="s">
        <v>81</v>
      </c>
      <c r="F522" s="127" t="n">
        <v>45903</v>
      </c>
      <c r="G522" s="127" t="n">
        <v>45903</v>
      </c>
      <c r="H522" s="127" t="n">
        <v>46293</v>
      </c>
      <c r="I522" s="4" t="n">
        <v>100</v>
      </c>
      <c r="J522" s="4" t="n">
        <v>100</v>
      </c>
      <c r="K522" s="4" t="n">
        <v>100</v>
      </c>
      <c r="M522" s="2" t="str">
        <f aca="false">IF(C522="","",IFERROR(INDEX($S$5:$S$304,MATCH(C522,$R$5:$R$304,0))&amp;"","?"))</f>
        <v>13</v>
      </c>
      <c r="N522" s="2" t="str">
        <f aca="false">IF(E522="","",IF(ISNUMBER(SEARCH("SUBSOLO",E522)),IFERROR(-VALUE(LEFT(E522,FIND("º",SUBSTITUTE(E522,"°","º"))-1)),-1),IF(LEFT(E522,6)="TÉRREO",0,IFERROR(VALUE(LEFT(E522,FIND("º",SUBSTITUTE(E522,"°","º"))-1)),""))))</f>
        <v/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13391238</v>
      </c>
      <c r="C523" s="4" t="s">
        <v>2692</v>
      </c>
      <c r="D523" s="4" t="s">
        <v>3418</v>
      </c>
      <c r="E523" s="4" t="s">
        <v>81</v>
      </c>
      <c r="F523" s="127" t="n">
        <v>45902</v>
      </c>
      <c r="G523" s="127" t="n">
        <v>45902</v>
      </c>
      <c r="H523" s="127" t="n">
        <v>46293</v>
      </c>
      <c r="I523" s="4" t="n">
        <v>100</v>
      </c>
      <c r="J523" s="4" t="n">
        <v>100</v>
      </c>
      <c r="K523" s="4" t="n">
        <v>100</v>
      </c>
      <c r="M523" s="2" t="str">
        <f aca="false">IF(C523="","",IFERROR(INDEX($S$5:$S$304,MATCH(C523,$R$5:$R$304,0))&amp;"","?"))</f>
        <v>13</v>
      </c>
      <c r="N523" s="2" t="str">
        <f aca="false">IF(E523="","",IF(ISNUMBER(SEARCH("SUBSOLO",E523)),IFERROR(-VALUE(LEFT(E523,FIND("º",SUBSTITUTE(E523,"°","º"))-1)),-1),IF(LEFT(E523,6)="TÉRREO",0,IFERROR(VALUE(LEFT(E523,FIND("º",SUBSTITUTE(E523,"°","º"))-1)),""))))</f>
        <v/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13391239</v>
      </c>
      <c r="C524" s="4" t="s">
        <v>2692</v>
      </c>
      <c r="D524" s="4" t="s">
        <v>3419</v>
      </c>
      <c r="E524" s="4" t="s">
        <v>81</v>
      </c>
      <c r="F524" s="127" t="n">
        <v>45903</v>
      </c>
      <c r="G524" s="127" t="n">
        <v>45903</v>
      </c>
      <c r="H524" s="127" t="n">
        <v>46293</v>
      </c>
      <c r="I524" s="4" t="n">
        <v>100</v>
      </c>
      <c r="J524" s="4" t="n">
        <v>100</v>
      </c>
      <c r="K524" s="4" t="n">
        <v>100</v>
      </c>
      <c r="M524" s="2" t="str">
        <f aca="false">IF(C524="","",IFERROR(INDEX($S$5:$S$304,MATCH(C524,$R$5:$R$304,0))&amp;"","?"))</f>
        <v>13</v>
      </c>
      <c r="N524" s="2" t="str">
        <f aca="false">IF(E524="","",IF(ISNUMBER(SEARCH("SUBSOLO",E524)),IFERROR(-VALUE(LEFT(E524,FIND("º",SUBSTITUTE(E524,"°","º"))-1)),-1),IF(LEFT(E524,6)="TÉRREO",0,IFERROR(VALUE(LEFT(E524,FIND("º",SUBSTITUTE(E524,"°","º"))-1)),""))))</f>
        <v/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13391240</v>
      </c>
      <c r="C525" s="4" t="s">
        <v>2692</v>
      </c>
      <c r="D525" s="4" t="s">
        <v>3420</v>
      </c>
      <c r="E525" s="4" t="s">
        <v>81</v>
      </c>
      <c r="F525" s="127" t="n">
        <v>45988</v>
      </c>
      <c r="G525" s="127" t="n">
        <v>45988</v>
      </c>
      <c r="H525" s="127" t="n">
        <v>46293</v>
      </c>
      <c r="I525" s="4" t="n">
        <v>100</v>
      </c>
      <c r="J525" s="4" t="n">
        <v>100</v>
      </c>
      <c r="K525" s="4" t="n">
        <v>100</v>
      </c>
      <c r="M525" s="2" t="str">
        <f aca="false">IF(C525="","",IFERROR(INDEX($S$5:$S$304,MATCH(C525,$R$5:$R$304,0))&amp;"","?"))</f>
        <v>13</v>
      </c>
      <c r="N525" s="2" t="str">
        <f aca="false">IF(E525="","",IF(ISNUMBER(SEARCH("SUBSOLO",E525)),IFERROR(-VALUE(LEFT(E525,FIND("º",SUBSTITUTE(E525,"°","º"))-1)),-1),IF(LEFT(E525,6)="TÉRREO",0,IFERROR(VALUE(LEFT(E525,FIND("º",SUBSTITUTE(E525,"°","º"))-1)),""))))</f>
        <v/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13391241</v>
      </c>
      <c r="C526" s="4" t="s">
        <v>2692</v>
      </c>
      <c r="D526" s="4" t="s">
        <v>3421</v>
      </c>
      <c r="E526" s="4" t="s">
        <v>81</v>
      </c>
      <c r="F526" s="127" t="n">
        <v>45903</v>
      </c>
      <c r="G526" s="127" t="n">
        <v>45903</v>
      </c>
      <c r="H526" s="127" t="n">
        <v>46293</v>
      </c>
      <c r="I526" s="4" t="n">
        <v>100</v>
      </c>
      <c r="J526" s="4" t="n">
        <v>100</v>
      </c>
      <c r="K526" s="4" t="n">
        <v>100</v>
      </c>
      <c r="M526" s="2" t="str">
        <f aca="false">IF(C526="","",IFERROR(INDEX($S$5:$S$304,MATCH(C526,$R$5:$R$304,0))&amp;"","?"))</f>
        <v>13</v>
      </c>
      <c r="N526" s="2" t="str">
        <f aca="false">IF(E526="","",IF(ISNUMBER(SEARCH("SUBSOLO",E526)),IFERROR(-VALUE(LEFT(E526,FIND("º",SUBSTITUTE(E526,"°","º"))-1)),-1),IF(LEFT(E526,6)="TÉRREO",0,IFERROR(VALUE(LEFT(E526,FIND("º",SUBSTITUTE(E526,"°","º"))-1)),""))))</f>
        <v/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13391242</v>
      </c>
      <c r="C527" s="4" t="s">
        <v>2692</v>
      </c>
      <c r="D527" s="4" t="s">
        <v>3422</v>
      </c>
      <c r="E527" s="4" t="s">
        <v>81</v>
      </c>
      <c r="F527" s="127" t="n">
        <v>45988</v>
      </c>
      <c r="G527" s="127" t="n">
        <v>45988</v>
      </c>
      <c r="H527" s="127" t="n">
        <v>46293</v>
      </c>
      <c r="I527" s="4" t="n">
        <v>100</v>
      </c>
      <c r="J527" s="4" t="n">
        <v>100</v>
      </c>
      <c r="K527" s="4" t="n">
        <v>100</v>
      </c>
      <c r="M527" s="2" t="str">
        <f aca="false">IF(C527="","",IFERROR(INDEX($S$5:$S$304,MATCH(C527,$R$5:$R$304,0))&amp;"","?"))</f>
        <v>13</v>
      </c>
      <c r="N527" s="2" t="str">
        <f aca="false">IF(E527="","",IF(ISNUMBER(SEARCH("SUBSOLO",E527)),IFERROR(-VALUE(LEFT(E527,FIND("º",SUBSTITUTE(E527,"°","º"))-1)),-1),IF(LEFT(E527,6)="TÉRREO",0,IFERROR(VALUE(LEFT(E527,FIND("º",SUBSTITUTE(E527,"°","º"))-1)),""))))</f>
        <v/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13391243</v>
      </c>
      <c r="C528" s="4" t="s">
        <v>2692</v>
      </c>
      <c r="D528" s="4" t="s">
        <v>3423</v>
      </c>
      <c r="E528" s="4" t="s">
        <v>81</v>
      </c>
      <c r="F528" s="127" t="n">
        <v>45903</v>
      </c>
      <c r="G528" s="127" t="n">
        <v>45903</v>
      </c>
      <c r="H528" s="127" t="n">
        <v>46293</v>
      </c>
      <c r="I528" s="4" t="n">
        <v>100</v>
      </c>
      <c r="J528" s="4" t="n">
        <v>100</v>
      </c>
      <c r="K528" s="4" t="n">
        <v>100</v>
      </c>
      <c r="M528" s="2" t="str">
        <f aca="false">IF(C528="","",IFERROR(INDEX($S$5:$S$304,MATCH(C528,$R$5:$R$304,0))&amp;"","?"))</f>
        <v>13</v>
      </c>
      <c r="N528" s="2" t="str">
        <f aca="false">IF(E528="","",IF(ISNUMBER(SEARCH("SUBSOLO",E528)),IFERROR(-VALUE(LEFT(E528,FIND("º",SUBSTITUTE(E528,"°","º"))-1)),-1),IF(LEFT(E528,6)="TÉRREO",0,IFERROR(VALUE(LEFT(E528,FIND("º",SUBSTITUTE(E528,"°","º"))-1)),""))))</f>
        <v/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13391244</v>
      </c>
      <c r="C529" s="4" t="s">
        <v>2692</v>
      </c>
      <c r="D529" s="4" t="s">
        <v>3424</v>
      </c>
      <c r="E529" s="4" t="s">
        <v>81</v>
      </c>
      <c r="F529" s="127" t="n">
        <v>45988</v>
      </c>
      <c r="G529" s="127" t="n">
        <v>45988</v>
      </c>
      <c r="H529" s="127" t="n">
        <v>46293</v>
      </c>
      <c r="I529" s="4" t="n">
        <v>100</v>
      </c>
      <c r="J529" s="4" t="n">
        <v>100</v>
      </c>
      <c r="K529" s="4" t="n">
        <v>100</v>
      </c>
      <c r="M529" s="2" t="str">
        <f aca="false">IF(C529="","",IFERROR(INDEX($S$5:$S$304,MATCH(C529,$R$5:$R$304,0))&amp;"","?"))</f>
        <v>13</v>
      </c>
      <c r="N529" s="2" t="str">
        <f aca="false">IF(E529="","",IF(ISNUMBER(SEARCH("SUBSOLO",E529)),IFERROR(-VALUE(LEFT(E529,FIND("º",SUBSTITUTE(E529,"°","º"))-1)),-1),IF(LEFT(E529,6)="TÉRREO",0,IFERROR(VALUE(LEFT(E529,FIND("º",SUBSTITUTE(E529,"°","º"))-1)),""))))</f>
        <v/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13391245</v>
      </c>
      <c r="C530" s="4" t="s">
        <v>2692</v>
      </c>
      <c r="D530" s="4" t="s">
        <v>3425</v>
      </c>
      <c r="E530" s="4" t="s">
        <v>81</v>
      </c>
      <c r="F530" s="127" t="n">
        <v>45903</v>
      </c>
      <c r="G530" s="127" t="n">
        <v>45903</v>
      </c>
      <c r="H530" s="127" t="n">
        <v>46293</v>
      </c>
      <c r="I530" s="4" t="n">
        <v>100</v>
      </c>
      <c r="J530" s="4" t="n">
        <v>100</v>
      </c>
      <c r="K530" s="4" t="n">
        <v>100</v>
      </c>
      <c r="M530" s="2" t="str">
        <f aca="false">IF(C530="","",IFERROR(INDEX($S$5:$S$304,MATCH(C530,$R$5:$R$304,0))&amp;"","?"))</f>
        <v>13</v>
      </c>
      <c r="N530" s="2" t="str">
        <f aca="false">IF(E530="","",IF(ISNUMBER(SEARCH("SUBSOLO",E530)),IFERROR(-VALUE(LEFT(E530,FIND("º",SUBSTITUTE(E530,"°","º"))-1)),-1),IF(LEFT(E530,6)="TÉRREO",0,IFERROR(VALUE(LEFT(E530,FIND("º",SUBSTITUTE(E530,"°","º"))-1)),""))))</f>
        <v/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13391246</v>
      </c>
      <c r="C531" s="4" t="s">
        <v>2692</v>
      </c>
      <c r="D531" s="4" t="s">
        <v>3426</v>
      </c>
      <c r="E531" s="4" t="s">
        <v>81</v>
      </c>
      <c r="F531" s="127" t="n">
        <v>45988</v>
      </c>
      <c r="G531" s="127" t="n">
        <v>45988</v>
      </c>
      <c r="H531" s="127" t="n">
        <v>46293</v>
      </c>
      <c r="I531" s="4" t="n">
        <v>100</v>
      </c>
      <c r="J531" s="4" t="n">
        <v>100</v>
      </c>
      <c r="K531" s="4" t="n">
        <v>100</v>
      </c>
      <c r="M531" s="2" t="str">
        <f aca="false">IF(C531="","",IFERROR(INDEX($S$5:$S$304,MATCH(C531,$R$5:$R$304,0))&amp;"","?"))</f>
        <v>13</v>
      </c>
      <c r="N531" s="2" t="str">
        <f aca="false">IF(E531="","",IF(ISNUMBER(SEARCH("SUBSOLO",E531)),IFERROR(-VALUE(LEFT(E531,FIND("º",SUBSTITUTE(E531,"°","º"))-1)),-1),IF(LEFT(E531,6)="TÉRREO",0,IFERROR(VALUE(LEFT(E531,FIND("º",SUBSTITUTE(E531,"°","º"))-1)),""))))</f>
        <v/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13391247</v>
      </c>
      <c r="C532" s="4" t="s">
        <v>2692</v>
      </c>
      <c r="D532" s="4" t="s">
        <v>3427</v>
      </c>
      <c r="E532" s="4" t="s">
        <v>81</v>
      </c>
      <c r="F532" s="127" t="n">
        <v>45901</v>
      </c>
      <c r="G532" s="127" t="n">
        <v>45901</v>
      </c>
      <c r="H532" s="127" t="n">
        <v>46293</v>
      </c>
      <c r="I532" s="4" t="n">
        <v>100</v>
      </c>
      <c r="J532" s="4" t="n">
        <v>100</v>
      </c>
      <c r="K532" s="4" t="n">
        <v>100</v>
      </c>
      <c r="M532" s="2" t="str">
        <f aca="false">IF(C532="","",IFERROR(INDEX($S$5:$S$304,MATCH(C532,$R$5:$R$304,0))&amp;"","?"))</f>
        <v>13</v>
      </c>
      <c r="N532" s="2" t="str">
        <f aca="false">IF(E532="","",IF(ISNUMBER(SEARCH("SUBSOLO",E532)),IFERROR(-VALUE(LEFT(E532,FIND("º",SUBSTITUTE(E532,"°","º"))-1)),-1),IF(LEFT(E532,6)="TÉRREO",0,IFERROR(VALUE(LEFT(E532,FIND("º",SUBSTITUTE(E532,"°","º"))-1)),""))))</f>
        <v/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13391248</v>
      </c>
      <c r="C533" s="4" t="s">
        <v>2692</v>
      </c>
      <c r="D533" s="4" t="s">
        <v>3428</v>
      </c>
      <c r="E533" s="4" t="s">
        <v>81</v>
      </c>
      <c r="F533" s="127" t="n">
        <v>45897</v>
      </c>
      <c r="G533" s="127" t="n">
        <v>45897</v>
      </c>
      <c r="H533" s="127" t="n">
        <v>46293</v>
      </c>
      <c r="I533" s="4" t="n">
        <v>100</v>
      </c>
      <c r="J533" s="4" t="n">
        <v>100</v>
      </c>
      <c r="K533" s="4" t="n">
        <v>100</v>
      </c>
      <c r="M533" s="2" t="str">
        <f aca="false">IF(C533="","",IFERROR(INDEX($S$5:$S$304,MATCH(C533,$R$5:$R$304,0))&amp;"","?"))</f>
        <v>13</v>
      </c>
      <c r="N533" s="2" t="str">
        <f aca="false">IF(E533="","",IF(ISNUMBER(SEARCH("SUBSOLO",E533)),IFERROR(-VALUE(LEFT(E533,FIND("º",SUBSTITUTE(E533,"°","º"))-1)),-1),IF(LEFT(E533,6)="TÉRREO",0,IFERROR(VALUE(LEFT(E533,FIND("º",SUBSTITUTE(E533,"°","º"))-1)),""))))</f>
        <v/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13391249</v>
      </c>
      <c r="C534" s="4" t="s">
        <v>2692</v>
      </c>
      <c r="D534" s="4" t="s">
        <v>3429</v>
      </c>
      <c r="E534" s="4" t="s">
        <v>81</v>
      </c>
      <c r="F534" s="127" t="n">
        <v>45898</v>
      </c>
      <c r="G534" s="127" t="n">
        <v>45898</v>
      </c>
      <c r="H534" s="127" t="n">
        <v>46293</v>
      </c>
      <c r="I534" s="4" t="n">
        <v>100</v>
      </c>
      <c r="J534" s="4" t="n">
        <v>100</v>
      </c>
      <c r="K534" s="4" t="n">
        <v>100</v>
      </c>
      <c r="M534" s="2" t="str">
        <f aca="false">IF(C534="","",IFERROR(INDEX($S$5:$S$304,MATCH(C534,$R$5:$R$304,0))&amp;"","?"))</f>
        <v>13</v>
      </c>
      <c r="N534" s="2" t="str">
        <f aca="false">IF(E534="","",IF(ISNUMBER(SEARCH("SUBSOLO",E534)),IFERROR(-VALUE(LEFT(E534,FIND("º",SUBSTITUTE(E534,"°","º"))-1)),-1),IF(LEFT(E534,6)="TÉRREO",0,IFERROR(VALUE(LEFT(E534,FIND("º",SUBSTITUTE(E534,"°","º"))-1)),""))))</f>
        <v/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13391250</v>
      </c>
      <c r="C535" s="4" t="s">
        <v>2692</v>
      </c>
      <c r="D535" s="4" t="s">
        <v>3430</v>
      </c>
      <c r="E535" s="4" t="s">
        <v>81</v>
      </c>
      <c r="F535" s="127" t="n">
        <v>45897</v>
      </c>
      <c r="G535" s="127" t="n">
        <v>45897</v>
      </c>
      <c r="H535" s="127" t="n">
        <v>46293</v>
      </c>
      <c r="I535" s="4" t="n">
        <v>100</v>
      </c>
      <c r="J535" s="4" t="n">
        <v>100</v>
      </c>
      <c r="K535" s="4" t="n">
        <v>100</v>
      </c>
      <c r="M535" s="2" t="str">
        <f aca="false">IF(C535="","",IFERROR(INDEX($S$5:$S$304,MATCH(C535,$R$5:$R$304,0))&amp;"","?"))</f>
        <v>13</v>
      </c>
      <c r="N535" s="2" t="str">
        <f aca="false">IF(E535="","",IF(ISNUMBER(SEARCH("SUBSOLO",E535)),IFERROR(-VALUE(LEFT(E535,FIND("º",SUBSTITUTE(E535,"°","º"))-1)),-1),IF(LEFT(E535,6)="TÉRREO",0,IFERROR(VALUE(LEFT(E535,FIND("º",SUBSTITUTE(E535,"°","º"))-1)),""))))</f>
        <v/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13391251</v>
      </c>
      <c r="C536" s="4" t="s">
        <v>2692</v>
      </c>
      <c r="D536" s="4" t="s">
        <v>3431</v>
      </c>
      <c r="E536" s="4" t="s">
        <v>81</v>
      </c>
      <c r="F536" s="127" t="n">
        <v>45898</v>
      </c>
      <c r="G536" s="127" t="n">
        <v>45898</v>
      </c>
      <c r="H536" s="127" t="n">
        <v>46293</v>
      </c>
      <c r="I536" s="4" t="n">
        <v>100</v>
      </c>
      <c r="J536" s="4" t="n">
        <v>100</v>
      </c>
      <c r="K536" s="4" t="n">
        <v>100</v>
      </c>
      <c r="M536" s="2" t="str">
        <f aca="false">IF(C536="","",IFERROR(INDEX($S$5:$S$304,MATCH(C536,$R$5:$R$304,0))&amp;"","?"))</f>
        <v>13</v>
      </c>
      <c r="N536" s="2" t="str">
        <f aca="false">IF(E536="","",IF(ISNUMBER(SEARCH("SUBSOLO",E536)),IFERROR(-VALUE(LEFT(E536,FIND("º",SUBSTITUTE(E536,"°","º"))-1)),-1),IF(LEFT(E536,6)="TÉRREO",0,IFERROR(VALUE(LEFT(E536,FIND("º",SUBSTITUTE(E536,"°","º"))-1)),""))))</f>
        <v/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13391252</v>
      </c>
      <c r="C537" s="4" t="s">
        <v>2692</v>
      </c>
      <c r="D537" s="4" t="s">
        <v>3432</v>
      </c>
      <c r="E537" s="4" t="s">
        <v>81</v>
      </c>
      <c r="F537" s="127" t="n">
        <v>45897</v>
      </c>
      <c r="G537" s="127" t="n">
        <v>45897</v>
      </c>
      <c r="H537" s="127" t="n">
        <v>46293</v>
      </c>
      <c r="I537" s="4" t="n">
        <v>100</v>
      </c>
      <c r="J537" s="4" t="n">
        <v>100</v>
      </c>
      <c r="K537" s="4" t="n">
        <v>100</v>
      </c>
      <c r="M537" s="2" t="str">
        <f aca="false">IF(C537="","",IFERROR(INDEX($S$5:$S$304,MATCH(C537,$R$5:$R$304,0))&amp;"","?"))</f>
        <v>13</v>
      </c>
      <c r="N537" s="2" t="str">
        <f aca="false">IF(E537="","",IF(ISNUMBER(SEARCH("SUBSOLO",E537)),IFERROR(-VALUE(LEFT(E537,FIND("º",SUBSTITUTE(E537,"°","º"))-1)),-1),IF(LEFT(E537,6)="TÉRREO",0,IFERROR(VALUE(LEFT(E537,FIND("º",SUBSTITUTE(E537,"°","º"))-1)),""))))</f>
        <v/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13391253</v>
      </c>
      <c r="C538" s="4" t="s">
        <v>2692</v>
      </c>
      <c r="D538" s="4" t="s">
        <v>3433</v>
      </c>
      <c r="E538" s="4" t="s">
        <v>81</v>
      </c>
      <c r="F538" s="127" t="n">
        <v>45898</v>
      </c>
      <c r="G538" s="127" t="n">
        <v>45898</v>
      </c>
      <c r="H538" s="127" t="n">
        <v>46293</v>
      </c>
      <c r="I538" s="4" t="n">
        <v>100</v>
      </c>
      <c r="J538" s="4" t="n">
        <v>100</v>
      </c>
      <c r="K538" s="4" t="n">
        <v>100</v>
      </c>
      <c r="M538" s="2" t="str">
        <f aca="false">IF(C538="","",IFERROR(INDEX($S$5:$S$304,MATCH(C538,$R$5:$R$304,0))&amp;"","?"))</f>
        <v>13</v>
      </c>
      <c r="N538" s="2" t="str">
        <f aca="false">IF(E538="","",IF(ISNUMBER(SEARCH("SUBSOLO",E538)),IFERROR(-VALUE(LEFT(E538,FIND("º",SUBSTITUTE(E538,"°","º"))-1)),-1),IF(LEFT(E538,6)="TÉRREO",0,IFERROR(VALUE(LEFT(E538,FIND("º",SUBSTITUTE(E538,"°","º"))-1)),""))))</f>
        <v/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13391254</v>
      </c>
      <c r="C539" s="4" t="s">
        <v>2692</v>
      </c>
      <c r="D539" s="4" t="s">
        <v>3434</v>
      </c>
      <c r="E539" s="4" t="s">
        <v>81</v>
      </c>
      <c r="F539" s="127" t="n">
        <v>45897</v>
      </c>
      <c r="G539" s="127" t="n">
        <v>45897</v>
      </c>
      <c r="H539" s="127" t="n">
        <v>46293</v>
      </c>
      <c r="I539" s="4" t="n">
        <v>100</v>
      </c>
      <c r="J539" s="4" t="n">
        <v>100</v>
      </c>
      <c r="K539" s="4" t="n">
        <v>100</v>
      </c>
      <c r="M539" s="2" t="str">
        <f aca="false">IF(C539="","",IFERROR(INDEX($S$5:$S$304,MATCH(C539,$R$5:$R$304,0))&amp;"","?"))</f>
        <v>13</v>
      </c>
      <c r="N539" s="2" t="str">
        <f aca="false">IF(E539="","",IF(ISNUMBER(SEARCH("SUBSOLO",E539)),IFERROR(-VALUE(LEFT(E539,FIND("º",SUBSTITUTE(E539,"°","º"))-1)),-1),IF(LEFT(E539,6)="TÉRREO",0,IFERROR(VALUE(LEFT(E539,FIND("º",SUBSTITUTE(E539,"°","º"))-1)),""))))</f>
        <v/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13391255</v>
      </c>
      <c r="C540" s="4" t="s">
        <v>2692</v>
      </c>
      <c r="D540" s="4" t="s">
        <v>3435</v>
      </c>
      <c r="E540" s="4" t="s">
        <v>81</v>
      </c>
      <c r="F540" s="127" t="n">
        <v>45898</v>
      </c>
      <c r="G540" s="127" t="n">
        <v>45898</v>
      </c>
      <c r="H540" s="127" t="n">
        <v>46293</v>
      </c>
      <c r="I540" s="4" t="n">
        <v>100</v>
      </c>
      <c r="J540" s="4" t="n">
        <v>100</v>
      </c>
      <c r="K540" s="4" t="n">
        <v>100</v>
      </c>
      <c r="M540" s="2" t="str">
        <f aca="false">IF(C540="","",IFERROR(INDEX($S$5:$S$304,MATCH(C540,$R$5:$R$304,0))&amp;"","?"))</f>
        <v>13</v>
      </c>
      <c r="N540" s="2" t="str">
        <f aca="false">IF(E540="","",IF(ISNUMBER(SEARCH("SUBSOLO",E540)),IFERROR(-VALUE(LEFT(E540,FIND("º",SUBSTITUTE(E540,"°","º"))-1)),-1),IF(LEFT(E540,6)="TÉRREO",0,IFERROR(VALUE(LEFT(E540,FIND("º",SUBSTITUTE(E540,"°","º"))-1)),""))))</f>
        <v/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13391256</v>
      </c>
      <c r="C541" s="4" t="s">
        <v>2692</v>
      </c>
      <c r="D541" s="4" t="s">
        <v>3436</v>
      </c>
      <c r="E541" s="4" t="s">
        <v>81</v>
      </c>
      <c r="F541" s="127" t="n">
        <v>45897</v>
      </c>
      <c r="G541" s="127" t="n">
        <v>45897</v>
      </c>
      <c r="H541" s="127" t="n">
        <v>46293</v>
      </c>
      <c r="I541" s="4" t="n">
        <v>100</v>
      </c>
      <c r="J541" s="4" t="n">
        <v>100</v>
      </c>
      <c r="K541" s="4" t="n">
        <v>100</v>
      </c>
      <c r="M541" s="2" t="str">
        <f aca="false">IF(C541="","",IFERROR(INDEX($S$5:$S$304,MATCH(C541,$R$5:$R$304,0))&amp;"","?"))</f>
        <v>13</v>
      </c>
      <c r="N541" s="2" t="str">
        <f aca="false">IF(E541="","",IF(ISNUMBER(SEARCH("SUBSOLO",E541)),IFERROR(-VALUE(LEFT(E541,FIND("º",SUBSTITUTE(E541,"°","º"))-1)),-1),IF(LEFT(E541,6)="TÉRREO",0,IFERROR(VALUE(LEFT(E541,FIND("º",SUBSTITUTE(E541,"°","º"))-1)),""))))</f>
        <v/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13391257</v>
      </c>
      <c r="C542" s="4" t="s">
        <v>2692</v>
      </c>
      <c r="D542" s="4" t="s">
        <v>3437</v>
      </c>
      <c r="E542" s="4" t="s">
        <v>81</v>
      </c>
      <c r="F542" s="127" t="n">
        <v>45898</v>
      </c>
      <c r="G542" s="127" t="n">
        <v>45898</v>
      </c>
      <c r="H542" s="127" t="n">
        <v>46293</v>
      </c>
      <c r="I542" s="4" t="n">
        <v>100</v>
      </c>
      <c r="J542" s="4" t="n">
        <v>100</v>
      </c>
      <c r="K542" s="4" t="n">
        <v>100</v>
      </c>
      <c r="M542" s="2" t="str">
        <f aca="false">IF(C542="","",IFERROR(INDEX($S$5:$S$304,MATCH(C542,$R$5:$R$304,0))&amp;"","?"))</f>
        <v>13</v>
      </c>
      <c r="N542" s="2" t="str">
        <f aca="false">IF(E542="","",IF(ISNUMBER(SEARCH("SUBSOLO",E542)),IFERROR(-VALUE(LEFT(E542,FIND("º",SUBSTITUTE(E542,"°","º"))-1)),-1),IF(LEFT(E542,6)="TÉRREO",0,IFERROR(VALUE(LEFT(E542,FIND("º",SUBSTITUTE(E542,"°","º"))-1)),""))))</f>
        <v/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13391258</v>
      </c>
      <c r="C543" s="4" t="s">
        <v>2692</v>
      </c>
      <c r="D543" s="4" t="s">
        <v>3438</v>
      </c>
      <c r="E543" s="4" t="s">
        <v>81</v>
      </c>
      <c r="F543" s="127" t="n">
        <v>45897</v>
      </c>
      <c r="G543" s="127" t="n">
        <v>45897</v>
      </c>
      <c r="H543" s="127" t="n">
        <v>46293</v>
      </c>
      <c r="I543" s="4" t="n">
        <v>100</v>
      </c>
      <c r="J543" s="4" t="n">
        <v>100</v>
      </c>
      <c r="K543" s="4" t="n">
        <v>100</v>
      </c>
      <c r="M543" s="2" t="str">
        <f aca="false">IF(C543="","",IFERROR(INDEX($S$5:$S$304,MATCH(C543,$R$5:$R$304,0))&amp;"","?"))</f>
        <v>13</v>
      </c>
      <c r="N543" s="2" t="str">
        <f aca="false">IF(E543="","",IF(ISNUMBER(SEARCH("SUBSOLO",E543)),IFERROR(-VALUE(LEFT(E543,FIND("º",SUBSTITUTE(E543,"°","º"))-1)),-1),IF(LEFT(E543,6)="TÉRREO",0,IFERROR(VALUE(LEFT(E543,FIND("º",SUBSTITUTE(E543,"°","º"))-1)),""))))</f>
        <v/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13391259</v>
      </c>
      <c r="C544" s="4" t="s">
        <v>2692</v>
      </c>
      <c r="D544" s="4" t="s">
        <v>3439</v>
      </c>
      <c r="E544" s="4" t="s">
        <v>81</v>
      </c>
      <c r="F544" s="127" t="n">
        <v>45987</v>
      </c>
      <c r="G544" s="127" t="n">
        <v>45987</v>
      </c>
      <c r="H544" s="127" t="n">
        <v>46293</v>
      </c>
      <c r="I544" s="4" t="n">
        <v>100</v>
      </c>
      <c r="J544" s="4" t="n">
        <v>100</v>
      </c>
      <c r="K544" s="4" t="n">
        <v>100</v>
      </c>
      <c r="M544" s="2" t="str">
        <f aca="false">IF(C544="","",IFERROR(INDEX($S$5:$S$304,MATCH(C544,$R$5:$R$304,0))&amp;"","?"))</f>
        <v>13</v>
      </c>
      <c r="N544" s="2" t="str">
        <f aca="false">IF(E544="","",IF(ISNUMBER(SEARCH("SUBSOLO",E544)),IFERROR(-VALUE(LEFT(E544,FIND("º",SUBSTITUTE(E544,"°","º"))-1)),-1),IF(LEFT(E544,6)="TÉRREO",0,IFERROR(VALUE(LEFT(E544,FIND("º",SUBSTITUTE(E544,"°","º"))-1)),""))))</f>
        <v/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13391260</v>
      </c>
      <c r="C545" s="4" t="s">
        <v>2692</v>
      </c>
      <c r="D545" s="4" t="s">
        <v>3440</v>
      </c>
      <c r="E545" s="4" t="s">
        <v>81</v>
      </c>
      <c r="F545" s="127" t="n">
        <v>45988</v>
      </c>
      <c r="G545" s="127" t="n">
        <v>45988</v>
      </c>
      <c r="H545" s="127" t="n">
        <v>46293</v>
      </c>
      <c r="I545" s="4" t="n">
        <v>100</v>
      </c>
      <c r="J545" s="4" t="n">
        <v>100</v>
      </c>
      <c r="K545" s="4" t="n">
        <v>100</v>
      </c>
      <c r="M545" s="2" t="str">
        <f aca="false">IF(C545="","",IFERROR(INDEX($S$5:$S$304,MATCH(C545,$R$5:$R$304,0))&amp;"","?"))</f>
        <v>13</v>
      </c>
      <c r="N545" s="2" t="str">
        <f aca="false">IF(E545="","",IF(ISNUMBER(SEARCH("SUBSOLO",E545)),IFERROR(-VALUE(LEFT(E545,FIND("º",SUBSTITUTE(E545,"°","º"))-1)),-1),IF(LEFT(E545,6)="TÉRREO",0,IFERROR(VALUE(LEFT(E545,FIND("º",SUBSTITUTE(E545,"°","º"))-1)),""))))</f>
        <v/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13391261</v>
      </c>
      <c r="C546" s="4" t="s">
        <v>2692</v>
      </c>
      <c r="D546" s="4" t="s">
        <v>3441</v>
      </c>
      <c r="E546" s="4" t="s">
        <v>81</v>
      </c>
      <c r="F546" s="127" t="n">
        <v>45989</v>
      </c>
      <c r="G546" s="127" t="n">
        <v>45989</v>
      </c>
      <c r="H546" s="127" t="n">
        <v>46293</v>
      </c>
      <c r="I546" s="4" t="n">
        <v>100</v>
      </c>
      <c r="J546" s="4" t="n">
        <v>100</v>
      </c>
      <c r="K546" s="4" t="n">
        <v>100</v>
      </c>
      <c r="M546" s="2" t="str">
        <f aca="false">IF(C546="","",IFERROR(INDEX($S$5:$S$304,MATCH(C546,$R$5:$R$304,0))&amp;"","?"))</f>
        <v>13</v>
      </c>
      <c r="N546" s="2" t="str">
        <f aca="false">IF(E546="","",IF(ISNUMBER(SEARCH("SUBSOLO",E546)),IFERROR(-VALUE(LEFT(E546,FIND("º",SUBSTITUTE(E546,"°","º"))-1)),-1),IF(LEFT(E546,6)="TÉRREO",0,IFERROR(VALUE(LEFT(E546,FIND("º",SUBSTITUTE(E546,"°","º"))-1)),""))))</f>
        <v/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13391262</v>
      </c>
      <c r="C547" s="4" t="s">
        <v>2692</v>
      </c>
      <c r="D547" s="4" t="s">
        <v>3442</v>
      </c>
      <c r="E547" s="4" t="s">
        <v>81</v>
      </c>
      <c r="F547" s="127" t="n">
        <v>45988</v>
      </c>
      <c r="G547" s="127" t="n">
        <v>45988</v>
      </c>
      <c r="H547" s="127" t="n">
        <v>46293</v>
      </c>
      <c r="I547" s="4" t="n">
        <v>100</v>
      </c>
      <c r="J547" s="4" t="n">
        <v>100</v>
      </c>
      <c r="K547" s="4" t="n">
        <v>100</v>
      </c>
      <c r="M547" s="2" t="str">
        <f aca="false">IF(C547="","",IFERROR(INDEX($S$5:$S$304,MATCH(C547,$R$5:$R$304,0))&amp;"","?"))</f>
        <v>13</v>
      </c>
      <c r="N547" s="2" t="str">
        <f aca="false">IF(E547="","",IF(ISNUMBER(SEARCH("SUBSOLO",E547)),IFERROR(-VALUE(LEFT(E547,FIND("º",SUBSTITUTE(E547,"°","º"))-1)),-1),IF(LEFT(E547,6)="TÉRREO",0,IFERROR(VALUE(LEFT(E547,FIND("º",SUBSTITUTE(E547,"°","º"))-1)),""))))</f>
        <v/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13391263</v>
      </c>
      <c r="C548" s="4" t="s">
        <v>2692</v>
      </c>
      <c r="D548" s="4" t="s">
        <v>3443</v>
      </c>
      <c r="E548" s="4" t="s">
        <v>81</v>
      </c>
      <c r="F548" s="127" t="n">
        <v>45989</v>
      </c>
      <c r="G548" s="127" t="n">
        <v>45989</v>
      </c>
      <c r="H548" s="127" t="n">
        <v>46293</v>
      </c>
      <c r="I548" s="4" t="n">
        <v>100</v>
      </c>
      <c r="J548" s="4" t="n">
        <v>100</v>
      </c>
      <c r="K548" s="4" t="n">
        <v>100</v>
      </c>
      <c r="M548" s="2" t="str">
        <f aca="false">IF(C548="","",IFERROR(INDEX($S$5:$S$304,MATCH(C548,$R$5:$R$304,0))&amp;"","?"))</f>
        <v>13</v>
      </c>
      <c r="N548" s="2" t="str">
        <f aca="false">IF(E548="","",IF(ISNUMBER(SEARCH("SUBSOLO",E548)),IFERROR(-VALUE(LEFT(E548,FIND("º",SUBSTITUTE(E548,"°","º"))-1)),-1),IF(LEFT(E548,6)="TÉRREO",0,IFERROR(VALUE(LEFT(E548,FIND("º",SUBSTITUTE(E548,"°","º"))-1)),""))))</f>
        <v/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13391264</v>
      </c>
      <c r="C549" s="4" t="s">
        <v>2692</v>
      </c>
      <c r="D549" s="4" t="s">
        <v>3444</v>
      </c>
      <c r="E549" s="4" t="s">
        <v>81</v>
      </c>
      <c r="F549" s="127" t="n">
        <v>45992</v>
      </c>
      <c r="G549" s="127" t="n">
        <v>45992</v>
      </c>
      <c r="H549" s="127" t="n">
        <v>46293</v>
      </c>
      <c r="I549" s="4" t="n">
        <v>100</v>
      </c>
      <c r="J549" s="4" t="n">
        <v>100</v>
      </c>
      <c r="K549" s="4" t="n">
        <v>100</v>
      </c>
      <c r="M549" s="2" t="str">
        <f aca="false">IF(C549="","",IFERROR(INDEX($S$5:$S$304,MATCH(C549,$R$5:$R$304,0))&amp;"","?"))</f>
        <v>13</v>
      </c>
      <c r="N549" s="2" t="str">
        <f aca="false">IF(E549="","",IF(ISNUMBER(SEARCH("SUBSOLO",E549)),IFERROR(-VALUE(LEFT(E549,FIND("º",SUBSTITUTE(E549,"°","º"))-1)),-1),IF(LEFT(E549,6)="TÉRREO",0,IFERROR(VALUE(LEFT(E549,FIND("º",SUBSTITUTE(E549,"°","º"))-1)),""))))</f>
        <v/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13391265</v>
      </c>
      <c r="C550" s="4" t="s">
        <v>2692</v>
      </c>
      <c r="D550" s="4" t="s">
        <v>3445</v>
      </c>
      <c r="E550" s="4" t="s">
        <v>81</v>
      </c>
      <c r="F550" s="127" t="n">
        <v>45989</v>
      </c>
      <c r="G550" s="127" t="n">
        <v>45989</v>
      </c>
      <c r="H550" s="127" t="n">
        <v>46293</v>
      </c>
      <c r="I550" s="4" t="n">
        <v>100</v>
      </c>
      <c r="J550" s="4" t="n">
        <v>100</v>
      </c>
      <c r="K550" s="4" t="n">
        <v>100</v>
      </c>
      <c r="M550" s="2" t="str">
        <f aca="false">IF(C550="","",IFERROR(INDEX($S$5:$S$304,MATCH(C550,$R$5:$R$304,0))&amp;"","?"))</f>
        <v>13</v>
      </c>
      <c r="N550" s="2" t="str">
        <f aca="false">IF(E550="","",IF(ISNUMBER(SEARCH("SUBSOLO",E550)),IFERROR(-VALUE(LEFT(E550,FIND("º",SUBSTITUTE(E550,"°","º"))-1)),-1),IF(LEFT(E550,6)="TÉRREO",0,IFERROR(VALUE(LEFT(E550,FIND("º",SUBSTITUTE(E550,"°","º"))-1)),""))))</f>
        <v/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13391266</v>
      </c>
      <c r="C551" s="4" t="s">
        <v>2692</v>
      </c>
      <c r="D551" s="4" t="s">
        <v>3446</v>
      </c>
      <c r="E551" s="4" t="s">
        <v>81</v>
      </c>
      <c r="F551" s="127" t="n">
        <v>45992</v>
      </c>
      <c r="G551" s="127" t="n">
        <v>45992</v>
      </c>
      <c r="H551" s="127" t="n">
        <v>46293</v>
      </c>
      <c r="I551" s="4" t="n">
        <v>100</v>
      </c>
      <c r="J551" s="4" t="n">
        <v>100</v>
      </c>
      <c r="K551" s="4" t="n">
        <v>100</v>
      </c>
      <c r="M551" s="2" t="str">
        <f aca="false">IF(C551="","",IFERROR(INDEX($S$5:$S$304,MATCH(C551,$R$5:$R$304,0))&amp;"","?"))</f>
        <v>13</v>
      </c>
      <c r="N551" s="2" t="str">
        <f aca="false">IF(E551="","",IF(ISNUMBER(SEARCH("SUBSOLO",E551)),IFERROR(-VALUE(LEFT(E551,FIND("º",SUBSTITUTE(E551,"°","º"))-1)),-1),IF(LEFT(E551,6)="TÉRREO",0,IFERROR(VALUE(LEFT(E551,FIND("º",SUBSTITUTE(E551,"°","º"))-1)),""))))</f>
        <v/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13391267</v>
      </c>
      <c r="C552" s="4" t="s">
        <v>2692</v>
      </c>
      <c r="D552" s="4" t="s">
        <v>3447</v>
      </c>
      <c r="E552" s="4" t="s">
        <v>81</v>
      </c>
      <c r="F552" s="127" t="n">
        <v>45989</v>
      </c>
      <c r="G552" s="127" t="n">
        <v>45989</v>
      </c>
      <c r="H552" s="127" t="n">
        <v>46293</v>
      </c>
      <c r="I552" s="4" t="n">
        <v>100</v>
      </c>
      <c r="J552" s="4" t="n">
        <v>100</v>
      </c>
      <c r="K552" s="4" t="n">
        <v>100</v>
      </c>
      <c r="M552" s="2" t="str">
        <f aca="false">IF(C552="","",IFERROR(INDEX($S$5:$S$304,MATCH(C552,$R$5:$R$304,0))&amp;"","?"))</f>
        <v>13</v>
      </c>
      <c r="N552" s="2" t="str">
        <f aca="false">IF(E552="","",IF(ISNUMBER(SEARCH("SUBSOLO",E552)),IFERROR(-VALUE(LEFT(E552,FIND("º",SUBSTITUTE(E552,"°","º"))-1)),-1),IF(LEFT(E552,6)="TÉRREO",0,IFERROR(VALUE(LEFT(E552,FIND("º",SUBSTITUTE(E552,"°","º"))-1)),""))))</f>
        <v/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13391268</v>
      </c>
      <c r="C553" s="4" t="s">
        <v>2692</v>
      </c>
      <c r="D553" s="4" t="s">
        <v>3448</v>
      </c>
      <c r="E553" s="4" t="s">
        <v>81</v>
      </c>
      <c r="F553" s="127" t="n">
        <v>45992</v>
      </c>
      <c r="G553" s="127" t="n">
        <v>45992</v>
      </c>
      <c r="H553" s="127" t="n">
        <v>46293</v>
      </c>
      <c r="I553" s="4" t="n">
        <v>100</v>
      </c>
      <c r="J553" s="4" t="n">
        <v>100</v>
      </c>
      <c r="K553" s="4" t="n">
        <v>100</v>
      </c>
      <c r="M553" s="2" t="str">
        <f aca="false">IF(C553="","",IFERROR(INDEX($S$5:$S$304,MATCH(C553,$R$5:$R$304,0))&amp;"","?"))</f>
        <v>13</v>
      </c>
      <c r="N553" s="2" t="str">
        <f aca="false">IF(E553="","",IF(ISNUMBER(SEARCH("SUBSOLO",E553)),IFERROR(-VALUE(LEFT(E553,FIND("º",SUBSTITUTE(E553,"°","º"))-1)),-1),IF(LEFT(E553,6)="TÉRREO",0,IFERROR(VALUE(LEFT(E553,FIND("º",SUBSTITUTE(E553,"°","º"))-1)),""))))</f>
        <v/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26734337</v>
      </c>
      <c r="C554" s="4" t="s">
        <v>2684</v>
      </c>
      <c r="D554" s="4" t="s">
        <v>433</v>
      </c>
      <c r="E554" s="4" t="s">
        <v>3449</v>
      </c>
      <c r="F554" s="127" t="n">
        <v>45909</v>
      </c>
      <c r="G554" s="127" t="n">
        <v>45924</v>
      </c>
      <c r="H554" s="127" t="n">
        <v>46293</v>
      </c>
      <c r="I554" s="4" t="n">
        <v>100</v>
      </c>
      <c r="J554" s="4" t="n">
        <v>100</v>
      </c>
      <c r="K554" s="4" t="n">
        <v>100</v>
      </c>
      <c r="M554" s="2" t="str">
        <f aca="false">IF(C554="","",IFERROR(INDEX($S$5:$S$304,MATCH(C554,$R$5:$R$304,0))&amp;"","?"))</f>
        <v>17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-2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9522327</v>
      </c>
      <c r="C555" s="4" t="s">
        <v>2684</v>
      </c>
      <c r="D555" s="4" t="s">
        <v>3244</v>
      </c>
      <c r="E555" s="4" t="s">
        <v>3449</v>
      </c>
      <c r="F555" s="127" t="n">
        <v>45909</v>
      </c>
      <c r="G555" s="127" t="n">
        <v>45912</v>
      </c>
      <c r="H555" s="127" t="n">
        <v>46293</v>
      </c>
      <c r="I555" s="4" t="n">
        <v>100</v>
      </c>
      <c r="J555" s="4" t="n">
        <v>100</v>
      </c>
      <c r="K555" s="4" t="n">
        <v>100</v>
      </c>
      <c r="M555" s="2" t="str">
        <f aca="false">IF(C555="","",IFERROR(INDEX($S$5:$S$304,MATCH(C555,$R$5:$R$304,0))&amp;"","?"))</f>
        <v>17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-2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9522328</v>
      </c>
      <c r="C556" s="4" t="s">
        <v>2684</v>
      </c>
      <c r="D556" s="4" t="s">
        <v>3245</v>
      </c>
      <c r="E556" s="4" t="s">
        <v>3449</v>
      </c>
      <c r="F556" s="127" t="n">
        <v>45912</v>
      </c>
      <c r="G556" s="127" t="n">
        <v>45916</v>
      </c>
      <c r="H556" s="127" t="n">
        <v>46293</v>
      </c>
      <c r="I556" s="4" t="n">
        <v>100</v>
      </c>
      <c r="J556" s="4" t="n">
        <v>100</v>
      </c>
      <c r="K556" s="4" t="n">
        <v>100</v>
      </c>
      <c r="M556" s="2" t="str">
        <f aca="false">IF(C556="","",IFERROR(INDEX($S$5:$S$304,MATCH(C556,$R$5:$R$304,0))&amp;"","?"))</f>
        <v>17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-2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9522329</v>
      </c>
      <c r="C557" s="4" t="s">
        <v>2684</v>
      </c>
      <c r="D557" s="4" t="s">
        <v>3246</v>
      </c>
      <c r="E557" s="4" t="s">
        <v>3449</v>
      </c>
      <c r="F557" s="127" t="n">
        <v>45915</v>
      </c>
      <c r="G557" s="127" t="n">
        <v>45917</v>
      </c>
      <c r="H557" s="127" t="n">
        <v>46293</v>
      </c>
      <c r="I557" s="4" t="n">
        <v>100</v>
      </c>
      <c r="J557" s="4" t="n">
        <v>100</v>
      </c>
      <c r="K557" s="4" t="n">
        <v>100</v>
      </c>
      <c r="M557" s="2" t="str">
        <f aca="false">IF(C557="","",IFERROR(INDEX($S$5:$S$304,MATCH(C557,$R$5:$R$304,0))&amp;"","?"))</f>
        <v>17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-2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9522330</v>
      </c>
      <c r="C558" s="4" t="s">
        <v>2684</v>
      </c>
      <c r="D558" s="4" t="s">
        <v>3247</v>
      </c>
      <c r="E558" s="4" t="s">
        <v>3449</v>
      </c>
      <c r="F558" s="127" t="n">
        <v>45918</v>
      </c>
      <c r="G558" s="127" t="n">
        <v>45918</v>
      </c>
      <c r="H558" s="127" t="n">
        <v>46293</v>
      </c>
      <c r="I558" s="4" t="n">
        <v>100</v>
      </c>
      <c r="J558" s="4" t="n">
        <v>100</v>
      </c>
      <c r="K558" s="4" t="n">
        <v>100</v>
      </c>
      <c r="M558" s="2" t="str">
        <f aca="false">IF(C558="","",IFERROR(INDEX($S$5:$S$304,MATCH(C558,$R$5:$R$304,0))&amp;"","?"))</f>
        <v>17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-2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9522331</v>
      </c>
      <c r="C559" s="4" t="s">
        <v>2684</v>
      </c>
      <c r="D559" s="4" t="s">
        <v>3248</v>
      </c>
      <c r="E559" s="4" t="s">
        <v>3449</v>
      </c>
      <c r="F559" s="127" t="n">
        <v>45919</v>
      </c>
      <c r="G559" s="127" t="n">
        <v>45923</v>
      </c>
      <c r="H559" s="127" t="n">
        <v>46293</v>
      </c>
      <c r="I559" s="4" t="n">
        <v>100</v>
      </c>
      <c r="J559" s="4" t="n">
        <v>100</v>
      </c>
      <c r="K559" s="4" t="n">
        <v>100</v>
      </c>
      <c r="M559" s="2" t="str">
        <f aca="false">IF(C559="","",IFERROR(INDEX($S$5:$S$304,MATCH(C559,$R$5:$R$304,0))&amp;"","?"))</f>
        <v>17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-2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9522332</v>
      </c>
      <c r="C560" s="4" t="s">
        <v>2684</v>
      </c>
      <c r="D560" s="4" t="s">
        <v>3249</v>
      </c>
      <c r="E560" s="4" t="s">
        <v>3449</v>
      </c>
      <c r="F560" s="127" t="n">
        <v>45922</v>
      </c>
      <c r="G560" s="127" t="n">
        <v>45924</v>
      </c>
      <c r="H560" s="127" t="n">
        <v>46293</v>
      </c>
      <c r="I560" s="4" t="n">
        <v>100</v>
      </c>
      <c r="J560" s="4" t="n">
        <v>100</v>
      </c>
      <c r="K560" s="4" t="n">
        <v>100</v>
      </c>
      <c r="M560" s="2" t="str">
        <f aca="false">IF(C560="","",IFERROR(INDEX($S$5:$S$304,MATCH(C560,$R$5:$R$304,0))&amp;"","?"))</f>
        <v>17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-2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9522333</v>
      </c>
      <c r="C561" s="4" t="s">
        <v>2684</v>
      </c>
      <c r="D561" s="4" t="s">
        <v>3250</v>
      </c>
      <c r="E561" s="4" t="s">
        <v>3449</v>
      </c>
      <c r="F561" s="127" t="n">
        <v>45923</v>
      </c>
      <c r="G561" s="127" t="n">
        <v>45923</v>
      </c>
      <c r="H561" s="127" t="n">
        <v>46293</v>
      </c>
      <c r="I561" s="4" t="n">
        <v>100</v>
      </c>
      <c r="J561" s="4" t="n">
        <v>100</v>
      </c>
      <c r="K561" s="4" t="n">
        <v>100</v>
      </c>
      <c r="M561" s="2" t="str">
        <f aca="false">IF(C561="","",IFERROR(INDEX($S$5:$S$304,MATCH(C561,$R$5:$R$304,0))&amp;"","?"))</f>
        <v>17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-2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9522334</v>
      </c>
      <c r="C562" s="4" t="s">
        <v>2684</v>
      </c>
      <c r="D562" s="4" t="s">
        <v>3251</v>
      </c>
      <c r="E562" s="4" t="s">
        <v>3449</v>
      </c>
      <c r="F562" s="127" t="n">
        <v>45923</v>
      </c>
      <c r="G562" s="127" t="n">
        <v>45923</v>
      </c>
      <c r="H562" s="127" t="n">
        <v>46293</v>
      </c>
      <c r="I562" s="4" t="n">
        <v>100</v>
      </c>
      <c r="J562" s="4" t="n">
        <v>100</v>
      </c>
      <c r="K562" s="4" t="n">
        <v>100</v>
      </c>
      <c r="M562" s="2" t="str">
        <f aca="false">IF(C562="","",IFERROR(INDEX($S$5:$S$304,MATCH(C562,$R$5:$R$304,0))&amp;"","?"))</f>
        <v>17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-2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9522335</v>
      </c>
      <c r="C563" s="4" t="s">
        <v>2684</v>
      </c>
      <c r="D563" s="4" t="s">
        <v>3252</v>
      </c>
      <c r="E563" s="4" t="s">
        <v>3449</v>
      </c>
      <c r="F563" s="127" t="n">
        <v>45924</v>
      </c>
      <c r="G563" s="127" t="n">
        <v>45924</v>
      </c>
      <c r="H563" s="127" t="n">
        <v>46293</v>
      </c>
      <c r="I563" s="4" t="n">
        <v>100</v>
      </c>
      <c r="J563" s="4" t="n">
        <v>100</v>
      </c>
      <c r="K563" s="4" t="n">
        <v>100</v>
      </c>
      <c r="M563" s="2" t="str">
        <f aca="false">IF(C563="","",IFERROR(INDEX($S$5:$S$304,MATCH(C563,$R$5:$R$304,0))&amp;"","?"))</f>
        <v>17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-2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24964339</v>
      </c>
      <c r="C564" s="4" t="s">
        <v>2694</v>
      </c>
      <c r="D564" s="4" t="s">
        <v>433</v>
      </c>
      <c r="E564" s="4" t="s">
        <v>81</v>
      </c>
      <c r="F564" s="127" t="n">
        <v>45912</v>
      </c>
      <c r="G564" s="127" t="n">
        <v>45918</v>
      </c>
      <c r="H564" s="127" t="n">
        <v>46293</v>
      </c>
      <c r="I564" s="4" t="n">
        <v>100</v>
      </c>
      <c r="J564" s="4" t="n">
        <v>100</v>
      </c>
      <c r="K564" s="4" t="n">
        <v>100</v>
      </c>
      <c r="M564" s="2" t="str">
        <f aca="false">IF(C564="","",IFERROR(INDEX($S$5:$S$304,MATCH(C564,$R$5:$R$304,0))&amp;"","?"))</f>
        <v>14</v>
      </c>
      <c r="N564" s="2" t="str">
        <f aca="false">IF(E564="","",IF(ISNUMBER(SEARCH("SUBSOLO",E564)),IFERROR(-VALUE(LEFT(E564,FIND("º",SUBSTITUTE(E564,"°","º"))-1)),-1),IF(LEFT(E564,6)="TÉRREO",0,IFERROR(VALUE(LEFT(E564,FIND("º",SUBSTITUTE(E564,"°","º"))-1)),""))))</f>
        <v/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32195314</v>
      </c>
      <c r="C565" s="4" t="s">
        <v>2696</v>
      </c>
      <c r="D565" s="4" t="s">
        <v>433</v>
      </c>
      <c r="E565" s="4" t="s">
        <v>81</v>
      </c>
      <c r="F565" s="127" t="n">
        <v>45912</v>
      </c>
      <c r="G565" s="127" t="n">
        <v>46192</v>
      </c>
      <c r="H565" s="127" t="n">
        <v>46293</v>
      </c>
      <c r="I565" s="4" t="n">
        <v>100</v>
      </c>
      <c r="J565" s="4" t="n">
        <v>100</v>
      </c>
      <c r="K565" s="4" t="n">
        <v>100</v>
      </c>
      <c r="M565" s="2" t="str">
        <f aca="false">IF(C565="","",IFERROR(INDEX($S$5:$S$304,MATCH(C565,$R$5:$R$304,0))&amp;"","?"))</f>
        <v>13</v>
      </c>
      <c r="N565" s="2" t="str">
        <f aca="false">IF(E565="","",IF(ISNUMBER(SEARCH("SUBSOLO",E565)),IFERROR(-VALUE(LEFT(E565,FIND("º",SUBSTITUTE(E565,"°","º"))-1)),-1),IF(LEFT(E565,6)="TÉRREO",0,IFERROR(VALUE(LEFT(E565,FIND("º",SUBSTITUTE(E565,"°","º"))-1)),""))))</f>
        <v/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12999634</v>
      </c>
      <c r="C566" s="4" t="s">
        <v>2696</v>
      </c>
      <c r="D566" s="4" t="s">
        <v>3450</v>
      </c>
      <c r="E566" s="4" t="s">
        <v>81</v>
      </c>
      <c r="F566" s="127" t="n">
        <v>46175</v>
      </c>
      <c r="G566" s="127" t="n">
        <v>46178</v>
      </c>
      <c r="H566" s="127" t="n">
        <v>46293</v>
      </c>
      <c r="I566" s="4" t="n">
        <v>100</v>
      </c>
      <c r="J566" s="4" t="n">
        <v>100</v>
      </c>
      <c r="K566" s="4" t="n">
        <v>100</v>
      </c>
      <c r="M566" s="2" t="str">
        <f aca="false">IF(C566="","",IFERROR(INDEX($S$5:$S$304,MATCH(C566,$R$5:$R$304,0))&amp;"","?"))</f>
        <v>13</v>
      </c>
      <c r="N566" s="2" t="str">
        <f aca="false">IF(E566="","",IF(ISNUMBER(SEARCH("SUBSOLO",E566)),IFERROR(-VALUE(LEFT(E566,FIND("º",SUBSTITUTE(E566,"°","º"))-1)),-1),IF(LEFT(E566,6)="TÉRREO",0,IFERROR(VALUE(LEFT(E566,FIND("º",SUBSTITUTE(E566,"°","º"))-1)),""))))</f>
        <v/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12999635</v>
      </c>
      <c r="C567" s="4" t="s">
        <v>2696</v>
      </c>
      <c r="D567" s="4" t="s">
        <v>3451</v>
      </c>
      <c r="E567" s="4" t="s">
        <v>81</v>
      </c>
      <c r="F567" s="127" t="n">
        <v>46178</v>
      </c>
      <c r="G567" s="127" t="n">
        <v>46190</v>
      </c>
      <c r="H567" s="127" t="n">
        <v>46293</v>
      </c>
      <c r="I567" s="4" t="n">
        <v>100</v>
      </c>
      <c r="J567" s="4" t="n">
        <v>100</v>
      </c>
      <c r="K567" s="4" t="n">
        <v>100</v>
      </c>
      <c r="M567" s="2" t="str">
        <f aca="false">IF(C567="","",IFERROR(INDEX($S$5:$S$304,MATCH(C567,$R$5:$R$304,0))&amp;"","?"))</f>
        <v>13</v>
      </c>
      <c r="N567" s="2" t="str">
        <f aca="false">IF(E567="","",IF(ISNUMBER(SEARCH("SUBSOLO",E567)),IFERROR(-VALUE(LEFT(E567,FIND("º",SUBSTITUTE(E567,"°","º"))-1)),-1),IF(LEFT(E567,6)="TÉRREO",0,IFERROR(VALUE(LEFT(E567,FIND("º",SUBSTITUTE(E567,"°","º"))-1)),""))))</f>
        <v/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12999636</v>
      </c>
      <c r="C568" s="4" t="s">
        <v>2696</v>
      </c>
      <c r="D568" s="4" t="s">
        <v>3452</v>
      </c>
      <c r="E568" s="4" t="s">
        <v>81</v>
      </c>
      <c r="F568" s="127" t="n">
        <v>45929</v>
      </c>
      <c r="G568" s="127" t="n">
        <v>45932</v>
      </c>
      <c r="H568" s="127" t="n">
        <v>46293</v>
      </c>
      <c r="I568" s="4" t="n">
        <v>100</v>
      </c>
      <c r="J568" s="4" t="n">
        <v>100</v>
      </c>
      <c r="K568" s="4" t="n">
        <v>100</v>
      </c>
      <c r="M568" s="2" t="str">
        <f aca="false">IF(C568="","",IFERROR(INDEX($S$5:$S$304,MATCH(C568,$R$5:$R$304,0))&amp;"","?"))</f>
        <v>13</v>
      </c>
      <c r="N568" s="2" t="str">
        <f aca="false">IF(E568="","",IF(ISNUMBER(SEARCH("SUBSOLO",E568)),IFERROR(-VALUE(LEFT(E568,FIND("º",SUBSTITUTE(E568,"°","º"))-1)),-1),IF(LEFT(E568,6)="TÉRREO",0,IFERROR(VALUE(LEFT(E568,FIND("º",SUBSTITUTE(E568,"°","º"))-1)),""))))</f>
        <v/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12999637</v>
      </c>
      <c r="C569" s="4" t="s">
        <v>2696</v>
      </c>
      <c r="D569" s="4" t="s">
        <v>3453</v>
      </c>
      <c r="E569" s="4" t="s">
        <v>81</v>
      </c>
      <c r="F569" s="127" t="n">
        <v>45933</v>
      </c>
      <c r="G569" s="127" t="n">
        <v>46176</v>
      </c>
      <c r="H569" s="127" t="n">
        <v>46293</v>
      </c>
      <c r="I569" s="4" t="n">
        <v>100</v>
      </c>
      <c r="J569" s="4" t="n">
        <v>100</v>
      </c>
      <c r="K569" s="4" t="n">
        <v>100</v>
      </c>
      <c r="M569" s="2" t="str">
        <f aca="false">IF(C569="","",IFERROR(INDEX($S$5:$S$304,MATCH(C569,$R$5:$R$304,0))&amp;"","?"))</f>
        <v>13</v>
      </c>
      <c r="N569" s="2" t="str">
        <f aca="false">IF(E569="","",IF(ISNUMBER(SEARCH("SUBSOLO",E569)),IFERROR(-VALUE(LEFT(E569,FIND("º",SUBSTITUTE(E569,"°","º"))-1)),-1),IF(LEFT(E569,6)="TÉRREO",0,IFERROR(VALUE(LEFT(E569,FIND("º",SUBSTITUTE(E569,"°","º"))-1)),""))))</f>
        <v/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12999638</v>
      </c>
      <c r="C570" s="4" t="s">
        <v>2696</v>
      </c>
      <c r="D570" s="4" t="s">
        <v>3454</v>
      </c>
      <c r="E570" s="4" t="s">
        <v>81</v>
      </c>
      <c r="F570" s="127" t="n">
        <v>46178</v>
      </c>
      <c r="G570" s="127" t="n">
        <v>46182</v>
      </c>
      <c r="H570" s="127" t="n">
        <v>46293</v>
      </c>
      <c r="I570" s="4" t="n">
        <v>100</v>
      </c>
      <c r="J570" s="4" t="n">
        <v>100</v>
      </c>
      <c r="K570" s="4" t="n">
        <v>100</v>
      </c>
      <c r="M570" s="2" t="str">
        <f aca="false">IF(C570="","",IFERROR(INDEX($S$5:$S$304,MATCH(C570,$R$5:$R$304,0))&amp;"","?"))</f>
        <v>13</v>
      </c>
      <c r="N570" s="2" t="str">
        <f aca="false">IF(E570="","",IF(ISNUMBER(SEARCH("SUBSOLO",E570)),IFERROR(-VALUE(LEFT(E570,FIND("º",SUBSTITUTE(E570,"°","º"))-1)),-1),IF(LEFT(E570,6)="TÉRREO",0,IFERROR(VALUE(LEFT(E570,FIND("º",SUBSTITUTE(E570,"°","º"))-1)),""))))</f>
        <v/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12999639</v>
      </c>
      <c r="C571" s="4" t="s">
        <v>2696</v>
      </c>
      <c r="D571" s="4" t="s">
        <v>3455</v>
      </c>
      <c r="E571" s="4" t="s">
        <v>81</v>
      </c>
      <c r="F571" s="127" t="n">
        <v>46182</v>
      </c>
      <c r="G571" s="127" t="n">
        <v>46192</v>
      </c>
      <c r="H571" s="127" t="n">
        <v>46293</v>
      </c>
      <c r="I571" s="4" t="n">
        <v>100</v>
      </c>
      <c r="J571" s="4" t="n">
        <v>100</v>
      </c>
      <c r="K571" s="4" t="n">
        <v>100</v>
      </c>
      <c r="M571" s="2" t="str">
        <f aca="false">IF(C571="","",IFERROR(INDEX($S$5:$S$304,MATCH(C571,$R$5:$R$304,0))&amp;"","?"))</f>
        <v>13</v>
      </c>
      <c r="N571" s="2" t="str">
        <f aca="false">IF(E571="","",IF(ISNUMBER(SEARCH("SUBSOLO",E571)),IFERROR(-VALUE(LEFT(E571,FIND("º",SUBSTITUTE(E571,"°","º"))-1)),-1),IF(LEFT(E571,6)="TÉRREO",0,IFERROR(VALUE(LEFT(E571,FIND("º",SUBSTITUTE(E571,"°","º"))-1)),""))))</f>
        <v/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12999640</v>
      </c>
      <c r="C572" s="4" t="s">
        <v>2696</v>
      </c>
      <c r="D572" s="4" t="s">
        <v>3456</v>
      </c>
      <c r="E572" s="4" t="s">
        <v>81</v>
      </c>
      <c r="F572" s="127" t="n">
        <v>45912</v>
      </c>
      <c r="G572" s="127" t="n">
        <v>45912</v>
      </c>
      <c r="H572" s="127" t="n">
        <v>46293</v>
      </c>
      <c r="I572" s="4" t="n">
        <v>100</v>
      </c>
      <c r="J572" s="4" t="n">
        <v>100</v>
      </c>
      <c r="K572" s="4" t="n">
        <v>100</v>
      </c>
      <c r="M572" s="2" t="str">
        <f aca="false">IF(C572="","",IFERROR(INDEX($S$5:$S$304,MATCH(C572,$R$5:$R$304,0))&amp;"","?"))</f>
        <v>13</v>
      </c>
      <c r="N572" s="2" t="str">
        <f aca="false">IF(E572="","",IF(ISNUMBER(SEARCH("SUBSOLO",E572)),IFERROR(-VALUE(LEFT(E572,FIND("º",SUBSTITUTE(E572,"°","º"))-1)),-1),IF(LEFT(E572,6)="TÉRREO",0,IFERROR(VALUE(LEFT(E572,FIND("º",SUBSTITUTE(E572,"°","º"))-1)),""))))</f>
        <v/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12999641</v>
      </c>
      <c r="C573" s="4" t="s">
        <v>2696</v>
      </c>
      <c r="D573" s="4" t="s">
        <v>3457</v>
      </c>
      <c r="E573" s="4" t="s">
        <v>81</v>
      </c>
      <c r="F573" s="127" t="n">
        <v>45929</v>
      </c>
      <c r="G573" s="127" t="n">
        <v>45930</v>
      </c>
      <c r="H573" s="127" t="n">
        <v>46293</v>
      </c>
      <c r="I573" s="4" t="n">
        <v>100</v>
      </c>
      <c r="J573" s="4" t="n">
        <v>100</v>
      </c>
      <c r="K573" s="4" t="n">
        <v>100</v>
      </c>
      <c r="M573" s="2" t="str">
        <f aca="false">IF(C573="","",IFERROR(INDEX($S$5:$S$304,MATCH(C573,$R$5:$R$304,0))&amp;"","?"))</f>
        <v>13</v>
      </c>
      <c r="N573" s="2" t="str">
        <f aca="false">IF(E573="","",IF(ISNUMBER(SEARCH("SUBSOLO",E573)),IFERROR(-VALUE(LEFT(E573,FIND("º",SUBSTITUTE(E573,"°","º"))-1)),-1),IF(LEFT(E573,6)="TÉRREO",0,IFERROR(VALUE(LEFT(E573,FIND("º",SUBSTITUTE(E573,"°","º"))-1)),""))))</f>
        <v/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12999642</v>
      </c>
      <c r="C574" s="4" t="s">
        <v>2696</v>
      </c>
      <c r="D574" s="4" t="s">
        <v>3458</v>
      </c>
      <c r="E574" s="4" t="s">
        <v>81</v>
      </c>
      <c r="F574" s="127" t="n">
        <v>45912</v>
      </c>
      <c r="G574" s="127" t="n">
        <v>45918</v>
      </c>
      <c r="H574" s="127" t="n">
        <v>46293</v>
      </c>
      <c r="I574" s="4" t="n">
        <v>100</v>
      </c>
      <c r="J574" s="4" t="n">
        <v>100</v>
      </c>
      <c r="K574" s="4" t="n">
        <v>100</v>
      </c>
      <c r="M574" s="2" t="str">
        <f aca="false">IF(C574="","",IFERROR(INDEX($S$5:$S$304,MATCH(C574,$R$5:$R$304,0))&amp;"","?"))</f>
        <v>13</v>
      </c>
      <c r="N574" s="2" t="str">
        <f aca="false">IF(E574="","",IF(ISNUMBER(SEARCH("SUBSOLO",E574)),IFERROR(-VALUE(LEFT(E574,FIND("º",SUBSTITUTE(E574,"°","º"))-1)),-1),IF(LEFT(E574,6)="TÉRREO",0,IFERROR(VALUE(LEFT(E574,FIND("º",SUBSTITUTE(E574,"°","º"))-1)),""))))</f>
        <v/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12999643</v>
      </c>
      <c r="C575" s="4" t="s">
        <v>2696</v>
      </c>
      <c r="D575" s="4" t="s">
        <v>3459</v>
      </c>
      <c r="E575" s="4" t="s">
        <v>81</v>
      </c>
      <c r="F575" s="127" t="n">
        <v>45912</v>
      </c>
      <c r="G575" s="127" t="n">
        <v>45918</v>
      </c>
      <c r="H575" s="127" t="n">
        <v>46293</v>
      </c>
      <c r="I575" s="4" t="n">
        <v>100</v>
      </c>
      <c r="J575" s="4" t="n">
        <v>100</v>
      </c>
      <c r="K575" s="4" t="n">
        <v>100</v>
      </c>
      <c r="M575" s="2" t="str">
        <f aca="false">IF(C575="","",IFERROR(INDEX($S$5:$S$304,MATCH(C575,$R$5:$R$304,0))&amp;"","?"))</f>
        <v>13</v>
      </c>
      <c r="N575" s="2" t="str">
        <f aca="false">IF(E575="","",IF(ISNUMBER(SEARCH("SUBSOLO",E575)),IFERROR(-VALUE(LEFT(E575,FIND("º",SUBSTITUTE(E575,"°","º"))-1)),-1),IF(LEFT(E575,6)="TÉRREO",0,IFERROR(VALUE(LEFT(E575,FIND("º",SUBSTITUTE(E575,"°","º"))-1)),""))))</f>
        <v/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12999644</v>
      </c>
      <c r="C576" s="4" t="s">
        <v>2696</v>
      </c>
      <c r="D576" s="4" t="s">
        <v>3460</v>
      </c>
      <c r="E576" s="4" t="s">
        <v>81</v>
      </c>
      <c r="F576" s="127" t="n">
        <v>45982</v>
      </c>
      <c r="G576" s="127" t="n">
        <v>45986</v>
      </c>
      <c r="H576" s="127" t="n">
        <v>46293</v>
      </c>
      <c r="I576" s="4" t="n">
        <v>100</v>
      </c>
      <c r="J576" s="4" t="n">
        <v>100</v>
      </c>
      <c r="K576" s="4" t="n">
        <v>100</v>
      </c>
      <c r="M576" s="2" t="str">
        <f aca="false">IF(C576="","",IFERROR(INDEX($S$5:$S$304,MATCH(C576,$R$5:$R$304,0))&amp;"","?"))</f>
        <v>13</v>
      </c>
      <c r="N576" s="2" t="str">
        <f aca="false">IF(E576="","",IF(ISNUMBER(SEARCH("SUBSOLO",E576)),IFERROR(-VALUE(LEFT(E576,FIND("º",SUBSTITUTE(E576,"°","º"))-1)),-1),IF(LEFT(E576,6)="TÉRREO",0,IFERROR(VALUE(LEFT(E576,FIND("º",SUBSTITUTE(E576,"°","º"))-1)),""))))</f>
        <v/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12999645</v>
      </c>
      <c r="C577" s="4" t="s">
        <v>2696</v>
      </c>
      <c r="D577" s="4" t="s">
        <v>3461</v>
      </c>
      <c r="E577" s="4" t="s">
        <v>81</v>
      </c>
      <c r="F577" s="127" t="n">
        <v>45987</v>
      </c>
      <c r="G577" s="127" t="n">
        <v>45988</v>
      </c>
      <c r="H577" s="127" t="n">
        <v>46293</v>
      </c>
      <c r="I577" s="4" t="n">
        <v>100</v>
      </c>
      <c r="J577" s="4" t="n">
        <v>100</v>
      </c>
      <c r="K577" s="4" t="n">
        <v>100</v>
      </c>
      <c r="M577" s="2" t="str">
        <f aca="false">IF(C577="","",IFERROR(INDEX($S$5:$S$304,MATCH(C577,$R$5:$R$304,0))&amp;"","?"))</f>
        <v>13</v>
      </c>
      <c r="N577" s="2" t="str">
        <f aca="false">IF(E577="","",IF(ISNUMBER(SEARCH("SUBSOLO",E577)),IFERROR(-VALUE(LEFT(E577,FIND("º",SUBSTITUTE(E577,"°","º"))-1)),-1),IF(LEFT(E577,6)="TÉRREO",0,IFERROR(VALUE(LEFT(E577,FIND("º",SUBSTITUTE(E577,"°","º"))-1)),""))))</f>
        <v/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13393643</v>
      </c>
      <c r="C578" s="4" t="s">
        <v>2696</v>
      </c>
      <c r="D578" s="4" t="s">
        <v>3462</v>
      </c>
      <c r="E578" s="4" t="s">
        <v>81</v>
      </c>
      <c r="F578" s="127" t="n">
        <v>45989</v>
      </c>
      <c r="G578" s="127" t="n">
        <v>45989</v>
      </c>
      <c r="H578" s="127" t="n">
        <v>46293</v>
      </c>
      <c r="I578" s="4" t="n">
        <v>100</v>
      </c>
      <c r="J578" s="4" t="n">
        <v>100</v>
      </c>
      <c r="K578" s="4" t="n">
        <v>100</v>
      </c>
      <c r="M578" s="2" t="str">
        <f aca="false">IF(C578="","",IFERROR(INDEX($S$5:$S$304,MATCH(C578,$R$5:$R$304,0))&amp;"","?"))</f>
        <v>13</v>
      </c>
      <c r="N578" s="2" t="str">
        <f aca="false">IF(E578="","",IF(ISNUMBER(SEARCH("SUBSOLO",E578)),IFERROR(-VALUE(LEFT(E578,FIND("º",SUBSTITUTE(E578,"°","º"))-1)),-1),IF(LEFT(E578,6)="TÉRREO",0,IFERROR(VALUE(LEFT(E578,FIND("º",SUBSTITUTE(E578,"°","º"))-1)),""))))</f>
        <v/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13393644</v>
      </c>
      <c r="C579" s="4" t="s">
        <v>2696</v>
      </c>
      <c r="D579" s="4" t="s">
        <v>3463</v>
      </c>
      <c r="E579" s="4" t="s">
        <v>81</v>
      </c>
      <c r="F579" s="127" t="n">
        <v>45912</v>
      </c>
      <c r="G579" s="127" t="n">
        <v>45915</v>
      </c>
      <c r="H579" s="127" t="n">
        <v>46293</v>
      </c>
      <c r="I579" s="4" t="n">
        <v>100</v>
      </c>
      <c r="J579" s="4" t="n">
        <v>100</v>
      </c>
      <c r="K579" s="4" t="n">
        <v>100</v>
      </c>
      <c r="M579" s="2" t="str">
        <f aca="false">IF(C579="","",IFERROR(INDEX($S$5:$S$304,MATCH(C579,$R$5:$R$304,0))&amp;"","?"))</f>
        <v>13</v>
      </c>
      <c r="N579" s="2" t="str">
        <f aca="false">IF(E579="","",IF(ISNUMBER(SEARCH("SUBSOLO",E579)),IFERROR(-VALUE(LEFT(E579,FIND("º",SUBSTITUTE(E579,"°","º"))-1)),-1),IF(LEFT(E579,6)="TÉRREO",0,IFERROR(VALUE(LEFT(E579,FIND("º",SUBSTITUTE(E579,"°","º"))-1)),""))))</f>
        <v/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13393645</v>
      </c>
      <c r="C580" s="4" t="s">
        <v>2696</v>
      </c>
      <c r="D580" s="4" t="s">
        <v>3464</v>
      </c>
      <c r="E580" s="4" t="s">
        <v>81</v>
      </c>
      <c r="F580" s="127" t="n">
        <v>45916</v>
      </c>
      <c r="G580" s="127" t="n">
        <v>45919</v>
      </c>
      <c r="H580" s="127" t="n">
        <v>46293</v>
      </c>
      <c r="I580" s="4" t="n">
        <v>100</v>
      </c>
      <c r="J580" s="4" t="n">
        <v>100</v>
      </c>
      <c r="K580" s="4" t="n">
        <v>100</v>
      </c>
      <c r="M580" s="2" t="str">
        <f aca="false">IF(C580="","",IFERROR(INDEX($S$5:$S$304,MATCH(C580,$R$5:$R$304,0))&amp;"","?"))</f>
        <v>13</v>
      </c>
      <c r="N580" s="2" t="str">
        <f aca="false">IF(E580="","",IF(ISNUMBER(SEARCH("SUBSOLO",E580)),IFERROR(-VALUE(LEFT(E580,FIND("º",SUBSTITUTE(E580,"°","º"))-1)),-1),IF(LEFT(E580,6)="TÉRREO",0,IFERROR(VALUE(LEFT(E580,FIND("º",SUBSTITUTE(E580,"°","º"))-1)),""))))</f>
        <v/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13393646</v>
      </c>
      <c r="C581" s="4" t="s">
        <v>2696</v>
      </c>
      <c r="D581" s="4" t="s">
        <v>3465</v>
      </c>
      <c r="E581" s="4" t="s">
        <v>81</v>
      </c>
      <c r="F581" s="127" t="n">
        <v>45912</v>
      </c>
      <c r="G581" s="127" t="n">
        <v>45916</v>
      </c>
      <c r="H581" s="127" t="n">
        <v>46293</v>
      </c>
      <c r="I581" s="4" t="n">
        <v>100</v>
      </c>
      <c r="J581" s="4" t="n">
        <v>100</v>
      </c>
      <c r="K581" s="4" t="n">
        <v>100</v>
      </c>
      <c r="M581" s="2" t="str">
        <f aca="false">IF(C581="","",IFERROR(INDEX($S$5:$S$304,MATCH(C581,$R$5:$R$304,0))&amp;"","?"))</f>
        <v>13</v>
      </c>
      <c r="N581" s="2" t="str">
        <f aca="false">IF(E581="","",IF(ISNUMBER(SEARCH("SUBSOLO",E581)),IFERROR(-VALUE(LEFT(E581,FIND("º",SUBSTITUTE(E581,"°","º"))-1)),-1),IF(LEFT(E581,6)="TÉRREO",0,IFERROR(VALUE(LEFT(E581,FIND("º",SUBSTITUTE(E581,"°","º"))-1)),""))))</f>
        <v/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30591746</v>
      </c>
      <c r="C582" s="4" t="s">
        <v>2698</v>
      </c>
      <c r="D582" s="4" t="s">
        <v>433</v>
      </c>
      <c r="E582" s="4" t="s">
        <v>3449</v>
      </c>
      <c r="F582" s="127" t="n">
        <v>45917</v>
      </c>
      <c r="G582" s="127" t="n">
        <v>45930</v>
      </c>
      <c r="H582" s="127" t="n">
        <v>46293</v>
      </c>
      <c r="I582" s="4" t="n">
        <v>100</v>
      </c>
      <c r="J582" s="4" t="n">
        <v>100</v>
      </c>
      <c r="K582" s="4" t="n">
        <v>100</v>
      </c>
      <c r="M582" s="2" t="str">
        <f aca="false">IF(C582="","",IFERROR(INDEX($S$5:$S$304,MATCH(C582,$R$5:$R$304,0))&amp;"","?"))</f>
        <v>17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-2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11172673</v>
      </c>
      <c r="C583" s="4" t="s">
        <v>2698</v>
      </c>
      <c r="D583" s="4" t="s">
        <v>3244</v>
      </c>
      <c r="E583" s="4" t="s">
        <v>3449</v>
      </c>
      <c r="F583" s="127" t="n">
        <v>45917</v>
      </c>
      <c r="G583" s="127" t="n">
        <v>45918</v>
      </c>
      <c r="H583" s="127" t="n">
        <v>46293</v>
      </c>
      <c r="I583" s="4" t="n">
        <v>100</v>
      </c>
      <c r="J583" s="4" t="n">
        <v>100</v>
      </c>
      <c r="K583" s="4" t="n">
        <v>100</v>
      </c>
      <c r="M583" s="2" t="str">
        <f aca="false">IF(C583="","",IFERROR(INDEX($S$5:$S$304,MATCH(C583,$R$5:$R$304,0))&amp;"","?"))</f>
        <v>17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-2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11172674</v>
      </c>
      <c r="C584" s="4" t="s">
        <v>2698</v>
      </c>
      <c r="D584" s="4" t="s">
        <v>3245</v>
      </c>
      <c r="E584" s="4" t="s">
        <v>3449</v>
      </c>
      <c r="F584" s="127" t="n">
        <v>45919</v>
      </c>
      <c r="G584" s="127" t="n">
        <v>45922</v>
      </c>
      <c r="H584" s="127" t="n">
        <v>46293</v>
      </c>
      <c r="I584" s="4" t="n">
        <v>100</v>
      </c>
      <c r="J584" s="4" t="n">
        <v>100</v>
      </c>
      <c r="K584" s="4" t="n">
        <v>100</v>
      </c>
      <c r="M584" s="2" t="str">
        <f aca="false">IF(C584="","",IFERROR(INDEX($S$5:$S$304,MATCH(C584,$R$5:$R$304,0))&amp;"","?"))</f>
        <v>17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-2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11172675</v>
      </c>
      <c r="C585" s="4" t="s">
        <v>2698</v>
      </c>
      <c r="D585" s="4" t="s">
        <v>3246</v>
      </c>
      <c r="E585" s="4" t="s">
        <v>3449</v>
      </c>
      <c r="F585" s="127" t="n">
        <v>45923</v>
      </c>
      <c r="G585" s="127" t="n">
        <v>45923</v>
      </c>
      <c r="H585" s="127" t="n">
        <v>46293</v>
      </c>
      <c r="I585" s="4" t="n">
        <v>100</v>
      </c>
      <c r="J585" s="4" t="n">
        <v>100</v>
      </c>
      <c r="K585" s="4" t="n">
        <v>100</v>
      </c>
      <c r="M585" s="2" t="str">
        <f aca="false">IF(C585="","",IFERROR(INDEX($S$5:$S$304,MATCH(C585,$R$5:$R$304,0))&amp;"","?"))</f>
        <v>17</v>
      </c>
      <c r="N585" s="2" t="n">
        <f aca="false">IF(E585="","",IF(ISNUMBER(SEARCH("SUBSOLO",E585)),IFERROR(-VALUE(LEFT(E585,FIND("º",SUBSTITUTE(E585,"°","º"))-1)),-1),IF(LEFT(E585,6)="TÉRREO",0,IFERROR(VALUE(LEFT(E585,FIND("º",SUBSTITUTE(E585,"°","º"))-1)),""))))</f>
        <v>-2</v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11172676</v>
      </c>
      <c r="C586" s="4" t="s">
        <v>2698</v>
      </c>
      <c r="D586" s="4" t="s">
        <v>3247</v>
      </c>
      <c r="E586" s="4" t="s">
        <v>3449</v>
      </c>
      <c r="F586" s="127" t="n">
        <v>45924</v>
      </c>
      <c r="G586" s="127" t="n">
        <v>45924</v>
      </c>
      <c r="H586" s="127" t="n">
        <v>46293</v>
      </c>
      <c r="I586" s="4" t="n">
        <v>100</v>
      </c>
      <c r="J586" s="4" t="n">
        <v>100</v>
      </c>
      <c r="K586" s="4" t="n">
        <v>100</v>
      </c>
      <c r="M586" s="2" t="str">
        <f aca="false">IF(C586="","",IFERROR(INDEX($S$5:$S$304,MATCH(C586,$R$5:$R$304,0))&amp;"","?"))</f>
        <v>17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-2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11172677</v>
      </c>
      <c r="C587" s="4" t="s">
        <v>2698</v>
      </c>
      <c r="D587" s="4" t="s">
        <v>3248</v>
      </c>
      <c r="E587" s="4" t="s">
        <v>3449</v>
      </c>
      <c r="F587" s="127" t="n">
        <v>45925</v>
      </c>
      <c r="G587" s="127" t="n">
        <v>45926</v>
      </c>
      <c r="H587" s="127" t="n">
        <v>46293</v>
      </c>
      <c r="I587" s="4" t="n">
        <v>100</v>
      </c>
      <c r="J587" s="4" t="n">
        <v>100</v>
      </c>
      <c r="K587" s="4" t="n">
        <v>100</v>
      </c>
      <c r="M587" s="2" t="str">
        <f aca="false">IF(C587="","",IFERROR(INDEX($S$5:$S$304,MATCH(C587,$R$5:$R$304,0))&amp;"","?"))</f>
        <v>17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-2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11172678</v>
      </c>
      <c r="C588" s="4" t="s">
        <v>2698</v>
      </c>
      <c r="D588" s="4" t="s">
        <v>3249</v>
      </c>
      <c r="E588" s="4" t="s">
        <v>3449</v>
      </c>
      <c r="F588" s="127" t="n">
        <v>45929</v>
      </c>
      <c r="G588" s="127" t="n">
        <v>45930</v>
      </c>
      <c r="H588" s="127" t="n">
        <v>46293</v>
      </c>
      <c r="I588" s="4" t="n">
        <v>100</v>
      </c>
      <c r="J588" s="4" t="n">
        <v>100</v>
      </c>
      <c r="K588" s="4" t="n">
        <v>100</v>
      </c>
      <c r="M588" s="2" t="str">
        <f aca="false">IF(C588="","",IFERROR(INDEX($S$5:$S$304,MATCH(C588,$R$5:$R$304,0))&amp;"","?"))</f>
        <v>17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-2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11172679</v>
      </c>
      <c r="C589" s="4" t="s">
        <v>2698</v>
      </c>
      <c r="D589" s="4" t="s">
        <v>3250</v>
      </c>
      <c r="E589" s="4" t="s">
        <v>3449</v>
      </c>
      <c r="F589" s="127" t="n">
        <v>45929</v>
      </c>
      <c r="G589" s="127" t="n">
        <v>45929</v>
      </c>
      <c r="H589" s="127" t="n">
        <v>46293</v>
      </c>
      <c r="I589" s="4" t="n">
        <v>100</v>
      </c>
      <c r="J589" s="4" t="n">
        <v>100</v>
      </c>
      <c r="K589" s="4" t="n">
        <v>100</v>
      </c>
      <c r="M589" s="2" t="str">
        <f aca="false">IF(C589="","",IFERROR(INDEX($S$5:$S$304,MATCH(C589,$R$5:$R$304,0))&amp;"","?"))</f>
        <v>17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-2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11172680</v>
      </c>
      <c r="C590" s="4" t="s">
        <v>2698</v>
      </c>
      <c r="D590" s="4" t="s">
        <v>3251</v>
      </c>
      <c r="E590" s="4" t="s">
        <v>3449</v>
      </c>
      <c r="F590" s="127" t="n">
        <v>45929</v>
      </c>
      <c r="G590" s="127" t="n">
        <v>45929</v>
      </c>
      <c r="H590" s="127" t="n">
        <v>46293</v>
      </c>
      <c r="I590" s="4" t="n">
        <v>100</v>
      </c>
      <c r="J590" s="4" t="n">
        <v>100</v>
      </c>
      <c r="K590" s="4" t="n">
        <v>100</v>
      </c>
      <c r="M590" s="2" t="str">
        <f aca="false">IF(C590="","",IFERROR(INDEX($S$5:$S$304,MATCH(C590,$R$5:$R$304,0))&amp;"","?"))</f>
        <v>17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-2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11172681</v>
      </c>
      <c r="C591" s="4" t="s">
        <v>2698</v>
      </c>
      <c r="D591" s="4" t="s">
        <v>3252</v>
      </c>
      <c r="E591" s="4" t="s">
        <v>3449</v>
      </c>
      <c r="F591" s="127" t="n">
        <v>45930</v>
      </c>
      <c r="G591" s="127" t="n">
        <v>45930</v>
      </c>
      <c r="H591" s="127" t="n">
        <v>46293</v>
      </c>
      <c r="I591" s="4" t="n">
        <v>100</v>
      </c>
      <c r="J591" s="4" t="n">
        <v>100</v>
      </c>
      <c r="K591" s="4" t="n">
        <v>100</v>
      </c>
      <c r="M591" s="2" t="str">
        <f aca="false">IF(C591="","",IFERROR(INDEX($S$5:$S$304,MATCH(C591,$R$5:$R$304,0))&amp;"","?"))</f>
        <v>17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-2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26734414</v>
      </c>
      <c r="C592" s="4" t="s">
        <v>2684</v>
      </c>
      <c r="D592" s="4" t="s">
        <v>433</v>
      </c>
      <c r="E592" s="4" t="s">
        <v>3466</v>
      </c>
      <c r="F592" s="127" t="n">
        <v>45931</v>
      </c>
      <c r="G592" s="127" t="n">
        <v>45946</v>
      </c>
      <c r="H592" s="127" t="n">
        <v>46293</v>
      </c>
      <c r="I592" s="4" t="n">
        <v>100</v>
      </c>
      <c r="J592" s="4" t="n">
        <v>100</v>
      </c>
      <c r="K592" s="4" t="n">
        <v>100</v>
      </c>
      <c r="M592" s="2" t="str">
        <f aca="false">IF(C592="","",IFERROR(INDEX($S$5:$S$304,MATCH(C592,$R$5:$R$304,0))&amp;"","?"))</f>
        <v>17</v>
      </c>
      <c r="N592" s="2" t="n">
        <f aca="false">IF(E592="","",IF(ISNUMBER(SEARCH("SUBSOLO",E592)),IFERROR(-VALUE(LEFT(E592,FIND("º",SUBSTITUTE(E592,"°","º"))-1)),-1),IF(LEFT(E592,6)="TÉRREO",0,IFERROR(VALUE(LEFT(E592,FIND("º",SUBSTITUTE(E592,"°","º"))-1)),""))))</f>
        <v>-1</v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9522336</v>
      </c>
      <c r="C593" s="4" t="s">
        <v>2684</v>
      </c>
      <c r="D593" s="4" t="s">
        <v>3244</v>
      </c>
      <c r="E593" s="4" t="s">
        <v>3466</v>
      </c>
      <c r="F593" s="127" t="n">
        <v>45931</v>
      </c>
      <c r="G593" s="127" t="n">
        <v>45936</v>
      </c>
      <c r="H593" s="127" t="n">
        <v>46293</v>
      </c>
      <c r="I593" s="4" t="n">
        <v>100</v>
      </c>
      <c r="J593" s="4" t="n">
        <v>100</v>
      </c>
      <c r="K593" s="4" t="n">
        <v>100</v>
      </c>
      <c r="M593" s="2" t="str">
        <f aca="false">IF(C593="","",IFERROR(INDEX($S$5:$S$304,MATCH(C593,$R$5:$R$304,0))&amp;"","?"))</f>
        <v>17</v>
      </c>
      <c r="N593" s="2" t="n">
        <f aca="false">IF(E593="","",IF(ISNUMBER(SEARCH("SUBSOLO",E593)),IFERROR(-VALUE(LEFT(E593,FIND("º",SUBSTITUTE(E593,"°","º"))-1)),-1),IF(LEFT(E593,6)="TÉRREO",0,IFERROR(VALUE(LEFT(E593,FIND("º",SUBSTITUTE(E593,"°","º"))-1)),""))))</f>
        <v>-1</v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9522337</v>
      </c>
      <c r="C594" s="4" t="s">
        <v>2684</v>
      </c>
      <c r="D594" s="4" t="s">
        <v>3245</v>
      </c>
      <c r="E594" s="4" t="s">
        <v>3466</v>
      </c>
      <c r="F594" s="127" t="n">
        <v>45936</v>
      </c>
      <c r="G594" s="127" t="n">
        <v>45937</v>
      </c>
      <c r="H594" s="127" t="n">
        <v>46293</v>
      </c>
      <c r="I594" s="4" t="n">
        <v>100</v>
      </c>
      <c r="J594" s="4" t="n">
        <v>100</v>
      </c>
      <c r="K594" s="4" t="n">
        <v>100</v>
      </c>
      <c r="M594" s="2" t="str">
        <f aca="false">IF(C594="","",IFERROR(INDEX($S$5:$S$304,MATCH(C594,$R$5:$R$304,0))&amp;"","?"))</f>
        <v>17</v>
      </c>
      <c r="N594" s="2" t="n">
        <f aca="false">IF(E594="","",IF(ISNUMBER(SEARCH("SUBSOLO",E594)),IFERROR(-VALUE(LEFT(E594,FIND("º",SUBSTITUTE(E594,"°","º"))-1)),-1),IF(LEFT(E594,6)="TÉRREO",0,IFERROR(VALUE(LEFT(E594,FIND("º",SUBSTITUTE(E594,"°","º"))-1)),""))))</f>
        <v>-1</v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9522338</v>
      </c>
      <c r="C595" s="4" t="s">
        <v>2684</v>
      </c>
      <c r="D595" s="4" t="s">
        <v>3246</v>
      </c>
      <c r="E595" s="4" t="s">
        <v>3466</v>
      </c>
      <c r="F595" s="127" t="n">
        <v>45937</v>
      </c>
      <c r="G595" s="127" t="n">
        <v>45939</v>
      </c>
      <c r="H595" s="127" t="n">
        <v>46293</v>
      </c>
      <c r="I595" s="4" t="n">
        <v>100</v>
      </c>
      <c r="J595" s="4" t="n">
        <v>100</v>
      </c>
      <c r="K595" s="4" t="n">
        <v>100</v>
      </c>
      <c r="M595" s="2" t="str">
        <f aca="false">IF(C595="","",IFERROR(INDEX($S$5:$S$304,MATCH(C595,$R$5:$R$304,0))&amp;"","?"))</f>
        <v>17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-1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9522339</v>
      </c>
      <c r="C596" s="4" t="s">
        <v>2684</v>
      </c>
      <c r="D596" s="4" t="s">
        <v>3247</v>
      </c>
      <c r="E596" s="4" t="s">
        <v>3466</v>
      </c>
      <c r="F596" s="127" t="n">
        <v>45940</v>
      </c>
      <c r="G596" s="127" t="n">
        <v>45940</v>
      </c>
      <c r="H596" s="127" t="n">
        <v>46293</v>
      </c>
      <c r="I596" s="4" t="n">
        <v>100</v>
      </c>
      <c r="J596" s="4" t="n">
        <v>100</v>
      </c>
      <c r="K596" s="4" t="n">
        <v>100</v>
      </c>
      <c r="M596" s="2" t="str">
        <f aca="false">IF(C596="","",IFERROR(INDEX($S$5:$S$304,MATCH(C596,$R$5:$R$304,0))&amp;"","?"))</f>
        <v>17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-1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9522340</v>
      </c>
      <c r="C597" s="4" t="s">
        <v>2684</v>
      </c>
      <c r="D597" s="4" t="s">
        <v>3248</v>
      </c>
      <c r="E597" s="4" t="s">
        <v>3466</v>
      </c>
      <c r="F597" s="127" t="n">
        <v>45943</v>
      </c>
      <c r="G597" s="127" t="n">
        <v>45946</v>
      </c>
      <c r="H597" s="127" t="n">
        <v>46293</v>
      </c>
      <c r="I597" s="4" t="n">
        <v>100</v>
      </c>
      <c r="J597" s="4" t="n">
        <v>100</v>
      </c>
      <c r="K597" s="4" t="n">
        <v>100</v>
      </c>
      <c r="M597" s="2" t="str">
        <f aca="false">IF(C597="","",IFERROR(INDEX($S$5:$S$304,MATCH(C597,$R$5:$R$304,0))&amp;"","?"))</f>
        <v>17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-1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9522341</v>
      </c>
      <c r="C598" s="4" t="s">
        <v>2684</v>
      </c>
      <c r="D598" s="4" t="s">
        <v>3249</v>
      </c>
      <c r="E598" s="4" t="s">
        <v>3466</v>
      </c>
      <c r="F598" s="127" t="n">
        <v>45944</v>
      </c>
      <c r="G598" s="127" t="n">
        <v>45946</v>
      </c>
      <c r="H598" s="127" t="n">
        <v>46293</v>
      </c>
      <c r="I598" s="4" t="n">
        <v>100</v>
      </c>
      <c r="J598" s="4" t="n">
        <v>100</v>
      </c>
      <c r="K598" s="4" t="n">
        <v>100</v>
      </c>
      <c r="M598" s="2" t="str">
        <f aca="false">IF(C598="","",IFERROR(INDEX($S$5:$S$304,MATCH(C598,$R$5:$R$304,0))&amp;"","?"))</f>
        <v>17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-1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9522342</v>
      </c>
      <c r="C599" s="4" t="s">
        <v>2684</v>
      </c>
      <c r="D599" s="4" t="s">
        <v>3250</v>
      </c>
      <c r="E599" s="4" t="s">
        <v>3466</v>
      </c>
      <c r="F599" s="127" t="n">
        <v>45945</v>
      </c>
      <c r="G599" s="127" t="n">
        <v>45945</v>
      </c>
      <c r="H599" s="127" t="n">
        <v>46293</v>
      </c>
      <c r="I599" s="4" t="n">
        <v>100</v>
      </c>
      <c r="J599" s="4" t="n">
        <v>100</v>
      </c>
      <c r="K599" s="4" t="n">
        <v>100</v>
      </c>
      <c r="M599" s="2" t="str">
        <f aca="false">IF(C599="","",IFERROR(INDEX($S$5:$S$304,MATCH(C599,$R$5:$R$304,0))&amp;"","?"))</f>
        <v>17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-1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9522343</v>
      </c>
      <c r="C600" s="4" t="s">
        <v>2684</v>
      </c>
      <c r="D600" s="4" t="s">
        <v>3251</v>
      </c>
      <c r="E600" s="4" t="s">
        <v>3466</v>
      </c>
      <c r="F600" s="127" t="n">
        <v>45945</v>
      </c>
      <c r="G600" s="127" t="n">
        <v>45945</v>
      </c>
      <c r="H600" s="127" t="n">
        <v>46293</v>
      </c>
      <c r="I600" s="4" t="n">
        <v>100</v>
      </c>
      <c r="J600" s="4" t="n">
        <v>100</v>
      </c>
      <c r="K600" s="4" t="n">
        <v>100</v>
      </c>
      <c r="M600" s="2" t="str">
        <f aca="false">IF(C600="","",IFERROR(INDEX($S$5:$S$304,MATCH(C600,$R$5:$R$304,0))&amp;"","?"))</f>
        <v>17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-1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9522344</v>
      </c>
      <c r="C601" s="4" t="s">
        <v>2684</v>
      </c>
      <c r="D601" s="4" t="s">
        <v>3252</v>
      </c>
      <c r="E601" s="4" t="s">
        <v>3466</v>
      </c>
      <c r="F601" s="127" t="n">
        <v>45946</v>
      </c>
      <c r="G601" s="127" t="n">
        <v>45946</v>
      </c>
      <c r="H601" s="127" t="n">
        <v>46293</v>
      </c>
      <c r="I601" s="4" t="n">
        <v>100</v>
      </c>
      <c r="J601" s="4" t="n">
        <v>100</v>
      </c>
      <c r="K601" s="4" t="n">
        <v>100</v>
      </c>
      <c r="M601" s="2" t="str">
        <f aca="false">IF(C601="","",IFERROR(INDEX($S$5:$S$304,MATCH(C601,$R$5:$R$304,0))&amp;"","?"))</f>
        <v>17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-1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30654596</v>
      </c>
      <c r="C602" s="4" t="s">
        <v>2698</v>
      </c>
      <c r="D602" s="4" t="s">
        <v>433</v>
      </c>
      <c r="E602" s="4" t="s">
        <v>3466</v>
      </c>
      <c r="F602" s="127" t="n">
        <v>45932</v>
      </c>
      <c r="G602" s="127" t="n">
        <v>45946</v>
      </c>
      <c r="H602" s="127" t="n">
        <v>46293</v>
      </c>
      <c r="I602" s="4" t="n">
        <v>100</v>
      </c>
      <c r="J602" s="4" t="n">
        <v>100</v>
      </c>
      <c r="K602" s="4" t="n">
        <v>100</v>
      </c>
      <c r="M602" s="2" t="str">
        <f aca="false">IF(C602="","",IFERROR(INDEX($S$5:$S$304,MATCH(C602,$R$5:$R$304,0))&amp;"","?"))</f>
        <v>17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-1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11210827</v>
      </c>
      <c r="C603" s="4" t="s">
        <v>2698</v>
      </c>
      <c r="D603" s="4" t="s">
        <v>3245</v>
      </c>
      <c r="E603" s="4" t="s">
        <v>3466</v>
      </c>
      <c r="F603" s="127" t="n">
        <v>45932</v>
      </c>
      <c r="G603" s="127" t="n">
        <v>45933</v>
      </c>
      <c r="H603" s="127" t="n">
        <v>46293</v>
      </c>
      <c r="I603" s="4" t="n">
        <v>100</v>
      </c>
      <c r="J603" s="4" t="n">
        <v>100</v>
      </c>
      <c r="K603" s="4" t="n">
        <v>100</v>
      </c>
      <c r="M603" s="2" t="str">
        <f aca="false">IF(C603="","",IFERROR(INDEX($S$5:$S$304,MATCH(C603,$R$5:$R$304,0))&amp;"","?"))</f>
        <v>17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-1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11210828</v>
      </c>
      <c r="C604" s="4" t="s">
        <v>2698</v>
      </c>
      <c r="D604" s="4" t="s">
        <v>3244</v>
      </c>
      <c r="E604" s="4" t="s">
        <v>3466</v>
      </c>
      <c r="F604" s="127" t="n">
        <v>45936</v>
      </c>
      <c r="G604" s="127" t="n">
        <v>45937</v>
      </c>
      <c r="H604" s="127" t="n">
        <v>46293</v>
      </c>
      <c r="I604" s="4" t="n">
        <v>100</v>
      </c>
      <c r="J604" s="4" t="n">
        <v>100</v>
      </c>
      <c r="K604" s="4" t="n">
        <v>100</v>
      </c>
      <c r="M604" s="2" t="str">
        <f aca="false">IF(C604="","",IFERROR(INDEX($S$5:$S$304,MATCH(C604,$R$5:$R$304,0))&amp;"","?"))</f>
        <v>17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-1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11210829</v>
      </c>
      <c r="C605" s="4" t="s">
        <v>2698</v>
      </c>
      <c r="D605" s="4" t="s">
        <v>3246</v>
      </c>
      <c r="E605" s="4" t="s">
        <v>3466</v>
      </c>
      <c r="F605" s="127" t="n">
        <v>45938</v>
      </c>
      <c r="G605" s="127" t="n">
        <v>45938</v>
      </c>
      <c r="H605" s="127" t="n">
        <v>46293</v>
      </c>
      <c r="I605" s="4" t="n">
        <v>100</v>
      </c>
      <c r="J605" s="4" t="n">
        <v>100</v>
      </c>
      <c r="K605" s="4" t="n">
        <v>100</v>
      </c>
      <c r="M605" s="2" t="str">
        <f aca="false">IF(C605="","",IFERROR(INDEX($S$5:$S$304,MATCH(C605,$R$5:$R$304,0))&amp;"","?"))</f>
        <v>17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-1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11210830</v>
      </c>
      <c r="C606" s="4" t="s">
        <v>2698</v>
      </c>
      <c r="D606" s="4" t="s">
        <v>3247</v>
      </c>
      <c r="E606" s="4" t="s">
        <v>3466</v>
      </c>
      <c r="F606" s="127" t="n">
        <v>45939</v>
      </c>
      <c r="G606" s="127" t="n">
        <v>45939</v>
      </c>
      <c r="H606" s="127" t="n">
        <v>46293</v>
      </c>
      <c r="I606" s="4" t="n">
        <v>100</v>
      </c>
      <c r="J606" s="4" t="n">
        <v>100</v>
      </c>
      <c r="K606" s="4" t="n">
        <v>100</v>
      </c>
      <c r="M606" s="2" t="str">
        <f aca="false">IF(C606="","",IFERROR(INDEX($S$5:$S$304,MATCH(C606,$R$5:$R$304,0))&amp;"","?"))</f>
        <v>17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-1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11210831</v>
      </c>
      <c r="C607" s="4" t="s">
        <v>2698</v>
      </c>
      <c r="D607" s="4" t="s">
        <v>3248</v>
      </c>
      <c r="E607" s="4" t="s">
        <v>3466</v>
      </c>
      <c r="F607" s="127" t="n">
        <v>45940</v>
      </c>
      <c r="G607" s="127" t="n">
        <v>45940</v>
      </c>
      <c r="H607" s="127" t="n">
        <v>46293</v>
      </c>
      <c r="I607" s="4" t="n">
        <v>100</v>
      </c>
      <c r="J607" s="4" t="n">
        <v>100</v>
      </c>
      <c r="K607" s="4" t="n">
        <v>100</v>
      </c>
      <c r="M607" s="2" t="str">
        <f aca="false">IF(C607="","",IFERROR(INDEX($S$5:$S$304,MATCH(C607,$R$5:$R$304,0))&amp;"","?"))</f>
        <v>17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-1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11210832</v>
      </c>
      <c r="C608" s="4" t="s">
        <v>2698</v>
      </c>
      <c r="D608" s="4" t="s">
        <v>3249</v>
      </c>
      <c r="E608" s="4" t="s">
        <v>3466</v>
      </c>
      <c r="F608" s="127" t="n">
        <v>45943</v>
      </c>
      <c r="G608" s="127" t="n">
        <v>45943</v>
      </c>
      <c r="H608" s="127" t="n">
        <v>46293</v>
      </c>
      <c r="I608" s="4" t="n">
        <v>100</v>
      </c>
      <c r="J608" s="4" t="n">
        <v>100</v>
      </c>
      <c r="K608" s="4" t="n">
        <v>100</v>
      </c>
      <c r="M608" s="2" t="str">
        <f aca="false">IF(C608="","",IFERROR(INDEX($S$5:$S$304,MATCH(C608,$R$5:$R$304,0))&amp;"","?"))</f>
        <v>17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-1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11211635</v>
      </c>
      <c r="C609" s="4" t="s">
        <v>2698</v>
      </c>
      <c r="D609" s="4" t="s">
        <v>3250</v>
      </c>
      <c r="E609" s="4" t="s">
        <v>3466</v>
      </c>
      <c r="F609" s="127" t="n">
        <v>45944</v>
      </c>
      <c r="G609" s="127" t="n">
        <v>45944</v>
      </c>
      <c r="H609" s="127" t="n">
        <v>46293</v>
      </c>
      <c r="I609" s="4" t="n">
        <v>100</v>
      </c>
      <c r="J609" s="4" t="n">
        <v>100</v>
      </c>
      <c r="K609" s="4" t="n">
        <v>100</v>
      </c>
      <c r="M609" s="2" t="str">
        <f aca="false">IF(C609="","",IFERROR(INDEX($S$5:$S$304,MATCH(C609,$R$5:$R$304,0))&amp;"","?"))</f>
        <v>17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-1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11211636</v>
      </c>
      <c r="C610" s="4" t="s">
        <v>2698</v>
      </c>
      <c r="D610" s="4" t="s">
        <v>3251</v>
      </c>
      <c r="E610" s="4" t="s">
        <v>3466</v>
      </c>
      <c r="F610" s="127" t="n">
        <v>45945</v>
      </c>
      <c r="G610" s="127" t="n">
        <v>45945</v>
      </c>
      <c r="H610" s="127" t="n">
        <v>46293</v>
      </c>
      <c r="I610" s="4" t="n">
        <v>100</v>
      </c>
      <c r="J610" s="4" t="n">
        <v>100</v>
      </c>
      <c r="K610" s="4" t="n">
        <v>100</v>
      </c>
      <c r="M610" s="2" t="str">
        <f aca="false">IF(C610="","",IFERROR(INDEX($S$5:$S$304,MATCH(C610,$R$5:$R$304,0))&amp;"","?"))</f>
        <v>17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-1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11211637</v>
      </c>
      <c r="C611" s="4" t="s">
        <v>2698</v>
      </c>
      <c r="D611" s="4" t="s">
        <v>3252</v>
      </c>
      <c r="E611" s="4" t="s">
        <v>3466</v>
      </c>
      <c r="F611" s="127" t="n">
        <v>45946</v>
      </c>
      <c r="G611" s="127" t="n">
        <v>45946</v>
      </c>
      <c r="H611" s="127" t="n">
        <v>46293</v>
      </c>
      <c r="I611" s="4" t="n">
        <v>100</v>
      </c>
      <c r="J611" s="4" t="n">
        <v>100</v>
      </c>
      <c r="K611" s="4" t="n">
        <v>100</v>
      </c>
      <c r="M611" s="2" t="str">
        <f aca="false">IF(C611="","",IFERROR(INDEX($S$5:$S$304,MATCH(C611,$R$5:$R$304,0))&amp;"","?"))</f>
        <v>17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-1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30572011</v>
      </c>
      <c r="C612" s="4" t="s">
        <v>2700</v>
      </c>
      <c r="D612" s="4" t="s">
        <v>433</v>
      </c>
      <c r="E612" s="4" t="s">
        <v>81</v>
      </c>
      <c r="F612" s="127" t="n">
        <v>45951</v>
      </c>
      <c r="G612" s="127" t="n">
        <v>45958</v>
      </c>
      <c r="H612" s="127" t="n">
        <v>46293</v>
      </c>
      <c r="I612" s="4" t="n">
        <v>100</v>
      </c>
      <c r="J612" s="4" t="n">
        <v>100</v>
      </c>
      <c r="K612" s="4" t="n">
        <v>100</v>
      </c>
      <c r="M612" s="2" t="str">
        <f aca="false">IF(C612="","",IFERROR(INDEX($S$5:$S$304,MATCH(C612,$R$5:$R$304,0))&amp;"","?"))</f>
        <v>13</v>
      </c>
      <c r="N612" s="2" t="str">
        <f aca="false">IF(E612="","",IF(ISNUMBER(SEARCH("SUBSOLO",E612)),IFERROR(-VALUE(LEFT(E612,FIND("º",SUBSTITUTE(E612,"°","º"))-1)),-1),IF(LEFT(E612,6)="TÉRREO",0,IFERROR(VALUE(LEFT(E612,FIND("º",SUBSTITUTE(E612,"°","º"))-1)),""))))</f>
        <v/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11156121</v>
      </c>
      <c r="C613" s="4" t="s">
        <v>2700</v>
      </c>
      <c r="D613" s="4" t="s">
        <v>3467</v>
      </c>
      <c r="E613" s="4" t="s">
        <v>81</v>
      </c>
      <c r="F613" s="127" t="n">
        <v>45951</v>
      </c>
      <c r="G613" s="127" t="n">
        <v>45951</v>
      </c>
      <c r="H613" s="127" t="n">
        <v>46293</v>
      </c>
      <c r="I613" s="4" t="n">
        <v>100</v>
      </c>
      <c r="J613" s="4" t="n">
        <v>100</v>
      </c>
      <c r="K613" s="4" t="n">
        <v>100</v>
      </c>
      <c r="M613" s="2" t="str">
        <f aca="false">IF(C613="","",IFERROR(INDEX($S$5:$S$304,MATCH(C613,$R$5:$R$304,0))&amp;"","?"))</f>
        <v>13</v>
      </c>
      <c r="N613" s="2" t="str">
        <f aca="false">IF(E613="","",IF(ISNUMBER(SEARCH("SUBSOLO",E613)),IFERROR(-VALUE(LEFT(E613,FIND("º",SUBSTITUTE(E613,"°","º"))-1)),-1),IF(LEFT(E613,6)="TÉRREO",0,IFERROR(VALUE(LEFT(E613,FIND("º",SUBSTITUTE(E613,"°","º"))-1)),""))))</f>
        <v/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11172310</v>
      </c>
      <c r="C614" s="4" t="s">
        <v>2700</v>
      </c>
      <c r="D614" s="4" t="s">
        <v>3468</v>
      </c>
      <c r="E614" s="4" t="s">
        <v>81</v>
      </c>
      <c r="F614" s="127" t="n">
        <v>45952</v>
      </c>
      <c r="G614" s="127" t="n">
        <v>45952</v>
      </c>
      <c r="H614" s="127" t="n">
        <v>46293</v>
      </c>
      <c r="I614" s="4" t="n">
        <v>100</v>
      </c>
      <c r="J614" s="4" t="n">
        <v>100</v>
      </c>
      <c r="K614" s="4" t="n">
        <v>100</v>
      </c>
      <c r="M614" s="2" t="str">
        <f aca="false">IF(C614="","",IFERROR(INDEX($S$5:$S$304,MATCH(C614,$R$5:$R$304,0))&amp;"","?"))</f>
        <v>13</v>
      </c>
      <c r="N614" s="2" t="str">
        <f aca="false">IF(E614="","",IF(ISNUMBER(SEARCH("SUBSOLO",E614)),IFERROR(-VALUE(LEFT(E614,FIND("º",SUBSTITUTE(E614,"°","º"))-1)),-1),IF(LEFT(E614,6)="TÉRREO",0,IFERROR(VALUE(LEFT(E614,FIND("º",SUBSTITUTE(E614,"°","º"))-1)),""))))</f>
        <v/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11172311</v>
      </c>
      <c r="C615" s="4" t="s">
        <v>2700</v>
      </c>
      <c r="D615" s="4" t="s">
        <v>3469</v>
      </c>
      <c r="E615" s="4" t="s">
        <v>81</v>
      </c>
      <c r="F615" s="127" t="n">
        <v>45953</v>
      </c>
      <c r="G615" s="127" t="n">
        <v>45953</v>
      </c>
      <c r="H615" s="127" t="n">
        <v>46293</v>
      </c>
      <c r="I615" s="4" t="n">
        <v>100</v>
      </c>
      <c r="J615" s="4" t="n">
        <v>100</v>
      </c>
      <c r="K615" s="4" t="n">
        <v>100</v>
      </c>
      <c r="M615" s="2" t="str">
        <f aca="false">IF(C615="","",IFERROR(INDEX($S$5:$S$304,MATCH(C615,$R$5:$R$304,0))&amp;"","?"))</f>
        <v>13</v>
      </c>
      <c r="N615" s="2" t="str">
        <f aca="false">IF(E615="","",IF(ISNUMBER(SEARCH("SUBSOLO",E615)),IFERROR(-VALUE(LEFT(E615,FIND("º",SUBSTITUTE(E615,"°","º"))-1)),-1),IF(LEFT(E615,6)="TÉRREO",0,IFERROR(VALUE(LEFT(E615,FIND("º",SUBSTITUTE(E615,"°","º"))-1)),""))))</f>
        <v/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11172633</v>
      </c>
      <c r="C616" s="4" t="s">
        <v>2700</v>
      </c>
      <c r="D616" s="4" t="s">
        <v>3470</v>
      </c>
      <c r="E616" s="4" t="s">
        <v>81</v>
      </c>
      <c r="F616" s="127" t="n">
        <v>45954</v>
      </c>
      <c r="G616" s="127" t="n">
        <v>45954</v>
      </c>
      <c r="H616" s="127" t="n">
        <v>46293</v>
      </c>
      <c r="I616" s="4" t="n">
        <v>100</v>
      </c>
      <c r="J616" s="4" t="n">
        <v>100</v>
      </c>
      <c r="K616" s="4" t="n">
        <v>100</v>
      </c>
      <c r="M616" s="2" t="str">
        <f aca="false">IF(C616="","",IFERROR(INDEX($S$5:$S$304,MATCH(C616,$R$5:$R$304,0))&amp;"","?"))</f>
        <v>13</v>
      </c>
      <c r="N616" s="2" t="str">
        <f aca="false">IF(E616="","",IF(ISNUMBER(SEARCH("SUBSOLO",E616)),IFERROR(-VALUE(LEFT(E616,FIND("º",SUBSTITUTE(E616,"°","º"))-1)),-1),IF(LEFT(E616,6)="TÉRREO",0,IFERROR(VALUE(LEFT(E616,FIND("º",SUBSTITUTE(E616,"°","º"))-1)),""))))</f>
        <v/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11172634</v>
      </c>
      <c r="C617" s="4" t="s">
        <v>2700</v>
      </c>
      <c r="D617" s="4" t="s">
        <v>3471</v>
      </c>
      <c r="E617" s="4" t="s">
        <v>81</v>
      </c>
      <c r="F617" s="127" t="n">
        <v>45957</v>
      </c>
      <c r="G617" s="127" t="n">
        <v>45957</v>
      </c>
      <c r="H617" s="127" t="n">
        <v>46293</v>
      </c>
      <c r="I617" s="4" t="n">
        <v>100</v>
      </c>
      <c r="J617" s="4" t="n">
        <v>100</v>
      </c>
      <c r="K617" s="4" t="n">
        <v>100</v>
      </c>
      <c r="M617" s="2" t="str">
        <f aca="false">IF(C617="","",IFERROR(INDEX($S$5:$S$304,MATCH(C617,$R$5:$R$304,0))&amp;"","?"))</f>
        <v>13</v>
      </c>
      <c r="N617" s="2" t="str">
        <f aca="false">IF(E617="","",IF(ISNUMBER(SEARCH("SUBSOLO",E617)),IFERROR(-VALUE(LEFT(E617,FIND("º",SUBSTITUTE(E617,"°","º"))-1)),-1),IF(LEFT(E617,6)="TÉRREO",0,IFERROR(VALUE(LEFT(E617,FIND("º",SUBSTITUTE(E617,"°","º"))-1)),""))))</f>
        <v/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11172635</v>
      </c>
      <c r="C618" s="4" t="s">
        <v>2700</v>
      </c>
      <c r="D618" s="4" t="s">
        <v>3472</v>
      </c>
      <c r="E618" s="4" t="s">
        <v>81</v>
      </c>
      <c r="F618" s="127" t="n">
        <v>45958</v>
      </c>
      <c r="G618" s="127" t="n">
        <v>45958</v>
      </c>
      <c r="H618" s="127" t="n">
        <v>46293</v>
      </c>
      <c r="I618" s="4" t="n">
        <v>100</v>
      </c>
      <c r="J618" s="4" t="n">
        <v>100</v>
      </c>
      <c r="K618" s="4" t="n">
        <v>100</v>
      </c>
      <c r="M618" s="2" t="str">
        <f aca="false">IF(C618="","",IFERROR(INDEX($S$5:$S$304,MATCH(C618,$R$5:$R$304,0))&amp;"","?"))</f>
        <v>13</v>
      </c>
      <c r="N618" s="2" t="str">
        <f aca="false">IF(E618="","",IF(ISNUMBER(SEARCH("SUBSOLO",E618)),IFERROR(-VALUE(LEFT(E618,FIND("º",SUBSTITUTE(E618,"°","º"))-1)),-1),IF(LEFT(E618,6)="TÉRREO",0,IFERROR(VALUE(LEFT(E618,FIND("º",SUBSTITUTE(E618,"°","º"))-1)),""))))</f>
        <v/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26206675</v>
      </c>
      <c r="C619" s="4" t="s">
        <v>2702</v>
      </c>
      <c r="D619" s="4" t="s">
        <v>433</v>
      </c>
      <c r="E619" s="4" t="s">
        <v>3473</v>
      </c>
      <c r="F619" s="127" t="n">
        <v>45951</v>
      </c>
      <c r="G619" s="127" t="n">
        <v>45982</v>
      </c>
      <c r="H619" s="127" t="n">
        <v>46293</v>
      </c>
      <c r="I619" s="4" t="n">
        <v>100</v>
      </c>
      <c r="J619" s="4" t="n">
        <v>100</v>
      </c>
      <c r="K619" s="4" t="n">
        <v>100</v>
      </c>
      <c r="M619" s="2" t="str">
        <f aca="false">IF(C619="","",IFERROR(INDEX($S$5:$S$304,MATCH(C619,$R$5:$R$304,0))&amp;"","?"))</f>
        <v>17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-5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9364302</v>
      </c>
      <c r="C620" s="4" t="s">
        <v>2702</v>
      </c>
      <c r="D620" s="4" t="s">
        <v>3474</v>
      </c>
      <c r="E620" s="4" t="s">
        <v>3473</v>
      </c>
      <c r="F620" s="127" t="n">
        <v>45951</v>
      </c>
      <c r="G620" s="127" t="n">
        <v>45966</v>
      </c>
      <c r="H620" s="127" t="n">
        <v>46293</v>
      </c>
      <c r="I620" s="4" t="n">
        <v>100</v>
      </c>
      <c r="J620" s="4" t="n">
        <v>100</v>
      </c>
      <c r="K620" s="4" t="n">
        <v>100</v>
      </c>
      <c r="M620" s="2" t="str">
        <f aca="false">IF(C620="","",IFERROR(INDEX($S$5:$S$304,MATCH(C620,$R$5:$R$304,0))&amp;"","?"))</f>
        <v>17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-5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9364303</v>
      </c>
      <c r="C621" s="4" t="s">
        <v>2702</v>
      </c>
      <c r="D621" s="4" t="s">
        <v>3475</v>
      </c>
      <c r="E621" s="4" t="s">
        <v>3473</v>
      </c>
      <c r="F621" s="127" t="n">
        <v>45951</v>
      </c>
      <c r="G621" s="127" t="n">
        <v>45966</v>
      </c>
      <c r="H621" s="127" t="n">
        <v>46293</v>
      </c>
      <c r="I621" s="4" t="n">
        <v>100</v>
      </c>
      <c r="J621" s="4" t="n">
        <v>100</v>
      </c>
      <c r="K621" s="4" t="n">
        <v>100</v>
      </c>
      <c r="M621" s="2" t="str">
        <f aca="false">IF(C621="","",IFERROR(INDEX($S$5:$S$304,MATCH(C621,$R$5:$R$304,0))&amp;"","?"))</f>
        <v>17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-5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9364304</v>
      </c>
      <c r="C622" s="4" t="s">
        <v>2702</v>
      </c>
      <c r="D622" s="4" t="s">
        <v>3476</v>
      </c>
      <c r="E622" s="4" t="s">
        <v>3473</v>
      </c>
      <c r="F622" s="127" t="n">
        <v>45967</v>
      </c>
      <c r="G622" s="127" t="n">
        <v>45967</v>
      </c>
      <c r="H622" s="127" t="n">
        <v>46293</v>
      </c>
      <c r="I622" s="4" t="n">
        <v>100</v>
      </c>
      <c r="J622" s="4" t="n">
        <v>100</v>
      </c>
      <c r="K622" s="4" t="n">
        <v>100</v>
      </c>
      <c r="M622" s="2" t="str">
        <f aca="false">IF(C622="","",IFERROR(INDEX($S$5:$S$304,MATCH(C622,$R$5:$R$304,0))&amp;"","?"))</f>
        <v>17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-5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9364305</v>
      </c>
      <c r="C623" s="4" t="s">
        <v>2702</v>
      </c>
      <c r="D623" s="4" t="s">
        <v>3477</v>
      </c>
      <c r="E623" s="4" t="s">
        <v>3473</v>
      </c>
      <c r="F623" s="127" t="n">
        <v>45968</v>
      </c>
      <c r="G623" s="127" t="n">
        <v>45968</v>
      </c>
      <c r="H623" s="127" t="n">
        <v>46293</v>
      </c>
      <c r="I623" s="4" t="n">
        <v>100</v>
      </c>
      <c r="J623" s="4" t="n">
        <v>100</v>
      </c>
      <c r="K623" s="4" t="n">
        <v>100</v>
      </c>
      <c r="M623" s="2" t="str">
        <f aca="false">IF(C623="","",IFERROR(INDEX($S$5:$S$304,MATCH(C623,$R$5:$R$304,0))&amp;"","?"))</f>
        <v>17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-5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9364306</v>
      </c>
      <c r="C624" s="4" t="s">
        <v>2702</v>
      </c>
      <c r="D624" s="4" t="s">
        <v>3478</v>
      </c>
      <c r="E624" s="4" t="s">
        <v>3473</v>
      </c>
      <c r="F624" s="127" t="n">
        <v>45968</v>
      </c>
      <c r="G624" s="127" t="n">
        <v>45968</v>
      </c>
      <c r="H624" s="127" t="n">
        <v>46293</v>
      </c>
      <c r="I624" s="4" t="n">
        <v>100</v>
      </c>
      <c r="J624" s="4" t="n">
        <v>100</v>
      </c>
      <c r="K624" s="4" t="n">
        <v>100</v>
      </c>
      <c r="M624" s="2" t="str">
        <f aca="false">IF(C624="","",IFERROR(INDEX($S$5:$S$304,MATCH(C624,$R$5:$R$304,0))&amp;"","?"))</f>
        <v>17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-5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9364307</v>
      </c>
      <c r="C625" s="4" t="s">
        <v>2702</v>
      </c>
      <c r="D625" s="4" t="s">
        <v>3479</v>
      </c>
      <c r="E625" s="4" t="s">
        <v>3473</v>
      </c>
      <c r="F625" s="127" t="n">
        <v>45971</v>
      </c>
      <c r="G625" s="127" t="n">
        <v>45971</v>
      </c>
      <c r="H625" s="127" t="n">
        <v>46293</v>
      </c>
      <c r="I625" s="4" t="n">
        <v>100</v>
      </c>
      <c r="J625" s="4" t="n">
        <v>100</v>
      </c>
      <c r="K625" s="4" t="n">
        <v>100</v>
      </c>
      <c r="M625" s="2" t="str">
        <f aca="false">IF(C625="","",IFERROR(INDEX($S$5:$S$304,MATCH(C625,$R$5:$R$304,0))&amp;"","?"))</f>
        <v>17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-5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9364308</v>
      </c>
      <c r="C626" s="4" t="s">
        <v>2702</v>
      </c>
      <c r="D626" s="4" t="s">
        <v>3246</v>
      </c>
      <c r="E626" s="4" t="s">
        <v>3473</v>
      </c>
      <c r="F626" s="127" t="n">
        <v>45968</v>
      </c>
      <c r="G626" s="127" t="n">
        <v>45968</v>
      </c>
      <c r="H626" s="127" t="n">
        <v>46293</v>
      </c>
      <c r="I626" s="4" t="n">
        <v>100</v>
      </c>
      <c r="J626" s="4" t="n">
        <v>100</v>
      </c>
      <c r="K626" s="4" t="n">
        <v>100</v>
      </c>
      <c r="M626" s="2" t="str">
        <f aca="false">IF(C626="","",IFERROR(INDEX($S$5:$S$304,MATCH(C626,$R$5:$R$304,0))&amp;"","?"))</f>
        <v>17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-5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9364309</v>
      </c>
      <c r="C627" s="4" t="s">
        <v>2702</v>
      </c>
      <c r="D627" s="4" t="s">
        <v>3248</v>
      </c>
      <c r="E627" s="4" t="s">
        <v>3473</v>
      </c>
      <c r="F627" s="127" t="n">
        <v>45971</v>
      </c>
      <c r="G627" s="127" t="n">
        <v>45978</v>
      </c>
      <c r="H627" s="127" t="n">
        <v>46293</v>
      </c>
      <c r="I627" s="4" t="n">
        <v>100</v>
      </c>
      <c r="J627" s="4" t="n">
        <v>100</v>
      </c>
      <c r="K627" s="4" t="n">
        <v>100</v>
      </c>
      <c r="M627" s="2" t="str">
        <f aca="false">IF(C627="","",IFERROR(INDEX($S$5:$S$304,MATCH(C627,$R$5:$R$304,0))&amp;"","?"))</f>
        <v>17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-5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9364310</v>
      </c>
      <c r="C628" s="4" t="s">
        <v>2702</v>
      </c>
      <c r="D628" s="4" t="s">
        <v>3249</v>
      </c>
      <c r="E628" s="4" t="s">
        <v>3473</v>
      </c>
      <c r="F628" s="127" t="n">
        <v>45972</v>
      </c>
      <c r="G628" s="127" t="n">
        <v>45978</v>
      </c>
      <c r="H628" s="127" t="n">
        <v>46293</v>
      </c>
      <c r="I628" s="4" t="n">
        <v>100</v>
      </c>
      <c r="J628" s="4" t="n">
        <v>100</v>
      </c>
      <c r="K628" s="4" t="n">
        <v>100</v>
      </c>
      <c r="M628" s="2" t="str">
        <f aca="false">IF(C628="","",IFERROR(INDEX($S$5:$S$304,MATCH(C628,$R$5:$R$304,0))&amp;"","?"))</f>
        <v>17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-5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12795799</v>
      </c>
      <c r="C629" s="4" t="s">
        <v>2702</v>
      </c>
      <c r="D629" s="4" t="s">
        <v>3480</v>
      </c>
      <c r="E629" s="4" t="s">
        <v>3473</v>
      </c>
      <c r="F629" s="127" t="n">
        <v>45979</v>
      </c>
      <c r="G629" s="127" t="n">
        <v>45979</v>
      </c>
      <c r="H629" s="127" t="n">
        <v>46293</v>
      </c>
      <c r="I629" s="4" t="n">
        <v>100</v>
      </c>
      <c r="J629" s="4" t="n">
        <v>100</v>
      </c>
      <c r="K629" s="4" t="n">
        <v>100</v>
      </c>
      <c r="M629" s="2" t="str">
        <f aca="false">IF(C629="","",IFERROR(INDEX($S$5:$S$304,MATCH(C629,$R$5:$R$304,0))&amp;"","?"))</f>
        <v>17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-5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14545770</v>
      </c>
      <c r="C630" s="4" t="s">
        <v>2702</v>
      </c>
      <c r="D630" s="4" t="s">
        <v>3481</v>
      </c>
      <c r="E630" s="4" t="s">
        <v>3473</v>
      </c>
      <c r="F630" s="127" t="n">
        <v>45982</v>
      </c>
      <c r="G630" s="127" t="n">
        <v>45982</v>
      </c>
      <c r="H630" s="127" t="n">
        <v>46293</v>
      </c>
      <c r="I630" s="4" t="n">
        <v>100</v>
      </c>
      <c r="J630" s="4" t="n">
        <v>100</v>
      </c>
      <c r="K630" s="4" t="n">
        <v>100</v>
      </c>
      <c r="M630" s="2" t="str">
        <f aca="false">IF(C630="","",IFERROR(INDEX($S$5:$S$304,MATCH(C630,$R$5:$R$304,0))&amp;"","?"))</f>
        <v>17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-5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26734427</v>
      </c>
      <c r="C631" s="4" t="s">
        <v>2684</v>
      </c>
      <c r="D631" s="4" t="s">
        <v>433</v>
      </c>
      <c r="E631" s="4" t="s">
        <v>3482</v>
      </c>
      <c r="F631" s="127" t="n">
        <v>45957</v>
      </c>
      <c r="G631" s="127" t="n">
        <v>45968</v>
      </c>
      <c r="H631" s="127" t="n">
        <v>46293</v>
      </c>
      <c r="I631" s="4" t="n">
        <v>100</v>
      </c>
      <c r="J631" s="4" t="n">
        <v>100</v>
      </c>
      <c r="K631" s="4" t="n">
        <v>100</v>
      </c>
      <c r="M631" s="2" t="str">
        <f aca="false">IF(C631="","",IFERROR(INDEX($S$5:$S$304,MATCH(C631,$R$5:$R$304,0))&amp;"","?"))</f>
        <v>17</v>
      </c>
      <c r="N631" s="2" t="str">
        <f aca="false">IF(E631="","",IF(ISNUMBER(SEARCH("SUBSOLO",E631)),IFERROR(-VALUE(LEFT(E631,FIND("º",SUBSTITUTE(E631,"°","º"))-1)),-1),IF(LEFT(E631,6)="TÉRREO",0,IFERROR(VALUE(LEFT(E631,FIND("º",SUBSTITUTE(E631,"°","º"))-1)),""))))</f>
        <v/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9522345</v>
      </c>
      <c r="C632" s="4" t="s">
        <v>2684</v>
      </c>
      <c r="D632" s="4" t="s">
        <v>3244</v>
      </c>
      <c r="E632" s="4" t="s">
        <v>3482</v>
      </c>
      <c r="F632" s="127" t="n">
        <v>45957</v>
      </c>
      <c r="G632" s="127" t="n">
        <v>45960</v>
      </c>
      <c r="H632" s="127" t="n">
        <v>46293</v>
      </c>
      <c r="I632" s="4" t="n">
        <v>100</v>
      </c>
      <c r="J632" s="4" t="n">
        <v>100</v>
      </c>
      <c r="K632" s="4" t="n">
        <v>100</v>
      </c>
      <c r="M632" s="2" t="str">
        <f aca="false">IF(C632="","",IFERROR(INDEX($S$5:$S$304,MATCH(C632,$R$5:$R$304,0))&amp;"","?"))</f>
        <v>17</v>
      </c>
      <c r="N632" s="2" t="str">
        <f aca="false">IF(E632="","",IF(ISNUMBER(SEARCH("SUBSOLO",E632)),IFERROR(-VALUE(LEFT(E632,FIND("º",SUBSTITUTE(E632,"°","º"))-1)),-1),IF(LEFT(E632,6)="TÉRREO",0,IFERROR(VALUE(LEFT(E632,FIND("º",SUBSTITUTE(E632,"°","º"))-1)),""))))</f>
        <v/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9522346</v>
      </c>
      <c r="C633" s="4" t="s">
        <v>2684</v>
      </c>
      <c r="D633" s="4" t="s">
        <v>3245</v>
      </c>
      <c r="E633" s="4" t="s">
        <v>3482</v>
      </c>
      <c r="F633" s="127" t="n">
        <v>45960</v>
      </c>
      <c r="G633" s="127" t="n">
        <v>45965</v>
      </c>
      <c r="H633" s="127" t="n">
        <v>46293</v>
      </c>
      <c r="I633" s="4" t="n">
        <v>100</v>
      </c>
      <c r="J633" s="4" t="n">
        <v>100</v>
      </c>
      <c r="K633" s="4" t="n">
        <v>100</v>
      </c>
      <c r="M633" s="2" t="str">
        <f aca="false">IF(C633="","",IFERROR(INDEX($S$5:$S$304,MATCH(C633,$R$5:$R$304,0))&amp;"","?"))</f>
        <v>17</v>
      </c>
      <c r="N633" s="2" t="str">
        <f aca="false">IF(E633="","",IF(ISNUMBER(SEARCH("SUBSOLO",E633)),IFERROR(-VALUE(LEFT(E633,FIND("º",SUBSTITUTE(E633,"°","º"))-1)),-1),IF(LEFT(E633,6)="TÉRREO",0,IFERROR(VALUE(LEFT(E633,FIND("º",SUBSTITUTE(E633,"°","º"))-1)),""))))</f>
        <v/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9522347</v>
      </c>
      <c r="C634" s="4" t="s">
        <v>2684</v>
      </c>
      <c r="D634" s="4" t="s">
        <v>3246</v>
      </c>
      <c r="E634" s="4" t="s">
        <v>3482</v>
      </c>
      <c r="F634" s="127" t="n">
        <v>45961</v>
      </c>
      <c r="G634" s="127" t="n">
        <v>45961</v>
      </c>
      <c r="H634" s="127" t="n">
        <v>46293</v>
      </c>
      <c r="I634" s="4" t="n">
        <v>100</v>
      </c>
      <c r="J634" s="4" t="n">
        <v>100</v>
      </c>
      <c r="K634" s="4" t="n">
        <v>100</v>
      </c>
      <c r="M634" s="2" t="str">
        <f aca="false">IF(C634="","",IFERROR(INDEX($S$5:$S$304,MATCH(C634,$R$5:$R$304,0))&amp;"","?"))</f>
        <v>17</v>
      </c>
      <c r="N634" s="2" t="str">
        <f aca="false">IF(E634="","",IF(ISNUMBER(SEARCH("SUBSOLO",E634)),IFERROR(-VALUE(LEFT(E634,FIND("º",SUBSTITUTE(E634,"°","º"))-1)),-1),IF(LEFT(E634,6)="TÉRREO",0,IFERROR(VALUE(LEFT(E634,FIND("º",SUBSTITUTE(E634,"°","º"))-1)),""))))</f>
        <v/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9522348</v>
      </c>
      <c r="C635" s="4" t="s">
        <v>2684</v>
      </c>
      <c r="D635" s="4" t="s">
        <v>3247</v>
      </c>
      <c r="E635" s="4" t="s">
        <v>3482</v>
      </c>
      <c r="F635" s="127" t="n">
        <v>45964</v>
      </c>
      <c r="G635" s="127" t="n">
        <v>45964</v>
      </c>
      <c r="H635" s="127" t="n">
        <v>46293</v>
      </c>
      <c r="I635" s="4" t="n">
        <v>100</v>
      </c>
      <c r="J635" s="4" t="n">
        <v>100</v>
      </c>
      <c r="K635" s="4" t="n">
        <v>100</v>
      </c>
      <c r="M635" s="2" t="str">
        <f aca="false">IF(C635="","",IFERROR(INDEX($S$5:$S$304,MATCH(C635,$R$5:$R$304,0))&amp;"","?"))</f>
        <v>17</v>
      </c>
      <c r="N635" s="2" t="str">
        <f aca="false">IF(E635="","",IF(ISNUMBER(SEARCH("SUBSOLO",E635)),IFERROR(-VALUE(LEFT(E635,FIND("º",SUBSTITUTE(E635,"°","º"))-1)),-1),IF(LEFT(E635,6)="TÉRREO",0,IFERROR(VALUE(LEFT(E635,FIND("º",SUBSTITUTE(E635,"°","º"))-1)),""))))</f>
        <v/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9522349</v>
      </c>
      <c r="C636" s="4" t="s">
        <v>2684</v>
      </c>
      <c r="D636" s="4" t="s">
        <v>3248</v>
      </c>
      <c r="E636" s="4" t="s">
        <v>3482</v>
      </c>
      <c r="F636" s="127" t="n">
        <v>45965</v>
      </c>
      <c r="G636" s="127" t="n">
        <v>45968</v>
      </c>
      <c r="H636" s="127" t="n">
        <v>46293</v>
      </c>
      <c r="I636" s="4" t="n">
        <v>100</v>
      </c>
      <c r="J636" s="4" t="n">
        <v>100</v>
      </c>
      <c r="K636" s="4" t="n">
        <v>100</v>
      </c>
      <c r="M636" s="2" t="str">
        <f aca="false">IF(C636="","",IFERROR(INDEX($S$5:$S$304,MATCH(C636,$R$5:$R$304,0))&amp;"","?"))</f>
        <v>17</v>
      </c>
      <c r="N636" s="2" t="str">
        <f aca="false">IF(E636="","",IF(ISNUMBER(SEARCH("SUBSOLO",E636)),IFERROR(-VALUE(LEFT(E636,FIND("º",SUBSTITUTE(E636,"°","º"))-1)),-1),IF(LEFT(E636,6)="TÉRREO",0,IFERROR(VALUE(LEFT(E636,FIND("º",SUBSTITUTE(E636,"°","º"))-1)),""))))</f>
        <v/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9522350</v>
      </c>
      <c r="C637" s="4" t="s">
        <v>2684</v>
      </c>
      <c r="D637" s="4" t="s">
        <v>3249</v>
      </c>
      <c r="E637" s="4" t="s">
        <v>3482</v>
      </c>
      <c r="F637" s="127" t="n">
        <v>45966</v>
      </c>
      <c r="G637" s="127" t="n">
        <v>45968</v>
      </c>
      <c r="H637" s="127" t="n">
        <v>46293</v>
      </c>
      <c r="I637" s="4" t="n">
        <v>100</v>
      </c>
      <c r="J637" s="4" t="n">
        <v>100</v>
      </c>
      <c r="K637" s="4" t="n">
        <v>100</v>
      </c>
      <c r="M637" s="2" t="str">
        <f aca="false">IF(C637="","",IFERROR(INDEX($S$5:$S$304,MATCH(C637,$R$5:$R$304,0))&amp;"","?"))</f>
        <v>17</v>
      </c>
      <c r="N637" s="2" t="str">
        <f aca="false">IF(E637="","",IF(ISNUMBER(SEARCH("SUBSOLO",E637)),IFERROR(-VALUE(LEFT(E637,FIND("º",SUBSTITUTE(E637,"°","º"))-1)),-1),IF(LEFT(E637,6)="TÉRREO",0,IFERROR(VALUE(LEFT(E637,FIND("º",SUBSTITUTE(E637,"°","º"))-1)),""))))</f>
        <v/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9522351</v>
      </c>
      <c r="C638" s="4" t="s">
        <v>2684</v>
      </c>
      <c r="D638" s="4" t="s">
        <v>3250</v>
      </c>
      <c r="E638" s="4" t="s">
        <v>3482</v>
      </c>
      <c r="F638" s="127" t="n">
        <v>45967</v>
      </c>
      <c r="G638" s="127" t="n">
        <v>45967</v>
      </c>
      <c r="H638" s="127" t="n">
        <v>46293</v>
      </c>
      <c r="I638" s="4" t="n">
        <v>100</v>
      </c>
      <c r="J638" s="4" t="n">
        <v>100</v>
      </c>
      <c r="K638" s="4" t="n">
        <v>100</v>
      </c>
      <c r="M638" s="2" t="str">
        <f aca="false">IF(C638="","",IFERROR(INDEX($S$5:$S$304,MATCH(C638,$R$5:$R$304,0))&amp;"","?"))</f>
        <v>17</v>
      </c>
      <c r="N638" s="2" t="str">
        <f aca="false">IF(E638="","",IF(ISNUMBER(SEARCH("SUBSOLO",E638)),IFERROR(-VALUE(LEFT(E638,FIND("º",SUBSTITUTE(E638,"°","º"))-1)),-1),IF(LEFT(E638,6)="TÉRREO",0,IFERROR(VALUE(LEFT(E638,FIND("º",SUBSTITUTE(E638,"°","º"))-1)),""))))</f>
        <v/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9522352</v>
      </c>
      <c r="C639" s="4" t="s">
        <v>2684</v>
      </c>
      <c r="D639" s="4" t="s">
        <v>3251</v>
      </c>
      <c r="E639" s="4" t="s">
        <v>3482</v>
      </c>
      <c r="F639" s="127" t="n">
        <v>45967</v>
      </c>
      <c r="G639" s="127" t="n">
        <v>45967</v>
      </c>
      <c r="H639" s="127" t="n">
        <v>46293</v>
      </c>
      <c r="I639" s="4" t="n">
        <v>100</v>
      </c>
      <c r="J639" s="4" t="n">
        <v>100</v>
      </c>
      <c r="K639" s="4" t="n">
        <v>100</v>
      </c>
      <c r="M639" s="2" t="str">
        <f aca="false">IF(C639="","",IFERROR(INDEX($S$5:$S$304,MATCH(C639,$R$5:$R$304,0))&amp;"","?"))</f>
        <v>17</v>
      </c>
      <c r="N639" s="2" t="str">
        <f aca="false">IF(E639="","",IF(ISNUMBER(SEARCH("SUBSOLO",E639)),IFERROR(-VALUE(LEFT(E639,FIND("º",SUBSTITUTE(E639,"°","º"))-1)),-1),IF(LEFT(E639,6)="TÉRREO",0,IFERROR(VALUE(LEFT(E639,FIND("º",SUBSTITUTE(E639,"°","º"))-1)),""))))</f>
        <v/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9522353</v>
      </c>
      <c r="C640" s="4" t="s">
        <v>2684</v>
      </c>
      <c r="D640" s="4" t="s">
        <v>3252</v>
      </c>
      <c r="E640" s="4" t="s">
        <v>3482</v>
      </c>
      <c r="F640" s="127" t="n">
        <v>45968</v>
      </c>
      <c r="G640" s="127" t="n">
        <v>45968</v>
      </c>
      <c r="H640" s="127" t="n">
        <v>46293</v>
      </c>
      <c r="I640" s="4" t="n">
        <v>100</v>
      </c>
      <c r="J640" s="4" t="n">
        <v>100</v>
      </c>
      <c r="K640" s="4" t="n">
        <v>100</v>
      </c>
      <c r="M640" s="2" t="str">
        <f aca="false">IF(C640="","",IFERROR(INDEX($S$5:$S$304,MATCH(C640,$R$5:$R$304,0))&amp;"","?"))</f>
        <v>17</v>
      </c>
      <c r="N640" s="2" t="str">
        <f aca="false">IF(E640="","",IF(ISNUMBER(SEARCH("SUBSOLO",E640)),IFERROR(-VALUE(LEFT(E640,FIND("º",SUBSTITUTE(E640,"°","º"))-1)),-1),IF(LEFT(E640,6)="TÉRREO",0,IFERROR(VALUE(LEFT(E640,FIND("º",SUBSTITUTE(E640,"°","º"))-1)),""))))</f>
        <v/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30656907</v>
      </c>
      <c r="C641" s="4" t="s">
        <v>2698</v>
      </c>
      <c r="D641" s="4" t="s">
        <v>433</v>
      </c>
      <c r="E641" s="4" t="s">
        <v>3482</v>
      </c>
      <c r="F641" s="127" t="n">
        <v>45960</v>
      </c>
      <c r="G641" s="127" t="n">
        <v>45974</v>
      </c>
      <c r="H641" s="127" t="n">
        <v>46293</v>
      </c>
      <c r="I641" s="4" t="n">
        <v>100</v>
      </c>
      <c r="J641" s="4" t="n">
        <v>100</v>
      </c>
      <c r="K641" s="4" t="n">
        <v>100</v>
      </c>
      <c r="M641" s="2" t="str">
        <f aca="false">IF(C641="","",IFERROR(INDEX($S$5:$S$304,MATCH(C641,$R$5:$R$304,0))&amp;"","?"))</f>
        <v>17</v>
      </c>
      <c r="N641" s="2" t="str">
        <f aca="false">IF(E641="","",IF(ISNUMBER(SEARCH("SUBSOLO",E641)),IFERROR(-VALUE(LEFT(E641,FIND("º",SUBSTITUTE(E641,"°","º"))-1)),-1),IF(LEFT(E641,6)="TÉRREO",0,IFERROR(VALUE(LEFT(E641,FIND("º",SUBSTITUTE(E641,"°","º"))-1)),""))))</f>
        <v/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11211656</v>
      </c>
      <c r="C642" s="4" t="s">
        <v>2698</v>
      </c>
      <c r="D642" s="4" t="s">
        <v>3245</v>
      </c>
      <c r="E642" s="4" t="s">
        <v>3482</v>
      </c>
      <c r="F642" s="127" t="n">
        <v>45960</v>
      </c>
      <c r="G642" s="127" t="n">
        <v>45961</v>
      </c>
      <c r="H642" s="127" t="n">
        <v>46293</v>
      </c>
      <c r="I642" s="4" t="n">
        <v>100</v>
      </c>
      <c r="J642" s="4" t="n">
        <v>100</v>
      </c>
      <c r="K642" s="4" t="n">
        <v>100</v>
      </c>
      <c r="M642" s="2" t="str">
        <f aca="false">IF(C642="","",IFERROR(INDEX($S$5:$S$304,MATCH(C642,$R$5:$R$304,0))&amp;"","?"))</f>
        <v>17</v>
      </c>
      <c r="N642" s="2" t="str">
        <f aca="false">IF(E642="","",IF(ISNUMBER(SEARCH("SUBSOLO",E642)),IFERROR(-VALUE(LEFT(E642,FIND("º",SUBSTITUTE(E642,"°","º"))-1)),-1),IF(LEFT(E642,6)="TÉRREO",0,IFERROR(VALUE(LEFT(E642,FIND("º",SUBSTITUTE(E642,"°","º"))-1)),""))))</f>
        <v/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11211657</v>
      </c>
      <c r="C643" s="4" t="s">
        <v>2698</v>
      </c>
      <c r="D643" s="4" t="s">
        <v>3244</v>
      </c>
      <c r="E643" s="4" t="s">
        <v>3482</v>
      </c>
      <c r="F643" s="127" t="n">
        <v>45964</v>
      </c>
      <c r="G643" s="127" t="n">
        <v>45965</v>
      </c>
      <c r="H643" s="127" t="n">
        <v>46293</v>
      </c>
      <c r="I643" s="4" t="n">
        <v>100</v>
      </c>
      <c r="J643" s="4" t="n">
        <v>100</v>
      </c>
      <c r="K643" s="4" t="n">
        <v>100</v>
      </c>
      <c r="M643" s="2" t="str">
        <f aca="false">IF(C643="","",IFERROR(INDEX($S$5:$S$304,MATCH(C643,$R$5:$R$304,0))&amp;"","?"))</f>
        <v>17</v>
      </c>
      <c r="N643" s="2" t="str">
        <f aca="false">IF(E643="","",IF(ISNUMBER(SEARCH("SUBSOLO",E643)),IFERROR(-VALUE(LEFT(E643,FIND("º",SUBSTITUTE(E643,"°","º"))-1)),-1),IF(LEFT(E643,6)="TÉRREO",0,IFERROR(VALUE(LEFT(E643,FIND("º",SUBSTITUTE(E643,"°","º"))-1)),""))))</f>
        <v/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11211658</v>
      </c>
      <c r="C644" s="4" t="s">
        <v>2698</v>
      </c>
      <c r="D644" s="4" t="s">
        <v>3246</v>
      </c>
      <c r="E644" s="4" t="s">
        <v>3482</v>
      </c>
      <c r="F644" s="127" t="n">
        <v>45966</v>
      </c>
      <c r="G644" s="127" t="n">
        <v>45966</v>
      </c>
      <c r="H644" s="127" t="n">
        <v>46293</v>
      </c>
      <c r="I644" s="4" t="n">
        <v>100</v>
      </c>
      <c r="J644" s="4" t="n">
        <v>100</v>
      </c>
      <c r="K644" s="4" t="n">
        <v>100</v>
      </c>
      <c r="M644" s="2" t="str">
        <f aca="false">IF(C644="","",IFERROR(INDEX($S$5:$S$304,MATCH(C644,$R$5:$R$304,0))&amp;"","?"))</f>
        <v>17</v>
      </c>
      <c r="N644" s="2" t="str">
        <f aca="false">IF(E644="","",IF(ISNUMBER(SEARCH("SUBSOLO",E644)),IFERROR(-VALUE(LEFT(E644,FIND("º",SUBSTITUTE(E644,"°","º"))-1)),-1),IF(LEFT(E644,6)="TÉRREO",0,IFERROR(VALUE(LEFT(E644,FIND("º",SUBSTITUTE(E644,"°","º"))-1)),""))))</f>
        <v/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11211659</v>
      </c>
      <c r="C645" s="4" t="s">
        <v>2698</v>
      </c>
      <c r="D645" s="4" t="s">
        <v>3247</v>
      </c>
      <c r="E645" s="4" t="s">
        <v>3482</v>
      </c>
      <c r="F645" s="127" t="n">
        <v>45967</v>
      </c>
      <c r="G645" s="127" t="n">
        <v>45967</v>
      </c>
      <c r="H645" s="127" t="n">
        <v>46293</v>
      </c>
      <c r="I645" s="4" t="n">
        <v>100</v>
      </c>
      <c r="J645" s="4" t="n">
        <v>100</v>
      </c>
      <c r="K645" s="4" t="n">
        <v>100</v>
      </c>
      <c r="M645" s="2" t="str">
        <f aca="false">IF(C645="","",IFERROR(INDEX($S$5:$S$304,MATCH(C645,$R$5:$R$304,0))&amp;"","?"))</f>
        <v>17</v>
      </c>
      <c r="N645" s="2" t="str">
        <f aca="false">IF(E645="","",IF(ISNUMBER(SEARCH("SUBSOLO",E645)),IFERROR(-VALUE(LEFT(E645,FIND("º",SUBSTITUTE(E645,"°","º"))-1)),-1),IF(LEFT(E645,6)="TÉRREO",0,IFERROR(VALUE(LEFT(E645,FIND("º",SUBSTITUTE(E645,"°","º"))-1)),""))))</f>
        <v/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11211666</v>
      </c>
      <c r="C646" s="4" t="s">
        <v>2698</v>
      </c>
      <c r="D646" s="4" t="s">
        <v>3248</v>
      </c>
      <c r="E646" s="4" t="s">
        <v>3482</v>
      </c>
      <c r="F646" s="127" t="n">
        <v>45968</v>
      </c>
      <c r="G646" s="127" t="n">
        <v>45968</v>
      </c>
      <c r="H646" s="127" t="n">
        <v>46293</v>
      </c>
      <c r="I646" s="4" t="n">
        <v>100</v>
      </c>
      <c r="J646" s="4" t="n">
        <v>100</v>
      </c>
      <c r="K646" s="4" t="n">
        <v>100</v>
      </c>
      <c r="M646" s="2" t="str">
        <f aca="false">IF(C646="","",IFERROR(INDEX($S$5:$S$304,MATCH(C646,$R$5:$R$304,0))&amp;"","?"))</f>
        <v>17</v>
      </c>
      <c r="N646" s="2" t="str">
        <f aca="false">IF(E646="","",IF(ISNUMBER(SEARCH("SUBSOLO",E646)),IFERROR(-VALUE(LEFT(E646,FIND("º",SUBSTITUTE(E646,"°","º"))-1)),-1),IF(LEFT(E646,6)="TÉRREO",0,IFERROR(VALUE(LEFT(E646,FIND("º",SUBSTITUTE(E646,"°","º"))-1)),""))))</f>
        <v/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11211667</v>
      </c>
      <c r="C647" s="4" t="s">
        <v>2698</v>
      </c>
      <c r="D647" s="4" t="s">
        <v>3249</v>
      </c>
      <c r="E647" s="4" t="s">
        <v>3482</v>
      </c>
      <c r="F647" s="127" t="n">
        <v>45964</v>
      </c>
      <c r="G647" s="127" t="n">
        <v>45971</v>
      </c>
      <c r="H647" s="127" t="n">
        <v>46293</v>
      </c>
      <c r="I647" s="4" t="n">
        <v>100</v>
      </c>
      <c r="J647" s="4" t="n">
        <v>100</v>
      </c>
      <c r="K647" s="4" t="n">
        <v>100</v>
      </c>
      <c r="M647" s="2" t="str">
        <f aca="false">IF(C647="","",IFERROR(INDEX($S$5:$S$304,MATCH(C647,$R$5:$R$304,0))&amp;"","?"))</f>
        <v>17</v>
      </c>
      <c r="N647" s="2" t="str">
        <f aca="false">IF(E647="","",IF(ISNUMBER(SEARCH("SUBSOLO",E647)),IFERROR(-VALUE(LEFT(E647,FIND("º",SUBSTITUTE(E647,"°","º"))-1)),-1),IF(LEFT(E647,6)="TÉRREO",0,IFERROR(VALUE(LEFT(E647,FIND("º",SUBSTITUTE(E647,"°","º"))-1)),""))))</f>
        <v/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11211668</v>
      </c>
      <c r="C648" s="4" t="s">
        <v>2698</v>
      </c>
      <c r="D648" s="4" t="s">
        <v>3250</v>
      </c>
      <c r="E648" s="4" t="s">
        <v>3482</v>
      </c>
      <c r="F648" s="127" t="n">
        <v>45972</v>
      </c>
      <c r="G648" s="127" t="n">
        <v>45972</v>
      </c>
      <c r="H648" s="127" t="n">
        <v>46293</v>
      </c>
      <c r="I648" s="4" t="n">
        <v>100</v>
      </c>
      <c r="J648" s="4" t="n">
        <v>100</v>
      </c>
      <c r="K648" s="4" t="n">
        <v>100</v>
      </c>
      <c r="M648" s="2" t="str">
        <f aca="false">IF(C648="","",IFERROR(INDEX($S$5:$S$304,MATCH(C648,$R$5:$R$304,0))&amp;"","?"))</f>
        <v>17</v>
      </c>
      <c r="N648" s="2" t="str">
        <f aca="false">IF(E648="","",IF(ISNUMBER(SEARCH("SUBSOLO",E648)),IFERROR(-VALUE(LEFT(E648,FIND("º",SUBSTITUTE(E648,"°","º"))-1)),-1),IF(LEFT(E648,6)="TÉRREO",0,IFERROR(VALUE(LEFT(E648,FIND("º",SUBSTITUTE(E648,"°","º"))-1)),""))))</f>
        <v/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11211669</v>
      </c>
      <c r="C649" s="4" t="s">
        <v>2698</v>
      </c>
      <c r="D649" s="4" t="s">
        <v>3251</v>
      </c>
      <c r="E649" s="4" t="s">
        <v>3482</v>
      </c>
      <c r="F649" s="127" t="n">
        <v>45973</v>
      </c>
      <c r="G649" s="127" t="n">
        <v>45973</v>
      </c>
      <c r="H649" s="127" t="n">
        <v>46293</v>
      </c>
      <c r="I649" s="4" t="n">
        <v>100</v>
      </c>
      <c r="J649" s="4" t="n">
        <v>100</v>
      </c>
      <c r="K649" s="4" t="n">
        <v>100</v>
      </c>
      <c r="M649" s="2" t="str">
        <f aca="false">IF(C649="","",IFERROR(INDEX($S$5:$S$304,MATCH(C649,$R$5:$R$304,0))&amp;"","?"))</f>
        <v>17</v>
      </c>
      <c r="N649" s="2" t="str">
        <f aca="false">IF(E649="","",IF(ISNUMBER(SEARCH("SUBSOLO",E649)),IFERROR(-VALUE(LEFT(E649,FIND("º",SUBSTITUTE(E649,"°","º"))-1)),-1),IF(LEFT(E649,6)="TÉRREO",0,IFERROR(VALUE(LEFT(E649,FIND("º",SUBSTITUTE(E649,"°","º"))-1)),""))))</f>
        <v/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11211670</v>
      </c>
      <c r="C650" s="4" t="s">
        <v>2698</v>
      </c>
      <c r="D650" s="4" t="s">
        <v>3252</v>
      </c>
      <c r="E650" s="4" t="s">
        <v>3482</v>
      </c>
      <c r="F650" s="127" t="n">
        <v>45972</v>
      </c>
      <c r="G650" s="127" t="n">
        <v>45974</v>
      </c>
      <c r="H650" s="127" t="n">
        <v>46293</v>
      </c>
      <c r="I650" s="4" t="n">
        <v>100</v>
      </c>
      <c r="J650" s="4" t="n">
        <v>100</v>
      </c>
      <c r="K650" s="4" t="n">
        <v>100</v>
      </c>
      <c r="M650" s="2" t="str">
        <f aca="false">IF(C650="","",IFERROR(INDEX($S$5:$S$304,MATCH(C650,$R$5:$R$304,0))&amp;"","?"))</f>
        <v>17</v>
      </c>
      <c r="N650" s="2" t="str">
        <f aca="false">IF(E650="","",IF(ISNUMBER(SEARCH("SUBSOLO",E650)),IFERROR(-VALUE(LEFT(E650,FIND("º",SUBSTITUTE(E650,"°","º"))-1)),-1),IF(LEFT(E650,6)="TÉRREO",0,IFERROR(VALUE(LEFT(E650,FIND("º",SUBSTITUTE(E650,"°","º"))-1)),""))))</f>
        <v/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26734318</v>
      </c>
      <c r="C651" s="4" t="s">
        <v>2684</v>
      </c>
      <c r="D651" s="4" t="s">
        <v>433</v>
      </c>
      <c r="E651" s="4" t="s">
        <v>3473</v>
      </c>
      <c r="F651" s="127" t="n">
        <v>45965</v>
      </c>
      <c r="G651" s="127" t="n">
        <v>45975</v>
      </c>
      <c r="H651" s="127" t="n">
        <v>46293</v>
      </c>
      <c r="I651" s="4" t="n">
        <v>100</v>
      </c>
      <c r="J651" s="4" t="n">
        <v>100</v>
      </c>
      <c r="K651" s="4" t="n">
        <v>100</v>
      </c>
      <c r="M651" s="2" t="str">
        <f aca="false">IF(C651="","",IFERROR(INDEX($S$5:$S$304,MATCH(C651,$R$5:$R$304,0))&amp;"","?"))</f>
        <v>17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-5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9522814</v>
      </c>
      <c r="C652" s="4" t="s">
        <v>2684</v>
      </c>
      <c r="D652" s="4" t="s">
        <v>3483</v>
      </c>
      <c r="E652" s="4" t="s">
        <v>3473</v>
      </c>
      <c r="F652" s="127" t="n">
        <v>45965</v>
      </c>
      <c r="G652" s="127" t="n">
        <v>45966</v>
      </c>
      <c r="H652" s="127" t="n">
        <v>46293</v>
      </c>
      <c r="I652" s="4" t="n">
        <v>100</v>
      </c>
      <c r="J652" s="4" t="n">
        <v>100</v>
      </c>
      <c r="K652" s="4" t="n">
        <v>100</v>
      </c>
      <c r="M652" s="2" t="str">
        <f aca="false">IF(C652="","",IFERROR(INDEX($S$5:$S$304,MATCH(C652,$R$5:$R$304,0))&amp;"","?"))</f>
        <v>17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-5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9522815</v>
      </c>
      <c r="C653" s="4" t="s">
        <v>2684</v>
      </c>
      <c r="D653" s="4" t="s">
        <v>3484</v>
      </c>
      <c r="E653" s="4" t="s">
        <v>3473</v>
      </c>
      <c r="F653" s="127" t="n">
        <v>45966</v>
      </c>
      <c r="G653" s="127" t="n">
        <v>45967</v>
      </c>
      <c r="H653" s="127" t="n">
        <v>46293</v>
      </c>
      <c r="I653" s="4" t="n">
        <v>100</v>
      </c>
      <c r="J653" s="4" t="n">
        <v>100</v>
      </c>
      <c r="K653" s="4" t="n">
        <v>100</v>
      </c>
      <c r="M653" s="2" t="str">
        <f aca="false">IF(C653="","",IFERROR(INDEX($S$5:$S$304,MATCH(C653,$R$5:$R$304,0))&amp;"","?"))</f>
        <v>17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-5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9522816</v>
      </c>
      <c r="C654" s="4" t="s">
        <v>2684</v>
      </c>
      <c r="D654" s="4" t="s">
        <v>3485</v>
      </c>
      <c r="E654" s="4" t="s">
        <v>3473</v>
      </c>
      <c r="F654" s="127" t="n">
        <v>45967</v>
      </c>
      <c r="G654" s="127" t="n">
        <v>45968</v>
      </c>
      <c r="H654" s="127" t="n">
        <v>46293</v>
      </c>
      <c r="I654" s="4" t="n">
        <v>100</v>
      </c>
      <c r="J654" s="4" t="n">
        <v>100</v>
      </c>
      <c r="K654" s="4" t="n">
        <v>100</v>
      </c>
      <c r="M654" s="2" t="str">
        <f aca="false">IF(C654="","",IFERROR(INDEX($S$5:$S$304,MATCH(C654,$R$5:$R$304,0))&amp;"","?"))</f>
        <v>17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-5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9522817</v>
      </c>
      <c r="C655" s="4" t="s">
        <v>2684</v>
      </c>
      <c r="D655" s="4" t="s">
        <v>3486</v>
      </c>
      <c r="E655" s="4" t="s">
        <v>3473</v>
      </c>
      <c r="F655" s="127" t="n">
        <v>45971</v>
      </c>
      <c r="G655" s="127" t="n">
        <v>45971</v>
      </c>
      <c r="H655" s="127" t="n">
        <v>46293</v>
      </c>
      <c r="I655" s="4" t="n">
        <v>100</v>
      </c>
      <c r="J655" s="4" t="n">
        <v>100</v>
      </c>
      <c r="K655" s="4" t="n">
        <v>100</v>
      </c>
      <c r="M655" s="2" t="str">
        <f aca="false">IF(C655="","",IFERROR(INDEX($S$5:$S$304,MATCH(C655,$R$5:$R$304,0))&amp;"","?"))</f>
        <v>17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-5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9522818</v>
      </c>
      <c r="C656" s="4" t="s">
        <v>2684</v>
      </c>
      <c r="D656" s="4" t="s">
        <v>3487</v>
      </c>
      <c r="E656" s="4" t="s">
        <v>3473</v>
      </c>
      <c r="F656" s="127" t="n">
        <v>45972</v>
      </c>
      <c r="G656" s="127" t="n">
        <v>45974</v>
      </c>
      <c r="H656" s="127" t="n">
        <v>46293</v>
      </c>
      <c r="I656" s="4" t="n">
        <v>100</v>
      </c>
      <c r="J656" s="4" t="n">
        <v>100</v>
      </c>
      <c r="K656" s="4" t="n">
        <v>100</v>
      </c>
      <c r="M656" s="2" t="str">
        <f aca="false">IF(C656="","",IFERROR(INDEX($S$5:$S$304,MATCH(C656,$R$5:$R$304,0))&amp;"","?"))</f>
        <v>17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-5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9522819</v>
      </c>
      <c r="C657" s="4" t="s">
        <v>2684</v>
      </c>
      <c r="D657" s="4" t="s">
        <v>3488</v>
      </c>
      <c r="E657" s="4" t="s">
        <v>3473</v>
      </c>
      <c r="F657" s="127" t="n">
        <v>45973</v>
      </c>
      <c r="G657" s="127" t="n">
        <v>45975</v>
      </c>
      <c r="H657" s="127" t="n">
        <v>46293</v>
      </c>
      <c r="I657" s="4" t="n">
        <v>100</v>
      </c>
      <c r="J657" s="4" t="n">
        <v>100</v>
      </c>
      <c r="K657" s="4" t="n">
        <v>100</v>
      </c>
      <c r="M657" s="2" t="str">
        <f aca="false">IF(C657="","",IFERROR(INDEX($S$5:$S$304,MATCH(C657,$R$5:$R$304,0))&amp;"","?"))</f>
        <v>17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-5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9522820</v>
      </c>
      <c r="C658" s="4" t="s">
        <v>2684</v>
      </c>
      <c r="D658" s="4" t="s">
        <v>3489</v>
      </c>
      <c r="E658" s="4" t="s">
        <v>3473</v>
      </c>
      <c r="F658" s="127" t="n">
        <v>45974</v>
      </c>
      <c r="G658" s="127" t="n">
        <v>45974</v>
      </c>
      <c r="H658" s="127" t="n">
        <v>46293</v>
      </c>
      <c r="I658" s="4" t="n">
        <v>100</v>
      </c>
      <c r="J658" s="4" t="n">
        <v>100</v>
      </c>
      <c r="K658" s="4" t="n">
        <v>100</v>
      </c>
      <c r="M658" s="2" t="str">
        <f aca="false">IF(C658="","",IFERROR(INDEX($S$5:$S$304,MATCH(C658,$R$5:$R$304,0))&amp;"","?"))</f>
        <v>17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-5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9522821</v>
      </c>
      <c r="C659" s="4" t="s">
        <v>2684</v>
      </c>
      <c r="D659" s="4" t="s">
        <v>3490</v>
      </c>
      <c r="E659" s="4" t="s">
        <v>3473</v>
      </c>
      <c r="F659" s="127" t="n">
        <v>45974</v>
      </c>
      <c r="G659" s="127" t="n">
        <v>45974</v>
      </c>
      <c r="H659" s="127" t="n">
        <v>46293</v>
      </c>
      <c r="I659" s="4" t="n">
        <v>100</v>
      </c>
      <c r="J659" s="4" t="n">
        <v>100</v>
      </c>
      <c r="K659" s="4" t="n">
        <v>100</v>
      </c>
      <c r="M659" s="2" t="str">
        <f aca="false">IF(C659="","",IFERROR(INDEX($S$5:$S$304,MATCH(C659,$R$5:$R$304,0))&amp;"","?"))</f>
        <v>17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-5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9522822</v>
      </c>
      <c r="C660" s="4" t="s">
        <v>2684</v>
      </c>
      <c r="D660" s="4" t="s">
        <v>3491</v>
      </c>
      <c r="E660" s="4" t="s">
        <v>3473</v>
      </c>
      <c r="F660" s="127" t="n">
        <v>45975</v>
      </c>
      <c r="G660" s="127" t="n">
        <v>45975</v>
      </c>
      <c r="H660" s="127" t="n">
        <v>46293</v>
      </c>
      <c r="I660" s="4" t="n">
        <v>100</v>
      </c>
      <c r="J660" s="4" t="n">
        <v>100</v>
      </c>
      <c r="K660" s="4" t="n">
        <v>100</v>
      </c>
      <c r="M660" s="2" t="str">
        <f aca="false">IF(C660="","",IFERROR(INDEX($S$5:$S$304,MATCH(C660,$R$5:$R$304,0))&amp;"","?"))</f>
        <v>17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-5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24940087</v>
      </c>
      <c r="C661" s="4" t="s">
        <v>2705</v>
      </c>
      <c r="D661" s="4" t="s">
        <v>433</v>
      </c>
      <c r="E661" s="4" t="s">
        <v>3473</v>
      </c>
      <c r="F661" s="127" t="n">
        <v>45971</v>
      </c>
      <c r="G661" s="127" t="n">
        <v>46009</v>
      </c>
      <c r="H661" s="127" t="n">
        <v>46293</v>
      </c>
      <c r="I661" s="4" t="n">
        <v>100</v>
      </c>
      <c r="J661" s="4" t="n">
        <v>100</v>
      </c>
      <c r="K661" s="4" t="n">
        <v>100</v>
      </c>
      <c r="M661" s="2" t="str">
        <f aca="false">IF(C661="","",IFERROR(INDEX($S$5:$S$304,MATCH(C661,$R$5:$R$304,0))&amp;"","?"))</f>
        <v>17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-5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9360214</v>
      </c>
      <c r="C662" s="4" t="s">
        <v>2705</v>
      </c>
      <c r="D662" s="4" t="s">
        <v>3492</v>
      </c>
      <c r="E662" s="4" t="s">
        <v>3473</v>
      </c>
      <c r="F662" s="127" t="n">
        <v>45971</v>
      </c>
      <c r="G662" s="127" t="n">
        <v>45980</v>
      </c>
      <c r="H662" s="127" t="n">
        <v>46293</v>
      </c>
      <c r="I662" s="4" t="n">
        <v>100</v>
      </c>
      <c r="J662" s="4" t="n">
        <v>100</v>
      </c>
      <c r="K662" s="4" t="n">
        <v>100</v>
      </c>
      <c r="M662" s="2" t="str">
        <f aca="false">IF(C662="","",IFERROR(INDEX($S$5:$S$304,MATCH(C662,$R$5:$R$304,0))&amp;"","?"))</f>
        <v>17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-5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9360215</v>
      </c>
      <c r="C663" s="4" t="s">
        <v>2705</v>
      </c>
      <c r="D663" s="4" t="s">
        <v>3475</v>
      </c>
      <c r="E663" s="4" t="s">
        <v>3473</v>
      </c>
      <c r="F663" s="127" t="n">
        <v>45971</v>
      </c>
      <c r="G663" s="127" t="n">
        <v>45979</v>
      </c>
      <c r="H663" s="127" t="n">
        <v>46293</v>
      </c>
      <c r="I663" s="4" t="n">
        <v>100</v>
      </c>
      <c r="J663" s="4" t="n">
        <v>100</v>
      </c>
      <c r="K663" s="4" t="n">
        <v>100</v>
      </c>
      <c r="M663" s="2" t="str">
        <f aca="false">IF(C663="","",IFERROR(INDEX($S$5:$S$304,MATCH(C663,$R$5:$R$304,0))&amp;"","?"))</f>
        <v>17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-5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9360217</v>
      </c>
      <c r="C664" s="4" t="s">
        <v>2705</v>
      </c>
      <c r="D664" s="4" t="s">
        <v>3476</v>
      </c>
      <c r="E664" s="4" t="s">
        <v>3473</v>
      </c>
      <c r="F664" s="127" t="n">
        <v>45982</v>
      </c>
      <c r="G664" s="127" t="n">
        <v>45982</v>
      </c>
      <c r="H664" s="127" t="n">
        <v>46293</v>
      </c>
      <c r="I664" s="4" t="n">
        <v>100</v>
      </c>
      <c r="J664" s="4" t="n">
        <v>100</v>
      </c>
      <c r="K664" s="4" t="n">
        <v>100</v>
      </c>
      <c r="M664" s="2" t="str">
        <f aca="false">IF(C664="","",IFERROR(INDEX($S$5:$S$304,MATCH(C664,$R$5:$R$304,0))&amp;"","?"))</f>
        <v>17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-5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12801409</v>
      </c>
      <c r="C665" s="4" t="s">
        <v>2705</v>
      </c>
      <c r="D665" s="4" t="s">
        <v>3477</v>
      </c>
      <c r="E665" s="4" t="s">
        <v>3473</v>
      </c>
      <c r="F665" s="127" t="n">
        <v>45985</v>
      </c>
      <c r="G665" s="127" t="n">
        <v>45987</v>
      </c>
      <c r="H665" s="127" t="n">
        <v>46293</v>
      </c>
      <c r="I665" s="4" t="n">
        <v>100</v>
      </c>
      <c r="J665" s="4" t="n">
        <v>100</v>
      </c>
      <c r="K665" s="4" t="n">
        <v>100</v>
      </c>
      <c r="M665" s="2" t="str">
        <f aca="false">IF(C665="","",IFERROR(INDEX($S$5:$S$304,MATCH(C665,$R$5:$R$304,0))&amp;"","?"))</f>
        <v>17</v>
      </c>
      <c r="N665" s="2" t="n">
        <f aca="false">IF(E665="","",IF(ISNUMBER(SEARCH("SUBSOLO",E665)),IFERROR(-VALUE(LEFT(E665,FIND("º",SUBSTITUTE(E665,"°","º"))-1)),-1),IF(LEFT(E665,6)="TÉRREO",0,IFERROR(VALUE(LEFT(E665,FIND("º",SUBSTITUTE(E665,"°","º"))-1)),""))))</f>
        <v>-5</v>
      </c>
      <c r="O665" s="2" t="str">
        <f aca="false">IF(OR(F665="",G665=""),"",IF(G665&lt;='RETRATO 2027'!$K$5,"CONCLUÍDA",IF(F665&lt;='RETRATO 2027'!$K$5,"EM ANDAMENTO","A INICIAR")))</f>
        <v>CONCLUÍDA</v>
      </c>
    </row>
    <row r="666" customFormat="false" ht="15" hidden="false" customHeight="false" outlineLevel="0" collapsed="false">
      <c r="B666" s="4" t="n">
        <v>12801410</v>
      </c>
      <c r="C666" s="4" t="s">
        <v>2705</v>
      </c>
      <c r="D666" s="4" t="s">
        <v>3478</v>
      </c>
      <c r="E666" s="4" t="s">
        <v>3473</v>
      </c>
      <c r="F666" s="127" t="n">
        <v>45985</v>
      </c>
      <c r="G666" s="127" t="n">
        <v>45988</v>
      </c>
      <c r="H666" s="127" t="n">
        <v>46293</v>
      </c>
      <c r="I666" s="4" t="n">
        <v>100</v>
      </c>
      <c r="J666" s="4" t="n">
        <v>100</v>
      </c>
      <c r="K666" s="4" t="n">
        <v>100</v>
      </c>
      <c r="M666" s="2" t="str">
        <f aca="false">IF(C666="","",IFERROR(INDEX($S$5:$S$304,MATCH(C666,$R$5:$R$304,0))&amp;"","?"))</f>
        <v>17</v>
      </c>
      <c r="N666" s="2" t="n">
        <f aca="false">IF(E666="","",IF(ISNUMBER(SEARCH("SUBSOLO",E666)),IFERROR(-VALUE(LEFT(E666,FIND("º",SUBSTITUTE(E666,"°","º"))-1)),-1),IF(LEFT(E666,6)="TÉRREO",0,IFERROR(VALUE(LEFT(E666,FIND("º",SUBSTITUTE(E666,"°","º"))-1)),""))))</f>
        <v>-5</v>
      </c>
      <c r="O666" s="2" t="str">
        <f aca="false">IF(OR(F666="",G666=""),"",IF(G666&lt;='RETRATO 2027'!$K$5,"CONCLUÍDA",IF(F666&lt;='RETRATO 2027'!$K$5,"EM ANDAMENTO","A INICIAR")))</f>
        <v>CONCLUÍDA</v>
      </c>
    </row>
    <row r="667" customFormat="false" ht="15" hidden="false" customHeight="false" outlineLevel="0" collapsed="false">
      <c r="B667" s="4" t="n">
        <v>12801411</v>
      </c>
      <c r="C667" s="4" t="s">
        <v>2705</v>
      </c>
      <c r="D667" s="4" t="s">
        <v>3479</v>
      </c>
      <c r="E667" s="4" t="s">
        <v>3473</v>
      </c>
      <c r="F667" s="127" t="n">
        <v>45989</v>
      </c>
      <c r="G667" s="127" t="n">
        <v>45989</v>
      </c>
      <c r="H667" s="127" t="n">
        <v>46293</v>
      </c>
      <c r="I667" s="4" t="n">
        <v>100</v>
      </c>
      <c r="J667" s="4" t="n">
        <v>100</v>
      </c>
      <c r="K667" s="4" t="n">
        <v>100</v>
      </c>
      <c r="M667" s="2" t="str">
        <f aca="false">IF(C667="","",IFERROR(INDEX($S$5:$S$304,MATCH(C667,$R$5:$R$304,0))&amp;"","?"))</f>
        <v>17</v>
      </c>
      <c r="N667" s="2" t="n">
        <f aca="false">IF(E667="","",IF(ISNUMBER(SEARCH("SUBSOLO",E667)),IFERROR(-VALUE(LEFT(E667,FIND("º",SUBSTITUTE(E667,"°","º"))-1)),-1),IF(LEFT(E667,6)="TÉRREO",0,IFERROR(VALUE(LEFT(E667,FIND("º",SUBSTITUTE(E667,"°","º"))-1)),""))))</f>
        <v>-5</v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12801540</v>
      </c>
      <c r="C668" s="4" t="s">
        <v>2705</v>
      </c>
      <c r="D668" s="4" t="s">
        <v>3246</v>
      </c>
      <c r="E668" s="4" t="s">
        <v>3473</v>
      </c>
      <c r="F668" s="127" t="n">
        <v>45992</v>
      </c>
      <c r="G668" s="127" t="n">
        <v>45992</v>
      </c>
      <c r="H668" s="127" t="n">
        <v>46293</v>
      </c>
      <c r="I668" s="4" t="n">
        <v>100</v>
      </c>
      <c r="J668" s="4" t="n">
        <v>100</v>
      </c>
      <c r="K668" s="4" t="n">
        <v>100</v>
      </c>
      <c r="M668" s="2" t="str">
        <f aca="false">IF(C668="","",IFERROR(INDEX($S$5:$S$304,MATCH(C668,$R$5:$R$304,0))&amp;"","?"))</f>
        <v>17</v>
      </c>
      <c r="N668" s="2" t="n">
        <f aca="false">IF(E668="","",IF(ISNUMBER(SEARCH("SUBSOLO",E668)),IFERROR(-VALUE(LEFT(E668,FIND("º",SUBSTITUTE(E668,"°","º"))-1)),-1),IF(LEFT(E668,6)="TÉRREO",0,IFERROR(VALUE(LEFT(E668,FIND("º",SUBSTITUTE(E668,"°","º"))-1)),""))))</f>
        <v>-5</v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12801541</v>
      </c>
      <c r="C669" s="4" t="s">
        <v>2705</v>
      </c>
      <c r="D669" s="4" t="s">
        <v>3493</v>
      </c>
      <c r="E669" s="4" t="s">
        <v>3473</v>
      </c>
      <c r="F669" s="127" t="n">
        <v>45993</v>
      </c>
      <c r="G669" s="127" t="n">
        <v>45994</v>
      </c>
      <c r="H669" s="127" t="n">
        <v>46293</v>
      </c>
      <c r="I669" s="4" t="n">
        <v>100</v>
      </c>
      <c r="J669" s="4" t="n">
        <v>100</v>
      </c>
      <c r="K669" s="4" t="n">
        <v>100</v>
      </c>
      <c r="M669" s="2" t="str">
        <f aca="false">IF(C669="","",IFERROR(INDEX($S$5:$S$304,MATCH(C669,$R$5:$R$304,0))&amp;"","?"))</f>
        <v>17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-5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12801542</v>
      </c>
      <c r="C670" s="4" t="s">
        <v>2705</v>
      </c>
      <c r="D670" s="4" t="s">
        <v>3249</v>
      </c>
      <c r="E670" s="4" t="s">
        <v>3473</v>
      </c>
      <c r="F670" s="127" t="n">
        <v>45994</v>
      </c>
      <c r="G670" s="127" t="n">
        <v>45996</v>
      </c>
      <c r="H670" s="127" t="n">
        <v>46293</v>
      </c>
      <c r="I670" s="4" t="n">
        <v>100</v>
      </c>
      <c r="J670" s="4" t="n">
        <v>100</v>
      </c>
      <c r="K670" s="4" t="n">
        <v>100</v>
      </c>
      <c r="M670" s="2" t="str">
        <f aca="false">IF(C670="","",IFERROR(INDEX($S$5:$S$304,MATCH(C670,$R$5:$R$304,0))&amp;"","?"))</f>
        <v>17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-5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12801543</v>
      </c>
      <c r="C671" s="4" t="s">
        <v>2705</v>
      </c>
      <c r="D671" s="4" t="s">
        <v>3252</v>
      </c>
      <c r="E671" s="4" t="s">
        <v>3473</v>
      </c>
      <c r="F671" s="127" t="n">
        <v>46000</v>
      </c>
      <c r="G671" s="127" t="n">
        <v>46002</v>
      </c>
      <c r="H671" s="127" t="n">
        <v>46293</v>
      </c>
      <c r="I671" s="4" t="n">
        <v>100</v>
      </c>
      <c r="J671" s="4" t="n">
        <v>100</v>
      </c>
      <c r="K671" s="4" t="n">
        <v>100</v>
      </c>
      <c r="M671" s="2" t="str">
        <f aca="false">IF(C671="","",IFERROR(INDEX($S$5:$S$304,MATCH(C671,$R$5:$R$304,0))&amp;"","?"))</f>
        <v>17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-5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12801544</v>
      </c>
      <c r="C672" s="4" t="s">
        <v>2705</v>
      </c>
      <c r="D672" s="4" t="s">
        <v>3251</v>
      </c>
      <c r="E672" s="4" t="s">
        <v>3473</v>
      </c>
      <c r="F672" s="127" t="n">
        <v>45995</v>
      </c>
      <c r="G672" s="127" t="n">
        <v>45995</v>
      </c>
      <c r="H672" s="127" t="n">
        <v>46293</v>
      </c>
      <c r="I672" s="4" t="n">
        <v>100</v>
      </c>
      <c r="J672" s="4" t="n">
        <v>100</v>
      </c>
      <c r="K672" s="4" t="n">
        <v>100</v>
      </c>
      <c r="M672" s="2" t="str">
        <f aca="false">IF(C672="","",IFERROR(INDEX($S$5:$S$304,MATCH(C672,$R$5:$R$304,0))&amp;"","?"))</f>
        <v>17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-5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12801545</v>
      </c>
      <c r="C673" s="4" t="s">
        <v>2705</v>
      </c>
      <c r="D673" s="4" t="s">
        <v>3250</v>
      </c>
      <c r="E673" s="4" t="s">
        <v>3473</v>
      </c>
      <c r="F673" s="127" t="n">
        <v>45994</v>
      </c>
      <c r="G673" s="127" t="n">
        <v>45994</v>
      </c>
      <c r="H673" s="127" t="n">
        <v>46293</v>
      </c>
      <c r="I673" s="4" t="n">
        <v>100</v>
      </c>
      <c r="J673" s="4" t="n">
        <v>100</v>
      </c>
      <c r="K673" s="4" t="n">
        <v>100</v>
      </c>
      <c r="M673" s="2" t="str">
        <f aca="false">IF(C673="","",IFERROR(INDEX($S$5:$S$304,MATCH(C673,$R$5:$R$304,0))&amp;"","?"))</f>
        <v>17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-5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12811095</v>
      </c>
      <c r="C674" s="4" t="s">
        <v>2705</v>
      </c>
      <c r="D674" s="4" t="s">
        <v>3494</v>
      </c>
      <c r="E674" s="4" t="s">
        <v>3473</v>
      </c>
      <c r="F674" s="127" t="n">
        <v>46003</v>
      </c>
      <c r="G674" s="127" t="n">
        <v>46009</v>
      </c>
      <c r="H674" s="127" t="n">
        <v>46293</v>
      </c>
      <c r="I674" s="4" t="n">
        <v>100</v>
      </c>
      <c r="J674" s="4" t="n">
        <v>100</v>
      </c>
      <c r="K674" s="4" t="n">
        <v>100</v>
      </c>
      <c r="M674" s="2" t="str">
        <f aca="false">IF(C674="","",IFERROR(INDEX($S$5:$S$304,MATCH(C674,$R$5:$R$304,0))&amp;"","?"))</f>
        <v>17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-5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26734835</v>
      </c>
      <c r="C675" s="4" t="s">
        <v>2684</v>
      </c>
      <c r="D675" s="4" t="s">
        <v>433</v>
      </c>
      <c r="E675" s="4" t="s">
        <v>3243</v>
      </c>
      <c r="F675" s="127" t="n">
        <v>45978</v>
      </c>
      <c r="G675" s="127" t="n">
        <v>46044</v>
      </c>
      <c r="H675" s="127" t="n">
        <v>46293</v>
      </c>
      <c r="I675" s="4" t="n">
        <v>100</v>
      </c>
      <c r="J675" s="4" t="n">
        <v>100</v>
      </c>
      <c r="K675" s="4" t="n">
        <v>100</v>
      </c>
      <c r="M675" s="2" t="str">
        <f aca="false">IF(C675="","",IFERROR(INDEX($S$5:$S$304,MATCH(C675,$R$5:$R$304,0))&amp;"","?"))</f>
        <v>17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9522924</v>
      </c>
      <c r="C676" s="4" t="s">
        <v>2684</v>
      </c>
      <c r="D676" s="4" t="s">
        <v>3244</v>
      </c>
      <c r="E676" s="4" t="s">
        <v>3243</v>
      </c>
      <c r="F676" s="127" t="n">
        <v>45978</v>
      </c>
      <c r="G676" s="127" t="n">
        <v>45980</v>
      </c>
      <c r="H676" s="127" t="n">
        <v>46293</v>
      </c>
      <c r="I676" s="4" t="n">
        <v>100</v>
      </c>
      <c r="J676" s="4" t="n">
        <v>100</v>
      </c>
      <c r="K676" s="4" t="n">
        <v>100</v>
      </c>
      <c r="M676" s="2" t="str">
        <f aca="false">IF(C676="","",IFERROR(INDEX($S$5:$S$304,MATCH(C676,$R$5:$R$304,0))&amp;"","?"))</f>
        <v>17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9522925</v>
      </c>
      <c r="C677" s="4" t="s">
        <v>2684</v>
      </c>
      <c r="D677" s="4" t="s">
        <v>3245</v>
      </c>
      <c r="E677" s="4" t="s">
        <v>3243</v>
      </c>
      <c r="F677" s="127" t="n">
        <v>45978</v>
      </c>
      <c r="G677" s="127" t="n">
        <v>45982</v>
      </c>
      <c r="H677" s="127" t="n">
        <v>46293</v>
      </c>
      <c r="I677" s="4" t="n">
        <v>100</v>
      </c>
      <c r="J677" s="4" t="n">
        <v>100</v>
      </c>
      <c r="K677" s="4" t="n">
        <v>100</v>
      </c>
      <c r="M677" s="2" t="str">
        <f aca="false">IF(C677="","",IFERROR(INDEX($S$5:$S$304,MATCH(C677,$R$5:$R$304,0))&amp;"","?"))</f>
        <v>17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9522926</v>
      </c>
      <c r="C678" s="4" t="s">
        <v>2684</v>
      </c>
      <c r="D678" s="4" t="s">
        <v>3495</v>
      </c>
      <c r="E678" s="4" t="s">
        <v>3243</v>
      </c>
      <c r="F678" s="127" t="n">
        <v>45980</v>
      </c>
      <c r="G678" s="127" t="n">
        <v>45989</v>
      </c>
      <c r="H678" s="127" t="n">
        <v>46293</v>
      </c>
      <c r="I678" s="4" t="n">
        <v>100</v>
      </c>
      <c r="J678" s="4" t="n">
        <v>100</v>
      </c>
      <c r="K678" s="4" t="n">
        <v>100</v>
      </c>
      <c r="M678" s="2" t="str">
        <f aca="false">IF(C678="","",IFERROR(INDEX($S$5:$S$304,MATCH(C678,$R$5:$R$304,0))&amp;"","?"))</f>
        <v>17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9522927</v>
      </c>
      <c r="C679" s="4" t="s">
        <v>2684</v>
      </c>
      <c r="D679" s="4" t="s">
        <v>3247</v>
      </c>
      <c r="E679" s="4" t="s">
        <v>3243</v>
      </c>
      <c r="F679" s="127" t="n">
        <v>45992</v>
      </c>
      <c r="G679" s="127" t="n">
        <v>45992</v>
      </c>
      <c r="H679" s="127" t="n">
        <v>46293</v>
      </c>
      <c r="I679" s="4" t="n">
        <v>100</v>
      </c>
      <c r="J679" s="4" t="n">
        <v>100</v>
      </c>
      <c r="K679" s="4" t="n">
        <v>100</v>
      </c>
      <c r="M679" s="2" t="str">
        <f aca="false">IF(C679="","",IFERROR(INDEX($S$5:$S$304,MATCH(C679,$R$5:$R$304,0))&amp;"","?"))</f>
        <v>17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9522929</v>
      </c>
      <c r="C680" s="4" t="s">
        <v>2684</v>
      </c>
      <c r="D680" s="4" t="s">
        <v>3249</v>
      </c>
      <c r="E680" s="4" t="s">
        <v>3243</v>
      </c>
      <c r="F680" s="127" t="n">
        <v>45992</v>
      </c>
      <c r="G680" s="127" t="n">
        <v>46000</v>
      </c>
      <c r="H680" s="127" t="n">
        <v>46293</v>
      </c>
      <c r="I680" s="4" t="n">
        <v>100</v>
      </c>
      <c r="J680" s="4" t="n">
        <v>100</v>
      </c>
      <c r="K680" s="4" t="n">
        <v>100</v>
      </c>
      <c r="M680" s="2" t="str">
        <f aca="false">IF(C680="","",IFERROR(INDEX($S$5:$S$304,MATCH(C680,$R$5:$R$304,0))&amp;"","?"))</f>
        <v>17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9522930</v>
      </c>
      <c r="C681" s="4" t="s">
        <v>2684</v>
      </c>
      <c r="D681" s="4" t="s">
        <v>3496</v>
      </c>
      <c r="E681" s="4" t="s">
        <v>3243</v>
      </c>
      <c r="F681" s="127" t="n">
        <v>46001</v>
      </c>
      <c r="G681" s="127" t="n">
        <v>46001</v>
      </c>
      <c r="H681" s="127" t="n">
        <v>46293</v>
      </c>
      <c r="I681" s="4" t="n">
        <v>100</v>
      </c>
      <c r="J681" s="4" t="n">
        <v>100</v>
      </c>
      <c r="K681" s="4" t="n">
        <v>100</v>
      </c>
      <c r="M681" s="2" t="str">
        <f aca="false">IF(C681="","",IFERROR(INDEX($S$5:$S$304,MATCH(C681,$R$5:$R$304,0))&amp;"","?"))</f>
        <v>17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1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9522931</v>
      </c>
      <c r="C682" s="4" t="s">
        <v>2684</v>
      </c>
      <c r="D682" s="4" t="s">
        <v>3497</v>
      </c>
      <c r="E682" s="4" t="s">
        <v>3243</v>
      </c>
      <c r="F682" s="127" t="n">
        <v>46003</v>
      </c>
      <c r="G682" s="127" t="n">
        <v>46044</v>
      </c>
      <c r="H682" s="127" t="n">
        <v>46293</v>
      </c>
      <c r="I682" s="4" t="n">
        <v>100</v>
      </c>
      <c r="J682" s="4" t="n">
        <v>100</v>
      </c>
      <c r="K682" s="4" t="n">
        <v>100</v>
      </c>
      <c r="M682" s="2" t="str">
        <f aca="false">IF(C682="","",IFERROR(INDEX($S$5:$S$304,MATCH(C682,$R$5:$R$304,0))&amp;"","?"))</f>
        <v>17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1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36070881</v>
      </c>
      <c r="C683" s="4" t="s">
        <v>2708</v>
      </c>
      <c r="D683" s="4" t="s">
        <v>433</v>
      </c>
      <c r="E683" s="4" t="s">
        <v>3243</v>
      </c>
      <c r="F683" s="127" t="n">
        <v>45980</v>
      </c>
      <c r="G683" s="127" t="n">
        <v>46038</v>
      </c>
      <c r="H683" s="127" t="n">
        <v>46293</v>
      </c>
      <c r="I683" s="4" t="n">
        <v>100</v>
      </c>
      <c r="J683" s="4" t="n">
        <v>100</v>
      </c>
      <c r="K683" s="4" t="n">
        <v>100</v>
      </c>
      <c r="M683" s="2" t="str">
        <f aca="false">IF(C683="","",IFERROR(INDEX($S$5:$S$304,MATCH(C683,$R$5:$R$304,0))&amp;"","?"))</f>
        <v>17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1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14654758</v>
      </c>
      <c r="C684" s="4" t="s">
        <v>2708</v>
      </c>
      <c r="D684" s="4" t="s">
        <v>3498</v>
      </c>
      <c r="E684" s="4" t="s">
        <v>3243</v>
      </c>
      <c r="F684" s="127" t="n">
        <v>45980</v>
      </c>
      <c r="G684" s="127" t="n">
        <v>45993</v>
      </c>
      <c r="H684" s="127" t="n">
        <v>46293</v>
      </c>
      <c r="I684" s="4" t="n">
        <v>100</v>
      </c>
      <c r="J684" s="4" t="n">
        <v>100</v>
      </c>
      <c r="K684" s="4" t="n">
        <v>100</v>
      </c>
      <c r="M684" s="2" t="str">
        <f aca="false">IF(C684="","",IFERROR(INDEX($S$5:$S$304,MATCH(C684,$R$5:$R$304,0))&amp;"","?"))</f>
        <v>17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1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14654759</v>
      </c>
      <c r="C685" s="4" t="s">
        <v>2708</v>
      </c>
      <c r="D685" s="4" t="s">
        <v>3217</v>
      </c>
      <c r="E685" s="4" t="s">
        <v>3243</v>
      </c>
      <c r="F685" s="127" t="n">
        <v>45992</v>
      </c>
      <c r="G685" s="127" t="n">
        <v>46006</v>
      </c>
      <c r="H685" s="127" t="n">
        <v>46293</v>
      </c>
      <c r="I685" s="4" t="n">
        <v>100</v>
      </c>
      <c r="J685" s="4" t="n">
        <v>100</v>
      </c>
      <c r="K685" s="4" t="n">
        <v>100</v>
      </c>
      <c r="M685" s="2" t="str">
        <f aca="false">IF(C685="","",IFERROR(INDEX($S$5:$S$304,MATCH(C685,$R$5:$R$304,0))&amp;"","?"))</f>
        <v>17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1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14654760</v>
      </c>
      <c r="C686" s="4" t="s">
        <v>2708</v>
      </c>
      <c r="D686" s="4" t="s">
        <v>3499</v>
      </c>
      <c r="E686" s="4" t="s">
        <v>3243</v>
      </c>
      <c r="F686" s="127" t="n">
        <v>46003</v>
      </c>
      <c r="G686" s="127" t="n">
        <v>46003</v>
      </c>
      <c r="H686" s="127" t="n">
        <v>46293</v>
      </c>
      <c r="I686" s="4" t="n">
        <v>100</v>
      </c>
      <c r="J686" s="4" t="n">
        <v>100</v>
      </c>
      <c r="K686" s="4" t="n">
        <v>100</v>
      </c>
      <c r="M686" s="2" t="str">
        <f aca="false">IF(C686="","",IFERROR(INDEX($S$5:$S$304,MATCH(C686,$R$5:$R$304,0))&amp;"","?"))</f>
        <v>17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1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14654761</v>
      </c>
      <c r="C687" s="4" t="s">
        <v>2708</v>
      </c>
      <c r="D687" s="4" t="s">
        <v>3500</v>
      </c>
      <c r="E687" s="4" t="s">
        <v>3243</v>
      </c>
      <c r="F687" s="127" t="n">
        <v>46007</v>
      </c>
      <c r="G687" s="127" t="n">
        <v>46007</v>
      </c>
      <c r="H687" s="127" t="n">
        <v>46293</v>
      </c>
      <c r="I687" s="4" t="n">
        <v>100</v>
      </c>
      <c r="J687" s="4" t="n">
        <v>100</v>
      </c>
      <c r="K687" s="4" t="n">
        <v>100</v>
      </c>
      <c r="M687" s="2" t="str">
        <f aca="false">IF(C687="","",IFERROR(INDEX($S$5:$S$304,MATCH(C687,$R$5:$R$304,0))&amp;"","?"))</f>
        <v>17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1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14654762</v>
      </c>
      <c r="C688" s="4" t="s">
        <v>2708</v>
      </c>
      <c r="D688" s="4" t="s">
        <v>3501</v>
      </c>
      <c r="E688" s="4" t="s">
        <v>3243</v>
      </c>
      <c r="F688" s="127" t="n">
        <v>46027</v>
      </c>
      <c r="G688" s="127" t="n">
        <v>46031</v>
      </c>
      <c r="H688" s="127" t="n">
        <v>46293</v>
      </c>
      <c r="I688" s="4" t="n">
        <v>100</v>
      </c>
      <c r="J688" s="4" t="n">
        <v>100</v>
      </c>
      <c r="K688" s="4" t="n">
        <v>100</v>
      </c>
      <c r="M688" s="2" t="str">
        <f aca="false">IF(C688="","",IFERROR(INDEX($S$5:$S$304,MATCH(C688,$R$5:$R$304,0))&amp;"","?"))</f>
        <v>17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1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14654763</v>
      </c>
      <c r="C689" s="4" t="s">
        <v>2708</v>
      </c>
      <c r="D689" s="4" t="s">
        <v>3502</v>
      </c>
      <c r="E689" s="4" t="s">
        <v>3243</v>
      </c>
      <c r="F689" s="127" t="n">
        <v>46034</v>
      </c>
      <c r="G689" s="127" t="n">
        <v>46036</v>
      </c>
      <c r="H689" s="127" t="n">
        <v>46293</v>
      </c>
      <c r="I689" s="4" t="n">
        <v>100</v>
      </c>
      <c r="J689" s="4" t="n">
        <v>100</v>
      </c>
      <c r="K689" s="4" t="n">
        <v>100</v>
      </c>
      <c r="M689" s="2" t="str">
        <f aca="false">IF(C689="","",IFERROR(INDEX($S$5:$S$304,MATCH(C689,$R$5:$R$304,0))&amp;"","?"))</f>
        <v>17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1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14654764</v>
      </c>
      <c r="C690" s="4" t="s">
        <v>2708</v>
      </c>
      <c r="D690" s="4" t="s">
        <v>3503</v>
      </c>
      <c r="E690" s="4" t="s">
        <v>3243</v>
      </c>
      <c r="F690" s="127" t="n">
        <v>46038</v>
      </c>
      <c r="G690" s="127" t="n">
        <v>46038</v>
      </c>
      <c r="H690" s="127" t="n">
        <v>46293</v>
      </c>
      <c r="I690" s="4" t="n">
        <v>100</v>
      </c>
      <c r="J690" s="4" t="n">
        <v>100</v>
      </c>
      <c r="K690" s="4" t="n">
        <v>100</v>
      </c>
      <c r="M690" s="2" t="str">
        <f aca="false">IF(C690="","",IFERROR(INDEX($S$5:$S$304,MATCH(C690,$R$5:$R$304,0))&amp;"","?"))</f>
        <v>17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1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26206686</v>
      </c>
      <c r="C691" s="4" t="s">
        <v>2711</v>
      </c>
      <c r="D691" s="4" t="s">
        <v>433</v>
      </c>
      <c r="E691" s="4" t="s">
        <v>3473</v>
      </c>
      <c r="F691" s="127" t="n">
        <v>45985</v>
      </c>
      <c r="G691" s="127" t="n">
        <v>46038</v>
      </c>
      <c r="H691" s="127" t="n">
        <v>46293</v>
      </c>
      <c r="I691" s="4" t="n">
        <v>100</v>
      </c>
      <c r="J691" s="4" t="n">
        <v>100</v>
      </c>
      <c r="K691" s="4" t="n">
        <v>100</v>
      </c>
      <c r="M691" s="2" t="str">
        <f aca="false">IF(C691="","",IFERROR(INDEX($S$5:$S$304,MATCH(C691,$R$5:$R$304,0))&amp;"","?"))</f>
        <v>17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-5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9364356</v>
      </c>
      <c r="C692" s="4" t="s">
        <v>2711</v>
      </c>
      <c r="D692" s="4" t="s">
        <v>3474</v>
      </c>
      <c r="E692" s="4" t="s">
        <v>3473</v>
      </c>
      <c r="F692" s="127" t="n">
        <v>45985</v>
      </c>
      <c r="G692" s="127" t="n">
        <v>45987</v>
      </c>
      <c r="H692" s="127" t="n">
        <v>46293</v>
      </c>
      <c r="I692" s="4" t="n">
        <v>100</v>
      </c>
      <c r="J692" s="4" t="n">
        <v>100</v>
      </c>
      <c r="K692" s="4" t="n">
        <v>100</v>
      </c>
      <c r="M692" s="2" t="str">
        <f aca="false">IF(C692="","",IFERROR(INDEX($S$5:$S$304,MATCH(C692,$R$5:$R$304,0))&amp;"","?"))</f>
        <v>17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-5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9364357</v>
      </c>
      <c r="C693" s="4" t="s">
        <v>2711</v>
      </c>
      <c r="D693" s="4" t="s">
        <v>3475</v>
      </c>
      <c r="E693" s="4" t="s">
        <v>3473</v>
      </c>
      <c r="F693" s="127" t="n">
        <v>45987</v>
      </c>
      <c r="G693" s="127" t="n">
        <v>45989</v>
      </c>
      <c r="H693" s="127" t="n">
        <v>46293</v>
      </c>
      <c r="I693" s="4" t="n">
        <v>100</v>
      </c>
      <c r="J693" s="4" t="n">
        <v>100</v>
      </c>
      <c r="K693" s="4" t="n">
        <v>100</v>
      </c>
      <c r="M693" s="2" t="str">
        <f aca="false">IF(C693="","",IFERROR(INDEX($S$5:$S$304,MATCH(C693,$R$5:$R$304,0))&amp;"","?"))</f>
        <v>17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-5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9364358</v>
      </c>
      <c r="C694" s="4" t="s">
        <v>2711</v>
      </c>
      <c r="D694" s="4" t="s">
        <v>3504</v>
      </c>
      <c r="E694" s="4" t="s">
        <v>3473</v>
      </c>
      <c r="F694" s="127" t="n">
        <v>45992</v>
      </c>
      <c r="G694" s="127" t="n">
        <v>45994</v>
      </c>
      <c r="H694" s="127" t="n">
        <v>46293</v>
      </c>
      <c r="I694" s="4" t="n">
        <v>100</v>
      </c>
      <c r="J694" s="4" t="n">
        <v>100</v>
      </c>
      <c r="K694" s="4" t="n">
        <v>100</v>
      </c>
      <c r="M694" s="2" t="str">
        <f aca="false">IF(C694="","",IFERROR(INDEX($S$5:$S$304,MATCH(C694,$R$5:$R$304,0))&amp;"","?"))</f>
        <v>17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-5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9364359</v>
      </c>
      <c r="C695" s="4" t="s">
        <v>2711</v>
      </c>
      <c r="D695" s="4" t="s">
        <v>3505</v>
      </c>
      <c r="E695" s="4" t="s">
        <v>3473</v>
      </c>
      <c r="F695" s="127" t="n">
        <v>45995</v>
      </c>
      <c r="G695" s="127" t="n">
        <v>46000</v>
      </c>
      <c r="H695" s="127" t="n">
        <v>46293</v>
      </c>
      <c r="I695" s="4" t="n">
        <v>100</v>
      </c>
      <c r="J695" s="4" t="n">
        <v>100</v>
      </c>
      <c r="K695" s="4" t="n">
        <v>100</v>
      </c>
      <c r="M695" s="2" t="str">
        <f aca="false">IF(C695="","",IFERROR(INDEX($S$5:$S$304,MATCH(C695,$R$5:$R$304,0))&amp;"","?"))</f>
        <v>17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-5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9364360</v>
      </c>
      <c r="C696" s="4" t="s">
        <v>2711</v>
      </c>
      <c r="D696" s="4" t="s">
        <v>3506</v>
      </c>
      <c r="E696" s="4" t="s">
        <v>3473</v>
      </c>
      <c r="F696" s="127" t="n">
        <v>45996</v>
      </c>
      <c r="G696" s="127" t="n">
        <v>45996</v>
      </c>
      <c r="H696" s="127" t="n">
        <v>46293</v>
      </c>
      <c r="I696" s="4" t="n">
        <v>100</v>
      </c>
      <c r="J696" s="4" t="n">
        <v>100</v>
      </c>
      <c r="K696" s="4" t="n">
        <v>100</v>
      </c>
      <c r="M696" s="2" t="str">
        <f aca="false">IF(C696="","",IFERROR(INDEX($S$5:$S$304,MATCH(C696,$R$5:$R$304,0))&amp;"","?"))</f>
        <v>17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-5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9364361</v>
      </c>
      <c r="C697" s="4" t="s">
        <v>2711</v>
      </c>
      <c r="D697" s="4" t="s">
        <v>3507</v>
      </c>
      <c r="E697" s="4" t="s">
        <v>3473</v>
      </c>
      <c r="F697" s="127" t="n">
        <v>46000</v>
      </c>
      <c r="G697" s="127" t="n">
        <v>46000</v>
      </c>
      <c r="H697" s="127" t="n">
        <v>46293</v>
      </c>
      <c r="I697" s="4" t="n">
        <v>100</v>
      </c>
      <c r="J697" s="4" t="n">
        <v>100</v>
      </c>
      <c r="K697" s="4" t="n">
        <v>100</v>
      </c>
      <c r="M697" s="2" t="str">
        <f aca="false">IF(C697="","",IFERROR(INDEX($S$5:$S$304,MATCH(C697,$R$5:$R$304,0))&amp;"","?"))</f>
        <v>17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-5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9364362</v>
      </c>
      <c r="C698" s="4" t="s">
        <v>2711</v>
      </c>
      <c r="D698" s="4" t="s">
        <v>3508</v>
      </c>
      <c r="E698" s="4" t="s">
        <v>3473</v>
      </c>
      <c r="F698" s="127" t="n">
        <v>45995</v>
      </c>
      <c r="G698" s="127" t="n">
        <v>45995</v>
      </c>
      <c r="H698" s="127" t="n">
        <v>46293</v>
      </c>
      <c r="I698" s="4" t="n">
        <v>100</v>
      </c>
      <c r="J698" s="4" t="n">
        <v>100</v>
      </c>
      <c r="K698" s="4" t="n">
        <v>100</v>
      </c>
      <c r="M698" s="2" t="str">
        <f aca="false">IF(C698="","",IFERROR(INDEX($S$5:$S$304,MATCH(C698,$R$5:$R$304,0))&amp;"","?"))</f>
        <v>17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-5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9364363</v>
      </c>
      <c r="C699" s="4" t="s">
        <v>2711</v>
      </c>
      <c r="D699" s="4" t="s">
        <v>3509</v>
      </c>
      <c r="E699" s="4" t="s">
        <v>3473</v>
      </c>
      <c r="F699" s="127" t="n">
        <v>45996</v>
      </c>
      <c r="G699" s="127" t="n">
        <v>45996</v>
      </c>
      <c r="H699" s="127" t="n">
        <v>46293</v>
      </c>
      <c r="I699" s="4" t="n">
        <v>100</v>
      </c>
      <c r="J699" s="4" t="n">
        <v>100</v>
      </c>
      <c r="K699" s="4" t="n">
        <v>100</v>
      </c>
      <c r="M699" s="2" t="str">
        <f aca="false">IF(C699="","",IFERROR(INDEX($S$5:$S$304,MATCH(C699,$R$5:$R$304,0))&amp;"","?"))</f>
        <v>17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-5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9364364</v>
      </c>
      <c r="C700" s="4" t="s">
        <v>2711</v>
      </c>
      <c r="D700" s="4" t="s">
        <v>3510</v>
      </c>
      <c r="E700" s="4" t="s">
        <v>3473</v>
      </c>
      <c r="F700" s="127" t="n">
        <v>46000</v>
      </c>
      <c r="G700" s="127" t="n">
        <v>46000</v>
      </c>
      <c r="H700" s="127" t="n">
        <v>46293</v>
      </c>
      <c r="I700" s="4" t="n">
        <v>100</v>
      </c>
      <c r="J700" s="4" t="n">
        <v>100</v>
      </c>
      <c r="K700" s="4" t="n">
        <v>100</v>
      </c>
      <c r="M700" s="2" t="str">
        <f aca="false">IF(C700="","",IFERROR(INDEX($S$5:$S$304,MATCH(C700,$R$5:$R$304,0))&amp;"","?"))</f>
        <v>17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-5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12822862</v>
      </c>
      <c r="C701" s="4" t="s">
        <v>2711</v>
      </c>
      <c r="D701" s="4" t="s">
        <v>3511</v>
      </c>
      <c r="E701" s="4" t="s">
        <v>3473</v>
      </c>
      <c r="F701" s="127" t="n">
        <v>46001</v>
      </c>
      <c r="G701" s="127" t="n">
        <v>46009</v>
      </c>
      <c r="H701" s="127" t="n">
        <v>46293</v>
      </c>
      <c r="I701" s="4" t="n">
        <v>100</v>
      </c>
      <c r="J701" s="4" t="n">
        <v>100</v>
      </c>
      <c r="K701" s="4" t="n">
        <v>100</v>
      </c>
      <c r="M701" s="2" t="str">
        <f aca="false">IF(C701="","",IFERROR(INDEX($S$5:$S$304,MATCH(C701,$R$5:$R$304,0))&amp;"","?"))</f>
        <v>17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-5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12822863</v>
      </c>
      <c r="C702" s="4" t="s">
        <v>2711</v>
      </c>
      <c r="D702" s="4" t="s">
        <v>3512</v>
      </c>
      <c r="E702" s="4" t="s">
        <v>3473</v>
      </c>
      <c r="F702" s="127" t="n">
        <v>46003</v>
      </c>
      <c r="G702" s="127" t="n">
        <v>46010</v>
      </c>
      <c r="H702" s="127" t="n">
        <v>46293</v>
      </c>
      <c r="I702" s="4" t="n">
        <v>100</v>
      </c>
      <c r="J702" s="4" t="n">
        <v>100</v>
      </c>
      <c r="K702" s="4" t="n">
        <v>100</v>
      </c>
      <c r="M702" s="2" t="str">
        <f aca="false">IF(C702="","",IFERROR(INDEX($S$5:$S$304,MATCH(C702,$R$5:$R$304,0))&amp;"","?"))</f>
        <v>17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-5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12822864</v>
      </c>
      <c r="C703" s="4" t="s">
        <v>2711</v>
      </c>
      <c r="D703" s="4" t="s">
        <v>3513</v>
      </c>
      <c r="E703" s="4" t="s">
        <v>3473</v>
      </c>
      <c r="F703" s="127" t="n">
        <v>46013</v>
      </c>
      <c r="G703" s="127" t="n">
        <v>46038</v>
      </c>
      <c r="H703" s="127" t="n">
        <v>46293</v>
      </c>
      <c r="I703" s="4" t="n">
        <v>100</v>
      </c>
      <c r="J703" s="4" t="n">
        <v>100</v>
      </c>
      <c r="K703" s="4" t="n">
        <v>100</v>
      </c>
      <c r="M703" s="2" t="str">
        <f aca="false">IF(C703="","",IFERROR(INDEX($S$5:$S$304,MATCH(C703,$R$5:$R$304,0))&amp;"","?"))</f>
        <v>17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-5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36070727</v>
      </c>
      <c r="C704" s="4" t="s">
        <v>2714</v>
      </c>
      <c r="D704" s="4" t="s">
        <v>433</v>
      </c>
      <c r="E704" s="4" t="s">
        <v>3473</v>
      </c>
      <c r="F704" s="127" t="n">
        <v>45987</v>
      </c>
      <c r="G704" s="127" t="n">
        <v>46009</v>
      </c>
      <c r="H704" s="127" t="n">
        <v>46293</v>
      </c>
      <c r="I704" s="4" t="n">
        <v>100</v>
      </c>
      <c r="J704" s="4" t="n">
        <v>100</v>
      </c>
      <c r="K704" s="4" t="n">
        <v>100</v>
      </c>
      <c r="M704" s="2" t="str">
        <f aca="false">IF(C704="","",IFERROR(INDEX($S$5:$S$304,MATCH(C704,$R$5:$R$304,0))&amp;"","?"))</f>
        <v>17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-5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14654536</v>
      </c>
      <c r="C705" s="4" t="s">
        <v>2714</v>
      </c>
      <c r="D705" s="4" t="s">
        <v>3514</v>
      </c>
      <c r="E705" s="4" t="s">
        <v>3473</v>
      </c>
      <c r="F705" s="127" t="n">
        <v>45987</v>
      </c>
      <c r="G705" s="127" t="n">
        <v>45994</v>
      </c>
      <c r="H705" s="127" t="n">
        <v>46293</v>
      </c>
      <c r="I705" s="4" t="n">
        <v>100</v>
      </c>
      <c r="J705" s="4" t="n">
        <v>100</v>
      </c>
      <c r="K705" s="4" t="n">
        <v>100</v>
      </c>
      <c r="M705" s="2" t="str">
        <f aca="false">IF(C705="","",IFERROR(INDEX($S$5:$S$304,MATCH(C705,$R$5:$R$304,0))&amp;"","?"))</f>
        <v>17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-5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14654537</v>
      </c>
      <c r="C706" s="4" t="s">
        <v>2714</v>
      </c>
      <c r="D706" s="4" t="s">
        <v>3515</v>
      </c>
      <c r="E706" s="4" t="s">
        <v>3473</v>
      </c>
      <c r="F706" s="127" t="n">
        <v>45995</v>
      </c>
      <c r="G706" s="127" t="n">
        <v>45996</v>
      </c>
      <c r="H706" s="127" t="n">
        <v>46293</v>
      </c>
      <c r="I706" s="4" t="n">
        <v>100</v>
      </c>
      <c r="J706" s="4" t="n">
        <v>100</v>
      </c>
      <c r="K706" s="4" t="n">
        <v>100</v>
      </c>
      <c r="M706" s="2" t="str">
        <f aca="false">IF(C706="","",IFERROR(INDEX($S$5:$S$304,MATCH(C706,$R$5:$R$304,0))&amp;"","?"))</f>
        <v>17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-5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14654538</v>
      </c>
      <c r="C707" s="4" t="s">
        <v>2714</v>
      </c>
      <c r="D707" s="4" t="s">
        <v>3516</v>
      </c>
      <c r="E707" s="4" t="s">
        <v>3473</v>
      </c>
      <c r="F707" s="127" t="n">
        <v>46000</v>
      </c>
      <c r="G707" s="127" t="n">
        <v>46000</v>
      </c>
      <c r="H707" s="127" t="n">
        <v>46293</v>
      </c>
      <c r="I707" s="4" t="n">
        <v>100</v>
      </c>
      <c r="J707" s="4" t="n">
        <v>100</v>
      </c>
      <c r="K707" s="4" t="n">
        <v>100</v>
      </c>
      <c r="M707" s="2" t="str">
        <f aca="false">IF(C707="","",IFERROR(INDEX($S$5:$S$304,MATCH(C707,$R$5:$R$304,0))&amp;"","?"))</f>
        <v>17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-5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14654539</v>
      </c>
      <c r="C708" s="4" t="s">
        <v>2714</v>
      </c>
      <c r="D708" s="4" t="s">
        <v>3517</v>
      </c>
      <c r="E708" s="4" t="s">
        <v>3473</v>
      </c>
      <c r="F708" s="127" t="n">
        <v>45989</v>
      </c>
      <c r="G708" s="127" t="n">
        <v>45994</v>
      </c>
      <c r="H708" s="127" t="n">
        <v>46293</v>
      </c>
      <c r="I708" s="4" t="n">
        <v>100</v>
      </c>
      <c r="J708" s="4" t="n">
        <v>100</v>
      </c>
      <c r="K708" s="4" t="n">
        <v>100</v>
      </c>
      <c r="M708" s="2" t="str">
        <f aca="false">IF(C708="","",IFERROR(INDEX($S$5:$S$304,MATCH(C708,$R$5:$R$304,0))&amp;"","?"))</f>
        <v>17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-5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14654540</v>
      </c>
      <c r="C709" s="4" t="s">
        <v>2714</v>
      </c>
      <c r="D709" s="4" t="s">
        <v>3518</v>
      </c>
      <c r="E709" s="4" t="s">
        <v>3473</v>
      </c>
      <c r="F709" s="127" t="n">
        <v>45992</v>
      </c>
      <c r="G709" s="127" t="n">
        <v>45996</v>
      </c>
      <c r="H709" s="127" t="n">
        <v>46293</v>
      </c>
      <c r="I709" s="4" t="n">
        <v>100</v>
      </c>
      <c r="J709" s="4" t="n">
        <v>100</v>
      </c>
      <c r="K709" s="4" t="n">
        <v>100</v>
      </c>
      <c r="M709" s="2" t="str">
        <f aca="false">IF(C709="","",IFERROR(INDEX($S$5:$S$304,MATCH(C709,$R$5:$R$304,0))&amp;"","?"))</f>
        <v>17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-5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14654541</v>
      </c>
      <c r="C710" s="4" t="s">
        <v>2714</v>
      </c>
      <c r="D710" s="4" t="s">
        <v>3519</v>
      </c>
      <c r="E710" s="4" t="s">
        <v>3473</v>
      </c>
      <c r="F710" s="127" t="n">
        <v>45989</v>
      </c>
      <c r="G710" s="127" t="n">
        <v>45993</v>
      </c>
      <c r="H710" s="127" t="n">
        <v>46293</v>
      </c>
      <c r="I710" s="4" t="n">
        <v>100</v>
      </c>
      <c r="J710" s="4" t="n">
        <v>100</v>
      </c>
      <c r="K710" s="4" t="n">
        <v>100</v>
      </c>
      <c r="M710" s="2" t="str">
        <f aca="false">IF(C710="","",IFERROR(INDEX($S$5:$S$304,MATCH(C710,$R$5:$R$304,0))&amp;"","?"))</f>
        <v>17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-5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14654542</v>
      </c>
      <c r="C711" s="4" t="s">
        <v>2714</v>
      </c>
      <c r="D711" s="4" t="s">
        <v>3520</v>
      </c>
      <c r="E711" s="4" t="s">
        <v>3473</v>
      </c>
      <c r="F711" s="127" t="n">
        <v>45992</v>
      </c>
      <c r="G711" s="127" t="n">
        <v>45995</v>
      </c>
      <c r="H711" s="127" t="n">
        <v>46293</v>
      </c>
      <c r="I711" s="4" t="n">
        <v>100</v>
      </c>
      <c r="J711" s="4" t="n">
        <v>100</v>
      </c>
      <c r="K711" s="4" t="n">
        <v>100</v>
      </c>
      <c r="M711" s="2" t="str">
        <f aca="false">IF(C711="","",IFERROR(INDEX($S$5:$S$304,MATCH(C711,$R$5:$R$304,0))&amp;"","?"))</f>
        <v>17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-5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14654544</v>
      </c>
      <c r="C712" s="4" t="s">
        <v>2714</v>
      </c>
      <c r="D712" s="4" t="s">
        <v>3521</v>
      </c>
      <c r="E712" s="4" t="s">
        <v>3473</v>
      </c>
      <c r="F712" s="127" t="n">
        <v>45987</v>
      </c>
      <c r="G712" s="127" t="n">
        <v>46000</v>
      </c>
      <c r="H712" s="127" t="n">
        <v>46293</v>
      </c>
      <c r="I712" s="4" t="n">
        <v>100</v>
      </c>
      <c r="J712" s="4" t="n">
        <v>100</v>
      </c>
      <c r="K712" s="4" t="n">
        <v>100</v>
      </c>
      <c r="M712" s="2" t="str">
        <f aca="false">IF(C712="","",IFERROR(INDEX($S$5:$S$304,MATCH(C712,$R$5:$R$304,0))&amp;"","?"))</f>
        <v>17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-5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14654545</v>
      </c>
      <c r="C713" s="4" t="s">
        <v>2714</v>
      </c>
      <c r="D713" s="4" t="s">
        <v>3217</v>
      </c>
      <c r="E713" s="4" t="s">
        <v>3473</v>
      </c>
      <c r="F713" s="127" t="n">
        <v>45994</v>
      </c>
      <c r="G713" s="127" t="n">
        <v>46008</v>
      </c>
      <c r="H713" s="127" t="n">
        <v>46293</v>
      </c>
      <c r="I713" s="4" t="n">
        <v>100</v>
      </c>
      <c r="J713" s="4" t="n">
        <v>100</v>
      </c>
      <c r="K713" s="4" t="n">
        <v>100</v>
      </c>
      <c r="M713" s="2" t="str">
        <f aca="false">IF(C713="","",IFERROR(INDEX($S$5:$S$304,MATCH(C713,$R$5:$R$304,0))&amp;"","?"))</f>
        <v>17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-5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14654546</v>
      </c>
      <c r="C714" s="4" t="s">
        <v>2714</v>
      </c>
      <c r="D714" s="4" t="s">
        <v>3522</v>
      </c>
      <c r="E714" s="4" t="s">
        <v>3473</v>
      </c>
      <c r="F714" s="127" t="n">
        <v>46007</v>
      </c>
      <c r="G714" s="127" t="n">
        <v>46007</v>
      </c>
      <c r="H714" s="127" t="n">
        <v>46293</v>
      </c>
      <c r="I714" s="4" t="n">
        <v>100</v>
      </c>
      <c r="J714" s="4" t="n">
        <v>100</v>
      </c>
      <c r="K714" s="4" t="n">
        <v>100</v>
      </c>
      <c r="M714" s="2" t="str">
        <f aca="false">IF(C714="","",IFERROR(INDEX($S$5:$S$304,MATCH(C714,$R$5:$R$304,0))&amp;"","?"))</f>
        <v>17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-5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14654547</v>
      </c>
      <c r="C715" s="4" t="s">
        <v>2714</v>
      </c>
      <c r="D715" s="4" t="s">
        <v>3523</v>
      </c>
      <c r="E715" s="4" t="s">
        <v>3473</v>
      </c>
      <c r="F715" s="127" t="n">
        <v>46009</v>
      </c>
      <c r="G715" s="127" t="n">
        <v>46009</v>
      </c>
      <c r="H715" s="127" t="n">
        <v>46293</v>
      </c>
      <c r="I715" s="4" t="n">
        <v>100</v>
      </c>
      <c r="J715" s="4" t="n">
        <v>100</v>
      </c>
      <c r="K715" s="4" t="n">
        <v>100</v>
      </c>
      <c r="M715" s="2" t="str">
        <f aca="false">IF(C715="","",IFERROR(INDEX($S$5:$S$304,MATCH(C715,$R$5:$R$304,0))&amp;"","?"))</f>
        <v>17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-5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30661551</v>
      </c>
      <c r="C716" s="4" t="s">
        <v>2717</v>
      </c>
      <c r="D716" s="4" t="s">
        <v>433</v>
      </c>
      <c r="E716" s="4" t="s">
        <v>81</v>
      </c>
      <c r="F716" s="127" t="n">
        <v>46001</v>
      </c>
      <c r="G716" s="127" t="n">
        <v>46027</v>
      </c>
      <c r="H716" s="127" t="n">
        <v>46293</v>
      </c>
      <c r="I716" s="4" t="n">
        <v>100</v>
      </c>
      <c r="J716" s="4" t="n">
        <v>100</v>
      </c>
      <c r="K716" s="4" t="n">
        <v>100</v>
      </c>
      <c r="M716" s="2" t="str">
        <f aca="false">IF(C716="","",IFERROR(INDEX($S$5:$S$304,MATCH(C716,$R$5:$R$304,0))&amp;"","?"))</f>
        <v>17</v>
      </c>
      <c r="N716" s="2" t="str">
        <f aca="false">IF(E716="","",IF(ISNUMBER(SEARCH("SUBSOLO",E716)),IFERROR(-VALUE(LEFT(E716,FIND("º",SUBSTITUTE(E716,"°","º"))-1)),-1),IF(LEFT(E716,6)="TÉRREO",0,IFERROR(VALUE(LEFT(E716,FIND("º",SUBSTITUTE(E716,"°","º"))-1)),""))))</f>
        <v/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36884535</v>
      </c>
      <c r="C717" s="4" t="s">
        <v>2719</v>
      </c>
      <c r="D717" s="4" t="s">
        <v>433</v>
      </c>
      <c r="E717" s="4" t="s">
        <v>3473</v>
      </c>
      <c r="F717" s="127" t="n">
        <v>46027</v>
      </c>
      <c r="G717" s="127" t="n">
        <v>46038</v>
      </c>
      <c r="H717" s="127" t="n">
        <v>46293</v>
      </c>
      <c r="I717" s="4" t="n">
        <v>100</v>
      </c>
      <c r="J717" s="4" t="n">
        <v>100</v>
      </c>
      <c r="K717" s="4" t="n">
        <v>100</v>
      </c>
      <c r="M717" s="2" t="str">
        <f aca="false">IF(C717="","",IFERROR(INDEX($S$5:$S$304,MATCH(C717,$R$5:$R$304,0))&amp;"","?"))</f>
        <v>17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-5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14991654</v>
      </c>
      <c r="C718" s="4" t="s">
        <v>2719</v>
      </c>
      <c r="D718" s="4" t="s">
        <v>3524</v>
      </c>
      <c r="E718" s="4" t="s">
        <v>3473</v>
      </c>
      <c r="F718" s="127" t="n">
        <v>46027</v>
      </c>
      <c r="G718" s="127" t="n">
        <v>46029</v>
      </c>
      <c r="H718" s="127" t="n">
        <v>46293</v>
      </c>
      <c r="I718" s="4" t="n">
        <v>100</v>
      </c>
      <c r="J718" s="4" t="n">
        <v>100</v>
      </c>
      <c r="K718" s="4" t="n">
        <v>100</v>
      </c>
      <c r="M718" s="2" t="str">
        <f aca="false">IF(C718="","",IFERROR(INDEX($S$5:$S$304,MATCH(C718,$R$5:$R$304,0))&amp;"","?"))</f>
        <v>17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-5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14991655</v>
      </c>
      <c r="C719" s="4" t="s">
        <v>2719</v>
      </c>
      <c r="D719" s="4" t="s">
        <v>3525</v>
      </c>
      <c r="E719" s="4" t="s">
        <v>3473</v>
      </c>
      <c r="F719" s="127" t="n">
        <v>46030</v>
      </c>
      <c r="G719" s="127" t="n">
        <v>46031</v>
      </c>
      <c r="H719" s="127" t="n">
        <v>46293</v>
      </c>
      <c r="I719" s="4" t="n">
        <v>100</v>
      </c>
      <c r="J719" s="4" t="n">
        <v>100</v>
      </c>
      <c r="K719" s="4" t="n">
        <v>100</v>
      </c>
      <c r="M719" s="2" t="str">
        <f aca="false">IF(C719="","",IFERROR(INDEX($S$5:$S$304,MATCH(C719,$R$5:$R$304,0))&amp;"","?"))</f>
        <v>17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-5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14991656</v>
      </c>
      <c r="C720" s="4" t="s">
        <v>2719</v>
      </c>
      <c r="D720" s="4" t="s">
        <v>3526</v>
      </c>
      <c r="E720" s="4" t="s">
        <v>3473</v>
      </c>
      <c r="F720" s="127" t="n">
        <v>46027</v>
      </c>
      <c r="G720" s="127" t="n">
        <v>46034</v>
      </c>
      <c r="H720" s="127" t="n">
        <v>46293</v>
      </c>
      <c r="I720" s="4" t="n">
        <v>100</v>
      </c>
      <c r="J720" s="4" t="n">
        <v>100</v>
      </c>
      <c r="K720" s="4" t="n">
        <v>100</v>
      </c>
      <c r="M720" s="2" t="str">
        <f aca="false">IF(C720="","",IFERROR(INDEX($S$5:$S$304,MATCH(C720,$R$5:$R$304,0))&amp;"","?"))</f>
        <v>17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-5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14991657</v>
      </c>
      <c r="C721" s="4" t="s">
        <v>2719</v>
      </c>
      <c r="D721" s="4" t="s">
        <v>3527</v>
      </c>
      <c r="E721" s="4" t="s">
        <v>3473</v>
      </c>
      <c r="F721" s="127" t="n">
        <v>46029</v>
      </c>
      <c r="G721" s="127" t="n">
        <v>46037</v>
      </c>
      <c r="H721" s="127" t="n">
        <v>46293</v>
      </c>
      <c r="I721" s="4" t="n">
        <v>100</v>
      </c>
      <c r="J721" s="4" t="n">
        <v>100</v>
      </c>
      <c r="K721" s="4" t="n">
        <v>100</v>
      </c>
      <c r="M721" s="2" t="str">
        <f aca="false">IF(C721="","",IFERROR(INDEX($S$5:$S$304,MATCH(C721,$R$5:$R$304,0))&amp;"","?"))</f>
        <v>17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-5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14991658</v>
      </c>
      <c r="C722" s="4" t="s">
        <v>2719</v>
      </c>
      <c r="D722" s="4" t="s">
        <v>3218</v>
      </c>
      <c r="E722" s="4" t="s">
        <v>3473</v>
      </c>
      <c r="F722" s="127" t="n">
        <v>46038</v>
      </c>
      <c r="G722" s="127" t="n">
        <v>46038</v>
      </c>
      <c r="H722" s="127" t="n">
        <v>46293</v>
      </c>
      <c r="I722" s="4" t="n">
        <v>100</v>
      </c>
      <c r="J722" s="4" t="n">
        <v>100</v>
      </c>
      <c r="K722" s="4" t="n">
        <v>100</v>
      </c>
      <c r="M722" s="2" t="str">
        <f aca="false">IF(C722="","",IFERROR(INDEX($S$5:$S$304,MATCH(C722,$R$5:$R$304,0))&amp;"","?"))</f>
        <v>17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-5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24940048</v>
      </c>
      <c r="C723" s="4" t="s">
        <v>2705</v>
      </c>
      <c r="D723" s="4" t="s">
        <v>433</v>
      </c>
      <c r="E723" s="4" t="s">
        <v>3374</v>
      </c>
      <c r="F723" s="127" t="n">
        <v>46027</v>
      </c>
      <c r="G723" s="127" t="n">
        <v>46052</v>
      </c>
      <c r="H723" s="127" t="n">
        <v>46293</v>
      </c>
      <c r="I723" s="4" t="n">
        <v>100</v>
      </c>
      <c r="J723" s="4" t="n">
        <v>100</v>
      </c>
      <c r="K723" s="4" t="n">
        <v>100</v>
      </c>
      <c r="M723" s="2" t="str">
        <f aca="false">IF(C723="","",IFERROR(INDEX($S$5:$S$304,MATCH(C723,$R$5:$R$304,0))&amp;"","?"))</f>
        <v>17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-4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9360205</v>
      </c>
      <c r="C724" s="4" t="s">
        <v>2705</v>
      </c>
      <c r="D724" s="4" t="s">
        <v>3244</v>
      </c>
      <c r="E724" s="4" t="s">
        <v>3374</v>
      </c>
      <c r="F724" s="127" t="n">
        <v>46027</v>
      </c>
      <c r="G724" s="127" t="n">
        <v>46035</v>
      </c>
      <c r="H724" s="127" t="n">
        <v>46293</v>
      </c>
      <c r="I724" s="4" t="n">
        <v>100</v>
      </c>
      <c r="J724" s="4" t="n">
        <v>100</v>
      </c>
      <c r="K724" s="4" t="n">
        <v>100</v>
      </c>
      <c r="M724" s="2" t="str">
        <f aca="false">IF(C724="","",IFERROR(INDEX($S$5:$S$304,MATCH(C724,$R$5:$R$304,0))&amp;"","?"))</f>
        <v>17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-4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9360206</v>
      </c>
      <c r="C725" s="4" t="s">
        <v>2705</v>
      </c>
      <c r="D725" s="4" t="s">
        <v>3245</v>
      </c>
      <c r="E725" s="4" t="s">
        <v>3374</v>
      </c>
      <c r="F725" s="127" t="n">
        <v>46035</v>
      </c>
      <c r="G725" s="127" t="n">
        <v>46043</v>
      </c>
      <c r="H725" s="127" t="n">
        <v>46293</v>
      </c>
      <c r="I725" s="4" t="n">
        <v>100</v>
      </c>
      <c r="J725" s="4" t="n">
        <v>100</v>
      </c>
      <c r="K725" s="4" t="n">
        <v>100</v>
      </c>
      <c r="M725" s="2" t="str">
        <f aca="false">IF(C725="","",IFERROR(INDEX($S$5:$S$304,MATCH(C725,$R$5:$R$304,0))&amp;"","?"))</f>
        <v>17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-4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9360207</v>
      </c>
      <c r="C726" s="4" t="s">
        <v>2705</v>
      </c>
      <c r="D726" s="4" t="s">
        <v>3246</v>
      </c>
      <c r="E726" s="4" t="s">
        <v>3374</v>
      </c>
      <c r="F726" s="127" t="n">
        <v>46036</v>
      </c>
      <c r="G726" s="127" t="n">
        <v>46041</v>
      </c>
      <c r="H726" s="127" t="n">
        <v>46293</v>
      </c>
      <c r="I726" s="4" t="n">
        <v>100</v>
      </c>
      <c r="J726" s="4" t="n">
        <v>100</v>
      </c>
      <c r="K726" s="4" t="n">
        <v>100</v>
      </c>
      <c r="M726" s="2" t="str">
        <f aca="false">IF(C726="","",IFERROR(INDEX($S$5:$S$304,MATCH(C726,$R$5:$R$304,0))&amp;"","?"))</f>
        <v>17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-4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9360208</v>
      </c>
      <c r="C727" s="4" t="s">
        <v>2705</v>
      </c>
      <c r="D727" s="4" t="s">
        <v>3247</v>
      </c>
      <c r="E727" s="4" t="s">
        <v>3374</v>
      </c>
      <c r="F727" s="127" t="n">
        <v>46042</v>
      </c>
      <c r="G727" s="127" t="n">
        <v>46045</v>
      </c>
      <c r="H727" s="127" t="n">
        <v>46293</v>
      </c>
      <c r="I727" s="4" t="n">
        <v>100</v>
      </c>
      <c r="J727" s="4" t="n">
        <v>100</v>
      </c>
      <c r="K727" s="4" t="n">
        <v>100</v>
      </c>
      <c r="M727" s="2" t="str">
        <f aca="false">IF(C727="","",IFERROR(INDEX($S$5:$S$304,MATCH(C727,$R$5:$R$304,0))&amp;"","?"))</f>
        <v>17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-4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9360209</v>
      </c>
      <c r="C728" s="4" t="s">
        <v>2705</v>
      </c>
      <c r="D728" s="4" t="s">
        <v>3248</v>
      </c>
      <c r="E728" s="4" t="s">
        <v>3374</v>
      </c>
      <c r="F728" s="127" t="n">
        <v>46043</v>
      </c>
      <c r="G728" s="127" t="n">
        <v>46050</v>
      </c>
      <c r="H728" s="127" t="n">
        <v>46293</v>
      </c>
      <c r="I728" s="4" t="n">
        <v>100</v>
      </c>
      <c r="J728" s="4" t="n">
        <v>100</v>
      </c>
      <c r="K728" s="4" t="n">
        <v>100</v>
      </c>
      <c r="M728" s="2" t="str">
        <f aca="false">IF(C728="","",IFERROR(INDEX($S$5:$S$304,MATCH(C728,$R$5:$R$304,0))&amp;"","?"))</f>
        <v>17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-4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9360210</v>
      </c>
      <c r="C729" s="4" t="s">
        <v>2705</v>
      </c>
      <c r="D729" s="4" t="s">
        <v>3249</v>
      </c>
      <c r="E729" s="4" t="s">
        <v>3374</v>
      </c>
      <c r="F729" s="127" t="n">
        <v>46044</v>
      </c>
      <c r="G729" s="127" t="n">
        <v>46051</v>
      </c>
      <c r="H729" s="127" t="n">
        <v>46293</v>
      </c>
      <c r="I729" s="4" t="n">
        <v>100</v>
      </c>
      <c r="J729" s="4" t="n">
        <v>100</v>
      </c>
      <c r="K729" s="4" t="n">
        <v>100</v>
      </c>
      <c r="M729" s="2" t="str">
        <f aca="false">IF(C729="","",IFERROR(INDEX($S$5:$S$304,MATCH(C729,$R$5:$R$304,0))&amp;"","?"))</f>
        <v>17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-4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9360211</v>
      </c>
      <c r="C730" s="4" t="s">
        <v>2705</v>
      </c>
      <c r="D730" s="4" t="s">
        <v>3250</v>
      </c>
      <c r="E730" s="4" t="s">
        <v>3374</v>
      </c>
      <c r="F730" s="127" t="n">
        <v>46050</v>
      </c>
      <c r="G730" s="127" t="n">
        <v>46051</v>
      </c>
      <c r="H730" s="127" t="n">
        <v>46293</v>
      </c>
      <c r="I730" s="4" t="n">
        <v>100</v>
      </c>
      <c r="J730" s="4" t="n">
        <v>100</v>
      </c>
      <c r="K730" s="4" t="n">
        <v>100</v>
      </c>
      <c r="M730" s="2" t="str">
        <f aca="false">IF(C730="","",IFERROR(INDEX($S$5:$S$304,MATCH(C730,$R$5:$R$304,0))&amp;"","?"))</f>
        <v>17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-4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9360212</v>
      </c>
      <c r="C731" s="4" t="s">
        <v>2705</v>
      </c>
      <c r="D731" s="4" t="s">
        <v>3251</v>
      </c>
      <c r="E731" s="4" t="s">
        <v>3374</v>
      </c>
      <c r="F731" s="127" t="n">
        <v>46051</v>
      </c>
      <c r="G731" s="127" t="n">
        <v>46051</v>
      </c>
      <c r="H731" s="127" t="n">
        <v>46293</v>
      </c>
      <c r="I731" s="4" t="n">
        <v>100</v>
      </c>
      <c r="J731" s="4" t="n">
        <v>100</v>
      </c>
      <c r="K731" s="4" t="n">
        <v>100</v>
      </c>
      <c r="M731" s="2" t="str">
        <f aca="false">IF(C731="","",IFERROR(INDEX($S$5:$S$304,MATCH(C731,$R$5:$R$304,0))&amp;"","?"))</f>
        <v>17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-4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9360213</v>
      </c>
      <c r="C732" s="4" t="s">
        <v>2705</v>
      </c>
      <c r="D732" s="4" t="s">
        <v>3252</v>
      </c>
      <c r="E732" s="4" t="s">
        <v>3374</v>
      </c>
      <c r="F732" s="127" t="n">
        <v>46052</v>
      </c>
      <c r="G732" s="127" t="n">
        <v>46052</v>
      </c>
      <c r="H732" s="127" t="n">
        <v>46293</v>
      </c>
      <c r="I732" s="4" t="n">
        <v>100</v>
      </c>
      <c r="J732" s="4" t="n">
        <v>100</v>
      </c>
      <c r="K732" s="4" t="n">
        <v>100</v>
      </c>
      <c r="M732" s="2" t="str">
        <f aca="false">IF(C732="","",IFERROR(INDEX($S$5:$S$304,MATCH(C732,$R$5:$R$304,0))&amp;"","?"))</f>
        <v>17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-4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36884425</v>
      </c>
      <c r="C733" s="4" t="s">
        <v>2714</v>
      </c>
      <c r="D733" s="4" t="s">
        <v>433</v>
      </c>
      <c r="E733" s="4" t="s">
        <v>3374</v>
      </c>
      <c r="F733" s="127" t="n">
        <v>46027</v>
      </c>
      <c r="G733" s="127" t="n">
        <v>46052</v>
      </c>
      <c r="H733" s="127" t="n">
        <v>46293</v>
      </c>
      <c r="I733" s="4" t="n">
        <v>100</v>
      </c>
      <c r="J733" s="4" t="n">
        <v>100</v>
      </c>
      <c r="K733" s="4" t="n">
        <v>100</v>
      </c>
      <c r="M733" s="2" t="str">
        <f aca="false">IF(C733="","",IFERROR(INDEX($S$5:$S$304,MATCH(C733,$R$5:$R$304,0))&amp;"","?"))</f>
        <v>17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-4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14991679</v>
      </c>
      <c r="C734" s="4" t="s">
        <v>2714</v>
      </c>
      <c r="D734" s="4" t="s">
        <v>3528</v>
      </c>
      <c r="E734" s="4" t="s">
        <v>3374</v>
      </c>
      <c r="F734" s="127" t="n">
        <v>46027</v>
      </c>
      <c r="G734" s="127" t="n">
        <v>46031</v>
      </c>
      <c r="H734" s="127" t="n">
        <v>46293</v>
      </c>
      <c r="I734" s="4" t="n">
        <v>100</v>
      </c>
      <c r="J734" s="4" t="n">
        <v>100</v>
      </c>
      <c r="K734" s="4" t="n">
        <v>100</v>
      </c>
      <c r="M734" s="2" t="str">
        <f aca="false">IF(C734="","",IFERROR(INDEX($S$5:$S$304,MATCH(C734,$R$5:$R$304,0))&amp;"","?"))</f>
        <v>17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-4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14991680</v>
      </c>
      <c r="C735" s="4" t="s">
        <v>2714</v>
      </c>
      <c r="D735" s="4" t="s">
        <v>3529</v>
      </c>
      <c r="E735" s="4" t="s">
        <v>3374</v>
      </c>
      <c r="F735" s="127" t="n">
        <v>46036</v>
      </c>
      <c r="G735" s="127" t="n">
        <v>46037</v>
      </c>
      <c r="H735" s="127" t="n">
        <v>46293</v>
      </c>
      <c r="I735" s="4" t="n">
        <v>100</v>
      </c>
      <c r="J735" s="4" t="n">
        <v>100</v>
      </c>
      <c r="K735" s="4" t="n">
        <v>100</v>
      </c>
      <c r="M735" s="2" t="str">
        <f aca="false">IF(C735="","",IFERROR(INDEX($S$5:$S$304,MATCH(C735,$R$5:$R$304,0))&amp;"","?"))</f>
        <v>17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-4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14991681</v>
      </c>
      <c r="C736" s="4" t="s">
        <v>2714</v>
      </c>
      <c r="D736" s="4" t="s">
        <v>3530</v>
      </c>
      <c r="E736" s="4" t="s">
        <v>3374</v>
      </c>
      <c r="F736" s="127" t="n">
        <v>46038</v>
      </c>
      <c r="G736" s="127" t="n">
        <v>46043</v>
      </c>
      <c r="H736" s="127" t="n">
        <v>46293</v>
      </c>
      <c r="I736" s="4" t="n">
        <v>100</v>
      </c>
      <c r="J736" s="4" t="n">
        <v>100</v>
      </c>
      <c r="K736" s="4" t="n">
        <v>100</v>
      </c>
      <c r="M736" s="2" t="str">
        <f aca="false">IF(C736="","",IFERROR(INDEX($S$5:$S$304,MATCH(C736,$R$5:$R$304,0))&amp;"","?"))</f>
        <v>17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-4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14991682</v>
      </c>
      <c r="C737" s="4" t="s">
        <v>2714</v>
      </c>
      <c r="D737" s="4" t="s">
        <v>3531</v>
      </c>
      <c r="E737" s="4" t="s">
        <v>3374</v>
      </c>
      <c r="F737" s="127" t="n">
        <v>46044</v>
      </c>
      <c r="G737" s="127" t="n">
        <v>46049</v>
      </c>
      <c r="H737" s="127" t="n">
        <v>46293</v>
      </c>
      <c r="I737" s="4" t="n">
        <v>100</v>
      </c>
      <c r="J737" s="4" t="n">
        <v>100</v>
      </c>
      <c r="K737" s="4" t="n">
        <v>100</v>
      </c>
      <c r="M737" s="2" t="str">
        <f aca="false">IF(C737="","",IFERROR(INDEX($S$5:$S$304,MATCH(C737,$R$5:$R$304,0))&amp;"","?"))</f>
        <v>17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-4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14991683</v>
      </c>
      <c r="C738" s="4" t="s">
        <v>2714</v>
      </c>
      <c r="D738" s="4" t="s">
        <v>3532</v>
      </c>
      <c r="E738" s="4" t="s">
        <v>3374</v>
      </c>
      <c r="F738" s="127" t="n">
        <v>46050</v>
      </c>
      <c r="G738" s="127" t="n">
        <v>46050</v>
      </c>
      <c r="H738" s="127" t="n">
        <v>46293</v>
      </c>
      <c r="I738" s="4" t="n">
        <v>100</v>
      </c>
      <c r="J738" s="4" t="n">
        <v>100</v>
      </c>
      <c r="K738" s="4" t="n">
        <v>100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-4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14991684</v>
      </c>
      <c r="C739" s="4" t="s">
        <v>2714</v>
      </c>
      <c r="D739" s="4" t="s">
        <v>3533</v>
      </c>
      <c r="E739" s="4" t="s">
        <v>3374</v>
      </c>
      <c r="F739" s="127" t="n">
        <v>46051</v>
      </c>
      <c r="G739" s="127" t="n">
        <v>46052</v>
      </c>
      <c r="H739" s="127" t="n">
        <v>46293</v>
      </c>
      <c r="I739" s="4" t="n">
        <v>100</v>
      </c>
      <c r="J739" s="4" t="n">
        <v>100</v>
      </c>
      <c r="K739" s="4" t="n">
        <v>100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-4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14991685</v>
      </c>
      <c r="C740" s="4" t="s">
        <v>2714</v>
      </c>
      <c r="D740" s="4" t="s">
        <v>3534</v>
      </c>
      <c r="E740" s="4" t="s">
        <v>3374</v>
      </c>
      <c r="F740" s="127" t="n">
        <v>46027</v>
      </c>
      <c r="G740" s="127" t="n">
        <v>46034</v>
      </c>
      <c r="H740" s="127" t="n">
        <v>46293</v>
      </c>
      <c r="I740" s="4" t="n">
        <v>100</v>
      </c>
      <c r="J740" s="4" t="n">
        <v>100</v>
      </c>
      <c r="K740" s="4" t="n">
        <v>100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-4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14991686</v>
      </c>
      <c r="C741" s="4" t="s">
        <v>2714</v>
      </c>
      <c r="D741" s="4" t="s">
        <v>3535</v>
      </c>
      <c r="E741" s="4" t="s">
        <v>3374</v>
      </c>
      <c r="F741" s="127" t="n">
        <v>46030</v>
      </c>
      <c r="G741" s="127" t="n">
        <v>46041</v>
      </c>
      <c r="H741" s="127" t="n">
        <v>46293</v>
      </c>
      <c r="I741" s="4" t="n">
        <v>100</v>
      </c>
      <c r="J741" s="4" t="n">
        <v>100</v>
      </c>
      <c r="K741" s="4" t="n">
        <v>100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-4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14991687</v>
      </c>
      <c r="C742" s="4" t="s">
        <v>2714</v>
      </c>
      <c r="D742" s="4" t="s">
        <v>3515</v>
      </c>
      <c r="E742" s="4" t="s">
        <v>3374</v>
      </c>
      <c r="F742" s="127" t="n">
        <v>46036</v>
      </c>
      <c r="G742" s="127" t="n">
        <v>46038</v>
      </c>
      <c r="H742" s="127" t="n">
        <v>46293</v>
      </c>
      <c r="I742" s="4" t="n">
        <v>100</v>
      </c>
      <c r="J742" s="4" t="n">
        <v>100</v>
      </c>
      <c r="K742" s="4" t="n">
        <v>100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-4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14991688</v>
      </c>
      <c r="C743" s="4" t="s">
        <v>2714</v>
      </c>
      <c r="D743" s="4" t="s">
        <v>3516</v>
      </c>
      <c r="E743" s="4" t="s">
        <v>3374</v>
      </c>
      <c r="F743" s="127" t="n">
        <v>46041</v>
      </c>
      <c r="G743" s="127" t="n">
        <v>46041</v>
      </c>
      <c r="H743" s="127" t="n">
        <v>46293</v>
      </c>
      <c r="I743" s="4" t="n">
        <v>100</v>
      </c>
      <c r="J743" s="4" t="n">
        <v>100</v>
      </c>
      <c r="K743" s="4" t="n">
        <v>100</v>
      </c>
      <c r="M743" s="2" t="str">
        <f aca="false">IF(C743="","",IFERROR(INDEX($S$5:$S$304,MATCH(C743,$R$5:$R$304,0))&amp;"","?"))</f>
        <v>17</v>
      </c>
      <c r="N743" s="2" t="n">
        <f aca="false">IF(E743="","",IF(ISNUMBER(SEARCH("SUBSOLO",E743)),IFERROR(-VALUE(LEFT(E743,FIND("º",SUBSTITUTE(E743,"°","º"))-1)),-1),IF(LEFT(E743,6)="TÉRREO",0,IFERROR(VALUE(LEFT(E743,FIND("º",SUBSTITUTE(E743,"°","º"))-1)),""))))</f>
        <v>-4</v>
      </c>
      <c r="O743" s="2" t="str">
        <f aca="false">IF(OR(F743="",G743=""),"",IF(G743&lt;='RETRATO 2027'!$K$5,"CONCLUÍDA",IF(F743&lt;='RETRATO 2027'!$K$5,"EM ANDAMENTO","A INICIAR")))</f>
        <v>CONCLUÍDA</v>
      </c>
    </row>
    <row r="744" customFormat="false" ht="15" hidden="false" customHeight="false" outlineLevel="0" collapsed="false">
      <c r="B744" s="4" t="n">
        <v>14991689</v>
      </c>
      <c r="C744" s="4" t="s">
        <v>2714</v>
      </c>
      <c r="D744" s="4" t="s">
        <v>3536</v>
      </c>
      <c r="E744" s="4" t="s">
        <v>3374</v>
      </c>
      <c r="F744" s="127" t="n">
        <v>46038</v>
      </c>
      <c r="G744" s="127" t="n">
        <v>46044</v>
      </c>
      <c r="H744" s="127" t="n">
        <v>46293</v>
      </c>
      <c r="I744" s="4" t="n">
        <v>100</v>
      </c>
      <c r="J744" s="4" t="n">
        <v>100</v>
      </c>
      <c r="K744" s="4" t="n">
        <v>100</v>
      </c>
      <c r="M744" s="2" t="str">
        <f aca="false">IF(C744="","",IFERROR(INDEX($S$5:$S$304,MATCH(C744,$R$5:$R$304,0))&amp;"","?"))</f>
        <v>17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-4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14991690</v>
      </c>
      <c r="C745" s="4" t="s">
        <v>2714</v>
      </c>
      <c r="D745" s="4" t="s">
        <v>3537</v>
      </c>
      <c r="E745" s="4" t="s">
        <v>3374</v>
      </c>
      <c r="F745" s="127" t="n">
        <v>46045</v>
      </c>
      <c r="G745" s="127" t="n">
        <v>46045</v>
      </c>
      <c r="H745" s="127" t="n">
        <v>46293</v>
      </c>
      <c r="I745" s="4" t="n">
        <v>100</v>
      </c>
      <c r="J745" s="4" t="n">
        <v>100</v>
      </c>
      <c r="K745" s="4" t="n">
        <v>100</v>
      </c>
      <c r="M745" s="2" t="str">
        <f aca="false">IF(C745="","",IFERROR(INDEX($S$5:$S$304,MATCH(C745,$R$5:$R$304,0))&amp;"","?"))</f>
        <v>17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-4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36884403</v>
      </c>
      <c r="C746" s="4" t="s">
        <v>2721</v>
      </c>
      <c r="D746" s="4" t="s">
        <v>433</v>
      </c>
      <c r="E746" s="4" t="s">
        <v>3473</v>
      </c>
      <c r="F746" s="127" t="n">
        <v>46029</v>
      </c>
      <c r="G746" s="127" t="n">
        <v>46037</v>
      </c>
      <c r="H746" s="127" t="n">
        <v>46293</v>
      </c>
      <c r="I746" s="4" t="n">
        <v>100</v>
      </c>
      <c r="J746" s="4" t="n">
        <v>100</v>
      </c>
      <c r="K746" s="4" t="n">
        <v>100</v>
      </c>
      <c r="M746" s="2" t="str">
        <f aca="false">IF(C746="","",IFERROR(INDEX($S$5:$S$304,MATCH(C746,$R$5:$R$304,0))&amp;"","?"))</f>
        <v>17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-5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14991619</v>
      </c>
      <c r="C747" s="4" t="s">
        <v>2721</v>
      </c>
      <c r="D747" s="4" t="s">
        <v>3538</v>
      </c>
      <c r="E747" s="4" t="s">
        <v>3473</v>
      </c>
      <c r="F747" s="127" t="n">
        <v>46029</v>
      </c>
      <c r="G747" s="127" t="n">
        <v>46030</v>
      </c>
      <c r="H747" s="127" t="n">
        <v>46293</v>
      </c>
      <c r="I747" s="4" t="n">
        <v>100</v>
      </c>
      <c r="J747" s="4" t="n">
        <v>100</v>
      </c>
      <c r="K747" s="4" t="n">
        <v>100</v>
      </c>
      <c r="M747" s="2" t="str">
        <f aca="false">IF(C747="","",IFERROR(INDEX($S$5:$S$304,MATCH(C747,$R$5:$R$304,0))&amp;"","?"))</f>
        <v>17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-5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14991620</v>
      </c>
      <c r="C748" s="4" t="s">
        <v>2721</v>
      </c>
      <c r="D748" s="4" t="s">
        <v>3539</v>
      </c>
      <c r="E748" s="4" t="s">
        <v>3473</v>
      </c>
      <c r="F748" s="127" t="n">
        <v>46031</v>
      </c>
      <c r="G748" s="127" t="n">
        <v>46034</v>
      </c>
      <c r="H748" s="127" t="n">
        <v>46293</v>
      </c>
      <c r="I748" s="4" t="n">
        <v>100</v>
      </c>
      <c r="J748" s="4" t="n">
        <v>100</v>
      </c>
      <c r="K748" s="4" t="n">
        <v>100</v>
      </c>
      <c r="M748" s="2" t="str">
        <f aca="false">IF(C748="","",IFERROR(INDEX($S$5:$S$304,MATCH(C748,$R$5:$R$304,0))&amp;"","?"))</f>
        <v>17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-5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14991621</v>
      </c>
      <c r="C749" s="4" t="s">
        <v>2721</v>
      </c>
      <c r="D749" s="4" t="s">
        <v>3499</v>
      </c>
      <c r="E749" s="4" t="s">
        <v>3473</v>
      </c>
      <c r="F749" s="127" t="n">
        <v>46035</v>
      </c>
      <c r="G749" s="127" t="n">
        <v>46035</v>
      </c>
      <c r="H749" s="127" t="n">
        <v>46293</v>
      </c>
      <c r="I749" s="4" t="n">
        <v>100</v>
      </c>
      <c r="J749" s="4" t="n">
        <v>100</v>
      </c>
      <c r="K749" s="4" t="n">
        <v>100</v>
      </c>
      <c r="M749" s="2" t="str">
        <f aca="false">IF(C749="","",IFERROR(INDEX($S$5:$S$304,MATCH(C749,$R$5:$R$304,0))&amp;"","?"))</f>
        <v>17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-5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14991622</v>
      </c>
      <c r="C750" s="4" t="s">
        <v>2721</v>
      </c>
      <c r="D750" s="4" t="s">
        <v>3540</v>
      </c>
      <c r="E750" s="4" t="s">
        <v>3473</v>
      </c>
      <c r="F750" s="127" t="n">
        <v>46031</v>
      </c>
      <c r="G750" s="127" t="n">
        <v>46034</v>
      </c>
      <c r="H750" s="127" t="n">
        <v>46293</v>
      </c>
      <c r="I750" s="4" t="n">
        <v>100</v>
      </c>
      <c r="J750" s="4" t="n">
        <v>100</v>
      </c>
      <c r="K750" s="4" t="n">
        <v>100</v>
      </c>
      <c r="M750" s="2" t="str">
        <f aca="false">IF(C750="","",IFERROR(INDEX($S$5:$S$304,MATCH(C750,$R$5:$R$304,0))&amp;"","?"))</f>
        <v>17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-5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14991623</v>
      </c>
      <c r="C751" s="4" t="s">
        <v>2721</v>
      </c>
      <c r="D751" s="4" t="s">
        <v>3541</v>
      </c>
      <c r="E751" s="4" t="s">
        <v>3473</v>
      </c>
      <c r="F751" s="127" t="n">
        <v>46035</v>
      </c>
      <c r="G751" s="127" t="n">
        <v>46036</v>
      </c>
      <c r="H751" s="127" t="n">
        <v>46293</v>
      </c>
      <c r="I751" s="4" t="n">
        <v>100</v>
      </c>
      <c r="J751" s="4" t="n">
        <v>100</v>
      </c>
      <c r="K751" s="4" t="n">
        <v>100</v>
      </c>
      <c r="M751" s="2" t="str">
        <f aca="false">IF(C751="","",IFERROR(INDEX($S$5:$S$304,MATCH(C751,$R$5:$R$304,0))&amp;"","?"))</f>
        <v>17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-5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14991624</v>
      </c>
      <c r="C752" s="4" t="s">
        <v>2721</v>
      </c>
      <c r="D752" s="4" t="s">
        <v>3500</v>
      </c>
      <c r="E752" s="4" t="s">
        <v>3473</v>
      </c>
      <c r="F752" s="127" t="n">
        <v>46037</v>
      </c>
      <c r="G752" s="127" t="n">
        <v>46037</v>
      </c>
      <c r="H752" s="127" t="n">
        <v>46293</v>
      </c>
      <c r="I752" s="4" t="n">
        <v>100</v>
      </c>
      <c r="J752" s="4" t="n">
        <v>100</v>
      </c>
      <c r="K752" s="4" t="n">
        <v>100</v>
      </c>
      <c r="M752" s="2" t="str">
        <f aca="false">IF(C752="","",IFERROR(INDEX($S$5:$S$304,MATCH(C752,$R$5:$R$304,0))&amp;"","?"))</f>
        <v>17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-5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36073121</v>
      </c>
      <c r="C753" s="4" t="s">
        <v>2723</v>
      </c>
      <c r="D753" s="4" t="s">
        <v>433</v>
      </c>
      <c r="E753" s="4" t="s">
        <v>3374</v>
      </c>
      <c r="F753" s="127" t="n">
        <v>46029</v>
      </c>
      <c r="G753" s="127" t="n">
        <v>46042</v>
      </c>
      <c r="H753" s="127" t="n">
        <v>46293</v>
      </c>
      <c r="I753" s="4" t="n">
        <v>100</v>
      </c>
      <c r="J753" s="4" t="n">
        <v>100</v>
      </c>
      <c r="K753" s="4" t="n">
        <v>100</v>
      </c>
      <c r="M753" s="2" t="str">
        <f aca="false">IF(C753="","",IFERROR(INDEX($S$5:$S$304,MATCH(C753,$R$5:$R$304,0))&amp;"","?"))</f>
        <v>17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-4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14658554</v>
      </c>
      <c r="C754" s="4" t="s">
        <v>2723</v>
      </c>
      <c r="D754" s="4" t="s">
        <v>3542</v>
      </c>
      <c r="E754" s="4" t="s">
        <v>3374</v>
      </c>
      <c r="F754" s="127" t="n">
        <v>46029</v>
      </c>
      <c r="G754" s="127" t="n">
        <v>46030</v>
      </c>
      <c r="H754" s="127" t="n">
        <v>46293</v>
      </c>
      <c r="I754" s="4" t="n">
        <v>100</v>
      </c>
      <c r="J754" s="4" t="n">
        <v>100</v>
      </c>
      <c r="K754" s="4" t="n">
        <v>100</v>
      </c>
      <c r="M754" s="2" t="str">
        <f aca="false">IF(C754="","",IFERROR(INDEX($S$5:$S$304,MATCH(C754,$R$5:$R$304,0))&amp;"","?"))</f>
        <v>17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-4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14658555</v>
      </c>
      <c r="C755" s="4" t="s">
        <v>2723</v>
      </c>
      <c r="D755" s="4" t="s">
        <v>3543</v>
      </c>
      <c r="E755" s="4" t="s">
        <v>3374</v>
      </c>
      <c r="F755" s="127" t="n">
        <v>46031</v>
      </c>
      <c r="G755" s="127" t="n">
        <v>46035</v>
      </c>
      <c r="H755" s="127" t="n">
        <v>46293</v>
      </c>
      <c r="I755" s="4" t="n">
        <v>100</v>
      </c>
      <c r="J755" s="4" t="n">
        <v>100</v>
      </c>
      <c r="K755" s="4" t="n">
        <v>100</v>
      </c>
      <c r="M755" s="2" t="str">
        <f aca="false">IF(C755="","",IFERROR(INDEX($S$5:$S$304,MATCH(C755,$R$5:$R$304,0))&amp;"","?"))</f>
        <v>17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-4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14658556</v>
      </c>
      <c r="C756" s="4" t="s">
        <v>2723</v>
      </c>
      <c r="D756" s="4" t="s">
        <v>3544</v>
      </c>
      <c r="E756" s="4" t="s">
        <v>3374</v>
      </c>
      <c r="F756" s="127" t="n">
        <v>46029</v>
      </c>
      <c r="G756" s="127" t="n">
        <v>46037</v>
      </c>
      <c r="H756" s="127" t="n">
        <v>46293</v>
      </c>
      <c r="I756" s="4" t="n">
        <v>100</v>
      </c>
      <c r="J756" s="4" t="n">
        <v>100</v>
      </c>
      <c r="K756" s="4" t="n">
        <v>100</v>
      </c>
      <c r="M756" s="2" t="str">
        <f aca="false">IF(C756="","",IFERROR(INDEX($S$5:$S$304,MATCH(C756,$R$5:$R$304,0))&amp;"","?"))</f>
        <v>17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-4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14991659</v>
      </c>
      <c r="C757" s="4" t="s">
        <v>2723</v>
      </c>
      <c r="D757" s="4" t="s">
        <v>3536</v>
      </c>
      <c r="E757" s="4" t="s">
        <v>3374</v>
      </c>
      <c r="F757" s="127" t="n">
        <v>46036</v>
      </c>
      <c r="G757" s="127" t="n">
        <v>46041</v>
      </c>
      <c r="H757" s="127" t="n">
        <v>46293</v>
      </c>
      <c r="I757" s="4" t="n">
        <v>100</v>
      </c>
      <c r="J757" s="4" t="n">
        <v>100</v>
      </c>
      <c r="K757" s="4" t="n">
        <v>100</v>
      </c>
      <c r="M757" s="2" t="str">
        <f aca="false">IF(C757="","",IFERROR(INDEX($S$5:$S$304,MATCH(C757,$R$5:$R$304,0))&amp;"","?"))</f>
        <v>17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-4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14991660</v>
      </c>
      <c r="C758" s="4" t="s">
        <v>2723</v>
      </c>
      <c r="D758" s="4" t="s">
        <v>3218</v>
      </c>
      <c r="E758" s="4" t="s">
        <v>3374</v>
      </c>
      <c r="F758" s="127" t="n">
        <v>46042</v>
      </c>
      <c r="G758" s="127" t="n">
        <v>46042</v>
      </c>
      <c r="H758" s="127" t="n">
        <v>46293</v>
      </c>
      <c r="I758" s="4" t="n">
        <v>100</v>
      </c>
      <c r="J758" s="4" t="n">
        <v>100</v>
      </c>
      <c r="K758" s="4" t="n">
        <v>100</v>
      </c>
      <c r="M758" s="2" t="str">
        <f aca="false">IF(C758="","",IFERROR(INDEX($S$5:$S$304,MATCH(C758,$R$5:$R$304,0))&amp;"","?"))</f>
        <v>17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-4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36884362</v>
      </c>
      <c r="C759" s="4" t="s">
        <v>2726</v>
      </c>
      <c r="D759" s="4" t="s">
        <v>433</v>
      </c>
      <c r="E759" s="4" t="s">
        <v>81</v>
      </c>
      <c r="F759" s="127" t="n">
        <v>46030</v>
      </c>
      <c r="G759" s="127" t="n">
        <v>46223</v>
      </c>
      <c r="H759" s="127" t="n">
        <v>46293</v>
      </c>
      <c r="I759" s="4" t="n">
        <v>100</v>
      </c>
      <c r="J759" s="4" t="n">
        <v>100</v>
      </c>
      <c r="K759" s="4" t="n">
        <v>100</v>
      </c>
      <c r="M759" s="2" t="str">
        <f aca="false">IF(C759="","",IFERROR(INDEX($S$5:$S$304,MATCH(C759,$R$5:$R$304,0))&amp;"","?"))</f>
        <v>13</v>
      </c>
      <c r="N759" s="2" t="str">
        <f aca="false">IF(E759="","",IF(ISNUMBER(SEARCH("SUBSOLO",E759)),IFERROR(-VALUE(LEFT(E759,FIND("º",SUBSTITUTE(E759,"°","º"))-1)),-1),IF(LEFT(E759,6)="TÉRREO",0,IFERROR(VALUE(LEFT(E759,FIND("º",SUBSTITUTE(E759,"°","º"))-1)),""))))</f>
        <v/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14991600</v>
      </c>
      <c r="C760" s="4" t="s">
        <v>2726</v>
      </c>
      <c r="D760" s="4" t="s">
        <v>3545</v>
      </c>
      <c r="E760" s="4" t="s">
        <v>81</v>
      </c>
      <c r="F760" s="127" t="n">
        <v>46030</v>
      </c>
      <c r="G760" s="127" t="n">
        <v>46206</v>
      </c>
      <c r="H760" s="127" t="n">
        <v>46293</v>
      </c>
      <c r="I760" s="4" t="n">
        <v>100</v>
      </c>
      <c r="J760" s="4" t="n">
        <v>100</v>
      </c>
      <c r="K760" s="4" t="n">
        <v>100</v>
      </c>
      <c r="M760" s="2" t="str">
        <f aca="false">IF(C760="","",IFERROR(INDEX($S$5:$S$304,MATCH(C760,$R$5:$R$304,0))&amp;"","?"))</f>
        <v>13</v>
      </c>
      <c r="N760" s="2" t="str">
        <f aca="false">IF(E760="","",IF(ISNUMBER(SEARCH("SUBSOLO",E760)),IFERROR(-VALUE(LEFT(E760,FIND("º",SUBSTITUTE(E760,"°","º"))-1)),-1),IF(LEFT(E760,6)="TÉRREO",0,IFERROR(VALUE(LEFT(E760,FIND("º",SUBSTITUTE(E760,"°","º"))-1)),""))))</f>
        <v/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14991601</v>
      </c>
      <c r="C761" s="4" t="s">
        <v>2726</v>
      </c>
      <c r="D761" s="4" t="s">
        <v>3546</v>
      </c>
      <c r="E761" s="4" t="s">
        <v>81</v>
      </c>
      <c r="F761" s="127" t="n">
        <v>46209</v>
      </c>
      <c r="G761" s="127" t="n">
        <v>46213</v>
      </c>
      <c r="H761" s="127" t="n">
        <v>46293</v>
      </c>
      <c r="I761" s="4" t="n">
        <v>100</v>
      </c>
      <c r="J761" s="4" t="n">
        <v>100</v>
      </c>
      <c r="K761" s="4" t="n">
        <v>100</v>
      </c>
      <c r="M761" s="2" t="str">
        <f aca="false">IF(C761="","",IFERROR(INDEX($S$5:$S$304,MATCH(C761,$R$5:$R$304,0))&amp;"","?"))</f>
        <v>13</v>
      </c>
      <c r="N761" s="2" t="str">
        <f aca="false">IF(E761="","",IF(ISNUMBER(SEARCH("SUBSOLO",E761)),IFERROR(-VALUE(LEFT(E761,FIND("º",SUBSTITUTE(E761,"°","º"))-1)),-1),IF(LEFT(E761,6)="TÉRREO",0,IFERROR(VALUE(LEFT(E761,FIND("º",SUBSTITUTE(E761,"°","º"))-1)),""))))</f>
        <v/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14991602</v>
      </c>
      <c r="C762" s="4" t="s">
        <v>2726</v>
      </c>
      <c r="D762" s="4" t="s">
        <v>3547</v>
      </c>
      <c r="E762" s="4" t="s">
        <v>81</v>
      </c>
      <c r="F762" s="127" t="n">
        <v>46216</v>
      </c>
      <c r="G762" s="127" t="n">
        <v>46220</v>
      </c>
      <c r="H762" s="127" t="n">
        <v>46293</v>
      </c>
      <c r="I762" s="4" t="n">
        <v>100</v>
      </c>
      <c r="J762" s="4" t="n">
        <v>100</v>
      </c>
      <c r="K762" s="4" t="n">
        <v>100</v>
      </c>
      <c r="M762" s="2" t="str">
        <f aca="false">IF(C762="","",IFERROR(INDEX($S$5:$S$304,MATCH(C762,$R$5:$R$304,0))&amp;"","?"))</f>
        <v>13</v>
      </c>
      <c r="N762" s="2" t="str">
        <f aca="false">IF(E762="","",IF(ISNUMBER(SEARCH("SUBSOLO",E762)),IFERROR(-VALUE(LEFT(E762,FIND("º",SUBSTITUTE(E762,"°","º"))-1)),-1),IF(LEFT(E762,6)="TÉRREO",0,IFERROR(VALUE(LEFT(E762,FIND("º",SUBSTITUTE(E762,"°","º"))-1)),""))))</f>
        <v/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14991603</v>
      </c>
      <c r="C763" s="4" t="s">
        <v>2726</v>
      </c>
      <c r="D763" s="4" t="s">
        <v>3218</v>
      </c>
      <c r="E763" s="4" t="s">
        <v>81</v>
      </c>
      <c r="F763" s="127" t="n">
        <v>46223</v>
      </c>
      <c r="G763" s="127" t="n">
        <v>46223</v>
      </c>
      <c r="H763" s="127" t="n">
        <v>46293</v>
      </c>
      <c r="I763" s="4" t="n">
        <v>100</v>
      </c>
      <c r="J763" s="4" t="n">
        <v>100</v>
      </c>
      <c r="K763" s="4" t="n">
        <v>100</v>
      </c>
      <c r="M763" s="2" t="str">
        <f aca="false">IF(C763="","",IFERROR(INDEX($S$5:$S$304,MATCH(C763,$R$5:$R$304,0))&amp;"","?"))</f>
        <v>13</v>
      </c>
      <c r="N763" s="2" t="str">
        <f aca="false">IF(E763="","",IF(ISNUMBER(SEARCH("SUBSOLO",E763)),IFERROR(-VALUE(LEFT(E763,FIND("º",SUBSTITUTE(E763,"°","º"))-1)),-1),IF(LEFT(E763,6)="TÉRREO",0,IFERROR(VALUE(LEFT(E763,FIND("º",SUBSTITUTE(E763,"°","º"))-1)),""))))</f>
        <v/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26206691</v>
      </c>
      <c r="C764" s="4" t="s">
        <v>2702</v>
      </c>
      <c r="D764" s="4" t="s">
        <v>433</v>
      </c>
      <c r="E764" s="4" t="s">
        <v>3374</v>
      </c>
      <c r="F764" s="127" t="n">
        <v>46041</v>
      </c>
      <c r="G764" s="127" t="n">
        <v>46059</v>
      </c>
      <c r="H764" s="127" t="n">
        <v>46293</v>
      </c>
      <c r="I764" s="4" t="n">
        <v>100</v>
      </c>
      <c r="J764" s="4" t="n">
        <v>100</v>
      </c>
      <c r="K764" s="4" t="n">
        <v>100</v>
      </c>
      <c r="M764" s="2" t="str">
        <f aca="false">IF(C764="","",IFERROR(INDEX($S$5:$S$304,MATCH(C764,$R$5:$R$304,0))&amp;"","?"))</f>
        <v>17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-4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9364311</v>
      </c>
      <c r="C765" s="4" t="s">
        <v>2702</v>
      </c>
      <c r="D765" s="4" t="s">
        <v>3244</v>
      </c>
      <c r="E765" s="4" t="s">
        <v>3374</v>
      </c>
      <c r="F765" s="127" t="n">
        <v>46041</v>
      </c>
      <c r="G765" s="127" t="n">
        <v>46056</v>
      </c>
      <c r="H765" s="127" t="n">
        <v>46293</v>
      </c>
      <c r="I765" s="4" t="n">
        <v>100</v>
      </c>
      <c r="J765" s="4" t="n">
        <v>100</v>
      </c>
      <c r="K765" s="4" t="n">
        <v>100</v>
      </c>
      <c r="M765" s="2" t="str">
        <f aca="false">IF(C765="","",IFERROR(INDEX($S$5:$S$304,MATCH(C765,$R$5:$R$304,0))&amp;"","?"))</f>
        <v>17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-4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9364312</v>
      </c>
      <c r="C766" s="4" t="s">
        <v>2702</v>
      </c>
      <c r="D766" s="4" t="s">
        <v>3245</v>
      </c>
      <c r="E766" s="4" t="s">
        <v>3374</v>
      </c>
      <c r="F766" s="127" t="n">
        <v>46042</v>
      </c>
      <c r="G766" s="127" t="n">
        <v>46052</v>
      </c>
      <c r="H766" s="127" t="n">
        <v>46293</v>
      </c>
      <c r="I766" s="4" t="n">
        <v>100</v>
      </c>
      <c r="J766" s="4" t="n">
        <v>100</v>
      </c>
      <c r="K766" s="4" t="n">
        <v>100</v>
      </c>
      <c r="M766" s="2" t="str">
        <f aca="false">IF(C766="","",IFERROR(INDEX($S$5:$S$304,MATCH(C766,$R$5:$R$304,0))&amp;"","?"))</f>
        <v>17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-4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9364313</v>
      </c>
      <c r="C767" s="4" t="s">
        <v>2702</v>
      </c>
      <c r="D767" s="4" t="s">
        <v>3246</v>
      </c>
      <c r="E767" s="4" t="s">
        <v>3374</v>
      </c>
      <c r="F767" s="127" t="n">
        <v>46058</v>
      </c>
      <c r="G767" s="127" t="n">
        <v>46058</v>
      </c>
      <c r="H767" s="127" t="n">
        <v>46293</v>
      </c>
      <c r="I767" s="4" t="n">
        <v>100</v>
      </c>
      <c r="J767" s="4" t="n">
        <v>100</v>
      </c>
      <c r="K767" s="4" t="n">
        <v>100</v>
      </c>
      <c r="M767" s="2" t="str">
        <f aca="false">IF(C767="","",IFERROR(INDEX($S$5:$S$304,MATCH(C767,$R$5:$R$304,0))&amp;"","?"))</f>
        <v>17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-4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9364314</v>
      </c>
      <c r="C768" s="4" t="s">
        <v>2702</v>
      </c>
      <c r="D768" s="4" t="s">
        <v>3247</v>
      </c>
      <c r="E768" s="4" t="s">
        <v>3374</v>
      </c>
      <c r="F768" s="127" t="n">
        <v>46057</v>
      </c>
      <c r="G768" s="127" t="n">
        <v>46057</v>
      </c>
      <c r="H768" s="127" t="n">
        <v>46293</v>
      </c>
      <c r="I768" s="4" t="n">
        <v>100</v>
      </c>
      <c r="J768" s="4" t="n">
        <v>100</v>
      </c>
      <c r="K768" s="4" t="n">
        <v>100</v>
      </c>
      <c r="M768" s="2" t="str">
        <f aca="false">IF(C768="","",IFERROR(INDEX($S$5:$S$304,MATCH(C768,$R$5:$R$304,0))&amp;"","?"))</f>
        <v>17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-4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9364315</v>
      </c>
      <c r="C769" s="4" t="s">
        <v>2702</v>
      </c>
      <c r="D769" s="4" t="s">
        <v>3248</v>
      </c>
      <c r="E769" s="4" t="s">
        <v>3374</v>
      </c>
      <c r="F769" s="127" t="n">
        <v>46058</v>
      </c>
      <c r="G769" s="127" t="n">
        <v>46058</v>
      </c>
      <c r="H769" s="127" t="n">
        <v>46293</v>
      </c>
      <c r="I769" s="4" t="n">
        <v>100</v>
      </c>
      <c r="J769" s="4" t="n">
        <v>100</v>
      </c>
      <c r="K769" s="4" t="n">
        <v>100</v>
      </c>
      <c r="M769" s="2" t="str">
        <f aca="false">IF(C769="","",IFERROR(INDEX($S$5:$S$304,MATCH(C769,$R$5:$R$304,0))&amp;"","?"))</f>
        <v>17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-4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9364316</v>
      </c>
      <c r="C770" s="4" t="s">
        <v>2702</v>
      </c>
      <c r="D770" s="4" t="s">
        <v>3249</v>
      </c>
      <c r="E770" s="4" t="s">
        <v>3374</v>
      </c>
      <c r="F770" s="127" t="n">
        <v>46059</v>
      </c>
      <c r="G770" s="127" t="n">
        <v>46059</v>
      </c>
      <c r="H770" s="127" t="n">
        <v>46293</v>
      </c>
      <c r="I770" s="4" t="n">
        <v>100</v>
      </c>
      <c r="J770" s="4" t="n">
        <v>100</v>
      </c>
      <c r="K770" s="4" t="n">
        <v>100</v>
      </c>
      <c r="M770" s="2" t="str">
        <f aca="false">IF(C770="","",IFERROR(INDEX($S$5:$S$304,MATCH(C770,$R$5:$R$304,0))&amp;"","?"))</f>
        <v>17</v>
      </c>
      <c r="N770" s="2" t="n">
        <f aca="false">IF(E770="","",IF(ISNUMBER(SEARCH("SUBSOLO",E770)),IFERROR(-VALUE(LEFT(E770,FIND("º",SUBSTITUTE(E770,"°","º"))-1)),-1),IF(LEFT(E770,6)="TÉRREO",0,IFERROR(VALUE(LEFT(E770,FIND("º",SUBSTITUTE(E770,"°","º"))-1)),""))))</f>
        <v>-4</v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9364317</v>
      </c>
      <c r="C771" s="4" t="s">
        <v>2702</v>
      </c>
      <c r="D771" s="4" t="s">
        <v>3250</v>
      </c>
      <c r="E771" s="4" t="s">
        <v>3374</v>
      </c>
      <c r="F771" s="127" t="n">
        <v>46058</v>
      </c>
      <c r="G771" s="127" t="n">
        <v>46058</v>
      </c>
      <c r="H771" s="127" t="n">
        <v>46293</v>
      </c>
      <c r="I771" s="4" t="n">
        <v>100</v>
      </c>
      <c r="J771" s="4" t="n">
        <v>100</v>
      </c>
      <c r="K771" s="4" t="n">
        <v>100</v>
      </c>
      <c r="M771" s="2" t="str">
        <f aca="false">IF(C771="","",IFERROR(INDEX($S$5:$S$304,MATCH(C771,$R$5:$R$304,0))&amp;"","?"))</f>
        <v>17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-4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9364318</v>
      </c>
      <c r="C772" s="4" t="s">
        <v>2702</v>
      </c>
      <c r="D772" s="4" t="s">
        <v>3251</v>
      </c>
      <c r="E772" s="4" t="s">
        <v>3374</v>
      </c>
      <c r="F772" s="127" t="n">
        <v>46058</v>
      </c>
      <c r="G772" s="127" t="n">
        <v>46058</v>
      </c>
      <c r="H772" s="127" t="n">
        <v>46293</v>
      </c>
      <c r="I772" s="4" t="n">
        <v>100</v>
      </c>
      <c r="J772" s="4" t="n">
        <v>100</v>
      </c>
      <c r="K772" s="4" t="n">
        <v>100</v>
      </c>
      <c r="M772" s="2" t="str">
        <f aca="false">IF(C772="","",IFERROR(INDEX($S$5:$S$304,MATCH(C772,$R$5:$R$304,0))&amp;"","?"))</f>
        <v>17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-4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9364319</v>
      </c>
      <c r="C773" s="4" t="s">
        <v>2702</v>
      </c>
      <c r="D773" s="4" t="s">
        <v>3252</v>
      </c>
      <c r="E773" s="4" t="s">
        <v>3374</v>
      </c>
      <c r="F773" s="127" t="n">
        <v>46059</v>
      </c>
      <c r="G773" s="127" t="n">
        <v>46059</v>
      </c>
      <c r="H773" s="127" t="n">
        <v>46293</v>
      </c>
      <c r="I773" s="4" t="n">
        <v>100</v>
      </c>
      <c r="J773" s="4" t="n">
        <v>100</v>
      </c>
      <c r="K773" s="4" t="n">
        <v>100</v>
      </c>
      <c r="M773" s="2" t="str">
        <f aca="false">IF(C773="","",IFERROR(INDEX($S$5:$S$304,MATCH(C773,$R$5:$R$304,0))&amp;"","?"))</f>
        <v>17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-4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36884567</v>
      </c>
      <c r="C774" s="4" t="s">
        <v>2719</v>
      </c>
      <c r="D774" s="4" t="s">
        <v>433</v>
      </c>
      <c r="E774" s="4" t="s">
        <v>3374</v>
      </c>
      <c r="F774" s="127" t="n">
        <v>46041</v>
      </c>
      <c r="G774" s="127" t="n">
        <v>46059</v>
      </c>
      <c r="H774" s="127" t="n">
        <v>46293</v>
      </c>
      <c r="I774" s="4" t="n">
        <v>100</v>
      </c>
      <c r="J774" s="4" t="n">
        <v>100</v>
      </c>
      <c r="K774" s="4" t="n">
        <v>100</v>
      </c>
      <c r="M774" s="2" t="str">
        <f aca="false">IF(C774="","",IFERROR(INDEX($S$5:$S$304,MATCH(C774,$R$5:$R$304,0))&amp;"","?"))</f>
        <v>17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-4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14991667</v>
      </c>
      <c r="C775" s="4" t="s">
        <v>2719</v>
      </c>
      <c r="D775" s="4" t="s">
        <v>3548</v>
      </c>
      <c r="E775" s="4" t="s">
        <v>3374</v>
      </c>
      <c r="F775" s="127" t="n">
        <v>46041</v>
      </c>
      <c r="G775" s="127" t="n">
        <v>46042</v>
      </c>
      <c r="H775" s="127" t="n">
        <v>46293</v>
      </c>
      <c r="I775" s="4" t="n">
        <v>100</v>
      </c>
      <c r="J775" s="4" t="n">
        <v>100</v>
      </c>
      <c r="K775" s="4" t="n">
        <v>100</v>
      </c>
      <c r="M775" s="2" t="str">
        <f aca="false">IF(C775="","",IFERROR(INDEX($S$5:$S$304,MATCH(C775,$R$5:$R$304,0))&amp;"","?"))</f>
        <v>17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-4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14991668</v>
      </c>
      <c r="C776" s="4" t="s">
        <v>2719</v>
      </c>
      <c r="D776" s="4" t="s">
        <v>3543</v>
      </c>
      <c r="E776" s="4" t="s">
        <v>3374</v>
      </c>
      <c r="F776" s="127" t="n">
        <v>46043</v>
      </c>
      <c r="G776" s="127" t="n">
        <v>46044</v>
      </c>
      <c r="H776" s="127" t="n">
        <v>46293</v>
      </c>
      <c r="I776" s="4" t="n">
        <v>100</v>
      </c>
      <c r="J776" s="4" t="n">
        <v>100</v>
      </c>
      <c r="K776" s="4" t="n">
        <v>100</v>
      </c>
      <c r="M776" s="2" t="str">
        <f aca="false">IF(C776="","",IFERROR(INDEX($S$5:$S$304,MATCH(C776,$R$5:$R$304,0))&amp;"","?"))</f>
        <v>17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-4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14991669</v>
      </c>
      <c r="C777" s="4" t="s">
        <v>2719</v>
      </c>
      <c r="D777" s="4" t="s">
        <v>3535</v>
      </c>
      <c r="E777" s="4" t="s">
        <v>3374</v>
      </c>
      <c r="F777" s="127" t="n">
        <v>46044</v>
      </c>
      <c r="G777" s="127" t="n">
        <v>46055</v>
      </c>
      <c r="H777" s="127" t="n">
        <v>46293</v>
      </c>
      <c r="I777" s="4" t="n">
        <v>100</v>
      </c>
      <c r="J777" s="4" t="n">
        <v>100</v>
      </c>
      <c r="K777" s="4" t="n">
        <v>100</v>
      </c>
      <c r="M777" s="2" t="str">
        <f aca="false">IF(C777="","",IFERROR(INDEX($S$5:$S$304,MATCH(C777,$R$5:$R$304,0))&amp;"","?"))</f>
        <v>17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-4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14991670</v>
      </c>
      <c r="C778" s="4" t="s">
        <v>2719</v>
      </c>
      <c r="D778" s="4" t="s">
        <v>3515</v>
      </c>
      <c r="E778" s="4" t="s">
        <v>3374</v>
      </c>
      <c r="F778" s="127" t="n">
        <v>46050</v>
      </c>
      <c r="G778" s="127" t="n">
        <v>46050</v>
      </c>
      <c r="H778" s="127" t="n">
        <v>46293</v>
      </c>
      <c r="I778" s="4" t="n">
        <v>100</v>
      </c>
      <c r="J778" s="4" t="n">
        <v>100</v>
      </c>
      <c r="K778" s="4" t="n">
        <v>100</v>
      </c>
      <c r="M778" s="2" t="str">
        <f aca="false">IF(C778="","",IFERROR(INDEX($S$5:$S$304,MATCH(C778,$R$5:$R$304,0))&amp;"","?"))</f>
        <v>17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-4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14991671</v>
      </c>
      <c r="C779" s="4" t="s">
        <v>2719</v>
      </c>
      <c r="D779" s="4" t="s">
        <v>3549</v>
      </c>
      <c r="E779" s="4" t="s">
        <v>3374</v>
      </c>
      <c r="F779" s="127" t="n">
        <v>46051</v>
      </c>
      <c r="G779" s="127" t="n">
        <v>46051</v>
      </c>
      <c r="H779" s="127" t="n">
        <v>46293</v>
      </c>
      <c r="I779" s="4" t="n">
        <v>100</v>
      </c>
      <c r="J779" s="4" t="n">
        <v>100</v>
      </c>
      <c r="K779" s="4" t="n">
        <v>100</v>
      </c>
      <c r="M779" s="2" t="str">
        <f aca="false">IF(C779="","",IFERROR(INDEX($S$5:$S$304,MATCH(C779,$R$5:$R$304,0))&amp;"","?"))</f>
        <v>17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-4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14991672</v>
      </c>
      <c r="C780" s="4" t="s">
        <v>2719</v>
      </c>
      <c r="D780" s="4" t="s">
        <v>3536</v>
      </c>
      <c r="E780" s="4" t="s">
        <v>3374</v>
      </c>
      <c r="F780" s="127" t="n">
        <v>46052</v>
      </c>
      <c r="G780" s="127" t="n">
        <v>46058</v>
      </c>
      <c r="H780" s="127" t="n">
        <v>46293</v>
      </c>
      <c r="I780" s="4" t="n">
        <v>100</v>
      </c>
      <c r="J780" s="4" t="n">
        <v>100</v>
      </c>
      <c r="K780" s="4" t="n">
        <v>100</v>
      </c>
      <c r="M780" s="2" t="str">
        <f aca="false">IF(C780="","",IFERROR(INDEX($S$5:$S$304,MATCH(C780,$R$5:$R$304,0))&amp;"","?"))</f>
        <v>17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-4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14991673</v>
      </c>
      <c r="C781" s="4" t="s">
        <v>2719</v>
      </c>
      <c r="D781" s="4" t="s">
        <v>3537</v>
      </c>
      <c r="E781" s="4" t="s">
        <v>3374</v>
      </c>
      <c r="F781" s="127" t="n">
        <v>46059</v>
      </c>
      <c r="G781" s="127" t="n">
        <v>46059</v>
      </c>
      <c r="H781" s="127" t="n">
        <v>46293</v>
      </c>
      <c r="I781" s="4" t="n">
        <v>100</v>
      </c>
      <c r="J781" s="4" t="n">
        <v>100</v>
      </c>
      <c r="K781" s="4" t="n">
        <v>100</v>
      </c>
      <c r="M781" s="2" t="str">
        <f aca="false">IF(C781="","",IFERROR(INDEX($S$5:$S$304,MATCH(C781,$R$5:$R$304,0))&amp;"","?"))</f>
        <v>17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-4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36884426</v>
      </c>
      <c r="C782" s="4" t="s">
        <v>2729</v>
      </c>
      <c r="D782" s="4" t="s">
        <v>433</v>
      </c>
      <c r="E782" s="4" t="s">
        <v>3374</v>
      </c>
      <c r="F782" s="127" t="n">
        <v>46041</v>
      </c>
      <c r="G782" s="127" t="n">
        <v>46064</v>
      </c>
      <c r="H782" s="127" t="n">
        <v>46293</v>
      </c>
      <c r="I782" s="4" t="n">
        <v>100</v>
      </c>
      <c r="J782" s="4" t="n">
        <v>100</v>
      </c>
      <c r="K782" s="4" t="n">
        <v>100</v>
      </c>
      <c r="M782" s="2" t="str">
        <f aca="false">IF(C782="","",IFERROR(INDEX($S$5:$S$304,MATCH(C782,$R$5:$R$304,0))&amp;"","?"))</f>
        <v>17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-4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14991661</v>
      </c>
      <c r="C783" s="4" t="s">
        <v>2729</v>
      </c>
      <c r="D783" s="4" t="s">
        <v>3543</v>
      </c>
      <c r="E783" s="4" t="s">
        <v>3374</v>
      </c>
      <c r="F783" s="127" t="n">
        <v>46041</v>
      </c>
      <c r="G783" s="127" t="n">
        <v>46043</v>
      </c>
      <c r="H783" s="127" t="n">
        <v>46293</v>
      </c>
      <c r="I783" s="4" t="n">
        <v>100</v>
      </c>
      <c r="J783" s="4" t="n">
        <v>100</v>
      </c>
      <c r="K783" s="4" t="n">
        <v>100</v>
      </c>
      <c r="M783" s="2" t="str">
        <f aca="false">IF(C783="","",IFERROR(INDEX($S$5:$S$304,MATCH(C783,$R$5:$R$304,0))&amp;"","?"))</f>
        <v>17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-4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14991662</v>
      </c>
      <c r="C784" s="4" t="s">
        <v>2729</v>
      </c>
      <c r="D784" s="4" t="s">
        <v>3535</v>
      </c>
      <c r="E784" s="4" t="s">
        <v>3374</v>
      </c>
      <c r="F784" s="127" t="n">
        <v>46042</v>
      </c>
      <c r="G784" s="127" t="n">
        <v>46055</v>
      </c>
      <c r="H784" s="127" t="n">
        <v>46293</v>
      </c>
      <c r="I784" s="4" t="n">
        <v>100</v>
      </c>
      <c r="J784" s="4" t="n">
        <v>100</v>
      </c>
      <c r="K784" s="4" t="n">
        <v>100</v>
      </c>
      <c r="M784" s="2" t="str">
        <f aca="false">IF(C784="","",IFERROR(INDEX($S$5:$S$304,MATCH(C784,$R$5:$R$304,0))&amp;"","?"))</f>
        <v>17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-4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14991663</v>
      </c>
      <c r="C785" s="4" t="s">
        <v>2729</v>
      </c>
      <c r="D785" s="4" t="s">
        <v>3515</v>
      </c>
      <c r="E785" s="4" t="s">
        <v>3374</v>
      </c>
      <c r="F785" s="127" t="n">
        <v>46048</v>
      </c>
      <c r="G785" s="127" t="n">
        <v>46050</v>
      </c>
      <c r="H785" s="127" t="n">
        <v>46293</v>
      </c>
      <c r="I785" s="4" t="n">
        <v>100</v>
      </c>
      <c r="J785" s="4" t="n">
        <v>100</v>
      </c>
      <c r="K785" s="4" t="n">
        <v>100</v>
      </c>
      <c r="M785" s="2" t="str">
        <f aca="false">IF(C785="","",IFERROR(INDEX($S$5:$S$304,MATCH(C785,$R$5:$R$304,0))&amp;"","?"))</f>
        <v>17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-4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14991664</v>
      </c>
      <c r="C786" s="4" t="s">
        <v>2729</v>
      </c>
      <c r="D786" s="4" t="s">
        <v>3516</v>
      </c>
      <c r="E786" s="4" t="s">
        <v>3374</v>
      </c>
      <c r="F786" s="127" t="n">
        <v>46051</v>
      </c>
      <c r="G786" s="127" t="n">
        <v>46051</v>
      </c>
      <c r="H786" s="127" t="n">
        <v>46293</v>
      </c>
      <c r="I786" s="4" t="n">
        <v>100</v>
      </c>
      <c r="J786" s="4" t="n">
        <v>100</v>
      </c>
      <c r="K786" s="4" t="n">
        <v>100</v>
      </c>
      <c r="M786" s="2" t="str">
        <f aca="false">IF(C786="","",IFERROR(INDEX($S$5:$S$304,MATCH(C786,$R$5:$R$304,0))&amp;"","?"))</f>
        <v>17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-4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14991665</v>
      </c>
      <c r="C787" s="4" t="s">
        <v>2729</v>
      </c>
      <c r="D787" s="4" t="s">
        <v>3536</v>
      </c>
      <c r="E787" s="4" t="s">
        <v>3374</v>
      </c>
      <c r="F787" s="127" t="n">
        <v>46051</v>
      </c>
      <c r="G787" s="127" t="n">
        <v>46063</v>
      </c>
      <c r="H787" s="127" t="n">
        <v>46293</v>
      </c>
      <c r="I787" s="4" t="n">
        <v>100</v>
      </c>
      <c r="J787" s="4" t="n">
        <v>100</v>
      </c>
      <c r="K787" s="4" t="n">
        <v>100</v>
      </c>
      <c r="M787" s="2" t="str">
        <f aca="false">IF(C787="","",IFERROR(INDEX($S$5:$S$304,MATCH(C787,$R$5:$R$304,0))&amp;"","?"))</f>
        <v>17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-4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14991666</v>
      </c>
      <c r="C788" s="4" t="s">
        <v>2729</v>
      </c>
      <c r="D788" s="4" t="s">
        <v>3537</v>
      </c>
      <c r="E788" s="4" t="s">
        <v>3374</v>
      </c>
      <c r="F788" s="127" t="n">
        <v>46064</v>
      </c>
      <c r="G788" s="127" t="n">
        <v>46064</v>
      </c>
      <c r="H788" s="127" t="n">
        <v>46293</v>
      </c>
      <c r="I788" s="4" t="n">
        <v>100</v>
      </c>
      <c r="J788" s="4" t="n">
        <v>100</v>
      </c>
      <c r="K788" s="4" t="n">
        <v>100</v>
      </c>
      <c r="M788" s="2" t="str">
        <f aca="false">IF(C788="","",IFERROR(INDEX($S$5:$S$304,MATCH(C788,$R$5:$R$304,0))&amp;"","?"))</f>
        <v>17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-4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26206692</v>
      </c>
      <c r="C789" s="4" t="s">
        <v>2711</v>
      </c>
      <c r="D789" s="4" t="s">
        <v>433</v>
      </c>
      <c r="E789" s="4" t="s">
        <v>3374</v>
      </c>
      <c r="F789" s="127" t="n">
        <v>46043</v>
      </c>
      <c r="G789" s="127" t="n">
        <v>46062</v>
      </c>
      <c r="H789" s="127" t="n">
        <v>46293</v>
      </c>
      <c r="I789" s="4" t="n">
        <v>100</v>
      </c>
      <c r="J789" s="4" t="n">
        <v>100</v>
      </c>
      <c r="K789" s="4" t="n">
        <v>100</v>
      </c>
      <c r="M789" s="2" t="str">
        <f aca="false">IF(C789="","",IFERROR(INDEX($S$5:$S$304,MATCH(C789,$R$5:$R$304,0))&amp;"","?"))</f>
        <v>17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-4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9364365</v>
      </c>
      <c r="C790" s="4" t="s">
        <v>2711</v>
      </c>
      <c r="D790" s="4" t="s">
        <v>3244</v>
      </c>
      <c r="E790" s="4" t="s">
        <v>3374</v>
      </c>
      <c r="F790" s="127" t="n">
        <v>46043</v>
      </c>
      <c r="G790" s="127" t="n">
        <v>46051</v>
      </c>
      <c r="H790" s="127" t="n">
        <v>46293</v>
      </c>
      <c r="I790" s="4" t="n">
        <v>100</v>
      </c>
      <c r="J790" s="4" t="n">
        <v>100</v>
      </c>
      <c r="K790" s="4" t="n">
        <v>100</v>
      </c>
      <c r="M790" s="2" t="str">
        <f aca="false">IF(C790="","",IFERROR(INDEX($S$5:$S$304,MATCH(C790,$R$5:$R$304,0))&amp;"","?"))</f>
        <v>17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-4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9364366</v>
      </c>
      <c r="C791" s="4" t="s">
        <v>2711</v>
      </c>
      <c r="D791" s="4" t="s">
        <v>3245</v>
      </c>
      <c r="E791" s="4" t="s">
        <v>3374</v>
      </c>
      <c r="F791" s="127" t="n">
        <v>46051</v>
      </c>
      <c r="G791" s="127" t="n">
        <v>46059</v>
      </c>
      <c r="H791" s="127" t="n">
        <v>46293</v>
      </c>
      <c r="I791" s="4" t="n">
        <v>100</v>
      </c>
      <c r="J791" s="4" t="n">
        <v>100</v>
      </c>
      <c r="K791" s="4" t="n">
        <v>100</v>
      </c>
      <c r="M791" s="2" t="str">
        <f aca="false">IF(C791="","",IFERROR(INDEX($S$5:$S$304,MATCH(C791,$R$5:$R$304,0))&amp;"","?"))</f>
        <v>17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-4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9364367</v>
      </c>
      <c r="C792" s="4" t="s">
        <v>2711</v>
      </c>
      <c r="D792" s="4" t="s">
        <v>3246</v>
      </c>
      <c r="E792" s="4" t="s">
        <v>3374</v>
      </c>
      <c r="F792" s="127" t="n">
        <v>46052</v>
      </c>
      <c r="G792" s="127" t="n">
        <v>46056</v>
      </c>
      <c r="H792" s="127" t="n">
        <v>46293</v>
      </c>
      <c r="I792" s="4" t="n">
        <v>100</v>
      </c>
      <c r="J792" s="4" t="n">
        <v>100</v>
      </c>
      <c r="K792" s="4" t="n">
        <v>100</v>
      </c>
      <c r="M792" s="2" t="str">
        <f aca="false">IF(C792="","",IFERROR(INDEX($S$5:$S$304,MATCH(C792,$R$5:$R$304,0))&amp;"","?"))</f>
        <v>17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-4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9364368</v>
      </c>
      <c r="C793" s="4" t="s">
        <v>2711</v>
      </c>
      <c r="D793" s="4" t="s">
        <v>3247</v>
      </c>
      <c r="E793" s="4" t="s">
        <v>3374</v>
      </c>
      <c r="F793" s="127" t="n">
        <v>46057</v>
      </c>
      <c r="G793" s="127" t="n">
        <v>46057</v>
      </c>
      <c r="H793" s="127" t="n">
        <v>46293</v>
      </c>
      <c r="I793" s="4" t="n">
        <v>100</v>
      </c>
      <c r="J793" s="4" t="n">
        <v>100</v>
      </c>
      <c r="K793" s="4" t="n">
        <v>100</v>
      </c>
      <c r="M793" s="2" t="str">
        <f aca="false">IF(C793="","",IFERROR(INDEX($S$5:$S$304,MATCH(C793,$R$5:$R$304,0))&amp;"","?"))</f>
        <v>17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-4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9364369</v>
      </c>
      <c r="C794" s="4" t="s">
        <v>2711</v>
      </c>
      <c r="D794" s="4" t="s">
        <v>3248</v>
      </c>
      <c r="E794" s="4" t="s">
        <v>3374</v>
      </c>
      <c r="F794" s="127" t="n">
        <v>46058</v>
      </c>
      <c r="G794" s="127" t="n">
        <v>46062</v>
      </c>
      <c r="H794" s="127" t="n">
        <v>46293</v>
      </c>
      <c r="I794" s="4" t="n">
        <v>100</v>
      </c>
      <c r="J794" s="4" t="n">
        <v>100</v>
      </c>
      <c r="K794" s="4" t="n">
        <v>100</v>
      </c>
      <c r="M794" s="2" t="str">
        <f aca="false">IF(C794="","",IFERROR(INDEX($S$5:$S$304,MATCH(C794,$R$5:$R$304,0))&amp;"","?"))</f>
        <v>17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-4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9364370</v>
      </c>
      <c r="C795" s="4" t="s">
        <v>2711</v>
      </c>
      <c r="D795" s="4" t="s">
        <v>3249</v>
      </c>
      <c r="E795" s="4" t="s">
        <v>3374</v>
      </c>
      <c r="F795" s="127" t="n">
        <v>46059</v>
      </c>
      <c r="G795" s="127" t="n">
        <v>46062</v>
      </c>
      <c r="H795" s="127" t="n">
        <v>46293</v>
      </c>
      <c r="I795" s="4" t="n">
        <v>100</v>
      </c>
      <c r="J795" s="4" t="n">
        <v>100</v>
      </c>
      <c r="K795" s="4" t="n">
        <v>100</v>
      </c>
      <c r="M795" s="2" t="str">
        <f aca="false">IF(C795="","",IFERROR(INDEX($S$5:$S$304,MATCH(C795,$R$5:$R$304,0))&amp;"","?"))</f>
        <v>17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-4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9364371</v>
      </c>
      <c r="C796" s="4" t="s">
        <v>2711</v>
      </c>
      <c r="D796" s="4" t="s">
        <v>3250</v>
      </c>
      <c r="E796" s="4" t="s">
        <v>3374</v>
      </c>
      <c r="F796" s="127" t="n">
        <v>46059</v>
      </c>
      <c r="G796" s="127" t="n">
        <v>46059</v>
      </c>
      <c r="H796" s="127" t="n">
        <v>46293</v>
      </c>
      <c r="I796" s="4" t="n">
        <v>100</v>
      </c>
      <c r="J796" s="4" t="n">
        <v>100</v>
      </c>
      <c r="K796" s="4" t="n">
        <v>100</v>
      </c>
      <c r="M796" s="2" t="str">
        <f aca="false">IF(C796="","",IFERROR(INDEX($S$5:$S$304,MATCH(C796,$R$5:$R$304,0))&amp;"","?"))</f>
        <v>17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-4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9364372</v>
      </c>
      <c r="C797" s="4" t="s">
        <v>2711</v>
      </c>
      <c r="D797" s="4" t="s">
        <v>3251</v>
      </c>
      <c r="E797" s="4" t="s">
        <v>3374</v>
      </c>
      <c r="F797" s="127" t="n">
        <v>46059</v>
      </c>
      <c r="G797" s="127" t="n">
        <v>46059</v>
      </c>
      <c r="H797" s="127" t="n">
        <v>46293</v>
      </c>
      <c r="I797" s="4" t="n">
        <v>100</v>
      </c>
      <c r="J797" s="4" t="n">
        <v>100</v>
      </c>
      <c r="K797" s="4" t="n">
        <v>100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-4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9364373</v>
      </c>
      <c r="C798" s="4" t="s">
        <v>2711</v>
      </c>
      <c r="D798" s="4" t="s">
        <v>3252</v>
      </c>
      <c r="E798" s="4" t="s">
        <v>3374</v>
      </c>
      <c r="F798" s="127" t="n">
        <v>46062</v>
      </c>
      <c r="G798" s="127" t="n">
        <v>46062</v>
      </c>
      <c r="H798" s="127" t="n">
        <v>46293</v>
      </c>
      <c r="I798" s="4" t="n">
        <v>100</v>
      </c>
      <c r="J798" s="4" t="n">
        <v>100</v>
      </c>
      <c r="K798" s="4" t="n">
        <v>100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-4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39119913</v>
      </c>
      <c r="C799" s="4" t="s">
        <v>2731</v>
      </c>
      <c r="D799" s="4" t="s">
        <v>433</v>
      </c>
      <c r="E799" s="4" t="s">
        <v>3374</v>
      </c>
      <c r="F799" s="127" t="n">
        <v>46055</v>
      </c>
      <c r="G799" s="127" t="n">
        <v>46083</v>
      </c>
      <c r="H799" s="127" t="n">
        <v>46293</v>
      </c>
      <c r="I799" s="4" t="n">
        <v>100</v>
      </c>
      <c r="J799" s="4" t="n">
        <v>100</v>
      </c>
      <c r="K799" s="4" t="n">
        <v>100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-4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18976766</v>
      </c>
      <c r="C800" s="4" t="s">
        <v>2731</v>
      </c>
      <c r="D800" s="4" t="s">
        <v>3550</v>
      </c>
      <c r="E800" s="4" t="s">
        <v>3374</v>
      </c>
      <c r="F800" s="127" t="n">
        <v>46055</v>
      </c>
      <c r="G800" s="127" t="n">
        <v>46055</v>
      </c>
      <c r="H800" s="127" t="n">
        <v>46293</v>
      </c>
      <c r="I800" s="4" t="n">
        <v>100</v>
      </c>
      <c r="J800" s="4" t="n">
        <v>100</v>
      </c>
      <c r="K800" s="4" t="n">
        <v>100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-4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18976767</v>
      </c>
      <c r="C801" s="4" t="s">
        <v>2731</v>
      </c>
      <c r="D801" s="4" t="s">
        <v>3551</v>
      </c>
      <c r="E801" s="4" t="s">
        <v>3374</v>
      </c>
      <c r="F801" s="127" t="n">
        <v>46056</v>
      </c>
      <c r="G801" s="127" t="n">
        <v>46059</v>
      </c>
      <c r="H801" s="127" t="n">
        <v>46293</v>
      </c>
      <c r="I801" s="4" t="n">
        <v>100</v>
      </c>
      <c r="J801" s="4" t="n">
        <v>100</v>
      </c>
      <c r="K801" s="4" t="n">
        <v>100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-4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18976768</v>
      </c>
      <c r="C802" s="4" t="s">
        <v>2731</v>
      </c>
      <c r="D802" s="4" t="s">
        <v>3552</v>
      </c>
      <c r="E802" s="4" t="s">
        <v>3374</v>
      </c>
      <c r="F802" s="127" t="n">
        <v>46059</v>
      </c>
      <c r="G802" s="127" t="n">
        <v>46079</v>
      </c>
      <c r="H802" s="127" t="n">
        <v>46293</v>
      </c>
      <c r="I802" s="4" t="n">
        <v>100</v>
      </c>
      <c r="J802" s="4" t="n">
        <v>100</v>
      </c>
      <c r="K802" s="4" t="n">
        <v>100</v>
      </c>
      <c r="M802" s="2" t="str">
        <f aca="false">IF(C802="","",IFERROR(INDEX($S$5:$S$304,MATCH(C802,$R$5:$R$304,0))&amp;"","?"))</f>
        <v>17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-4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18976769</v>
      </c>
      <c r="C803" s="4" t="s">
        <v>2731</v>
      </c>
      <c r="D803" s="4" t="s">
        <v>3553</v>
      </c>
      <c r="E803" s="4" t="s">
        <v>3374</v>
      </c>
      <c r="F803" s="127" t="n">
        <v>46080</v>
      </c>
      <c r="G803" s="127" t="n">
        <v>46083</v>
      </c>
      <c r="H803" s="127" t="n">
        <v>46293</v>
      </c>
      <c r="I803" s="4" t="n">
        <v>100</v>
      </c>
      <c r="J803" s="4" t="n">
        <v>100</v>
      </c>
      <c r="K803" s="4" t="n">
        <v>100</v>
      </c>
      <c r="M803" s="2" t="str">
        <f aca="false">IF(C803="","",IFERROR(INDEX($S$5:$S$304,MATCH(C803,$R$5:$R$304,0))&amp;"","?"))</f>
        <v>17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-4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24940009</v>
      </c>
      <c r="C804" s="4" t="s">
        <v>2705</v>
      </c>
      <c r="D804" s="4" t="s">
        <v>433</v>
      </c>
      <c r="E804" s="4" t="s">
        <v>3375</v>
      </c>
      <c r="F804" s="127" t="n">
        <v>46055</v>
      </c>
      <c r="G804" s="127" t="n">
        <v>46077</v>
      </c>
      <c r="H804" s="127" t="n">
        <v>46293</v>
      </c>
      <c r="I804" s="4" t="n">
        <v>100</v>
      </c>
      <c r="J804" s="4" t="n">
        <v>100</v>
      </c>
      <c r="K804" s="4" t="n">
        <v>100</v>
      </c>
      <c r="M804" s="2" t="str">
        <f aca="false">IF(C804="","",IFERROR(INDEX($S$5:$S$304,MATCH(C804,$R$5:$R$304,0))&amp;"","?"))</f>
        <v>17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-3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9360196</v>
      </c>
      <c r="C805" s="4" t="s">
        <v>2705</v>
      </c>
      <c r="D805" s="4" t="s">
        <v>3244</v>
      </c>
      <c r="E805" s="4" t="s">
        <v>3375</v>
      </c>
      <c r="F805" s="127" t="n">
        <v>46055</v>
      </c>
      <c r="G805" s="127" t="n">
        <v>46059</v>
      </c>
      <c r="H805" s="127" t="n">
        <v>46293</v>
      </c>
      <c r="I805" s="4" t="n">
        <v>100</v>
      </c>
      <c r="J805" s="4" t="n">
        <v>100</v>
      </c>
      <c r="K805" s="4" t="n">
        <v>100</v>
      </c>
      <c r="M805" s="2" t="str">
        <f aca="false">IF(C805="","",IFERROR(INDEX($S$5:$S$304,MATCH(C805,$R$5:$R$304,0))&amp;"","?"))</f>
        <v>17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-3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9360197</v>
      </c>
      <c r="C806" s="4" t="s">
        <v>2705</v>
      </c>
      <c r="D806" s="4" t="s">
        <v>3245</v>
      </c>
      <c r="E806" s="4" t="s">
        <v>3375</v>
      </c>
      <c r="F806" s="127" t="n">
        <v>46059</v>
      </c>
      <c r="G806" s="127" t="n">
        <v>46065</v>
      </c>
      <c r="H806" s="127" t="n">
        <v>46293</v>
      </c>
      <c r="I806" s="4" t="n">
        <v>100</v>
      </c>
      <c r="J806" s="4" t="n">
        <v>100</v>
      </c>
      <c r="K806" s="4" t="n">
        <v>100</v>
      </c>
      <c r="M806" s="2" t="str">
        <f aca="false">IF(C806="","",IFERROR(INDEX($S$5:$S$304,MATCH(C806,$R$5:$R$304,0))&amp;"","?"))</f>
        <v>17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-3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9360198</v>
      </c>
      <c r="C807" s="4" t="s">
        <v>2705</v>
      </c>
      <c r="D807" s="4" t="s">
        <v>3246</v>
      </c>
      <c r="E807" s="4" t="s">
        <v>3375</v>
      </c>
      <c r="F807" s="127" t="n">
        <v>46062</v>
      </c>
      <c r="G807" s="127" t="n">
        <v>46064</v>
      </c>
      <c r="H807" s="127" t="n">
        <v>46293</v>
      </c>
      <c r="I807" s="4" t="n">
        <v>100</v>
      </c>
      <c r="J807" s="4" t="n">
        <v>100</v>
      </c>
      <c r="K807" s="4" t="n">
        <v>100</v>
      </c>
      <c r="M807" s="2" t="str">
        <f aca="false">IF(C807="","",IFERROR(INDEX($S$5:$S$304,MATCH(C807,$R$5:$R$304,0))&amp;"","?"))</f>
        <v>17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-3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9360199</v>
      </c>
      <c r="C808" s="4" t="s">
        <v>2705</v>
      </c>
      <c r="D808" s="4" t="s">
        <v>3247</v>
      </c>
      <c r="E808" s="4" t="s">
        <v>3375</v>
      </c>
      <c r="F808" s="127" t="n">
        <v>46065</v>
      </c>
      <c r="G808" s="127" t="n">
        <v>46065</v>
      </c>
      <c r="H808" s="127" t="n">
        <v>46293</v>
      </c>
      <c r="I808" s="4" t="n">
        <v>100</v>
      </c>
      <c r="J808" s="4" t="n">
        <v>100</v>
      </c>
      <c r="K808" s="4" t="n">
        <v>100</v>
      </c>
      <c r="M808" s="2" t="str">
        <f aca="false">IF(C808="","",IFERROR(INDEX($S$5:$S$304,MATCH(C808,$R$5:$R$304,0))&amp;"","?"))</f>
        <v>17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-3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9360200</v>
      </c>
      <c r="C809" s="4" t="s">
        <v>2705</v>
      </c>
      <c r="D809" s="4" t="s">
        <v>3248</v>
      </c>
      <c r="E809" s="4" t="s">
        <v>3375</v>
      </c>
      <c r="F809" s="127" t="n">
        <v>46066</v>
      </c>
      <c r="G809" s="127" t="n">
        <v>46076</v>
      </c>
      <c r="H809" s="127" t="n">
        <v>46293</v>
      </c>
      <c r="I809" s="4" t="n">
        <v>100</v>
      </c>
      <c r="J809" s="4" t="n">
        <v>100</v>
      </c>
      <c r="K809" s="4" t="n">
        <v>100</v>
      </c>
      <c r="M809" s="2" t="str">
        <f aca="false">IF(C809="","",IFERROR(INDEX($S$5:$S$304,MATCH(C809,$R$5:$R$304,0))&amp;"","?"))</f>
        <v>17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-3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9360201</v>
      </c>
      <c r="C810" s="4" t="s">
        <v>2705</v>
      </c>
      <c r="D810" s="4" t="s">
        <v>3249</v>
      </c>
      <c r="E810" s="4" t="s">
        <v>3375</v>
      </c>
      <c r="F810" s="127" t="n">
        <v>46071</v>
      </c>
      <c r="G810" s="127" t="n">
        <v>46076</v>
      </c>
      <c r="H810" s="127" t="n">
        <v>46293</v>
      </c>
      <c r="I810" s="4" t="n">
        <v>100</v>
      </c>
      <c r="J810" s="4" t="n">
        <v>100</v>
      </c>
      <c r="K810" s="4" t="n">
        <v>100</v>
      </c>
      <c r="M810" s="2" t="str">
        <f aca="false">IF(C810="","",IFERROR(INDEX($S$5:$S$304,MATCH(C810,$R$5:$R$304,0))&amp;"","?"))</f>
        <v>17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-3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9360202</v>
      </c>
      <c r="C811" s="4" t="s">
        <v>2705</v>
      </c>
      <c r="D811" s="4" t="s">
        <v>3250</v>
      </c>
      <c r="E811" s="4" t="s">
        <v>3375</v>
      </c>
      <c r="F811" s="127" t="n">
        <v>46073</v>
      </c>
      <c r="G811" s="127" t="n">
        <v>46076</v>
      </c>
      <c r="H811" s="127" t="n">
        <v>46293</v>
      </c>
      <c r="I811" s="4" t="n">
        <v>100</v>
      </c>
      <c r="J811" s="4" t="n">
        <v>100</v>
      </c>
      <c r="K811" s="4" t="n">
        <v>100</v>
      </c>
      <c r="M811" s="2" t="str">
        <f aca="false">IF(C811="","",IFERROR(INDEX($S$5:$S$304,MATCH(C811,$R$5:$R$304,0))&amp;"","?"))</f>
        <v>17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-3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9360203</v>
      </c>
      <c r="C812" s="4" t="s">
        <v>2705</v>
      </c>
      <c r="D812" s="4" t="s">
        <v>3251</v>
      </c>
      <c r="E812" s="4" t="s">
        <v>3375</v>
      </c>
      <c r="F812" s="127" t="n">
        <v>46076</v>
      </c>
      <c r="G812" s="127" t="n">
        <v>46076</v>
      </c>
      <c r="H812" s="127" t="n">
        <v>46293</v>
      </c>
      <c r="I812" s="4" t="n">
        <v>100</v>
      </c>
      <c r="J812" s="4" t="n">
        <v>100</v>
      </c>
      <c r="K812" s="4" t="n">
        <v>100</v>
      </c>
      <c r="M812" s="2" t="str">
        <f aca="false">IF(C812="","",IFERROR(INDEX($S$5:$S$304,MATCH(C812,$R$5:$R$304,0))&amp;"","?"))</f>
        <v>17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-3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9360204</v>
      </c>
      <c r="C813" s="4" t="s">
        <v>2705</v>
      </c>
      <c r="D813" s="4" t="s">
        <v>3252</v>
      </c>
      <c r="E813" s="4" t="s">
        <v>3375</v>
      </c>
      <c r="F813" s="127" t="n">
        <v>46077</v>
      </c>
      <c r="G813" s="127" t="n">
        <v>46077</v>
      </c>
      <c r="H813" s="127" t="n">
        <v>46293</v>
      </c>
      <c r="I813" s="4" t="n">
        <v>100</v>
      </c>
      <c r="J813" s="4" t="n">
        <v>100</v>
      </c>
      <c r="K813" s="4" t="n">
        <v>100</v>
      </c>
      <c r="M813" s="2" t="str">
        <f aca="false">IF(C813="","",IFERROR(INDEX($S$5:$S$304,MATCH(C813,$R$5:$R$304,0))&amp;"","?"))</f>
        <v>17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-3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39121396</v>
      </c>
      <c r="C814" s="4" t="s">
        <v>2714</v>
      </c>
      <c r="D814" s="4" t="s">
        <v>433</v>
      </c>
      <c r="E814" s="4" t="s">
        <v>3375</v>
      </c>
      <c r="F814" s="127" t="n">
        <v>46055</v>
      </c>
      <c r="G814" s="127" t="n">
        <v>46077</v>
      </c>
      <c r="H814" s="127" t="n">
        <v>46293</v>
      </c>
      <c r="I814" s="4" t="n">
        <v>100</v>
      </c>
      <c r="J814" s="4" t="n">
        <v>100</v>
      </c>
      <c r="K814" s="4" t="n">
        <v>100</v>
      </c>
      <c r="M814" s="2" t="str">
        <f aca="false">IF(C814="","",IFERROR(INDEX($S$5:$S$304,MATCH(C814,$R$5:$R$304,0))&amp;"","?"))</f>
        <v>17</v>
      </c>
      <c r="N814" s="2" t="n">
        <f aca="false">IF(E814="","",IF(ISNUMBER(SEARCH("SUBSOLO",E814)),IFERROR(-VALUE(LEFT(E814,FIND("º",SUBSTITUTE(E814,"°","º"))-1)),-1),IF(LEFT(E814,6)="TÉRREO",0,IFERROR(VALUE(LEFT(E814,FIND("º",SUBSTITUTE(E814,"°","º"))-1)),""))))</f>
        <v>-3</v>
      </c>
      <c r="O814" s="2" t="str">
        <f aca="false">IF(OR(F814="",G814=""),"",IF(G814&lt;='RETRATO 2027'!$K$5,"CONCLUÍDA",IF(F814&lt;='RETRATO 2027'!$K$5,"EM ANDAMENTO","A INICIAR")))</f>
        <v>CONCLUÍDA</v>
      </c>
    </row>
    <row r="815" customFormat="false" ht="15" hidden="false" customHeight="false" outlineLevel="0" collapsed="false">
      <c r="B815" s="4" t="n">
        <v>18978020</v>
      </c>
      <c r="C815" s="4" t="s">
        <v>2714</v>
      </c>
      <c r="D815" s="4" t="s">
        <v>3554</v>
      </c>
      <c r="E815" s="4" t="s">
        <v>3375</v>
      </c>
      <c r="F815" s="127" t="n">
        <v>46055</v>
      </c>
      <c r="G815" s="127" t="n">
        <v>46058</v>
      </c>
      <c r="H815" s="127" t="n">
        <v>46293</v>
      </c>
      <c r="I815" s="4" t="n">
        <v>100</v>
      </c>
      <c r="J815" s="4" t="n">
        <v>100</v>
      </c>
      <c r="K815" s="4" t="n">
        <v>100</v>
      </c>
      <c r="M815" s="2" t="str">
        <f aca="false">IF(C815="","",IFERROR(INDEX($S$5:$S$304,MATCH(C815,$R$5:$R$304,0))&amp;"","?"))</f>
        <v>17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-3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18978021</v>
      </c>
      <c r="C816" s="4" t="s">
        <v>2714</v>
      </c>
      <c r="D816" s="4" t="s">
        <v>3555</v>
      </c>
      <c r="E816" s="4" t="s">
        <v>3375</v>
      </c>
      <c r="F816" s="127" t="n">
        <v>46057</v>
      </c>
      <c r="G816" s="127" t="n">
        <v>46062</v>
      </c>
      <c r="H816" s="127" t="n">
        <v>46293</v>
      </c>
      <c r="I816" s="4" t="n">
        <v>100</v>
      </c>
      <c r="J816" s="4" t="n">
        <v>100</v>
      </c>
      <c r="K816" s="4" t="n">
        <v>100</v>
      </c>
      <c r="M816" s="2" t="str">
        <f aca="false">IF(C816="","",IFERROR(INDEX($S$5:$S$304,MATCH(C816,$R$5:$R$304,0))&amp;"","?"))</f>
        <v>17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-3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18978022</v>
      </c>
      <c r="C817" s="4" t="s">
        <v>2714</v>
      </c>
      <c r="D817" s="4" t="s">
        <v>3535</v>
      </c>
      <c r="E817" s="4" t="s">
        <v>3375</v>
      </c>
      <c r="F817" s="127" t="n">
        <v>46063</v>
      </c>
      <c r="G817" s="127" t="n">
        <v>46066</v>
      </c>
      <c r="H817" s="127" t="n">
        <v>46293</v>
      </c>
      <c r="I817" s="4" t="n">
        <v>100</v>
      </c>
      <c r="J817" s="4" t="n">
        <v>100</v>
      </c>
      <c r="K817" s="4" t="n">
        <v>100</v>
      </c>
      <c r="M817" s="2" t="str">
        <f aca="false">IF(C817="","",IFERROR(INDEX($S$5:$S$304,MATCH(C817,$R$5:$R$304,0))&amp;"","?"))</f>
        <v>17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-3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18978023</v>
      </c>
      <c r="C818" s="4" t="s">
        <v>2714</v>
      </c>
      <c r="D818" s="4" t="s">
        <v>3515</v>
      </c>
      <c r="E818" s="4" t="s">
        <v>3375</v>
      </c>
      <c r="F818" s="127" t="n">
        <v>46065</v>
      </c>
      <c r="G818" s="127" t="n">
        <v>46066</v>
      </c>
      <c r="H818" s="127" t="n">
        <v>46293</v>
      </c>
      <c r="I818" s="4" t="n">
        <v>100</v>
      </c>
      <c r="J818" s="4" t="n">
        <v>100</v>
      </c>
      <c r="K818" s="4" t="n">
        <v>100</v>
      </c>
      <c r="M818" s="2" t="str">
        <f aca="false">IF(C818="","",IFERROR(INDEX($S$5:$S$304,MATCH(C818,$R$5:$R$304,0))&amp;"","?"))</f>
        <v>17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-3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18978024</v>
      </c>
      <c r="C819" s="4" t="s">
        <v>2714</v>
      </c>
      <c r="D819" s="4" t="s">
        <v>3516</v>
      </c>
      <c r="E819" s="4" t="s">
        <v>3375</v>
      </c>
      <c r="F819" s="127" t="n">
        <v>46071</v>
      </c>
      <c r="G819" s="127" t="n">
        <v>46071</v>
      </c>
      <c r="H819" s="127" t="n">
        <v>46293</v>
      </c>
      <c r="I819" s="4" t="n">
        <v>100</v>
      </c>
      <c r="J819" s="4" t="n">
        <v>100</v>
      </c>
      <c r="K819" s="4" t="n">
        <v>100</v>
      </c>
      <c r="M819" s="2" t="str">
        <f aca="false">IF(C819="","",IFERROR(INDEX($S$5:$S$304,MATCH(C819,$R$5:$R$304,0))&amp;"","?"))</f>
        <v>17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-3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18978025</v>
      </c>
      <c r="C820" s="4" t="s">
        <v>2714</v>
      </c>
      <c r="D820" s="4" t="s">
        <v>3536</v>
      </c>
      <c r="E820" s="4" t="s">
        <v>3375</v>
      </c>
      <c r="F820" s="127" t="n">
        <v>46066</v>
      </c>
      <c r="G820" s="127" t="n">
        <v>46076</v>
      </c>
      <c r="H820" s="127" t="n">
        <v>46293</v>
      </c>
      <c r="I820" s="4" t="n">
        <v>100</v>
      </c>
      <c r="J820" s="4" t="n">
        <v>100</v>
      </c>
      <c r="K820" s="4" t="n">
        <v>100</v>
      </c>
      <c r="M820" s="2" t="str">
        <f aca="false">IF(C820="","",IFERROR(INDEX($S$5:$S$304,MATCH(C820,$R$5:$R$304,0))&amp;"","?"))</f>
        <v>17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-3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18978026</v>
      </c>
      <c r="C821" s="4" t="s">
        <v>2714</v>
      </c>
      <c r="D821" s="4" t="s">
        <v>3537</v>
      </c>
      <c r="E821" s="4" t="s">
        <v>3375</v>
      </c>
      <c r="F821" s="127" t="n">
        <v>46077</v>
      </c>
      <c r="G821" s="127" t="n">
        <v>46077</v>
      </c>
      <c r="H821" s="127" t="n">
        <v>46293</v>
      </c>
      <c r="I821" s="4" t="n">
        <v>100</v>
      </c>
      <c r="J821" s="4" t="n">
        <v>100</v>
      </c>
      <c r="K821" s="4" t="n">
        <v>100</v>
      </c>
      <c r="M821" s="2" t="str">
        <f aca="false">IF(C821="","",IFERROR(INDEX($S$5:$S$304,MATCH(C821,$R$5:$R$304,0))&amp;"","?"))</f>
        <v>17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-3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26206696</v>
      </c>
      <c r="C822" s="4" t="s">
        <v>2702</v>
      </c>
      <c r="D822" s="4" t="s">
        <v>433</v>
      </c>
      <c r="E822" s="4" t="s">
        <v>3375</v>
      </c>
      <c r="F822" s="127" t="n">
        <v>46072</v>
      </c>
      <c r="G822" s="127" t="n">
        <v>46092</v>
      </c>
      <c r="H822" s="127" t="n">
        <v>46293</v>
      </c>
      <c r="I822" s="4" t="n">
        <v>100</v>
      </c>
      <c r="J822" s="4" t="n">
        <v>100</v>
      </c>
      <c r="K822" s="4" t="n">
        <v>100</v>
      </c>
      <c r="M822" s="2" t="str">
        <f aca="false">IF(C822="","",IFERROR(INDEX($S$5:$S$304,MATCH(C822,$R$5:$R$304,0))&amp;"","?"))</f>
        <v>17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-3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9364320</v>
      </c>
      <c r="C823" s="4" t="s">
        <v>2702</v>
      </c>
      <c r="D823" s="4" t="s">
        <v>3244</v>
      </c>
      <c r="E823" s="4" t="s">
        <v>3375</v>
      </c>
      <c r="F823" s="127" t="n">
        <v>46072</v>
      </c>
      <c r="G823" s="127" t="n">
        <v>46077</v>
      </c>
      <c r="H823" s="127" t="n">
        <v>46293</v>
      </c>
      <c r="I823" s="4" t="n">
        <v>100</v>
      </c>
      <c r="J823" s="4" t="n">
        <v>100</v>
      </c>
      <c r="K823" s="4" t="n">
        <v>100</v>
      </c>
      <c r="M823" s="2" t="str">
        <f aca="false">IF(C823="","",IFERROR(INDEX($S$5:$S$304,MATCH(C823,$R$5:$R$304,0))&amp;"","?"))</f>
        <v>17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-3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9364321</v>
      </c>
      <c r="C824" s="4" t="s">
        <v>2702</v>
      </c>
      <c r="D824" s="4" t="s">
        <v>3245</v>
      </c>
      <c r="E824" s="4" t="s">
        <v>3375</v>
      </c>
      <c r="F824" s="127" t="n">
        <v>46077</v>
      </c>
      <c r="G824" s="127" t="n">
        <v>46080</v>
      </c>
      <c r="H824" s="127" t="n">
        <v>46293</v>
      </c>
      <c r="I824" s="4" t="n">
        <v>100</v>
      </c>
      <c r="J824" s="4" t="n">
        <v>100</v>
      </c>
      <c r="K824" s="4" t="n">
        <v>100</v>
      </c>
      <c r="M824" s="2" t="str">
        <f aca="false">IF(C824="","",IFERROR(INDEX($S$5:$S$304,MATCH(C824,$R$5:$R$304,0))&amp;"","?"))</f>
        <v>17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-3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9364322</v>
      </c>
      <c r="C825" s="4" t="s">
        <v>2702</v>
      </c>
      <c r="D825" s="4" t="s">
        <v>3246</v>
      </c>
      <c r="E825" s="4" t="s">
        <v>3375</v>
      </c>
      <c r="F825" s="127" t="n">
        <v>46078</v>
      </c>
      <c r="G825" s="127" t="n">
        <v>46083</v>
      </c>
      <c r="H825" s="127" t="n">
        <v>46293</v>
      </c>
      <c r="I825" s="4" t="n">
        <v>100</v>
      </c>
      <c r="J825" s="4" t="n">
        <v>100</v>
      </c>
      <c r="K825" s="4" t="n">
        <v>100</v>
      </c>
      <c r="M825" s="2" t="str">
        <f aca="false">IF(C825="","",IFERROR(INDEX($S$5:$S$304,MATCH(C825,$R$5:$R$304,0))&amp;"","?"))</f>
        <v>17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-3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9364323</v>
      </c>
      <c r="C826" s="4" t="s">
        <v>2702</v>
      </c>
      <c r="D826" s="4" t="s">
        <v>3247</v>
      </c>
      <c r="E826" s="4" t="s">
        <v>3375</v>
      </c>
      <c r="F826" s="127" t="n">
        <v>46084</v>
      </c>
      <c r="G826" s="127" t="n">
        <v>46084</v>
      </c>
      <c r="H826" s="127" t="n">
        <v>46293</v>
      </c>
      <c r="I826" s="4" t="n">
        <v>100</v>
      </c>
      <c r="J826" s="4" t="n">
        <v>100</v>
      </c>
      <c r="K826" s="4" t="n">
        <v>100</v>
      </c>
      <c r="M826" s="2" t="str">
        <f aca="false">IF(C826="","",IFERROR(INDEX($S$5:$S$304,MATCH(C826,$R$5:$R$304,0))&amp;"","?"))</f>
        <v>17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-3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9364324</v>
      </c>
      <c r="C827" s="4" t="s">
        <v>2702</v>
      </c>
      <c r="D827" s="4" t="s">
        <v>3248</v>
      </c>
      <c r="E827" s="4" t="s">
        <v>3375</v>
      </c>
      <c r="F827" s="127" t="n">
        <v>46085</v>
      </c>
      <c r="G827" s="127" t="n">
        <v>46090</v>
      </c>
      <c r="H827" s="127" t="n">
        <v>46293</v>
      </c>
      <c r="I827" s="4" t="n">
        <v>100</v>
      </c>
      <c r="J827" s="4" t="n">
        <v>100</v>
      </c>
      <c r="K827" s="4" t="n">
        <v>100</v>
      </c>
      <c r="M827" s="2" t="str">
        <f aca="false">IF(C827="","",IFERROR(INDEX($S$5:$S$304,MATCH(C827,$R$5:$R$304,0))&amp;"","?"))</f>
        <v>17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-3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9364325</v>
      </c>
      <c r="C828" s="4" t="s">
        <v>2702</v>
      </c>
      <c r="D828" s="4" t="s">
        <v>3249</v>
      </c>
      <c r="E828" s="4" t="s">
        <v>3375</v>
      </c>
      <c r="F828" s="127" t="n">
        <v>46086</v>
      </c>
      <c r="G828" s="127" t="n">
        <v>46091</v>
      </c>
      <c r="H828" s="127" t="n">
        <v>46293</v>
      </c>
      <c r="I828" s="4" t="n">
        <v>100</v>
      </c>
      <c r="J828" s="4" t="n">
        <v>100</v>
      </c>
      <c r="K828" s="4" t="n">
        <v>100</v>
      </c>
      <c r="M828" s="2" t="str">
        <f aca="false">IF(C828="","",IFERROR(INDEX($S$5:$S$304,MATCH(C828,$R$5:$R$304,0))&amp;"","?"))</f>
        <v>17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-3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9364326</v>
      </c>
      <c r="C829" s="4" t="s">
        <v>2702</v>
      </c>
      <c r="D829" s="4" t="s">
        <v>3250</v>
      </c>
      <c r="E829" s="4" t="s">
        <v>3375</v>
      </c>
      <c r="F829" s="127" t="n">
        <v>46090</v>
      </c>
      <c r="G829" s="127" t="n">
        <v>46091</v>
      </c>
      <c r="H829" s="127" t="n">
        <v>46293</v>
      </c>
      <c r="I829" s="4" t="n">
        <v>100</v>
      </c>
      <c r="J829" s="4" t="n">
        <v>100</v>
      </c>
      <c r="K829" s="4" t="n">
        <v>100</v>
      </c>
      <c r="M829" s="2" t="str">
        <f aca="false">IF(C829="","",IFERROR(INDEX($S$5:$S$304,MATCH(C829,$R$5:$R$304,0))&amp;"","?"))</f>
        <v>17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-3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9364327</v>
      </c>
      <c r="C830" s="4" t="s">
        <v>2702</v>
      </c>
      <c r="D830" s="4" t="s">
        <v>3251</v>
      </c>
      <c r="E830" s="4" t="s">
        <v>3375</v>
      </c>
      <c r="F830" s="127" t="n">
        <v>46091</v>
      </c>
      <c r="G830" s="127" t="n">
        <v>46091</v>
      </c>
      <c r="H830" s="127" t="n">
        <v>46293</v>
      </c>
      <c r="I830" s="4" t="n">
        <v>100</v>
      </c>
      <c r="J830" s="4" t="n">
        <v>100</v>
      </c>
      <c r="K830" s="4" t="n">
        <v>100</v>
      </c>
      <c r="M830" s="2" t="str">
        <f aca="false">IF(C830="","",IFERROR(INDEX($S$5:$S$304,MATCH(C830,$R$5:$R$304,0))&amp;"","?"))</f>
        <v>17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-3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9364328</v>
      </c>
      <c r="C831" s="4" t="s">
        <v>2702</v>
      </c>
      <c r="D831" s="4" t="s">
        <v>3252</v>
      </c>
      <c r="E831" s="4" t="s">
        <v>3375</v>
      </c>
      <c r="F831" s="127" t="n">
        <v>46092</v>
      </c>
      <c r="G831" s="127" t="n">
        <v>46092</v>
      </c>
      <c r="H831" s="127" t="n">
        <v>46293</v>
      </c>
      <c r="I831" s="4" t="n">
        <v>100</v>
      </c>
      <c r="J831" s="4" t="n">
        <v>100</v>
      </c>
      <c r="K831" s="4" t="n">
        <v>100</v>
      </c>
      <c r="M831" s="2" t="str">
        <f aca="false">IF(C831="","",IFERROR(INDEX($S$5:$S$304,MATCH(C831,$R$5:$R$304,0))&amp;"","?"))</f>
        <v>17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-3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39121931</v>
      </c>
      <c r="C832" s="4" t="s">
        <v>2729</v>
      </c>
      <c r="D832" s="4" t="s">
        <v>433</v>
      </c>
      <c r="E832" s="4" t="s">
        <v>3375</v>
      </c>
      <c r="F832" s="127" t="n">
        <v>46072</v>
      </c>
      <c r="G832" s="127" t="n">
        <v>46092</v>
      </c>
      <c r="H832" s="127" t="n">
        <v>46293</v>
      </c>
      <c r="I832" s="4" t="n">
        <v>100</v>
      </c>
      <c r="J832" s="4" t="n">
        <v>100</v>
      </c>
      <c r="K832" s="4" t="n">
        <v>100</v>
      </c>
      <c r="M832" s="2" t="str">
        <f aca="false">IF(C832="","",IFERROR(INDEX($S$5:$S$304,MATCH(C832,$R$5:$R$304,0))&amp;"","?"))</f>
        <v>17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-3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18978106</v>
      </c>
      <c r="C833" s="4" t="s">
        <v>2729</v>
      </c>
      <c r="D833" s="4" t="s">
        <v>3556</v>
      </c>
      <c r="E833" s="4" t="s">
        <v>3375</v>
      </c>
      <c r="F833" s="127" t="n">
        <v>46072</v>
      </c>
      <c r="G833" s="127" t="n">
        <v>46077</v>
      </c>
      <c r="H833" s="127" t="n">
        <v>46293</v>
      </c>
      <c r="I833" s="4" t="n">
        <v>100</v>
      </c>
      <c r="J833" s="4" t="n">
        <v>100</v>
      </c>
      <c r="K833" s="4" t="n">
        <v>100</v>
      </c>
      <c r="M833" s="2" t="str">
        <f aca="false">IF(C833="","",IFERROR(INDEX($S$5:$S$304,MATCH(C833,$R$5:$R$304,0))&amp;"","?"))</f>
        <v>17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-3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18978107</v>
      </c>
      <c r="C834" s="4" t="s">
        <v>2729</v>
      </c>
      <c r="D834" s="4" t="s">
        <v>3557</v>
      </c>
      <c r="E834" s="4" t="s">
        <v>3375</v>
      </c>
      <c r="F834" s="127" t="n">
        <v>46076</v>
      </c>
      <c r="G834" s="127" t="n">
        <v>46079</v>
      </c>
      <c r="H834" s="127" t="n">
        <v>46293</v>
      </c>
      <c r="I834" s="4" t="n">
        <v>100</v>
      </c>
      <c r="J834" s="4" t="n">
        <v>100</v>
      </c>
      <c r="K834" s="4" t="n">
        <v>100</v>
      </c>
      <c r="M834" s="2" t="str">
        <f aca="false">IF(C834="","",IFERROR(INDEX($S$5:$S$304,MATCH(C834,$R$5:$R$304,0))&amp;"","?"))</f>
        <v>17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-3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18978108</v>
      </c>
      <c r="C835" s="4" t="s">
        <v>2729</v>
      </c>
      <c r="D835" s="4" t="s">
        <v>3535</v>
      </c>
      <c r="E835" s="4" t="s">
        <v>3375</v>
      </c>
      <c r="F835" s="127" t="n">
        <v>46078</v>
      </c>
      <c r="G835" s="127" t="n">
        <v>46083</v>
      </c>
      <c r="H835" s="127" t="n">
        <v>46293</v>
      </c>
      <c r="I835" s="4" t="n">
        <v>100</v>
      </c>
      <c r="J835" s="4" t="n">
        <v>100</v>
      </c>
      <c r="K835" s="4" t="n">
        <v>100</v>
      </c>
      <c r="M835" s="2" t="str">
        <f aca="false">IF(C835="","",IFERROR(INDEX($S$5:$S$304,MATCH(C835,$R$5:$R$304,0))&amp;"","?"))</f>
        <v>17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-3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18978109</v>
      </c>
      <c r="C836" s="4" t="s">
        <v>2729</v>
      </c>
      <c r="D836" s="4" t="s">
        <v>3515</v>
      </c>
      <c r="E836" s="4" t="s">
        <v>3375</v>
      </c>
      <c r="F836" s="127" t="n">
        <v>46080</v>
      </c>
      <c r="G836" s="127" t="n">
        <v>46083</v>
      </c>
      <c r="H836" s="127" t="n">
        <v>46293</v>
      </c>
      <c r="I836" s="4" t="n">
        <v>100</v>
      </c>
      <c r="J836" s="4" t="n">
        <v>100</v>
      </c>
      <c r="K836" s="4" t="n">
        <v>100</v>
      </c>
      <c r="M836" s="2" t="str">
        <f aca="false">IF(C836="","",IFERROR(INDEX($S$5:$S$304,MATCH(C836,$R$5:$R$304,0))&amp;"","?"))</f>
        <v>17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-3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18978110</v>
      </c>
      <c r="C837" s="4" t="s">
        <v>2729</v>
      </c>
      <c r="D837" s="4" t="s">
        <v>3516</v>
      </c>
      <c r="E837" s="4" t="s">
        <v>3375</v>
      </c>
      <c r="F837" s="127" t="n">
        <v>46084</v>
      </c>
      <c r="G837" s="127" t="n">
        <v>46084</v>
      </c>
      <c r="H837" s="127" t="n">
        <v>46293</v>
      </c>
      <c r="I837" s="4" t="n">
        <v>100</v>
      </c>
      <c r="J837" s="4" t="n">
        <v>100</v>
      </c>
      <c r="K837" s="4" t="n">
        <v>100</v>
      </c>
      <c r="M837" s="2" t="str">
        <f aca="false">IF(C837="","",IFERROR(INDEX($S$5:$S$304,MATCH(C837,$R$5:$R$304,0))&amp;"","?"))</f>
        <v>17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-3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18978111</v>
      </c>
      <c r="C838" s="4" t="s">
        <v>2729</v>
      </c>
      <c r="D838" s="4" t="s">
        <v>3536</v>
      </c>
      <c r="E838" s="4" t="s">
        <v>3375</v>
      </c>
      <c r="F838" s="127" t="n">
        <v>46085</v>
      </c>
      <c r="G838" s="127" t="n">
        <v>46091</v>
      </c>
      <c r="H838" s="127" t="n">
        <v>46293</v>
      </c>
      <c r="I838" s="4" t="n">
        <v>100</v>
      </c>
      <c r="J838" s="4" t="n">
        <v>100</v>
      </c>
      <c r="K838" s="4" t="n">
        <v>100</v>
      </c>
      <c r="M838" s="2" t="str">
        <f aca="false">IF(C838="","",IFERROR(INDEX($S$5:$S$304,MATCH(C838,$R$5:$R$304,0))&amp;"","?"))</f>
        <v>17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-3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18978112</v>
      </c>
      <c r="C839" s="4" t="s">
        <v>2729</v>
      </c>
      <c r="D839" s="4" t="s">
        <v>3537</v>
      </c>
      <c r="E839" s="4" t="s">
        <v>3375</v>
      </c>
      <c r="F839" s="127" t="n">
        <v>46092</v>
      </c>
      <c r="G839" s="127" t="n">
        <v>46092</v>
      </c>
      <c r="H839" s="127" t="n">
        <v>46293</v>
      </c>
      <c r="I839" s="4" t="n">
        <v>100</v>
      </c>
      <c r="J839" s="4" t="n">
        <v>100</v>
      </c>
      <c r="K839" s="4" t="n">
        <v>100</v>
      </c>
      <c r="M839" s="2" t="str">
        <f aca="false">IF(C839="","",IFERROR(INDEX($S$5:$S$304,MATCH(C839,$R$5:$R$304,0))&amp;"","?"))</f>
        <v>17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-3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26209795</v>
      </c>
      <c r="C840" s="4" t="s">
        <v>2711</v>
      </c>
      <c r="D840" s="4" t="s">
        <v>433</v>
      </c>
      <c r="E840" s="4" t="s">
        <v>3375</v>
      </c>
      <c r="F840" s="127" t="n">
        <v>46076</v>
      </c>
      <c r="G840" s="127" t="n">
        <v>46094</v>
      </c>
      <c r="H840" s="127" t="n">
        <v>46293</v>
      </c>
      <c r="I840" s="4" t="n">
        <v>100</v>
      </c>
      <c r="J840" s="4" t="n">
        <v>100</v>
      </c>
      <c r="K840" s="4" t="n">
        <v>100</v>
      </c>
      <c r="M840" s="2" t="str">
        <f aca="false">IF(C840="","",IFERROR(INDEX($S$5:$S$304,MATCH(C840,$R$5:$R$304,0))&amp;"","?"))</f>
        <v>17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-3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9364374</v>
      </c>
      <c r="C841" s="4" t="s">
        <v>2711</v>
      </c>
      <c r="D841" s="4" t="s">
        <v>3244</v>
      </c>
      <c r="E841" s="4" t="s">
        <v>3375</v>
      </c>
      <c r="F841" s="127" t="n">
        <v>46076</v>
      </c>
      <c r="G841" s="127" t="n">
        <v>46079</v>
      </c>
      <c r="H841" s="127" t="n">
        <v>46293</v>
      </c>
      <c r="I841" s="4" t="n">
        <v>100</v>
      </c>
      <c r="J841" s="4" t="n">
        <v>100</v>
      </c>
      <c r="K841" s="4" t="n">
        <v>100</v>
      </c>
      <c r="M841" s="2" t="str">
        <f aca="false">IF(C841="","",IFERROR(INDEX($S$5:$S$304,MATCH(C841,$R$5:$R$304,0))&amp;"","?"))</f>
        <v>17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-3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9364375</v>
      </c>
      <c r="C842" s="4" t="s">
        <v>2711</v>
      </c>
      <c r="D842" s="4" t="s">
        <v>3245</v>
      </c>
      <c r="E842" s="4" t="s">
        <v>3375</v>
      </c>
      <c r="F842" s="127" t="n">
        <v>46079</v>
      </c>
      <c r="G842" s="127" t="n">
        <v>46084</v>
      </c>
      <c r="H842" s="127" t="n">
        <v>46293</v>
      </c>
      <c r="I842" s="4" t="n">
        <v>100</v>
      </c>
      <c r="J842" s="4" t="n">
        <v>100</v>
      </c>
      <c r="K842" s="4" t="n">
        <v>100</v>
      </c>
      <c r="M842" s="2" t="str">
        <f aca="false">IF(C842="","",IFERROR(INDEX($S$5:$S$304,MATCH(C842,$R$5:$R$304,0))&amp;"","?"))</f>
        <v>17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-3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9364376</v>
      </c>
      <c r="C843" s="4" t="s">
        <v>2711</v>
      </c>
      <c r="D843" s="4" t="s">
        <v>3246</v>
      </c>
      <c r="E843" s="4" t="s">
        <v>3375</v>
      </c>
      <c r="F843" s="127" t="n">
        <v>46080</v>
      </c>
      <c r="G843" s="127" t="n">
        <v>46085</v>
      </c>
      <c r="H843" s="127" t="n">
        <v>46293</v>
      </c>
      <c r="I843" s="4" t="n">
        <v>100</v>
      </c>
      <c r="J843" s="4" t="n">
        <v>100</v>
      </c>
      <c r="K843" s="4" t="n">
        <v>100</v>
      </c>
      <c r="M843" s="2" t="str">
        <f aca="false">IF(C843="","",IFERROR(INDEX($S$5:$S$304,MATCH(C843,$R$5:$R$304,0))&amp;"","?"))</f>
        <v>17</v>
      </c>
      <c r="N843" s="2" t="n">
        <f aca="false">IF(E843="","",IF(ISNUMBER(SEARCH("SUBSOLO",E843)),IFERROR(-VALUE(LEFT(E843,FIND("º",SUBSTITUTE(E843,"°","º"))-1)),-1),IF(LEFT(E843,6)="TÉRREO",0,IFERROR(VALUE(LEFT(E843,FIND("º",SUBSTITUTE(E843,"°","º"))-1)),""))))</f>
        <v>-3</v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9364377</v>
      </c>
      <c r="C844" s="4" t="s">
        <v>2711</v>
      </c>
      <c r="D844" s="4" t="s">
        <v>3247</v>
      </c>
      <c r="E844" s="4" t="s">
        <v>3375</v>
      </c>
      <c r="F844" s="127" t="n">
        <v>46086</v>
      </c>
      <c r="G844" s="127" t="n">
        <v>46086</v>
      </c>
      <c r="H844" s="127" t="n">
        <v>46293</v>
      </c>
      <c r="I844" s="4" t="n">
        <v>100</v>
      </c>
      <c r="J844" s="4" t="n">
        <v>100</v>
      </c>
      <c r="K844" s="4" t="n">
        <v>100</v>
      </c>
      <c r="M844" s="2" t="str">
        <f aca="false">IF(C844="","",IFERROR(INDEX($S$5:$S$304,MATCH(C844,$R$5:$R$304,0))&amp;"","?"))</f>
        <v>17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-3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9364378</v>
      </c>
      <c r="C845" s="4" t="s">
        <v>2711</v>
      </c>
      <c r="D845" s="4" t="s">
        <v>3248</v>
      </c>
      <c r="E845" s="4" t="s">
        <v>3375</v>
      </c>
      <c r="F845" s="127" t="n">
        <v>46087</v>
      </c>
      <c r="G845" s="127" t="n">
        <v>46092</v>
      </c>
      <c r="H845" s="127" t="n">
        <v>46293</v>
      </c>
      <c r="I845" s="4" t="n">
        <v>100</v>
      </c>
      <c r="J845" s="4" t="n">
        <v>100</v>
      </c>
      <c r="K845" s="4" t="n">
        <v>100</v>
      </c>
      <c r="M845" s="2" t="str">
        <f aca="false">IF(C845="","",IFERROR(INDEX($S$5:$S$304,MATCH(C845,$R$5:$R$304,0))&amp;"","?"))</f>
        <v>17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-3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9364379</v>
      </c>
      <c r="C846" s="4" t="s">
        <v>2711</v>
      </c>
      <c r="D846" s="4" t="s">
        <v>3249</v>
      </c>
      <c r="E846" s="4" t="s">
        <v>3375</v>
      </c>
      <c r="F846" s="127" t="n">
        <v>46090</v>
      </c>
      <c r="G846" s="127" t="n">
        <v>46093</v>
      </c>
      <c r="H846" s="127" t="n">
        <v>46293</v>
      </c>
      <c r="I846" s="4" t="n">
        <v>100</v>
      </c>
      <c r="J846" s="4" t="n">
        <v>100</v>
      </c>
      <c r="K846" s="4" t="n">
        <v>100</v>
      </c>
      <c r="M846" s="2" t="str">
        <f aca="false">IF(C846="","",IFERROR(INDEX($S$5:$S$304,MATCH(C846,$R$5:$R$304,0))&amp;"","?"))</f>
        <v>17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-3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9364380</v>
      </c>
      <c r="C847" s="4" t="s">
        <v>2711</v>
      </c>
      <c r="D847" s="4" t="s">
        <v>3250</v>
      </c>
      <c r="E847" s="4" t="s">
        <v>3375</v>
      </c>
      <c r="F847" s="127" t="n">
        <v>46092</v>
      </c>
      <c r="G847" s="127" t="n">
        <v>46093</v>
      </c>
      <c r="H847" s="127" t="n">
        <v>46293</v>
      </c>
      <c r="I847" s="4" t="n">
        <v>100</v>
      </c>
      <c r="J847" s="4" t="n">
        <v>100</v>
      </c>
      <c r="K847" s="4" t="n">
        <v>100</v>
      </c>
      <c r="M847" s="2" t="str">
        <f aca="false">IF(C847="","",IFERROR(INDEX($S$5:$S$304,MATCH(C847,$R$5:$R$304,0))&amp;"","?"))</f>
        <v>17</v>
      </c>
      <c r="N847" s="2" t="n">
        <f aca="false">IF(E847="","",IF(ISNUMBER(SEARCH("SUBSOLO",E847)),IFERROR(-VALUE(LEFT(E847,FIND("º",SUBSTITUTE(E847,"°","º"))-1)),-1),IF(LEFT(E847,6)="TÉRREO",0,IFERROR(VALUE(LEFT(E847,FIND("º",SUBSTITUTE(E847,"°","º"))-1)),""))))</f>
        <v>-3</v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9364381</v>
      </c>
      <c r="C848" s="4" t="s">
        <v>2711</v>
      </c>
      <c r="D848" s="4" t="s">
        <v>3251</v>
      </c>
      <c r="E848" s="4" t="s">
        <v>3375</v>
      </c>
      <c r="F848" s="127" t="n">
        <v>46093</v>
      </c>
      <c r="G848" s="127" t="n">
        <v>46093</v>
      </c>
      <c r="H848" s="127" t="n">
        <v>46293</v>
      </c>
      <c r="I848" s="4" t="n">
        <v>100</v>
      </c>
      <c r="J848" s="4" t="n">
        <v>100</v>
      </c>
      <c r="K848" s="4" t="n">
        <v>100</v>
      </c>
      <c r="M848" s="2" t="str">
        <f aca="false">IF(C848="","",IFERROR(INDEX($S$5:$S$304,MATCH(C848,$R$5:$R$304,0))&amp;"","?"))</f>
        <v>17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-3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9364382</v>
      </c>
      <c r="C849" s="4" t="s">
        <v>2711</v>
      </c>
      <c r="D849" s="4" t="s">
        <v>3252</v>
      </c>
      <c r="E849" s="4" t="s">
        <v>3375</v>
      </c>
      <c r="F849" s="127" t="n">
        <v>46094</v>
      </c>
      <c r="G849" s="127" t="n">
        <v>46094</v>
      </c>
      <c r="H849" s="127" t="n">
        <v>46293</v>
      </c>
      <c r="I849" s="4" t="n">
        <v>100</v>
      </c>
      <c r="J849" s="4" t="n">
        <v>100</v>
      </c>
      <c r="K849" s="4" t="n">
        <v>100</v>
      </c>
      <c r="M849" s="2" t="str">
        <f aca="false">IF(C849="","",IFERROR(INDEX($S$5:$S$304,MATCH(C849,$R$5:$R$304,0))&amp;"","?"))</f>
        <v>17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-3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39121770</v>
      </c>
      <c r="C850" s="4" t="s">
        <v>2719</v>
      </c>
      <c r="D850" s="4" t="s">
        <v>433</v>
      </c>
      <c r="E850" s="4" t="s">
        <v>3375</v>
      </c>
      <c r="F850" s="127" t="n">
        <v>46076</v>
      </c>
      <c r="G850" s="127" t="n">
        <v>46094</v>
      </c>
      <c r="H850" s="127" t="n">
        <v>46293</v>
      </c>
      <c r="I850" s="4" t="n">
        <v>100</v>
      </c>
      <c r="J850" s="4" t="n">
        <v>100</v>
      </c>
      <c r="K850" s="4" t="n">
        <v>100</v>
      </c>
      <c r="M850" s="2" t="str">
        <f aca="false">IF(C850="","",IFERROR(INDEX($S$5:$S$304,MATCH(C850,$R$5:$R$304,0))&amp;"","?"))</f>
        <v>17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-3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18978045</v>
      </c>
      <c r="C851" s="4" t="s">
        <v>2719</v>
      </c>
      <c r="D851" s="4" t="s">
        <v>3556</v>
      </c>
      <c r="E851" s="4" t="s">
        <v>3375</v>
      </c>
      <c r="F851" s="127" t="n">
        <v>46076</v>
      </c>
      <c r="G851" s="127" t="n">
        <v>46079</v>
      </c>
      <c r="H851" s="127" t="n">
        <v>46293</v>
      </c>
      <c r="I851" s="4" t="n">
        <v>100</v>
      </c>
      <c r="J851" s="4" t="n">
        <v>100</v>
      </c>
      <c r="K851" s="4" t="n">
        <v>100</v>
      </c>
      <c r="M851" s="2" t="str">
        <f aca="false">IF(C851="","",IFERROR(INDEX($S$5:$S$304,MATCH(C851,$R$5:$R$304,0))&amp;"","?"))</f>
        <v>17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-3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18978046</v>
      </c>
      <c r="C852" s="4" t="s">
        <v>2719</v>
      </c>
      <c r="D852" s="4" t="s">
        <v>3555</v>
      </c>
      <c r="E852" s="4" t="s">
        <v>3375</v>
      </c>
      <c r="F852" s="127" t="n">
        <v>46078</v>
      </c>
      <c r="G852" s="127" t="n">
        <v>46083</v>
      </c>
      <c r="H852" s="127" t="n">
        <v>46293</v>
      </c>
      <c r="I852" s="4" t="n">
        <v>100</v>
      </c>
      <c r="J852" s="4" t="n">
        <v>100</v>
      </c>
      <c r="K852" s="4" t="n">
        <v>100</v>
      </c>
      <c r="M852" s="2" t="str">
        <f aca="false">IF(C852="","",IFERROR(INDEX($S$5:$S$304,MATCH(C852,$R$5:$R$304,0))&amp;"","?"))</f>
        <v>17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-3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18978047</v>
      </c>
      <c r="C853" s="4" t="s">
        <v>2719</v>
      </c>
      <c r="D853" s="4" t="s">
        <v>3535</v>
      </c>
      <c r="E853" s="4" t="s">
        <v>3375</v>
      </c>
      <c r="F853" s="127" t="n">
        <v>46080</v>
      </c>
      <c r="G853" s="127" t="n">
        <v>46085</v>
      </c>
      <c r="H853" s="127" t="n">
        <v>46293</v>
      </c>
      <c r="I853" s="4" t="n">
        <v>100</v>
      </c>
      <c r="J853" s="4" t="n">
        <v>100</v>
      </c>
      <c r="K853" s="4" t="n">
        <v>100</v>
      </c>
      <c r="M853" s="2" t="str">
        <f aca="false">IF(C853="","",IFERROR(INDEX($S$5:$S$304,MATCH(C853,$R$5:$R$304,0))&amp;"","?"))</f>
        <v>17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-3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18978048</v>
      </c>
      <c r="C854" s="4" t="s">
        <v>2719</v>
      </c>
      <c r="D854" s="4" t="s">
        <v>3515</v>
      </c>
      <c r="E854" s="4" t="s">
        <v>3375</v>
      </c>
      <c r="F854" s="127" t="n">
        <v>46084</v>
      </c>
      <c r="G854" s="127" t="n">
        <v>46085</v>
      </c>
      <c r="H854" s="127" t="n">
        <v>46293</v>
      </c>
      <c r="I854" s="4" t="n">
        <v>100</v>
      </c>
      <c r="J854" s="4" t="n">
        <v>100</v>
      </c>
      <c r="K854" s="4" t="n">
        <v>100</v>
      </c>
      <c r="M854" s="2" t="str">
        <f aca="false">IF(C854="","",IFERROR(INDEX($S$5:$S$304,MATCH(C854,$R$5:$R$304,0))&amp;"","?"))</f>
        <v>17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-3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18978049</v>
      </c>
      <c r="C855" s="4" t="s">
        <v>2719</v>
      </c>
      <c r="D855" s="4" t="s">
        <v>3516</v>
      </c>
      <c r="E855" s="4" t="s">
        <v>3375</v>
      </c>
      <c r="F855" s="127" t="n">
        <v>46086</v>
      </c>
      <c r="G855" s="127" t="n">
        <v>46086</v>
      </c>
      <c r="H855" s="127" t="n">
        <v>46293</v>
      </c>
      <c r="I855" s="4" t="n">
        <v>100</v>
      </c>
      <c r="J855" s="4" t="n">
        <v>100</v>
      </c>
      <c r="K855" s="4" t="n">
        <v>100</v>
      </c>
      <c r="M855" s="2" t="str">
        <f aca="false">IF(C855="","",IFERROR(INDEX($S$5:$S$304,MATCH(C855,$R$5:$R$304,0))&amp;"","?"))</f>
        <v>17</v>
      </c>
      <c r="N855" s="2" t="n">
        <f aca="false">IF(E855="","",IF(ISNUMBER(SEARCH("SUBSOLO",E855)),IFERROR(-VALUE(LEFT(E855,FIND("º",SUBSTITUTE(E855,"°","º"))-1)),-1),IF(LEFT(E855,6)="TÉRREO",0,IFERROR(VALUE(LEFT(E855,FIND("º",SUBSTITUTE(E855,"°","º"))-1)),""))))</f>
        <v>-3</v>
      </c>
      <c r="O855" s="2" t="str">
        <f aca="false">IF(OR(F855="",G855=""),"",IF(G855&lt;='RETRATO 2027'!$K$5,"CONCLUÍDA",IF(F855&lt;='RETRATO 2027'!$K$5,"EM ANDAMENTO","A INICIAR")))</f>
        <v>CONCLUÍDA</v>
      </c>
    </row>
    <row r="856" customFormat="false" ht="15" hidden="false" customHeight="false" outlineLevel="0" collapsed="false">
      <c r="B856" s="4" t="n">
        <v>18978050</v>
      </c>
      <c r="C856" s="4" t="s">
        <v>2719</v>
      </c>
      <c r="D856" s="4" t="s">
        <v>3536</v>
      </c>
      <c r="E856" s="4" t="s">
        <v>3375</v>
      </c>
      <c r="F856" s="127" t="n">
        <v>46087</v>
      </c>
      <c r="G856" s="127" t="n">
        <v>46093</v>
      </c>
      <c r="H856" s="127" t="n">
        <v>46293</v>
      </c>
      <c r="I856" s="4" t="n">
        <v>100</v>
      </c>
      <c r="J856" s="4" t="n">
        <v>100</v>
      </c>
      <c r="K856" s="4" t="n">
        <v>100</v>
      </c>
      <c r="M856" s="2" t="str">
        <f aca="false">IF(C856="","",IFERROR(INDEX($S$5:$S$304,MATCH(C856,$R$5:$R$304,0))&amp;"","?"))</f>
        <v>17</v>
      </c>
      <c r="N856" s="2" t="n">
        <f aca="false">IF(E856="","",IF(ISNUMBER(SEARCH("SUBSOLO",E856)),IFERROR(-VALUE(LEFT(E856,FIND("º",SUBSTITUTE(E856,"°","º"))-1)),-1),IF(LEFT(E856,6)="TÉRREO",0,IFERROR(VALUE(LEFT(E856,FIND("º",SUBSTITUTE(E856,"°","º"))-1)),""))))</f>
        <v>-3</v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18978051</v>
      </c>
      <c r="C857" s="4" t="s">
        <v>2719</v>
      </c>
      <c r="D857" s="4" t="s">
        <v>3537</v>
      </c>
      <c r="E857" s="4" t="s">
        <v>3375</v>
      </c>
      <c r="F857" s="127" t="n">
        <v>46094</v>
      </c>
      <c r="G857" s="127" t="n">
        <v>46094</v>
      </c>
      <c r="H857" s="127" t="n">
        <v>46293</v>
      </c>
      <c r="I857" s="4" t="n">
        <v>100</v>
      </c>
      <c r="J857" s="4" t="n">
        <v>100</v>
      </c>
      <c r="K857" s="4" t="n">
        <v>100</v>
      </c>
      <c r="M857" s="2" t="str">
        <f aca="false">IF(C857="","",IFERROR(INDEX($S$5:$S$304,MATCH(C857,$R$5:$R$304,0))&amp;"","?"))</f>
        <v>17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-3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24939970</v>
      </c>
      <c r="C858" s="4" t="s">
        <v>2705</v>
      </c>
      <c r="D858" s="4" t="s">
        <v>433</v>
      </c>
      <c r="E858" s="4" t="s">
        <v>3449</v>
      </c>
      <c r="F858" s="127" t="n">
        <v>46078</v>
      </c>
      <c r="G858" s="127" t="n">
        <v>46098</v>
      </c>
      <c r="H858" s="127" t="n">
        <v>46293</v>
      </c>
      <c r="I858" s="4" t="n">
        <v>100</v>
      </c>
      <c r="J858" s="4" t="n">
        <v>100</v>
      </c>
      <c r="K858" s="4" t="n">
        <v>100</v>
      </c>
      <c r="M858" s="2" t="str">
        <f aca="false">IF(C858="","",IFERROR(INDEX($S$5:$S$304,MATCH(C858,$R$5:$R$304,0))&amp;"","?"))</f>
        <v>17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-2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9360187</v>
      </c>
      <c r="C859" s="4" t="s">
        <v>2705</v>
      </c>
      <c r="D859" s="4" t="s">
        <v>3244</v>
      </c>
      <c r="E859" s="4" t="s">
        <v>3449</v>
      </c>
      <c r="F859" s="127" t="n">
        <v>46078</v>
      </c>
      <c r="G859" s="127" t="n">
        <v>46084</v>
      </c>
      <c r="H859" s="127" t="n">
        <v>46293</v>
      </c>
      <c r="I859" s="4" t="n">
        <v>100</v>
      </c>
      <c r="J859" s="4" t="n">
        <v>100</v>
      </c>
      <c r="K859" s="4" t="n">
        <v>100</v>
      </c>
      <c r="M859" s="2" t="str">
        <f aca="false">IF(C859="","",IFERROR(INDEX($S$5:$S$304,MATCH(C859,$R$5:$R$304,0))&amp;"","?"))</f>
        <v>17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-2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9360188</v>
      </c>
      <c r="C860" s="4" t="s">
        <v>2705</v>
      </c>
      <c r="D860" s="4" t="s">
        <v>3245</v>
      </c>
      <c r="E860" s="4" t="s">
        <v>3449</v>
      </c>
      <c r="F860" s="127" t="n">
        <v>46084</v>
      </c>
      <c r="G860" s="127" t="n">
        <v>46086</v>
      </c>
      <c r="H860" s="127" t="n">
        <v>46293</v>
      </c>
      <c r="I860" s="4" t="n">
        <v>100</v>
      </c>
      <c r="J860" s="4" t="n">
        <v>100</v>
      </c>
      <c r="K860" s="4" t="n">
        <v>100</v>
      </c>
      <c r="M860" s="2" t="str">
        <f aca="false">IF(C860="","",IFERROR(INDEX($S$5:$S$304,MATCH(C860,$R$5:$R$304,0))&amp;"","?"))</f>
        <v>17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-2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9360189</v>
      </c>
      <c r="C861" s="4" t="s">
        <v>2705</v>
      </c>
      <c r="D861" s="4" t="s">
        <v>3246</v>
      </c>
      <c r="E861" s="4" t="s">
        <v>3449</v>
      </c>
      <c r="F861" s="127" t="n">
        <v>46085</v>
      </c>
      <c r="G861" s="127" t="n">
        <v>46087</v>
      </c>
      <c r="H861" s="127" t="n">
        <v>46293</v>
      </c>
      <c r="I861" s="4" t="n">
        <v>100</v>
      </c>
      <c r="J861" s="4" t="n">
        <v>100</v>
      </c>
      <c r="K861" s="4" t="n">
        <v>100</v>
      </c>
      <c r="M861" s="2" t="str">
        <f aca="false">IF(C861="","",IFERROR(INDEX($S$5:$S$304,MATCH(C861,$R$5:$R$304,0))&amp;"","?"))</f>
        <v>17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-2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9360190</v>
      </c>
      <c r="C862" s="4" t="s">
        <v>2705</v>
      </c>
      <c r="D862" s="4" t="s">
        <v>3247</v>
      </c>
      <c r="E862" s="4" t="s">
        <v>3449</v>
      </c>
      <c r="F862" s="127" t="n">
        <v>46090</v>
      </c>
      <c r="G862" s="127" t="n">
        <v>46090</v>
      </c>
      <c r="H862" s="127" t="n">
        <v>46293</v>
      </c>
      <c r="I862" s="4" t="n">
        <v>100</v>
      </c>
      <c r="J862" s="4" t="n">
        <v>100</v>
      </c>
      <c r="K862" s="4" t="n">
        <v>100</v>
      </c>
      <c r="M862" s="2" t="str">
        <f aca="false">IF(C862="","",IFERROR(INDEX($S$5:$S$304,MATCH(C862,$R$5:$R$304,0))&amp;"","?"))</f>
        <v>17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-2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9360191</v>
      </c>
      <c r="C863" s="4" t="s">
        <v>2705</v>
      </c>
      <c r="D863" s="4" t="s">
        <v>3248</v>
      </c>
      <c r="E863" s="4" t="s">
        <v>3449</v>
      </c>
      <c r="F863" s="127" t="n">
        <v>46091</v>
      </c>
      <c r="G863" s="127" t="n">
        <v>46097</v>
      </c>
      <c r="H863" s="127" t="n">
        <v>46293</v>
      </c>
      <c r="I863" s="4" t="n">
        <v>100</v>
      </c>
      <c r="J863" s="4" t="n">
        <v>100</v>
      </c>
      <c r="K863" s="4" t="n">
        <v>100</v>
      </c>
      <c r="M863" s="2" t="str">
        <f aca="false">IF(C863="","",IFERROR(INDEX($S$5:$S$304,MATCH(C863,$R$5:$R$304,0))&amp;"","?"))</f>
        <v>17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-2</v>
      </c>
      <c r="O863" s="2" t="str">
        <f aca="false">IF(OR(F863="",G863=""),"",IF(G863&lt;='RETRATO 2027'!$K$5,"CONCLUÍDA",IF(F863&lt;='RETRATO 2027'!$K$5,"EM ANDAMENTO","A INICIAR")))</f>
        <v>CONCLUÍDA</v>
      </c>
    </row>
    <row r="864" customFormat="false" ht="15" hidden="false" customHeight="false" outlineLevel="0" collapsed="false">
      <c r="B864" s="4" t="n">
        <v>9360192</v>
      </c>
      <c r="C864" s="4" t="s">
        <v>2705</v>
      </c>
      <c r="D864" s="4" t="s">
        <v>3249</v>
      </c>
      <c r="E864" s="4" t="s">
        <v>3449</v>
      </c>
      <c r="F864" s="127" t="n">
        <v>46092</v>
      </c>
      <c r="G864" s="127" t="n">
        <v>46098</v>
      </c>
      <c r="H864" s="127" t="n">
        <v>46293</v>
      </c>
      <c r="I864" s="4" t="n">
        <v>100</v>
      </c>
      <c r="J864" s="4" t="n">
        <v>100</v>
      </c>
      <c r="K864" s="4" t="n">
        <v>100</v>
      </c>
      <c r="M864" s="2" t="str">
        <f aca="false">IF(C864="","",IFERROR(INDEX($S$5:$S$304,MATCH(C864,$R$5:$R$304,0))&amp;"","?"))</f>
        <v>17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-2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9360193</v>
      </c>
      <c r="C865" s="4" t="s">
        <v>2705</v>
      </c>
      <c r="D865" s="4" t="s">
        <v>3250</v>
      </c>
      <c r="E865" s="4" t="s">
        <v>3449</v>
      </c>
      <c r="F865" s="127" t="n">
        <v>46097</v>
      </c>
      <c r="G865" s="127" t="n">
        <v>46097</v>
      </c>
      <c r="H865" s="127" t="n">
        <v>46293</v>
      </c>
      <c r="I865" s="4" t="n">
        <v>100</v>
      </c>
      <c r="J865" s="4" t="n">
        <v>100</v>
      </c>
      <c r="K865" s="4" t="n">
        <v>100</v>
      </c>
      <c r="M865" s="2" t="str">
        <f aca="false">IF(C865="","",IFERROR(INDEX($S$5:$S$304,MATCH(C865,$R$5:$R$304,0))&amp;"","?"))</f>
        <v>17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-2</v>
      </c>
      <c r="O865" s="2" t="str">
        <f aca="false">IF(OR(F865="",G865=""),"",IF(G865&lt;='RETRATO 2027'!$K$5,"CONCLUÍDA",IF(F865&lt;='RETRATO 2027'!$K$5,"EM ANDAMENTO","A INICIAR")))</f>
        <v>CONCLUÍDA</v>
      </c>
    </row>
    <row r="866" customFormat="false" ht="15" hidden="false" customHeight="false" outlineLevel="0" collapsed="false">
      <c r="B866" s="4" t="n">
        <v>9360194</v>
      </c>
      <c r="C866" s="4" t="s">
        <v>2705</v>
      </c>
      <c r="D866" s="4" t="s">
        <v>3251</v>
      </c>
      <c r="E866" s="4" t="s">
        <v>3449</v>
      </c>
      <c r="F866" s="127" t="n">
        <v>46097</v>
      </c>
      <c r="G866" s="127" t="n">
        <v>46097</v>
      </c>
      <c r="H866" s="127" t="n">
        <v>46293</v>
      </c>
      <c r="I866" s="4" t="n">
        <v>100</v>
      </c>
      <c r="J866" s="4" t="n">
        <v>100</v>
      </c>
      <c r="K866" s="4" t="n">
        <v>100</v>
      </c>
      <c r="M866" s="2" t="str">
        <f aca="false">IF(C866="","",IFERROR(INDEX($S$5:$S$304,MATCH(C866,$R$5:$R$304,0))&amp;"","?"))</f>
        <v>17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-2</v>
      </c>
      <c r="O866" s="2" t="str">
        <f aca="false">IF(OR(F866="",G866=""),"",IF(G866&lt;='RETRATO 2027'!$K$5,"CONCLUÍDA",IF(F866&lt;='RETRATO 2027'!$K$5,"EM ANDAMENTO","A INICIAR")))</f>
        <v>CONCLUÍDA</v>
      </c>
    </row>
    <row r="867" customFormat="false" ht="15" hidden="false" customHeight="false" outlineLevel="0" collapsed="false">
      <c r="B867" s="4" t="n">
        <v>9360195</v>
      </c>
      <c r="C867" s="4" t="s">
        <v>2705</v>
      </c>
      <c r="D867" s="4" t="s">
        <v>3252</v>
      </c>
      <c r="E867" s="4" t="s">
        <v>3449</v>
      </c>
      <c r="F867" s="127" t="n">
        <v>46098</v>
      </c>
      <c r="G867" s="127" t="n">
        <v>46098</v>
      </c>
      <c r="H867" s="127" t="n">
        <v>46293</v>
      </c>
      <c r="I867" s="4" t="n">
        <v>100</v>
      </c>
      <c r="J867" s="4" t="n">
        <v>100</v>
      </c>
      <c r="K867" s="4" t="n">
        <v>100</v>
      </c>
      <c r="M867" s="2" t="str">
        <f aca="false">IF(C867="","",IFERROR(INDEX($S$5:$S$304,MATCH(C867,$R$5:$R$304,0))&amp;"","?"))</f>
        <v>17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-2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39122801</v>
      </c>
      <c r="C868" s="4" t="s">
        <v>2714</v>
      </c>
      <c r="D868" s="4" t="s">
        <v>433</v>
      </c>
      <c r="E868" s="4" t="s">
        <v>3449</v>
      </c>
      <c r="F868" s="127" t="n">
        <v>46078</v>
      </c>
      <c r="G868" s="127" t="n">
        <v>46098</v>
      </c>
      <c r="H868" s="127" t="n">
        <v>46293</v>
      </c>
      <c r="I868" s="4" t="n">
        <v>100</v>
      </c>
      <c r="J868" s="4" t="n">
        <v>100</v>
      </c>
      <c r="K868" s="4" t="n">
        <v>100</v>
      </c>
      <c r="M868" s="2" t="str">
        <f aca="false">IF(C868="","",IFERROR(INDEX($S$5:$S$304,MATCH(C868,$R$5:$R$304,0))&amp;"","?"))</f>
        <v>17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-2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18978876</v>
      </c>
      <c r="C869" s="4" t="s">
        <v>2714</v>
      </c>
      <c r="D869" s="4" t="s">
        <v>3556</v>
      </c>
      <c r="E869" s="4" t="s">
        <v>3449</v>
      </c>
      <c r="F869" s="127" t="n">
        <v>46078</v>
      </c>
      <c r="G869" s="127" t="n">
        <v>46080</v>
      </c>
      <c r="H869" s="127" t="n">
        <v>46293</v>
      </c>
      <c r="I869" s="4" t="n">
        <v>100</v>
      </c>
      <c r="J869" s="4" t="n">
        <v>100</v>
      </c>
      <c r="K869" s="4" t="n">
        <v>100</v>
      </c>
      <c r="M869" s="2" t="str">
        <f aca="false">IF(C869="","",IFERROR(INDEX($S$5:$S$304,MATCH(C869,$R$5:$R$304,0))&amp;"","?"))</f>
        <v>17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-2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18978877</v>
      </c>
      <c r="C870" s="4" t="s">
        <v>2714</v>
      </c>
      <c r="D870" s="4" t="s">
        <v>3557</v>
      </c>
      <c r="E870" s="4" t="s">
        <v>3449</v>
      </c>
      <c r="F870" s="127" t="n">
        <v>46079</v>
      </c>
      <c r="G870" s="127" t="n">
        <v>46083</v>
      </c>
      <c r="H870" s="127" t="n">
        <v>46293</v>
      </c>
      <c r="I870" s="4" t="n">
        <v>100</v>
      </c>
      <c r="J870" s="4" t="n">
        <v>100</v>
      </c>
      <c r="K870" s="4" t="n">
        <v>100</v>
      </c>
      <c r="M870" s="2" t="str">
        <f aca="false">IF(C870="","",IFERROR(INDEX($S$5:$S$304,MATCH(C870,$R$5:$R$304,0))&amp;"","?"))</f>
        <v>17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-2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18978878</v>
      </c>
      <c r="C871" s="4" t="s">
        <v>2714</v>
      </c>
      <c r="D871" s="4" t="s">
        <v>3535</v>
      </c>
      <c r="E871" s="4" t="s">
        <v>3449</v>
      </c>
      <c r="F871" s="127" t="n">
        <v>46080</v>
      </c>
      <c r="G871" s="127" t="n">
        <v>46085</v>
      </c>
      <c r="H871" s="127" t="n">
        <v>46293</v>
      </c>
      <c r="I871" s="4" t="n">
        <v>100</v>
      </c>
      <c r="J871" s="4" t="n">
        <v>100</v>
      </c>
      <c r="K871" s="4" t="n">
        <v>100</v>
      </c>
      <c r="M871" s="2" t="str">
        <f aca="false">IF(C871="","",IFERROR(INDEX($S$5:$S$304,MATCH(C871,$R$5:$R$304,0))&amp;"","?"))</f>
        <v>17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-2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18978879</v>
      </c>
      <c r="C872" s="4" t="s">
        <v>2714</v>
      </c>
      <c r="D872" s="4" t="s">
        <v>3515</v>
      </c>
      <c r="E872" s="4" t="s">
        <v>3449</v>
      </c>
      <c r="F872" s="127" t="n">
        <v>46086</v>
      </c>
      <c r="G872" s="127" t="n">
        <v>46087</v>
      </c>
      <c r="H872" s="127" t="n">
        <v>46293</v>
      </c>
      <c r="I872" s="4" t="n">
        <v>100</v>
      </c>
      <c r="J872" s="4" t="n">
        <v>100</v>
      </c>
      <c r="K872" s="4" t="n">
        <v>100</v>
      </c>
      <c r="M872" s="2" t="str">
        <f aca="false">IF(C872="","",IFERROR(INDEX($S$5:$S$304,MATCH(C872,$R$5:$R$304,0))&amp;"","?"))</f>
        <v>17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-2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18978880</v>
      </c>
      <c r="C873" s="4" t="s">
        <v>2714</v>
      </c>
      <c r="D873" s="4" t="s">
        <v>3516</v>
      </c>
      <c r="E873" s="4" t="s">
        <v>3449</v>
      </c>
      <c r="F873" s="127" t="n">
        <v>46090</v>
      </c>
      <c r="G873" s="127" t="n">
        <v>46090</v>
      </c>
      <c r="H873" s="127" t="n">
        <v>46293</v>
      </c>
      <c r="I873" s="4" t="n">
        <v>100</v>
      </c>
      <c r="J873" s="4" t="n">
        <v>100</v>
      </c>
      <c r="K873" s="4" t="n">
        <v>100</v>
      </c>
      <c r="M873" s="2" t="str">
        <f aca="false">IF(C873="","",IFERROR(INDEX($S$5:$S$304,MATCH(C873,$R$5:$R$304,0))&amp;"","?"))</f>
        <v>17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-2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18978881</v>
      </c>
      <c r="C874" s="4" t="s">
        <v>2714</v>
      </c>
      <c r="D874" s="4" t="s">
        <v>3536</v>
      </c>
      <c r="E874" s="4" t="s">
        <v>3449</v>
      </c>
      <c r="F874" s="127" t="n">
        <v>46091</v>
      </c>
      <c r="G874" s="127" t="n">
        <v>46097</v>
      </c>
      <c r="H874" s="127" t="n">
        <v>46293</v>
      </c>
      <c r="I874" s="4" t="n">
        <v>100</v>
      </c>
      <c r="J874" s="4" t="n">
        <v>100</v>
      </c>
      <c r="K874" s="4" t="n">
        <v>100</v>
      </c>
      <c r="M874" s="2" t="str">
        <f aca="false">IF(C874="","",IFERROR(INDEX($S$5:$S$304,MATCH(C874,$R$5:$R$304,0))&amp;"","?"))</f>
        <v>17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-2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18978882</v>
      </c>
      <c r="C875" s="4" t="s">
        <v>2714</v>
      </c>
      <c r="D875" s="4" t="s">
        <v>3537</v>
      </c>
      <c r="E875" s="4" t="s">
        <v>3449</v>
      </c>
      <c r="F875" s="127" t="n">
        <v>46098</v>
      </c>
      <c r="G875" s="127" t="n">
        <v>46098</v>
      </c>
      <c r="H875" s="127" t="n">
        <v>46293</v>
      </c>
      <c r="I875" s="4" t="n">
        <v>100</v>
      </c>
      <c r="J875" s="4" t="n">
        <v>100</v>
      </c>
      <c r="K875" s="4" t="n">
        <v>100</v>
      </c>
      <c r="M875" s="2" t="str">
        <f aca="false">IF(C875="","",IFERROR(INDEX($S$5:$S$304,MATCH(C875,$R$5:$R$304,0))&amp;"","?"))</f>
        <v>17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-2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39886016</v>
      </c>
      <c r="C876" s="4" t="s">
        <v>2733</v>
      </c>
      <c r="D876" s="4" t="s">
        <v>433</v>
      </c>
      <c r="E876" s="4" t="s">
        <v>3558</v>
      </c>
      <c r="F876" s="127" t="n">
        <v>46084</v>
      </c>
      <c r="G876" s="127" t="n">
        <v>46091</v>
      </c>
      <c r="H876" s="127" t="n">
        <v>46293</v>
      </c>
      <c r="I876" s="4" t="n">
        <v>100</v>
      </c>
      <c r="J876" s="4" t="n">
        <v>100</v>
      </c>
      <c r="K876" s="4" t="n">
        <v>100</v>
      </c>
      <c r="M876" s="2" t="str">
        <f aca="false">IF(C876="","",IFERROR(INDEX($S$5:$S$304,MATCH(C876,$R$5:$R$304,0))&amp;"","?"))</f>
        <v>17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-4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19483449</v>
      </c>
      <c r="C877" s="4" t="s">
        <v>2733</v>
      </c>
      <c r="D877" s="4" t="s">
        <v>3559</v>
      </c>
      <c r="E877" s="4" t="s">
        <v>3558</v>
      </c>
      <c r="F877" s="127" t="n">
        <v>46084</v>
      </c>
      <c r="G877" s="127" t="n">
        <v>46085</v>
      </c>
      <c r="H877" s="127" t="n">
        <v>46293</v>
      </c>
      <c r="I877" s="4" t="n">
        <v>100</v>
      </c>
      <c r="J877" s="4" t="n">
        <v>100</v>
      </c>
      <c r="K877" s="4" t="n">
        <v>100</v>
      </c>
      <c r="M877" s="2" t="str">
        <f aca="false">IF(C877="","",IFERROR(INDEX($S$5:$S$304,MATCH(C877,$R$5:$R$304,0))&amp;"","?"))</f>
        <v>17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-4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19483450</v>
      </c>
      <c r="C878" s="4" t="s">
        <v>2733</v>
      </c>
      <c r="D878" s="4" t="s">
        <v>3560</v>
      </c>
      <c r="E878" s="4" t="s">
        <v>3558</v>
      </c>
      <c r="F878" s="127" t="n">
        <v>46086</v>
      </c>
      <c r="G878" s="127" t="n">
        <v>46087</v>
      </c>
      <c r="H878" s="127" t="n">
        <v>46293</v>
      </c>
      <c r="I878" s="4" t="n">
        <v>100</v>
      </c>
      <c r="J878" s="4" t="n">
        <v>100</v>
      </c>
      <c r="K878" s="4" t="n">
        <v>100</v>
      </c>
      <c r="M878" s="2" t="str">
        <f aca="false">IF(C878="","",IFERROR(INDEX($S$5:$S$304,MATCH(C878,$R$5:$R$304,0))&amp;"","?"))</f>
        <v>17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-4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19483451</v>
      </c>
      <c r="C879" s="4" t="s">
        <v>2733</v>
      </c>
      <c r="D879" s="4" t="s">
        <v>3561</v>
      </c>
      <c r="E879" s="4" t="s">
        <v>3558</v>
      </c>
      <c r="F879" s="127" t="n">
        <v>46090</v>
      </c>
      <c r="G879" s="127" t="n">
        <v>46090</v>
      </c>
      <c r="H879" s="127" t="n">
        <v>46293</v>
      </c>
      <c r="I879" s="4" t="n">
        <v>100</v>
      </c>
      <c r="J879" s="4" t="n">
        <v>100</v>
      </c>
      <c r="K879" s="4" t="n">
        <v>100</v>
      </c>
      <c r="M879" s="2" t="str">
        <f aca="false">IF(C879="","",IFERROR(INDEX($S$5:$S$304,MATCH(C879,$R$5:$R$304,0))&amp;"","?"))</f>
        <v>17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-4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19483452</v>
      </c>
      <c r="C880" s="4" t="s">
        <v>2733</v>
      </c>
      <c r="D880" s="4" t="s">
        <v>3218</v>
      </c>
      <c r="E880" s="4" t="s">
        <v>3558</v>
      </c>
      <c r="F880" s="127" t="n">
        <v>46091</v>
      </c>
      <c r="G880" s="127" t="n">
        <v>46091</v>
      </c>
      <c r="H880" s="127" t="n">
        <v>46293</v>
      </c>
      <c r="I880" s="4" t="n">
        <v>100</v>
      </c>
      <c r="J880" s="4" t="n">
        <v>100</v>
      </c>
      <c r="K880" s="4" t="n">
        <v>100</v>
      </c>
      <c r="M880" s="2" t="str">
        <f aca="false">IF(C880="","",IFERROR(INDEX($S$5:$S$304,MATCH(C880,$R$5:$R$304,0))&amp;"","?"))</f>
        <v>17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-4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39843857</v>
      </c>
      <c r="C881" s="4" t="s">
        <v>2735</v>
      </c>
      <c r="D881" s="4" t="s">
        <v>433</v>
      </c>
      <c r="E881" s="4" t="s">
        <v>3375</v>
      </c>
      <c r="F881" s="127" t="n">
        <v>46084</v>
      </c>
      <c r="G881" s="127" t="n">
        <v>46087</v>
      </c>
      <c r="H881" s="127" t="n">
        <v>46293</v>
      </c>
      <c r="I881" s="4" t="n">
        <v>100</v>
      </c>
      <c r="J881" s="4" t="n">
        <v>100</v>
      </c>
      <c r="K881" s="4" t="n">
        <v>100</v>
      </c>
      <c r="M881" s="2" t="str">
        <f aca="false">IF(C881="","",IFERROR(INDEX($S$5:$S$304,MATCH(C881,$R$5:$R$304,0))&amp;"","?"))</f>
        <v>17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-3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19483429</v>
      </c>
      <c r="C882" s="4" t="s">
        <v>2735</v>
      </c>
      <c r="D882" s="4" t="s">
        <v>3498</v>
      </c>
      <c r="E882" s="4" t="s">
        <v>3375</v>
      </c>
      <c r="F882" s="127" t="n">
        <v>46084</v>
      </c>
      <c r="G882" s="127" t="n">
        <v>46084</v>
      </c>
      <c r="H882" s="127" t="n">
        <v>46293</v>
      </c>
      <c r="I882" s="4" t="n">
        <v>100</v>
      </c>
      <c r="J882" s="4" t="n">
        <v>100</v>
      </c>
      <c r="K882" s="4" t="n">
        <v>100</v>
      </c>
      <c r="M882" s="2" t="str">
        <f aca="false">IF(C882="","",IFERROR(INDEX($S$5:$S$304,MATCH(C882,$R$5:$R$304,0))&amp;"","?"))</f>
        <v>17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-3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19483430</v>
      </c>
      <c r="C883" s="4" t="s">
        <v>2735</v>
      </c>
      <c r="D883" s="4" t="s">
        <v>3562</v>
      </c>
      <c r="E883" s="4" t="s">
        <v>3375</v>
      </c>
      <c r="F883" s="127" t="n">
        <v>46085</v>
      </c>
      <c r="G883" s="127" t="n">
        <v>46086</v>
      </c>
      <c r="H883" s="127" t="n">
        <v>46293</v>
      </c>
      <c r="I883" s="4" t="n">
        <v>100</v>
      </c>
      <c r="J883" s="4" t="n">
        <v>100</v>
      </c>
      <c r="K883" s="4" t="n">
        <v>100</v>
      </c>
      <c r="M883" s="2" t="str">
        <f aca="false">IF(C883="","",IFERROR(INDEX($S$5:$S$304,MATCH(C883,$R$5:$R$304,0))&amp;"","?"))</f>
        <v>17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-3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19483431</v>
      </c>
      <c r="C884" s="4" t="s">
        <v>2735</v>
      </c>
      <c r="D884" s="4" t="s">
        <v>3563</v>
      </c>
      <c r="E884" s="4" t="s">
        <v>3375</v>
      </c>
      <c r="F884" s="127" t="n">
        <v>46087</v>
      </c>
      <c r="G884" s="127" t="n">
        <v>46087</v>
      </c>
      <c r="H884" s="127" t="n">
        <v>46293</v>
      </c>
      <c r="I884" s="4" t="n">
        <v>100</v>
      </c>
      <c r="J884" s="4" t="n">
        <v>100</v>
      </c>
      <c r="K884" s="4" t="n">
        <v>100</v>
      </c>
      <c r="M884" s="2" t="str">
        <f aca="false">IF(C884="","",IFERROR(INDEX($S$5:$S$304,MATCH(C884,$R$5:$R$304,0))&amp;"","?"))</f>
        <v>17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-3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36073122</v>
      </c>
      <c r="C885" s="4" t="s">
        <v>2723</v>
      </c>
      <c r="D885" s="4" t="s">
        <v>433</v>
      </c>
      <c r="E885" s="4" t="s">
        <v>3375</v>
      </c>
      <c r="F885" s="127" t="n">
        <v>46090</v>
      </c>
      <c r="G885" s="127" t="n">
        <v>46098</v>
      </c>
      <c r="H885" s="127" t="n">
        <v>46293</v>
      </c>
      <c r="I885" s="4" t="n">
        <v>100</v>
      </c>
      <c r="J885" s="4" t="n">
        <v>100</v>
      </c>
      <c r="K885" s="4" t="n">
        <v>100</v>
      </c>
      <c r="M885" s="2" t="str">
        <f aca="false">IF(C885="","",IFERROR(INDEX($S$5:$S$304,MATCH(C885,$R$5:$R$304,0))&amp;"","?"))</f>
        <v>17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-3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14658557</v>
      </c>
      <c r="C886" s="4" t="s">
        <v>2723</v>
      </c>
      <c r="D886" s="4" t="s">
        <v>3548</v>
      </c>
      <c r="E886" s="4" t="s">
        <v>3375</v>
      </c>
      <c r="F886" s="127" t="n">
        <v>46090</v>
      </c>
      <c r="G886" s="127" t="n">
        <v>46091</v>
      </c>
      <c r="H886" s="127" t="n">
        <v>46293</v>
      </c>
      <c r="I886" s="4" t="n">
        <v>100</v>
      </c>
      <c r="J886" s="4" t="n">
        <v>100</v>
      </c>
      <c r="K886" s="4" t="n">
        <v>100</v>
      </c>
      <c r="M886" s="2" t="str">
        <f aca="false">IF(C886="","",IFERROR(INDEX($S$5:$S$304,MATCH(C886,$R$5:$R$304,0))&amp;"","?"))</f>
        <v>17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-3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14658558</v>
      </c>
      <c r="C887" s="4" t="s">
        <v>2723</v>
      </c>
      <c r="D887" s="4" t="s">
        <v>3543</v>
      </c>
      <c r="E887" s="4" t="s">
        <v>3375</v>
      </c>
      <c r="F887" s="127" t="n">
        <v>46092</v>
      </c>
      <c r="G887" s="127" t="n">
        <v>46093</v>
      </c>
      <c r="H887" s="127" t="n">
        <v>46293</v>
      </c>
      <c r="I887" s="4" t="n">
        <v>100</v>
      </c>
      <c r="J887" s="4" t="n">
        <v>100</v>
      </c>
      <c r="K887" s="4" t="n">
        <v>100</v>
      </c>
      <c r="M887" s="2" t="str">
        <f aca="false">IF(C887="","",IFERROR(INDEX($S$5:$S$304,MATCH(C887,$R$5:$R$304,0))&amp;"","?"))</f>
        <v>17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-3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14658559</v>
      </c>
      <c r="C888" s="4" t="s">
        <v>2723</v>
      </c>
      <c r="D888" s="4" t="s">
        <v>3498</v>
      </c>
      <c r="E888" s="4" t="s">
        <v>3375</v>
      </c>
      <c r="F888" s="127" t="n">
        <v>46093</v>
      </c>
      <c r="G888" s="127" t="n">
        <v>46098</v>
      </c>
      <c r="H888" s="127" t="n">
        <v>46293</v>
      </c>
      <c r="I888" s="4" t="n">
        <v>100</v>
      </c>
      <c r="J888" s="4" t="n">
        <v>100</v>
      </c>
      <c r="K888" s="4" t="n">
        <v>100</v>
      </c>
      <c r="M888" s="2" t="str">
        <f aca="false">IF(C888="","",IFERROR(INDEX($S$5:$S$304,MATCH(C888,$R$5:$R$304,0))&amp;"","?"))</f>
        <v>17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-3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14991691</v>
      </c>
      <c r="C889" s="4" t="s">
        <v>2723</v>
      </c>
      <c r="D889" s="4" t="s">
        <v>3217</v>
      </c>
      <c r="E889" s="4" t="s">
        <v>3375</v>
      </c>
      <c r="F889" s="127" t="n">
        <v>46090</v>
      </c>
      <c r="G889" s="127" t="n">
        <v>46092</v>
      </c>
      <c r="H889" s="127" t="n">
        <v>46293</v>
      </c>
      <c r="I889" s="4" t="n">
        <v>100</v>
      </c>
      <c r="J889" s="4" t="n">
        <v>100</v>
      </c>
      <c r="K889" s="4" t="n">
        <v>100</v>
      </c>
      <c r="M889" s="2" t="str">
        <f aca="false">IF(C889="","",IFERROR(INDEX($S$5:$S$304,MATCH(C889,$R$5:$R$304,0))&amp;"","?"))</f>
        <v>17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-3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14991692</v>
      </c>
      <c r="C890" s="4" t="s">
        <v>2723</v>
      </c>
      <c r="D890" s="4" t="s">
        <v>3537</v>
      </c>
      <c r="E890" s="4" t="s">
        <v>3375</v>
      </c>
      <c r="F890" s="127" t="n">
        <v>46093</v>
      </c>
      <c r="G890" s="127" t="n">
        <v>46093</v>
      </c>
      <c r="H890" s="127" t="n">
        <v>46293</v>
      </c>
      <c r="I890" s="4" t="n">
        <v>100</v>
      </c>
      <c r="J890" s="4" t="n">
        <v>100</v>
      </c>
      <c r="K890" s="4" t="n">
        <v>100</v>
      </c>
      <c r="M890" s="2" t="str">
        <f aca="false">IF(C890="","",IFERROR(INDEX($S$5:$S$304,MATCH(C890,$R$5:$R$304,0))&amp;"","?"))</f>
        <v>17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-3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36073123</v>
      </c>
      <c r="C891" s="4" t="s">
        <v>2723</v>
      </c>
      <c r="D891" s="4" t="s">
        <v>433</v>
      </c>
      <c r="E891" s="4" t="s">
        <v>3449</v>
      </c>
      <c r="F891" s="127" t="n">
        <v>46090</v>
      </c>
      <c r="G891" s="127" t="n">
        <v>46101</v>
      </c>
      <c r="H891" s="127" t="n">
        <v>46293</v>
      </c>
      <c r="I891" s="4" t="n">
        <v>100</v>
      </c>
      <c r="J891" s="4" t="n">
        <v>100</v>
      </c>
      <c r="K891" s="4" t="n">
        <v>100</v>
      </c>
      <c r="M891" s="2" t="str">
        <f aca="false">IF(C891="","",IFERROR(INDEX($S$5:$S$304,MATCH(C891,$R$5:$R$304,0))&amp;"","?"))</f>
        <v>17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-2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19483432</v>
      </c>
      <c r="C892" s="4" t="s">
        <v>2723</v>
      </c>
      <c r="D892" s="4" t="s">
        <v>3548</v>
      </c>
      <c r="E892" s="4" t="s">
        <v>3449</v>
      </c>
      <c r="F892" s="127" t="n">
        <v>46090</v>
      </c>
      <c r="G892" s="127" t="n">
        <v>46090</v>
      </c>
      <c r="H892" s="127" t="n">
        <v>46293</v>
      </c>
      <c r="I892" s="4" t="n">
        <v>100</v>
      </c>
      <c r="J892" s="4" t="n">
        <v>100</v>
      </c>
      <c r="K892" s="4" t="n">
        <v>100</v>
      </c>
      <c r="M892" s="2" t="str">
        <f aca="false">IF(C892="","",IFERROR(INDEX($S$5:$S$304,MATCH(C892,$R$5:$R$304,0))&amp;"","?"))</f>
        <v>17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-2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19483433</v>
      </c>
      <c r="C893" s="4" t="s">
        <v>2723</v>
      </c>
      <c r="D893" s="4" t="s">
        <v>3543</v>
      </c>
      <c r="E893" s="4" t="s">
        <v>3449</v>
      </c>
      <c r="F893" s="127" t="n">
        <v>46091</v>
      </c>
      <c r="G893" s="127" t="n">
        <v>46092</v>
      </c>
      <c r="H893" s="127" t="n">
        <v>46293</v>
      </c>
      <c r="I893" s="4" t="n">
        <v>100</v>
      </c>
      <c r="J893" s="4" t="n">
        <v>100</v>
      </c>
      <c r="K893" s="4" t="n">
        <v>100</v>
      </c>
      <c r="M893" s="2" t="str">
        <f aca="false">IF(C893="","",IFERROR(INDEX($S$5:$S$304,MATCH(C893,$R$5:$R$304,0))&amp;"","?"))</f>
        <v>17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-2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19483434</v>
      </c>
      <c r="C894" s="4" t="s">
        <v>2723</v>
      </c>
      <c r="D894" s="4" t="s">
        <v>3564</v>
      </c>
      <c r="E894" s="4" t="s">
        <v>3449</v>
      </c>
      <c r="F894" s="127" t="n">
        <v>46093</v>
      </c>
      <c r="G894" s="127" t="n">
        <v>46097</v>
      </c>
      <c r="H894" s="127" t="n">
        <v>46293</v>
      </c>
      <c r="I894" s="4" t="n">
        <v>100</v>
      </c>
      <c r="J894" s="4" t="n">
        <v>100</v>
      </c>
      <c r="K894" s="4" t="n">
        <v>100</v>
      </c>
      <c r="M894" s="2" t="str">
        <f aca="false">IF(C894="","",IFERROR(INDEX($S$5:$S$304,MATCH(C894,$R$5:$R$304,0))&amp;"","?"))</f>
        <v>17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-2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19483435</v>
      </c>
      <c r="C895" s="4" t="s">
        <v>2723</v>
      </c>
      <c r="D895" s="4" t="s">
        <v>3536</v>
      </c>
      <c r="E895" s="4" t="s">
        <v>3449</v>
      </c>
      <c r="F895" s="127" t="n">
        <v>46098</v>
      </c>
      <c r="G895" s="127" t="n">
        <v>46100</v>
      </c>
      <c r="H895" s="127" t="n">
        <v>46293</v>
      </c>
      <c r="I895" s="4" t="n">
        <v>100</v>
      </c>
      <c r="J895" s="4" t="n">
        <v>100</v>
      </c>
      <c r="K895" s="4" t="n">
        <v>100</v>
      </c>
      <c r="M895" s="2" t="str">
        <f aca="false">IF(C895="","",IFERROR(INDEX($S$5:$S$304,MATCH(C895,$R$5:$R$304,0))&amp;"","?"))</f>
        <v>17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-2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19483436</v>
      </c>
      <c r="C896" s="4" t="s">
        <v>2723</v>
      </c>
      <c r="D896" s="4" t="s">
        <v>3563</v>
      </c>
      <c r="E896" s="4" t="s">
        <v>3449</v>
      </c>
      <c r="F896" s="127" t="n">
        <v>46101</v>
      </c>
      <c r="G896" s="127" t="n">
        <v>46101</v>
      </c>
      <c r="H896" s="127" t="n">
        <v>46293</v>
      </c>
      <c r="I896" s="4" t="n">
        <v>100</v>
      </c>
      <c r="J896" s="4" t="n">
        <v>100</v>
      </c>
      <c r="K896" s="4" t="n">
        <v>100</v>
      </c>
      <c r="M896" s="2" t="str">
        <f aca="false">IF(C896="","",IFERROR(INDEX($S$5:$S$304,MATCH(C896,$R$5:$R$304,0))&amp;"","?"))</f>
        <v>17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-2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39109278</v>
      </c>
      <c r="C897" s="4" t="s">
        <v>2737</v>
      </c>
      <c r="D897" s="4" t="s">
        <v>433</v>
      </c>
      <c r="E897" s="4" t="s">
        <v>81</v>
      </c>
      <c r="F897" s="127" t="n">
        <v>46092</v>
      </c>
      <c r="G897" s="127" t="n">
        <v>46237</v>
      </c>
      <c r="H897" s="127" t="n">
        <v>46293</v>
      </c>
      <c r="I897" s="4" t="n">
        <v>100</v>
      </c>
      <c r="J897" s="4" t="n">
        <v>100</v>
      </c>
      <c r="K897" s="4" t="n">
        <v>100</v>
      </c>
      <c r="M897" s="2" t="str">
        <f aca="false">IF(C897="","",IFERROR(INDEX($S$5:$S$304,MATCH(C897,$R$5:$R$304,0))&amp;"","?"))</f>
        <v>16</v>
      </c>
      <c r="N897" s="2" t="str">
        <f aca="false">IF(E897="","",IF(ISNUMBER(SEARCH("SUBSOLO",E897)),IFERROR(-VALUE(LEFT(E897,FIND("º",SUBSTITUTE(E897,"°","º"))-1)),-1),IF(LEFT(E897,6)="TÉRREO",0,IFERROR(VALUE(LEFT(E897,FIND("º",SUBSTITUTE(E897,"°","º"))-1)),""))))</f>
        <v/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18967068</v>
      </c>
      <c r="C898" s="4" t="s">
        <v>2737</v>
      </c>
      <c r="D898" s="4" t="s">
        <v>3565</v>
      </c>
      <c r="E898" s="4" t="s">
        <v>81</v>
      </c>
      <c r="F898" s="127" t="n">
        <v>46092</v>
      </c>
      <c r="G898" s="127" t="n">
        <v>46093</v>
      </c>
      <c r="H898" s="127" t="n">
        <v>46293</v>
      </c>
      <c r="I898" s="4" t="n">
        <v>100</v>
      </c>
      <c r="J898" s="4" t="n">
        <v>100</v>
      </c>
      <c r="K898" s="4" t="n">
        <v>100</v>
      </c>
      <c r="M898" s="2" t="str">
        <f aca="false">IF(C898="","",IFERROR(INDEX($S$5:$S$304,MATCH(C898,$R$5:$R$304,0))&amp;"","?"))</f>
        <v>16</v>
      </c>
      <c r="N898" s="2" t="str">
        <f aca="false">IF(E898="","",IF(ISNUMBER(SEARCH("SUBSOLO",E898)),IFERROR(-VALUE(LEFT(E898,FIND("º",SUBSTITUTE(E898,"°","º"))-1)),-1),IF(LEFT(E898,6)="TÉRREO",0,IFERROR(VALUE(LEFT(E898,FIND("º",SUBSTITUTE(E898,"°","º"))-1)),""))))</f>
        <v/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18967244</v>
      </c>
      <c r="C899" s="4" t="s">
        <v>2737</v>
      </c>
      <c r="D899" s="4" t="s">
        <v>3566</v>
      </c>
      <c r="E899" s="4" t="s">
        <v>81</v>
      </c>
      <c r="F899" s="127" t="n">
        <v>46094</v>
      </c>
      <c r="G899" s="127" t="n">
        <v>46094</v>
      </c>
      <c r="H899" s="127" t="n">
        <v>46293</v>
      </c>
      <c r="I899" s="4" t="n">
        <v>100</v>
      </c>
      <c r="J899" s="4" t="n">
        <v>100</v>
      </c>
      <c r="K899" s="4" t="n">
        <v>100</v>
      </c>
      <c r="M899" s="2" t="str">
        <f aca="false">IF(C899="","",IFERROR(INDEX($S$5:$S$304,MATCH(C899,$R$5:$R$304,0))&amp;"","?"))</f>
        <v>16</v>
      </c>
      <c r="N899" s="2" t="str">
        <f aca="false">IF(E899="","",IF(ISNUMBER(SEARCH("SUBSOLO",E899)),IFERROR(-VALUE(LEFT(E899,FIND("º",SUBSTITUTE(E899,"°","º"))-1)),-1),IF(LEFT(E899,6)="TÉRREO",0,IFERROR(VALUE(LEFT(E899,FIND("º",SUBSTITUTE(E899,"°","º"))-1)),""))))</f>
        <v/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18967245</v>
      </c>
      <c r="C900" s="4" t="s">
        <v>2737</v>
      </c>
      <c r="D900" s="4" t="s">
        <v>3567</v>
      </c>
      <c r="E900" s="4" t="s">
        <v>81</v>
      </c>
      <c r="F900" s="127" t="n">
        <v>46097</v>
      </c>
      <c r="G900" s="127" t="n">
        <v>46125</v>
      </c>
      <c r="H900" s="127" t="n">
        <v>46293</v>
      </c>
      <c r="I900" s="4" t="n">
        <v>100</v>
      </c>
      <c r="J900" s="4" t="n">
        <v>100</v>
      </c>
      <c r="K900" s="4" t="n">
        <v>100</v>
      </c>
      <c r="M900" s="2" t="str">
        <f aca="false">IF(C900="","",IFERROR(INDEX($S$5:$S$304,MATCH(C900,$R$5:$R$304,0))&amp;"","?"))</f>
        <v>16</v>
      </c>
      <c r="N900" s="2" t="str">
        <f aca="false">IF(E900="","",IF(ISNUMBER(SEARCH("SUBSOLO",E900)),IFERROR(-VALUE(LEFT(E900,FIND("º",SUBSTITUTE(E900,"°","º"))-1)),-1),IF(LEFT(E900,6)="TÉRREO",0,IFERROR(VALUE(LEFT(E900,FIND("º",SUBSTITUTE(E900,"°","º"))-1)),""))))</f>
        <v/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18967246</v>
      </c>
      <c r="C901" s="4" t="s">
        <v>2737</v>
      </c>
      <c r="D901" s="4" t="s">
        <v>3568</v>
      </c>
      <c r="E901" s="4" t="s">
        <v>81</v>
      </c>
      <c r="F901" s="127" t="n">
        <v>46126</v>
      </c>
      <c r="G901" s="127" t="n">
        <v>46126</v>
      </c>
      <c r="H901" s="127" t="n">
        <v>46293</v>
      </c>
      <c r="I901" s="4" t="n">
        <v>100</v>
      </c>
      <c r="J901" s="4" t="n">
        <v>100</v>
      </c>
      <c r="K901" s="4" t="n">
        <v>100</v>
      </c>
      <c r="M901" s="2" t="str">
        <f aca="false">IF(C901="","",IFERROR(INDEX($S$5:$S$304,MATCH(C901,$R$5:$R$304,0))&amp;"","?"))</f>
        <v>16</v>
      </c>
      <c r="N901" s="2" t="str">
        <f aca="false">IF(E901="","",IF(ISNUMBER(SEARCH("SUBSOLO",E901)),IFERROR(-VALUE(LEFT(E901,FIND("º",SUBSTITUTE(E901,"°","º"))-1)),-1),IF(LEFT(E901,6)="TÉRREO",0,IFERROR(VALUE(LEFT(E901,FIND("º",SUBSTITUTE(E901,"°","º"))-1)),""))))</f>
        <v/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18968148</v>
      </c>
      <c r="C902" s="4" t="s">
        <v>2737</v>
      </c>
      <c r="D902" s="4" t="s">
        <v>3569</v>
      </c>
      <c r="E902" s="4" t="s">
        <v>81</v>
      </c>
      <c r="F902" s="127" t="n">
        <v>46226</v>
      </c>
      <c r="G902" s="127" t="n">
        <v>46231</v>
      </c>
      <c r="H902" s="127" t="n">
        <v>46293</v>
      </c>
      <c r="I902" s="4" t="n">
        <v>100</v>
      </c>
      <c r="J902" s="4" t="n">
        <v>100</v>
      </c>
      <c r="K902" s="4" t="n">
        <v>100</v>
      </c>
      <c r="M902" s="2" t="str">
        <f aca="false">IF(C902="","",IFERROR(INDEX($S$5:$S$304,MATCH(C902,$R$5:$R$304,0))&amp;"","?"))</f>
        <v>16</v>
      </c>
      <c r="N902" s="2" t="str">
        <f aca="false">IF(E902="","",IF(ISNUMBER(SEARCH("SUBSOLO",E902)),IFERROR(-VALUE(LEFT(E902,FIND("º",SUBSTITUTE(E902,"°","º"))-1)),-1),IF(LEFT(E902,6)="TÉRREO",0,IFERROR(VALUE(LEFT(E902,FIND("º",SUBSTITUTE(E902,"°","º"))-1)),""))))</f>
        <v/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18968149</v>
      </c>
      <c r="C903" s="4" t="s">
        <v>2737</v>
      </c>
      <c r="D903" s="4" t="s">
        <v>3570</v>
      </c>
      <c r="E903" s="4" t="s">
        <v>81</v>
      </c>
      <c r="F903" s="127" t="n">
        <v>46232</v>
      </c>
      <c r="G903" s="127" t="n">
        <v>46234</v>
      </c>
      <c r="H903" s="127" t="n">
        <v>46293</v>
      </c>
      <c r="I903" s="4" t="n">
        <v>100</v>
      </c>
      <c r="J903" s="4" t="n">
        <v>100</v>
      </c>
      <c r="K903" s="4" t="n">
        <v>100</v>
      </c>
      <c r="M903" s="2" t="str">
        <f aca="false">IF(C903="","",IFERROR(INDEX($S$5:$S$304,MATCH(C903,$R$5:$R$304,0))&amp;"","?"))</f>
        <v>16</v>
      </c>
      <c r="N903" s="2" t="str">
        <f aca="false">IF(E903="","",IF(ISNUMBER(SEARCH("SUBSOLO",E903)),IFERROR(-VALUE(LEFT(E903,FIND("º",SUBSTITUTE(E903,"°","º"))-1)),-1),IF(LEFT(E903,6)="TÉRREO",0,IFERROR(VALUE(LEFT(E903,FIND("º",SUBSTITUTE(E903,"°","º"))-1)),""))))</f>
        <v/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18968150</v>
      </c>
      <c r="C904" s="4" t="s">
        <v>2737</v>
      </c>
      <c r="D904" s="4" t="s">
        <v>3571</v>
      </c>
      <c r="E904" s="4" t="s">
        <v>81</v>
      </c>
      <c r="F904" s="127" t="n">
        <v>46237</v>
      </c>
      <c r="G904" s="127" t="n">
        <v>46237</v>
      </c>
      <c r="H904" s="127" t="n">
        <v>46293</v>
      </c>
      <c r="I904" s="4" t="n">
        <v>100</v>
      </c>
      <c r="J904" s="4" t="n">
        <v>100</v>
      </c>
      <c r="K904" s="4" t="n">
        <v>100</v>
      </c>
      <c r="M904" s="2" t="str">
        <f aca="false">IF(C904="","",IFERROR(INDEX($S$5:$S$304,MATCH(C904,$R$5:$R$304,0))&amp;"","?"))</f>
        <v>16</v>
      </c>
      <c r="N904" s="2" t="str">
        <f aca="false">IF(E904="","",IF(ISNUMBER(SEARCH("SUBSOLO",E904)),IFERROR(-VALUE(LEFT(E904,FIND("º",SUBSTITUTE(E904,"°","º"))-1)),-1),IF(LEFT(E904,6)="TÉRREO",0,IFERROR(VALUE(LEFT(E904,FIND("º",SUBSTITUTE(E904,"°","º"))-1)),""))))</f>
        <v/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26218304</v>
      </c>
      <c r="C905" s="4" t="s">
        <v>2702</v>
      </c>
      <c r="D905" s="4" t="s">
        <v>433</v>
      </c>
      <c r="E905" s="4" t="s">
        <v>3449</v>
      </c>
      <c r="F905" s="127" t="n">
        <v>46093</v>
      </c>
      <c r="G905" s="127" t="n">
        <v>46113</v>
      </c>
      <c r="H905" s="127" t="n">
        <v>46293</v>
      </c>
      <c r="I905" s="4" t="n">
        <v>100</v>
      </c>
      <c r="J905" s="4" t="n">
        <v>100</v>
      </c>
      <c r="K905" s="4" t="n">
        <v>100</v>
      </c>
      <c r="M905" s="2" t="str">
        <f aca="false">IF(C905="","",IFERROR(INDEX($S$5:$S$304,MATCH(C905,$R$5:$R$304,0))&amp;"","?"))</f>
        <v>17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-2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9364329</v>
      </c>
      <c r="C906" s="4" t="s">
        <v>2702</v>
      </c>
      <c r="D906" s="4" t="s">
        <v>3244</v>
      </c>
      <c r="E906" s="4" t="s">
        <v>3449</v>
      </c>
      <c r="F906" s="127" t="n">
        <v>46093</v>
      </c>
      <c r="G906" s="127" t="n">
        <v>46098</v>
      </c>
      <c r="H906" s="127" t="n">
        <v>46293</v>
      </c>
      <c r="I906" s="4" t="n">
        <v>100</v>
      </c>
      <c r="J906" s="4" t="n">
        <v>100</v>
      </c>
      <c r="K906" s="4" t="n">
        <v>100</v>
      </c>
      <c r="M906" s="2" t="str">
        <f aca="false">IF(C906="","",IFERROR(INDEX($S$5:$S$304,MATCH(C906,$R$5:$R$304,0))&amp;"","?"))</f>
        <v>17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-2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9364330</v>
      </c>
      <c r="C907" s="4" t="s">
        <v>2702</v>
      </c>
      <c r="D907" s="4" t="s">
        <v>3245</v>
      </c>
      <c r="E907" s="4" t="s">
        <v>3449</v>
      </c>
      <c r="F907" s="127" t="n">
        <v>46098</v>
      </c>
      <c r="G907" s="127" t="n">
        <v>46101</v>
      </c>
      <c r="H907" s="127" t="n">
        <v>46293</v>
      </c>
      <c r="I907" s="4" t="n">
        <v>100</v>
      </c>
      <c r="J907" s="4" t="n">
        <v>100</v>
      </c>
      <c r="K907" s="4" t="n">
        <v>100</v>
      </c>
      <c r="M907" s="2" t="str">
        <f aca="false">IF(C907="","",IFERROR(INDEX($S$5:$S$304,MATCH(C907,$R$5:$R$304,0))&amp;"","?"))</f>
        <v>17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-2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9364331</v>
      </c>
      <c r="C908" s="4" t="s">
        <v>2702</v>
      </c>
      <c r="D908" s="4" t="s">
        <v>3246</v>
      </c>
      <c r="E908" s="4" t="s">
        <v>3449</v>
      </c>
      <c r="F908" s="127" t="n">
        <v>46099</v>
      </c>
      <c r="G908" s="127" t="n">
        <v>46104</v>
      </c>
      <c r="H908" s="127" t="n">
        <v>46293</v>
      </c>
      <c r="I908" s="4" t="n">
        <v>100</v>
      </c>
      <c r="J908" s="4" t="n">
        <v>100</v>
      </c>
      <c r="K908" s="4" t="n">
        <v>100</v>
      </c>
      <c r="M908" s="2" t="str">
        <f aca="false">IF(C908="","",IFERROR(INDEX($S$5:$S$304,MATCH(C908,$R$5:$R$304,0))&amp;"","?"))</f>
        <v>17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-2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9364332</v>
      </c>
      <c r="C909" s="4" t="s">
        <v>2702</v>
      </c>
      <c r="D909" s="4" t="s">
        <v>3247</v>
      </c>
      <c r="E909" s="4" t="s">
        <v>3449</v>
      </c>
      <c r="F909" s="127" t="n">
        <v>46105</v>
      </c>
      <c r="G909" s="127" t="n">
        <v>46105</v>
      </c>
      <c r="H909" s="127" t="n">
        <v>46293</v>
      </c>
      <c r="I909" s="4" t="n">
        <v>100</v>
      </c>
      <c r="J909" s="4" t="n">
        <v>100</v>
      </c>
      <c r="K909" s="4" t="n">
        <v>100</v>
      </c>
      <c r="M909" s="2" t="str">
        <f aca="false">IF(C909="","",IFERROR(INDEX($S$5:$S$304,MATCH(C909,$R$5:$R$304,0))&amp;"","?"))</f>
        <v>17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-2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9364333</v>
      </c>
      <c r="C910" s="4" t="s">
        <v>2702</v>
      </c>
      <c r="D910" s="4" t="s">
        <v>3248</v>
      </c>
      <c r="E910" s="4" t="s">
        <v>3449</v>
      </c>
      <c r="F910" s="127" t="n">
        <v>46106</v>
      </c>
      <c r="G910" s="127" t="n">
        <v>46111</v>
      </c>
      <c r="H910" s="127" t="n">
        <v>46293</v>
      </c>
      <c r="I910" s="4" t="n">
        <v>100</v>
      </c>
      <c r="J910" s="4" t="n">
        <v>100</v>
      </c>
      <c r="K910" s="4" t="n">
        <v>100</v>
      </c>
      <c r="M910" s="2" t="str">
        <f aca="false">IF(C910="","",IFERROR(INDEX($S$5:$S$304,MATCH(C910,$R$5:$R$304,0))&amp;"","?"))</f>
        <v>17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-2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9364334</v>
      </c>
      <c r="C911" s="4" t="s">
        <v>2702</v>
      </c>
      <c r="D911" s="4" t="s">
        <v>3249</v>
      </c>
      <c r="E911" s="4" t="s">
        <v>3449</v>
      </c>
      <c r="F911" s="127" t="n">
        <v>46107</v>
      </c>
      <c r="G911" s="127" t="n">
        <v>46112</v>
      </c>
      <c r="H911" s="127" t="n">
        <v>46293</v>
      </c>
      <c r="I911" s="4" t="n">
        <v>100</v>
      </c>
      <c r="J911" s="4" t="n">
        <v>100</v>
      </c>
      <c r="K911" s="4" t="n">
        <v>100</v>
      </c>
      <c r="M911" s="2" t="str">
        <f aca="false">IF(C911="","",IFERROR(INDEX($S$5:$S$304,MATCH(C911,$R$5:$R$304,0))&amp;"","?"))</f>
        <v>17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-2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9364335</v>
      </c>
      <c r="C912" s="4" t="s">
        <v>2702</v>
      </c>
      <c r="D912" s="4" t="s">
        <v>3250</v>
      </c>
      <c r="E912" s="4" t="s">
        <v>3449</v>
      </c>
      <c r="F912" s="127" t="n">
        <v>46111</v>
      </c>
      <c r="G912" s="127" t="n">
        <v>46112</v>
      </c>
      <c r="H912" s="127" t="n">
        <v>46293</v>
      </c>
      <c r="I912" s="4" t="n">
        <v>100</v>
      </c>
      <c r="J912" s="4" t="n">
        <v>100</v>
      </c>
      <c r="K912" s="4" t="n">
        <v>100</v>
      </c>
      <c r="M912" s="2" t="str">
        <f aca="false">IF(C912="","",IFERROR(INDEX($S$5:$S$304,MATCH(C912,$R$5:$R$304,0))&amp;"","?"))</f>
        <v>17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-2</v>
      </c>
      <c r="O912" s="2" t="str">
        <f aca="false">IF(OR(F912="",G912=""),"",IF(G912&lt;='RETRATO 2027'!$K$5,"CONCLUÍDA",IF(F912&lt;='RETRATO 2027'!$K$5,"EM ANDAMENTO","A INICIAR")))</f>
        <v>CONCLUÍDA</v>
      </c>
    </row>
    <row r="913" customFormat="false" ht="15" hidden="false" customHeight="false" outlineLevel="0" collapsed="false">
      <c r="B913" s="4" t="n">
        <v>9364336</v>
      </c>
      <c r="C913" s="4" t="s">
        <v>2702</v>
      </c>
      <c r="D913" s="4" t="s">
        <v>3251</v>
      </c>
      <c r="E913" s="4" t="s">
        <v>3449</v>
      </c>
      <c r="F913" s="127" t="n">
        <v>46112</v>
      </c>
      <c r="G913" s="127" t="n">
        <v>46112</v>
      </c>
      <c r="H913" s="127" t="n">
        <v>46293</v>
      </c>
      <c r="I913" s="4" t="n">
        <v>100</v>
      </c>
      <c r="J913" s="4" t="n">
        <v>100</v>
      </c>
      <c r="K913" s="4" t="n">
        <v>100</v>
      </c>
      <c r="M913" s="2" t="str">
        <f aca="false">IF(C913="","",IFERROR(INDEX($S$5:$S$304,MATCH(C913,$R$5:$R$304,0))&amp;"","?"))</f>
        <v>17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-2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9364337</v>
      </c>
      <c r="C914" s="4" t="s">
        <v>2702</v>
      </c>
      <c r="D914" s="4" t="s">
        <v>3252</v>
      </c>
      <c r="E914" s="4" t="s">
        <v>3449</v>
      </c>
      <c r="F914" s="127" t="n">
        <v>46113</v>
      </c>
      <c r="G914" s="127" t="n">
        <v>46113</v>
      </c>
      <c r="H914" s="127" t="n">
        <v>46293</v>
      </c>
      <c r="I914" s="4" t="n">
        <v>100</v>
      </c>
      <c r="J914" s="4" t="n">
        <v>100</v>
      </c>
      <c r="K914" s="4" t="n">
        <v>100</v>
      </c>
      <c r="M914" s="2" t="str">
        <f aca="false">IF(C914="","",IFERROR(INDEX($S$5:$S$304,MATCH(C914,$R$5:$R$304,0))&amp;"","?"))</f>
        <v>17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-2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39122862</v>
      </c>
      <c r="C915" s="4" t="s">
        <v>2729</v>
      </c>
      <c r="D915" s="4" t="s">
        <v>433</v>
      </c>
      <c r="E915" s="4" t="s">
        <v>3449</v>
      </c>
      <c r="F915" s="127" t="n">
        <v>46093</v>
      </c>
      <c r="G915" s="127" t="n">
        <v>46113</v>
      </c>
      <c r="H915" s="127" t="n">
        <v>46293</v>
      </c>
      <c r="I915" s="4" t="n">
        <v>100</v>
      </c>
      <c r="J915" s="4" t="n">
        <v>100</v>
      </c>
      <c r="K915" s="4" t="n">
        <v>100</v>
      </c>
      <c r="M915" s="2" t="str">
        <f aca="false">IF(C915="","",IFERROR(INDEX($S$5:$S$304,MATCH(C915,$R$5:$R$304,0))&amp;"","?"))</f>
        <v>17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-2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18978981</v>
      </c>
      <c r="C916" s="4" t="s">
        <v>2729</v>
      </c>
      <c r="D916" s="4" t="s">
        <v>3554</v>
      </c>
      <c r="E916" s="4" t="s">
        <v>3449</v>
      </c>
      <c r="F916" s="127" t="n">
        <v>46093</v>
      </c>
      <c r="G916" s="127" t="n">
        <v>46097</v>
      </c>
      <c r="H916" s="127" t="n">
        <v>46293</v>
      </c>
      <c r="I916" s="4" t="n">
        <v>100</v>
      </c>
      <c r="J916" s="4" t="n">
        <v>100</v>
      </c>
      <c r="K916" s="4" t="n">
        <v>100</v>
      </c>
      <c r="M916" s="2" t="str">
        <f aca="false">IF(C916="","",IFERROR(INDEX($S$5:$S$304,MATCH(C916,$R$5:$R$304,0))&amp;"","?"))</f>
        <v>17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-2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18978982</v>
      </c>
      <c r="C917" s="4" t="s">
        <v>2729</v>
      </c>
      <c r="D917" s="4" t="s">
        <v>3555</v>
      </c>
      <c r="E917" s="4" t="s">
        <v>3449</v>
      </c>
      <c r="F917" s="127" t="n">
        <v>46094</v>
      </c>
      <c r="G917" s="127" t="n">
        <v>46098</v>
      </c>
      <c r="H917" s="127" t="n">
        <v>46293</v>
      </c>
      <c r="I917" s="4" t="n">
        <v>100</v>
      </c>
      <c r="J917" s="4" t="n">
        <v>100</v>
      </c>
      <c r="K917" s="4" t="n">
        <v>100</v>
      </c>
      <c r="M917" s="2" t="str">
        <f aca="false">IF(C917="","",IFERROR(INDEX($S$5:$S$304,MATCH(C917,$R$5:$R$304,0))&amp;"","?"))</f>
        <v>17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-2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18978983</v>
      </c>
      <c r="C918" s="4" t="s">
        <v>2729</v>
      </c>
      <c r="D918" s="4" t="s">
        <v>3535</v>
      </c>
      <c r="E918" s="4" t="s">
        <v>3449</v>
      </c>
      <c r="F918" s="127" t="n">
        <v>46097</v>
      </c>
      <c r="G918" s="127" t="n">
        <v>46100</v>
      </c>
      <c r="H918" s="127" t="n">
        <v>46293</v>
      </c>
      <c r="I918" s="4" t="n">
        <v>100</v>
      </c>
      <c r="J918" s="4" t="n">
        <v>100</v>
      </c>
      <c r="K918" s="4" t="n">
        <v>100</v>
      </c>
      <c r="M918" s="2" t="str">
        <f aca="false">IF(C918="","",IFERROR(INDEX($S$5:$S$304,MATCH(C918,$R$5:$R$304,0))&amp;"","?"))</f>
        <v>17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-2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18978984</v>
      </c>
      <c r="C919" s="4" t="s">
        <v>2729</v>
      </c>
      <c r="D919" s="4" t="s">
        <v>3515</v>
      </c>
      <c r="E919" s="4" t="s">
        <v>3449</v>
      </c>
      <c r="F919" s="127" t="n">
        <v>46101</v>
      </c>
      <c r="G919" s="127" t="n">
        <v>46104</v>
      </c>
      <c r="H919" s="127" t="n">
        <v>46293</v>
      </c>
      <c r="I919" s="4" t="n">
        <v>100</v>
      </c>
      <c r="J919" s="4" t="n">
        <v>100</v>
      </c>
      <c r="K919" s="4" t="n">
        <v>100</v>
      </c>
      <c r="M919" s="2" t="str">
        <f aca="false">IF(C919="","",IFERROR(INDEX($S$5:$S$304,MATCH(C919,$R$5:$R$304,0))&amp;"","?"))</f>
        <v>17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-2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18978985</v>
      </c>
      <c r="C920" s="4" t="s">
        <v>2729</v>
      </c>
      <c r="D920" s="4" t="s">
        <v>3516</v>
      </c>
      <c r="E920" s="4" t="s">
        <v>3449</v>
      </c>
      <c r="F920" s="127" t="n">
        <v>46105</v>
      </c>
      <c r="G920" s="127" t="n">
        <v>46105</v>
      </c>
      <c r="H920" s="127" t="n">
        <v>46293</v>
      </c>
      <c r="I920" s="4" t="n">
        <v>100</v>
      </c>
      <c r="J920" s="4" t="n">
        <v>100</v>
      </c>
      <c r="K920" s="4" t="n">
        <v>100</v>
      </c>
      <c r="M920" s="2" t="str">
        <f aca="false">IF(C920="","",IFERROR(INDEX($S$5:$S$304,MATCH(C920,$R$5:$R$304,0))&amp;"","?"))</f>
        <v>17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-2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18978986</v>
      </c>
      <c r="C921" s="4" t="s">
        <v>2729</v>
      </c>
      <c r="D921" s="4" t="s">
        <v>3536</v>
      </c>
      <c r="E921" s="4" t="s">
        <v>3449</v>
      </c>
      <c r="F921" s="127" t="n">
        <v>46106</v>
      </c>
      <c r="G921" s="127" t="n">
        <v>46112</v>
      </c>
      <c r="H921" s="127" t="n">
        <v>46293</v>
      </c>
      <c r="I921" s="4" t="n">
        <v>100</v>
      </c>
      <c r="J921" s="4" t="n">
        <v>100</v>
      </c>
      <c r="K921" s="4" t="n">
        <v>100</v>
      </c>
      <c r="M921" s="2" t="str">
        <f aca="false">IF(C921="","",IFERROR(INDEX($S$5:$S$304,MATCH(C921,$R$5:$R$304,0))&amp;"","?"))</f>
        <v>17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-2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18978987</v>
      </c>
      <c r="C922" s="4" t="s">
        <v>2729</v>
      </c>
      <c r="D922" s="4" t="s">
        <v>3537</v>
      </c>
      <c r="E922" s="4" t="s">
        <v>3449</v>
      </c>
      <c r="F922" s="127" t="n">
        <v>46113</v>
      </c>
      <c r="G922" s="127" t="n">
        <v>46113</v>
      </c>
      <c r="H922" s="127" t="n">
        <v>46293</v>
      </c>
      <c r="I922" s="4" t="n">
        <v>100</v>
      </c>
      <c r="J922" s="4" t="n">
        <v>100</v>
      </c>
      <c r="K922" s="4" t="n">
        <v>100</v>
      </c>
      <c r="M922" s="2" t="str">
        <f aca="false">IF(C922="","",IFERROR(INDEX($S$5:$S$304,MATCH(C922,$R$5:$R$304,0))&amp;"","?"))</f>
        <v>17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-2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39124197</v>
      </c>
      <c r="C923" s="4" t="s">
        <v>2719</v>
      </c>
      <c r="D923" s="4" t="s">
        <v>433</v>
      </c>
      <c r="E923" s="4" t="s">
        <v>3449</v>
      </c>
      <c r="F923" s="127" t="n">
        <v>46094</v>
      </c>
      <c r="G923" s="127" t="n">
        <v>46114</v>
      </c>
      <c r="H923" s="127" t="n">
        <v>46293</v>
      </c>
      <c r="I923" s="4" t="n">
        <v>100</v>
      </c>
      <c r="J923" s="4" t="n">
        <v>100</v>
      </c>
      <c r="K923" s="4" t="n">
        <v>100</v>
      </c>
      <c r="M923" s="2" t="str">
        <f aca="false">IF(C923="","",IFERROR(INDEX($S$5:$S$304,MATCH(C923,$R$5:$R$304,0))&amp;"","?"))</f>
        <v>17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-2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18979728</v>
      </c>
      <c r="C924" s="4" t="s">
        <v>2719</v>
      </c>
      <c r="D924" s="4" t="s">
        <v>3554</v>
      </c>
      <c r="E924" s="4" t="s">
        <v>3449</v>
      </c>
      <c r="F924" s="127" t="n">
        <v>46094</v>
      </c>
      <c r="G924" s="127" t="n">
        <v>46098</v>
      </c>
      <c r="H924" s="127" t="n">
        <v>46293</v>
      </c>
      <c r="I924" s="4" t="n">
        <v>100</v>
      </c>
      <c r="J924" s="4" t="n">
        <v>100</v>
      </c>
      <c r="K924" s="4" t="n">
        <v>100</v>
      </c>
      <c r="M924" s="2" t="str">
        <f aca="false">IF(C924="","",IFERROR(INDEX($S$5:$S$304,MATCH(C924,$R$5:$R$304,0))&amp;"","?"))</f>
        <v>17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-2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18979729</v>
      </c>
      <c r="C925" s="4" t="s">
        <v>2719</v>
      </c>
      <c r="D925" s="4" t="s">
        <v>3555</v>
      </c>
      <c r="E925" s="4" t="s">
        <v>3449</v>
      </c>
      <c r="F925" s="127" t="n">
        <v>46097</v>
      </c>
      <c r="G925" s="127" t="n">
        <v>46100</v>
      </c>
      <c r="H925" s="127" t="n">
        <v>46293</v>
      </c>
      <c r="I925" s="4" t="n">
        <v>100</v>
      </c>
      <c r="J925" s="4" t="n">
        <v>100</v>
      </c>
      <c r="K925" s="4" t="n">
        <v>100</v>
      </c>
      <c r="M925" s="2" t="str">
        <f aca="false">IF(C925="","",IFERROR(INDEX($S$5:$S$304,MATCH(C925,$R$5:$R$304,0))&amp;"","?"))</f>
        <v>17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-2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18979730</v>
      </c>
      <c r="C926" s="4" t="s">
        <v>2719</v>
      </c>
      <c r="D926" s="4" t="s">
        <v>3498</v>
      </c>
      <c r="E926" s="4" t="s">
        <v>3449</v>
      </c>
      <c r="F926" s="127" t="n">
        <v>46099</v>
      </c>
      <c r="G926" s="127" t="n">
        <v>46105</v>
      </c>
      <c r="H926" s="127" t="n">
        <v>46293</v>
      </c>
      <c r="I926" s="4" t="n">
        <v>100</v>
      </c>
      <c r="J926" s="4" t="n">
        <v>100</v>
      </c>
      <c r="K926" s="4" t="n">
        <v>100</v>
      </c>
      <c r="M926" s="2" t="str">
        <f aca="false">IF(C926="","",IFERROR(INDEX($S$5:$S$304,MATCH(C926,$R$5:$R$304,0))&amp;"","?"))</f>
        <v>17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-2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18979731</v>
      </c>
      <c r="C927" s="4" t="s">
        <v>2719</v>
      </c>
      <c r="D927" s="4" t="s">
        <v>3572</v>
      </c>
      <c r="E927" s="4" t="s">
        <v>3449</v>
      </c>
      <c r="F927" s="127" t="n">
        <v>46104</v>
      </c>
      <c r="G927" s="127" t="n">
        <v>46105</v>
      </c>
      <c r="H927" s="127" t="n">
        <v>46293</v>
      </c>
      <c r="I927" s="4" t="n">
        <v>100</v>
      </c>
      <c r="J927" s="4" t="n">
        <v>100</v>
      </c>
      <c r="K927" s="4" t="n">
        <v>100</v>
      </c>
      <c r="M927" s="2" t="str">
        <f aca="false">IF(C927="","",IFERROR(INDEX($S$5:$S$304,MATCH(C927,$R$5:$R$304,0))&amp;"","?"))</f>
        <v>17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-2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18979732</v>
      </c>
      <c r="C928" s="4" t="s">
        <v>2719</v>
      </c>
      <c r="D928" s="4" t="s">
        <v>3573</v>
      </c>
      <c r="E928" s="4" t="s">
        <v>3449</v>
      </c>
      <c r="F928" s="127" t="n">
        <v>46106</v>
      </c>
      <c r="G928" s="127" t="n">
        <v>46106</v>
      </c>
      <c r="H928" s="127" t="n">
        <v>46293</v>
      </c>
      <c r="I928" s="4" t="n">
        <v>100</v>
      </c>
      <c r="J928" s="4" t="n">
        <v>100</v>
      </c>
      <c r="K928" s="4" t="n">
        <v>100</v>
      </c>
      <c r="M928" s="2" t="str">
        <f aca="false">IF(C928="","",IFERROR(INDEX($S$5:$S$304,MATCH(C928,$R$5:$R$304,0))&amp;"","?"))</f>
        <v>17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-2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18979733</v>
      </c>
      <c r="C929" s="4" t="s">
        <v>2719</v>
      </c>
      <c r="D929" s="4" t="s">
        <v>3536</v>
      </c>
      <c r="E929" s="4" t="s">
        <v>3449</v>
      </c>
      <c r="F929" s="127" t="n">
        <v>46107</v>
      </c>
      <c r="G929" s="127" t="n">
        <v>46113</v>
      </c>
      <c r="H929" s="127" t="n">
        <v>46293</v>
      </c>
      <c r="I929" s="4" t="n">
        <v>100</v>
      </c>
      <c r="J929" s="4" t="n">
        <v>100</v>
      </c>
      <c r="K929" s="4" t="n">
        <v>100</v>
      </c>
      <c r="M929" s="2" t="str">
        <f aca="false">IF(C929="","",IFERROR(INDEX($S$5:$S$304,MATCH(C929,$R$5:$R$304,0))&amp;"","?"))</f>
        <v>17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-2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18979734</v>
      </c>
      <c r="C930" s="4" t="s">
        <v>2719</v>
      </c>
      <c r="D930" s="4" t="s">
        <v>3563</v>
      </c>
      <c r="E930" s="4" t="s">
        <v>3449</v>
      </c>
      <c r="F930" s="127" t="n">
        <v>46114</v>
      </c>
      <c r="G930" s="127" t="n">
        <v>46114</v>
      </c>
      <c r="H930" s="127" t="n">
        <v>46293</v>
      </c>
      <c r="I930" s="4" t="n">
        <v>100</v>
      </c>
      <c r="J930" s="4" t="n">
        <v>100</v>
      </c>
      <c r="K930" s="4" t="n">
        <v>100</v>
      </c>
      <c r="M930" s="2" t="str">
        <f aca="false">IF(C930="","",IFERROR(INDEX($S$5:$S$304,MATCH(C930,$R$5:$R$304,0))&amp;"","?"))</f>
        <v>17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-2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26218305</v>
      </c>
      <c r="C931" s="4" t="s">
        <v>2711</v>
      </c>
      <c r="D931" s="4" t="s">
        <v>433</v>
      </c>
      <c r="E931" s="4" t="s">
        <v>3449</v>
      </c>
      <c r="F931" s="127" t="n">
        <v>46097</v>
      </c>
      <c r="G931" s="127" t="n">
        <v>46114</v>
      </c>
      <c r="H931" s="127" t="n">
        <v>46293</v>
      </c>
      <c r="I931" s="4" t="n">
        <v>100</v>
      </c>
      <c r="J931" s="4" t="n">
        <v>100</v>
      </c>
      <c r="K931" s="4" t="n">
        <v>100</v>
      </c>
      <c r="M931" s="2" t="str">
        <f aca="false">IF(C931="","",IFERROR(INDEX($S$5:$S$304,MATCH(C931,$R$5:$R$304,0))&amp;"","?"))</f>
        <v>17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-2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9364383</v>
      </c>
      <c r="C932" s="4" t="s">
        <v>2711</v>
      </c>
      <c r="D932" s="4" t="s">
        <v>3244</v>
      </c>
      <c r="E932" s="4" t="s">
        <v>3449</v>
      </c>
      <c r="F932" s="127" t="n">
        <v>46097</v>
      </c>
      <c r="G932" s="127" t="n">
        <v>46100</v>
      </c>
      <c r="H932" s="127" t="n">
        <v>46293</v>
      </c>
      <c r="I932" s="4" t="n">
        <v>100</v>
      </c>
      <c r="J932" s="4" t="n">
        <v>100</v>
      </c>
      <c r="K932" s="4" t="n">
        <v>100</v>
      </c>
      <c r="M932" s="2" t="str">
        <f aca="false">IF(C932="","",IFERROR(INDEX($S$5:$S$304,MATCH(C932,$R$5:$R$304,0))&amp;"","?"))</f>
        <v>17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-2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9364384</v>
      </c>
      <c r="C933" s="4" t="s">
        <v>2711</v>
      </c>
      <c r="D933" s="4" t="s">
        <v>3245</v>
      </c>
      <c r="E933" s="4" t="s">
        <v>3449</v>
      </c>
      <c r="F933" s="127" t="n">
        <v>46100</v>
      </c>
      <c r="G933" s="127" t="n">
        <v>46105</v>
      </c>
      <c r="H933" s="127" t="n">
        <v>46293</v>
      </c>
      <c r="I933" s="4" t="n">
        <v>100</v>
      </c>
      <c r="J933" s="4" t="n">
        <v>100</v>
      </c>
      <c r="K933" s="4" t="n">
        <v>100</v>
      </c>
      <c r="M933" s="2" t="str">
        <f aca="false">IF(C933="","",IFERROR(INDEX($S$5:$S$304,MATCH(C933,$R$5:$R$304,0))&amp;"","?"))</f>
        <v>17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-2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9364385</v>
      </c>
      <c r="C934" s="4" t="s">
        <v>2711</v>
      </c>
      <c r="D934" s="4" t="s">
        <v>3246</v>
      </c>
      <c r="E934" s="4" t="s">
        <v>3449</v>
      </c>
      <c r="F934" s="127" t="n">
        <v>46101</v>
      </c>
      <c r="G934" s="127" t="n">
        <v>46106</v>
      </c>
      <c r="H934" s="127" t="n">
        <v>46293</v>
      </c>
      <c r="I934" s="4" t="n">
        <v>100</v>
      </c>
      <c r="J934" s="4" t="n">
        <v>100</v>
      </c>
      <c r="K934" s="4" t="n">
        <v>100</v>
      </c>
      <c r="M934" s="2" t="str">
        <f aca="false">IF(C934="","",IFERROR(INDEX($S$5:$S$304,MATCH(C934,$R$5:$R$304,0))&amp;"","?"))</f>
        <v>17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-2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9364386</v>
      </c>
      <c r="C935" s="4" t="s">
        <v>2711</v>
      </c>
      <c r="D935" s="4" t="s">
        <v>3247</v>
      </c>
      <c r="E935" s="4" t="s">
        <v>3449</v>
      </c>
      <c r="F935" s="127" t="n">
        <v>46107</v>
      </c>
      <c r="G935" s="127" t="n">
        <v>46107</v>
      </c>
      <c r="H935" s="127" t="n">
        <v>46293</v>
      </c>
      <c r="I935" s="4" t="n">
        <v>100</v>
      </c>
      <c r="J935" s="4" t="n">
        <v>100</v>
      </c>
      <c r="K935" s="4" t="n">
        <v>100</v>
      </c>
      <c r="M935" s="2" t="str">
        <f aca="false">IF(C935="","",IFERROR(INDEX($S$5:$S$304,MATCH(C935,$R$5:$R$304,0))&amp;"","?"))</f>
        <v>17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-2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9364387</v>
      </c>
      <c r="C936" s="4" t="s">
        <v>2711</v>
      </c>
      <c r="D936" s="4" t="s">
        <v>3248</v>
      </c>
      <c r="E936" s="4" t="s">
        <v>3449</v>
      </c>
      <c r="F936" s="127" t="n">
        <v>46108</v>
      </c>
      <c r="G936" s="127" t="n">
        <v>46113</v>
      </c>
      <c r="H936" s="127" t="n">
        <v>46293</v>
      </c>
      <c r="I936" s="4" t="n">
        <v>100</v>
      </c>
      <c r="J936" s="4" t="n">
        <v>100</v>
      </c>
      <c r="K936" s="4" t="n">
        <v>100</v>
      </c>
      <c r="M936" s="2" t="str">
        <f aca="false">IF(C936="","",IFERROR(INDEX($S$5:$S$304,MATCH(C936,$R$5:$R$304,0))&amp;"","?"))</f>
        <v>17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-2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9364388</v>
      </c>
      <c r="C937" s="4" t="s">
        <v>2711</v>
      </c>
      <c r="D937" s="4" t="s">
        <v>3249</v>
      </c>
      <c r="E937" s="4" t="s">
        <v>3449</v>
      </c>
      <c r="F937" s="127" t="n">
        <v>46111</v>
      </c>
      <c r="G937" s="127" t="n">
        <v>46114</v>
      </c>
      <c r="H937" s="127" t="n">
        <v>46293</v>
      </c>
      <c r="I937" s="4" t="n">
        <v>100</v>
      </c>
      <c r="J937" s="4" t="n">
        <v>100</v>
      </c>
      <c r="K937" s="4" t="n">
        <v>100</v>
      </c>
      <c r="M937" s="2" t="str">
        <f aca="false">IF(C937="","",IFERROR(INDEX($S$5:$S$304,MATCH(C937,$R$5:$R$304,0))&amp;"","?"))</f>
        <v>17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-2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9364389</v>
      </c>
      <c r="C938" s="4" t="s">
        <v>2711</v>
      </c>
      <c r="D938" s="4" t="s">
        <v>3250</v>
      </c>
      <c r="E938" s="4" t="s">
        <v>3449</v>
      </c>
      <c r="F938" s="127" t="n">
        <v>46113</v>
      </c>
      <c r="G938" s="127" t="n">
        <v>46113</v>
      </c>
      <c r="H938" s="127" t="n">
        <v>46293</v>
      </c>
      <c r="I938" s="4" t="n">
        <v>100</v>
      </c>
      <c r="J938" s="4" t="n">
        <v>100</v>
      </c>
      <c r="K938" s="4" t="n">
        <v>100</v>
      </c>
      <c r="M938" s="2" t="str">
        <f aca="false">IF(C938="","",IFERROR(INDEX($S$5:$S$304,MATCH(C938,$R$5:$R$304,0))&amp;"","?"))</f>
        <v>17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-2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9364390</v>
      </c>
      <c r="C939" s="4" t="s">
        <v>2711</v>
      </c>
      <c r="D939" s="4" t="s">
        <v>3251</v>
      </c>
      <c r="E939" s="4" t="s">
        <v>3449</v>
      </c>
      <c r="F939" s="127" t="n">
        <v>46113</v>
      </c>
      <c r="G939" s="127" t="n">
        <v>46113</v>
      </c>
      <c r="H939" s="127" t="n">
        <v>46293</v>
      </c>
      <c r="I939" s="4" t="n">
        <v>100</v>
      </c>
      <c r="J939" s="4" t="n">
        <v>100</v>
      </c>
      <c r="K939" s="4" t="n">
        <v>100</v>
      </c>
      <c r="M939" s="2" t="str">
        <f aca="false">IF(C939="","",IFERROR(INDEX($S$5:$S$304,MATCH(C939,$R$5:$R$304,0))&amp;"","?"))</f>
        <v>17</v>
      </c>
      <c r="N939" s="2" t="n">
        <f aca="false">IF(E939="","",IF(ISNUMBER(SEARCH("SUBSOLO",E939)),IFERROR(-VALUE(LEFT(E939,FIND("º",SUBSTITUTE(E939,"°","º"))-1)),-1),IF(LEFT(E939,6)="TÉRREO",0,IFERROR(VALUE(LEFT(E939,FIND("º",SUBSTITUTE(E939,"°","º"))-1)),""))))</f>
        <v>-2</v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9364391</v>
      </c>
      <c r="C940" s="4" t="s">
        <v>2711</v>
      </c>
      <c r="D940" s="4" t="s">
        <v>3252</v>
      </c>
      <c r="E940" s="4" t="s">
        <v>3449</v>
      </c>
      <c r="F940" s="127" t="n">
        <v>46114</v>
      </c>
      <c r="G940" s="127" t="n">
        <v>46114</v>
      </c>
      <c r="H940" s="127" t="n">
        <v>46293</v>
      </c>
      <c r="I940" s="4" t="n">
        <v>100</v>
      </c>
      <c r="J940" s="4" t="n">
        <v>100</v>
      </c>
      <c r="K940" s="4" t="n">
        <v>100</v>
      </c>
      <c r="M940" s="2" t="str">
        <f aca="false">IF(C940="","",IFERROR(INDEX($S$5:$S$304,MATCH(C940,$R$5:$R$304,0))&amp;"","?"))</f>
        <v>17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-2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24939931</v>
      </c>
      <c r="C941" s="4" t="s">
        <v>2705</v>
      </c>
      <c r="D941" s="4" t="s">
        <v>433</v>
      </c>
      <c r="E941" s="4" t="s">
        <v>3466</v>
      </c>
      <c r="F941" s="127" t="n">
        <v>46099</v>
      </c>
      <c r="G941" s="127" t="n">
        <v>46120</v>
      </c>
      <c r="H941" s="127" t="n">
        <v>46293</v>
      </c>
      <c r="I941" s="4" t="n">
        <v>100</v>
      </c>
      <c r="J941" s="4" t="n">
        <v>100</v>
      </c>
      <c r="K941" s="4" t="n">
        <v>100</v>
      </c>
      <c r="M941" s="2" t="str">
        <f aca="false">IF(C941="","",IFERROR(INDEX($S$5:$S$304,MATCH(C941,$R$5:$R$304,0))&amp;"","?"))</f>
        <v>17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-1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9360178</v>
      </c>
      <c r="C942" s="4" t="s">
        <v>2705</v>
      </c>
      <c r="D942" s="4" t="s">
        <v>3244</v>
      </c>
      <c r="E942" s="4" t="s">
        <v>3466</v>
      </c>
      <c r="F942" s="127" t="n">
        <v>46099</v>
      </c>
      <c r="G942" s="127" t="n">
        <v>46105</v>
      </c>
      <c r="H942" s="127" t="n">
        <v>46293</v>
      </c>
      <c r="I942" s="4" t="n">
        <v>100</v>
      </c>
      <c r="J942" s="4" t="n">
        <v>100</v>
      </c>
      <c r="K942" s="4" t="n">
        <v>100</v>
      </c>
      <c r="M942" s="2" t="str">
        <f aca="false">IF(C942="","",IFERROR(INDEX($S$5:$S$304,MATCH(C942,$R$5:$R$304,0))&amp;"","?"))</f>
        <v>17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-1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9360179</v>
      </c>
      <c r="C943" s="4" t="s">
        <v>2705</v>
      </c>
      <c r="D943" s="4" t="s">
        <v>3245</v>
      </c>
      <c r="E943" s="4" t="s">
        <v>3466</v>
      </c>
      <c r="F943" s="127" t="n">
        <v>46105</v>
      </c>
      <c r="G943" s="127" t="n">
        <v>46111</v>
      </c>
      <c r="H943" s="127" t="n">
        <v>46293</v>
      </c>
      <c r="I943" s="4" t="n">
        <v>100</v>
      </c>
      <c r="J943" s="4" t="n">
        <v>100</v>
      </c>
      <c r="K943" s="4" t="n">
        <v>100</v>
      </c>
      <c r="M943" s="2" t="str">
        <f aca="false">IF(C943="","",IFERROR(INDEX($S$5:$S$304,MATCH(C943,$R$5:$R$304,0))&amp;"","?"))</f>
        <v>17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-1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9360180</v>
      </c>
      <c r="C944" s="4" t="s">
        <v>2705</v>
      </c>
      <c r="D944" s="4" t="s">
        <v>3246</v>
      </c>
      <c r="E944" s="4" t="s">
        <v>3466</v>
      </c>
      <c r="F944" s="127" t="n">
        <v>46106</v>
      </c>
      <c r="G944" s="127" t="n">
        <v>46108</v>
      </c>
      <c r="H944" s="127" t="n">
        <v>46293</v>
      </c>
      <c r="I944" s="4" t="n">
        <v>100</v>
      </c>
      <c r="J944" s="4" t="n">
        <v>100</v>
      </c>
      <c r="K944" s="4" t="n">
        <v>100</v>
      </c>
      <c r="M944" s="2" t="str">
        <f aca="false">IF(C944="","",IFERROR(INDEX($S$5:$S$304,MATCH(C944,$R$5:$R$304,0))&amp;"","?"))</f>
        <v>17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-1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9360181</v>
      </c>
      <c r="C945" s="4" t="s">
        <v>2705</v>
      </c>
      <c r="D945" s="4" t="s">
        <v>3247</v>
      </c>
      <c r="E945" s="4" t="s">
        <v>3466</v>
      </c>
      <c r="F945" s="127" t="n">
        <v>46111</v>
      </c>
      <c r="G945" s="127" t="n">
        <v>46111</v>
      </c>
      <c r="H945" s="127" t="n">
        <v>46293</v>
      </c>
      <c r="I945" s="4" t="n">
        <v>100</v>
      </c>
      <c r="J945" s="4" t="n">
        <v>100</v>
      </c>
      <c r="K945" s="4" t="n">
        <v>100</v>
      </c>
      <c r="M945" s="2" t="str">
        <f aca="false">IF(C945="","",IFERROR(INDEX($S$5:$S$304,MATCH(C945,$R$5:$R$304,0))&amp;"","?"))</f>
        <v>17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-1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9360182</v>
      </c>
      <c r="C946" s="4" t="s">
        <v>2705</v>
      </c>
      <c r="D946" s="4" t="s">
        <v>3248</v>
      </c>
      <c r="E946" s="4" t="s">
        <v>3466</v>
      </c>
      <c r="F946" s="127" t="n">
        <v>46112</v>
      </c>
      <c r="G946" s="127" t="n">
        <v>46119</v>
      </c>
      <c r="H946" s="127" t="n">
        <v>46293</v>
      </c>
      <c r="I946" s="4" t="n">
        <v>100</v>
      </c>
      <c r="J946" s="4" t="n">
        <v>100</v>
      </c>
      <c r="K946" s="4" t="n">
        <v>100</v>
      </c>
      <c r="M946" s="2" t="str">
        <f aca="false">IF(C946="","",IFERROR(INDEX($S$5:$S$304,MATCH(C946,$R$5:$R$304,0))&amp;"","?"))</f>
        <v>17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-1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9360183</v>
      </c>
      <c r="C947" s="4" t="s">
        <v>2705</v>
      </c>
      <c r="D947" s="4" t="s">
        <v>3249</v>
      </c>
      <c r="E947" s="4" t="s">
        <v>3466</v>
      </c>
      <c r="F947" s="127" t="n">
        <v>46113</v>
      </c>
      <c r="G947" s="127" t="n">
        <v>46120</v>
      </c>
      <c r="H947" s="127" t="n">
        <v>46293</v>
      </c>
      <c r="I947" s="4" t="n">
        <v>100</v>
      </c>
      <c r="J947" s="4" t="n">
        <v>100</v>
      </c>
      <c r="K947" s="4" t="n">
        <v>100</v>
      </c>
      <c r="M947" s="2" t="str">
        <f aca="false">IF(C947="","",IFERROR(INDEX($S$5:$S$304,MATCH(C947,$R$5:$R$304,0))&amp;"","?"))</f>
        <v>17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-1</v>
      </c>
      <c r="O947" s="2" t="str">
        <f aca="false">IF(OR(F947="",G947=""),"",IF(G947&lt;='RETRATO 2027'!$K$5,"CONCLUÍDA",IF(F947&lt;='RETRATO 2027'!$K$5,"EM ANDAMENTO","A INICIAR")))</f>
        <v>CONCLUÍDA</v>
      </c>
    </row>
    <row r="948" customFormat="false" ht="15" hidden="false" customHeight="false" outlineLevel="0" collapsed="false">
      <c r="B948" s="4" t="n">
        <v>9360184</v>
      </c>
      <c r="C948" s="4" t="s">
        <v>2705</v>
      </c>
      <c r="D948" s="4" t="s">
        <v>3250</v>
      </c>
      <c r="E948" s="4" t="s">
        <v>3466</v>
      </c>
      <c r="F948" s="127" t="n">
        <v>46119</v>
      </c>
      <c r="G948" s="127" t="n">
        <v>46119</v>
      </c>
      <c r="H948" s="127" t="n">
        <v>46293</v>
      </c>
      <c r="I948" s="4" t="n">
        <v>100</v>
      </c>
      <c r="J948" s="4" t="n">
        <v>100</v>
      </c>
      <c r="K948" s="4" t="n">
        <v>100</v>
      </c>
      <c r="M948" s="2" t="str">
        <f aca="false">IF(C948="","",IFERROR(INDEX($S$5:$S$304,MATCH(C948,$R$5:$R$304,0))&amp;"","?"))</f>
        <v>17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-1</v>
      </c>
      <c r="O948" s="2" t="str">
        <f aca="false">IF(OR(F948="",G948=""),"",IF(G948&lt;='RETRATO 2027'!$K$5,"CONCLUÍDA",IF(F948&lt;='RETRATO 2027'!$K$5,"EM ANDAMENTO","A INICIAR")))</f>
        <v>CONCLUÍDA</v>
      </c>
    </row>
    <row r="949" customFormat="false" ht="15" hidden="false" customHeight="false" outlineLevel="0" collapsed="false">
      <c r="B949" s="4" t="n">
        <v>9360185</v>
      </c>
      <c r="C949" s="4" t="s">
        <v>2705</v>
      </c>
      <c r="D949" s="4" t="s">
        <v>3251</v>
      </c>
      <c r="E949" s="4" t="s">
        <v>3466</v>
      </c>
      <c r="F949" s="127" t="n">
        <v>46119</v>
      </c>
      <c r="G949" s="127" t="n">
        <v>46119</v>
      </c>
      <c r="H949" s="127" t="n">
        <v>46293</v>
      </c>
      <c r="I949" s="4" t="n">
        <v>100</v>
      </c>
      <c r="J949" s="4" t="n">
        <v>100</v>
      </c>
      <c r="K949" s="4" t="n">
        <v>100</v>
      </c>
      <c r="M949" s="2" t="str">
        <f aca="false">IF(C949="","",IFERROR(INDEX($S$5:$S$304,MATCH(C949,$R$5:$R$304,0))&amp;"","?"))</f>
        <v>17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-1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9360186</v>
      </c>
      <c r="C950" s="4" t="s">
        <v>2705</v>
      </c>
      <c r="D950" s="4" t="s">
        <v>3252</v>
      </c>
      <c r="E950" s="4" t="s">
        <v>3466</v>
      </c>
      <c r="F950" s="127" t="n">
        <v>46120</v>
      </c>
      <c r="G950" s="127" t="n">
        <v>46120</v>
      </c>
      <c r="H950" s="127" t="n">
        <v>46293</v>
      </c>
      <c r="I950" s="4" t="n">
        <v>100</v>
      </c>
      <c r="J950" s="4" t="n">
        <v>100</v>
      </c>
      <c r="K950" s="4" t="n">
        <v>100</v>
      </c>
      <c r="M950" s="2" t="str">
        <f aca="false">IF(C950="","",IFERROR(INDEX($S$5:$S$304,MATCH(C950,$R$5:$R$304,0))&amp;"","?"))</f>
        <v>17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-1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39122802</v>
      </c>
      <c r="C951" s="4" t="s">
        <v>2714</v>
      </c>
      <c r="D951" s="4" t="s">
        <v>433</v>
      </c>
      <c r="E951" s="4" t="s">
        <v>3466</v>
      </c>
      <c r="F951" s="127" t="n">
        <v>46099</v>
      </c>
      <c r="G951" s="127" t="n">
        <v>46120</v>
      </c>
      <c r="H951" s="127" t="n">
        <v>46293</v>
      </c>
      <c r="I951" s="4" t="n">
        <v>100</v>
      </c>
      <c r="J951" s="4" t="n">
        <v>100</v>
      </c>
      <c r="K951" s="4" t="n">
        <v>100</v>
      </c>
      <c r="M951" s="2" t="str">
        <f aca="false">IF(C951="","",IFERROR(INDEX($S$5:$S$304,MATCH(C951,$R$5:$R$304,0))&amp;"","?"))</f>
        <v>17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-1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18978883</v>
      </c>
      <c r="C952" s="4" t="s">
        <v>2714</v>
      </c>
      <c r="D952" s="4" t="s">
        <v>3556</v>
      </c>
      <c r="E952" s="4" t="s">
        <v>3466</v>
      </c>
      <c r="F952" s="127" t="n">
        <v>46099</v>
      </c>
      <c r="G952" s="127" t="n">
        <v>46101</v>
      </c>
      <c r="H952" s="127" t="n">
        <v>46293</v>
      </c>
      <c r="I952" s="4" t="n">
        <v>100</v>
      </c>
      <c r="J952" s="4" t="n">
        <v>100</v>
      </c>
      <c r="K952" s="4" t="n">
        <v>100</v>
      </c>
      <c r="M952" s="2" t="str">
        <f aca="false">IF(C952="","",IFERROR(INDEX($S$5:$S$304,MATCH(C952,$R$5:$R$304,0))&amp;"","?"))</f>
        <v>17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-1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18978884</v>
      </c>
      <c r="C953" s="4" t="s">
        <v>2714</v>
      </c>
      <c r="D953" s="4" t="s">
        <v>3557</v>
      </c>
      <c r="E953" s="4" t="s">
        <v>3466</v>
      </c>
      <c r="F953" s="127" t="n">
        <v>46100</v>
      </c>
      <c r="G953" s="127" t="n">
        <v>46105</v>
      </c>
      <c r="H953" s="127" t="n">
        <v>46293</v>
      </c>
      <c r="I953" s="4" t="n">
        <v>100</v>
      </c>
      <c r="J953" s="4" t="n">
        <v>100</v>
      </c>
      <c r="K953" s="4" t="n">
        <v>100</v>
      </c>
      <c r="M953" s="2" t="str">
        <f aca="false">IF(C953="","",IFERROR(INDEX($S$5:$S$304,MATCH(C953,$R$5:$R$304,0))&amp;"","?"))</f>
        <v>17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-1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18978885</v>
      </c>
      <c r="C954" s="4" t="s">
        <v>2714</v>
      </c>
      <c r="D954" s="4" t="s">
        <v>3535</v>
      </c>
      <c r="E954" s="4" t="s">
        <v>3466</v>
      </c>
      <c r="F954" s="127" t="n">
        <v>46104</v>
      </c>
      <c r="G954" s="127" t="n">
        <v>46112</v>
      </c>
      <c r="H954" s="127" t="n">
        <v>46293</v>
      </c>
      <c r="I954" s="4" t="n">
        <v>100</v>
      </c>
      <c r="J954" s="4" t="n">
        <v>100</v>
      </c>
      <c r="K954" s="4" t="n">
        <v>100</v>
      </c>
      <c r="M954" s="2" t="str">
        <f aca="false">IF(C954="","",IFERROR(INDEX($S$5:$S$304,MATCH(C954,$R$5:$R$304,0))&amp;"","?"))</f>
        <v>17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-1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18978886</v>
      </c>
      <c r="C955" s="4" t="s">
        <v>2714</v>
      </c>
      <c r="D955" s="4" t="s">
        <v>3515</v>
      </c>
      <c r="E955" s="4" t="s">
        <v>3466</v>
      </c>
      <c r="F955" s="127" t="n">
        <v>46107</v>
      </c>
      <c r="G955" s="127" t="n">
        <v>46108</v>
      </c>
      <c r="H955" s="127" t="n">
        <v>46293</v>
      </c>
      <c r="I955" s="4" t="n">
        <v>100</v>
      </c>
      <c r="J955" s="4" t="n">
        <v>100</v>
      </c>
      <c r="K955" s="4" t="n">
        <v>100</v>
      </c>
      <c r="M955" s="2" t="str">
        <f aca="false">IF(C955="","",IFERROR(INDEX($S$5:$S$304,MATCH(C955,$R$5:$R$304,0))&amp;"","?"))</f>
        <v>17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-1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18978887</v>
      </c>
      <c r="C956" s="4" t="s">
        <v>2714</v>
      </c>
      <c r="D956" s="4" t="s">
        <v>3574</v>
      </c>
      <c r="E956" s="4" t="s">
        <v>3466</v>
      </c>
      <c r="F956" s="127" t="n">
        <v>46111</v>
      </c>
      <c r="G956" s="127" t="n">
        <v>46111</v>
      </c>
      <c r="H956" s="127" t="n">
        <v>46293</v>
      </c>
      <c r="I956" s="4" t="n">
        <v>100</v>
      </c>
      <c r="J956" s="4" t="n">
        <v>100</v>
      </c>
      <c r="K956" s="4" t="n">
        <v>100</v>
      </c>
      <c r="M956" s="2" t="str">
        <f aca="false">IF(C956="","",IFERROR(INDEX($S$5:$S$304,MATCH(C956,$R$5:$R$304,0))&amp;"","?"))</f>
        <v>17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-1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18978888</v>
      </c>
      <c r="C957" s="4" t="s">
        <v>2714</v>
      </c>
      <c r="D957" s="4" t="s">
        <v>3536</v>
      </c>
      <c r="E957" s="4" t="s">
        <v>3466</v>
      </c>
      <c r="F957" s="127" t="n">
        <v>46112</v>
      </c>
      <c r="G957" s="127" t="n">
        <v>46119</v>
      </c>
      <c r="H957" s="127" t="n">
        <v>46293</v>
      </c>
      <c r="I957" s="4" t="n">
        <v>100</v>
      </c>
      <c r="J957" s="4" t="n">
        <v>100</v>
      </c>
      <c r="K957" s="4" t="n">
        <v>100</v>
      </c>
      <c r="M957" s="2" t="str">
        <f aca="false">IF(C957="","",IFERROR(INDEX($S$5:$S$304,MATCH(C957,$R$5:$R$304,0))&amp;"","?"))</f>
        <v>17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-1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18978889</v>
      </c>
      <c r="C958" s="4" t="s">
        <v>2714</v>
      </c>
      <c r="D958" s="4" t="s">
        <v>3537</v>
      </c>
      <c r="E958" s="4" t="s">
        <v>3466</v>
      </c>
      <c r="F958" s="127" t="n">
        <v>46120</v>
      </c>
      <c r="G958" s="127" t="n">
        <v>46120</v>
      </c>
      <c r="H958" s="127" t="n">
        <v>46293</v>
      </c>
      <c r="I958" s="4" t="n">
        <v>100</v>
      </c>
      <c r="J958" s="4" t="n">
        <v>100</v>
      </c>
      <c r="K958" s="4" t="n">
        <v>100</v>
      </c>
      <c r="M958" s="2" t="str">
        <f aca="false">IF(C958="","",IFERROR(INDEX($S$5:$S$304,MATCH(C958,$R$5:$R$304,0))&amp;"","?"))</f>
        <v>17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-1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36073124</v>
      </c>
      <c r="C959" s="4" t="s">
        <v>2723</v>
      </c>
      <c r="D959" s="4" t="s">
        <v>433</v>
      </c>
      <c r="E959" s="4" t="s">
        <v>3466</v>
      </c>
      <c r="F959" s="127" t="n">
        <v>46107</v>
      </c>
      <c r="G959" s="127" t="n">
        <v>46125</v>
      </c>
      <c r="H959" s="127" t="n">
        <v>46293</v>
      </c>
      <c r="I959" s="4" t="n">
        <v>100</v>
      </c>
      <c r="J959" s="4" t="n">
        <v>100</v>
      </c>
      <c r="K959" s="4" t="n">
        <v>100</v>
      </c>
      <c r="M959" s="2" t="str">
        <f aca="false">IF(C959="","",IFERROR(INDEX($S$5:$S$304,MATCH(C959,$R$5:$R$304,0))&amp;"","?"))</f>
        <v>17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-1</v>
      </c>
      <c r="O959" s="2" t="str">
        <f aca="false">IF(OR(F959="",G959=""),"",IF(G959&lt;='RETRATO 2027'!$K$5,"CONCLUÍDA",IF(F959&lt;='RETRATO 2027'!$K$5,"EM ANDAMENTO","A INICIAR")))</f>
        <v>CONCLUÍDA</v>
      </c>
    </row>
    <row r="960" customFormat="false" ht="15" hidden="false" customHeight="false" outlineLevel="0" collapsed="false">
      <c r="B960" s="4" t="n">
        <v>19483437</v>
      </c>
      <c r="C960" s="4" t="s">
        <v>2723</v>
      </c>
      <c r="D960" s="4" t="s">
        <v>3575</v>
      </c>
      <c r="E960" s="4" t="s">
        <v>3466</v>
      </c>
      <c r="F960" s="127" t="n">
        <v>46107</v>
      </c>
      <c r="G960" s="127" t="n">
        <v>46107</v>
      </c>
      <c r="H960" s="127" t="n">
        <v>46293</v>
      </c>
      <c r="I960" s="4" t="n">
        <v>100</v>
      </c>
      <c r="J960" s="4" t="n">
        <v>100</v>
      </c>
      <c r="K960" s="4" t="n">
        <v>100</v>
      </c>
      <c r="M960" s="2" t="str">
        <f aca="false">IF(C960="","",IFERROR(INDEX($S$5:$S$304,MATCH(C960,$R$5:$R$304,0))&amp;"","?"))</f>
        <v>17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-1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19483438</v>
      </c>
      <c r="C961" s="4" t="s">
        <v>2723</v>
      </c>
      <c r="D961" s="4" t="s">
        <v>3576</v>
      </c>
      <c r="E961" s="4" t="s">
        <v>3466</v>
      </c>
      <c r="F961" s="127" t="n">
        <v>46108</v>
      </c>
      <c r="G961" s="127" t="n">
        <v>46111</v>
      </c>
      <c r="H961" s="127" t="n">
        <v>46293</v>
      </c>
      <c r="I961" s="4" t="n">
        <v>100</v>
      </c>
      <c r="J961" s="4" t="n">
        <v>100</v>
      </c>
      <c r="K961" s="4" t="n">
        <v>100</v>
      </c>
      <c r="M961" s="2" t="str">
        <f aca="false">IF(C961="","",IFERROR(INDEX($S$5:$S$304,MATCH(C961,$R$5:$R$304,0))&amp;"","?"))</f>
        <v>17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-1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19483439</v>
      </c>
      <c r="C962" s="4" t="s">
        <v>2723</v>
      </c>
      <c r="D962" s="4" t="s">
        <v>3577</v>
      </c>
      <c r="E962" s="4" t="s">
        <v>3466</v>
      </c>
      <c r="F962" s="127" t="n">
        <v>46112</v>
      </c>
      <c r="G962" s="127" t="n">
        <v>46114</v>
      </c>
      <c r="H962" s="127" t="n">
        <v>46293</v>
      </c>
      <c r="I962" s="4" t="n">
        <v>100</v>
      </c>
      <c r="J962" s="4" t="n">
        <v>100</v>
      </c>
      <c r="K962" s="4" t="n">
        <v>100</v>
      </c>
      <c r="M962" s="2" t="str">
        <f aca="false">IF(C962="","",IFERROR(INDEX($S$5:$S$304,MATCH(C962,$R$5:$R$304,0))&amp;"","?"))</f>
        <v>17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-1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19483440</v>
      </c>
      <c r="C963" s="4" t="s">
        <v>2723</v>
      </c>
      <c r="D963" s="4" t="s">
        <v>3217</v>
      </c>
      <c r="E963" s="4" t="s">
        <v>3466</v>
      </c>
      <c r="F963" s="127" t="n">
        <v>46118</v>
      </c>
      <c r="G963" s="127" t="n">
        <v>46122</v>
      </c>
      <c r="H963" s="127" t="n">
        <v>46293</v>
      </c>
      <c r="I963" s="4" t="n">
        <v>100</v>
      </c>
      <c r="J963" s="4" t="n">
        <v>100</v>
      </c>
      <c r="K963" s="4" t="n">
        <v>100</v>
      </c>
      <c r="M963" s="2" t="str">
        <f aca="false">IF(C963="","",IFERROR(INDEX($S$5:$S$304,MATCH(C963,$R$5:$R$304,0))&amp;"","?"))</f>
        <v>17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-1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19483441</v>
      </c>
      <c r="C964" s="4" t="s">
        <v>2723</v>
      </c>
      <c r="D964" s="4" t="s">
        <v>3563</v>
      </c>
      <c r="E964" s="4" t="s">
        <v>3466</v>
      </c>
      <c r="F964" s="127" t="n">
        <v>46125</v>
      </c>
      <c r="G964" s="127" t="n">
        <v>46125</v>
      </c>
      <c r="H964" s="127" t="n">
        <v>46293</v>
      </c>
      <c r="I964" s="4" t="n">
        <v>100</v>
      </c>
      <c r="J964" s="4" t="n">
        <v>100</v>
      </c>
      <c r="K964" s="4" t="n">
        <v>100</v>
      </c>
      <c r="M964" s="2" t="str">
        <f aca="false">IF(C964="","",IFERROR(INDEX($S$5:$S$304,MATCH(C964,$R$5:$R$304,0))&amp;"","?"))</f>
        <v>17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-1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39884771</v>
      </c>
      <c r="C965" s="4" t="s">
        <v>2740</v>
      </c>
      <c r="D965" s="4" t="s">
        <v>433</v>
      </c>
      <c r="E965" s="4" t="s">
        <v>3473</v>
      </c>
      <c r="F965" s="127" t="n">
        <v>46111</v>
      </c>
      <c r="G965" s="127" t="n">
        <v>46128</v>
      </c>
      <c r="H965" s="127" t="n">
        <v>46293</v>
      </c>
      <c r="I965" s="4" t="n">
        <v>100</v>
      </c>
      <c r="J965" s="4" t="n">
        <v>100</v>
      </c>
      <c r="K965" s="4" t="n">
        <v>100</v>
      </c>
      <c r="M965" s="2" t="str">
        <f aca="false">IF(C965="","",IFERROR(INDEX($S$5:$S$304,MATCH(C965,$R$5:$R$304,0))&amp;"","?"))</f>
        <v>17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-5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19483415</v>
      </c>
      <c r="C966" s="4" t="s">
        <v>2740</v>
      </c>
      <c r="D966" s="4" t="s">
        <v>3498</v>
      </c>
      <c r="E966" s="4" t="s">
        <v>3473</v>
      </c>
      <c r="F966" s="127" t="n">
        <v>46111</v>
      </c>
      <c r="G966" s="127" t="n">
        <v>46118</v>
      </c>
      <c r="H966" s="127" t="n">
        <v>46293</v>
      </c>
      <c r="I966" s="4" t="n">
        <v>100</v>
      </c>
      <c r="J966" s="4" t="n">
        <v>100</v>
      </c>
      <c r="K966" s="4" t="n">
        <v>100</v>
      </c>
      <c r="M966" s="2" t="str">
        <f aca="false">IF(C966="","",IFERROR(INDEX($S$5:$S$304,MATCH(C966,$R$5:$R$304,0))&amp;"","?"))</f>
        <v>17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-5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19483416</v>
      </c>
      <c r="C967" s="4" t="s">
        <v>2740</v>
      </c>
      <c r="D967" s="4" t="s">
        <v>3578</v>
      </c>
      <c r="E967" s="4" t="s">
        <v>3473</v>
      </c>
      <c r="F967" s="127" t="n">
        <v>46119</v>
      </c>
      <c r="G967" s="127" t="n">
        <v>46122</v>
      </c>
      <c r="H967" s="127" t="n">
        <v>46293</v>
      </c>
      <c r="I967" s="4" t="n">
        <v>100</v>
      </c>
      <c r="J967" s="4" t="n">
        <v>100</v>
      </c>
      <c r="K967" s="4" t="n">
        <v>100</v>
      </c>
      <c r="M967" s="2" t="str">
        <f aca="false">IF(C967="","",IFERROR(INDEX($S$5:$S$304,MATCH(C967,$R$5:$R$304,0))&amp;"","?"))</f>
        <v>17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-5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19483417</v>
      </c>
      <c r="C968" s="4" t="s">
        <v>2740</v>
      </c>
      <c r="D968" s="4" t="s">
        <v>3579</v>
      </c>
      <c r="E968" s="4" t="s">
        <v>3473</v>
      </c>
      <c r="F968" s="127" t="n">
        <v>46125</v>
      </c>
      <c r="G968" s="127" t="n">
        <v>46127</v>
      </c>
      <c r="H968" s="127" t="n">
        <v>46293</v>
      </c>
      <c r="I968" s="4" t="n">
        <v>100</v>
      </c>
      <c r="J968" s="4" t="n">
        <v>100</v>
      </c>
      <c r="K968" s="4" t="n">
        <v>100</v>
      </c>
      <c r="M968" s="2" t="str">
        <f aca="false">IF(C968="","",IFERROR(INDEX($S$5:$S$304,MATCH(C968,$R$5:$R$304,0))&amp;"","?"))</f>
        <v>17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-5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19483418</v>
      </c>
      <c r="C969" s="4" t="s">
        <v>2740</v>
      </c>
      <c r="D969" s="4" t="s">
        <v>3580</v>
      </c>
      <c r="E969" s="4" t="s">
        <v>3473</v>
      </c>
      <c r="F969" s="127" t="n">
        <v>46128</v>
      </c>
      <c r="G969" s="127" t="n">
        <v>46128</v>
      </c>
      <c r="H969" s="127" t="n">
        <v>46293</v>
      </c>
      <c r="I969" s="4" t="n">
        <v>100</v>
      </c>
      <c r="J969" s="4" t="n">
        <v>100</v>
      </c>
      <c r="K969" s="4" t="n">
        <v>100</v>
      </c>
      <c r="M969" s="2" t="str">
        <f aca="false">IF(C969="","",IFERROR(INDEX($S$5:$S$304,MATCH(C969,$R$5:$R$304,0))&amp;"","?"))</f>
        <v>17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-5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39886017</v>
      </c>
      <c r="C970" s="4" t="s">
        <v>2733</v>
      </c>
      <c r="D970" s="4" t="s">
        <v>433</v>
      </c>
      <c r="E970" s="4" t="s">
        <v>3375</v>
      </c>
      <c r="F970" s="127" t="n">
        <v>46112</v>
      </c>
      <c r="G970" s="127" t="n">
        <v>46120</v>
      </c>
      <c r="H970" s="127" t="n">
        <v>46293</v>
      </c>
      <c r="I970" s="4" t="n">
        <v>100</v>
      </c>
      <c r="J970" s="4" t="n">
        <v>100</v>
      </c>
      <c r="K970" s="4" t="n">
        <v>100</v>
      </c>
      <c r="M970" s="2" t="str">
        <f aca="false">IF(C970="","",IFERROR(INDEX($S$5:$S$304,MATCH(C970,$R$5:$R$304,0))&amp;"","?"))</f>
        <v>17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-3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19483454</v>
      </c>
      <c r="C971" s="4" t="s">
        <v>2733</v>
      </c>
      <c r="D971" s="4" t="s">
        <v>3581</v>
      </c>
      <c r="E971" s="4" t="s">
        <v>3375</v>
      </c>
      <c r="F971" s="127" t="n">
        <v>46112</v>
      </c>
      <c r="G971" s="127" t="n">
        <v>46113</v>
      </c>
      <c r="H971" s="127" t="n">
        <v>46293</v>
      </c>
      <c r="I971" s="4" t="n">
        <v>100</v>
      </c>
      <c r="J971" s="4" t="n">
        <v>100</v>
      </c>
      <c r="K971" s="4" t="n">
        <v>100</v>
      </c>
      <c r="M971" s="2" t="str">
        <f aca="false">IF(C971="","",IFERROR(INDEX($S$5:$S$304,MATCH(C971,$R$5:$R$304,0))&amp;"","?"))</f>
        <v>17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-3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19483455</v>
      </c>
      <c r="C972" s="4" t="s">
        <v>2733</v>
      </c>
      <c r="D972" s="4" t="s">
        <v>3560</v>
      </c>
      <c r="E972" s="4" t="s">
        <v>3375</v>
      </c>
      <c r="F972" s="127" t="n">
        <v>46114</v>
      </c>
      <c r="G972" s="127" t="n">
        <v>46118</v>
      </c>
      <c r="H972" s="127" t="n">
        <v>46293</v>
      </c>
      <c r="I972" s="4" t="n">
        <v>100</v>
      </c>
      <c r="J972" s="4" t="n">
        <v>100</v>
      </c>
      <c r="K972" s="4" t="n">
        <v>100</v>
      </c>
      <c r="M972" s="2" t="str">
        <f aca="false">IF(C972="","",IFERROR(INDEX($S$5:$S$304,MATCH(C972,$R$5:$R$304,0))&amp;"","?"))</f>
        <v>17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-3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19483456</v>
      </c>
      <c r="C973" s="4" t="s">
        <v>2733</v>
      </c>
      <c r="D973" s="4" t="s">
        <v>3561</v>
      </c>
      <c r="E973" s="4" t="s">
        <v>3375</v>
      </c>
      <c r="F973" s="127" t="n">
        <v>46119</v>
      </c>
      <c r="G973" s="127" t="n">
        <v>46119</v>
      </c>
      <c r="H973" s="127" t="n">
        <v>46293</v>
      </c>
      <c r="I973" s="4" t="n">
        <v>100</v>
      </c>
      <c r="J973" s="4" t="n">
        <v>100</v>
      </c>
      <c r="K973" s="4" t="n">
        <v>100</v>
      </c>
      <c r="M973" s="2" t="str">
        <f aca="false">IF(C973="","",IFERROR(INDEX($S$5:$S$304,MATCH(C973,$R$5:$R$304,0))&amp;"","?"))</f>
        <v>17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-3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19483457</v>
      </c>
      <c r="C974" s="4" t="s">
        <v>2733</v>
      </c>
      <c r="D974" s="4" t="s">
        <v>3218</v>
      </c>
      <c r="E974" s="4" t="s">
        <v>3375</v>
      </c>
      <c r="F974" s="127" t="n">
        <v>46120</v>
      </c>
      <c r="G974" s="127" t="n">
        <v>46120</v>
      </c>
      <c r="H974" s="127" t="n">
        <v>46293</v>
      </c>
      <c r="I974" s="4" t="n">
        <v>100</v>
      </c>
      <c r="J974" s="4" t="n">
        <v>100</v>
      </c>
      <c r="K974" s="4" t="n">
        <v>100</v>
      </c>
      <c r="M974" s="2" t="str">
        <f aca="false">IF(C974="","",IFERROR(INDEX($S$5:$S$304,MATCH(C974,$R$5:$R$304,0))&amp;"","?"))</f>
        <v>17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-3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26218308</v>
      </c>
      <c r="C975" s="4" t="s">
        <v>2702</v>
      </c>
      <c r="D975" s="4" t="s">
        <v>433</v>
      </c>
      <c r="E975" s="4" t="s">
        <v>3466</v>
      </c>
      <c r="F975" s="127" t="n">
        <v>46114</v>
      </c>
      <c r="G975" s="127" t="n">
        <v>46136</v>
      </c>
      <c r="H975" s="127" t="n">
        <v>46293</v>
      </c>
      <c r="I975" s="4" t="n">
        <v>100</v>
      </c>
      <c r="J975" s="4" t="n">
        <v>100</v>
      </c>
      <c r="K975" s="4" t="n">
        <v>100</v>
      </c>
      <c r="M975" s="2" t="str">
        <f aca="false">IF(C975="","",IFERROR(INDEX($S$5:$S$304,MATCH(C975,$R$5:$R$304,0))&amp;"","?"))</f>
        <v>17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-1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9364347</v>
      </c>
      <c r="C976" s="4" t="s">
        <v>2702</v>
      </c>
      <c r="D976" s="4" t="s">
        <v>3244</v>
      </c>
      <c r="E976" s="4" t="s">
        <v>3466</v>
      </c>
      <c r="F976" s="127" t="n">
        <v>46114</v>
      </c>
      <c r="G976" s="127" t="n">
        <v>46120</v>
      </c>
      <c r="H976" s="127" t="n">
        <v>46293</v>
      </c>
      <c r="I976" s="4" t="n">
        <v>100</v>
      </c>
      <c r="J976" s="4" t="n">
        <v>100</v>
      </c>
      <c r="K976" s="4" t="n">
        <v>100</v>
      </c>
      <c r="M976" s="2" t="str">
        <f aca="false">IF(C976="","",IFERROR(INDEX($S$5:$S$304,MATCH(C976,$R$5:$R$304,0))&amp;"","?"))</f>
        <v>17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-1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9364348</v>
      </c>
      <c r="C977" s="4" t="s">
        <v>2702</v>
      </c>
      <c r="D977" s="4" t="s">
        <v>3245</v>
      </c>
      <c r="E977" s="4" t="s">
        <v>3466</v>
      </c>
      <c r="F977" s="127" t="n">
        <v>46120</v>
      </c>
      <c r="G977" s="127" t="n">
        <v>46125</v>
      </c>
      <c r="H977" s="127" t="n">
        <v>46293</v>
      </c>
      <c r="I977" s="4" t="n">
        <v>100</v>
      </c>
      <c r="J977" s="4" t="n">
        <v>100</v>
      </c>
      <c r="K977" s="4" t="n">
        <v>100</v>
      </c>
      <c r="M977" s="2" t="str">
        <f aca="false">IF(C977="","",IFERROR(INDEX($S$5:$S$304,MATCH(C977,$R$5:$R$304,0))&amp;"","?"))</f>
        <v>17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-1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9364349</v>
      </c>
      <c r="C978" s="4" t="s">
        <v>2702</v>
      </c>
      <c r="D978" s="4" t="s">
        <v>3246</v>
      </c>
      <c r="E978" s="4" t="s">
        <v>3466</v>
      </c>
      <c r="F978" s="127" t="n">
        <v>46121</v>
      </c>
      <c r="G978" s="127" t="n">
        <v>46126</v>
      </c>
      <c r="H978" s="127" t="n">
        <v>46293</v>
      </c>
      <c r="I978" s="4" t="n">
        <v>100</v>
      </c>
      <c r="J978" s="4" t="n">
        <v>100</v>
      </c>
      <c r="K978" s="4" t="n">
        <v>100</v>
      </c>
      <c r="M978" s="2" t="str">
        <f aca="false">IF(C978="","",IFERROR(INDEX($S$5:$S$304,MATCH(C978,$R$5:$R$304,0))&amp;"","?"))</f>
        <v>17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-1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9364350</v>
      </c>
      <c r="C979" s="4" t="s">
        <v>2702</v>
      </c>
      <c r="D979" s="4" t="s">
        <v>3247</v>
      </c>
      <c r="E979" s="4" t="s">
        <v>3466</v>
      </c>
      <c r="F979" s="127" t="n">
        <v>46127</v>
      </c>
      <c r="G979" s="127" t="n">
        <v>46127</v>
      </c>
      <c r="H979" s="127" t="n">
        <v>46293</v>
      </c>
      <c r="I979" s="4" t="n">
        <v>100</v>
      </c>
      <c r="J979" s="4" t="n">
        <v>100</v>
      </c>
      <c r="K979" s="4" t="n">
        <v>100</v>
      </c>
      <c r="M979" s="2" t="str">
        <f aca="false">IF(C979="","",IFERROR(INDEX($S$5:$S$304,MATCH(C979,$R$5:$R$304,0))&amp;"","?"))</f>
        <v>17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-1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9364351</v>
      </c>
      <c r="C980" s="4" t="s">
        <v>2702</v>
      </c>
      <c r="D980" s="4" t="s">
        <v>3248</v>
      </c>
      <c r="E980" s="4" t="s">
        <v>3466</v>
      </c>
      <c r="F980" s="127" t="n">
        <v>46128</v>
      </c>
      <c r="G980" s="127" t="n">
        <v>46134</v>
      </c>
      <c r="H980" s="127" t="n">
        <v>46293</v>
      </c>
      <c r="I980" s="4" t="n">
        <v>100</v>
      </c>
      <c r="J980" s="4" t="n">
        <v>100</v>
      </c>
      <c r="K980" s="4" t="n">
        <v>100</v>
      </c>
      <c r="M980" s="2" t="str">
        <f aca="false">IF(C980="","",IFERROR(INDEX($S$5:$S$304,MATCH(C980,$R$5:$R$304,0))&amp;"","?"))</f>
        <v>17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-1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9364352</v>
      </c>
      <c r="C981" s="4" t="s">
        <v>2702</v>
      </c>
      <c r="D981" s="4" t="s">
        <v>3249</v>
      </c>
      <c r="E981" s="4" t="s">
        <v>3466</v>
      </c>
      <c r="F981" s="127" t="n">
        <v>46129</v>
      </c>
      <c r="G981" s="127" t="n">
        <v>46135</v>
      </c>
      <c r="H981" s="127" t="n">
        <v>46293</v>
      </c>
      <c r="I981" s="4" t="n">
        <v>100</v>
      </c>
      <c r="J981" s="4" t="n">
        <v>100</v>
      </c>
      <c r="K981" s="4" t="n">
        <v>100</v>
      </c>
      <c r="M981" s="2" t="str">
        <f aca="false">IF(C981="","",IFERROR(INDEX($S$5:$S$304,MATCH(C981,$R$5:$R$304,0))&amp;"","?"))</f>
        <v>17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-1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9364353</v>
      </c>
      <c r="C982" s="4" t="s">
        <v>2702</v>
      </c>
      <c r="D982" s="4" t="s">
        <v>3250</v>
      </c>
      <c r="E982" s="4" t="s">
        <v>3466</v>
      </c>
      <c r="F982" s="127" t="n">
        <v>46134</v>
      </c>
      <c r="G982" s="127" t="n">
        <v>46135</v>
      </c>
      <c r="H982" s="127" t="n">
        <v>46293</v>
      </c>
      <c r="I982" s="4" t="n">
        <v>100</v>
      </c>
      <c r="J982" s="4" t="n">
        <v>100</v>
      </c>
      <c r="K982" s="4" t="n">
        <v>100</v>
      </c>
      <c r="M982" s="2" t="str">
        <f aca="false">IF(C982="","",IFERROR(INDEX($S$5:$S$304,MATCH(C982,$R$5:$R$304,0))&amp;"","?"))</f>
        <v>17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-1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9364354</v>
      </c>
      <c r="C983" s="4" t="s">
        <v>2702</v>
      </c>
      <c r="D983" s="4" t="s">
        <v>3251</v>
      </c>
      <c r="E983" s="4" t="s">
        <v>3466</v>
      </c>
      <c r="F983" s="127" t="n">
        <v>46135</v>
      </c>
      <c r="G983" s="127" t="n">
        <v>46135</v>
      </c>
      <c r="H983" s="127" t="n">
        <v>46293</v>
      </c>
      <c r="I983" s="4" t="n">
        <v>100</v>
      </c>
      <c r="J983" s="4" t="n">
        <v>100</v>
      </c>
      <c r="K983" s="4" t="n">
        <v>100</v>
      </c>
      <c r="M983" s="2" t="str">
        <f aca="false">IF(C983="","",IFERROR(INDEX($S$5:$S$304,MATCH(C983,$R$5:$R$304,0))&amp;"","?"))</f>
        <v>17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-1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9364355</v>
      </c>
      <c r="C984" s="4" t="s">
        <v>2702</v>
      </c>
      <c r="D984" s="4" t="s">
        <v>3252</v>
      </c>
      <c r="E984" s="4" t="s">
        <v>3466</v>
      </c>
      <c r="F984" s="127" t="n">
        <v>46136</v>
      </c>
      <c r="G984" s="127" t="n">
        <v>46136</v>
      </c>
      <c r="H984" s="127" t="n">
        <v>46293</v>
      </c>
      <c r="I984" s="4" t="n">
        <v>100</v>
      </c>
      <c r="J984" s="4" t="n">
        <v>100</v>
      </c>
      <c r="K984" s="4" t="n">
        <v>100</v>
      </c>
      <c r="M984" s="2" t="str">
        <f aca="false">IF(C984="","",IFERROR(INDEX($S$5:$S$304,MATCH(C984,$R$5:$R$304,0))&amp;"","?"))</f>
        <v>17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-1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39122863</v>
      </c>
      <c r="C985" s="4" t="s">
        <v>2729</v>
      </c>
      <c r="D985" s="4" t="s">
        <v>433</v>
      </c>
      <c r="E985" s="4" t="s">
        <v>3466</v>
      </c>
      <c r="F985" s="127" t="n">
        <v>46114</v>
      </c>
      <c r="G985" s="127" t="n">
        <v>46136</v>
      </c>
      <c r="H985" s="127" t="n">
        <v>46293</v>
      </c>
      <c r="I985" s="4" t="n">
        <v>100</v>
      </c>
      <c r="J985" s="4" t="n">
        <v>100</v>
      </c>
      <c r="K985" s="4" t="n">
        <v>100</v>
      </c>
      <c r="M985" s="2" t="str">
        <f aca="false">IF(C985="","",IFERROR(INDEX($S$5:$S$304,MATCH(C985,$R$5:$R$304,0))&amp;"","?"))</f>
        <v>17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-1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18978988</v>
      </c>
      <c r="C986" s="4" t="s">
        <v>2729</v>
      </c>
      <c r="D986" s="4" t="s">
        <v>3554</v>
      </c>
      <c r="E986" s="4" t="s">
        <v>3466</v>
      </c>
      <c r="F986" s="127" t="n">
        <v>46114</v>
      </c>
      <c r="G986" s="127" t="n">
        <v>46119</v>
      </c>
      <c r="H986" s="127" t="n">
        <v>46293</v>
      </c>
      <c r="I986" s="4" t="n">
        <v>100</v>
      </c>
      <c r="J986" s="4" t="n">
        <v>100</v>
      </c>
      <c r="K986" s="4" t="n">
        <v>100</v>
      </c>
      <c r="M986" s="2" t="str">
        <f aca="false">IF(C986="","",IFERROR(INDEX($S$5:$S$304,MATCH(C986,$R$5:$R$304,0))&amp;"","?"))</f>
        <v>17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-1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18978989</v>
      </c>
      <c r="C987" s="4" t="s">
        <v>2729</v>
      </c>
      <c r="D987" s="4" t="s">
        <v>3555</v>
      </c>
      <c r="E987" s="4" t="s">
        <v>3466</v>
      </c>
      <c r="F987" s="127" t="n">
        <v>46118</v>
      </c>
      <c r="G987" s="127" t="n">
        <v>46120</v>
      </c>
      <c r="H987" s="127" t="n">
        <v>46293</v>
      </c>
      <c r="I987" s="4" t="n">
        <v>100</v>
      </c>
      <c r="J987" s="4" t="n">
        <v>100</v>
      </c>
      <c r="K987" s="4" t="n">
        <v>100</v>
      </c>
      <c r="M987" s="2" t="str">
        <f aca="false">IF(C987="","",IFERROR(INDEX($S$5:$S$304,MATCH(C987,$R$5:$R$304,0))&amp;"","?"))</f>
        <v>17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-1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18978990</v>
      </c>
      <c r="C988" s="4" t="s">
        <v>2729</v>
      </c>
      <c r="D988" s="4" t="s">
        <v>3535</v>
      </c>
      <c r="E988" s="4" t="s">
        <v>3466</v>
      </c>
      <c r="F988" s="127" t="n">
        <v>46121</v>
      </c>
      <c r="G988" s="127" t="n">
        <v>46129</v>
      </c>
      <c r="H988" s="127" t="n">
        <v>46293</v>
      </c>
      <c r="I988" s="4" t="n">
        <v>100</v>
      </c>
      <c r="J988" s="4" t="n">
        <v>100</v>
      </c>
      <c r="K988" s="4" t="n">
        <v>100</v>
      </c>
      <c r="M988" s="2" t="str">
        <f aca="false">IF(C988="","",IFERROR(INDEX($S$5:$S$304,MATCH(C988,$R$5:$R$304,0))&amp;"","?"))</f>
        <v>17</v>
      </c>
      <c r="N988" s="2" t="n">
        <f aca="false">IF(E988="","",IF(ISNUMBER(SEARCH("SUBSOLO",E988)),IFERROR(-VALUE(LEFT(E988,FIND("º",SUBSTITUTE(E988,"°","º"))-1)),-1),IF(LEFT(E988,6)="TÉRREO",0,IFERROR(VALUE(LEFT(E988,FIND("º",SUBSTITUTE(E988,"°","º"))-1)),""))))</f>
        <v>-1</v>
      </c>
      <c r="O988" s="2" t="str">
        <f aca="false">IF(OR(F988="",G988=""),"",IF(G988&lt;='RETRATO 2027'!$K$5,"CONCLUÍDA",IF(F988&lt;='RETRATO 2027'!$K$5,"EM ANDAMENTO","A INICIAR")))</f>
        <v>CONCLUÍDA</v>
      </c>
    </row>
    <row r="989" customFormat="false" ht="15" hidden="false" customHeight="false" outlineLevel="0" collapsed="false">
      <c r="B989" s="4" t="n">
        <v>18978991</v>
      </c>
      <c r="C989" s="4" t="s">
        <v>2729</v>
      </c>
      <c r="D989" s="4" t="s">
        <v>3515</v>
      </c>
      <c r="E989" s="4" t="s">
        <v>3466</v>
      </c>
      <c r="F989" s="127" t="n">
        <v>46126</v>
      </c>
      <c r="G989" s="127" t="n">
        <v>46127</v>
      </c>
      <c r="H989" s="127" t="n">
        <v>46293</v>
      </c>
      <c r="I989" s="4" t="n">
        <v>100</v>
      </c>
      <c r="J989" s="4" t="n">
        <v>100</v>
      </c>
      <c r="K989" s="4" t="n">
        <v>100</v>
      </c>
      <c r="M989" s="2" t="str">
        <f aca="false">IF(C989="","",IFERROR(INDEX($S$5:$S$304,MATCH(C989,$R$5:$R$304,0))&amp;"","?"))</f>
        <v>17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-1</v>
      </c>
      <c r="O989" s="2" t="str">
        <f aca="false">IF(OR(F989="",G989=""),"",IF(G989&lt;='RETRATO 2027'!$K$5,"CONCLUÍDA",IF(F989&lt;='RETRATO 2027'!$K$5,"EM ANDAMENTO","A INICIAR")))</f>
        <v>CONCLUÍDA</v>
      </c>
    </row>
    <row r="990" customFormat="false" ht="15" hidden="false" customHeight="false" outlineLevel="0" collapsed="false">
      <c r="B990" s="4" t="n">
        <v>18978992</v>
      </c>
      <c r="C990" s="4" t="s">
        <v>2729</v>
      </c>
      <c r="D990" s="4" t="s">
        <v>3574</v>
      </c>
      <c r="E990" s="4" t="s">
        <v>3466</v>
      </c>
      <c r="F990" s="127" t="n">
        <v>46128</v>
      </c>
      <c r="G990" s="127" t="n">
        <v>46128</v>
      </c>
      <c r="H990" s="127" t="n">
        <v>46293</v>
      </c>
      <c r="I990" s="4" t="n">
        <v>100</v>
      </c>
      <c r="J990" s="4" t="n">
        <v>100</v>
      </c>
      <c r="K990" s="4" t="n">
        <v>100</v>
      </c>
      <c r="M990" s="2" t="str">
        <f aca="false">IF(C990="","",IFERROR(INDEX($S$5:$S$304,MATCH(C990,$R$5:$R$304,0))&amp;"","?"))</f>
        <v>17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-1</v>
      </c>
      <c r="O990" s="2" t="str">
        <f aca="false">IF(OR(F990="",G990=""),"",IF(G990&lt;='RETRATO 2027'!$K$5,"CONCLUÍDA",IF(F990&lt;='RETRATO 2027'!$K$5,"EM ANDAMENTO","A INICIAR")))</f>
        <v>CONCLUÍDA</v>
      </c>
    </row>
    <row r="991" customFormat="false" ht="15" hidden="false" customHeight="false" outlineLevel="0" collapsed="false">
      <c r="B991" s="4" t="n">
        <v>18978993</v>
      </c>
      <c r="C991" s="4" t="s">
        <v>2729</v>
      </c>
      <c r="D991" s="4" t="s">
        <v>3536</v>
      </c>
      <c r="E991" s="4" t="s">
        <v>3466</v>
      </c>
      <c r="F991" s="127" t="n">
        <v>46128</v>
      </c>
      <c r="G991" s="127" t="n">
        <v>46135</v>
      </c>
      <c r="H991" s="127" t="n">
        <v>46293</v>
      </c>
      <c r="I991" s="4" t="n">
        <v>100</v>
      </c>
      <c r="J991" s="4" t="n">
        <v>100</v>
      </c>
      <c r="K991" s="4" t="n">
        <v>100</v>
      </c>
      <c r="M991" s="2" t="str">
        <f aca="false">IF(C991="","",IFERROR(INDEX($S$5:$S$304,MATCH(C991,$R$5:$R$304,0))&amp;"","?"))</f>
        <v>17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-1</v>
      </c>
      <c r="O991" s="2" t="str">
        <f aca="false">IF(OR(F991="",G991=""),"",IF(G991&lt;='RETRATO 2027'!$K$5,"CONCLUÍDA",IF(F991&lt;='RETRATO 2027'!$K$5,"EM ANDAMENTO","A INICIAR")))</f>
        <v>CONCLUÍDA</v>
      </c>
    </row>
    <row r="992" customFormat="false" ht="15" hidden="false" customHeight="false" outlineLevel="0" collapsed="false">
      <c r="B992" s="4" t="n">
        <v>18978994</v>
      </c>
      <c r="C992" s="4" t="s">
        <v>2729</v>
      </c>
      <c r="D992" s="4" t="s">
        <v>3537</v>
      </c>
      <c r="E992" s="4" t="s">
        <v>3466</v>
      </c>
      <c r="F992" s="127" t="n">
        <v>46136</v>
      </c>
      <c r="G992" s="127" t="n">
        <v>46136</v>
      </c>
      <c r="H992" s="127" t="n">
        <v>46293</v>
      </c>
      <c r="I992" s="4" t="n">
        <v>100</v>
      </c>
      <c r="J992" s="4" t="n">
        <v>100</v>
      </c>
      <c r="K992" s="4" t="n">
        <v>100</v>
      </c>
      <c r="M992" s="2" t="str">
        <f aca="false">IF(C992="","",IFERROR(INDEX($S$5:$S$304,MATCH(C992,$R$5:$R$304,0))&amp;"","?"))</f>
        <v>17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-1</v>
      </c>
      <c r="O992" s="2" t="str">
        <f aca="false">IF(OR(F992="",G992=""),"",IF(G992&lt;='RETRATO 2027'!$K$5,"CONCLUÍDA",IF(F992&lt;='RETRATO 2027'!$K$5,"EM ANDAMENTO","A INICIAR")))</f>
        <v>CONCLUÍDA</v>
      </c>
    </row>
    <row r="993" customFormat="false" ht="15" hidden="false" customHeight="false" outlineLevel="0" collapsed="false">
      <c r="B993" s="4" t="n">
        <v>26218309</v>
      </c>
      <c r="C993" s="4" t="s">
        <v>2711</v>
      </c>
      <c r="D993" s="4" t="s">
        <v>433</v>
      </c>
      <c r="E993" s="4" t="s">
        <v>3466</v>
      </c>
      <c r="F993" s="127" t="n">
        <v>46118</v>
      </c>
      <c r="G993" s="127" t="n">
        <v>46139</v>
      </c>
      <c r="H993" s="127" t="n">
        <v>46293</v>
      </c>
      <c r="I993" s="4" t="n">
        <v>100</v>
      </c>
      <c r="J993" s="4" t="n">
        <v>100</v>
      </c>
      <c r="K993" s="4" t="n">
        <v>100</v>
      </c>
      <c r="M993" s="2" t="str">
        <f aca="false">IF(C993="","",IFERROR(INDEX($S$5:$S$304,MATCH(C993,$R$5:$R$304,0))&amp;"","?"))</f>
        <v>17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-1</v>
      </c>
      <c r="O993" s="2" t="str">
        <f aca="false">IF(OR(F993="",G993=""),"",IF(G993&lt;='RETRATO 2027'!$K$5,"CONCLUÍDA",IF(F993&lt;='RETRATO 2027'!$K$5,"EM ANDAMENTO","A INICIAR")))</f>
        <v>CONCLUÍDA</v>
      </c>
    </row>
    <row r="994" customFormat="false" ht="15" hidden="false" customHeight="false" outlineLevel="0" collapsed="false">
      <c r="B994" s="4" t="n">
        <v>9364401</v>
      </c>
      <c r="C994" s="4" t="s">
        <v>2711</v>
      </c>
      <c r="D994" s="4" t="s">
        <v>3244</v>
      </c>
      <c r="E994" s="4" t="s">
        <v>3466</v>
      </c>
      <c r="F994" s="127" t="n">
        <v>46118</v>
      </c>
      <c r="G994" s="127" t="n">
        <v>46121</v>
      </c>
      <c r="H994" s="127" t="n">
        <v>46293</v>
      </c>
      <c r="I994" s="4" t="n">
        <v>100</v>
      </c>
      <c r="J994" s="4" t="n">
        <v>100</v>
      </c>
      <c r="K994" s="4" t="n">
        <v>100</v>
      </c>
      <c r="M994" s="2" t="str">
        <f aca="false">IF(C994="","",IFERROR(INDEX($S$5:$S$304,MATCH(C994,$R$5:$R$304,0))&amp;"","?"))</f>
        <v>17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-1</v>
      </c>
      <c r="O994" s="2" t="str">
        <f aca="false">IF(OR(F994="",G994=""),"",IF(G994&lt;='RETRATO 2027'!$K$5,"CONCLUÍDA",IF(F994&lt;='RETRATO 2027'!$K$5,"EM ANDAMENTO","A INICIAR")))</f>
        <v>CONCLUÍDA</v>
      </c>
    </row>
    <row r="995" customFormat="false" ht="15" hidden="false" customHeight="false" outlineLevel="0" collapsed="false">
      <c r="B995" s="4" t="n">
        <v>9364402</v>
      </c>
      <c r="C995" s="4" t="s">
        <v>2711</v>
      </c>
      <c r="D995" s="4" t="s">
        <v>3245</v>
      </c>
      <c r="E995" s="4" t="s">
        <v>3466</v>
      </c>
      <c r="F995" s="127" t="n">
        <v>46121</v>
      </c>
      <c r="G995" s="127" t="n">
        <v>46126</v>
      </c>
      <c r="H995" s="127" t="n">
        <v>46293</v>
      </c>
      <c r="I995" s="4" t="n">
        <v>100</v>
      </c>
      <c r="J995" s="4" t="n">
        <v>100</v>
      </c>
      <c r="K995" s="4" t="n">
        <v>100</v>
      </c>
      <c r="M995" s="2" t="str">
        <f aca="false">IF(C995="","",IFERROR(INDEX($S$5:$S$304,MATCH(C995,$R$5:$R$304,0))&amp;"","?"))</f>
        <v>17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-1</v>
      </c>
      <c r="O995" s="2" t="str">
        <f aca="false">IF(OR(F995="",G995=""),"",IF(G995&lt;='RETRATO 2027'!$K$5,"CONCLUÍDA",IF(F995&lt;='RETRATO 2027'!$K$5,"EM ANDAMENTO","A INICIAR")))</f>
        <v>CONCLUÍDA</v>
      </c>
    </row>
    <row r="996" customFormat="false" ht="15" hidden="false" customHeight="false" outlineLevel="0" collapsed="false">
      <c r="B996" s="4" t="n">
        <v>9364403</v>
      </c>
      <c r="C996" s="4" t="s">
        <v>2711</v>
      </c>
      <c r="D996" s="4" t="s">
        <v>3246</v>
      </c>
      <c r="E996" s="4" t="s">
        <v>3466</v>
      </c>
      <c r="F996" s="127" t="n">
        <v>46122</v>
      </c>
      <c r="G996" s="127" t="n">
        <v>46127</v>
      </c>
      <c r="H996" s="127" t="n">
        <v>46293</v>
      </c>
      <c r="I996" s="4" t="n">
        <v>100</v>
      </c>
      <c r="J996" s="4" t="n">
        <v>100</v>
      </c>
      <c r="K996" s="4" t="n">
        <v>100</v>
      </c>
      <c r="M996" s="2" t="str">
        <f aca="false">IF(C996="","",IFERROR(INDEX($S$5:$S$304,MATCH(C996,$R$5:$R$304,0))&amp;"","?"))</f>
        <v>17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-1</v>
      </c>
      <c r="O996" s="2" t="str">
        <f aca="false">IF(OR(F996="",G996=""),"",IF(G996&lt;='RETRATO 2027'!$K$5,"CONCLUÍDA",IF(F996&lt;='RETRATO 2027'!$K$5,"EM ANDAMENTO","A INICIAR")))</f>
        <v>CONCLUÍDA</v>
      </c>
    </row>
    <row r="997" customFormat="false" ht="15" hidden="false" customHeight="false" outlineLevel="0" collapsed="false">
      <c r="B997" s="4" t="n">
        <v>9364404</v>
      </c>
      <c r="C997" s="4" t="s">
        <v>2711</v>
      </c>
      <c r="D997" s="4" t="s">
        <v>3247</v>
      </c>
      <c r="E997" s="4" t="s">
        <v>3466</v>
      </c>
      <c r="F997" s="127" t="n">
        <v>46128</v>
      </c>
      <c r="G997" s="127" t="n">
        <v>46128</v>
      </c>
      <c r="H997" s="127" t="n">
        <v>46293</v>
      </c>
      <c r="I997" s="4" t="n">
        <v>100</v>
      </c>
      <c r="J997" s="4" t="n">
        <v>100</v>
      </c>
      <c r="K997" s="4" t="n">
        <v>100</v>
      </c>
      <c r="M997" s="2" t="str">
        <f aca="false">IF(C997="","",IFERROR(INDEX($S$5:$S$304,MATCH(C997,$R$5:$R$304,0))&amp;"","?"))</f>
        <v>17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-1</v>
      </c>
      <c r="O997" s="2" t="str">
        <f aca="false">IF(OR(F997="",G997=""),"",IF(G997&lt;='RETRATO 2027'!$K$5,"CONCLUÍDA",IF(F997&lt;='RETRATO 2027'!$K$5,"EM ANDAMENTO","A INICIAR")))</f>
        <v>CONCLUÍDA</v>
      </c>
    </row>
    <row r="998" customFormat="false" ht="15" hidden="false" customHeight="false" outlineLevel="0" collapsed="false">
      <c r="B998" s="4" t="n">
        <v>9364405</v>
      </c>
      <c r="C998" s="4" t="s">
        <v>2711</v>
      </c>
      <c r="D998" s="4" t="s">
        <v>3248</v>
      </c>
      <c r="E998" s="4" t="s">
        <v>3466</v>
      </c>
      <c r="F998" s="127" t="n">
        <v>46129</v>
      </c>
      <c r="G998" s="127" t="n">
        <v>46135</v>
      </c>
      <c r="H998" s="127" t="n">
        <v>46293</v>
      </c>
      <c r="I998" s="4" t="n">
        <v>100</v>
      </c>
      <c r="J998" s="4" t="n">
        <v>100</v>
      </c>
      <c r="K998" s="4" t="n">
        <v>100</v>
      </c>
      <c r="M998" s="2" t="str">
        <f aca="false">IF(C998="","",IFERROR(INDEX($S$5:$S$304,MATCH(C998,$R$5:$R$304,0))&amp;"","?"))</f>
        <v>17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-1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9364406</v>
      </c>
      <c r="C999" s="4" t="s">
        <v>2711</v>
      </c>
      <c r="D999" s="4" t="s">
        <v>3249</v>
      </c>
      <c r="E999" s="4" t="s">
        <v>3466</v>
      </c>
      <c r="F999" s="127" t="n">
        <v>46132</v>
      </c>
      <c r="G999" s="127" t="n">
        <v>46136</v>
      </c>
      <c r="H999" s="127" t="n">
        <v>46293</v>
      </c>
      <c r="I999" s="4" t="n">
        <v>100</v>
      </c>
      <c r="J999" s="4" t="n">
        <v>100</v>
      </c>
      <c r="K999" s="4" t="n">
        <v>100</v>
      </c>
      <c r="M999" s="2" t="str">
        <f aca="false">IF(C999="","",IFERROR(INDEX($S$5:$S$304,MATCH(C999,$R$5:$R$304,0))&amp;"","?"))</f>
        <v>17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-1</v>
      </c>
      <c r="O999" s="2" t="str">
        <f aca="false">IF(OR(F999="",G999=""),"",IF(G999&lt;='RETRATO 2027'!$K$5,"CONCLUÍDA",IF(F999&lt;='RETRATO 2027'!$K$5,"EM ANDAMENTO","A INICIAR")))</f>
        <v>CONCLUÍDA</v>
      </c>
    </row>
    <row r="1000" customFormat="false" ht="15" hidden="false" customHeight="false" outlineLevel="0" collapsed="false">
      <c r="B1000" s="4" t="n">
        <v>9364407</v>
      </c>
      <c r="C1000" s="4" t="s">
        <v>2711</v>
      </c>
      <c r="D1000" s="4" t="s">
        <v>3250</v>
      </c>
      <c r="E1000" s="4" t="s">
        <v>3466</v>
      </c>
      <c r="F1000" s="127" t="n">
        <v>46135</v>
      </c>
      <c r="G1000" s="127" t="n">
        <v>46136</v>
      </c>
      <c r="H1000" s="127" t="n">
        <v>46293</v>
      </c>
      <c r="I1000" s="4" t="n">
        <v>100</v>
      </c>
      <c r="J1000" s="4" t="n">
        <v>100</v>
      </c>
      <c r="K1000" s="4" t="n">
        <v>100</v>
      </c>
      <c r="M1000" s="2" t="str">
        <f aca="false">IF(C1000="","",IFERROR(INDEX($S$5:$S$304,MATCH(C1000,$R$5:$R$304,0))&amp;"","?"))</f>
        <v>17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-1</v>
      </c>
      <c r="O1000" s="2" t="str">
        <f aca="false">IF(OR(F1000="",G1000=""),"",IF(G1000&lt;='RETRATO 2027'!$K$5,"CONCLUÍDA",IF(F1000&lt;='RETRATO 2027'!$K$5,"EM ANDAMENTO","A INICIAR")))</f>
        <v>CONCLUÍDA</v>
      </c>
    </row>
    <row r="1001" customFormat="false" ht="15" hidden="false" customHeight="false" outlineLevel="0" collapsed="false">
      <c r="B1001" s="4" t="n">
        <v>9364408</v>
      </c>
      <c r="C1001" s="4" t="s">
        <v>2711</v>
      </c>
      <c r="D1001" s="4" t="s">
        <v>3251</v>
      </c>
      <c r="E1001" s="4" t="s">
        <v>3466</v>
      </c>
      <c r="F1001" s="127" t="n">
        <v>46136</v>
      </c>
      <c r="G1001" s="127" t="n">
        <v>46136</v>
      </c>
      <c r="H1001" s="127" t="n">
        <v>46293</v>
      </c>
      <c r="I1001" s="4" t="n">
        <v>100</v>
      </c>
      <c r="J1001" s="4" t="n">
        <v>100</v>
      </c>
      <c r="K1001" s="4" t="n">
        <v>100</v>
      </c>
      <c r="M1001" s="2" t="str">
        <f aca="false">IF(C1001="","",IFERROR(INDEX($S$5:$S$304,MATCH(C1001,$R$5:$R$304,0))&amp;"","?"))</f>
        <v>17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-1</v>
      </c>
      <c r="O1001" s="2" t="str">
        <f aca="false">IF(OR(F1001="",G1001=""),"",IF(G1001&lt;='RETRATO 2027'!$K$5,"CONCLUÍDA",IF(F1001&lt;='RETRATO 2027'!$K$5,"EM ANDAMENTO","A INICIAR")))</f>
        <v>CONCLUÍDA</v>
      </c>
    </row>
    <row r="1002" customFormat="false" ht="15" hidden="false" customHeight="false" outlineLevel="0" collapsed="false">
      <c r="B1002" s="4" t="n">
        <v>9364409</v>
      </c>
      <c r="C1002" s="4" t="s">
        <v>2711</v>
      </c>
      <c r="D1002" s="4" t="s">
        <v>3252</v>
      </c>
      <c r="E1002" s="4" t="s">
        <v>3466</v>
      </c>
      <c r="F1002" s="127" t="n">
        <v>46139</v>
      </c>
      <c r="G1002" s="127" t="n">
        <v>46139</v>
      </c>
      <c r="H1002" s="127" t="n">
        <v>46293</v>
      </c>
      <c r="I1002" s="4" t="n">
        <v>100</v>
      </c>
      <c r="J1002" s="4" t="n">
        <v>100</v>
      </c>
      <c r="K1002" s="4" t="n">
        <v>100</v>
      </c>
      <c r="M1002" s="2" t="str">
        <f aca="false">IF(C1002="","",IFERROR(INDEX($S$5:$S$304,MATCH(C1002,$R$5:$R$304,0))&amp;"","?"))</f>
        <v>17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-1</v>
      </c>
      <c r="O1002" s="2" t="str">
        <f aca="false">IF(OR(F1002="",G1002=""),"",IF(G1002&lt;='RETRATO 2027'!$K$5,"CONCLUÍDA",IF(F1002&lt;='RETRATO 2027'!$K$5,"EM ANDAMENTO","A INICIAR")))</f>
        <v>CONCLUÍDA</v>
      </c>
    </row>
    <row r="1003" customFormat="false" ht="15" hidden="false" customHeight="false" outlineLevel="0" collapsed="false">
      <c r="B1003" s="4" t="n">
        <v>39124198</v>
      </c>
      <c r="C1003" s="4" t="s">
        <v>2719</v>
      </c>
      <c r="D1003" s="4" t="s">
        <v>433</v>
      </c>
      <c r="E1003" s="4" t="s">
        <v>3466</v>
      </c>
      <c r="F1003" s="127" t="n">
        <v>46118</v>
      </c>
      <c r="G1003" s="127" t="n">
        <v>46139</v>
      </c>
      <c r="H1003" s="127" t="n">
        <v>46293</v>
      </c>
      <c r="I1003" s="4" t="n">
        <v>100</v>
      </c>
      <c r="J1003" s="4" t="n">
        <v>100</v>
      </c>
      <c r="K1003" s="4" t="n">
        <v>100</v>
      </c>
      <c r="M1003" s="2" t="str">
        <f aca="false">IF(C1003="","",IFERROR(INDEX($S$5:$S$304,MATCH(C1003,$R$5:$R$304,0))&amp;"","?"))</f>
        <v>17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-1</v>
      </c>
      <c r="O1003" s="2" t="str">
        <f aca="false">IF(OR(F1003="",G1003=""),"",IF(G1003&lt;='RETRATO 2027'!$K$5,"CONCLUÍDA",IF(F1003&lt;='RETRATO 2027'!$K$5,"EM ANDAMENTO","A INICIAR")))</f>
        <v>CONCLUÍDA</v>
      </c>
    </row>
    <row r="1004" customFormat="false" ht="15" hidden="false" customHeight="false" outlineLevel="0" collapsed="false">
      <c r="B1004" s="4" t="n">
        <v>18979735</v>
      </c>
      <c r="C1004" s="4" t="s">
        <v>2719</v>
      </c>
      <c r="D1004" s="4" t="s">
        <v>3554</v>
      </c>
      <c r="E1004" s="4" t="s">
        <v>3466</v>
      </c>
      <c r="F1004" s="127" t="n">
        <v>46118</v>
      </c>
      <c r="G1004" s="127" t="n">
        <v>46120</v>
      </c>
      <c r="H1004" s="127" t="n">
        <v>46293</v>
      </c>
      <c r="I1004" s="4" t="n">
        <v>100</v>
      </c>
      <c r="J1004" s="4" t="n">
        <v>100</v>
      </c>
      <c r="K1004" s="4" t="n">
        <v>100</v>
      </c>
      <c r="M1004" s="2" t="str">
        <f aca="false">IF(C1004="","",IFERROR(INDEX($S$5:$S$304,MATCH(C1004,$R$5:$R$304,0))&amp;"","?"))</f>
        <v>17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-1</v>
      </c>
      <c r="O1004" s="2" t="str">
        <f aca="false">IF(OR(F1004="",G1004=""),"",IF(G1004&lt;='RETRATO 2027'!$K$5,"CONCLUÍDA",IF(F1004&lt;='RETRATO 2027'!$K$5,"EM ANDAMENTO","A INICIAR")))</f>
        <v>CONCLUÍDA</v>
      </c>
    </row>
    <row r="1005" customFormat="false" ht="15" hidden="false" customHeight="false" outlineLevel="0" collapsed="false">
      <c r="B1005" s="4" t="n">
        <v>18979736</v>
      </c>
      <c r="C1005" s="4" t="s">
        <v>2719</v>
      </c>
      <c r="D1005" s="4" t="s">
        <v>3555</v>
      </c>
      <c r="E1005" s="4" t="s">
        <v>3466</v>
      </c>
      <c r="F1005" s="127" t="n">
        <v>46119</v>
      </c>
      <c r="G1005" s="127" t="n">
        <v>46121</v>
      </c>
      <c r="H1005" s="127" t="n">
        <v>46293</v>
      </c>
      <c r="I1005" s="4" t="n">
        <v>100</v>
      </c>
      <c r="J1005" s="4" t="n">
        <v>100</v>
      </c>
      <c r="K1005" s="4" t="n">
        <v>100</v>
      </c>
      <c r="M1005" s="2" t="str">
        <f aca="false">IF(C1005="","",IFERROR(INDEX($S$5:$S$304,MATCH(C1005,$R$5:$R$304,0))&amp;"","?"))</f>
        <v>17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-1</v>
      </c>
      <c r="O1005" s="2" t="str">
        <f aca="false">IF(OR(F1005="",G1005=""),"",IF(G1005&lt;='RETRATO 2027'!$K$5,"CONCLUÍDA",IF(F1005&lt;='RETRATO 2027'!$K$5,"EM ANDAMENTO","A INICIAR")))</f>
        <v>CONCLUÍDA</v>
      </c>
    </row>
    <row r="1006" customFormat="false" ht="15" hidden="false" customHeight="false" outlineLevel="0" collapsed="false">
      <c r="B1006" s="4" t="n">
        <v>18979737</v>
      </c>
      <c r="C1006" s="4" t="s">
        <v>2719</v>
      </c>
      <c r="D1006" s="4" t="s">
        <v>3498</v>
      </c>
      <c r="E1006" s="4" t="s">
        <v>3466</v>
      </c>
      <c r="F1006" s="127" t="n">
        <v>46121</v>
      </c>
      <c r="G1006" s="127" t="n">
        <v>46129</v>
      </c>
      <c r="H1006" s="127" t="n">
        <v>46293</v>
      </c>
      <c r="I1006" s="4" t="n">
        <v>100</v>
      </c>
      <c r="J1006" s="4" t="n">
        <v>100</v>
      </c>
      <c r="K1006" s="4" t="n">
        <v>100</v>
      </c>
      <c r="M1006" s="2" t="str">
        <f aca="false">IF(C1006="","",IFERROR(INDEX($S$5:$S$304,MATCH(C1006,$R$5:$R$304,0))&amp;"","?"))</f>
        <v>17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-1</v>
      </c>
      <c r="O1006" s="2" t="str">
        <f aca="false">IF(OR(F1006="",G1006=""),"",IF(G1006&lt;='RETRATO 2027'!$K$5,"CONCLUÍDA",IF(F1006&lt;='RETRATO 2027'!$K$5,"EM ANDAMENTO","A INICIAR")))</f>
        <v>CONCLUÍDA</v>
      </c>
    </row>
    <row r="1007" customFormat="false" ht="15" hidden="false" customHeight="false" outlineLevel="0" collapsed="false">
      <c r="B1007" s="4" t="n">
        <v>18979738</v>
      </c>
      <c r="C1007" s="4" t="s">
        <v>2719</v>
      </c>
      <c r="D1007" s="4" t="s">
        <v>3572</v>
      </c>
      <c r="E1007" s="4" t="s">
        <v>3466</v>
      </c>
      <c r="F1007" s="127" t="n">
        <v>46126</v>
      </c>
      <c r="G1007" s="127" t="n">
        <v>46127</v>
      </c>
      <c r="H1007" s="127" t="n">
        <v>46293</v>
      </c>
      <c r="I1007" s="4" t="n">
        <v>100</v>
      </c>
      <c r="J1007" s="4" t="n">
        <v>100</v>
      </c>
      <c r="K1007" s="4" t="n">
        <v>100</v>
      </c>
      <c r="M1007" s="2" t="str">
        <f aca="false">IF(C1007="","",IFERROR(INDEX($S$5:$S$304,MATCH(C1007,$R$5:$R$304,0))&amp;"","?"))</f>
        <v>17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-1</v>
      </c>
      <c r="O1007" s="2" t="str">
        <f aca="false">IF(OR(F1007="",G1007=""),"",IF(G1007&lt;='RETRATO 2027'!$K$5,"CONCLUÍDA",IF(F1007&lt;='RETRATO 2027'!$K$5,"EM ANDAMENTO","A INICIAR")))</f>
        <v>CONCLUÍDA</v>
      </c>
    </row>
    <row r="1008" customFormat="false" ht="15" hidden="false" customHeight="false" outlineLevel="0" collapsed="false">
      <c r="B1008" s="4" t="n">
        <v>18979739</v>
      </c>
      <c r="C1008" s="4" t="s">
        <v>2719</v>
      </c>
      <c r="D1008" s="4" t="s">
        <v>3582</v>
      </c>
      <c r="E1008" s="4" t="s">
        <v>3466</v>
      </c>
      <c r="F1008" s="127" t="n">
        <v>46128</v>
      </c>
      <c r="G1008" s="127" t="n">
        <v>46128</v>
      </c>
      <c r="H1008" s="127" t="n">
        <v>46293</v>
      </c>
      <c r="I1008" s="4" t="n">
        <v>100</v>
      </c>
      <c r="J1008" s="4" t="n">
        <v>100</v>
      </c>
      <c r="K1008" s="4" t="n">
        <v>100</v>
      </c>
      <c r="M1008" s="2" t="str">
        <f aca="false">IF(C1008="","",IFERROR(INDEX($S$5:$S$304,MATCH(C1008,$R$5:$R$304,0))&amp;"","?"))</f>
        <v>17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-1</v>
      </c>
      <c r="O1008" s="2" t="str">
        <f aca="false">IF(OR(F1008="",G1008=""),"",IF(G1008&lt;='RETRATO 2027'!$K$5,"CONCLUÍDA",IF(F1008&lt;='RETRATO 2027'!$K$5,"EM ANDAMENTO","A INICIAR")))</f>
        <v>CONCLUÍDA</v>
      </c>
    </row>
    <row r="1009" customFormat="false" ht="15" hidden="false" customHeight="false" outlineLevel="0" collapsed="false">
      <c r="B1009" s="4" t="n">
        <v>18979740</v>
      </c>
      <c r="C1009" s="4" t="s">
        <v>2719</v>
      </c>
      <c r="D1009" s="4" t="s">
        <v>3536</v>
      </c>
      <c r="E1009" s="4" t="s">
        <v>3466</v>
      </c>
      <c r="F1009" s="127" t="n">
        <v>46129</v>
      </c>
      <c r="G1009" s="127" t="n">
        <v>46136</v>
      </c>
      <c r="H1009" s="127" t="n">
        <v>46293</v>
      </c>
      <c r="I1009" s="4" t="n">
        <v>100</v>
      </c>
      <c r="J1009" s="4" t="n">
        <v>100</v>
      </c>
      <c r="K1009" s="4" t="n">
        <v>100</v>
      </c>
      <c r="M1009" s="2" t="str">
        <f aca="false">IF(C1009="","",IFERROR(INDEX($S$5:$S$304,MATCH(C1009,$R$5:$R$304,0))&amp;"","?"))</f>
        <v>17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-1</v>
      </c>
      <c r="O1009" s="2" t="str">
        <f aca="false">IF(OR(F1009="",G1009=""),"",IF(G1009&lt;='RETRATO 2027'!$K$5,"CONCLUÍDA",IF(F1009&lt;='RETRATO 2027'!$K$5,"EM ANDAMENTO","A INICIAR")))</f>
        <v>CONCLUÍDA</v>
      </c>
    </row>
    <row r="1010" customFormat="false" ht="15" hidden="false" customHeight="false" outlineLevel="0" collapsed="false">
      <c r="B1010" s="4" t="n">
        <v>18979741</v>
      </c>
      <c r="C1010" s="4" t="s">
        <v>2719</v>
      </c>
      <c r="D1010" s="4" t="s">
        <v>3563</v>
      </c>
      <c r="E1010" s="4" t="s">
        <v>3466</v>
      </c>
      <c r="F1010" s="127" t="n">
        <v>46139</v>
      </c>
      <c r="G1010" s="127" t="n">
        <v>46139</v>
      </c>
      <c r="H1010" s="127" t="n">
        <v>46293</v>
      </c>
      <c r="I1010" s="4" t="n">
        <v>100</v>
      </c>
      <c r="J1010" s="4" t="n">
        <v>100</v>
      </c>
      <c r="K1010" s="4" t="n">
        <v>100</v>
      </c>
      <c r="M1010" s="2" t="str">
        <f aca="false">IF(C1010="","",IFERROR(INDEX($S$5:$S$304,MATCH(C1010,$R$5:$R$304,0))&amp;"","?"))</f>
        <v>17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-1</v>
      </c>
      <c r="O1010" s="2" t="str">
        <f aca="false">IF(OR(F1010="",G1010=""),"",IF(G1010&lt;='RETRATO 2027'!$K$5,"CONCLUÍDA",IF(F1010&lt;='RETRATO 2027'!$K$5,"EM ANDAMENTO","A INICIAR")))</f>
        <v>CONCLUÍDA</v>
      </c>
    </row>
    <row r="1011" customFormat="false" ht="15" hidden="false" customHeight="false" outlineLevel="0" collapsed="false">
      <c r="B1011" s="4" t="n">
        <v>43399956</v>
      </c>
      <c r="C1011" s="4" t="s">
        <v>2743</v>
      </c>
      <c r="D1011" s="4" t="s">
        <v>433</v>
      </c>
      <c r="E1011" s="4" t="s">
        <v>3583</v>
      </c>
      <c r="F1011" s="127" t="n">
        <v>46120</v>
      </c>
      <c r="G1011" s="127" t="n">
        <v>46122</v>
      </c>
      <c r="H1011" s="127" t="n">
        <v>46293</v>
      </c>
      <c r="I1011" s="4" t="n">
        <v>0</v>
      </c>
      <c r="J1011" s="4" t="n">
        <v>100</v>
      </c>
      <c r="K1011" s="4" t="n">
        <v>100</v>
      </c>
      <c r="M1011" s="2" t="str">
        <f aca="false">IF(C1011="","",IFERROR(INDEX($S$5:$S$304,MATCH(C1011,$R$5:$R$304,0))&amp;"","?"))</f>
        <v>14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-6</v>
      </c>
      <c r="O1011" s="2" t="str">
        <f aca="false">IF(OR(F1011="",G1011=""),"",IF(G1011&lt;='RETRATO 2027'!$K$5,"CONCLUÍDA",IF(F1011&lt;='RETRATO 2027'!$K$5,"EM ANDAMENTO","A INICIAR")))</f>
        <v>CONCLUÍDA</v>
      </c>
    </row>
    <row r="1012" customFormat="false" ht="15" hidden="false" customHeight="false" outlineLevel="0" collapsed="false">
      <c r="B1012" s="4" t="n">
        <v>25386347</v>
      </c>
      <c r="C1012" s="4" t="s">
        <v>2705</v>
      </c>
      <c r="D1012" s="4" t="s">
        <v>433</v>
      </c>
      <c r="E1012" s="4" t="s">
        <v>3482</v>
      </c>
      <c r="F1012" s="127" t="n">
        <v>46121</v>
      </c>
      <c r="G1012" s="127" t="n">
        <v>46142</v>
      </c>
      <c r="H1012" s="127" t="n">
        <v>46293</v>
      </c>
      <c r="I1012" s="4" t="n">
        <v>100</v>
      </c>
      <c r="J1012" s="4" t="n">
        <v>100</v>
      </c>
      <c r="K1012" s="4" t="n">
        <v>100</v>
      </c>
      <c r="M1012" s="2" t="str">
        <f aca="false">IF(C1012="","",IFERROR(INDEX($S$5:$S$304,MATCH(C1012,$R$5:$R$304,0))&amp;"","?"))</f>
        <v>17</v>
      </c>
      <c r="N1012" s="2" t="str">
        <f aca="false"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 t="str">
        <f aca="false">IF(OR(F1012="",G1012=""),"",IF(G1012&lt;='RETRATO 2027'!$K$5,"CONCLUÍDA",IF(F1012&lt;='RETRATO 2027'!$K$5,"EM ANDAMENTO","A INICIAR")))</f>
        <v>CONCLUÍDA</v>
      </c>
    </row>
    <row r="1013" customFormat="false" ht="15" hidden="false" customHeight="false" outlineLevel="0" collapsed="false">
      <c r="B1013" s="4" t="n">
        <v>9360223</v>
      </c>
      <c r="C1013" s="4" t="s">
        <v>2705</v>
      </c>
      <c r="D1013" s="4" t="s">
        <v>3244</v>
      </c>
      <c r="E1013" s="4" t="s">
        <v>3482</v>
      </c>
      <c r="F1013" s="127" t="n">
        <v>46121</v>
      </c>
      <c r="G1013" s="127" t="n">
        <v>46127</v>
      </c>
      <c r="H1013" s="127" t="n">
        <v>46293</v>
      </c>
      <c r="I1013" s="4" t="n">
        <v>100</v>
      </c>
      <c r="J1013" s="4" t="n">
        <v>100</v>
      </c>
      <c r="K1013" s="4" t="n">
        <v>100</v>
      </c>
      <c r="M1013" s="2" t="str">
        <f aca="false">IF(C1013="","",IFERROR(INDEX($S$5:$S$304,MATCH(C1013,$R$5:$R$304,0))&amp;"","?"))</f>
        <v>17</v>
      </c>
      <c r="N1013" s="2" t="str">
        <f aca="false"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 t="str">
        <f aca="false">IF(OR(F1013="",G1013=""),"",IF(G1013&lt;='RETRATO 2027'!$K$5,"CONCLUÍDA",IF(F1013&lt;='RETRATO 2027'!$K$5,"EM ANDAMENTO","A INICIAR")))</f>
        <v>CONCLUÍDA</v>
      </c>
    </row>
    <row r="1014" customFormat="false" ht="15" hidden="false" customHeight="false" outlineLevel="0" collapsed="false">
      <c r="B1014" s="4" t="n">
        <v>9360224</v>
      </c>
      <c r="C1014" s="4" t="s">
        <v>2705</v>
      </c>
      <c r="D1014" s="4" t="s">
        <v>3245</v>
      </c>
      <c r="E1014" s="4" t="s">
        <v>3482</v>
      </c>
      <c r="F1014" s="127" t="n">
        <v>46127</v>
      </c>
      <c r="G1014" s="127" t="n">
        <v>46134</v>
      </c>
      <c r="H1014" s="127" t="n">
        <v>46293</v>
      </c>
      <c r="I1014" s="4" t="n">
        <v>100</v>
      </c>
      <c r="J1014" s="4" t="n">
        <v>100</v>
      </c>
      <c r="K1014" s="4" t="n">
        <v>100</v>
      </c>
      <c r="M1014" s="2" t="str">
        <f aca="false">IF(C1014="","",IFERROR(INDEX($S$5:$S$304,MATCH(C1014,$R$5:$R$304,0))&amp;"","?"))</f>
        <v>17</v>
      </c>
      <c r="N1014" s="2" t="str">
        <f aca="false"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 t="str">
        <f aca="false">IF(OR(F1014="",G1014=""),"",IF(G1014&lt;='RETRATO 2027'!$K$5,"CONCLUÍDA",IF(F1014&lt;='RETRATO 2027'!$K$5,"EM ANDAMENTO","A INICIAR")))</f>
        <v>CONCLUÍDA</v>
      </c>
    </row>
    <row r="1015" customFormat="false" ht="15" hidden="false" customHeight="false" outlineLevel="0" collapsed="false">
      <c r="B1015" s="4" t="n">
        <v>9360225</v>
      </c>
      <c r="C1015" s="4" t="s">
        <v>2705</v>
      </c>
      <c r="D1015" s="4" t="s">
        <v>3246</v>
      </c>
      <c r="E1015" s="4" t="s">
        <v>3482</v>
      </c>
      <c r="F1015" s="127" t="n">
        <v>46128</v>
      </c>
      <c r="G1015" s="127" t="n">
        <v>46132</v>
      </c>
      <c r="H1015" s="127" t="n">
        <v>46293</v>
      </c>
      <c r="I1015" s="4" t="n">
        <v>100</v>
      </c>
      <c r="J1015" s="4" t="n">
        <v>100</v>
      </c>
      <c r="K1015" s="4" t="n">
        <v>100</v>
      </c>
      <c r="M1015" s="2" t="str">
        <f aca="false">IF(C1015="","",IFERROR(INDEX($S$5:$S$304,MATCH(C1015,$R$5:$R$304,0))&amp;"","?"))</f>
        <v>17</v>
      </c>
      <c r="N1015" s="2" t="str">
        <f aca="false"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 t="str">
        <f aca="false">IF(OR(F1015="",G1015=""),"",IF(G1015&lt;='RETRATO 2027'!$K$5,"CONCLUÍDA",IF(F1015&lt;='RETRATO 2027'!$K$5,"EM ANDAMENTO","A INICIAR")))</f>
        <v>CONCLUÍDA</v>
      </c>
    </row>
    <row r="1016" customFormat="false" ht="15" hidden="false" customHeight="false" outlineLevel="0" collapsed="false">
      <c r="B1016" s="4" t="n">
        <v>9360226</v>
      </c>
      <c r="C1016" s="4" t="s">
        <v>2705</v>
      </c>
      <c r="D1016" s="4" t="s">
        <v>3247</v>
      </c>
      <c r="E1016" s="4" t="s">
        <v>3482</v>
      </c>
      <c r="F1016" s="127" t="n">
        <v>46134</v>
      </c>
      <c r="G1016" s="127" t="n">
        <v>46134</v>
      </c>
      <c r="H1016" s="127" t="n">
        <v>46293</v>
      </c>
      <c r="I1016" s="4" t="n">
        <v>100</v>
      </c>
      <c r="J1016" s="4" t="n">
        <v>100</v>
      </c>
      <c r="K1016" s="4" t="n">
        <v>100</v>
      </c>
      <c r="M1016" s="2" t="str">
        <f aca="false">IF(C1016="","",IFERROR(INDEX($S$5:$S$304,MATCH(C1016,$R$5:$R$304,0))&amp;"","?"))</f>
        <v>17</v>
      </c>
      <c r="N1016" s="2" t="str">
        <f aca="false"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 t="str">
        <f aca="false">IF(OR(F1016="",G1016=""),"",IF(G1016&lt;='RETRATO 2027'!$K$5,"CONCLUÍDA",IF(F1016&lt;='RETRATO 2027'!$K$5,"EM ANDAMENTO","A INICIAR")))</f>
        <v>CONCLUÍDA</v>
      </c>
    </row>
    <row r="1017" customFormat="false" ht="15" hidden="false" customHeight="false" outlineLevel="0" collapsed="false">
      <c r="B1017" s="4" t="n">
        <v>9360227</v>
      </c>
      <c r="C1017" s="4" t="s">
        <v>2705</v>
      </c>
      <c r="D1017" s="4" t="s">
        <v>3248</v>
      </c>
      <c r="E1017" s="4" t="s">
        <v>3482</v>
      </c>
      <c r="F1017" s="127" t="n">
        <v>46135</v>
      </c>
      <c r="G1017" s="127" t="n">
        <v>46141</v>
      </c>
      <c r="H1017" s="127" t="n">
        <v>46293</v>
      </c>
      <c r="I1017" s="4" t="n">
        <v>100</v>
      </c>
      <c r="J1017" s="4" t="n">
        <v>100</v>
      </c>
      <c r="K1017" s="4" t="n">
        <v>100</v>
      </c>
      <c r="M1017" s="2" t="str">
        <f aca="false">IF(C1017="","",IFERROR(INDEX($S$5:$S$304,MATCH(C1017,$R$5:$R$304,0))&amp;"","?"))</f>
        <v>17</v>
      </c>
      <c r="N1017" s="2" t="str">
        <f aca="false"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 t="str">
        <f aca="false">IF(OR(F1017="",G1017=""),"",IF(G1017&lt;='RETRATO 2027'!$K$5,"CONCLUÍDA",IF(F1017&lt;='RETRATO 2027'!$K$5,"EM ANDAMENTO","A INICIAR")))</f>
        <v>CONCLUÍDA</v>
      </c>
    </row>
    <row r="1018" customFormat="false" ht="15" hidden="false" customHeight="false" outlineLevel="0" collapsed="false">
      <c r="B1018" s="4" t="n">
        <v>9360228</v>
      </c>
      <c r="C1018" s="4" t="s">
        <v>2705</v>
      </c>
      <c r="D1018" s="4" t="s">
        <v>3249</v>
      </c>
      <c r="E1018" s="4" t="s">
        <v>3482</v>
      </c>
      <c r="F1018" s="127" t="n">
        <v>46136</v>
      </c>
      <c r="G1018" s="127" t="n">
        <v>46142</v>
      </c>
      <c r="H1018" s="127" t="n">
        <v>46293</v>
      </c>
      <c r="I1018" s="4" t="n">
        <v>100</v>
      </c>
      <c r="J1018" s="4" t="n">
        <v>100</v>
      </c>
      <c r="K1018" s="4" t="n">
        <v>100</v>
      </c>
      <c r="M1018" s="2" t="str">
        <f aca="false">IF(C1018="","",IFERROR(INDEX($S$5:$S$304,MATCH(C1018,$R$5:$R$304,0))&amp;"","?"))</f>
        <v>17</v>
      </c>
      <c r="N1018" s="2" t="str">
        <f aca="false"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 t="str">
        <f aca="false">IF(OR(F1018="",G1018=""),"",IF(G1018&lt;='RETRATO 2027'!$K$5,"CONCLUÍDA",IF(F1018&lt;='RETRATO 2027'!$K$5,"EM ANDAMENTO","A INICIAR")))</f>
        <v>CONCLUÍDA</v>
      </c>
    </row>
    <row r="1019" customFormat="false" ht="15" hidden="false" customHeight="false" outlineLevel="0" collapsed="false">
      <c r="B1019" s="4" t="n">
        <v>9360229</v>
      </c>
      <c r="C1019" s="4" t="s">
        <v>2705</v>
      </c>
      <c r="D1019" s="4" t="s">
        <v>3250</v>
      </c>
      <c r="E1019" s="4" t="s">
        <v>3482</v>
      </c>
      <c r="F1019" s="127" t="n">
        <v>46141</v>
      </c>
      <c r="G1019" s="127" t="n">
        <v>46141</v>
      </c>
      <c r="H1019" s="127" t="n">
        <v>46293</v>
      </c>
      <c r="I1019" s="4" t="n">
        <v>100</v>
      </c>
      <c r="J1019" s="4" t="n">
        <v>100</v>
      </c>
      <c r="K1019" s="4" t="n">
        <v>100</v>
      </c>
      <c r="M1019" s="2" t="str">
        <f aca="false">IF(C1019="","",IFERROR(INDEX($S$5:$S$304,MATCH(C1019,$R$5:$R$304,0))&amp;"","?"))</f>
        <v>17</v>
      </c>
      <c r="N1019" s="2" t="str">
        <f aca="false"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 t="str">
        <f aca="false">IF(OR(F1019="",G1019=""),"",IF(G1019&lt;='RETRATO 2027'!$K$5,"CONCLUÍDA",IF(F1019&lt;='RETRATO 2027'!$K$5,"EM ANDAMENTO","A INICIAR")))</f>
        <v>CONCLUÍDA</v>
      </c>
    </row>
    <row r="1020" customFormat="false" ht="15" hidden="false" customHeight="false" outlineLevel="0" collapsed="false">
      <c r="B1020" s="4" t="n">
        <v>9360230</v>
      </c>
      <c r="C1020" s="4" t="s">
        <v>2705</v>
      </c>
      <c r="D1020" s="4" t="s">
        <v>3251</v>
      </c>
      <c r="E1020" s="4" t="s">
        <v>3482</v>
      </c>
      <c r="F1020" s="127" t="n">
        <v>46141</v>
      </c>
      <c r="G1020" s="127" t="n">
        <v>46141</v>
      </c>
      <c r="H1020" s="127" t="n">
        <v>46293</v>
      </c>
      <c r="I1020" s="4" t="n">
        <v>100</v>
      </c>
      <c r="J1020" s="4" t="n">
        <v>100</v>
      </c>
      <c r="K1020" s="4" t="n">
        <v>100</v>
      </c>
      <c r="M1020" s="2" t="str">
        <f aca="false">IF(C1020="","",IFERROR(INDEX($S$5:$S$304,MATCH(C1020,$R$5:$R$304,0))&amp;"","?"))</f>
        <v>17</v>
      </c>
      <c r="N1020" s="2" t="str">
        <f aca="false"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 t="str">
        <f aca="false">IF(OR(F1020="",G1020=""),"",IF(G1020&lt;='RETRATO 2027'!$K$5,"CONCLUÍDA",IF(F1020&lt;='RETRATO 2027'!$K$5,"EM ANDAMENTO","A INICIAR")))</f>
        <v>CONCLUÍDA</v>
      </c>
    </row>
    <row r="1021" customFormat="false" ht="15" hidden="false" customHeight="false" outlineLevel="0" collapsed="false">
      <c r="B1021" s="4" t="n">
        <v>9360231</v>
      </c>
      <c r="C1021" s="4" t="s">
        <v>2705</v>
      </c>
      <c r="D1021" s="4" t="s">
        <v>3252</v>
      </c>
      <c r="E1021" s="4" t="s">
        <v>3482</v>
      </c>
      <c r="F1021" s="127" t="n">
        <v>46142</v>
      </c>
      <c r="G1021" s="127" t="n">
        <v>46142</v>
      </c>
      <c r="H1021" s="127" t="n">
        <v>46293</v>
      </c>
      <c r="I1021" s="4" t="n">
        <v>100</v>
      </c>
      <c r="J1021" s="4" t="n">
        <v>100</v>
      </c>
      <c r="K1021" s="4" t="n">
        <v>100</v>
      </c>
      <c r="M1021" s="2" t="str">
        <f aca="false">IF(C1021="","",IFERROR(INDEX($S$5:$S$304,MATCH(C1021,$R$5:$R$304,0))&amp;"","?"))</f>
        <v>17</v>
      </c>
      <c r="N1021" s="2" t="str">
        <f aca="false"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 t="str">
        <f aca="false">IF(OR(F1021="",G1021=""),"",IF(G1021&lt;='RETRATO 2027'!$K$5,"CONCLUÍDA",IF(F1021&lt;='RETRATO 2027'!$K$5,"EM ANDAMENTO","A INICIAR")))</f>
        <v>CONCLUÍDA</v>
      </c>
    </row>
    <row r="1022" customFormat="false" ht="15" hidden="false" customHeight="false" outlineLevel="0" collapsed="false">
      <c r="B1022" s="4" t="n">
        <v>39122803</v>
      </c>
      <c r="C1022" s="4" t="s">
        <v>2714</v>
      </c>
      <c r="D1022" s="4" t="s">
        <v>433</v>
      </c>
      <c r="E1022" s="4" t="s">
        <v>3482</v>
      </c>
      <c r="F1022" s="127" t="n">
        <v>46121</v>
      </c>
      <c r="G1022" s="127" t="n">
        <v>46142</v>
      </c>
      <c r="H1022" s="127" t="n">
        <v>46293</v>
      </c>
      <c r="I1022" s="4" t="n">
        <v>100</v>
      </c>
      <c r="J1022" s="4" t="n">
        <v>100</v>
      </c>
      <c r="K1022" s="4" t="n">
        <v>100</v>
      </c>
      <c r="M1022" s="2" t="str">
        <f aca="false">IF(C1022="","",IFERROR(INDEX($S$5:$S$304,MATCH(C1022,$R$5:$R$304,0))&amp;"","?"))</f>
        <v>17</v>
      </c>
      <c r="N1022" s="2" t="str">
        <f aca="false"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 t="str">
        <f aca="false">IF(OR(F1022="",G1022=""),"",IF(G1022&lt;='RETRATO 2027'!$K$5,"CONCLUÍDA",IF(F1022&lt;='RETRATO 2027'!$K$5,"EM ANDAMENTO","A INICIAR")))</f>
        <v>CONCLUÍDA</v>
      </c>
    </row>
    <row r="1023" customFormat="false" ht="15" hidden="false" customHeight="false" outlineLevel="0" collapsed="false">
      <c r="B1023" s="4" t="n">
        <v>18978890</v>
      </c>
      <c r="C1023" s="4" t="s">
        <v>2714</v>
      </c>
      <c r="D1023" s="4" t="s">
        <v>3556</v>
      </c>
      <c r="E1023" s="4" t="s">
        <v>3482</v>
      </c>
      <c r="F1023" s="127" t="n">
        <v>46121</v>
      </c>
      <c r="G1023" s="127" t="n">
        <v>46125</v>
      </c>
      <c r="H1023" s="127" t="n">
        <v>46293</v>
      </c>
      <c r="I1023" s="4" t="n">
        <v>100</v>
      </c>
      <c r="J1023" s="4" t="n">
        <v>100</v>
      </c>
      <c r="K1023" s="4" t="n">
        <v>100</v>
      </c>
      <c r="M1023" s="2" t="str">
        <f aca="false">IF(C1023="","",IFERROR(INDEX($S$5:$S$304,MATCH(C1023,$R$5:$R$304,0))&amp;"","?"))</f>
        <v>17</v>
      </c>
      <c r="N1023" s="2" t="str">
        <f aca="false"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 t="str">
        <f aca="false">IF(OR(F1023="",G1023=""),"",IF(G1023&lt;='RETRATO 2027'!$K$5,"CONCLUÍDA",IF(F1023&lt;='RETRATO 2027'!$K$5,"EM ANDAMENTO","A INICIAR")))</f>
        <v>CONCLUÍDA</v>
      </c>
    </row>
    <row r="1024" customFormat="false" ht="15" hidden="false" customHeight="false" outlineLevel="0" collapsed="false">
      <c r="B1024" s="4" t="n">
        <v>18978891</v>
      </c>
      <c r="C1024" s="4" t="s">
        <v>2714</v>
      </c>
      <c r="D1024" s="4" t="s">
        <v>3557</v>
      </c>
      <c r="E1024" s="4" t="s">
        <v>3482</v>
      </c>
      <c r="F1024" s="127" t="n">
        <v>46122</v>
      </c>
      <c r="G1024" s="127" t="n">
        <v>46126</v>
      </c>
      <c r="H1024" s="127" t="n">
        <v>46293</v>
      </c>
      <c r="I1024" s="4" t="n">
        <v>100</v>
      </c>
      <c r="J1024" s="4" t="n">
        <v>100</v>
      </c>
      <c r="K1024" s="4" t="n">
        <v>100</v>
      </c>
      <c r="M1024" s="2" t="str">
        <f aca="false">IF(C1024="","",IFERROR(INDEX($S$5:$S$304,MATCH(C1024,$R$5:$R$304,0))&amp;"","?"))</f>
        <v>17</v>
      </c>
      <c r="N1024" s="2" t="str">
        <f aca="false"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 t="str">
        <f aca="false">IF(OR(F1024="",G1024=""),"",IF(G1024&lt;='RETRATO 2027'!$K$5,"CONCLUÍDA",IF(F1024&lt;='RETRATO 2027'!$K$5,"EM ANDAMENTO","A INICIAR")))</f>
        <v>CONCLUÍDA</v>
      </c>
    </row>
    <row r="1025" customFormat="false" ht="15" hidden="false" customHeight="false" outlineLevel="0" collapsed="false">
      <c r="B1025" s="4" t="n">
        <v>18978892</v>
      </c>
      <c r="C1025" s="4" t="s">
        <v>2714</v>
      </c>
      <c r="D1025" s="4" t="s">
        <v>3535</v>
      </c>
      <c r="E1025" s="4" t="s">
        <v>3482</v>
      </c>
      <c r="F1025" s="127" t="n">
        <v>46126</v>
      </c>
      <c r="G1025" s="127" t="n">
        <v>46135</v>
      </c>
      <c r="H1025" s="127" t="n">
        <v>46293</v>
      </c>
      <c r="I1025" s="4" t="n">
        <v>100</v>
      </c>
      <c r="J1025" s="4" t="n">
        <v>100</v>
      </c>
      <c r="K1025" s="4" t="n">
        <v>100</v>
      </c>
      <c r="M1025" s="2" t="str">
        <f aca="false">IF(C1025="","",IFERROR(INDEX($S$5:$S$304,MATCH(C1025,$R$5:$R$304,0))&amp;"","?"))</f>
        <v>17</v>
      </c>
      <c r="N1025" s="2" t="str">
        <f aca="false"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 t="str">
        <f aca="false">IF(OR(F1025="",G1025=""),"",IF(G1025&lt;='RETRATO 2027'!$K$5,"CONCLUÍDA",IF(F1025&lt;='RETRATO 2027'!$K$5,"EM ANDAMENTO","A INICIAR")))</f>
        <v>CONCLUÍDA</v>
      </c>
    </row>
    <row r="1026" customFormat="false" ht="15" hidden="false" customHeight="false" outlineLevel="0" collapsed="false">
      <c r="B1026" s="4" t="n">
        <v>18978893</v>
      </c>
      <c r="C1026" s="4" t="s">
        <v>2714</v>
      </c>
      <c r="D1026" s="4" t="s">
        <v>3515</v>
      </c>
      <c r="E1026" s="4" t="s">
        <v>3482</v>
      </c>
      <c r="F1026" s="127" t="n">
        <v>46129</v>
      </c>
      <c r="G1026" s="127" t="n">
        <v>46132</v>
      </c>
      <c r="H1026" s="127" t="n">
        <v>46293</v>
      </c>
      <c r="I1026" s="4" t="n">
        <v>100</v>
      </c>
      <c r="J1026" s="4" t="n">
        <v>100</v>
      </c>
      <c r="K1026" s="4" t="n">
        <v>100</v>
      </c>
      <c r="M1026" s="2" t="str">
        <f aca="false">IF(C1026="","",IFERROR(INDEX($S$5:$S$304,MATCH(C1026,$R$5:$R$304,0))&amp;"","?"))</f>
        <v>17</v>
      </c>
      <c r="N1026" s="2" t="str">
        <f aca="false"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 t="str">
        <f aca="false">IF(OR(F1026="",G1026=""),"",IF(G1026&lt;='RETRATO 2027'!$K$5,"CONCLUÍDA",IF(F1026&lt;='RETRATO 2027'!$K$5,"EM ANDAMENTO","A INICIAR")))</f>
        <v>CONCLUÍDA</v>
      </c>
    </row>
    <row r="1027" customFormat="false" ht="15" hidden="false" customHeight="false" outlineLevel="0" collapsed="false">
      <c r="B1027" s="4" t="n">
        <v>18978894</v>
      </c>
      <c r="C1027" s="4" t="s">
        <v>2714</v>
      </c>
      <c r="D1027" s="4" t="s">
        <v>3574</v>
      </c>
      <c r="E1027" s="4" t="s">
        <v>3482</v>
      </c>
      <c r="F1027" s="127" t="n">
        <v>46134</v>
      </c>
      <c r="G1027" s="127" t="n">
        <v>46134</v>
      </c>
      <c r="H1027" s="127" t="n">
        <v>46293</v>
      </c>
      <c r="I1027" s="4" t="n">
        <v>100</v>
      </c>
      <c r="J1027" s="4" t="n">
        <v>100</v>
      </c>
      <c r="K1027" s="4" t="n">
        <v>100</v>
      </c>
      <c r="M1027" s="2" t="str">
        <f aca="false">IF(C1027="","",IFERROR(INDEX($S$5:$S$304,MATCH(C1027,$R$5:$R$304,0))&amp;"","?"))</f>
        <v>17</v>
      </c>
      <c r="N1027" s="2" t="str">
        <f aca="false"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 t="str">
        <f aca="false">IF(OR(F1027="",G1027=""),"",IF(G1027&lt;='RETRATO 2027'!$K$5,"CONCLUÍDA",IF(F1027&lt;='RETRATO 2027'!$K$5,"EM ANDAMENTO","A INICIAR")))</f>
        <v>CONCLUÍDA</v>
      </c>
    </row>
    <row r="1028" customFormat="false" ht="15" hidden="false" customHeight="false" outlineLevel="0" collapsed="false">
      <c r="B1028" s="4" t="n">
        <v>18978895</v>
      </c>
      <c r="C1028" s="4" t="s">
        <v>2714</v>
      </c>
      <c r="D1028" s="4" t="s">
        <v>3536</v>
      </c>
      <c r="E1028" s="4" t="s">
        <v>3482</v>
      </c>
      <c r="F1028" s="127" t="n">
        <v>46135</v>
      </c>
      <c r="G1028" s="127" t="n">
        <v>46141</v>
      </c>
      <c r="H1028" s="127" t="n">
        <v>46293</v>
      </c>
      <c r="I1028" s="4" t="n">
        <v>100</v>
      </c>
      <c r="J1028" s="4" t="n">
        <v>100</v>
      </c>
      <c r="K1028" s="4" t="n">
        <v>100</v>
      </c>
      <c r="M1028" s="2" t="str">
        <f aca="false">IF(C1028="","",IFERROR(INDEX($S$5:$S$304,MATCH(C1028,$R$5:$R$304,0))&amp;"","?"))</f>
        <v>17</v>
      </c>
      <c r="N1028" s="2" t="str">
        <f aca="false"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 t="str">
        <f aca="false">IF(OR(F1028="",G1028=""),"",IF(G1028&lt;='RETRATO 2027'!$K$5,"CONCLUÍDA",IF(F1028&lt;='RETRATO 2027'!$K$5,"EM ANDAMENTO","A INICIAR")))</f>
        <v>CONCLUÍDA</v>
      </c>
    </row>
    <row r="1029" customFormat="false" ht="15" hidden="false" customHeight="false" outlineLevel="0" collapsed="false">
      <c r="B1029" s="4" t="n">
        <v>18978896</v>
      </c>
      <c r="C1029" s="4" t="s">
        <v>2714</v>
      </c>
      <c r="D1029" s="4" t="s">
        <v>3537</v>
      </c>
      <c r="E1029" s="4" t="s">
        <v>3482</v>
      </c>
      <c r="F1029" s="127" t="n">
        <v>46142</v>
      </c>
      <c r="G1029" s="127" t="n">
        <v>46142</v>
      </c>
      <c r="H1029" s="127" t="n">
        <v>46293</v>
      </c>
      <c r="I1029" s="4" t="n">
        <v>100</v>
      </c>
      <c r="J1029" s="4" t="n">
        <v>100</v>
      </c>
      <c r="K1029" s="4" t="n">
        <v>100</v>
      </c>
      <c r="M1029" s="2" t="str">
        <f aca="false">IF(C1029="","",IFERROR(INDEX($S$5:$S$304,MATCH(C1029,$R$5:$R$304,0))&amp;"","?"))</f>
        <v>17</v>
      </c>
      <c r="N1029" s="2" t="str">
        <f aca="false"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 t="str">
        <f aca="false">IF(OR(F1029="",G1029=""),"",IF(G1029&lt;='RETRATO 2027'!$K$5,"CONCLUÍDA",IF(F1029&lt;='RETRATO 2027'!$K$5,"EM ANDAMENTO","A INICIAR")))</f>
        <v>CONCLUÍDA</v>
      </c>
    </row>
    <row r="1030" customFormat="false" ht="15" hidden="false" customHeight="false" outlineLevel="0" collapsed="false">
      <c r="B1030" s="4" t="n">
        <v>43595578</v>
      </c>
      <c r="C1030" s="4" t="s">
        <v>2745</v>
      </c>
      <c r="D1030" s="4" t="s">
        <v>433</v>
      </c>
      <c r="E1030" s="4" t="s">
        <v>3482</v>
      </c>
      <c r="F1030" s="127" t="n">
        <v>46122</v>
      </c>
      <c r="G1030" s="127" t="n">
        <v>46134</v>
      </c>
      <c r="H1030" s="127" t="n">
        <v>46293</v>
      </c>
      <c r="I1030" s="4" t="n">
        <v>0</v>
      </c>
      <c r="J1030" s="4" t="n">
        <v>100</v>
      </c>
      <c r="K1030" s="4" t="n">
        <v>100</v>
      </c>
      <c r="M1030" s="2" t="str">
        <f aca="false">IF(C1030="","",IFERROR(INDEX($S$5:$S$304,MATCH(C1030,$R$5:$R$304,0))&amp;"","?"))</f>
        <v>17</v>
      </c>
      <c r="N1030" s="2" t="str">
        <f aca="false"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 t="str">
        <f aca="false">IF(OR(F1030="",G1030=""),"",IF(G1030&lt;='RETRATO 2027'!$K$5,"CONCLUÍDA",IF(F1030&lt;='RETRATO 2027'!$K$5,"EM ANDAMENTO","A INICIAR")))</f>
        <v>CONCLUÍDA</v>
      </c>
    </row>
    <row r="1031" customFormat="false" ht="15" hidden="false" customHeight="false" outlineLevel="0" collapsed="false">
      <c r="B1031" s="4" t="n">
        <v>27823325</v>
      </c>
      <c r="C1031" s="4" t="s">
        <v>2745</v>
      </c>
      <c r="D1031" s="4" t="s">
        <v>3584</v>
      </c>
      <c r="E1031" s="4" t="s">
        <v>3482</v>
      </c>
      <c r="F1031" s="127" t="n">
        <v>46122</v>
      </c>
      <c r="G1031" s="127" t="n">
        <v>46125</v>
      </c>
      <c r="H1031" s="127" t="n">
        <v>46293</v>
      </c>
      <c r="I1031" s="4" t="n">
        <v>0</v>
      </c>
      <c r="J1031" s="4" t="n">
        <v>100</v>
      </c>
      <c r="K1031" s="4" t="n">
        <v>100</v>
      </c>
      <c r="M1031" s="2" t="str">
        <f aca="false">IF(C1031="","",IFERROR(INDEX($S$5:$S$304,MATCH(C1031,$R$5:$R$304,0))&amp;"","?"))</f>
        <v>17</v>
      </c>
      <c r="N1031" s="2" t="str">
        <f aca="false"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 t="str">
        <f aca="false">IF(OR(F1031="",G1031=""),"",IF(G1031&lt;='RETRATO 2027'!$K$5,"CONCLUÍDA",IF(F1031&lt;='RETRATO 2027'!$K$5,"EM ANDAMENTO","A INICIAR")))</f>
        <v>CONCLUÍDA</v>
      </c>
    </row>
    <row r="1032" customFormat="false" ht="15" hidden="false" customHeight="false" outlineLevel="0" collapsed="false">
      <c r="B1032" s="4" t="n">
        <v>27823326</v>
      </c>
      <c r="C1032" s="4" t="s">
        <v>2745</v>
      </c>
      <c r="D1032" s="4" t="s">
        <v>3585</v>
      </c>
      <c r="E1032" s="4" t="s">
        <v>3482</v>
      </c>
      <c r="F1032" s="127" t="n">
        <v>46126</v>
      </c>
      <c r="G1032" s="127" t="n">
        <v>46128</v>
      </c>
      <c r="H1032" s="127" t="n">
        <v>46293</v>
      </c>
      <c r="I1032" s="4" t="n">
        <v>0</v>
      </c>
      <c r="J1032" s="4" t="n">
        <v>100</v>
      </c>
      <c r="K1032" s="4" t="n">
        <v>100</v>
      </c>
      <c r="M1032" s="2" t="str">
        <f aca="false">IF(C1032="","",IFERROR(INDEX($S$5:$S$304,MATCH(C1032,$R$5:$R$304,0))&amp;"","?"))</f>
        <v>17</v>
      </c>
      <c r="N1032" s="2" t="str">
        <f aca="false"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 t="str">
        <f aca="false">IF(OR(F1032="",G1032=""),"",IF(G1032&lt;='RETRATO 2027'!$K$5,"CONCLUÍDA",IF(F1032&lt;='RETRATO 2027'!$K$5,"EM ANDAMENTO","A INICIAR")))</f>
        <v>CONCLUÍDA</v>
      </c>
    </row>
    <row r="1033" customFormat="false" ht="15" hidden="false" customHeight="false" outlineLevel="0" collapsed="false">
      <c r="B1033" s="4" t="n">
        <v>27823327</v>
      </c>
      <c r="C1033" s="4" t="s">
        <v>2745</v>
      </c>
      <c r="D1033" s="4" t="s">
        <v>3536</v>
      </c>
      <c r="E1033" s="4" t="s">
        <v>3482</v>
      </c>
      <c r="F1033" s="127" t="n">
        <v>46129</v>
      </c>
      <c r="G1033" s="127" t="n">
        <v>46132</v>
      </c>
      <c r="H1033" s="127" t="n">
        <v>46293</v>
      </c>
      <c r="I1033" s="4" t="n">
        <v>0</v>
      </c>
      <c r="J1033" s="4" t="n">
        <v>100</v>
      </c>
      <c r="K1033" s="4" t="n">
        <v>100</v>
      </c>
      <c r="M1033" s="2" t="str">
        <f aca="false">IF(C1033="","",IFERROR(INDEX($S$5:$S$304,MATCH(C1033,$R$5:$R$304,0))&amp;"","?"))</f>
        <v>17</v>
      </c>
      <c r="N1033" s="2" t="str">
        <f aca="false"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 t="str">
        <f aca="false">IF(OR(F1033="",G1033=""),"",IF(G1033&lt;='RETRATO 2027'!$K$5,"CONCLUÍDA",IF(F1033&lt;='RETRATO 2027'!$K$5,"EM ANDAMENTO","A INICIAR")))</f>
        <v>CONCLUÍDA</v>
      </c>
    </row>
    <row r="1034" customFormat="false" ht="15" hidden="false" customHeight="false" outlineLevel="0" collapsed="false">
      <c r="B1034" s="4" t="n">
        <v>27823328</v>
      </c>
      <c r="C1034" s="4" t="s">
        <v>2745</v>
      </c>
      <c r="D1034" s="4" t="s">
        <v>3586</v>
      </c>
      <c r="E1034" s="4" t="s">
        <v>3482</v>
      </c>
      <c r="F1034" s="127" t="n">
        <v>46134</v>
      </c>
      <c r="G1034" s="127" t="n">
        <v>46134</v>
      </c>
      <c r="H1034" s="127" t="n">
        <v>46293</v>
      </c>
      <c r="I1034" s="4" t="n">
        <v>0</v>
      </c>
      <c r="J1034" s="4" t="n">
        <v>100</v>
      </c>
      <c r="K1034" s="4" t="n">
        <v>100</v>
      </c>
      <c r="M1034" s="2" t="str">
        <f aca="false">IF(C1034="","",IFERROR(INDEX($S$5:$S$304,MATCH(C1034,$R$5:$R$304,0))&amp;"","?"))</f>
        <v>17</v>
      </c>
      <c r="N1034" s="2" t="str">
        <f aca="false"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 t="str">
        <f aca="false">IF(OR(F1034="",G1034=""),"",IF(G1034&lt;='RETRATO 2027'!$K$5,"CONCLUÍDA",IF(F1034&lt;='RETRATO 2027'!$K$5,"EM ANDAMENTO","A INICIAR")))</f>
        <v>CONCLUÍDA</v>
      </c>
    </row>
    <row r="1035" customFormat="false" ht="15" hidden="false" customHeight="false" outlineLevel="0" collapsed="false">
      <c r="B1035" s="4" t="n">
        <v>43400191</v>
      </c>
      <c r="C1035" s="4" t="s">
        <v>2747</v>
      </c>
      <c r="D1035" s="4" t="s">
        <v>433</v>
      </c>
      <c r="E1035" s="4" t="s">
        <v>3583</v>
      </c>
      <c r="F1035" s="127" t="n">
        <v>46128</v>
      </c>
      <c r="G1035" s="127" t="n">
        <v>46174</v>
      </c>
      <c r="H1035" s="127" t="n">
        <v>46293</v>
      </c>
      <c r="I1035" s="4" t="n">
        <v>0</v>
      </c>
      <c r="J1035" s="4" t="n">
        <v>100</v>
      </c>
      <c r="K1035" s="4" t="n">
        <v>100</v>
      </c>
      <c r="M1035" s="2" t="str">
        <f aca="false">IF(C1035="","",IFERROR(INDEX($S$5:$S$304,MATCH(C1035,$R$5:$R$304,0))&amp;"","?"))</f>
        <v>17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-6</v>
      </c>
      <c r="O1035" s="2" t="str">
        <f aca="false">IF(OR(F1035="",G1035=""),"",IF(G1035&lt;='RETRATO 2027'!$K$5,"CONCLUÍDA",IF(F1035&lt;='RETRATO 2027'!$K$5,"EM ANDAMENTO","A INICIAR")))</f>
        <v>CONCLUÍDA</v>
      </c>
    </row>
    <row r="1036" customFormat="false" ht="15" hidden="false" customHeight="false" outlineLevel="0" collapsed="false">
      <c r="B1036" s="4" t="n">
        <v>27758314</v>
      </c>
      <c r="C1036" s="4" t="s">
        <v>2747</v>
      </c>
      <c r="D1036" s="4" t="s">
        <v>3587</v>
      </c>
      <c r="E1036" s="4" t="s">
        <v>3583</v>
      </c>
      <c r="F1036" s="127" t="n">
        <v>46128</v>
      </c>
      <c r="G1036" s="127" t="n">
        <v>46132</v>
      </c>
      <c r="H1036" s="127" t="n">
        <v>46293</v>
      </c>
      <c r="I1036" s="4" t="n">
        <v>0</v>
      </c>
      <c r="J1036" s="4" t="n">
        <v>100</v>
      </c>
      <c r="K1036" s="4" t="n">
        <v>100</v>
      </c>
      <c r="M1036" s="2" t="str">
        <f aca="false">IF(C1036="","",IFERROR(INDEX($S$5:$S$304,MATCH(C1036,$R$5:$R$304,0))&amp;"","?"))</f>
        <v>17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-6</v>
      </c>
      <c r="O1036" s="2" t="str">
        <f aca="false">IF(OR(F1036="",G1036=""),"",IF(G1036&lt;='RETRATO 2027'!$K$5,"CONCLUÍDA",IF(F1036&lt;='RETRATO 2027'!$K$5,"EM ANDAMENTO","A INICIAR")))</f>
        <v>CONCLUÍDA</v>
      </c>
    </row>
    <row r="1037" customFormat="false" ht="15" hidden="false" customHeight="false" outlineLevel="0" collapsed="false">
      <c r="B1037" s="4" t="n">
        <v>27758326</v>
      </c>
      <c r="C1037" s="4" t="s">
        <v>2747</v>
      </c>
      <c r="D1037" s="4" t="s">
        <v>3588</v>
      </c>
      <c r="E1037" s="4" t="s">
        <v>3583</v>
      </c>
      <c r="F1037" s="127" t="n">
        <v>46132</v>
      </c>
      <c r="G1037" s="127" t="n">
        <v>46135</v>
      </c>
      <c r="H1037" s="127" t="n">
        <v>46293</v>
      </c>
      <c r="I1037" s="4" t="n">
        <v>0</v>
      </c>
      <c r="J1037" s="4" t="n">
        <v>100</v>
      </c>
      <c r="K1037" s="4" t="n">
        <v>100</v>
      </c>
      <c r="M1037" s="2" t="str">
        <f aca="false">IF(C1037="","",IFERROR(INDEX($S$5:$S$304,MATCH(C1037,$R$5:$R$304,0))&amp;"","?"))</f>
        <v>17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-6</v>
      </c>
      <c r="O1037" s="2" t="str">
        <f aca="false">IF(OR(F1037="",G1037=""),"",IF(G1037&lt;='RETRATO 2027'!$K$5,"CONCLUÍDA",IF(F1037&lt;='RETRATO 2027'!$K$5,"EM ANDAMENTO","A INICIAR")))</f>
        <v>CONCLUÍDA</v>
      </c>
    </row>
    <row r="1038" customFormat="false" ht="15" hidden="false" customHeight="false" outlineLevel="0" collapsed="false">
      <c r="B1038" s="4" t="n">
        <v>27758327</v>
      </c>
      <c r="C1038" s="4" t="s">
        <v>2747</v>
      </c>
      <c r="D1038" s="4" t="s">
        <v>3589</v>
      </c>
      <c r="E1038" s="4" t="s">
        <v>3583</v>
      </c>
      <c r="F1038" s="127" t="n">
        <v>46135</v>
      </c>
      <c r="G1038" s="127" t="n">
        <v>46139</v>
      </c>
      <c r="H1038" s="127" t="n">
        <v>46293</v>
      </c>
      <c r="I1038" s="4" t="n">
        <v>0</v>
      </c>
      <c r="J1038" s="4" t="n">
        <v>100</v>
      </c>
      <c r="K1038" s="4" t="n">
        <v>100</v>
      </c>
      <c r="M1038" s="2" t="str">
        <f aca="false">IF(C1038="","",IFERROR(INDEX($S$5:$S$304,MATCH(C1038,$R$5:$R$304,0))&amp;"","?"))</f>
        <v>17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-6</v>
      </c>
      <c r="O1038" s="2" t="str">
        <f aca="false">IF(OR(F1038="",G1038=""),"",IF(G1038&lt;='RETRATO 2027'!$K$5,"CONCLUÍDA",IF(F1038&lt;='RETRATO 2027'!$K$5,"EM ANDAMENTO","A INICIAR")))</f>
        <v>CONCLUÍDA</v>
      </c>
    </row>
    <row r="1039" customFormat="false" ht="15" hidden="false" customHeight="false" outlineLevel="0" collapsed="false">
      <c r="B1039" s="4" t="n">
        <v>27758664</v>
      </c>
      <c r="C1039" s="4" t="s">
        <v>2747</v>
      </c>
      <c r="D1039" s="4" t="s">
        <v>3590</v>
      </c>
      <c r="E1039" s="4" t="s">
        <v>3583</v>
      </c>
      <c r="F1039" s="127" t="n">
        <v>46140</v>
      </c>
      <c r="G1039" s="127" t="n">
        <v>46146</v>
      </c>
      <c r="H1039" s="127" t="n">
        <v>46293</v>
      </c>
      <c r="I1039" s="4" t="n">
        <v>0</v>
      </c>
      <c r="J1039" s="4" t="n">
        <v>100</v>
      </c>
      <c r="K1039" s="4" t="n">
        <v>100</v>
      </c>
      <c r="M1039" s="2" t="str">
        <f aca="false">IF(C1039="","",IFERROR(INDEX($S$5:$S$304,MATCH(C1039,$R$5:$R$304,0))&amp;"","?"))</f>
        <v>17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-6</v>
      </c>
      <c r="O1039" s="2" t="str">
        <f aca="false">IF(OR(F1039="",G1039=""),"",IF(G1039&lt;='RETRATO 2027'!$K$5,"CONCLUÍDA",IF(F1039&lt;='RETRATO 2027'!$K$5,"EM ANDAMENTO","A INICIAR")))</f>
        <v>CONCLUÍDA</v>
      </c>
    </row>
    <row r="1040" customFormat="false" ht="15" hidden="false" customHeight="false" outlineLevel="0" collapsed="false">
      <c r="B1040" s="4" t="n">
        <v>27758665</v>
      </c>
      <c r="C1040" s="4" t="s">
        <v>2747</v>
      </c>
      <c r="D1040" s="4" t="s">
        <v>3591</v>
      </c>
      <c r="E1040" s="4" t="s">
        <v>3583</v>
      </c>
      <c r="F1040" s="127" t="n">
        <v>46147</v>
      </c>
      <c r="G1040" s="127" t="n">
        <v>46149</v>
      </c>
      <c r="H1040" s="127" t="n">
        <v>46293</v>
      </c>
      <c r="I1040" s="4" t="n">
        <v>0</v>
      </c>
      <c r="J1040" s="4" t="n">
        <v>100</v>
      </c>
      <c r="K1040" s="4" t="n">
        <v>100</v>
      </c>
      <c r="M1040" s="2" t="str">
        <f aca="false">IF(C1040="","",IFERROR(INDEX($S$5:$S$304,MATCH(C1040,$R$5:$R$304,0))&amp;"","?"))</f>
        <v>17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-6</v>
      </c>
      <c r="O1040" s="2" t="str">
        <f aca="false">IF(OR(F1040="",G1040=""),"",IF(G1040&lt;='RETRATO 2027'!$K$5,"CONCLUÍDA",IF(F1040&lt;='RETRATO 2027'!$K$5,"EM ANDAMENTO","A INICIAR")))</f>
        <v>CONCLUÍDA</v>
      </c>
    </row>
    <row r="1041" customFormat="false" ht="15" hidden="false" customHeight="false" outlineLevel="0" collapsed="false">
      <c r="B1041" s="4" t="n">
        <v>27758666</v>
      </c>
      <c r="C1041" s="4" t="s">
        <v>2747</v>
      </c>
      <c r="D1041" s="4" t="s">
        <v>3592</v>
      </c>
      <c r="E1041" s="4" t="s">
        <v>3583</v>
      </c>
      <c r="F1041" s="127" t="n">
        <v>46150</v>
      </c>
      <c r="G1041" s="127" t="n">
        <v>46160</v>
      </c>
      <c r="H1041" s="127" t="n">
        <v>46293</v>
      </c>
      <c r="I1041" s="4" t="n">
        <v>0</v>
      </c>
      <c r="J1041" s="4" t="n">
        <v>100</v>
      </c>
      <c r="K1041" s="4" t="n">
        <v>100</v>
      </c>
      <c r="M1041" s="2" t="str">
        <f aca="false">IF(C1041="","",IFERROR(INDEX($S$5:$S$304,MATCH(C1041,$R$5:$R$304,0))&amp;"","?"))</f>
        <v>17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-6</v>
      </c>
      <c r="O1041" s="2" t="str">
        <f aca="false">IF(OR(F1041="",G1041=""),"",IF(G1041&lt;='RETRATO 2027'!$K$5,"CONCLUÍDA",IF(F1041&lt;='RETRATO 2027'!$K$5,"EM ANDAMENTO","A INICIAR")))</f>
        <v>CONCLUÍDA</v>
      </c>
    </row>
    <row r="1042" customFormat="false" ht="15" hidden="false" customHeight="false" outlineLevel="0" collapsed="false">
      <c r="B1042" s="4" t="n">
        <v>27758667</v>
      </c>
      <c r="C1042" s="4" t="s">
        <v>2747</v>
      </c>
      <c r="D1042" s="4" t="s">
        <v>3593</v>
      </c>
      <c r="E1042" s="4" t="s">
        <v>3583</v>
      </c>
      <c r="F1042" s="127" t="n">
        <v>46155</v>
      </c>
      <c r="G1042" s="127" t="n">
        <v>46162</v>
      </c>
      <c r="H1042" s="127" t="n">
        <v>46293</v>
      </c>
      <c r="I1042" s="4" t="n">
        <v>0</v>
      </c>
      <c r="J1042" s="4" t="n">
        <v>100</v>
      </c>
      <c r="K1042" s="4" t="n">
        <v>100</v>
      </c>
      <c r="M1042" s="2" t="str">
        <f aca="false">IF(C1042="","",IFERROR(INDEX($S$5:$S$304,MATCH(C1042,$R$5:$R$304,0))&amp;"","?"))</f>
        <v>17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-6</v>
      </c>
      <c r="O1042" s="2" t="str">
        <f aca="false">IF(OR(F1042="",G1042=""),"",IF(G1042&lt;='RETRATO 2027'!$K$5,"CONCLUÍDA",IF(F1042&lt;='RETRATO 2027'!$K$5,"EM ANDAMENTO","A INICIAR")))</f>
        <v>CONCLUÍDA</v>
      </c>
    </row>
    <row r="1043" customFormat="false" ht="15" hidden="false" customHeight="false" outlineLevel="0" collapsed="false">
      <c r="B1043" s="4" t="n">
        <v>27758668</v>
      </c>
      <c r="C1043" s="4" t="s">
        <v>2747</v>
      </c>
      <c r="D1043" s="4" t="s">
        <v>3594</v>
      </c>
      <c r="E1043" s="4" t="s">
        <v>3583</v>
      </c>
      <c r="F1043" s="127" t="n">
        <v>46163</v>
      </c>
      <c r="G1043" s="127" t="n">
        <v>46163</v>
      </c>
      <c r="H1043" s="127" t="n">
        <v>46293</v>
      </c>
      <c r="I1043" s="4" t="n">
        <v>0</v>
      </c>
      <c r="J1043" s="4" t="n">
        <v>100</v>
      </c>
      <c r="K1043" s="4" t="n">
        <v>100</v>
      </c>
      <c r="M1043" s="2" t="str">
        <f aca="false">IF(C1043="","",IFERROR(INDEX($S$5:$S$304,MATCH(C1043,$R$5:$R$304,0))&amp;"","?"))</f>
        <v>17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-6</v>
      </c>
      <c r="O1043" s="2" t="str">
        <f aca="false">IF(OR(F1043="",G1043=""),"",IF(G1043&lt;='RETRATO 2027'!$K$5,"CONCLUÍDA",IF(F1043&lt;='RETRATO 2027'!$K$5,"EM ANDAMENTO","A INICIAR")))</f>
        <v>CONCLUÍDA</v>
      </c>
    </row>
    <row r="1044" customFormat="false" ht="15" hidden="false" customHeight="false" outlineLevel="0" collapsed="false">
      <c r="B1044" s="4" t="n">
        <v>27758669</v>
      </c>
      <c r="C1044" s="4" t="s">
        <v>2747</v>
      </c>
      <c r="D1044" s="4" t="s">
        <v>3595</v>
      </c>
      <c r="E1044" s="4" t="s">
        <v>3583</v>
      </c>
      <c r="F1044" s="127" t="n">
        <v>46164</v>
      </c>
      <c r="G1044" s="127" t="n">
        <v>46168</v>
      </c>
      <c r="H1044" s="127" t="n">
        <v>46293</v>
      </c>
      <c r="I1044" s="4" t="n">
        <v>0</v>
      </c>
      <c r="J1044" s="4" t="n">
        <v>100</v>
      </c>
      <c r="K1044" s="4" t="n">
        <v>100</v>
      </c>
      <c r="M1044" s="2" t="str">
        <f aca="false">IF(C1044="","",IFERROR(INDEX($S$5:$S$304,MATCH(C1044,$R$5:$R$304,0))&amp;"","?"))</f>
        <v>17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-6</v>
      </c>
      <c r="O1044" s="2" t="str">
        <f aca="false">IF(OR(F1044="",G1044=""),"",IF(G1044&lt;='RETRATO 2027'!$K$5,"CONCLUÍDA",IF(F1044&lt;='RETRATO 2027'!$K$5,"EM ANDAMENTO","A INICIAR")))</f>
        <v>CONCLUÍDA</v>
      </c>
    </row>
    <row r="1045" customFormat="false" ht="15" hidden="false" customHeight="false" outlineLevel="0" collapsed="false">
      <c r="B1045" s="4" t="n">
        <v>27758670</v>
      </c>
      <c r="C1045" s="4" t="s">
        <v>2747</v>
      </c>
      <c r="D1045" s="4" t="s">
        <v>3596</v>
      </c>
      <c r="E1045" s="4" t="s">
        <v>3583</v>
      </c>
      <c r="F1045" s="127" t="n">
        <v>46169</v>
      </c>
      <c r="G1045" s="127" t="n">
        <v>46171</v>
      </c>
      <c r="H1045" s="127" t="n">
        <v>46293</v>
      </c>
      <c r="I1045" s="4" t="n">
        <v>0</v>
      </c>
      <c r="J1045" s="4" t="n">
        <v>100</v>
      </c>
      <c r="K1045" s="4" t="n">
        <v>100</v>
      </c>
      <c r="M1045" s="2" t="str">
        <f aca="false">IF(C1045="","",IFERROR(INDEX($S$5:$S$304,MATCH(C1045,$R$5:$R$304,0))&amp;"","?"))</f>
        <v>17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-6</v>
      </c>
      <c r="O1045" s="2" t="str">
        <f aca="false">IF(OR(F1045="",G1045=""),"",IF(G1045&lt;='RETRATO 2027'!$K$5,"CONCLUÍDA",IF(F1045&lt;='RETRATO 2027'!$K$5,"EM ANDAMENTO","A INICIAR")))</f>
        <v>CONCLUÍDA</v>
      </c>
    </row>
    <row r="1046" customFormat="false" ht="15" hidden="false" customHeight="false" outlineLevel="0" collapsed="false">
      <c r="B1046" s="4" t="n">
        <v>27758671</v>
      </c>
      <c r="C1046" s="4" t="s">
        <v>2747</v>
      </c>
      <c r="D1046" s="4" t="s">
        <v>3218</v>
      </c>
      <c r="E1046" s="4" t="s">
        <v>3583</v>
      </c>
      <c r="F1046" s="127" t="n">
        <v>46174</v>
      </c>
      <c r="G1046" s="127" t="n">
        <v>46174</v>
      </c>
      <c r="H1046" s="127" t="n">
        <v>46293</v>
      </c>
      <c r="I1046" s="4" t="n">
        <v>0</v>
      </c>
      <c r="J1046" s="4" t="n">
        <v>100</v>
      </c>
      <c r="K1046" s="4" t="n">
        <v>100</v>
      </c>
      <c r="M1046" s="2" t="str">
        <f aca="false">IF(C1046="","",IFERROR(INDEX($S$5:$S$304,MATCH(C1046,$R$5:$R$304,0))&amp;"","?"))</f>
        <v>17</v>
      </c>
      <c r="N1046" s="2" t="n">
        <f aca="false">IF(E1046="","",IF(ISNUMBER(SEARCH("SUBSOLO",E1046)),IFERROR(-VALUE(LEFT(E1046,FIND("º",SUBSTITUTE(E1046,"°","º"))-1)),-1),IF(LEFT(E1046,6)="TÉRREO",0,IFERROR(VALUE(LEFT(E1046,FIND("º",SUBSTITUTE(E1046,"°","º"))-1)),""))))</f>
        <v>-6</v>
      </c>
      <c r="O1046" s="2" t="str">
        <f aca="false">IF(OR(F1046="",G1046=""),"",IF(G1046&lt;='RETRATO 2027'!$K$5,"CONCLUÍDA",IF(F1046&lt;='RETRATO 2027'!$K$5,"EM ANDAMENTO","A INICIAR")))</f>
        <v>CONCLUÍDA</v>
      </c>
    </row>
    <row r="1047" customFormat="false" ht="15" hidden="false" customHeight="false" outlineLevel="0" collapsed="false">
      <c r="B1047" s="4" t="n">
        <v>39884623</v>
      </c>
      <c r="C1047" s="4" t="s">
        <v>2749</v>
      </c>
      <c r="D1047" s="4" t="s">
        <v>433</v>
      </c>
      <c r="E1047" s="4" t="s">
        <v>3374</v>
      </c>
      <c r="F1047" s="127" t="n">
        <v>46132</v>
      </c>
      <c r="G1047" s="127" t="n">
        <v>46147</v>
      </c>
      <c r="H1047" s="127" t="n">
        <v>46293</v>
      </c>
      <c r="I1047" s="4" t="n">
        <v>100</v>
      </c>
      <c r="J1047" s="4" t="n">
        <v>100</v>
      </c>
      <c r="K1047" s="4" t="n">
        <v>100</v>
      </c>
      <c r="M1047" s="2" t="str">
        <f aca="false">IF(C1047="","",IFERROR(INDEX($S$5:$S$304,MATCH(C1047,$R$5:$R$304,0))&amp;"","?"))</f>
        <v>17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-4</v>
      </c>
      <c r="O1047" s="2" t="str">
        <f aca="false">IF(OR(F1047="",G1047=""),"",IF(G1047&lt;='RETRATO 2027'!$K$5,"CONCLUÍDA",IF(F1047&lt;='RETRATO 2027'!$K$5,"EM ANDAMENTO","A INICIAR")))</f>
        <v>CONCLUÍDA</v>
      </c>
    </row>
    <row r="1048" customFormat="false" ht="15" hidden="false" customHeight="false" outlineLevel="0" collapsed="false">
      <c r="B1048" s="4" t="n">
        <v>19483419</v>
      </c>
      <c r="C1048" s="4" t="s">
        <v>2749</v>
      </c>
      <c r="D1048" s="4" t="s">
        <v>3548</v>
      </c>
      <c r="E1048" s="4" t="s">
        <v>3374</v>
      </c>
      <c r="F1048" s="127" t="n">
        <v>46132</v>
      </c>
      <c r="G1048" s="127" t="n">
        <v>46132</v>
      </c>
      <c r="H1048" s="127" t="n">
        <v>46293</v>
      </c>
      <c r="I1048" s="4" t="n">
        <v>100</v>
      </c>
      <c r="J1048" s="4" t="n">
        <v>100</v>
      </c>
      <c r="K1048" s="4" t="n">
        <v>100</v>
      </c>
      <c r="M1048" s="2" t="str">
        <f aca="false">IF(C1048="","",IFERROR(INDEX($S$5:$S$304,MATCH(C1048,$R$5:$R$304,0))&amp;"","?"))</f>
        <v>17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-4</v>
      </c>
      <c r="O1048" s="2" t="str">
        <f aca="false">IF(OR(F1048="",G1048=""),"",IF(G1048&lt;='RETRATO 2027'!$K$5,"CONCLUÍDA",IF(F1048&lt;='RETRATO 2027'!$K$5,"EM ANDAMENTO","A INICIAR")))</f>
        <v>CONCLUÍDA</v>
      </c>
    </row>
    <row r="1049" customFormat="false" ht="15" hidden="false" customHeight="false" outlineLevel="0" collapsed="false">
      <c r="B1049" s="4" t="n">
        <v>19483420</v>
      </c>
      <c r="C1049" s="4" t="s">
        <v>2749</v>
      </c>
      <c r="D1049" s="4" t="s">
        <v>3543</v>
      </c>
      <c r="E1049" s="4" t="s">
        <v>3374</v>
      </c>
      <c r="F1049" s="127" t="n">
        <v>46134</v>
      </c>
      <c r="G1049" s="127" t="n">
        <v>46135</v>
      </c>
      <c r="H1049" s="127" t="n">
        <v>46293</v>
      </c>
      <c r="I1049" s="4" t="n">
        <v>100</v>
      </c>
      <c r="J1049" s="4" t="n">
        <v>100</v>
      </c>
      <c r="K1049" s="4" t="n">
        <v>100</v>
      </c>
      <c r="M1049" s="2" t="str">
        <f aca="false">IF(C1049="","",IFERROR(INDEX($S$5:$S$304,MATCH(C1049,$R$5:$R$304,0))&amp;"","?"))</f>
        <v>17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-4</v>
      </c>
      <c r="O1049" s="2" t="str">
        <f aca="false">IF(OR(F1049="",G1049=""),"",IF(G1049&lt;='RETRATO 2027'!$K$5,"CONCLUÍDA",IF(F1049&lt;='RETRATO 2027'!$K$5,"EM ANDAMENTO","A INICIAR")))</f>
        <v>CONCLUÍDA</v>
      </c>
    </row>
    <row r="1050" customFormat="false" ht="15" hidden="false" customHeight="false" outlineLevel="0" collapsed="false">
      <c r="B1050" s="4" t="n">
        <v>19483421</v>
      </c>
      <c r="C1050" s="4" t="s">
        <v>2749</v>
      </c>
      <c r="D1050" s="4" t="s">
        <v>3498</v>
      </c>
      <c r="E1050" s="4" t="s">
        <v>3374</v>
      </c>
      <c r="F1050" s="127" t="n">
        <v>46136</v>
      </c>
      <c r="G1050" s="127" t="n">
        <v>46142</v>
      </c>
      <c r="H1050" s="127" t="n">
        <v>46293</v>
      </c>
      <c r="I1050" s="4" t="n">
        <v>100</v>
      </c>
      <c r="J1050" s="4" t="n">
        <v>100</v>
      </c>
      <c r="K1050" s="4" t="n">
        <v>100</v>
      </c>
      <c r="M1050" s="2" t="str">
        <f aca="false">IF(C1050="","",IFERROR(INDEX($S$5:$S$304,MATCH(C1050,$R$5:$R$304,0))&amp;"","?"))</f>
        <v>17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-4</v>
      </c>
      <c r="O1050" s="2" t="str">
        <f aca="false">IF(OR(F1050="",G1050=""),"",IF(G1050&lt;='RETRATO 2027'!$K$5,"CONCLUÍDA",IF(F1050&lt;='RETRATO 2027'!$K$5,"EM ANDAMENTO","A INICIAR")))</f>
        <v>CONCLUÍDA</v>
      </c>
    </row>
    <row r="1051" customFormat="false" ht="15" hidden="false" customHeight="false" outlineLevel="0" collapsed="false">
      <c r="B1051" s="4" t="n">
        <v>19483422</v>
      </c>
      <c r="C1051" s="4" t="s">
        <v>2749</v>
      </c>
      <c r="D1051" s="4" t="s">
        <v>3536</v>
      </c>
      <c r="E1051" s="4" t="s">
        <v>3374</v>
      </c>
      <c r="F1051" s="127" t="n">
        <v>46141</v>
      </c>
      <c r="G1051" s="127" t="n">
        <v>46146</v>
      </c>
      <c r="H1051" s="127" t="n">
        <v>46293</v>
      </c>
      <c r="I1051" s="4" t="n">
        <v>100</v>
      </c>
      <c r="J1051" s="4" t="n">
        <v>100</v>
      </c>
      <c r="K1051" s="4" t="n">
        <v>100</v>
      </c>
      <c r="M1051" s="2" t="str">
        <f aca="false">IF(C1051="","",IFERROR(INDEX($S$5:$S$304,MATCH(C1051,$R$5:$R$304,0))&amp;"","?"))</f>
        <v>17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-4</v>
      </c>
      <c r="O1051" s="2" t="str">
        <f aca="false">IF(OR(F1051="",G1051=""),"",IF(G1051&lt;='RETRATO 2027'!$K$5,"CONCLUÍDA",IF(F1051&lt;='RETRATO 2027'!$K$5,"EM ANDAMENTO","A INICIAR")))</f>
        <v>CONCLUÍDA</v>
      </c>
    </row>
    <row r="1052" customFormat="false" ht="15" hidden="false" customHeight="false" outlineLevel="0" collapsed="false">
      <c r="B1052" s="4" t="n">
        <v>19483423</v>
      </c>
      <c r="C1052" s="4" t="s">
        <v>2749</v>
      </c>
      <c r="D1052" s="4" t="s">
        <v>3563</v>
      </c>
      <c r="E1052" s="4" t="s">
        <v>3374</v>
      </c>
      <c r="F1052" s="127" t="n">
        <v>46147</v>
      </c>
      <c r="G1052" s="127" t="n">
        <v>46147</v>
      </c>
      <c r="H1052" s="127" t="n">
        <v>46293</v>
      </c>
      <c r="I1052" s="4" t="n">
        <v>100</v>
      </c>
      <c r="J1052" s="4" t="n">
        <v>100</v>
      </c>
      <c r="K1052" s="4" t="n">
        <v>100</v>
      </c>
      <c r="M1052" s="2" t="str">
        <f aca="false">IF(C1052="","",IFERROR(INDEX($S$5:$S$304,MATCH(C1052,$R$5:$R$304,0))&amp;"","?"))</f>
        <v>17</v>
      </c>
      <c r="N1052" s="2" t="n">
        <f aca="false">IF(E1052="","",IF(ISNUMBER(SEARCH("SUBSOLO",E1052)),IFERROR(-VALUE(LEFT(E1052,FIND("º",SUBSTITUTE(E1052,"°","º"))-1)),-1),IF(LEFT(E1052,6)="TÉRREO",0,IFERROR(VALUE(LEFT(E1052,FIND("º",SUBSTITUTE(E1052,"°","º"))-1)),""))))</f>
        <v>-4</v>
      </c>
      <c r="O1052" s="2" t="str">
        <f aca="false">IF(OR(F1052="",G1052=""),"",IF(G1052&lt;='RETRATO 2027'!$K$5,"CONCLUÍDA",IF(F1052&lt;='RETRATO 2027'!$K$5,"EM ANDAMENTO","A INICIAR")))</f>
        <v>CONCLUÍDA</v>
      </c>
    </row>
    <row r="1053" customFormat="false" ht="15" hidden="false" customHeight="false" outlineLevel="0" collapsed="false">
      <c r="B1053" s="4" t="n">
        <v>39886019</v>
      </c>
      <c r="C1053" s="4" t="s">
        <v>2733</v>
      </c>
      <c r="D1053" s="4" t="s">
        <v>433</v>
      </c>
      <c r="E1053" s="4" t="s">
        <v>3597</v>
      </c>
      <c r="F1053" s="127" t="n">
        <v>46135</v>
      </c>
      <c r="G1053" s="127" t="n">
        <v>46142</v>
      </c>
      <c r="H1053" s="127" t="n">
        <v>46293</v>
      </c>
      <c r="I1053" s="4" t="n">
        <v>100</v>
      </c>
      <c r="J1053" s="4" t="n">
        <v>100</v>
      </c>
      <c r="K1053" s="4" t="n">
        <v>100</v>
      </c>
      <c r="M1053" s="2" t="str">
        <f aca="false">IF(C1053="","",IFERROR(INDEX($S$5:$S$304,MATCH(C1053,$R$5:$R$304,0))&amp;"","?"))</f>
        <v>17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-2</v>
      </c>
      <c r="O1053" s="2" t="str">
        <f aca="false">IF(OR(F1053="",G1053=""),"",IF(G1053&lt;='RETRATO 2027'!$K$5,"CONCLUÍDA",IF(F1053&lt;='RETRATO 2027'!$K$5,"EM ANDAMENTO","A INICIAR")))</f>
        <v>CONCLUÍDA</v>
      </c>
    </row>
    <row r="1054" customFormat="false" ht="15" hidden="false" customHeight="false" outlineLevel="0" collapsed="false">
      <c r="B1054" s="4" t="n">
        <v>19483461</v>
      </c>
      <c r="C1054" s="4" t="s">
        <v>2733</v>
      </c>
      <c r="D1054" s="4" t="s">
        <v>3581</v>
      </c>
      <c r="E1054" s="4" t="s">
        <v>3597</v>
      </c>
      <c r="F1054" s="127" t="n">
        <v>46135</v>
      </c>
      <c r="G1054" s="127" t="n">
        <v>46136</v>
      </c>
      <c r="H1054" s="127" t="n">
        <v>46293</v>
      </c>
      <c r="I1054" s="4" t="n">
        <v>100</v>
      </c>
      <c r="J1054" s="4" t="n">
        <v>100</v>
      </c>
      <c r="K1054" s="4" t="n">
        <v>100</v>
      </c>
      <c r="M1054" s="2" t="str">
        <f aca="false">IF(C1054="","",IFERROR(INDEX($S$5:$S$304,MATCH(C1054,$R$5:$R$304,0))&amp;"","?"))</f>
        <v>17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-2</v>
      </c>
      <c r="O1054" s="2" t="str">
        <f aca="false">IF(OR(F1054="",G1054=""),"",IF(G1054&lt;='RETRATO 2027'!$K$5,"CONCLUÍDA",IF(F1054&lt;='RETRATO 2027'!$K$5,"EM ANDAMENTO","A INICIAR")))</f>
        <v>CONCLUÍDA</v>
      </c>
    </row>
    <row r="1055" customFormat="false" ht="15" hidden="false" customHeight="false" outlineLevel="0" collapsed="false">
      <c r="B1055" s="4" t="n">
        <v>19483462</v>
      </c>
      <c r="C1055" s="4" t="s">
        <v>2733</v>
      </c>
      <c r="D1055" s="4" t="s">
        <v>3560</v>
      </c>
      <c r="E1055" s="4" t="s">
        <v>3597</v>
      </c>
      <c r="F1055" s="127" t="n">
        <v>46139</v>
      </c>
      <c r="G1055" s="127" t="n">
        <v>46140</v>
      </c>
      <c r="H1055" s="127" t="n">
        <v>46293</v>
      </c>
      <c r="I1055" s="4" t="n">
        <v>100</v>
      </c>
      <c r="J1055" s="4" t="n">
        <v>100</v>
      </c>
      <c r="K1055" s="4" t="n">
        <v>100</v>
      </c>
      <c r="M1055" s="2" t="str">
        <f aca="false">IF(C1055="","",IFERROR(INDEX($S$5:$S$304,MATCH(C1055,$R$5:$R$304,0))&amp;"","?"))</f>
        <v>17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-2</v>
      </c>
      <c r="O1055" s="2" t="str">
        <f aca="false">IF(OR(F1055="",G1055=""),"",IF(G1055&lt;='RETRATO 2027'!$K$5,"CONCLUÍDA",IF(F1055&lt;='RETRATO 2027'!$K$5,"EM ANDAMENTO","A INICIAR")))</f>
        <v>CONCLUÍDA</v>
      </c>
    </row>
    <row r="1056" customFormat="false" ht="15" hidden="false" customHeight="false" outlineLevel="0" collapsed="false">
      <c r="B1056" s="4" t="n">
        <v>19483463</v>
      </c>
      <c r="C1056" s="4" t="s">
        <v>2733</v>
      </c>
      <c r="D1056" s="4" t="s">
        <v>3561</v>
      </c>
      <c r="E1056" s="4" t="s">
        <v>3597</v>
      </c>
      <c r="F1056" s="127" t="n">
        <v>46141</v>
      </c>
      <c r="G1056" s="127" t="n">
        <v>46141</v>
      </c>
      <c r="H1056" s="127" t="n">
        <v>46293</v>
      </c>
      <c r="I1056" s="4" t="n">
        <v>100</v>
      </c>
      <c r="J1056" s="4" t="n">
        <v>100</v>
      </c>
      <c r="K1056" s="4" t="n">
        <v>100</v>
      </c>
      <c r="M1056" s="2" t="str">
        <f aca="false">IF(C1056="","",IFERROR(INDEX($S$5:$S$304,MATCH(C1056,$R$5:$R$304,0))&amp;"","?"))</f>
        <v>17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-2</v>
      </c>
      <c r="O1056" s="2" t="str">
        <f aca="false">IF(OR(F1056="",G1056=""),"",IF(G1056&lt;='RETRATO 2027'!$K$5,"CONCLUÍDA",IF(F1056&lt;='RETRATO 2027'!$K$5,"EM ANDAMENTO","A INICIAR")))</f>
        <v>CONCLUÍDA</v>
      </c>
    </row>
    <row r="1057" customFormat="false" ht="15" hidden="false" customHeight="false" outlineLevel="0" collapsed="false">
      <c r="B1057" s="4" t="n">
        <v>19483464</v>
      </c>
      <c r="C1057" s="4" t="s">
        <v>2733</v>
      </c>
      <c r="D1057" s="4" t="s">
        <v>3218</v>
      </c>
      <c r="E1057" s="4" t="s">
        <v>3597</v>
      </c>
      <c r="F1057" s="127" t="n">
        <v>46142</v>
      </c>
      <c r="G1057" s="127" t="n">
        <v>46142</v>
      </c>
      <c r="H1057" s="127" t="n">
        <v>46293</v>
      </c>
      <c r="I1057" s="4" t="n">
        <v>100</v>
      </c>
      <c r="J1057" s="4" t="n">
        <v>100</v>
      </c>
      <c r="K1057" s="4" t="n">
        <v>100</v>
      </c>
      <c r="M1057" s="2" t="str">
        <f aca="false">IF(C1057="","",IFERROR(INDEX($S$5:$S$304,MATCH(C1057,$R$5:$R$304,0))&amp;"","?"))</f>
        <v>17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-2</v>
      </c>
      <c r="O1057" s="2" t="str">
        <f aca="false">IF(OR(F1057="",G1057=""),"",IF(G1057&lt;='RETRATO 2027'!$K$5,"CONCLUÍDA",IF(F1057&lt;='RETRATO 2027'!$K$5,"EM ANDAMENTO","A INICIAR")))</f>
        <v>CONCLUÍDA</v>
      </c>
    </row>
    <row r="1058" customFormat="false" ht="15" hidden="false" customHeight="false" outlineLevel="0" collapsed="false">
      <c r="B1058" s="4" t="n">
        <v>26743743</v>
      </c>
      <c r="C1058" s="4" t="s">
        <v>2751</v>
      </c>
      <c r="D1058" s="4" t="s">
        <v>433</v>
      </c>
      <c r="E1058" s="4" t="s">
        <v>3375</v>
      </c>
      <c r="F1058" s="127" t="n">
        <v>46136</v>
      </c>
      <c r="G1058" s="127" t="n">
        <v>46225</v>
      </c>
      <c r="H1058" s="127" t="n">
        <v>46293</v>
      </c>
      <c r="I1058" s="4" t="n">
        <v>100</v>
      </c>
      <c r="J1058" s="4" t="n">
        <v>100</v>
      </c>
      <c r="K1058" s="4" t="n">
        <v>100</v>
      </c>
      <c r="M1058" s="2" t="str">
        <f aca="false">IF(C1058="","",IFERROR(INDEX($S$5:$S$304,MATCH(C1058,$R$5:$R$304,0))&amp;"","?"))</f>
        <v>35</v>
      </c>
      <c r="N1058" s="2" t="n">
        <f aca="false">IF(E1058="","",IF(ISNUMBER(SEARCH("SUBSOLO",E1058)),IFERROR(-VALUE(LEFT(E1058,FIND("º",SUBSTITUTE(E1058,"°","º"))-1)),-1),IF(LEFT(E1058,6)="TÉRREO",0,IFERROR(VALUE(LEFT(E1058,FIND("º",SUBSTITUTE(E1058,"°","º"))-1)),""))))</f>
        <v>-3</v>
      </c>
      <c r="O1058" s="2" t="str">
        <f aca="false">IF(OR(F1058="",G1058=""),"",IF(G1058&lt;='RETRATO 2027'!$K$5,"CONCLUÍDA",IF(F1058&lt;='RETRATO 2027'!$K$5,"EM ANDAMENTO","A INICIAR")))</f>
        <v>CONCLUÍDA</v>
      </c>
    </row>
    <row r="1059" customFormat="false" ht="15" hidden="false" customHeight="false" outlineLevel="0" collapsed="false">
      <c r="B1059" s="4" t="n">
        <v>26743785</v>
      </c>
      <c r="C1059" s="4" t="s">
        <v>163</v>
      </c>
      <c r="D1059" s="4" t="s">
        <v>433</v>
      </c>
      <c r="E1059" s="4" t="s">
        <v>3473</v>
      </c>
      <c r="F1059" s="127" t="n">
        <v>46139</v>
      </c>
      <c r="G1059" s="127" t="n">
        <v>46247</v>
      </c>
      <c r="H1059" s="127" t="n">
        <v>46293</v>
      </c>
      <c r="I1059" s="4" t="n">
        <v>100</v>
      </c>
      <c r="J1059" s="4" t="n">
        <v>100</v>
      </c>
      <c r="K1059" s="4" t="n">
        <v>100</v>
      </c>
      <c r="M1059" s="2" t="str">
        <f aca="false">IF(C1059="","",IFERROR(INDEX($S$5:$S$304,MATCH(C1059,$R$5:$R$304,0))&amp;"","?"))</f>
        <v>18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-5</v>
      </c>
      <c r="O1059" s="2" t="str">
        <f aca="false">IF(OR(F1059="",G1059=""),"",IF(G1059&lt;='RETRATO 2027'!$K$5,"CONCLUÍDA",IF(F1059&lt;='RETRATO 2027'!$K$5,"EM ANDAMENTO","A INICIAR")))</f>
        <v>CONCLUÍDA</v>
      </c>
    </row>
    <row r="1060" customFormat="false" ht="15" hidden="false" customHeight="false" outlineLevel="0" collapsed="false">
      <c r="B1060" s="4" t="n">
        <v>26218306</v>
      </c>
      <c r="C1060" s="4" t="s">
        <v>2702</v>
      </c>
      <c r="D1060" s="4" t="s">
        <v>433</v>
      </c>
      <c r="E1060" s="4" t="s">
        <v>3482</v>
      </c>
      <c r="F1060" s="127" t="n">
        <v>46139</v>
      </c>
      <c r="G1060" s="127" t="n">
        <v>46160</v>
      </c>
      <c r="H1060" s="127" t="n">
        <v>46293</v>
      </c>
      <c r="I1060" s="4" t="n">
        <v>100</v>
      </c>
      <c r="J1060" s="4" t="n">
        <v>100</v>
      </c>
      <c r="K1060" s="4" t="n">
        <v>100</v>
      </c>
      <c r="M1060" s="2" t="str">
        <f aca="false">IF(C1060="","",IFERROR(INDEX($S$5:$S$304,MATCH(C1060,$R$5:$R$304,0))&amp;"","?"))</f>
        <v>17</v>
      </c>
      <c r="N1060" s="2" t="str">
        <f aca="false"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 t="str">
        <f aca="false">IF(OR(F1060="",G1060=""),"",IF(G1060&lt;='RETRATO 2027'!$K$5,"CONCLUÍDA",IF(F1060&lt;='RETRATO 2027'!$K$5,"EM ANDAMENTO","A INICIAR")))</f>
        <v>CONCLUÍDA</v>
      </c>
    </row>
    <row r="1061" customFormat="false" ht="15" hidden="false" customHeight="false" outlineLevel="0" collapsed="false">
      <c r="B1061" s="4" t="n">
        <v>9364338</v>
      </c>
      <c r="C1061" s="4" t="s">
        <v>2702</v>
      </c>
      <c r="D1061" s="4" t="s">
        <v>3244</v>
      </c>
      <c r="E1061" s="4" t="s">
        <v>3482</v>
      </c>
      <c r="F1061" s="127" t="n">
        <v>46139</v>
      </c>
      <c r="G1061" s="127" t="n">
        <v>46142</v>
      </c>
      <c r="H1061" s="127" t="n">
        <v>46293</v>
      </c>
      <c r="I1061" s="4" t="n">
        <v>100</v>
      </c>
      <c r="J1061" s="4" t="n">
        <v>100</v>
      </c>
      <c r="K1061" s="4" t="n">
        <v>100</v>
      </c>
      <c r="M1061" s="2" t="str">
        <f aca="false">IF(C1061="","",IFERROR(INDEX($S$5:$S$304,MATCH(C1061,$R$5:$R$304,0))&amp;"","?"))</f>
        <v>17</v>
      </c>
      <c r="N1061" s="2" t="str">
        <f aca="false"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 t="str">
        <f aca="false">IF(OR(F1061="",G1061=""),"",IF(G1061&lt;='RETRATO 2027'!$K$5,"CONCLUÍDA",IF(F1061&lt;='RETRATO 2027'!$K$5,"EM ANDAMENTO","A INICIAR")))</f>
        <v>CONCLUÍDA</v>
      </c>
    </row>
    <row r="1062" customFormat="false" ht="15" hidden="false" customHeight="false" outlineLevel="0" collapsed="false">
      <c r="B1062" s="4" t="n">
        <v>9364339</v>
      </c>
      <c r="C1062" s="4" t="s">
        <v>2702</v>
      </c>
      <c r="D1062" s="4" t="s">
        <v>3245</v>
      </c>
      <c r="E1062" s="4" t="s">
        <v>3482</v>
      </c>
      <c r="F1062" s="127" t="n">
        <v>46142</v>
      </c>
      <c r="G1062" s="127" t="n">
        <v>46148</v>
      </c>
      <c r="H1062" s="127" t="n">
        <v>46293</v>
      </c>
      <c r="I1062" s="4" t="n">
        <v>100</v>
      </c>
      <c r="J1062" s="4" t="n">
        <v>100</v>
      </c>
      <c r="K1062" s="4" t="n">
        <v>100</v>
      </c>
      <c r="M1062" s="2" t="str">
        <f aca="false">IF(C1062="","",IFERROR(INDEX($S$5:$S$304,MATCH(C1062,$R$5:$R$304,0))&amp;"","?"))</f>
        <v>17</v>
      </c>
      <c r="N1062" s="2" t="str">
        <f aca="false"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 t="str">
        <f aca="false">IF(OR(F1062="",G1062=""),"",IF(G1062&lt;='RETRATO 2027'!$K$5,"CONCLUÍDA",IF(F1062&lt;='RETRATO 2027'!$K$5,"EM ANDAMENTO","A INICIAR")))</f>
        <v>CONCLUÍDA</v>
      </c>
    </row>
    <row r="1063" customFormat="false" ht="15" hidden="false" customHeight="false" outlineLevel="0" collapsed="false">
      <c r="B1063" s="4" t="n">
        <v>9364340</v>
      </c>
      <c r="C1063" s="4" t="s">
        <v>2702</v>
      </c>
      <c r="D1063" s="4" t="s">
        <v>3246</v>
      </c>
      <c r="E1063" s="4" t="s">
        <v>3482</v>
      </c>
      <c r="F1063" s="127" t="n">
        <v>46146</v>
      </c>
      <c r="G1063" s="127" t="n">
        <v>46149</v>
      </c>
      <c r="H1063" s="127" t="n">
        <v>46293</v>
      </c>
      <c r="I1063" s="4" t="n">
        <v>100</v>
      </c>
      <c r="J1063" s="4" t="n">
        <v>100</v>
      </c>
      <c r="K1063" s="4" t="n">
        <v>100</v>
      </c>
      <c r="M1063" s="2" t="str">
        <f aca="false">IF(C1063="","",IFERROR(INDEX($S$5:$S$304,MATCH(C1063,$R$5:$R$304,0))&amp;"","?"))</f>
        <v>17</v>
      </c>
      <c r="N1063" s="2" t="str">
        <f aca="false"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 t="str">
        <f aca="false">IF(OR(F1063="",G1063=""),"",IF(G1063&lt;='RETRATO 2027'!$K$5,"CONCLUÍDA",IF(F1063&lt;='RETRATO 2027'!$K$5,"EM ANDAMENTO","A INICIAR")))</f>
        <v>CONCLUÍDA</v>
      </c>
    </row>
    <row r="1064" customFormat="false" ht="15" hidden="false" customHeight="false" outlineLevel="0" collapsed="false">
      <c r="B1064" s="4" t="n">
        <v>9364341</v>
      </c>
      <c r="C1064" s="4" t="s">
        <v>2702</v>
      </c>
      <c r="D1064" s="4" t="s">
        <v>3247</v>
      </c>
      <c r="E1064" s="4" t="s">
        <v>3482</v>
      </c>
      <c r="F1064" s="127" t="n">
        <v>46150</v>
      </c>
      <c r="G1064" s="127" t="n">
        <v>46150</v>
      </c>
      <c r="H1064" s="127" t="n">
        <v>46293</v>
      </c>
      <c r="I1064" s="4" t="n">
        <v>100</v>
      </c>
      <c r="J1064" s="4" t="n">
        <v>100</v>
      </c>
      <c r="K1064" s="4" t="n">
        <v>100</v>
      </c>
      <c r="M1064" s="2" t="str">
        <f aca="false">IF(C1064="","",IFERROR(INDEX($S$5:$S$304,MATCH(C1064,$R$5:$R$304,0))&amp;"","?"))</f>
        <v>17</v>
      </c>
      <c r="N1064" s="2" t="str">
        <f aca="false"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 t="str">
        <f aca="false">IF(OR(F1064="",G1064=""),"",IF(G1064&lt;='RETRATO 2027'!$K$5,"CONCLUÍDA",IF(F1064&lt;='RETRATO 2027'!$K$5,"EM ANDAMENTO","A INICIAR")))</f>
        <v>CONCLUÍDA</v>
      </c>
    </row>
    <row r="1065" customFormat="false" ht="15" hidden="false" customHeight="false" outlineLevel="0" collapsed="false">
      <c r="B1065" s="4" t="n">
        <v>9364342</v>
      </c>
      <c r="C1065" s="4" t="s">
        <v>2702</v>
      </c>
      <c r="D1065" s="4" t="s">
        <v>3248</v>
      </c>
      <c r="E1065" s="4" t="s">
        <v>3482</v>
      </c>
      <c r="F1065" s="127" t="n">
        <v>46153</v>
      </c>
      <c r="G1065" s="127" t="n">
        <v>46156</v>
      </c>
      <c r="H1065" s="127" t="n">
        <v>46293</v>
      </c>
      <c r="I1065" s="4" t="n">
        <v>100</v>
      </c>
      <c r="J1065" s="4" t="n">
        <v>100</v>
      </c>
      <c r="K1065" s="4" t="n">
        <v>100</v>
      </c>
      <c r="M1065" s="2" t="str">
        <f aca="false">IF(C1065="","",IFERROR(INDEX($S$5:$S$304,MATCH(C1065,$R$5:$R$304,0))&amp;"","?"))</f>
        <v>17</v>
      </c>
      <c r="N1065" s="2" t="str">
        <f aca="false"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 t="str">
        <f aca="false">IF(OR(F1065="",G1065=""),"",IF(G1065&lt;='RETRATO 2027'!$K$5,"CONCLUÍDA",IF(F1065&lt;='RETRATO 2027'!$K$5,"EM ANDAMENTO","A INICIAR")))</f>
        <v>CONCLUÍDA</v>
      </c>
    </row>
    <row r="1066" customFormat="false" ht="15" hidden="false" customHeight="false" outlineLevel="0" collapsed="false">
      <c r="B1066" s="4" t="n">
        <v>9364343</v>
      </c>
      <c r="C1066" s="4" t="s">
        <v>2702</v>
      </c>
      <c r="D1066" s="4" t="s">
        <v>3249</v>
      </c>
      <c r="E1066" s="4" t="s">
        <v>3482</v>
      </c>
      <c r="F1066" s="127" t="n">
        <v>46154</v>
      </c>
      <c r="G1066" s="127" t="n">
        <v>46157</v>
      </c>
      <c r="H1066" s="127" t="n">
        <v>46293</v>
      </c>
      <c r="I1066" s="4" t="n">
        <v>100</v>
      </c>
      <c r="J1066" s="4" t="n">
        <v>100</v>
      </c>
      <c r="K1066" s="4" t="n">
        <v>100</v>
      </c>
      <c r="M1066" s="2" t="str">
        <f aca="false">IF(C1066="","",IFERROR(INDEX($S$5:$S$304,MATCH(C1066,$R$5:$R$304,0))&amp;"","?"))</f>
        <v>17</v>
      </c>
      <c r="N1066" s="2" t="str">
        <f aca="false"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 t="str">
        <f aca="false">IF(OR(F1066="",G1066=""),"",IF(G1066&lt;='RETRATO 2027'!$K$5,"CONCLUÍDA",IF(F1066&lt;='RETRATO 2027'!$K$5,"EM ANDAMENTO","A INICIAR")))</f>
        <v>CONCLUÍDA</v>
      </c>
    </row>
    <row r="1067" customFormat="false" ht="15" hidden="false" customHeight="false" outlineLevel="0" collapsed="false">
      <c r="B1067" s="4" t="n">
        <v>9364344</v>
      </c>
      <c r="C1067" s="4" t="s">
        <v>2702</v>
      </c>
      <c r="D1067" s="4" t="s">
        <v>3250</v>
      </c>
      <c r="E1067" s="4" t="s">
        <v>3482</v>
      </c>
      <c r="F1067" s="127" t="n">
        <v>46156</v>
      </c>
      <c r="G1067" s="127" t="n">
        <v>46157</v>
      </c>
      <c r="H1067" s="127" t="n">
        <v>46293</v>
      </c>
      <c r="I1067" s="4" t="n">
        <v>100</v>
      </c>
      <c r="J1067" s="4" t="n">
        <v>100</v>
      </c>
      <c r="K1067" s="4" t="n">
        <v>100</v>
      </c>
      <c r="M1067" s="2" t="str">
        <f aca="false">IF(C1067="","",IFERROR(INDEX($S$5:$S$304,MATCH(C1067,$R$5:$R$304,0))&amp;"","?"))</f>
        <v>17</v>
      </c>
      <c r="N1067" s="2" t="str">
        <f aca="false"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 t="str">
        <f aca="false">IF(OR(F1067="",G1067=""),"",IF(G1067&lt;='RETRATO 2027'!$K$5,"CONCLUÍDA",IF(F1067&lt;='RETRATO 2027'!$K$5,"EM ANDAMENTO","A INICIAR")))</f>
        <v>CONCLUÍDA</v>
      </c>
    </row>
    <row r="1068" customFormat="false" ht="15" hidden="false" customHeight="false" outlineLevel="0" collapsed="false">
      <c r="B1068" s="4" t="n">
        <v>9364345</v>
      </c>
      <c r="C1068" s="4" t="s">
        <v>2702</v>
      </c>
      <c r="D1068" s="4" t="s">
        <v>3251</v>
      </c>
      <c r="E1068" s="4" t="s">
        <v>3482</v>
      </c>
      <c r="F1068" s="127" t="n">
        <v>46157</v>
      </c>
      <c r="G1068" s="127" t="n">
        <v>46157</v>
      </c>
      <c r="H1068" s="127" t="n">
        <v>46293</v>
      </c>
      <c r="I1068" s="4" t="n">
        <v>100</v>
      </c>
      <c r="J1068" s="4" t="n">
        <v>100</v>
      </c>
      <c r="K1068" s="4" t="n">
        <v>100</v>
      </c>
      <c r="M1068" s="2" t="str">
        <f aca="false">IF(C1068="","",IFERROR(INDEX($S$5:$S$304,MATCH(C1068,$R$5:$R$304,0))&amp;"","?"))</f>
        <v>17</v>
      </c>
      <c r="N1068" s="2" t="str">
        <f aca="false"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 t="str">
        <f aca="false">IF(OR(F1068="",G1068=""),"",IF(G1068&lt;='RETRATO 2027'!$K$5,"CONCLUÍDA",IF(F1068&lt;='RETRATO 2027'!$K$5,"EM ANDAMENTO","A INICIAR")))</f>
        <v>CONCLUÍDA</v>
      </c>
    </row>
    <row r="1069" customFormat="false" ht="15" hidden="false" customHeight="false" outlineLevel="0" collapsed="false">
      <c r="B1069" s="4" t="n">
        <v>9364346</v>
      </c>
      <c r="C1069" s="4" t="s">
        <v>2702</v>
      </c>
      <c r="D1069" s="4" t="s">
        <v>3252</v>
      </c>
      <c r="E1069" s="4" t="s">
        <v>3482</v>
      </c>
      <c r="F1069" s="127" t="n">
        <v>46160</v>
      </c>
      <c r="G1069" s="127" t="n">
        <v>46160</v>
      </c>
      <c r="H1069" s="127" t="n">
        <v>46293</v>
      </c>
      <c r="I1069" s="4" t="n">
        <v>100</v>
      </c>
      <c r="J1069" s="4" t="n">
        <v>100</v>
      </c>
      <c r="K1069" s="4" t="n">
        <v>100</v>
      </c>
      <c r="M1069" s="2" t="str">
        <f aca="false">IF(C1069="","",IFERROR(INDEX($S$5:$S$304,MATCH(C1069,$R$5:$R$304,0))&amp;"","?"))</f>
        <v>17</v>
      </c>
      <c r="N1069" s="2" t="str">
        <f aca="false"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 t="str">
        <f aca="false">IF(OR(F1069="",G1069=""),"",IF(G1069&lt;='RETRATO 2027'!$K$5,"CONCLUÍDA",IF(F1069&lt;='RETRATO 2027'!$K$5,"EM ANDAMENTO","A INICIAR")))</f>
        <v>CONCLUÍDA</v>
      </c>
    </row>
    <row r="1070" customFormat="false" ht="15" hidden="false" customHeight="false" outlineLevel="0" collapsed="false">
      <c r="B1070" s="4" t="n">
        <v>39122864</v>
      </c>
      <c r="C1070" s="4" t="s">
        <v>2729</v>
      </c>
      <c r="D1070" s="4" t="s">
        <v>433</v>
      </c>
      <c r="E1070" s="4" t="s">
        <v>3482</v>
      </c>
      <c r="F1070" s="127" t="n">
        <v>46139</v>
      </c>
      <c r="G1070" s="127" t="n">
        <v>46160</v>
      </c>
      <c r="H1070" s="127" t="n">
        <v>46293</v>
      </c>
      <c r="I1070" s="4" t="n">
        <v>100</v>
      </c>
      <c r="J1070" s="4" t="n">
        <v>100</v>
      </c>
      <c r="K1070" s="4" t="n">
        <v>100</v>
      </c>
      <c r="M1070" s="2" t="str">
        <f aca="false">IF(C1070="","",IFERROR(INDEX($S$5:$S$304,MATCH(C1070,$R$5:$R$304,0))&amp;"","?"))</f>
        <v>17</v>
      </c>
      <c r="N1070" s="2" t="str">
        <f aca="false"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 t="str">
        <f aca="false">IF(OR(F1070="",G1070=""),"",IF(G1070&lt;='RETRATO 2027'!$K$5,"CONCLUÍDA",IF(F1070&lt;='RETRATO 2027'!$K$5,"EM ANDAMENTO","A INICIAR")))</f>
        <v>CONCLUÍDA</v>
      </c>
    </row>
    <row r="1071" customFormat="false" ht="15" hidden="false" customHeight="false" outlineLevel="0" collapsed="false">
      <c r="B1071" s="4" t="n">
        <v>18979085</v>
      </c>
      <c r="C1071" s="4" t="s">
        <v>2729</v>
      </c>
      <c r="D1071" s="4" t="s">
        <v>3554</v>
      </c>
      <c r="E1071" s="4" t="s">
        <v>3482</v>
      </c>
      <c r="F1071" s="127" t="n">
        <v>46139</v>
      </c>
      <c r="G1071" s="127" t="n">
        <v>46141</v>
      </c>
      <c r="H1071" s="127" t="n">
        <v>46293</v>
      </c>
      <c r="I1071" s="4" t="n">
        <v>100</v>
      </c>
      <c r="J1071" s="4" t="n">
        <v>100</v>
      </c>
      <c r="K1071" s="4" t="n">
        <v>100</v>
      </c>
      <c r="M1071" s="2" t="str">
        <f aca="false">IF(C1071="","",IFERROR(INDEX($S$5:$S$304,MATCH(C1071,$R$5:$R$304,0))&amp;"","?"))</f>
        <v>17</v>
      </c>
      <c r="N1071" s="2" t="str">
        <f aca="false"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 t="str">
        <f aca="false">IF(OR(F1071="",G1071=""),"",IF(G1071&lt;='RETRATO 2027'!$K$5,"CONCLUÍDA",IF(F1071&lt;='RETRATO 2027'!$K$5,"EM ANDAMENTO","A INICIAR")))</f>
        <v>CONCLUÍDA</v>
      </c>
    </row>
    <row r="1072" customFormat="false" ht="15" hidden="false" customHeight="false" outlineLevel="0" collapsed="false">
      <c r="B1072" s="4" t="n">
        <v>18979086</v>
      </c>
      <c r="C1072" s="4" t="s">
        <v>2729</v>
      </c>
      <c r="D1072" s="4" t="s">
        <v>3555</v>
      </c>
      <c r="E1072" s="4" t="s">
        <v>3482</v>
      </c>
      <c r="F1072" s="127" t="n">
        <v>46140</v>
      </c>
      <c r="G1072" s="127" t="n">
        <v>46142</v>
      </c>
      <c r="H1072" s="127" t="n">
        <v>46293</v>
      </c>
      <c r="I1072" s="4" t="n">
        <v>100</v>
      </c>
      <c r="J1072" s="4" t="n">
        <v>100</v>
      </c>
      <c r="K1072" s="4" t="n">
        <v>100</v>
      </c>
      <c r="M1072" s="2" t="str">
        <f aca="false">IF(C1072="","",IFERROR(INDEX($S$5:$S$304,MATCH(C1072,$R$5:$R$304,0))&amp;"","?"))</f>
        <v>17</v>
      </c>
      <c r="N1072" s="2" t="str">
        <f aca="false"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 t="str">
        <f aca="false">IF(OR(F1072="",G1072=""),"",IF(G1072&lt;='RETRATO 2027'!$K$5,"CONCLUÍDA",IF(F1072&lt;='RETRATO 2027'!$K$5,"EM ANDAMENTO","A INICIAR")))</f>
        <v>CONCLUÍDA</v>
      </c>
    </row>
    <row r="1073" customFormat="false" ht="15" hidden="false" customHeight="false" outlineLevel="0" collapsed="false">
      <c r="B1073" s="4" t="n">
        <v>18979087</v>
      </c>
      <c r="C1073" s="4" t="s">
        <v>2729</v>
      </c>
      <c r="D1073" s="4" t="s">
        <v>3535</v>
      </c>
      <c r="E1073" s="4" t="s">
        <v>3482</v>
      </c>
      <c r="F1073" s="127" t="n">
        <v>46141</v>
      </c>
      <c r="G1073" s="127" t="n">
        <v>46147</v>
      </c>
      <c r="H1073" s="127" t="n">
        <v>46293</v>
      </c>
      <c r="I1073" s="4" t="n">
        <v>100</v>
      </c>
      <c r="J1073" s="4" t="n">
        <v>100</v>
      </c>
      <c r="K1073" s="4" t="n">
        <v>100</v>
      </c>
      <c r="M1073" s="2" t="str">
        <f aca="false">IF(C1073="","",IFERROR(INDEX($S$5:$S$304,MATCH(C1073,$R$5:$R$304,0))&amp;"","?"))</f>
        <v>17</v>
      </c>
      <c r="N1073" s="2" t="str">
        <f aca="false"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 t="str">
        <f aca="false">IF(OR(F1073="",G1073=""),"",IF(G1073&lt;='RETRATO 2027'!$K$5,"CONCLUÍDA",IF(F1073&lt;='RETRATO 2027'!$K$5,"EM ANDAMENTO","A INICIAR")))</f>
        <v>CONCLUÍDA</v>
      </c>
    </row>
    <row r="1074" customFormat="false" ht="15" hidden="false" customHeight="false" outlineLevel="0" collapsed="false">
      <c r="B1074" s="4" t="n">
        <v>18979088</v>
      </c>
      <c r="C1074" s="4" t="s">
        <v>2729</v>
      </c>
      <c r="D1074" s="4" t="s">
        <v>3515</v>
      </c>
      <c r="E1074" s="4" t="s">
        <v>3482</v>
      </c>
      <c r="F1074" s="127" t="n">
        <v>46148</v>
      </c>
      <c r="G1074" s="127" t="n">
        <v>46149</v>
      </c>
      <c r="H1074" s="127" t="n">
        <v>46293</v>
      </c>
      <c r="I1074" s="4" t="n">
        <v>100</v>
      </c>
      <c r="J1074" s="4" t="n">
        <v>100</v>
      </c>
      <c r="K1074" s="4" t="n">
        <v>100</v>
      </c>
      <c r="M1074" s="2" t="str">
        <f aca="false">IF(C1074="","",IFERROR(INDEX($S$5:$S$304,MATCH(C1074,$R$5:$R$304,0))&amp;"","?"))</f>
        <v>17</v>
      </c>
      <c r="N1074" s="2" t="str">
        <f aca="false"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 t="str">
        <f aca="false">IF(OR(F1074="",G1074=""),"",IF(G1074&lt;='RETRATO 2027'!$K$5,"CONCLUÍDA",IF(F1074&lt;='RETRATO 2027'!$K$5,"EM ANDAMENTO","A INICIAR")))</f>
        <v>CONCLUÍDA</v>
      </c>
    </row>
    <row r="1075" customFormat="false" ht="15" hidden="false" customHeight="false" outlineLevel="0" collapsed="false">
      <c r="B1075" s="4" t="n">
        <v>18979089</v>
      </c>
      <c r="C1075" s="4" t="s">
        <v>2729</v>
      </c>
      <c r="D1075" s="4" t="s">
        <v>3516</v>
      </c>
      <c r="E1075" s="4" t="s">
        <v>3482</v>
      </c>
      <c r="F1075" s="127" t="n">
        <v>46150</v>
      </c>
      <c r="G1075" s="127" t="n">
        <v>46150</v>
      </c>
      <c r="H1075" s="127" t="n">
        <v>46293</v>
      </c>
      <c r="I1075" s="4" t="n">
        <v>100</v>
      </c>
      <c r="J1075" s="4" t="n">
        <v>100</v>
      </c>
      <c r="K1075" s="4" t="n">
        <v>100</v>
      </c>
      <c r="M1075" s="2" t="str">
        <f aca="false">IF(C1075="","",IFERROR(INDEX($S$5:$S$304,MATCH(C1075,$R$5:$R$304,0))&amp;"","?"))</f>
        <v>17</v>
      </c>
      <c r="N1075" s="2" t="str">
        <f aca="false"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 t="str">
        <f aca="false">IF(OR(F1075="",G1075=""),"",IF(G1075&lt;='RETRATO 2027'!$K$5,"CONCLUÍDA",IF(F1075&lt;='RETRATO 2027'!$K$5,"EM ANDAMENTO","A INICIAR")))</f>
        <v>CONCLUÍDA</v>
      </c>
    </row>
    <row r="1076" customFormat="false" ht="15" hidden="false" customHeight="false" outlineLevel="0" collapsed="false">
      <c r="B1076" s="4" t="n">
        <v>18979090</v>
      </c>
      <c r="C1076" s="4" t="s">
        <v>2729</v>
      </c>
      <c r="D1076" s="4" t="s">
        <v>3536</v>
      </c>
      <c r="E1076" s="4" t="s">
        <v>3482</v>
      </c>
      <c r="F1076" s="127" t="n">
        <v>46153</v>
      </c>
      <c r="G1076" s="127" t="n">
        <v>46157</v>
      </c>
      <c r="H1076" s="127" t="n">
        <v>46293</v>
      </c>
      <c r="I1076" s="4" t="n">
        <v>100</v>
      </c>
      <c r="J1076" s="4" t="n">
        <v>100</v>
      </c>
      <c r="K1076" s="4" t="n">
        <v>100</v>
      </c>
      <c r="M1076" s="2" t="str">
        <f aca="false">IF(C1076="","",IFERROR(INDEX($S$5:$S$304,MATCH(C1076,$R$5:$R$304,0))&amp;"","?"))</f>
        <v>17</v>
      </c>
      <c r="N1076" s="2" t="str">
        <f aca="false"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 t="str">
        <f aca="false">IF(OR(F1076="",G1076=""),"",IF(G1076&lt;='RETRATO 2027'!$K$5,"CONCLUÍDA",IF(F1076&lt;='RETRATO 2027'!$K$5,"EM ANDAMENTO","A INICIAR")))</f>
        <v>CONCLUÍDA</v>
      </c>
    </row>
    <row r="1077" customFormat="false" ht="15" hidden="false" customHeight="false" outlineLevel="0" collapsed="false">
      <c r="B1077" s="4" t="n">
        <v>18979091</v>
      </c>
      <c r="C1077" s="4" t="s">
        <v>2729</v>
      </c>
      <c r="D1077" s="4" t="s">
        <v>3537</v>
      </c>
      <c r="E1077" s="4" t="s">
        <v>3482</v>
      </c>
      <c r="F1077" s="127" t="n">
        <v>46160</v>
      </c>
      <c r="G1077" s="127" t="n">
        <v>46160</v>
      </c>
      <c r="H1077" s="127" t="n">
        <v>46293</v>
      </c>
      <c r="I1077" s="4" t="n">
        <v>100</v>
      </c>
      <c r="J1077" s="4" t="n">
        <v>100</v>
      </c>
      <c r="K1077" s="4" t="n">
        <v>100</v>
      </c>
      <c r="M1077" s="2" t="str">
        <f aca="false">IF(C1077="","",IFERROR(INDEX($S$5:$S$304,MATCH(C1077,$R$5:$R$304,0))&amp;"","?"))</f>
        <v>17</v>
      </c>
      <c r="N1077" s="2" t="str">
        <f aca="false"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 t="str">
        <f aca="false">IF(OR(F1077="",G1077=""),"",IF(G1077&lt;='RETRATO 2027'!$K$5,"CONCLUÍDA",IF(F1077&lt;='RETRATO 2027'!$K$5,"EM ANDAMENTO","A INICIAR")))</f>
        <v>CONCLUÍDA</v>
      </c>
    </row>
    <row r="1078" customFormat="false" ht="15" hidden="false" customHeight="false" outlineLevel="0" collapsed="false">
      <c r="B1078" s="4" t="n">
        <v>26218307</v>
      </c>
      <c r="C1078" s="4" t="s">
        <v>2711</v>
      </c>
      <c r="D1078" s="4" t="s">
        <v>433</v>
      </c>
      <c r="E1078" s="4" t="s">
        <v>3482</v>
      </c>
      <c r="F1078" s="127" t="n">
        <v>46140</v>
      </c>
      <c r="G1078" s="127" t="n">
        <v>46161</v>
      </c>
      <c r="H1078" s="127" t="n">
        <v>46293</v>
      </c>
      <c r="I1078" s="4" t="n">
        <v>100</v>
      </c>
      <c r="J1078" s="4" t="n">
        <v>100</v>
      </c>
      <c r="K1078" s="4" t="n">
        <v>100</v>
      </c>
      <c r="M1078" s="2" t="str">
        <f aca="false">IF(C1078="","",IFERROR(INDEX($S$5:$S$304,MATCH(C1078,$R$5:$R$304,0))&amp;"","?"))</f>
        <v>17</v>
      </c>
      <c r="N1078" s="2" t="str">
        <f aca="false"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 t="str">
        <f aca="false">IF(OR(F1078="",G1078=""),"",IF(G1078&lt;='RETRATO 2027'!$K$5,"CONCLUÍDA",IF(F1078&lt;='RETRATO 2027'!$K$5,"EM ANDAMENTO","A INICIAR")))</f>
        <v>CONCLUÍDA</v>
      </c>
    </row>
    <row r="1079" customFormat="false" ht="15" hidden="false" customHeight="false" outlineLevel="0" collapsed="false">
      <c r="B1079" s="4" t="n">
        <v>9364392</v>
      </c>
      <c r="C1079" s="4" t="s">
        <v>2711</v>
      </c>
      <c r="D1079" s="4" t="s">
        <v>3244</v>
      </c>
      <c r="E1079" s="4" t="s">
        <v>3482</v>
      </c>
      <c r="F1079" s="127" t="n">
        <v>46140</v>
      </c>
      <c r="G1079" s="127" t="n">
        <v>46146</v>
      </c>
      <c r="H1079" s="127" t="n">
        <v>46293</v>
      </c>
      <c r="I1079" s="4" t="n">
        <v>100</v>
      </c>
      <c r="J1079" s="4" t="n">
        <v>100</v>
      </c>
      <c r="K1079" s="4" t="n">
        <v>100</v>
      </c>
      <c r="M1079" s="2" t="str">
        <f aca="false">IF(C1079="","",IFERROR(INDEX($S$5:$S$304,MATCH(C1079,$R$5:$R$304,0))&amp;"","?"))</f>
        <v>17</v>
      </c>
      <c r="N1079" s="2" t="str">
        <f aca="false"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 t="str">
        <f aca="false">IF(OR(F1079="",G1079=""),"",IF(G1079&lt;='RETRATO 2027'!$K$5,"CONCLUÍDA",IF(F1079&lt;='RETRATO 2027'!$K$5,"EM ANDAMENTO","A INICIAR")))</f>
        <v>CONCLUÍDA</v>
      </c>
    </row>
    <row r="1080" customFormat="false" ht="15" hidden="false" customHeight="false" outlineLevel="0" collapsed="false">
      <c r="B1080" s="4" t="n">
        <v>9364393</v>
      </c>
      <c r="C1080" s="4" t="s">
        <v>2711</v>
      </c>
      <c r="D1080" s="4" t="s">
        <v>3245</v>
      </c>
      <c r="E1080" s="4" t="s">
        <v>3482</v>
      </c>
      <c r="F1080" s="127" t="n">
        <v>46146</v>
      </c>
      <c r="G1080" s="127" t="n">
        <v>46149</v>
      </c>
      <c r="H1080" s="127" t="n">
        <v>46293</v>
      </c>
      <c r="I1080" s="4" t="n">
        <v>100</v>
      </c>
      <c r="J1080" s="4" t="n">
        <v>100</v>
      </c>
      <c r="K1080" s="4" t="n">
        <v>100</v>
      </c>
      <c r="M1080" s="2" t="str">
        <f aca="false">IF(C1080="","",IFERROR(INDEX($S$5:$S$304,MATCH(C1080,$R$5:$R$304,0))&amp;"","?"))</f>
        <v>17</v>
      </c>
      <c r="N1080" s="2" t="str">
        <f aca="false"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 t="str">
        <f aca="false">IF(OR(F1080="",G1080=""),"",IF(G1080&lt;='RETRATO 2027'!$K$5,"CONCLUÍDA",IF(F1080&lt;='RETRATO 2027'!$K$5,"EM ANDAMENTO","A INICIAR")))</f>
        <v>CONCLUÍDA</v>
      </c>
    </row>
    <row r="1081" customFormat="false" ht="15" hidden="false" customHeight="false" outlineLevel="0" collapsed="false">
      <c r="B1081" s="4" t="n">
        <v>9364394</v>
      </c>
      <c r="C1081" s="4" t="s">
        <v>2711</v>
      </c>
      <c r="D1081" s="4" t="s">
        <v>3246</v>
      </c>
      <c r="E1081" s="4" t="s">
        <v>3482</v>
      </c>
      <c r="F1081" s="127" t="n">
        <v>46147</v>
      </c>
      <c r="G1081" s="127" t="n">
        <v>46150</v>
      </c>
      <c r="H1081" s="127" t="n">
        <v>46293</v>
      </c>
      <c r="I1081" s="4" t="n">
        <v>100</v>
      </c>
      <c r="J1081" s="4" t="n">
        <v>100</v>
      </c>
      <c r="K1081" s="4" t="n">
        <v>100</v>
      </c>
      <c r="M1081" s="2" t="str">
        <f aca="false">IF(C1081="","",IFERROR(INDEX($S$5:$S$304,MATCH(C1081,$R$5:$R$304,0))&amp;"","?"))</f>
        <v>17</v>
      </c>
      <c r="N1081" s="2" t="str">
        <f aca="false"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 t="str">
        <f aca="false">IF(OR(F1081="",G1081=""),"",IF(G1081&lt;='RETRATO 2027'!$K$5,"CONCLUÍDA",IF(F1081&lt;='RETRATO 2027'!$K$5,"EM ANDAMENTO","A INICIAR")))</f>
        <v>CONCLUÍDA</v>
      </c>
    </row>
    <row r="1082" customFormat="false" ht="15" hidden="false" customHeight="false" outlineLevel="0" collapsed="false">
      <c r="B1082" s="4" t="n">
        <v>9364395</v>
      </c>
      <c r="C1082" s="4" t="s">
        <v>2711</v>
      </c>
      <c r="D1082" s="4" t="s">
        <v>3247</v>
      </c>
      <c r="E1082" s="4" t="s">
        <v>3482</v>
      </c>
      <c r="F1082" s="127" t="n">
        <v>46153</v>
      </c>
      <c r="G1082" s="127" t="n">
        <v>46153</v>
      </c>
      <c r="H1082" s="127" t="n">
        <v>46293</v>
      </c>
      <c r="I1082" s="4" t="n">
        <v>100</v>
      </c>
      <c r="J1082" s="4" t="n">
        <v>100</v>
      </c>
      <c r="K1082" s="4" t="n">
        <v>100</v>
      </c>
      <c r="M1082" s="2" t="str">
        <f aca="false">IF(C1082="","",IFERROR(INDEX($S$5:$S$304,MATCH(C1082,$R$5:$R$304,0))&amp;"","?"))</f>
        <v>17</v>
      </c>
      <c r="N1082" s="2" t="str">
        <f aca="false"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 t="str">
        <f aca="false">IF(OR(F1082="",G1082=""),"",IF(G1082&lt;='RETRATO 2027'!$K$5,"CONCLUÍDA",IF(F1082&lt;='RETRATO 2027'!$K$5,"EM ANDAMENTO","A INICIAR")))</f>
        <v>CONCLUÍDA</v>
      </c>
    </row>
    <row r="1083" customFormat="false" ht="15" hidden="false" customHeight="false" outlineLevel="0" collapsed="false">
      <c r="B1083" s="4" t="n">
        <v>9364396</v>
      </c>
      <c r="C1083" s="4" t="s">
        <v>2711</v>
      </c>
      <c r="D1083" s="4" t="s">
        <v>3248</v>
      </c>
      <c r="E1083" s="4" t="s">
        <v>3482</v>
      </c>
      <c r="F1083" s="127" t="n">
        <v>46154</v>
      </c>
      <c r="G1083" s="127" t="n">
        <v>46157</v>
      </c>
      <c r="H1083" s="127" t="n">
        <v>46293</v>
      </c>
      <c r="I1083" s="4" t="n">
        <v>100</v>
      </c>
      <c r="J1083" s="4" t="n">
        <v>100</v>
      </c>
      <c r="K1083" s="4" t="n">
        <v>100</v>
      </c>
      <c r="M1083" s="2" t="str">
        <f aca="false">IF(C1083="","",IFERROR(INDEX($S$5:$S$304,MATCH(C1083,$R$5:$R$304,0))&amp;"","?"))</f>
        <v>17</v>
      </c>
      <c r="N1083" s="2" t="str">
        <f aca="false"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 t="str">
        <f aca="false">IF(OR(F1083="",G1083=""),"",IF(G1083&lt;='RETRATO 2027'!$K$5,"CONCLUÍDA",IF(F1083&lt;='RETRATO 2027'!$K$5,"EM ANDAMENTO","A INICIAR")))</f>
        <v>CONCLUÍDA</v>
      </c>
    </row>
    <row r="1084" customFormat="false" ht="15" hidden="false" customHeight="false" outlineLevel="0" collapsed="false">
      <c r="B1084" s="4" t="n">
        <v>9364397</v>
      </c>
      <c r="C1084" s="4" t="s">
        <v>2711</v>
      </c>
      <c r="D1084" s="4" t="s">
        <v>3249</v>
      </c>
      <c r="E1084" s="4" t="s">
        <v>3482</v>
      </c>
      <c r="F1084" s="127" t="n">
        <v>46155</v>
      </c>
      <c r="G1084" s="127" t="n">
        <v>46160</v>
      </c>
      <c r="H1084" s="127" t="n">
        <v>46293</v>
      </c>
      <c r="I1084" s="4" t="n">
        <v>100</v>
      </c>
      <c r="J1084" s="4" t="n">
        <v>100</v>
      </c>
      <c r="K1084" s="4" t="n">
        <v>100</v>
      </c>
      <c r="M1084" s="2" t="str">
        <f aca="false">IF(C1084="","",IFERROR(INDEX($S$5:$S$304,MATCH(C1084,$R$5:$R$304,0))&amp;"","?"))</f>
        <v>17</v>
      </c>
      <c r="N1084" s="2" t="str">
        <f aca="false"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 t="str">
        <f aca="false">IF(OR(F1084="",G1084=""),"",IF(G1084&lt;='RETRATO 2027'!$K$5,"CONCLUÍDA",IF(F1084&lt;='RETRATO 2027'!$K$5,"EM ANDAMENTO","A INICIAR")))</f>
        <v>CONCLUÍDA</v>
      </c>
    </row>
    <row r="1085" customFormat="false" ht="15" hidden="false" customHeight="false" outlineLevel="0" collapsed="false">
      <c r="B1085" s="4" t="n">
        <v>9364398</v>
      </c>
      <c r="C1085" s="4" t="s">
        <v>2711</v>
      </c>
      <c r="D1085" s="4" t="s">
        <v>3250</v>
      </c>
      <c r="E1085" s="4" t="s">
        <v>3482</v>
      </c>
      <c r="F1085" s="127" t="n">
        <v>46157</v>
      </c>
      <c r="G1085" s="127" t="n">
        <v>46160</v>
      </c>
      <c r="H1085" s="127" t="n">
        <v>46293</v>
      </c>
      <c r="I1085" s="4" t="n">
        <v>100</v>
      </c>
      <c r="J1085" s="4" t="n">
        <v>100</v>
      </c>
      <c r="K1085" s="4" t="n">
        <v>100</v>
      </c>
      <c r="M1085" s="2" t="str">
        <f aca="false">IF(C1085="","",IFERROR(INDEX($S$5:$S$304,MATCH(C1085,$R$5:$R$304,0))&amp;"","?"))</f>
        <v>17</v>
      </c>
      <c r="N1085" s="2" t="str">
        <f aca="false"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 t="str">
        <f aca="false">IF(OR(F1085="",G1085=""),"",IF(G1085&lt;='RETRATO 2027'!$K$5,"CONCLUÍDA",IF(F1085&lt;='RETRATO 2027'!$K$5,"EM ANDAMENTO","A INICIAR")))</f>
        <v>CONCLUÍDA</v>
      </c>
    </row>
    <row r="1086" customFormat="false" ht="15" hidden="false" customHeight="false" outlineLevel="0" collapsed="false">
      <c r="B1086" s="4" t="n">
        <v>9364399</v>
      </c>
      <c r="C1086" s="4" t="s">
        <v>2711</v>
      </c>
      <c r="D1086" s="4" t="s">
        <v>3251</v>
      </c>
      <c r="E1086" s="4" t="s">
        <v>3482</v>
      </c>
      <c r="F1086" s="127" t="n">
        <v>46160</v>
      </c>
      <c r="G1086" s="127" t="n">
        <v>46160</v>
      </c>
      <c r="H1086" s="127" t="n">
        <v>46293</v>
      </c>
      <c r="I1086" s="4" t="n">
        <v>100</v>
      </c>
      <c r="J1086" s="4" t="n">
        <v>100</v>
      </c>
      <c r="K1086" s="4" t="n">
        <v>100</v>
      </c>
      <c r="M1086" s="2" t="str">
        <f aca="false">IF(C1086="","",IFERROR(INDEX($S$5:$S$304,MATCH(C1086,$R$5:$R$304,0))&amp;"","?"))</f>
        <v>17</v>
      </c>
      <c r="N1086" s="2" t="str">
        <f aca="false"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 t="str">
        <f aca="false">IF(OR(F1086="",G1086=""),"",IF(G1086&lt;='RETRATO 2027'!$K$5,"CONCLUÍDA",IF(F1086&lt;='RETRATO 2027'!$K$5,"EM ANDAMENTO","A INICIAR")))</f>
        <v>CONCLUÍDA</v>
      </c>
    </row>
    <row r="1087" customFormat="false" ht="15" hidden="false" customHeight="false" outlineLevel="0" collapsed="false">
      <c r="B1087" s="4" t="n">
        <v>9364400</v>
      </c>
      <c r="C1087" s="4" t="s">
        <v>2711</v>
      </c>
      <c r="D1087" s="4" t="s">
        <v>3252</v>
      </c>
      <c r="E1087" s="4" t="s">
        <v>3482</v>
      </c>
      <c r="F1087" s="127" t="n">
        <v>46161</v>
      </c>
      <c r="G1087" s="127" t="n">
        <v>46161</v>
      </c>
      <c r="H1087" s="127" t="n">
        <v>46293</v>
      </c>
      <c r="I1087" s="4" t="n">
        <v>100</v>
      </c>
      <c r="J1087" s="4" t="n">
        <v>100</v>
      </c>
      <c r="K1087" s="4" t="n">
        <v>100</v>
      </c>
      <c r="M1087" s="2" t="str">
        <f aca="false">IF(C1087="","",IFERROR(INDEX($S$5:$S$304,MATCH(C1087,$R$5:$R$304,0))&amp;"","?"))</f>
        <v>17</v>
      </c>
      <c r="N1087" s="2" t="str">
        <f aca="false"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 t="str">
        <f aca="false">IF(OR(F1087="",G1087=""),"",IF(G1087&lt;='RETRATO 2027'!$K$5,"CONCLUÍDA",IF(F1087&lt;='RETRATO 2027'!$K$5,"EM ANDAMENTO","A INICIAR")))</f>
        <v>CONCLUÍDA</v>
      </c>
    </row>
    <row r="1088" customFormat="false" ht="15" hidden="false" customHeight="false" outlineLevel="0" collapsed="false">
      <c r="B1088" s="4" t="n">
        <v>39124199</v>
      </c>
      <c r="C1088" s="4" t="s">
        <v>2719</v>
      </c>
      <c r="D1088" s="4" t="s">
        <v>433</v>
      </c>
      <c r="E1088" s="4" t="s">
        <v>3482</v>
      </c>
      <c r="F1088" s="127" t="n">
        <v>46140</v>
      </c>
      <c r="G1088" s="127" t="n">
        <v>46161</v>
      </c>
      <c r="H1088" s="127" t="n">
        <v>46293</v>
      </c>
      <c r="I1088" s="4" t="n">
        <v>100</v>
      </c>
      <c r="J1088" s="4" t="n">
        <v>100</v>
      </c>
      <c r="K1088" s="4" t="n">
        <v>100</v>
      </c>
      <c r="M1088" s="2" t="str">
        <f aca="false">IF(C1088="","",IFERROR(INDEX($S$5:$S$304,MATCH(C1088,$R$5:$R$304,0))&amp;"","?"))</f>
        <v>17</v>
      </c>
      <c r="N1088" s="2" t="str">
        <f aca="false"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 t="str">
        <f aca="false">IF(OR(F1088="",G1088=""),"",IF(G1088&lt;='RETRATO 2027'!$K$5,"CONCLUÍDA",IF(F1088&lt;='RETRATO 2027'!$K$5,"EM ANDAMENTO","A INICIAR")))</f>
        <v>CONCLUÍDA</v>
      </c>
    </row>
    <row r="1089" customFormat="false" ht="15" hidden="false" customHeight="false" outlineLevel="0" collapsed="false">
      <c r="B1089" s="4" t="n">
        <v>18979742</v>
      </c>
      <c r="C1089" s="4" t="s">
        <v>2719</v>
      </c>
      <c r="D1089" s="4" t="s">
        <v>3554</v>
      </c>
      <c r="E1089" s="4" t="s">
        <v>3482</v>
      </c>
      <c r="F1089" s="127" t="n">
        <v>46140</v>
      </c>
      <c r="G1089" s="127" t="n">
        <v>46142</v>
      </c>
      <c r="H1089" s="127" t="n">
        <v>46293</v>
      </c>
      <c r="I1089" s="4" t="n">
        <v>100</v>
      </c>
      <c r="J1089" s="4" t="n">
        <v>100</v>
      </c>
      <c r="K1089" s="4" t="n">
        <v>100</v>
      </c>
      <c r="M1089" s="2" t="str">
        <f aca="false">IF(C1089="","",IFERROR(INDEX($S$5:$S$304,MATCH(C1089,$R$5:$R$304,0))&amp;"","?"))</f>
        <v>17</v>
      </c>
      <c r="N1089" s="2" t="str">
        <f aca="false"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 t="str">
        <f aca="false">IF(OR(F1089="",G1089=""),"",IF(G1089&lt;='RETRATO 2027'!$K$5,"CONCLUÍDA",IF(F1089&lt;='RETRATO 2027'!$K$5,"EM ANDAMENTO","A INICIAR")))</f>
        <v>CONCLUÍDA</v>
      </c>
    </row>
    <row r="1090" customFormat="false" ht="15" hidden="false" customHeight="false" outlineLevel="0" collapsed="false">
      <c r="B1090" s="4" t="n">
        <v>18979743</v>
      </c>
      <c r="C1090" s="4" t="s">
        <v>2719</v>
      </c>
      <c r="D1090" s="4" t="s">
        <v>3555</v>
      </c>
      <c r="E1090" s="4" t="s">
        <v>3482</v>
      </c>
      <c r="F1090" s="127" t="n">
        <v>46141</v>
      </c>
      <c r="G1090" s="127" t="n">
        <v>46147</v>
      </c>
      <c r="H1090" s="127" t="n">
        <v>46293</v>
      </c>
      <c r="I1090" s="4" t="n">
        <v>100</v>
      </c>
      <c r="J1090" s="4" t="n">
        <v>100</v>
      </c>
      <c r="K1090" s="4" t="n">
        <v>100</v>
      </c>
      <c r="M1090" s="2" t="str">
        <f aca="false">IF(C1090="","",IFERROR(INDEX($S$5:$S$304,MATCH(C1090,$R$5:$R$304,0))&amp;"","?"))</f>
        <v>17</v>
      </c>
      <c r="N1090" s="2" t="str">
        <f aca="false"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 t="str">
        <f aca="false">IF(OR(F1090="",G1090=""),"",IF(G1090&lt;='RETRATO 2027'!$K$5,"CONCLUÍDA",IF(F1090&lt;='RETRATO 2027'!$K$5,"EM ANDAMENTO","A INICIAR")))</f>
        <v>CONCLUÍDA</v>
      </c>
    </row>
    <row r="1091" customFormat="false" ht="15" hidden="false" customHeight="false" outlineLevel="0" collapsed="false">
      <c r="B1091" s="4" t="n">
        <v>18979744</v>
      </c>
      <c r="C1091" s="4" t="s">
        <v>2719</v>
      </c>
      <c r="D1091" s="4" t="s">
        <v>3498</v>
      </c>
      <c r="E1091" s="4" t="s">
        <v>3482</v>
      </c>
      <c r="F1091" s="127" t="n">
        <v>46146</v>
      </c>
      <c r="G1091" s="127" t="n">
        <v>46150</v>
      </c>
      <c r="H1091" s="127" t="n">
        <v>46293</v>
      </c>
      <c r="I1091" s="4" t="n">
        <v>100</v>
      </c>
      <c r="J1091" s="4" t="n">
        <v>100</v>
      </c>
      <c r="K1091" s="4" t="n">
        <v>100</v>
      </c>
      <c r="M1091" s="2" t="str">
        <f aca="false">IF(C1091="","",IFERROR(INDEX($S$5:$S$304,MATCH(C1091,$R$5:$R$304,0))&amp;"","?"))</f>
        <v>17</v>
      </c>
      <c r="N1091" s="2" t="str">
        <f aca="false"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 t="str">
        <f aca="false">IF(OR(F1091="",G1091=""),"",IF(G1091&lt;='RETRATO 2027'!$K$5,"CONCLUÍDA",IF(F1091&lt;='RETRATO 2027'!$K$5,"EM ANDAMENTO","A INICIAR")))</f>
        <v>CONCLUÍDA</v>
      </c>
    </row>
    <row r="1092" customFormat="false" ht="15" hidden="false" customHeight="false" outlineLevel="0" collapsed="false">
      <c r="B1092" s="4" t="n">
        <v>18979745</v>
      </c>
      <c r="C1092" s="4" t="s">
        <v>2719</v>
      </c>
      <c r="D1092" s="4" t="s">
        <v>3572</v>
      </c>
      <c r="E1092" s="4" t="s">
        <v>3482</v>
      </c>
      <c r="F1092" s="127" t="n">
        <v>46149</v>
      </c>
      <c r="G1092" s="127" t="n">
        <v>46150</v>
      </c>
      <c r="H1092" s="127" t="n">
        <v>46293</v>
      </c>
      <c r="I1092" s="4" t="n">
        <v>100</v>
      </c>
      <c r="J1092" s="4" t="n">
        <v>100</v>
      </c>
      <c r="K1092" s="4" t="n">
        <v>100</v>
      </c>
      <c r="M1092" s="2" t="str">
        <f aca="false">IF(C1092="","",IFERROR(INDEX($S$5:$S$304,MATCH(C1092,$R$5:$R$304,0))&amp;"","?"))</f>
        <v>17</v>
      </c>
      <c r="N1092" s="2" t="str">
        <f aca="false"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 t="str">
        <f aca="false">IF(OR(F1092="",G1092=""),"",IF(G1092&lt;='RETRATO 2027'!$K$5,"CONCLUÍDA",IF(F1092&lt;='RETRATO 2027'!$K$5,"EM ANDAMENTO","A INICIAR")))</f>
        <v>CONCLUÍDA</v>
      </c>
    </row>
    <row r="1093" customFormat="false" ht="15" hidden="false" customHeight="false" outlineLevel="0" collapsed="false">
      <c r="B1093" s="4" t="n">
        <v>18979746</v>
      </c>
      <c r="C1093" s="4" t="s">
        <v>2719</v>
      </c>
      <c r="D1093" s="4" t="s">
        <v>3573</v>
      </c>
      <c r="E1093" s="4" t="s">
        <v>3482</v>
      </c>
      <c r="F1093" s="127" t="n">
        <v>46153</v>
      </c>
      <c r="G1093" s="127" t="n">
        <v>46153</v>
      </c>
      <c r="H1093" s="127" t="n">
        <v>46293</v>
      </c>
      <c r="I1093" s="4" t="n">
        <v>100</v>
      </c>
      <c r="J1093" s="4" t="n">
        <v>100</v>
      </c>
      <c r="K1093" s="4" t="n">
        <v>100</v>
      </c>
      <c r="M1093" s="2" t="str">
        <f aca="false">IF(C1093="","",IFERROR(INDEX($S$5:$S$304,MATCH(C1093,$R$5:$R$304,0))&amp;"","?"))</f>
        <v>17</v>
      </c>
      <c r="N1093" s="2" t="str">
        <f aca="false"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 t="str">
        <f aca="false">IF(OR(F1093="",G1093=""),"",IF(G1093&lt;='RETRATO 2027'!$K$5,"CONCLUÍDA",IF(F1093&lt;='RETRATO 2027'!$K$5,"EM ANDAMENTO","A INICIAR")))</f>
        <v>CONCLUÍDA</v>
      </c>
    </row>
    <row r="1094" customFormat="false" ht="15" hidden="false" customHeight="false" outlineLevel="0" collapsed="false">
      <c r="B1094" s="4" t="n">
        <v>18979747</v>
      </c>
      <c r="C1094" s="4" t="s">
        <v>2719</v>
      </c>
      <c r="D1094" s="4" t="s">
        <v>3536</v>
      </c>
      <c r="E1094" s="4" t="s">
        <v>3482</v>
      </c>
      <c r="F1094" s="127" t="n">
        <v>46154</v>
      </c>
      <c r="G1094" s="127" t="n">
        <v>46160</v>
      </c>
      <c r="H1094" s="127" t="n">
        <v>46293</v>
      </c>
      <c r="I1094" s="4" t="n">
        <v>100</v>
      </c>
      <c r="J1094" s="4" t="n">
        <v>100</v>
      </c>
      <c r="K1094" s="4" t="n">
        <v>100</v>
      </c>
      <c r="M1094" s="2" t="str">
        <f aca="false">IF(C1094="","",IFERROR(INDEX($S$5:$S$304,MATCH(C1094,$R$5:$R$304,0))&amp;"","?"))</f>
        <v>17</v>
      </c>
      <c r="N1094" s="2" t="str">
        <f aca="false"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 t="str">
        <f aca="false">IF(OR(F1094="",G1094=""),"",IF(G1094&lt;='RETRATO 2027'!$K$5,"CONCLUÍDA",IF(F1094&lt;='RETRATO 2027'!$K$5,"EM ANDAMENTO","A INICIAR")))</f>
        <v>CONCLUÍDA</v>
      </c>
    </row>
    <row r="1095" customFormat="false" ht="15" hidden="false" customHeight="false" outlineLevel="0" collapsed="false">
      <c r="B1095" s="4" t="n">
        <v>18979748</v>
      </c>
      <c r="C1095" s="4" t="s">
        <v>2719</v>
      </c>
      <c r="D1095" s="4" t="s">
        <v>3563</v>
      </c>
      <c r="E1095" s="4" t="s">
        <v>3482</v>
      </c>
      <c r="F1095" s="127" t="n">
        <v>46161</v>
      </c>
      <c r="G1095" s="127" t="n">
        <v>46161</v>
      </c>
      <c r="H1095" s="127" t="n">
        <v>46293</v>
      </c>
      <c r="I1095" s="4" t="n">
        <v>100</v>
      </c>
      <c r="J1095" s="4" t="n">
        <v>100</v>
      </c>
      <c r="K1095" s="4" t="n">
        <v>100</v>
      </c>
      <c r="M1095" s="2" t="str">
        <f aca="false">IF(C1095="","",IFERROR(INDEX($S$5:$S$304,MATCH(C1095,$R$5:$R$304,0))&amp;"","?"))</f>
        <v>17</v>
      </c>
      <c r="N1095" s="2" t="str">
        <f aca="false"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 t="str">
        <f aca="false">IF(OR(F1095="",G1095=""),"",IF(G1095&lt;='RETRATO 2027'!$K$5,"CONCLUÍDA",IF(F1095&lt;='RETRATO 2027'!$K$5,"EM ANDAMENTO","A INICIAR")))</f>
        <v>CONCLUÍDA</v>
      </c>
    </row>
    <row r="1096" customFormat="false" ht="15" hidden="false" customHeight="false" outlineLevel="0" collapsed="false">
      <c r="B1096" s="4" t="n">
        <v>36073125</v>
      </c>
      <c r="C1096" s="4" t="s">
        <v>2723</v>
      </c>
      <c r="D1096" s="4" t="s">
        <v>433</v>
      </c>
      <c r="E1096" s="4" t="s">
        <v>3482</v>
      </c>
      <c r="F1096" s="127" t="n">
        <v>46146</v>
      </c>
      <c r="G1096" s="127" t="n">
        <v>46157</v>
      </c>
      <c r="H1096" s="127" t="n">
        <v>46293</v>
      </c>
      <c r="I1096" s="4" t="n">
        <v>100</v>
      </c>
      <c r="J1096" s="4" t="n">
        <v>100</v>
      </c>
      <c r="K1096" s="4" t="n">
        <v>100</v>
      </c>
      <c r="M1096" s="2" t="str">
        <f aca="false">IF(C1096="","",IFERROR(INDEX($S$5:$S$304,MATCH(C1096,$R$5:$R$304,0))&amp;"","?"))</f>
        <v>17</v>
      </c>
      <c r="N1096" s="2" t="str">
        <f aca="false"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 t="str">
        <f aca="false">IF(OR(F1096="",G1096=""),"",IF(G1096&lt;='RETRATO 2027'!$K$5,"CONCLUÍDA",IF(F1096&lt;='RETRATO 2027'!$K$5,"EM ANDAMENTO","A INICIAR")))</f>
        <v>CONCLUÍDA</v>
      </c>
    </row>
    <row r="1097" customFormat="false" ht="15" hidden="false" customHeight="false" outlineLevel="0" collapsed="false">
      <c r="B1097" s="4" t="n">
        <v>19483442</v>
      </c>
      <c r="C1097" s="4" t="s">
        <v>2723</v>
      </c>
      <c r="D1097" s="4" t="s">
        <v>3575</v>
      </c>
      <c r="E1097" s="4" t="s">
        <v>3482</v>
      </c>
      <c r="F1097" s="127" t="n">
        <v>46146</v>
      </c>
      <c r="G1097" s="127" t="n">
        <v>46146</v>
      </c>
      <c r="H1097" s="127" t="n">
        <v>46293</v>
      </c>
      <c r="I1097" s="4" t="n">
        <v>100</v>
      </c>
      <c r="J1097" s="4" t="n">
        <v>100</v>
      </c>
      <c r="K1097" s="4" t="n">
        <v>100</v>
      </c>
      <c r="M1097" s="2" t="str">
        <f aca="false">IF(C1097="","",IFERROR(INDEX($S$5:$S$304,MATCH(C1097,$R$5:$R$304,0))&amp;"","?"))</f>
        <v>17</v>
      </c>
      <c r="N1097" s="2" t="str">
        <f aca="false"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 t="str">
        <f aca="false">IF(OR(F1097="",G1097=""),"",IF(G1097&lt;='RETRATO 2027'!$K$5,"CONCLUÍDA",IF(F1097&lt;='RETRATO 2027'!$K$5,"EM ANDAMENTO","A INICIAR")))</f>
        <v>CONCLUÍDA</v>
      </c>
    </row>
    <row r="1098" customFormat="false" ht="15" hidden="false" customHeight="false" outlineLevel="0" collapsed="false">
      <c r="B1098" s="4" t="n">
        <v>19483443</v>
      </c>
      <c r="C1098" s="4" t="s">
        <v>2723</v>
      </c>
      <c r="D1098" s="4" t="s">
        <v>3543</v>
      </c>
      <c r="E1098" s="4" t="s">
        <v>3482</v>
      </c>
      <c r="F1098" s="127" t="n">
        <v>46147</v>
      </c>
      <c r="G1098" s="127" t="n">
        <v>46148</v>
      </c>
      <c r="H1098" s="127" t="n">
        <v>46293</v>
      </c>
      <c r="I1098" s="4" t="n">
        <v>100</v>
      </c>
      <c r="J1098" s="4" t="n">
        <v>100</v>
      </c>
      <c r="K1098" s="4" t="n">
        <v>100</v>
      </c>
      <c r="M1098" s="2" t="str">
        <f aca="false">IF(C1098="","",IFERROR(INDEX($S$5:$S$304,MATCH(C1098,$R$5:$R$304,0))&amp;"","?"))</f>
        <v>17</v>
      </c>
      <c r="N1098" s="2" t="str">
        <f aca="false"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 t="str">
        <f aca="false">IF(OR(F1098="",G1098=""),"",IF(G1098&lt;='RETRATO 2027'!$K$5,"CONCLUÍDA",IF(F1098&lt;='RETRATO 2027'!$K$5,"EM ANDAMENTO","A INICIAR")))</f>
        <v>CONCLUÍDA</v>
      </c>
    </row>
    <row r="1099" customFormat="false" ht="15" hidden="false" customHeight="false" outlineLevel="0" collapsed="false">
      <c r="B1099" s="4" t="n">
        <v>19483444</v>
      </c>
      <c r="C1099" s="4" t="s">
        <v>2723</v>
      </c>
      <c r="D1099" s="4" t="s">
        <v>3598</v>
      </c>
      <c r="E1099" s="4" t="s">
        <v>3482</v>
      </c>
      <c r="F1099" s="127" t="n">
        <v>46149</v>
      </c>
      <c r="G1099" s="127" t="n">
        <v>46153</v>
      </c>
      <c r="H1099" s="127" t="n">
        <v>46293</v>
      </c>
      <c r="I1099" s="4" t="n">
        <v>100</v>
      </c>
      <c r="J1099" s="4" t="n">
        <v>100</v>
      </c>
      <c r="K1099" s="4" t="n">
        <v>100</v>
      </c>
      <c r="M1099" s="2" t="str">
        <f aca="false">IF(C1099="","",IFERROR(INDEX($S$5:$S$304,MATCH(C1099,$R$5:$R$304,0))&amp;"","?"))</f>
        <v>17</v>
      </c>
      <c r="N1099" s="2" t="str">
        <f aca="false"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 t="str">
        <f aca="false">IF(OR(F1099="",G1099=""),"",IF(G1099&lt;='RETRATO 2027'!$K$5,"CONCLUÍDA",IF(F1099&lt;='RETRATO 2027'!$K$5,"EM ANDAMENTO","A INICIAR")))</f>
        <v>CONCLUÍDA</v>
      </c>
    </row>
    <row r="1100" customFormat="false" ht="15" hidden="false" customHeight="false" outlineLevel="0" collapsed="false">
      <c r="B1100" s="4" t="n">
        <v>19483445</v>
      </c>
      <c r="C1100" s="4" t="s">
        <v>2723</v>
      </c>
      <c r="D1100" s="4" t="s">
        <v>3536</v>
      </c>
      <c r="E1100" s="4" t="s">
        <v>3482</v>
      </c>
      <c r="F1100" s="127" t="n">
        <v>46154</v>
      </c>
      <c r="G1100" s="127" t="n">
        <v>46156</v>
      </c>
      <c r="H1100" s="127" t="n">
        <v>46293</v>
      </c>
      <c r="I1100" s="4" t="n">
        <v>100</v>
      </c>
      <c r="J1100" s="4" t="n">
        <v>100</v>
      </c>
      <c r="K1100" s="4" t="n">
        <v>100</v>
      </c>
      <c r="M1100" s="2" t="str">
        <f aca="false">IF(C1100="","",IFERROR(INDEX($S$5:$S$304,MATCH(C1100,$R$5:$R$304,0))&amp;"","?"))</f>
        <v>17</v>
      </c>
      <c r="N1100" s="2" t="str">
        <f aca="false"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 t="str">
        <f aca="false">IF(OR(F1100="",G1100=""),"",IF(G1100&lt;='RETRATO 2027'!$K$5,"CONCLUÍDA",IF(F1100&lt;='RETRATO 2027'!$K$5,"EM ANDAMENTO","A INICIAR")))</f>
        <v>CONCLUÍDA</v>
      </c>
    </row>
    <row r="1101" customFormat="false" ht="15" hidden="false" customHeight="false" outlineLevel="0" collapsed="false">
      <c r="B1101" s="4" t="n">
        <v>19483446</v>
      </c>
      <c r="C1101" s="4" t="s">
        <v>2723</v>
      </c>
      <c r="D1101" s="4" t="s">
        <v>3563</v>
      </c>
      <c r="E1101" s="4" t="s">
        <v>3482</v>
      </c>
      <c r="F1101" s="127" t="n">
        <v>46157</v>
      </c>
      <c r="G1101" s="127" t="n">
        <v>46157</v>
      </c>
      <c r="H1101" s="127" t="n">
        <v>46293</v>
      </c>
      <c r="I1101" s="4" t="n">
        <v>100</v>
      </c>
      <c r="J1101" s="4" t="n">
        <v>100</v>
      </c>
      <c r="K1101" s="4" t="n">
        <v>100</v>
      </c>
      <c r="M1101" s="2" t="str">
        <f aca="false">IF(C1101="","",IFERROR(INDEX($S$5:$S$304,MATCH(C1101,$R$5:$R$304,0))&amp;"","?"))</f>
        <v>17</v>
      </c>
      <c r="N1101" s="2" t="str">
        <f aca="false"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 t="str">
        <f aca="false">IF(OR(F1101="",G1101=""),"",IF(G1101&lt;='RETRATO 2027'!$K$5,"CONCLUÍDA",IF(F1101&lt;='RETRATO 2027'!$K$5,"EM ANDAMENTO","A INICIAR")))</f>
        <v>CONCLUÍDA</v>
      </c>
    </row>
    <row r="1102" customFormat="false" ht="15" hidden="false" customHeight="false" outlineLevel="0" collapsed="false">
      <c r="B1102" s="4" t="n">
        <v>24939853</v>
      </c>
      <c r="C1102" s="4" t="s">
        <v>2705</v>
      </c>
      <c r="D1102" s="4" t="s">
        <v>433</v>
      </c>
      <c r="E1102" s="4" t="s">
        <v>3243</v>
      </c>
      <c r="F1102" s="127" t="n">
        <v>46146</v>
      </c>
      <c r="G1102" s="127" t="n">
        <v>46169</v>
      </c>
      <c r="H1102" s="127" t="n">
        <v>46293</v>
      </c>
      <c r="I1102" s="4" t="n">
        <v>100</v>
      </c>
      <c r="J1102" s="4" t="n">
        <v>100</v>
      </c>
      <c r="K1102" s="4" t="n">
        <v>100</v>
      </c>
      <c r="M1102" s="2" t="str">
        <f aca="false">IF(C1102="","",IFERROR(INDEX($S$5:$S$304,MATCH(C1102,$R$5:$R$304,0))&amp;"","?"))</f>
        <v>17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1</v>
      </c>
      <c r="O1102" s="2" t="str">
        <f aca="false">IF(OR(F1102="",G1102=""),"",IF(G1102&lt;='RETRATO 2027'!$K$5,"CONCLUÍDA",IF(F1102&lt;='RETRATO 2027'!$K$5,"EM ANDAMENTO","A INICIAR")))</f>
        <v>CONCLUÍDA</v>
      </c>
    </row>
    <row r="1103" customFormat="false" ht="15" hidden="false" customHeight="false" outlineLevel="0" collapsed="false">
      <c r="B1103" s="4" t="n">
        <v>9360273</v>
      </c>
      <c r="C1103" s="4" t="s">
        <v>2705</v>
      </c>
      <c r="D1103" s="4" t="s">
        <v>3244</v>
      </c>
      <c r="E1103" s="4" t="s">
        <v>3243</v>
      </c>
      <c r="F1103" s="127" t="n">
        <v>46146</v>
      </c>
      <c r="G1103" s="127" t="n">
        <v>46153</v>
      </c>
      <c r="H1103" s="127" t="n">
        <v>46293</v>
      </c>
      <c r="I1103" s="4" t="n">
        <v>100</v>
      </c>
      <c r="J1103" s="4" t="n">
        <v>100</v>
      </c>
      <c r="K1103" s="4" t="n">
        <v>100</v>
      </c>
      <c r="M1103" s="2" t="str">
        <f aca="false">IF(C1103="","",IFERROR(INDEX($S$5:$S$304,MATCH(C1103,$R$5:$R$304,0))&amp;"","?"))</f>
        <v>17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1</v>
      </c>
      <c r="O1103" s="2" t="str">
        <f aca="false">IF(OR(F1103="",G1103=""),"",IF(G1103&lt;='RETRATO 2027'!$K$5,"CONCLUÍDA",IF(F1103&lt;='RETRATO 2027'!$K$5,"EM ANDAMENTO","A INICIAR")))</f>
        <v>CONCLUÍDA</v>
      </c>
    </row>
    <row r="1104" customFormat="false" ht="15" hidden="false" customHeight="false" outlineLevel="0" collapsed="false">
      <c r="B1104" s="4" t="n">
        <v>9360274</v>
      </c>
      <c r="C1104" s="4" t="s">
        <v>2705</v>
      </c>
      <c r="D1104" s="4" t="s">
        <v>3245</v>
      </c>
      <c r="E1104" s="4" t="s">
        <v>3243</v>
      </c>
      <c r="F1104" s="127" t="n">
        <v>46153</v>
      </c>
      <c r="G1104" s="127" t="n">
        <v>46157</v>
      </c>
      <c r="H1104" s="127" t="n">
        <v>46293</v>
      </c>
      <c r="I1104" s="4" t="n">
        <v>100</v>
      </c>
      <c r="J1104" s="4" t="n">
        <v>100</v>
      </c>
      <c r="K1104" s="4" t="n">
        <v>100</v>
      </c>
      <c r="M1104" s="2" t="str">
        <f aca="false">IF(C1104="","",IFERROR(INDEX($S$5:$S$304,MATCH(C1104,$R$5:$R$304,0))&amp;"","?"))</f>
        <v>17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1</v>
      </c>
      <c r="O1104" s="2" t="str">
        <f aca="false">IF(OR(F1104="",G1104=""),"",IF(G1104&lt;='RETRATO 2027'!$K$5,"CONCLUÍDA",IF(F1104&lt;='RETRATO 2027'!$K$5,"EM ANDAMENTO","A INICIAR")))</f>
        <v>CONCLUÍDA</v>
      </c>
    </row>
    <row r="1105" customFormat="false" ht="15" hidden="false" customHeight="false" outlineLevel="0" collapsed="false">
      <c r="B1105" s="4" t="n">
        <v>9360275</v>
      </c>
      <c r="C1105" s="4" t="s">
        <v>2705</v>
      </c>
      <c r="D1105" s="4" t="s">
        <v>3246</v>
      </c>
      <c r="E1105" s="4" t="s">
        <v>3243</v>
      </c>
      <c r="F1105" s="127" t="n">
        <v>46154</v>
      </c>
      <c r="G1105" s="127" t="n">
        <v>46156</v>
      </c>
      <c r="H1105" s="127" t="n">
        <v>46293</v>
      </c>
      <c r="I1105" s="4" t="n">
        <v>100</v>
      </c>
      <c r="J1105" s="4" t="n">
        <v>100</v>
      </c>
      <c r="K1105" s="4" t="n">
        <v>100</v>
      </c>
      <c r="M1105" s="2" t="str">
        <f aca="false">IF(C1105="","",IFERROR(INDEX($S$5:$S$304,MATCH(C1105,$R$5:$R$304,0))&amp;"","?"))</f>
        <v>17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1</v>
      </c>
      <c r="O1105" s="2" t="str">
        <f aca="false">IF(OR(F1105="",G1105=""),"",IF(G1105&lt;='RETRATO 2027'!$K$5,"CONCLUÍDA",IF(F1105&lt;='RETRATO 2027'!$K$5,"EM ANDAMENTO","A INICIAR")))</f>
        <v>CONCLUÍDA</v>
      </c>
    </row>
    <row r="1106" customFormat="false" ht="15" hidden="false" customHeight="false" outlineLevel="0" collapsed="false">
      <c r="B1106" s="4" t="n">
        <v>9360276</v>
      </c>
      <c r="C1106" s="4" t="s">
        <v>2705</v>
      </c>
      <c r="D1106" s="4" t="s">
        <v>3247</v>
      </c>
      <c r="E1106" s="4" t="s">
        <v>3243</v>
      </c>
      <c r="F1106" s="127" t="n">
        <v>46157</v>
      </c>
      <c r="G1106" s="127" t="n">
        <v>46157</v>
      </c>
      <c r="H1106" s="127" t="n">
        <v>46293</v>
      </c>
      <c r="I1106" s="4" t="n">
        <v>100</v>
      </c>
      <c r="J1106" s="4" t="n">
        <v>100</v>
      </c>
      <c r="K1106" s="4" t="n">
        <v>100</v>
      </c>
      <c r="M1106" s="2" t="str">
        <f aca="false">IF(C1106="","",IFERROR(INDEX($S$5:$S$304,MATCH(C1106,$R$5:$R$304,0))&amp;"","?"))</f>
        <v>17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1</v>
      </c>
      <c r="O1106" s="2" t="str">
        <f aca="false">IF(OR(F1106="",G1106=""),"",IF(G1106&lt;='RETRATO 2027'!$K$5,"CONCLUÍDA",IF(F1106&lt;='RETRATO 2027'!$K$5,"EM ANDAMENTO","A INICIAR")))</f>
        <v>CONCLUÍDA</v>
      </c>
    </row>
    <row r="1107" customFormat="false" ht="15" hidden="false" customHeight="false" outlineLevel="0" collapsed="false">
      <c r="B1107" s="4" t="n">
        <v>9360277</v>
      </c>
      <c r="C1107" s="4" t="s">
        <v>2705</v>
      </c>
      <c r="D1107" s="4" t="s">
        <v>3248</v>
      </c>
      <c r="E1107" s="4" t="s">
        <v>3243</v>
      </c>
      <c r="F1107" s="127" t="n">
        <v>46160</v>
      </c>
      <c r="G1107" s="127" t="n">
        <v>46169</v>
      </c>
      <c r="H1107" s="127" t="n">
        <v>46293</v>
      </c>
      <c r="I1107" s="4" t="n">
        <v>100</v>
      </c>
      <c r="J1107" s="4" t="n">
        <v>100</v>
      </c>
      <c r="K1107" s="4" t="n">
        <v>100</v>
      </c>
      <c r="M1107" s="2" t="str">
        <f aca="false">IF(C1107="","",IFERROR(INDEX($S$5:$S$304,MATCH(C1107,$R$5:$R$304,0))&amp;"","?"))</f>
        <v>17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1</v>
      </c>
      <c r="O1107" s="2" t="str">
        <f aca="false">IF(OR(F1107="",G1107=""),"",IF(G1107&lt;='RETRATO 2027'!$K$5,"CONCLUÍDA",IF(F1107&lt;='RETRATO 2027'!$K$5,"EM ANDAMENTO","A INICIAR")))</f>
        <v>CONCLUÍDA</v>
      </c>
    </row>
    <row r="1108" customFormat="false" ht="15" hidden="false" customHeight="false" outlineLevel="0" collapsed="false">
      <c r="B1108" s="4" t="n">
        <v>9360278</v>
      </c>
      <c r="C1108" s="4" t="s">
        <v>2705</v>
      </c>
      <c r="D1108" s="4" t="s">
        <v>3249</v>
      </c>
      <c r="E1108" s="4" t="s">
        <v>3243</v>
      </c>
      <c r="F1108" s="127" t="n">
        <v>46161</v>
      </c>
      <c r="G1108" s="127" t="n">
        <v>46168</v>
      </c>
      <c r="H1108" s="127" t="n">
        <v>46293</v>
      </c>
      <c r="I1108" s="4" t="n">
        <v>100</v>
      </c>
      <c r="J1108" s="4" t="n">
        <v>100</v>
      </c>
      <c r="K1108" s="4" t="n">
        <v>100</v>
      </c>
      <c r="M1108" s="2" t="str">
        <f aca="false">IF(C1108="","",IFERROR(INDEX($S$5:$S$304,MATCH(C1108,$R$5:$R$304,0))&amp;"","?"))</f>
        <v>17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1</v>
      </c>
      <c r="O1108" s="2" t="str">
        <f aca="false">IF(OR(F1108="",G1108=""),"",IF(G1108&lt;='RETRATO 2027'!$K$5,"CONCLUÍDA",IF(F1108&lt;='RETRATO 2027'!$K$5,"EM ANDAMENTO","A INICIAR")))</f>
        <v>CONCLUÍDA</v>
      </c>
    </row>
    <row r="1109" customFormat="false" ht="15" hidden="false" customHeight="false" outlineLevel="0" collapsed="false">
      <c r="B1109" s="4" t="n">
        <v>9360279</v>
      </c>
      <c r="C1109" s="4" t="s">
        <v>2705</v>
      </c>
      <c r="D1109" s="4" t="s">
        <v>3250</v>
      </c>
      <c r="E1109" s="4" t="s">
        <v>3243</v>
      </c>
      <c r="F1109" s="127" t="n">
        <v>46167</v>
      </c>
      <c r="G1109" s="127" t="n">
        <v>46167</v>
      </c>
      <c r="H1109" s="127" t="n">
        <v>46293</v>
      </c>
      <c r="I1109" s="4" t="n">
        <v>100</v>
      </c>
      <c r="J1109" s="4" t="n">
        <v>100</v>
      </c>
      <c r="K1109" s="4" t="n">
        <v>100</v>
      </c>
      <c r="M1109" s="2" t="str">
        <f aca="false">IF(C1109="","",IFERROR(INDEX($S$5:$S$304,MATCH(C1109,$R$5:$R$304,0))&amp;"","?"))</f>
        <v>17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1</v>
      </c>
      <c r="O1109" s="2" t="str">
        <f aca="false">IF(OR(F1109="",G1109=""),"",IF(G1109&lt;='RETRATO 2027'!$K$5,"CONCLUÍDA",IF(F1109&lt;='RETRATO 2027'!$K$5,"EM ANDAMENTO","A INICIAR")))</f>
        <v>CONCLUÍDA</v>
      </c>
    </row>
    <row r="1110" customFormat="false" ht="15" hidden="false" customHeight="false" outlineLevel="0" collapsed="false">
      <c r="B1110" s="4" t="n">
        <v>9360280</v>
      </c>
      <c r="C1110" s="4" t="s">
        <v>2705</v>
      </c>
      <c r="D1110" s="4" t="s">
        <v>3251</v>
      </c>
      <c r="E1110" s="4" t="s">
        <v>3243</v>
      </c>
      <c r="F1110" s="127" t="n">
        <v>46167</v>
      </c>
      <c r="G1110" s="127" t="n">
        <v>46167</v>
      </c>
      <c r="H1110" s="127" t="n">
        <v>46293</v>
      </c>
      <c r="I1110" s="4" t="n">
        <v>100</v>
      </c>
      <c r="J1110" s="4" t="n">
        <v>100</v>
      </c>
      <c r="K1110" s="4" t="n">
        <v>100</v>
      </c>
      <c r="M1110" s="2" t="str">
        <f aca="false">IF(C1110="","",IFERROR(INDEX($S$5:$S$304,MATCH(C1110,$R$5:$R$304,0))&amp;"","?"))</f>
        <v>17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1</v>
      </c>
      <c r="O1110" s="2" t="str">
        <f aca="false">IF(OR(F1110="",G1110=""),"",IF(G1110&lt;='RETRATO 2027'!$K$5,"CONCLUÍDA",IF(F1110&lt;='RETRATO 2027'!$K$5,"EM ANDAMENTO","A INICIAR")))</f>
        <v>CONCLUÍDA</v>
      </c>
    </row>
    <row r="1111" customFormat="false" ht="15" hidden="false" customHeight="false" outlineLevel="0" collapsed="false">
      <c r="B1111" s="4" t="n">
        <v>9360281</v>
      </c>
      <c r="C1111" s="4" t="s">
        <v>2705</v>
      </c>
      <c r="D1111" s="4" t="s">
        <v>3252</v>
      </c>
      <c r="E1111" s="4" t="s">
        <v>3243</v>
      </c>
      <c r="F1111" s="127" t="n">
        <v>46168</v>
      </c>
      <c r="G1111" s="127" t="n">
        <v>46168</v>
      </c>
      <c r="H1111" s="127" t="n">
        <v>46293</v>
      </c>
      <c r="I1111" s="4" t="n">
        <v>100</v>
      </c>
      <c r="J1111" s="4" t="n">
        <v>100</v>
      </c>
      <c r="K1111" s="4" t="n">
        <v>100</v>
      </c>
      <c r="M1111" s="2" t="str">
        <f aca="false">IF(C1111="","",IFERROR(INDEX($S$5:$S$304,MATCH(C1111,$R$5:$R$304,0))&amp;"","?"))</f>
        <v>17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1</v>
      </c>
      <c r="O1111" s="2" t="str">
        <f aca="false">IF(OR(F1111="",G1111=""),"",IF(G1111&lt;='RETRATO 2027'!$K$5,"CONCLUÍDA",IF(F1111&lt;='RETRATO 2027'!$K$5,"EM ANDAMENTO","A INICIAR")))</f>
        <v>CONCLUÍDA</v>
      </c>
    </row>
    <row r="1112" customFormat="false" ht="15" hidden="false" customHeight="false" outlineLevel="0" collapsed="false">
      <c r="B1112" s="4" t="n">
        <v>39808843</v>
      </c>
      <c r="C1112" s="4" t="s">
        <v>2754</v>
      </c>
      <c r="D1112" s="4" t="s">
        <v>433</v>
      </c>
      <c r="E1112" s="4" t="s">
        <v>3243</v>
      </c>
      <c r="F1112" s="127" t="n">
        <v>46146</v>
      </c>
      <c r="G1112" s="127" t="n">
        <v>46169</v>
      </c>
      <c r="H1112" s="127" t="n">
        <v>46293</v>
      </c>
      <c r="I1112" s="4" t="n">
        <v>100</v>
      </c>
      <c r="J1112" s="4" t="n">
        <v>100</v>
      </c>
      <c r="K1112" s="4" t="n">
        <v>100</v>
      </c>
      <c r="M1112" s="2" t="str">
        <f aca="false">IF(C1112="","",IFERROR(INDEX($S$5:$S$304,MATCH(C1112,$R$5:$R$304,0))&amp;"","?"))</f>
        <v>17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1</v>
      </c>
      <c r="O1112" s="2" t="str">
        <f aca="false">IF(OR(F1112="",G1112=""),"",IF(G1112&lt;='RETRATO 2027'!$K$5,"CONCLUÍDA",IF(F1112&lt;='RETRATO 2027'!$K$5,"EM ANDAMENTO","A INICIAR")))</f>
        <v>CONCLUÍDA</v>
      </c>
    </row>
    <row r="1113" customFormat="false" ht="15" hidden="false" customHeight="false" outlineLevel="0" collapsed="false">
      <c r="B1113" s="4" t="n">
        <v>19473590</v>
      </c>
      <c r="C1113" s="4" t="s">
        <v>2754</v>
      </c>
      <c r="D1113" s="4" t="s">
        <v>3554</v>
      </c>
      <c r="E1113" s="4" t="s">
        <v>3243</v>
      </c>
      <c r="F1113" s="127" t="n">
        <v>46146</v>
      </c>
      <c r="G1113" s="127" t="n">
        <v>46148</v>
      </c>
      <c r="H1113" s="127" t="n">
        <v>46293</v>
      </c>
      <c r="I1113" s="4" t="n">
        <v>100</v>
      </c>
      <c r="J1113" s="4" t="n">
        <v>100</v>
      </c>
      <c r="K1113" s="4" t="n">
        <v>100</v>
      </c>
      <c r="M1113" s="2" t="str">
        <f aca="false">IF(C1113="","",IFERROR(INDEX($S$5:$S$304,MATCH(C1113,$R$5:$R$304,0))&amp;"","?"))</f>
        <v>17</v>
      </c>
      <c r="N1113" s="2" t="n">
        <f aca="false">IF(E1113="","",IF(ISNUMBER(SEARCH("SUBSOLO",E1113)),IFERROR(-VALUE(LEFT(E1113,FIND("º",SUBSTITUTE(E1113,"°","º"))-1)),-1),IF(LEFT(E1113,6)="TÉRREO",0,IFERROR(VALUE(LEFT(E1113,FIND("º",SUBSTITUTE(E1113,"°","º"))-1)),""))))</f>
        <v>1</v>
      </c>
      <c r="O1113" s="2" t="str">
        <f aca="false">IF(OR(F1113="",G1113=""),"",IF(G1113&lt;='RETRATO 2027'!$K$5,"CONCLUÍDA",IF(F1113&lt;='RETRATO 2027'!$K$5,"EM ANDAMENTO","A INICIAR")))</f>
        <v>CONCLUÍDA</v>
      </c>
    </row>
    <row r="1114" customFormat="false" ht="15" hidden="false" customHeight="false" outlineLevel="0" collapsed="false">
      <c r="B1114" s="4" t="n">
        <v>19473591</v>
      </c>
      <c r="C1114" s="4" t="s">
        <v>2754</v>
      </c>
      <c r="D1114" s="4" t="s">
        <v>3555</v>
      </c>
      <c r="E1114" s="4" t="s">
        <v>3243</v>
      </c>
      <c r="F1114" s="127" t="n">
        <v>46149</v>
      </c>
      <c r="G1114" s="127" t="n">
        <v>46153</v>
      </c>
      <c r="H1114" s="127" t="n">
        <v>46293</v>
      </c>
      <c r="I1114" s="4" t="n">
        <v>100</v>
      </c>
      <c r="J1114" s="4" t="n">
        <v>100</v>
      </c>
      <c r="K1114" s="4" t="n">
        <v>100</v>
      </c>
      <c r="M1114" s="2" t="str">
        <f aca="false">IF(C1114="","",IFERROR(INDEX($S$5:$S$304,MATCH(C1114,$R$5:$R$304,0))&amp;"","?"))</f>
        <v>17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1</v>
      </c>
      <c r="O1114" s="2" t="str">
        <f aca="false">IF(OR(F1114="",G1114=""),"",IF(G1114&lt;='RETRATO 2027'!$K$5,"CONCLUÍDA",IF(F1114&lt;='RETRATO 2027'!$K$5,"EM ANDAMENTO","A INICIAR")))</f>
        <v>CONCLUÍDA</v>
      </c>
    </row>
    <row r="1115" customFormat="false" ht="15" hidden="false" customHeight="false" outlineLevel="0" collapsed="false">
      <c r="B1115" s="4" t="n">
        <v>19473592</v>
      </c>
      <c r="C1115" s="4" t="s">
        <v>2754</v>
      </c>
      <c r="D1115" s="4" t="s">
        <v>3498</v>
      </c>
      <c r="E1115" s="4" t="s">
        <v>3243</v>
      </c>
      <c r="F1115" s="127" t="n">
        <v>46150</v>
      </c>
      <c r="G1115" s="127" t="n">
        <v>46157</v>
      </c>
      <c r="H1115" s="127" t="n">
        <v>46293</v>
      </c>
      <c r="I1115" s="4" t="n">
        <v>100</v>
      </c>
      <c r="J1115" s="4" t="n">
        <v>100</v>
      </c>
      <c r="K1115" s="4" t="n">
        <v>100</v>
      </c>
      <c r="M1115" s="2" t="str">
        <f aca="false">IF(C1115="","",IFERROR(INDEX($S$5:$S$304,MATCH(C1115,$R$5:$R$304,0))&amp;"","?"))</f>
        <v>17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1</v>
      </c>
      <c r="O1115" s="2" t="str">
        <f aca="false">IF(OR(F1115="",G1115=""),"",IF(G1115&lt;='RETRATO 2027'!$K$5,"CONCLUÍDA",IF(F1115&lt;='RETRATO 2027'!$K$5,"EM ANDAMENTO","A INICIAR")))</f>
        <v>CONCLUÍDA</v>
      </c>
    </row>
    <row r="1116" customFormat="false" ht="15" hidden="false" customHeight="false" outlineLevel="0" collapsed="false">
      <c r="B1116" s="4" t="n">
        <v>19473593</v>
      </c>
      <c r="C1116" s="4" t="s">
        <v>2754</v>
      </c>
      <c r="D1116" s="4" t="s">
        <v>3599</v>
      </c>
      <c r="E1116" s="4" t="s">
        <v>3243</v>
      </c>
      <c r="F1116" s="127" t="n">
        <v>46160</v>
      </c>
      <c r="G1116" s="127" t="n">
        <v>46161</v>
      </c>
      <c r="H1116" s="127" t="n">
        <v>46293</v>
      </c>
      <c r="I1116" s="4" t="n">
        <v>100</v>
      </c>
      <c r="J1116" s="4" t="n">
        <v>100</v>
      </c>
      <c r="K1116" s="4" t="n">
        <v>100</v>
      </c>
      <c r="M1116" s="2" t="str">
        <f aca="false">IF(C1116="","",IFERROR(INDEX($S$5:$S$304,MATCH(C1116,$R$5:$R$304,0))&amp;"","?"))</f>
        <v>17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1</v>
      </c>
      <c r="O1116" s="2" t="str">
        <f aca="false">IF(OR(F1116="",G1116=""),"",IF(G1116&lt;='RETRATO 2027'!$K$5,"CONCLUÍDA",IF(F1116&lt;='RETRATO 2027'!$K$5,"EM ANDAMENTO","A INICIAR")))</f>
        <v>CONCLUÍDA</v>
      </c>
    </row>
    <row r="1117" customFormat="false" ht="15" hidden="false" customHeight="false" outlineLevel="0" collapsed="false">
      <c r="B1117" s="4" t="n">
        <v>19473594</v>
      </c>
      <c r="C1117" s="4" t="s">
        <v>2754</v>
      </c>
      <c r="D1117" s="4" t="s">
        <v>3549</v>
      </c>
      <c r="E1117" s="4" t="s">
        <v>3243</v>
      </c>
      <c r="F1117" s="127" t="n">
        <v>46162</v>
      </c>
      <c r="G1117" s="127" t="n">
        <v>46162</v>
      </c>
      <c r="H1117" s="127" t="n">
        <v>46293</v>
      </c>
      <c r="I1117" s="4" t="n">
        <v>100</v>
      </c>
      <c r="J1117" s="4" t="n">
        <v>100</v>
      </c>
      <c r="K1117" s="4" t="n">
        <v>100</v>
      </c>
      <c r="M1117" s="2" t="str">
        <f aca="false">IF(C1117="","",IFERROR(INDEX($S$5:$S$304,MATCH(C1117,$R$5:$R$304,0))&amp;"","?"))</f>
        <v>17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1</v>
      </c>
      <c r="O1117" s="2" t="str">
        <f aca="false">IF(OR(F1117="",G1117=""),"",IF(G1117&lt;='RETRATO 2027'!$K$5,"CONCLUÍDA",IF(F1117&lt;='RETRATO 2027'!$K$5,"EM ANDAMENTO","A INICIAR")))</f>
        <v>CONCLUÍDA</v>
      </c>
    </row>
    <row r="1118" customFormat="false" ht="15" hidden="false" customHeight="false" outlineLevel="0" collapsed="false">
      <c r="B1118" s="4" t="n">
        <v>19473595</v>
      </c>
      <c r="C1118" s="4" t="s">
        <v>2754</v>
      </c>
      <c r="D1118" s="4" t="s">
        <v>3217</v>
      </c>
      <c r="E1118" s="4" t="s">
        <v>3243</v>
      </c>
      <c r="F1118" s="127" t="n">
        <v>46161</v>
      </c>
      <c r="G1118" s="127" t="n">
        <v>46168</v>
      </c>
      <c r="H1118" s="127" t="n">
        <v>46293</v>
      </c>
      <c r="I1118" s="4" t="n">
        <v>100</v>
      </c>
      <c r="J1118" s="4" t="n">
        <v>100</v>
      </c>
      <c r="K1118" s="4" t="n">
        <v>100</v>
      </c>
      <c r="M1118" s="2" t="str">
        <f aca="false">IF(C1118="","",IFERROR(INDEX($S$5:$S$304,MATCH(C1118,$R$5:$R$304,0))&amp;"","?"))</f>
        <v>17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1</v>
      </c>
      <c r="O1118" s="2" t="str">
        <f aca="false">IF(OR(F1118="",G1118=""),"",IF(G1118&lt;='RETRATO 2027'!$K$5,"CONCLUÍDA",IF(F1118&lt;='RETRATO 2027'!$K$5,"EM ANDAMENTO","A INICIAR")))</f>
        <v>CONCLUÍDA</v>
      </c>
    </row>
    <row r="1119" customFormat="false" ht="15" hidden="false" customHeight="false" outlineLevel="0" collapsed="false">
      <c r="B1119" s="4" t="n">
        <v>19473596</v>
      </c>
      <c r="C1119" s="4" t="s">
        <v>2754</v>
      </c>
      <c r="D1119" s="4" t="s">
        <v>3563</v>
      </c>
      <c r="E1119" s="4" t="s">
        <v>3243</v>
      </c>
      <c r="F1119" s="127" t="n">
        <v>46169</v>
      </c>
      <c r="G1119" s="127" t="n">
        <v>46169</v>
      </c>
      <c r="H1119" s="127" t="n">
        <v>46293</v>
      </c>
      <c r="I1119" s="4" t="n">
        <v>100</v>
      </c>
      <c r="J1119" s="4" t="n">
        <v>100</v>
      </c>
      <c r="K1119" s="4" t="n">
        <v>100</v>
      </c>
      <c r="M1119" s="2" t="str">
        <f aca="false">IF(C1119="","",IFERROR(INDEX($S$5:$S$304,MATCH(C1119,$R$5:$R$304,0))&amp;"","?"))</f>
        <v>17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1</v>
      </c>
      <c r="O1119" s="2" t="str">
        <f aca="false">IF(OR(F1119="",G1119=""),"",IF(G1119&lt;='RETRATO 2027'!$K$5,"CONCLUÍDA",IF(F1119&lt;='RETRATO 2027'!$K$5,"EM ANDAMENTO","A INICIAR")))</f>
        <v>CONCLUÍDA</v>
      </c>
    </row>
    <row r="1120" customFormat="false" ht="15" hidden="false" customHeight="false" outlineLevel="0" collapsed="false">
      <c r="B1120" s="4" t="n">
        <v>26743773</v>
      </c>
      <c r="C1120" s="4" t="s">
        <v>2751</v>
      </c>
      <c r="D1120" s="4" t="s">
        <v>433</v>
      </c>
      <c r="E1120" s="4" t="s">
        <v>3473</v>
      </c>
      <c r="F1120" s="127" t="n">
        <v>46147</v>
      </c>
      <c r="G1120" s="127" t="n">
        <v>46288</v>
      </c>
      <c r="H1120" s="127" t="n">
        <v>46293</v>
      </c>
      <c r="I1120" s="4" t="n">
        <v>100</v>
      </c>
      <c r="J1120" s="4" t="n">
        <v>100</v>
      </c>
      <c r="K1120" s="4" t="n">
        <v>98</v>
      </c>
      <c r="M1120" s="2" t="str">
        <f aca="false">IF(C1120="","",IFERROR(INDEX($S$5:$S$304,MATCH(C1120,$R$5:$R$304,0))&amp;"","?"))</f>
        <v>35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-5</v>
      </c>
      <c r="O1120" s="2" t="str">
        <f aca="false">IF(OR(F1120="",G1120=""),"",IF(G1120&lt;='RETRATO 2027'!$K$5,"CONCLUÍDA",IF(F1120&lt;='RETRATO 2027'!$K$5,"EM ANDAMENTO","A INICIAR")))</f>
        <v>CONCLUÍDA</v>
      </c>
    </row>
    <row r="1121" customFormat="false" ht="15" hidden="false" customHeight="false" outlineLevel="0" collapsed="false">
      <c r="B1121" s="4" t="n">
        <v>39885995</v>
      </c>
      <c r="C1121" s="4" t="s">
        <v>2749</v>
      </c>
      <c r="D1121" s="4" t="s">
        <v>433</v>
      </c>
      <c r="E1121" s="4" t="s">
        <v>3375</v>
      </c>
      <c r="F1121" s="127" t="n">
        <v>46148</v>
      </c>
      <c r="G1121" s="127" t="n">
        <v>46161</v>
      </c>
      <c r="H1121" s="127" t="n">
        <v>46293</v>
      </c>
      <c r="I1121" s="4" t="n">
        <v>100</v>
      </c>
      <c r="J1121" s="4" t="n">
        <v>100</v>
      </c>
      <c r="K1121" s="4" t="n">
        <v>100</v>
      </c>
      <c r="M1121" s="2" t="str">
        <f aca="false">IF(C1121="","",IFERROR(INDEX($S$5:$S$304,MATCH(C1121,$R$5:$R$304,0))&amp;"","?"))</f>
        <v>17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-3</v>
      </c>
      <c r="O1121" s="2" t="str">
        <f aca="false">IF(OR(F1121="",G1121=""),"",IF(G1121&lt;='RETRATO 2027'!$K$5,"CONCLUÍDA",IF(F1121&lt;='RETRATO 2027'!$K$5,"EM ANDAMENTO","A INICIAR")))</f>
        <v>CONCLUÍDA</v>
      </c>
    </row>
    <row r="1122" customFormat="false" ht="15" hidden="false" customHeight="false" outlineLevel="0" collapsed="false">
      <c r="B1122" s="4" t="n">
        <v>19483424</v>
      </c>
      <c r="C1122" s="4" t="s">
        <v>2749</v>
      </c>
      <c r="D1122" s="4" t="s">
        <v>3548</v>
      </c>
      <c r="E1122" s="4" t="s">
        <v>3375</v>
      </c>
      <c r="F1122" s="127" t="n">
        <v>46148</v>
      </c>
      <c r="G1122" s="127" t="n">
        <v>46148</v>
      </c>
      <c r="H1122" s="127" t="n">
        <v>46293</v>
      </c>
      <c r="I1122" s="4" t="n">
        <v>100</v>
      </c>
      <c r="J1122" s="4" t="n">
        <v>100</v>
      </c>
      <c r="K1122" s="4" t="n">
        <v>100</v>
      </c>
      <c r="M1122" s="2" t="str">
        <f aca="false">IF(C1122="","",IFERROR(INDEX($S$5:$S$304,MATCH(C1122,$R$5:$R$304,0))&amp;"","?"))</f>
        <v>17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-3</v>
      </c>
      <c r="O1122" s="2" t="str">
        <f aca="false">IF(OR(F1122="",G1122=""),"",IF(G1122&lt;='RETRATO 2027'!$K$5,"CONCLUÍDA",IF(F1122&lt;='RETRATO 2027'!$K$5,"EM ANDAMENTO","A INICIAR")))</f>
        <v>CONCLUÍDA</v>
      </c>
    </row>
    <row r="1123" customFormat="false" ht="15" hidden="false" customHeight="false" outlineLevel="0" collapsed="false">
      <c r="B1123" s="4" t="n">
        <v>19483425</v>
      </c>
      <c r="C1123" s="4" t="s">
        <v>2749</v>
      </c>
      <c r="D1123" s="4" t="s">
        <v>3543</v>
      </c>
      <c r="E1123" s="4" t="s">
        <v>3375</v>
      </c>
      <c r="F1123" s="127" t="n">
        <v>46149</v>
      </c>
      <c r="G1123" s="127" t="n">
        <v>46149</v>
      </c>
      <c r="H1123" s="127" t="n">
        <v>46293</v>
      </c>
      <c r="I1123" s="4" t="n">
        <v>100</v>
      </c>
      <c r="J1123" s="4" t="n">
        <v>100</v>
      </c>
      <c r="K1123" s="4" t="n">
        <v>100</v>
      </c>
      <c r="M1123" s="2" t="str">
        <f aca="false">IF(C1123="","",IFERROR(INDEX($S$5:$S$304,MATCH(C1123,$R$5:$R$304,0))&amp;"","?"))</f>
        <v>17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-3</v>
      </c>
      <c r="O1123" s="2" t="str">
        <f aca="false">IF(OR(F1123="",G1123=""),"",IF(G1123&lt;='RETRATO 2027'!$K$5,"CONCLUÍDA",IF(F1123&lt;='RETRATO 2027'!$K$5,"EM ANDAMENTO","A INICIAR")))</f>
        <v>CONCLUÍDA</v>
      </c>
    </row>
    <row r="1124" customFormat="false" ht="15" hidden="false" customHeight="false" outlineLevel="0" collapsed="false">
      <c r="B1124" s="4" t="n">
        <v>19483426</v>
      </c>
      <c r="C1124" s="4" t="s">
        <v>2749</v>
      </c>
      <c r="D1124" s="4" t="s">
        <v>3498</v>
      </c>
      <c r="E1124" s="4" t="s">
        <v>3375</v>
      </c>
      <c r="F1124" s="127" t="n">
        <v>46150</v>
      </c>
      <c r="G1124" s="127" t="n">
        <v>46155</v>
      </c>
      <c r="H1124" s="127" t="n">
        <v>46293</v>
      </c>
      <c r="I1124" s="4" t="n">
        <v>100</v>
      </c>
      <c r="J1124" s="4" t="n">
        <v>100</v>
      </c>
      <c r="K1124" s="4" t="n">
        <v>100</v>
      </c>
      <c r="M1124" s="2" t="str">
        <f aca="false">IF(C1124="","",IFERROR(INDEX($S$5:$S$304,MATCH(C1124,$R$5:$R$304,0))&amp;"","?"))</f>
        <v>17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-3</v>
      </c>
      <c r="O1124" s="2" t="str">
        <f aca="false">IF(OR(F1124="",G1124=""),"",IF(G1124&lt;='RETRATO 2027'!$K$5,"CONCLUÍDA",IF(F1124&lt;='RETRATO 2027'!$K$5,"EM ANDAMENTO","A INICIAR")))</f>
        <v>CONCLUÍDA</v>
      </c>
    </row>
    <row r="1125" customFormat="false" ht="15" hidden="false" customHeight="false" outlineLevel="0" collapsed="false">
      <c r="B1125" s="4" t="n">
        <v>19483427</v>
      </c>
      <c r="C1125" s="4" t="s">
        <v>2749</v>
      </c>
      <c r="D1125" s="4" t="s">
        <v>3536</v>
      </c>
      <c r="E1125" s="4" t="s">
        <v>3375</v>
      </c>
      <c r="F1125" s="127" t="n">
        <v>46156</v>
      </c>
      <c r="G1125" s="127" t="n">
        <v>46160</v>
      </c>
      <c r="H1125" s="127" t="n">
        <v>46293</v>
      </c>
      <c r="I1125" s="4" t="n">
        <v>100</v>
      </c>
      <c r="J1125" s="4" t="n">
        <v>100</v>
      </c>
      <c r="K1125" s="4" t="n">
        <v>100</v>
      </c>
      <c r="M1125" s="2" t="str">
        <f aca="false">IF(C1125="","",IFERROR(INDEX($S$5:$S$304,MATCH(C1125,$R$5:$R$304,0))&amp;"","?"))</f>
        <v>17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-3</v>
      </c>
      <c r="O1125" s="2" t="str">
        <f aca="false">IF(OR(F1125="",G1125=""),"",IF(G1125&lt;='RETRATO 2027'!$K$5,"CONCLUÍDA",IF(F1125&lt;='RETRATO 2027'!$K$5,"EM ANDAMENTO","A INICIAR")))</f>
        <v>CONCLUÍDA</v>
      </c>
    </row>
    <row r="1126" customFormat="false" ht="15" hidden="false" customHeight="false" outlineLevel="0" collapsed="false">
      <c r="B1126" s="4" t="n">
        <v>19483428</v>
      </c>
      <c r="C1126" s="4" t="s">
        <v>2749</v>
      </c>
      <c r="D1126" s="4" t="s">
        <v>3563</v>
      </c>
      <c r="E1126" s="4" t="s">
        <v>3375</v>
      </c>
      <c r="F1126" s="127" t="n">
        <v>46161</v>
      </c>
      <c r="G1126" s="127" t="n">
        <v>46161</v>
      </c>
      <c r="H1126" s="127" t="n">
        <v>46293</v>
      </c>
      <c r="I1126" s="4" t="n">
        <v>100</v>
      </c>
      <c r="J1126" s="4" t="n">
        <v>100</v>
      </c>
      <c r="K1126" s="4" t="n">
        <v>100</v>
      </c>
      <c r="M1126" s="2" t="str">
        <f aca="false">IF(C1126="","",IFERROR(INDEX($S$5:$S$304,MATCH(C1126,$R$5:$R$304,0))&amp;"","?"))</f>
        <v>17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-3</v>
      </c>
      <c r="O1126" s="2" t="str">
        <f aca="false">IF(OR(F1126="",G1126=""),"",IF(G1126&lt;='RETRATO 2027'!$K$5,"CONCLUÍDA",IF(F1126&lt;='RETRATO 2027'!$K$5,"EM ANDAMENTO","A INICIAR")))</f>
        <v>CONCLUÍDA</v>
      </c>
    </row>
    <row r="1127" customFormat="false" ht="15" hidden="false" customHeight="false" outlineLevel="0" collapsed="false">
      <c r="B1127" s="4" t="n">
        <v>43400778</v>
      </c>
      <c r="C1127" s="4" t="s">
        <v>2757</v>
      </c>
      <c r="D1127" s="4" t="s">
        <v>433</v>
      </c>
      <c r="E1127" s="4" t="s">
        <v>3583</v>
      </c>
      <c r="F1127" s="127" t="n">
        <v>46153</v>
      </c>
      <c r="G1127" s="127" t="n">
        <v>46206</v>
      </c>
      <c r="H1127" s="127" t="n">
        <v>46293</v>
      </c>
      <c r="I1127" s="4" t="n">
        <v>0</v>
      </c>
      <c r="J1127" s="4" t="n">
        <v>100</v>
      </c>
      <c r="K1127" s="4" t="n">
        <v>100</v>
      </c>
      <c r="M1127" s="2" t="str">
        <f aca="false">IF(C1127="","",IFERROR(INDEX($S$5:$S$304,MATCH(C1127,$R$5:$R$304,0))&amp;"","?"))</f>
        <v>17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-6</v>
      </c>
      <c r="O1127" s="2" t="str">
        <f aca="false">IF(OR(F1127="",G1127=""),"",IF(G1127&lt;='RETRATO 2027'!$K$5,"CONCLUÍDA",IF(F1127&lt;='RETRATO 2027'!$K$5,"EM ANDAMENTO","A INICIAR")))</f>
        <v>CONCLUÍDA</v>
      </c>
    </row>
    <row r="1128" customFormat="false" ht="15" hidden="false" customHeight="false" outlineLevel="0" collapsed="false">
      <c r="B1128" s="4" t="n">
        <v>27759179</v>
      </c>
      <c r="C1128" s="4" t="s">
        <v>2757</v>
      </c>
      <c r="D1128" s="4" t="s">
        <v>3587</v>
      </c>
      <c r="E1128" s="4" t="s">
        <v>3583</v>
      </c>
      <c r="F1128" s="127" t="n">
        <v>46153</v>
      </c>
      <c r="G1128" s="127" t="n">
        <v>46156</v>
      </c>
      <c r="H1128" s="127" t="n">
        <v>46293</v>
      </c>
      <c r="I1128" s="4" t="n">
        <v>0</v>
      </c>
      <c r="J1128" s="4" t="n">
        <v>100</v>
      </c>
      <c r="K1128" s="4" t="n">
        <v>100</v>
      </c>
      <c r="M1128" s="2" t="str">
        <f aca="false">IF(C1128="","",IFERROR(INDEX($S$5:$S$304,MATCH(C1128,$R$5:$R$304,0))&amp;"","?"))</f>
        <v>17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-6</v>
      </c>
      <c r="O1128" s="2" t="str">
        <f aca="false">IF(OR(F1128="",G1128=""),"",IF(G1128&lt;='RETRATO 2027'!$K$5,"CONCLUÍDA",IF(F1128&lt;='RETRATO 2027'!$K$5,"EM ANDAMENTO","A INICIAR")))</f>
        <v>CONCLUÍDA</v>
      </c>
    </row>
    <row r="1129" customFormat="false" ht="15" hidden="false" customHeight="false" outlineLevel="0" collapsed="false">
      <c r="B1129" s="4" t="n">
        <v>27759180</v>
      </c>
      <c r="C1129" s="4" t="s">
        <v>2757</v>
      </c>
      <c r="D1129" s="4" t="s">
        <v>3600</v>
      </c>
      <c r="E1129" s="4" t="s">
        <v>3583</v>
      </c>
      <c r="F1129" s="127" t="n">
        <v>46155</v>
      </c>
      <c r="G1129" s="127" t="n">
        <v>46157</v>
      </c>
      <c r="H1129" s="127" t="n">
        <v>46293</v>
      </c>
      <c r="I1129" s="4" t="n">
        <v>0</v>
      </c>
      <c r="J1129" s="4" t="n">
        <v>100</v>
      </c>
      <c r="K1129" s="4" t="n">
        <v>100</v>
      </c>
      <c r="M1129" s="2" t="str">
        <f aca="false">IF(C1129="","",IFERROR(INDEX($S$5:$S$304,MATCH(C1129,$R$5:$R$304,0))&amp;"","?"))</f>
        <v>17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-6</v>
      </c>
      <c r="O1129" s="2" t="str">
        <f aca="false">IF(OR(F1129="",G1129=""),"",IF(G1129&lt;='RETRATO 2027'!$K$5,"CONCLUÍDA",IF(F1129&lt;='RETRATO 2027'!$K$5,"EM ANDAMENTO","A INICIAR")))</f>
        <v>CONCLUÍDA</v>
      </c>
    </row>
    <row r="1130" customFormat="false" ht="15" hidden="false" customHeight="false" outlineLevel="0" collapsed="false">
      <c r="B1130" s="4" t="n">
        <v>27759181</v>
      </c>
      <c r="C1130" s="4" t="s">
        <v>2757</v>
      </c>
      <c r="D1130" s="4" t="s">
        <v>3601</v>
      </c>
      <c r="E1130" s="4" t="s">
        <v>3583</v>
      </c>
      <c r="F1130" s="127" t="n">
        <v>46157</v>
      </c>
      <c r="G1130" s="127" t="n">
        <v>46162</v>
      </c>
      <c r="H1130" s="127" t="n">
        <v>46293</v>
      </c>
      <c r="I1130" s="4" t="n">
        <v>0</v>
      </c>
      <c r="J1130" s="4" t="n">
        <v>100</v>
      </c>
      <c r="K1130" s="4" t="n">
        <v>100</v>
      </c>
      <c r="M1130" s="2" t="str">
        <f aca="false">IF(C1130="","",IFERROR(INDEX($S$5:$S$304,MATCH(C1130,$R$5:$R$304,0))&amp;"","?"))</f>
        <v>17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-6</v>
      </c>
      <c r="O1130" s="2" t="str">
        <f aca="false">IF(OR(F1130="",G1130=""),"",IF(G1130&lt;='RETRATO 2027'!$K$5,"CONCLUÍDA",IF(F1130&lt;='RETRATO 2027'!$K$5,"EM ANDAMENTO","A INICIAR")))</f>
        <v>CONCLUÍDA</v>
      </c>
    </row>
    <row r="1131" customFormat="false" ht="15" hidden="false" customHeight="false" outlineLevel="0" collapsed="false">
      <c r="B1131" s="4" t="n">
        <v>27759182</v>
      </c>
      <c r="C1131" s="4" t="s">
        <v>2757</v>
      </c>
      <c r="D1131" s="4" t="s">
        <v>3602</v>
      </c>
      <c r="E1131" s="4" t="s">
        <v>3583</v>
      </c>
      <c r="F1131" s="127" t="n">
        <v>46163</v>
      </c>
      <c r="G1131" s="127" t="n">
        <v>46167</v>
      </c>
      <c r="H1131" s="127" t="n">
        <v>46293</v>
      </c>
      <c r="I1131" s="4" t="n">
        <v>0</v>
      </c>
      <c r="J1131" s="4" t="n">
        <v>100</v>
      </c>
      <c r="K1131" s="4" t="n">
        <v>100</v>
      </c>
      <c r="M1131" s="2" t="str">
        <f aca="false">IF(C1131="","",IFERROR(INDEX($S$5:$S$304,MATCH(C1131,$R$5:$R$304,0))&amp;"","?"))</f>
        <v>17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-6</v>
      </c>
      <c r="O1131" s="2" t="str">
        <f aca="false">IF(OR(F1131="",G1131=""),"",IF(G1131&lt;='RETRATO 2027'!$K$5,"CONCLUÍDA",IF(F1131&lt;='RETRATO 2027'!$K$5,"EM ANDAMENTO","A INICIAR")))</f>
        <v>CONCLUÍDA</v>
      </c>
    </row>
    <row r="1132" customFormat="false" ht="15" hidden="false" customHeight="false" outlineLevel="0" collapsed="false">
      <c r="B1132" s="4" t="n">
        <v>27759183</v>
      </c>
      <c r="C1132" s="4" t="s">
        <v>2757</v>
      </c>
      <c r="D1132" s="4" t="s">
        <v>3603</v>
      </c>
      <c r="E1132" s="4" t="s">
        <v>3583</v>
      </c>
      <c r="F1132" s="127" t="n">
        <v>46168</v>
      </c>
      <c r="G1132" s="127" t="n">
        <v>46170</v>
      </c>
      <c r="H1132" s="127" t="n">
        <v>46293</v>
      </c>
      <c r="I1132" s="4" t="n">
        <v>0</v>
      </c>
      <c r="J1132" s="4" t="n">
        <v>100</v>
      </c>
      <c r="K1132" s="4" t="n">
        <v>100</v>
      </c>
      <c r="M1132" s="2" t="str">
        <f aca="false">IF(C1132="","",IFERROR(INDEX($S$5:$S$304,MATCH(C1132,$R$5:$R$304,0))&amp;"","?"))</f>
        <v>17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-6</v>
      </c>
      <c r="O1132" s="2" t="str">
        <f aca="false">IF(OR(F1132="",G1132=""),"",IF(G1132&lt;='RETRATO 2027'!$K$5,"CONCLUÍDA",IF(F1132&lt;='RETRATO 2027'!$K$5,"EM ANDAMENTO","A INICIAR")))</f>
        <v>CONCLUÍDA</v>
      </c>
    </row>
    <row r="1133" customFormat="false" ht="15" hidden="false" customHeight="false" outlineLevel="0" collapsed="false">
      <c r="B1133" s="4" t="n">
        <v>27759189</v>
      </c>
      <c r="C1133" s="4" t="s">
        <v>2757</v>
      </c>
      <c r="D1133" s="4" t="s">
        <v>3590</v>
      </c>
      <c r="E1133" s="4" t="s">
        <v>3583</v>
      </c>
      <c r="F1133" s="127" t="n">
        <v>46171</v>
      </c>
      <c r="G1133" s="127" t="n">
        <v>46176</v>
      </c>
      <c r="H1133" s="127" t="n">
        <v>46293</v>
      </c>
      <c r="I1133" s="4" t="n">
        <v>0</v>
      </c>
      <c r="J1133" s="4" t="n">
        <v>100</v>
      </c>
      <c r="K1133" s="4" t="n">
        <v>100</v>
      </c>
      <c r="M1133" s="2" t="str">
        <f aca="false">IF(C1133="","",IFERROR(INDEX($S$5:$S$304,MATCH(C1133,$R$5:$R$304,0))&amp;"","?"))</f>
        <v>17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-6</v>
      </c>
      <c r="O1133" s="2" t="str">
        <f aca="false">IF(OR(F1133="",G1133=""),"",IF(G1133&lt;='RETRATO 2027'!$K$5,"CONCLUÍDA",IF(F1133&lt;='RETRATO 2027'!$K$5,"EM ANDAMENTO","A INICIAR")))</f>
        <v>CONCLUÍDA</v>
      </c>
    </row>
    <row r="1134" customFormat="false" ht="15" hidden="false" customHeight="false" outlineLevel="0" collapsed="false">
      <c r="B1134" s="4" t="n">
        <v>27759771</v>
      </c>
      <c r="C1134" s="4" t="s">
        <v>2757</v>
      </c>
      <c r="D1134" s="4" t="s">
        <v>3604</v>
      </c>
      <c r="E1134" s="4" t="s">
        <v>3583</v>
      </c>
      <c r="F1134" s="127" t="n">
        <v>46178</v>
      </c>
      <c r="G1134" s="127" t="n">
        <v>46183</v>
      </c>
      <c r="H1134" s="127" t="n">
        <v>46293</v>
      </c>
      <c r="I1134" s="4" t="n">
        <v>0</v>
      </c>
      <c r="J1134" s="4" t="n">
        <v>100</v>
      </c>
      <c r="K1134" s="4" t="n">
        <v>100</v>
      </c>
      <c r="M1134" s="2" t="str">
        <f aca="false">IF(C1134="","",IFERROR(INDEX($S$5:$S$304,MATCH(C1134,$R$5:$R$304,0))&amp;"","?"))</f>
        <v>17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-6</v>
      </c>
      <c r="O1134" s="2" t="str">
        <f aca="false">IF(OR(F1134="",G1134=""),"",IF(G1134&lt;='RETRATO 2027'!$K$5,"CONCLUÍDA",IF(F1134&lt;='RETRATO 2027'!$K$5,"EM ANDAMENTO","A INICIAR")))</f>
        <v>CONCLUÍDA</v>
      </c>
    </row>
    <row r="1135" customFormat="false" ht="15" hidden="false" customHeight="false" outlineLevel="0" collapsed="false">
      <c r="B1135" s="4" t="n">
        <v>27759772</v>
      </c>
      <c r="C1135" s="4" t="s">
        <v>2757</v>
      </c>
      <c r="D1135" s="4" t="s">
        <v>2829</v>
      </c>
      <c r="E1135" s="4" t="s">
        <v>3583</v>
      </c>
      <c r="F1135" s="127" t="n">
        <v>46184</v>
      </c>
      <c r="G1135" s="127" t="n">
        <v>46190</v>
      </c>
      <c r="H1135" s="127" t="n">
        <v>46293</v>
      </c>
      <c r="I1135" s="4" t="n">
        <v>0</v>
      </c>
      <c r="J1135" s="4" t="n">
        <v>100</v>
      </c>
      <c r="K1135" s="4" t="n">
        <v>100</v>
      </c>
      <c r="M1135" s="2" t="str">
        <f aca="false">IF(C1135="","",IFERROR(INDEX($S$5:$S$304,MATCH(C1135,$R$5:$R$304,0))&amp;"","?"))</f>
        <v>17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-6</v>
      </c>
      <c r="O1135" s="2" t="str">
        <f aca="false">IF(OR(F1135="",G1135=""),"",IF(G1135&lt;='RETRATO 2027'!$K$5,"CONCLUÍDA",IF(F1135&lt;='RETRATO 2027'!$K$5,"EM ANDAMENTO","A INICIAR")))</f>
        <v>CONCLUÍDA</v>
      </c>
    </row>
    <row r="1136" customFormat="false" ht="15" hidden="false" customHeight="false" outlineLevel="0" collapsed="false">
      <c r="B1136" s="4" t="n">
        <v>27759773</v>
      </c>
      <c r="C1136" s="4" t="s">
        <v>2757</v>
      </c>
      <c r="D1136" s="4" t="s">
        <v>3605</v>
      </c>
      <c r="E1136" s="4" t="s">
        <v>3583</v>
      </c>
      <c r="F1136" s="127" t="n">
        <v>46188</v>
      </c>
      <c r="G1136" s="127" t="n">
        <v>46198</v>
      </c>
      <c r="H1136" s="127" t="n">
        <v>46293</v>
      </c>
      <c r="I1136" s="4" t="n">
        <v>0</v>
      </c>
      <c r="J1136" s="4" t="n">
        <v>100</v>
      </c>
      <c r="K1136" s="4" t="n">
        <v>100</v>
      </c>
      <c r="M1136" s="2" t="str">
        <f aca="false">IF(C1136="","",IFERROR(INDEX($S$5:$S$304,MATCH(C1136,$R$5:$R$304,0))&amp;"","?"))</f>
        <v>17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-6</v>
      </c>
      <c r="O1136" s="2" t="str">
        <f aca="false">IF(OR(F1136="",G1136=""),"",IF(G1136&lt;='RETRATO 2027'!$K$5,"CONCLUÍDA",IF(F1136&lt;='RETRATO 2027'!$K$5,"EM ANDAMENTO","A INICIAR")))</f>
        <v>CONCLUÍDA</v>
      </c>
    </row>
    <row r="1137" customFormat="false" ht="15" hidden="false" customHeight="false" outlineLevel="0" collapsed="false">
      <c r="B1137" s="4" t="n">
        <v>27759840</v>
      </c>
      <c r="C1137" s="4" t="s">
        <v>2757</v>
      </c>
      <c r="D1137" s="4" t="s">
        <v>3606</v>
      </c>
      <c r="E1137" s="4" t="s">
        <v>3583</v>
      </c>
      <c r="F1137" s="127" t="n">
        <v>46199</v>
      </c>
      <c r="G1137" s="127" t="n">
        <v>46199</v>
      </c>
      <c r="H1137" s="127" t="n">
        <v>46293</v>
      </c>
      <c r="I1137" s="4" t="n">
        <v>0</v>
      </c>
      <c r="J1137" s="4" t="n">
        <v>100</v>
      </c>
      <c r="K1137" s="4" t="n">
        <v>100</v>
      </c>
      <c r="M1137" s="2" t="str">
        <f aca="false">IF(C1137="","",IFERROR(INDEX($S$5:$S$304,MATCH(C1137,$R$5:$R$304,0))&amp;"","?"))</f>
        <v>17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-6</v>
      </c>
      <c r="O1137" s="2" t="str">
        <f aca="false">IF(OR(F1137="",G1137=""),"",IF(G1137&lt;='RETRATO 2027'!$K$5,"CONCLUÍDA",IF(F1137&lt;='RETRATO 2027'!$K$5,"EM ANDAMENTO","A INICIAR")))</f>
        <v>CONCLUÍDA</v>
      </c>
    </row>
    <row r="1138" customFormat="false" ht="15" hidden="false" customHeight="false" outlineLevel="0" collapsed="false">
      <c r="B1138" s="4" t="n">
        <v>27759876</v>
      </c>
      <c r="C1138" s="4" t="s">
        <v>2757</v>
      </c>
      <c r="D1138" s="4" t="s">
        <v>3607</v>
      </c>
      <c r="E1138" s="4" t="s">
        <v>3583</v>
      </c>
      <c r="F1138" s="127" t="n">
        <v>46202</v>
      </c>
      <c r="G1138" s="127" t="n">
        <v>46204</v>
      </c>
      <c r="H1138" s="127" t="n">
        <v>46293</v>
      </c>
      <c r="I1138" s="4" t="n">
        <v>0</v>
      </c>
      <c r="J1138" s="4" t="n">
        <v>100</v>
      </c>
      <c r="K1138" s="4" t="n">
        <v>100</v>
      </c>
      <c r="M1138" s="2" t="str">
        <f aca="false">IF(C1138="","",IFERROR(INDEX($S$5:$S$304,MATCH(C1138,$R$5:$R$304,0))&amp;"","?"))</f>
        <v>17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-6</v>
      </c>
      <c r="O1138" s="2" t="str">
        <f aca="false">IF(OR(F1138="",G1138=""),"",IF(G1138&lt;='RETRATO 2027'!$K$5,"CONCLUÍDA",IF(F1138&lt;='RETRATO 2027'!$K$5,"EM ANDAMENTO","A INICIAR")))</f>
        <v>CONCLUÍDA</v>
      </c>
    </row>
    <row r="1139" customFormat="false" ht="15" hidden="false" customHeight="false" outlineLevel="0" collapsed="false">
      <c r="B1139" s="4" t="n">
        <v>27759877</v>
      </c>
      <c r="C1139" s="4" t="s">
        <v>2757</v>
      </c>
      <c r="D1139" s="4" t="s">
        <v>3596</v>
      </c>
      <c r="E1139" s="4" t="s">
        <v>3583</v>
      </c>
      <c r="F1139" s="127" t="n">
        <v>46204</v>
      </c>
      <c r="G1139" s="127" t="n">
        <v>46205</v>
      </c>
      <c r="H1139" s="127" t="n">
        <v>46293</v>
      </c>
      <c r="I1139" s="4" t="n">
        <v>0</v>
      </c>
      <c r="J1139" s="4" t="n">
        <v>100</v>
      </c>
      <c r="K1139" s="4" t="n">
        <v>100</v>
      </c>
      <c r="M1139" s="2" t="str">
        <f aca="false">IF(C1139="","",IFERROR(INDEX($S$5:$S$304,MATCH(C1139,$R$5:$R$304,0))&amp;"","?"))</f>
        <v>17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-6</v>
      </c>
      <c r="O1139" s="2" t="str">
        <f aca="false">IF(OR(F1139="",G1139=""),"",IF(G1139&lt;='RETRATO 2027'!$K$5,"CONCLUÍDA",IF(F1139&lt;='RETRATO 2027'!$K$5,"EM ANDAMENTO","A INICIAR")))</f>
        <v>CONCLUÍDA</v>
      </c>
    </row>
    <row r="1140" customFormat="false" ht="15" hidden="false" customHeight="false" outlineLevel="0" collapsed="false">
      <c r="B1140" s="4" t="n">
        <v>27759878</v>
      </c>
      <c r="C1140" s="4" t="s">
        <v>2757</v>
      </c>
      <c r="D1140" s="4" t="s">
        <v>3218</v>
      </c>
      <c r="E1140" s="4" t="s">
        <v>3583</v>
      </c>
      <c r="F1140" s="127" t="n">
        <v>46206</v>
      </c>
      <c r="G1140" s="127" t="n">
        <v>46206</v>
      </c>
      <c r="H1140" s="127" t="n">
        <v>46293</v>
      </c>
      <c r="I1140" s="4" t="n">
        <v>0</v>
      </c>
      <c r="J1140" s="4" t="n">
        <v>100</v>
      </c>
      <c r="K1140" s="4" t="n">
        <v>100</v>
      </c>
      <c r="M1140" s="2" t="str">
        <f aca="false">IF(C1140="","",IFERROR(INDEX($S$5:$S$304,MATCH(C1140,$R$5:$R$304,0))&amp;"","?"))</f>
        <v>17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-6</v>
      </c>
      <c r="O1140" s="2" t="str">
        <f aca="false">IF(OR(F1140="",G1140=""),"",IF(G1140&lt;='RETRATO 2027'!$K$5,"CONCLUÍDA",IF(F1140&lt;='RETRATO 2027'!$K$5,"EM ANDAMENTO","A INICIAR")))</f>
        <v>CONCLUÍDA</v>
      </c>
    </row>
    <row r="1141" customFormat="false" ht="15" hidden="false" customHeight="false" outlineLevel="0" collapsed="false">
      <c r="B1141" s="4" t="n">
        <v>39109374</v>
      </c>
      <c r="C1141" s="4" t="s">
        <v>2760</v>
      </c>
      <c r="D1141" s="4" t="s">
        <v>433</v>
      </c>
      <c r="E1141" s="4" t="s">
        <v>81</v>
      </c>
      <c r="F1141" s="127" t="n">
        <v>46160</v>
      </c>
      <c r="G1141" s="127" t="n">
        <v>46190</v>
      </c>
      <c r="H1141" s="127" t="n">
        <v>46293</v>
      </c>
      <c r="I1141" s="4" t="n">
        <v>100</v>
      </c>
      <c r="J1141" s="4" t="n">
        <v>100</v>
      </c>
      <c r="K1141" s="4" t="n">
        <v>100</v>
      </c>
      <c r="M1141" s="2" t="str">
        <f aca="false">IF(C1141="","",IFERROR(INDEX($S$5:$S$304,MATCH(C1141,$R$5:$R$304,0))&amp;"","?"))</f>
        <v>13</v>
      </c>
      <c r="N1141" s="2" t="str">
        <f aca="false"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 t="str">
        <f aca="false">IF(OR(F1141="",G1141=""),"",IF(G1141&lt;='RETRATO 2027'!$K$5,"CONCLUÍDA",IF(F1141&lt;='RETRATO 2027'!$K$5,"EM ANDAMENTO","A INICIAR")))</f>
        <v>CONCLUÍDA</v>
      </c>
    </row>
    <row r="1142" customFormat="false" ht="15" hidden="false" customHeight="false" outlineLevel="0" collapsed="false">
      <c r="B1142" s="4" t="n">
        <v>19505576</v>
      </c>
      <c r="C1142" s="4" t="s">
        <v>2760</v>
      </c>
      <c r="D1142" s="4" t="s">
        <v>3608</v>
      </c>
      <c r="E1142" s="4" t="s">
        <v>81</v>
      </c>
      <c r="F1142" s="127" t="n">
        <v>46160</v>
      </c>
      <c r="G1142" s="127" t="n">
        <v>46175</v>
      </c>
      <c r="H1142" s="127" t="n">
        <v>46293</v>
      </c>
      <c r="I1142" s="4" t="n">
        <v>100</v>
      </c>
      <c r="J1142" s="4" t="n">
        <v>100</v>
      </c>
      <c r="K1142" s="4" t="n">
        <v>100</v>
      </c>
      <c r="M1142" s="2" t="str">
        <f aca="false">IF(C1142="","",IFERROR(INDEX($S$5:$S$304,MATCH(C1142,$R$5:$R$304,0))&amp;"","?"))</f>
        <v>13</v>
      </c>
      <c r="N1142" s="2" t="str">
        <f aca="false"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 t="str">
        <f aca="false">IF(OR(F1142="",G1142=""),"",IF(G1142&lt;='RETRATO 2027'!$K$5,"CONCLUÍDA",IF(F1142&lt;='RETRATO 2027'!$K$5,"EM ANDAMENTO","A INICIAR")))</f>
        <v>CONCLUÍDA</v>
      </c>
    </row>
    <row r="1143" customFormat="false" ht="15" hidden="false" customHeight="false" outlineLevel="0" collapsed="false">
      <c r="B1143" s="4" t="n">
        <v>19505577</v>
      </c>
      <c r="C1143" s="4" t="s">
        <v>2760</v>
      </c>
      <c r="D1143" s="4" t="s">
        <v>3609</v>
      </c>
      <c r="E1143" s="4" t="s">
        <v>81</v>
      </c>
      <c r="F1143" s="127" t="n">
        <v>46176</v>
      </c>
      <c r="G1143" s="127" t="n">
        <v>46184</v>
      </c>
      <c r="H1143" s="127" t="n">
        <v>46293</v>
      </c>
      <c r="I1143" s="4" t="n">
        <v>100</v>
      </c>
      <c r="J1143" s="4" t="n">
        <v>100</v>
      </c>
      <c r="K1143" s="4" t="n">
        <v>100</v>
      </c>
      <c r="M1143" s="2" t="str">
        <f aca="false">IF(C1143="","",IFERROR(INDEX($S$5:$S$304,MATCH(C1143,$R$5:$R$304,0))&amp;"","?"))</f>
        <v>13</v>
      </c>
      <c r="N1143" s="2" t="str">
        <f aca="false"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 t="str">
        <f aca="false">IF(OR(F1143="",G1143=""),"",IF(G1143&lt;='RETRATO 2027'!$K$5,"CONCLUÍDA",IF(F1143&lt;='RETRATO 2027'!$K$5,"EM ANDAMENTO","A INICIAR")))</f>
        <v>CONCLUÍDA</v>
      </c>
    </row>
    <row r="1144" customFormat="false" ht="15" hidden="false" customHeight="false" outlineLevel="0" collapsed="false">
      <c r="B1144" s="4" t="n">
        <v>19505578</v>
      </c>
      <c r="C1144" s="4" t="s">
        <v>2760</v>
      </c>
      <c r="D1144" s="4" t="s">
        <v>3218</v>
      </c>
      <c r="E1144" s="4" t="s">
        <v>81</v>
      </c>
      <c r="F1144" s="127" t="n">
        <v>46185</v>
      </c>
      <c r="G1144" s="127" t="n">
        <v>46190</v>
      </c>
      <c r="H1144" s="127" t="n">
        <v>46293</v>
      </c>
      <c r="I1144" s="4" t="n">
        <v>100</v>
      </c>
      <c r="J1144" s="4" t="n">
        <v>100</v>
      </c>
      <c r="K1144" s="4" t="n">
        <v>100</v>
      </c>
      <c r="M1144" s="2" t="str">
        <f aca="false">IF(C1144="","",IFERROR(INDEX($S$5:$S$304,MATCH(C1144,$R$5:$R$304,0))&amp;"","?"))</f>
        <v>13</v>
      </c>
      <c r="N1144" s="2" t="str">
        <f aca="false"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 t="str">
        <f aca="false">IF(OR(F1144="",G1144=""),"",IF(G1144&lt;='RETRATO 2027'!$K$5,"CONCLUÍDA",IF(F1144&lt;='RETRATO 2027'!$K$5,"EM ANDAMENTO","A INICIAR")))</f>
        <v>CONCLUÍDA</v>
      </c>
    </row>
    <row r="1145" customFormat="false" ht="15" hidden="false" customHeight="false" outlineLevel="0" collapsed="false">
      <c r="B1145" s="4" t="n">
        <v>44082842</v>
      </c>
      <c r="C1145" s="4" t="s">
        <v>2763</v>
      </c>
      <c r="D1145" s="4" t="s">
        <v>433</v>
      </c>
      <c r="E1145" s="4" t="s">
        <v>3374</v>
      </c>
      <c r="F1145" s="127" t="n">
        <v>46160</v>
      </c>
      <c r="G1145" s="127" t="n">
        <v>46164</v>
      </c>
      <c r="H1145" s="127" t="n">
        <v>46293</v>
      </c>
      <c r="I1145" s="4" t="n">
        <v>0</v>
      </c>
      <c r="J1145" s="4" t="n">
        <v>100</v>
      </c>
      <c r="K1145" s="4" t="n">
        <v>100</v>
      </c>
      <c r="M1145" s="2" t="str">
        <f aca="false">IF(C1145="","",IFERROR(INDEX($S$5:$S$304,MATCH(C1145,$R$5:$R$304,0))&amp;"","?"))</f>
        <v>17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-4</v>
      </c>
      <c r="O1145" s="2" t="str">
        <f aca="false">IF(OR(F1145="",G1145=""),"",IF(G1145&lt;='RETRATO 2027'!$K$5,"CONCLUÍDA",IF(F1145&lt;='RETRATO 2027'!$K$5,"EM ANDAMENTO","A INICIAR")))</f>
        <v>CONCLUÍDA</v>
      </c>
    </row>
    <row r="1146" customFormat="false" ht="15" hidden="false" customHeight="false" outlineLevel="0" collapsed="false">
      <c r="B1146" s="4" t="n">
        <v>28098157</v>
      </c>
      <c r="C1146" s="4" t="s">
        <v>2763</v>
      </c>
      <c r="D1146" s="4" t="s">
        <v>3610</v>
      </c>
      <c r="E1146" s="4" t="s">
        <v>3374</v>
      </c>
      <c r="F1146" s="127" t="n">
        <v>46160</v>
      </c>
      <c r="G1146" s="127" t="n">
        <v>46160</v>
      </c>
      <c r="H1146" s="127" t="n">
        <v>46293</v>
      </c>
      <c r="I1146" s="4" t="n">
        <v>0</v>
      </c>
      <c r="J1146" s="4" t="n">
        <v>100</v>
      </c>
      <c r="K1146" s="4" t="n">
        <v>100</v>
      </c>
      <c r="M1146" s="2" t="str">
        <f aca="false">IF(C1146="","",IFERROR(INDEX($S$5:$S$304,MATCH(C1146,$R$5:$R$304,0))&amp;"","?"))</f>
        <v>17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-4</v>
      </c>
      <c r="O1146" s="2" t="str">
        <f aca="false">IF(OR(F1146="",G1146=""),"",IF(G1146&lt;='RETRATO 2027'!$K$5,"CONCLUÍDA",IF(F1146&lt;='RETRATO 2027'!$K$5,"EM ANDAMENTO","A INICIAR")))</f>
        <v>CONCLUÍDA</v>
      </c>
    </row>
    <row r="1147" customFormat="false" ht="15" hidden="false" customHeight="false" outlineLevel="0" collapsed="false">
      <c r="B1147" s="4" t="n">
        <v>28098158</v>
      </c>
      <c r="C1147" s="4" t="s">
        <v>2763</v>
      </c>
      <c r="D1147" s="4" t="s">
        <v>3611</v>
      </c>
      <c r="E1147" s="4" t="s">
        <v>3374</v>
      </c>
      <c r="F1147" s="127" t="n">
        <v>46161</v>
      </c>
      <c r="G1147" s="127" t="n">
        <v>46162</v>
      </c>
      <c r="H1147" s="127" t="n">
        <v>46293</v>
      </c>
      <c r="I1147" s="4" t="n">
        <v>0</v>
      </c>
      <c r="J1147" s="4" t="n">
        <v>100</v>
      </c>
      <c r="K1147" s="4" t="n">
        <v>100</v>
      </c>
      <c r="M1147" s="2" t="str">
        <f aca="false">IF(C1147="","",IFERROR(INDEX($S$5:$S$304,MATCH(C1147,$R$5:$R$304,0))&amp;"","?"))</f>
        <v>17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-4</v>
      </c>
      <c r="O1147" s="2" t="str">
        <f aca="false">IF(OR(F1147="",G1147=""),"",IF(G1147&lt;='RETRATO 2027'!$K$5,"CONCLUÍDA",IF(F1147&lt;='RETRATO 2027'!$K$5,"EM ANDAMENTO","A INICIAR")))</f>
        <v>CONCLUÍDA</v>
      </c>
    </row>
    <row r="1148" customFormat="false" ht="15" hidden="false" customHeight="false" outlineLevel="0" collapsed="false">
      <c r="B1148" s="4" t="n">
        <v>28098159</v>
      </c>
      <c r="C1148" s="4" t="s">
        <v>2763</v>
      </c>
      <c r="D1148" s="4" t="s">
        <v>3547</v>
      </c>
      <c r="E1148" s="4" t="s">
        <v>3374</v>
      </c>
      <c r="F1148" s="127" t="n">
        <v>46163</v>
      </c>
      <c r="G1148" s="127" t="n">
        <v>46163</v>
      </c>
      <c r="H1148" s="127" t="n">
        <v>46293</v>
      </c>
      <c r="I1148" s="4" t="n">
        <v>0</v>
      </c>
      <c r="J1148" s="4" t="n">
        <v>100</v>
      </c>
      <c r="K1148" s="4" t="n">
        <v>100</v>
      </c>
      <c r="M1148" s="2" t="str">
        <f aca="false">IF(C1148="","",IFERROR(INDEX($S$5:$S$304,MATCH(C1148,$R$5:$R$304,0))&amp;"","?"))</f>
        <v>17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-4</v>
      </c>
      <c r="O1148" s="2" t="str">
        <f aca="false">IF(OR(F1148="",G1148=""),"",IF(G1148&lt;='RETRATO 2027'!$K$5,"CONCLUÍDA",IF(F1148&lt;='RETRATO 2027'!$K$5,"EM ANDAMENTO","A INICIAR")))</f>
        <v>CONCLUÍDA</v>
      </c>
    </row>
    <row r="1149" customFormat="false" ht="15" hidden="false" customHeight="false" outlineLevel="0" collapsed="false">
      <c r="B1149" s="4" t="n">
        <v>28098160</v>
      </c>
      <c r="C1149" s="4" t="s">
        <v>2763</v>
      </c>
      <c r="D1149" s="4" t="s">
        <v>3218</v>
      </c>
      <c r="E1149" s="4" t="s">
        <v>3374</v>
      </c>
      <c r="F1149" s="127" t="n">
        <v>46164</v>
      </c>
      <c r="G1149" s="127" t="n">
        <v>46164</v>
      </c>
      <c r="H1149" s="127" t="n">
        <v>46293</v>
      </c>
      <c r="I1149" s="4" t="n">
        <v>0</v>
      </c>
      <c r="J1149" s="4" t="n">
        <v>100</v>
      </c>
      <c r="K1149" s="4" t="n">
        <v>100</v>
      </c>
      <c r="M1149" s="2" t="str">
        <f aca="false">IF(C1149="","",IFERROR(INDEX($S$5:$S$304,MATCH(C1149,$R$5:$R$304,0))&amp;"","?"))</f>
        <v>17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-4</v>
      </c>
      <c r="O1149" s="2" t="str">
        <f aca="false">IF(OR(F1149="",G1149=""),"",IF(G1149&lt;='RETRATO 2027'!$K$5,"CONCLUÍDA",IF(F1149&lt;='RETRATO 2027'!$K$5,"EM ANDAMENTO","A INICIAR")))</f>
        <v>CONCLUÍDA</v>
      </c>
    </row>
    <row r="1150" customFormat="false" ht="15" hidden="false" customHeight="false" outlineLevel="0" collapsed="false">
      <c r="B1150" s="4" t="n">
        <v>26218310</v>
      </c>
      <c r="C1150" s="4" t="s">
        <v>2702</v>
      </c>
      <c r="D1150" s="4" t="s">
        <v>433</v>
      </c>
      <c r="E1150" s="4" t="s">
        <v>3243</v>
      </c>
      <c r="F1150" s="127" t="n">
        <v>46161</v>
      </c>
      <c r="G1150" s="127" t="n">
        <v>46185</v>
      </c>
      <c r="H1150" s="127" t="n">
        <v>46293</v>
      </c>
      <c r="I1150" s="4" t="n">
        <v>100</v>
      </c>
      <c r="J1150" s="4" t="n">
        <v>100</v>
      </c>
      <c r="K1150" s="4" t="n">
        <v>100</v>
      </c>
      <c r="M1150" s="2" t="str">
        <f aca="false">IF(C1150="","",IFERROR(INDEX($S$5:$S$304,MATCH(C1150,$R$5:$R$304,0))&amp;"","?"))</f>
        <v>17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1</v>
      </c>
      <c r="O1150" s="2" t="str">
        <f aca="false">IF(OR(F1150="",G1150=""),"",IF(G1150&lt;='RETRATO 2027'!$K$5,"CONCLUÍDA",IF(F1150&lt;='RETRATO 2027'!$K$5,"EM ANDAMENTO","A INICIAR")))</f>
        <v>CONCLUÍDA</v>
      </c>
    </row>
    <row r="1151" customFormat="false" ht="15" hidden="false" customHeight="false" outlineLevel="0" collapsed="false">
      <c r="B1151" s="4" t="n">
        <v>9364410</v>
      </c>
      <c r="C1151" s="4" t="s">
        <v>2702</v>
      </c>
      <c r="D1151" s="4" t="s">
        <v>3244</v>
      </c>
      <c r="E1151" s="4" t="s">
        <v>3243</v>
      </c>
      <c r="F1151" s="127" t="n">
        <v>46161</v>
      </c>
      <c r="G1151" s="127" t="n">
        <v>46163</v>
      </c>
      <c r="H1151" s="127" t="n">
        <v>46293</v>
      </c>
      <c r="I1151" s="4" t="n">
        <v>100</v>
      </c>
      <c r="J1151" s="4" t="n">
        <v>100</v>
      </c>
      <c r="K1151" s="4" t="n">
        <v>100</v>
      </c>
      <c r="M1151" s="2" t="str">
        <f aca="false">IF(C1151="","",IFERROR(INDEX($S$5:$S$304,MATCH(C1151,$R$5:$R$304,0))&amp;"","?"))</f>
        <v>17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1</v>
      </c>
      <c r="O1151" s="2" t="str">
        <f aca="false">IF(OR(F1151="",G1151=""),"",IF(G1151&lt;='RETRATO 2027'!$K$5,"CONCLUÍDA",IF(F1151&lt;='RETRATO 2027'!$K$5,"EM ANDAMENTO","A INICIAR")))</f>
        <v>CONCLUÍDA</v>
      </c>
    </row>
    <row r="1152" customFormat="false" ht="15" hidden="false" customHeight="false" outlineLevel="0" collapsed="false">
      <c r="B1152" s="4" t="n">
        <v>9364411</v>
      </c>
      <c r="C1152" s="4" t="s">
        <v>2702</v>
      </c>
      <c r="D1152" s="4" t="s">
        <v>3245</v>
      </c>
      <c r="E1152" s="4" t="s">
        <v>3243</v>
      </c>
      <c r="F1152" s="127" t="n">
        <v>46163</v>
      </c>
      <c r="G1152" s="127" t="n">
        <v>46167</v>
      </c>
      <c r="H1152" s="127" t="n">
        <v>46293</v>
      </c>
      <c r="I1152" s="4" t="n">
        <v>100</v>
      </c>
      <c r="J1152" s="4" t="n">
        <v>100</v>
      </c>
      <c r="K1152" s="4" t="n">
        <v>100</v>
      </c>
      <c r="M1152" s="2" t="str">
        <f aca="false">IF(C1152="","",IFERROR(INDEX($S$5:$S$304,MATCH(C1152,$R$5:$R$304,0))&amp;"","?"))</f>
        <v>17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1</v>
      </c>
      <c r="O1152" s="2" t="str">
        <f aca="false">IF(OR(F1152="",G1152=""),"",IF(G1152&lt;='RETRATO 2027'!$K$5,"CONCLUÍDA",IF(F1152&lt;='RETRATO 2027'!$K$5,"EM ANDAMENTO","A INICIAR")))</f>
        <v>CONCLUÍDA</v>
      </c>
    </row>
    <row r="1153" customFormat="false" ht="15" hidden="false" customHeight="false" outlineLevel="0" collapsed="false">
      <c r="B1153" s="4" t="n">
        <v>9364412</v>
      </c>
      <c r="C1153" s="4" t="s">
        <v>2702</v>
      </c>
      <c r="D1153" s="4" t="s">
        <v>3246</v>
      </c>
      <c r="E1153" s="4" t="s">
        <v>3243</v>
      </c>
      <c r="F1153" s="127" t="n">
        <v>46164</v>
      </c>
      <c r="G1153" s="127" t="n">
        <v>46170</v>
      </c>
      <c r="H1153" s="127" t="n">
        <v>46293</v>
      </c>
      <c r="I1153" s="4" t="n">
        <v>100</v>
      </c>
      <c r="J1153" s="4" t="n">
        <v>100</v>
      </c>
      <c r="K1153" s="4" t="n">
        <v>100</v>
      </c>
      <c r="M1153" s="2" t="str">
        <f aca="false">IF(C1153="","",IFERROR(INDEX($S$5:$S$304,MATCH(C1153,$R$5:$R$304,0))&amp;"","?"))</f>
        <v>17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1</v>
      </c>
      <c r="O1153" s="2" t="str">
        <f aca="false">IF(OR(F1153="",G1153=""),"",IF(G1153&lt;='RETRATO 2027'!$K$5,"CONCLUÍDA",IF(F1153&lt;='RETRATO 2027'!$K$5,"EM ANDAMENTO","A INICIAR")))</f>
        <v>CONCLUÍDA</v>
      </c>
    </row>
    <row r="1154" customFormat="false" ht="15" hidden="false" customHeight="false" outlineLevel="0" collapsed="false">
      <c r="B1154" s="4" t="n">
        <v>9364413</v>
      </c>
      <c r="C1154" s="4" t="s">
        <v>2702</v>
      </c>
      <c r="D1154" s="4" t="s">
        <v>3247</v>
      </c>
      <c r="E1154" s="4" t="s">
        <v>3243</v>
      </c>
      <c r="F1154" s="127" t="n">
        <v>46171</v>
      </c>
      <c r="G1154" s="127" t="n">
        <v>46171</v>
      </c>
      <c r="H1154" s="127" t="n">
        <v>46293</v>
      </c>
      <c r="I1154" s="4" t="n">
        <v>100</v>
      </c>
      <c r="J1154" s="4" t="n">
        <v>100</v>
      </c>
      <c r="K1154" s="4" t="n">
        <v>100</v>
      </c>
      <c r="M1154" s="2" t="str">
        <f aca="false">IF(C1154="","",IFERROR(INDEX($S$5:$S$304,MATCH(C1154,$R$5:$R$304,0))&amp;"","?"))</f>
        <v>17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1</v>
      </c>
      <c r="O1154" s="2" t="str">
        <f aca="false">IF(OR(F1154="",G1154=""),"",IF(G1154&lt;='RETRATO 2027'!$K$5,"CONCLUÍDA",IF(F1154&lt;='RETRATO 2027'!$K$5,"EM ANDAMENTO","A INICIAR")))</f>
        <v>CONCLUÍDA</v>
      </c>
    </row>
    <row r="1155" customFormat="false" ht="15" hidden="false" customHeight="false" outlineLevel="0" collapsed="false">
      <c r="B1155" s="4" t="n">
        <v>9364414</v>
      </c>
      <c r="C1155" s="4" t="s">
        <v>2702</v>
      </c>
      <c r="D1155" s="4" t="s">
        <v>3248</v>
      </c>
      <c r="E1155" s="4" t="s">
        <v>3243</v>
      </c>
      <c r="F1155" s="127" t="n">
        <v>46174</v>
      </c>
      <c r="G1155" s="127" t="n">
        <v>46181</v>
      </c>
      <c r="H1155" s="127" t="n">
        <v>46293</v>
      </c>
      <c r="I1155" s="4" t="n">
        <v>100</v>
      </c>
      <c r="J1155" s="4" t="n">
        <v>100</v>
      </c>
      <c r="K1155" s="4" t="n">
        <v>100</v>
      </c>
      <c r="M1155" s="2" t="str">
        <f aca="false">IF(C1155="","",IFERROR(INDEX($S$5:$S$304,MATCH(C1155,$R$5:$R$304,0))&amp;"","?"))</f>
        <v>17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1</v>
      </c>
      <c r="O1155" s="2" t="str">
        <f aca="false">IF(OR(F1155="",G1155=""),"",IF(G1155&lt;='RETRATO 2027'!$K$5,"CONCLUÍDA",IF(F1155&lt;='RETRATO 2027'!$K$5,"EM ANDAMENTO","A INICIAR")))</f>
        <v>CONCLUÍDA</v>
      </c>
    </row>
    <row r="1156" customFormat="false" ht="15" hidden="false" customHeight="false" outlineLevel="0" collapsed="false">
      <c r="B1156" s="4" t="n">
        <v>9364415</v>
      </c>
      <c r="C1156" s="4" t="s">
        <v>2702</v>
      </c>
      <c r="D1156" s="4" t="s">
        <v>3249</v>
      </c>
      <c r="E1156" s="4" t="s">
        <v>3243</v>
      </c>
      <c r="F1156" s="127" t="n">
        <v>46175</v>
      </c>
      <c r="G1156" s="127" t="n">
        <v>46183</v>
      </c>
      <c r="H1156" s="127" t="n">
        <v>46293</v>
      </c>
      <c r="I1156" s="4" t="n">
        <v>100</v>
      </c>
      <c r="J1156" s="4" t="n">
        <v>100</v>
      </c>
      <c r="K1156" s="4" t="n">
        <v>100</v>
      </c>
      <c r="M1156" s="2" t="str">
        <f aca="false">IF(C1156="","",IFERROR(INDEX($S$5:$S$304,MATCH(C1156,$R$5:$R$304,0))&amp;"","?"))</f>
        <v>17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1</v>
      </c>
      <c r="O1156" s="2" t="str">
        <f aca="false">IF(OR(F1156="",G1156=""),"",IF(G1156&lt;='RETRATO 2027'!$K$5,"CONCLUÍDA",IF(F1156&lt;='RETRATO 2027'!$K$5,"EM ANDAMENTO","A INICIAR")))</f>
        <v>CONCLUÍDA</v>
      </c>
    </row>
    <row r="1157" customFormat="false" ht="15" hidden="false" customHeight="false" outlineLevel="0" collapsed="false">
      <c r="B1157" s="4" t="n">
        <v>9364416</v>
      </c>
      <c r="C1157" s="4" t="s">
        <v>2702</v>
      </c>
      <c r="D1157" s="4" t="s">
        <v>3250</v>
      </c>
      <c r="E1157" s="4" t="s">
        <v>3243</v>
      </c>
      <c r="F1157" s="127" t="n">
        <v>46182</v>
      </c>
      <c r="G1157" s="127" t="n">
        <v>46183</v>
      </c>
      <c r="H1157" s="127" t="n">
        <v>46293</v>
      </c>
      <c r="I1157" s="4" t="n">
        <v>100</v>
      </c>
      <c r="J1157" s="4" t="n">
        <v>100</v>
      </c>
      <c r="K1157" s="4" t="n">
        <v>100</v>
      </c>
      <c r="M1157" s="2" t="str">
        <f aca="false">IF(C1157="","",IFERROR(INDEX($S$5:$S$304,MATCH(C1157,$R$5:$R$304,0))&amp;"","?"))</f>
        <v>17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1</v>
      </c>
      <c r="O1157" s="2" t="str">
        <f aca="false">IF(OR(F1157="",G1157=""),"",IF(G1157&lt;='RETRATO 2027'!$K$5,"CONCLUÍDA",IF(F1157&lt;='RETRATO 2027'!$K$5,"EM ANDAMENTO","A INICIAR")))</f>
        <v>CONCLUÍDA</v>
      </c>
    </row>
    <row r="1158" customFormat="false" ht="15" hidden="false" customHeight="false" outlineLevel="0" collapsed="false">
      <c r="B1158" s="4" t="n">
        <v>9364417</v>
      </c>
      <c r="C1158" s="4" t="s">
        <v>2702</v>
      </c>
      <c r="D1158" s="4" t="s">
        <v>3251</v>
      </c>
      <c r="E1158" s="4" t="s">
        <v>3243</v>
      </c>
      <c r="F1158" s="127" t="n">
        <v>46183</v>
      </c>
      <c r="G1158" s="127" t="n">
        <v>46184</v>
      </c>
      <c r="H1158" s="127" t="n">
        <v>46293</v>
      </c>
      <c r="I1158" s="4" t="n">
        <v>100</v>
      </c>
      <c r="J1158" s="4" t="n">
        <v>100</v>
      </c>
      <c r="K1158" s="4" t="n">
        <v>100</v>
      </c>
      <c r="M1158" s="2" t="str">
        <f aca="false">IF(C1158="","",IFERROR(INDEX($S$5:$S$304,MATCH(C1158,$R$5:$R$304,0))&amp;"","?"))</f>
        <v>17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1</v>
      </c>
      <c r="O1158" s="2" t="str">
        <f aca="false">IF(OR(F1158="",G1158=""),"",IF(G1158&lt;='RETRATO 2027'!$K$5,"CONCLUÍDA",IF(F1158&lt;='RETRATO 2027'!$K$5,"EM ANDAMENTO","A INICIAR")))</f>
        <v>CONCLUÍDA</v>
      </c>
    </row>
    <row r="1159" customFormat="false" ht="15" hidden="false" customHeight="false" outlineLevel="0" collapsed="false">
      <c r="B1159" s="4" t="n">
        <v>9364418</v>
      </c>
      <c r="C1159" s="4" t="s">
        <v>2702</v>
      </c>
      <c r="D1159" s="4" t="s">
        <v>3252</v>
      </c>
      <c r="E1159" s="4" t="s">
        <v>3243</v>
      </c>
      <c r="F1159" s="127" t="n">
        <v>46185</v>
      </c>
      <c r="G1159" s="127" t="n">
        <v>46185</v>
      </c>
      <c r="H1159" s="127" t="n">
        <v>46293</v>
      </c>
      <c r="I1159" s="4" t="n">
        <v>100</v>
      </c>
      <c r="J1159" s="4" t="n">
        <v>100</v>
      </c>
      <c r="K1159" s="4" t="n">
        <v>100</v>
      </c>
      <c r="M1159" s="2" t="str">
        <f aca="false">IF(C1159="","",IFERROR(INDEX($S$5:$S$304,MATCH(C1159,$R$5:$R$304,0))&amp;"","?"))</f>
        <v>17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1</v>
      </c>
      <c r="O1159" s="2" t="str">
        <f aca="false">IF(OR(F1159="",G1159=""),"",IF(G1159&lt;='RETRATO 2027'!$K$5,"CONCLUÍDA",IF(F1159&lt;='RETRATO 2027'!$K$5,"EM ANDAMENTO","A INICIAR")))</f>
        <v>CONCLUÍDA</v>
      </c>
    </row>
    <row r="1160" customFormat="false" ht="15" hidden="false" customHeight="false" outlineLevel="0" collapsed="false">
      <c r="B1160" s="4" t="n">
        <v>39886065</v>
      </c>
      <c r="C1160" s="4" t="s">
        <v>2733</v>
      </c>
      <c r="D1160" s="4" t="s">
        <v>433</v>
      </c>
      <c r="E1160" s="4" t="s">
        <v>3612</v>
      </c>
      <c r="F1160" s="127" t="n">
        <v>46162</v>
      </c>
      <c r="G1160" s="127" t="n">
        <v>46169</v>
      </c>
      <c r="H1160" s="127" t="n">
        <v>46293</v>
      </c>
      <c r="I1160" s="4" t="n">
        <v>100</v>
      </c>
      <c r="J1160" s="4" t="n">
        <v>100</v>
      </c>
      <c r="K1160" s="4" t="n">
        <v>100</v>
      </c>
      <c r="M1160" s="2" t="str">
        <f aca="false">IF(C1160="","",IFERROR(INDEX($S$5:$S$304,MATCH(C1160,$R$5:$R$304,0))&amp;"","?"))</f>
        <v>17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-1</v>
      </c>
      <c r="O1160" s="2" t="str">
        <f aca="false">IF(OR(F1160="",G1160=""),"",IF(G1160&lt;='RETRATO 2027'!$K$5,"CONCLUÍDA",IF(F1160&lt;='RETRATO 2027'!$K$5,"EM ANDAMENTO","A INICIAR")))</f>
        <v>CONCLUÍDA</v>
      </c>
    </row>
    <row r="1161" customFormat="false" ht="15" hidden="false" customHeight="false" outlineLevel="0" collapsed="false">
      <c r="B1161" s="4" t="n">
        <v>19483465</v>
      </c>
      <c r="C1161" s="4" t="s">
        <v>2733</v>
      </c>
      <c r="D1161" s="4" t="s">
        <v>3581</v>
      </c>
      <c r="E1161" s="4" t="s">
        <v>3612</v>
      </c>
      <c r="F1161" s="127" t="n">
        <v>46162</v>
      </c>
      <c r="G1161" s="127" t="n">
        <v>46163</v>
      </c>
      <c r="H1161" s="127" t="n">
        <v>46293</v>
      </c>
      <c r="I1161" s="4" t="n">
        <v>100</v>
      </c>
      <c r="J1161" s="4" t="n">
        <v>100</v>
      </c>
      <c r="K1161" s="4" t="n">
        <v>100</v>
      </c>
      <c r="M1161" s="2" t="str">
        <f aca="false">IF(C1161="","",IFERROR(INDEX($S$5:$S$304,MATCH(C1161,$R$5:$R$304,0))&amp;"","?"))</f>
        <v>17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-1</v>
      </c>
      <c r="O1161" s="2" t="str">
        <f aca="false">IF(OR(F1161="",G1161=""),"",IF(G1161&lt;='RETRATO 2027'!$K$5,"CONCLUÍDA",IF(F1161&lt;='RETRATO 2027'!$K$5,"EM ANDAMENTO","A INICIAR")))</f>
        <v>CONCLUÍDA</v>
      </c>
    </row>
    <row r="1162" customFormat="false" ht="15" hidden="false" customHeight="false" outlineLevel="0" collapsed="false">
      <c r="B1162" s="4" t="n">
        <v>19483466</v>
      </c>
      <c r="C1162" s="4" t="s">
        <v>2733</v>
      </c>
      <c r="D1162" s="4" t="s">
        <v>3560</v>
      </c>
      <c r="E1162" s="4" t="s">
        <v>3612</v>
      </c>
      <c r="F1162" s="127" t="n">
        <v>46164</v>
      </c>
      <c r="G1162" s="127" t="n">
        <v>46167</v>
      </c>
      <c r="H1162" s="127" t="n">
        <v>46293</v>
      </c>
      <c r="I1162" s="4" t="n">
        <v>100</v>
      </c>
      <c r="J1162" s="4" t="n">
        <v>100</v>
      </c>
      <c r="K1162" s="4" t="n">
        <v>100</v>
      </c>
      <c r="M1162" s="2" t="str">
        <f aca="false">IF(C1162="","",IFERROR(INDEX($S$5:$S$304,MATCH(C1162,$R$5:$R$304,0))&amp;"","?"))</f>
        <v>17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-1</v>
      </c>
      <c r="O1162" s="2" t="str">
        <f aca="false">IF(OR(F1162="",G1162=""),"",IF(G1162&lt;='RETRATO 2027'!$K$5,"CONCLUÍDA",IF(F1162&lt;='RETRATO 2027'!$K$5,"EM ANDAMENTO","A INICIAR")))</f>
        <v>CONCLUÍDA</v>
      </c>
    </row>
    <row r="1163" customFormat="false" ht="15" hidden="false" customHeight="false" outlineLevel="0" collapsed="false">
      <c r="B1163" s="4" t="n">
        <v>19483467</v>
      </c>
      <c r="C1163" s="4" t="s">
        <v>2733</v>
      </c>
      <c r="D1163" s="4" t="s">
        <v>3561</v>
      </c>
      <c r="E1163" s="4" t="s">
        <v>3612</v>
      </c>
      <c r="F1163" s="127" t="n">
        <v>46168</v>
      </c>
      <c r="G1163" s="127" t="n">
        <v>46168</v>
      </c>
      <c r="H1163" s="127" t="n">
        <v>46293</v>
      </c>
      <c r="I1163" s="4" t="n">
        <v>100</v>
      </c>
      <c r="J1163" s="4" t="n">
        <v>100</v>
      </c>
      <c r="K1163" s="4" t="n">
        <v>100</v>
      </c>
      <c r="M1163" s="2" t="str">
        <f aca="false">IF(C1163="","",IFERROR(INDEX($S$5:$S$304,MATCH(C1163,$R$5:$R$304,0))&amp;"","?"))</f>
        <v>17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-1</v>
      </c>
      <c r="O1163" s="2" t="str">
        <f aca="false">IF(OR(F1163="",G1163=""),"",IF(G1163&lt;='RETRATO 2027'!$K$5,"CONCLUÍDA",IF(F1163&lt;='RETRATO 2027'!$K$5,"EM ANDAMENTO","A INICIAR")))</f>
        <v>CONCLUÍDA</v>
      </c>
    </row>
    <row r="1164" customFormat="false" ht="15" hidden="false" customHeight="false" outlineLevel="0" collapsed="false">
      <c r="B1164" s="4" t="n">
        <v>19483468</v>
      </c>
      <c r="C1164" s="4" t="s">
        <v>2733</v>
      </c>
      <c r="D1164" s="4" t="s">
        <v>3218</v>
      </c>
      <c r="E1164" s="4" t="s">
        <v>3612</v>
      </c>
      <c r="F1164" s="127" t="n">
        <v>46169</v>
      </c>
      <c r="G1164" s="127" t="n">
        <v>46169</v>
      </c>
      <c r="H1164" s="127" t="n">
        <v>46293</v>
      </c>
      <c r="I1164" s="4" t="n">
        <v>100</v>
      </c>
      <c r="J1164" s="4" t="n">
        <v>100</v>
      </c>
      <c r="K1164" s="4" t="n">
        <v>100</v>
      </c>
      <c r="M1164" s="2" t="str">
        <f aca="false">IF(C1164="","",IFERROR(INDEX($S$5:$S$304,MATCH(C1164,$R$5:$R$304,0))&amp;"","?"))</f>
        <v>17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-1</v>
      </c>
      <c r="O1164" s="2" t="str">
        <f aca="false">IF(OR(F1164="",G1164=""),"",IF(G1164&lt;='RETRATO 2027'!$K$5,"CONCLUÍDA",IF(F1164&lt;='RETRATO 2027'!$K$5,"EM ANDAMENTO","A INICIAR")))</f>
        <v>CONCLUÍDA</v>
      </c>
    </row>
    <row r="1165" customFormat="false" ht="15" hidden="false" customHeight="false" outlineLevel="0" collapsed="false">
      <c r="B1165" s="4" t="n">
        <v>26218311</v>
      </c>
      <c r="C1165" s="4" t="s">
        <v>2711</v>
      </c>
      <c r="D1165" s="4" t="s">
        <v>433</v>
      </c>
      <c r="E1165" s="4" t="s">
        <v>3243</v>
      </c>
      <c r="F1165" s="127" t="n">
        <v>46162</v>
      </c>
      <c r="G1165" s="127" t="n">
        <v>46188</v>
      </c>
      <c r="H1165" s="127" t="n">
        <v>46293</v>
      </c>
      <c r="I1165" s="4" t="n">
        <v>100</v>
      </c>
      <c r="J1165" s="4" t="n">
        <v>100</v>
      </c>
      <c r="K1165" s="4" t="n">
        <v>100</v>
      </c>
      <c r="M1165" s="2" t="str">
        <f aca="false">IF(C1165="","",IFERROR(INDEX($S$5:$S$304,MATCH(C1165,$R$5:$R$304,0))&amp;"","?"))</f>
        <v>17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1</v>
      </c>
      <c r="O1165" s="2" t="str">
        <f aca="false">IF(OR(F1165="",G1165=""),"",IF(G1165&lt;='RETRATO 2027'!$K$5,"CONCLUÍDA",IF(F1165&lt;='RETRATO 2027'!$K$5,"EM ANDAMENTO","A INICIAR")))</f>
        <v>CONCLUÍDA</v>
      </c>
    </row>
    <row r="1166" customFormat="false" ht="15" hidden="false" customHeight="false" outlineLevel="0" collapsed="false">
      <c r="B1166" s="4" t="n">
        <v>9364437</v>
      </c>
      <c r="C1166" s="4" t="s">
        <v>2711</v>
      </c>
      <c r="D1166" s="4" t="s">
        <v>3244</v>
      </c>
      <c r="E1166" s="4" t="s">
        <v>3243</v>
      </c>
      <c r="F1166" s="127" t="n">
        <v>46162</v>
      </c>
      <c r="G1166" s="127" t="n">
        <v>46164</v>
      </c>
      <c r="H1166" s="127" t="n">
        <v>46293</v>
      </c>
      <c r="I1166" s="4" t="n">
        <v>100</v>
      </c>
      <c r="J1166" s="4" t="n">
        <v>100</v>
      </c>
      <c r="K1166" s="4" t="n">
        <v>100</v>
      </c>
      <c r="M1166" s="2" t="str">
        <f aca="false">IF(C1166="","",IFERROR(INDEX($S$5:$S$304,MATCH(C1166,$R$5:$R$304,0))&amp;"","?"))</f>
        <v>17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</v>
      </c>
      <c r="O1166" s="2" t="str">
        <f aca="false">IF(OR(F1166="",G1166=""),"",IF(G1166&lt;='RETRATO 2027'!$K$5,"CONCLUÍDA",IF(F1166&lt;='RETRATO 2027'!$K$5,"EM ANDAMENTO","A INICIAR")))</f>
        <v>CONCLUÍDA</v>
      </c>
    </row>
    <row r="1167" customFormat="false" ht="15" hidden="false" customHeight="false" outlineLevel="0" collapsed="false">
      <c r="B1167" s="4" t="n">
        <v>9364438</v>
      </c>
      <c r="C1167" s="4" t="s">
        <v>2711</v>
      </c>
      <c r="D1167" s="4" t="s">
        <v>3245</v>
      </c>
      <c r="E1167" s="4" t="s">
        <v>3243</v>
      </c>
      <c r="F1167" s="127" t="n">
        <v>46164</v>
      </c>
      <c r="G1167" s="127" t="n">
        <v>46168</v>
      </c>
      <c r="H1167" s="127" t="n">
        <v>46293</v>
      </c>
      <c r="I1167" s="4" t="n">
        <v>100</v>
      </c>
      <c r="J1167" s="4" t="n">
        <v>100</v>
      </c>
      <c r="K1167" s="4" t="n">
        <v>100</v>
      </c>
      <c r="M1167" s="2" t="str">
        <f aca="false">IF(C1167="","",IFERROR(INDEX($S$5:$S$304,MATCH(C1167,$R$5:$R$304,0))&amp;"","?"))</f>
        <v>17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</v>
      </c>
      <c r="O1167" s="2" t="str">
        <f aca="false">IF(OR(F1167="",G1167=""),"",IF(G1167&lt;='RETRATO 2027'!$K$5,"CONCLUÍDA",IF(F1167&lt;='RETRATO 2027'!$K$5,"EM ANDAMENTO","A INICIAR")))</f>
        <v>CONCLUÍDA</v>
      </c>
    </row>
    <row r="1168" customFormat="false" ht="15" hidden="false" customHeight="false" outlineLevel="0" collapsed="false">
      <c r="B1168" s="4" t="n">
        <v>9364439</v>
      </c>
      <c r="C1168" s="4" t="s">
        <v>2711</v>
      </c>
      <c r="D1168" s="4" t="s">
        <v>3246</v>
      </c>
      <c r="E1168" s="4" t="s">
        <v>3243</v>
      </c>
      <c r="F1168" s="127" t="n">
        <v>46167</v>
      </c>
      <c r="G1168" s="127" t="n">
        <v>46171</v>
      </c>
      <c r="H1168" s="127" t="n">
        <v>46293</v>
      </c>
      <c r="I1168" s="4" t="n">
        <v>100</v>
      </c>
      <c r="J1168" s="4" t="n">
        <v>100</v>
      </c>
      <c r="K1168" s="4" t="n">
        <v>100</v>
      </c>
      <c r="M1168" s="2" t="str">
        <f aca="false">IF(C1168="","",IFERROR(INDEX($S$5:$S$304,MATCH(C1168,$R$5:$R$304,0))&amp;"","?"))</f>
        <v>17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</v>
      </c>
      <c r="O1168" s="2" t="str">
        <f aca="false">IF(OR(F1168="",G1168=""),"",IF(G1168&lt;='RETRATO 2027'!$K$5,"CONCLUÍDA",IF(F1168&lt;='RETRATO 2027'!$K$5,"EM ANDAMENTO","A INICIAR")))</f>
        <v>CONCLUÍDA</v>
      </c>
    </row>
    <row r="1169" customFormat="false" ht="15" hidden="false" customHeight="false" outlineLevel="0" collapsed="false">
      <c r="B1169" s="4" t="n">
        <v>9364440</v>
      </c>
      <c r="C1169" s="4" t="s">
        <v>2711</v>
      </c>
      <c r="D1169" s="4" t="s">
        <v>3247</v>
      </c>
      <c r="E1169" s="4" t="s">
        <v>3243</v>
      </c>
      <c r="F1169" s="127" t="n">
        <v>46174</v>
      </c>
      <c r="G1169" s="127" t="n">
        <v>46174</v>
      </c>
      <c r="H1169" s="127" t="n">
        <v>46293</v>
      </c>
      <c r="I1169" s="4" t="n">
        <v>100</v>
      </c>
      <c r="J1169" s="4" t="n">
        <v>100</v>
      </c>
      <c r="K1169" s="4" t="n">
        <v>100</v>
      </c>
      <c r="M1169" s="2" t="str">
        <f aca="false">IF(C1169="","",IFERROR(INDEX($S$5:$S$304,MATCH(C1169,$R$5:$R$304,0))&amp;"","?"))</f>
        <v>17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</v>
      </c>
      <c r="O1169" s="2" t="str">
        <f aca="false">IF(OR(F1169="",G1169=""),"",IF(G1169&lt;='RETRATO 2027'!$K$5,"CONCLUÍDA",IF(F1169&lt;='RETRATO 2027'!$K$5,"EM ANDAMENTO","A INICIAR")))</f>
        <v>CONCLUÍDA</v>
      </c>
    </row>
    <row r="1170" customFormat="false" ht="15" hidden="false" customHeight="false" outlineLevel="0" collapsed="false">
      <c r="B1170" s="4" t="n">
        <v>9364441</v>
      </c>
      <c r="C1170" s="4" t="s">
        <v>2711</v>
      </c>
      <c r="D1170" s="4" t="s">
        <v>3248</v>
      </c>
      <c r="E1170" s="4" t="s">
        <v>3243</v>
      </c>
      <c r="F1170" s="127" t="n">
        <v>46175</v>
      </c>
      <c r="G1170" s="127" t="n">
        <v>46182</v>
      </c>
      <c r="H1170" s="127" t="n">
        <v>46293</v>
      </c>
      <c r="I1170" s="4" t="n">
        <v>100</v>
      </c>
      <c r="J1170" s="4" t="n">
        <v>100</v>
      </c>
      <c r="K1170" s="4" t="n">
        <v>100</v>
      </c>
      <c r="M1170" s="2" t="str">
        <f aca="false">IF(C1170="","",IFERROR(INDEX($S$5:$S$304,MATCH(C1170,$R$5:$R$304,0))&amp;"","?"))</f>
        <v>17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1</v>
      </c>
      <c r="O1170" s="2" t="str">
        <f aca="false">IF(OR(F1170="",G1170=""),"",IF(G1170&lt;='RETRATO 2027'!$K$5,"CONCLUÍDA",IF(F1170&lt;='RETRATO 2027'!$K$5,"EM ANDAMENTO","A INICIAR")))</f>
        <v>CONCLUÍDA</v>
      </c>
    </row>
    <row r="1171" customFormat="false" ht="15" hidden="false" customHeight="false" outlineLevel="0" collapsed="false">
      <c r="B1171" s="4" t="n">
        <v>9364442</v>
      </c>
      <c r="C1171" s="4" t="s">
        <v>2711</v>
      </c>
      <c r="D1171" s="4" t="s">
        <v>3249</v>
      </c>
      <c r="E1171" s="4" t="s">
        <v>3243</v>
      </c>
      <c r="F1171" s="127" t="n">
        <v>46176</v>
      </c>
      <c r="G1171" s="127" t="n">
        <v>46184</v>
      </c>
      <c r="H1171" s="127" t="n">
        <v>46293</v>
      </c>
      <c r="I1171" s="4" t="n">
        <v>100</v>
      </c>
      <c r="J1171" s="4" t="n">
        <v>100</v>
      </c>
      <c r="K1171" s="4" t="n">
        <v>100</v>
      </c>
      <c r="M1171" s="2" t="str">
        <f aca="false">IF(C1171="","",IFERROR(INDEX($S$5:$S$304,MATCH(C1171,$R$5:$R$304,0))&amp;"","?"))</f>
        <v>17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1</v>
      </c>
      <c r="O1171" s="2" t="str">
        <f aca="false">IF(OR(F1171="",G1171=""),"",IF(G1171&lt;='RETRATO 2027'!$K$5,"CONCLUÍDA",IF(F1171&lt;='RETRATO 2027'!$K$5,"EM ANDAMENTO","A INICIAR")))</f>
        <v>CONCLUÍDA</v>
      </c>
    </row>
    <row r="1172" customFormat="false" ht="15" hidden="false" customHeight="false" outlineLevel="0" collapsed="false">
      <c r="B1172" s="4" t="n">
        <v>9364443</v>
      </c>
      <c r="C1172" s="4" t="s">
        <v>2711</v>
      </c>
      <c r="D1172" s="4" t="s">
        <v>3250</v>
      </c>
      <c r="E1172" s="4" t="s">
        <v>3243</v>
      </c>
      <c r="F1172" s="127" t="n">
        <v>46183</v>
      </c>
      <c r="G1172" s="127" t="n">
        <v>46184</v>
      </c>
      <c r="H1172" s="127" t="n">
        <v>46293</v>
      </c>
      <c r="I1172" s="4" t="n">
        <v>100</v>
      </c>
      <c r="J1172" s="4" t="n">
        <v>100</v>
      </c>
      <c r="K1172" s="4" t="n">
        <v>100</v>
      </c>
      <c r="M1172" s="2" t="str">
        <f aca="false">IF(C1172="","",IFERROR(INDEX($S$5:$S$304,MATCH(C1172,$R$5:$R$304,0))&amp;"","?"))</f>
        <v>17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1</v>
      </c>
      <c r="O1172" s="2" t="str">
        <f aca="false">IF(OR(F1172="",G1172=""),"",IF(G1172&lt;='RETRATO 2027'!$K$5,"CONCLUÍDA",IF(F1172&lt;='RETRATO 2027'!$K$5,"EM ANDAMENTO","A INICIAR")))</f>
        <v>CONCLUÍDA</v>
      </c>
    </row>
    <row r="1173" customFormat="false" ht="15" hidden="false" customHeight="false" outlineLevel="0" collapsed="false">
      <c r="B1173" s="4" t="n">
        <v>9364444</v>
      </c>
      <c r="C1173" s="4" t="s">
        <v>2711</v>
      </c>
      <c r="D1173" s="4" t="s">
        <v>3251</v>
      </c>
      <c r="E1173" s="4" t="s">
        <v>3243</v>
      </c>
      <c r="F1173" s="127" t="n">
        <v>46184</v>
      </c>
      <c r="G1173" s="127" t="n">
        <v>46185</v>
      </c>
      <c r="H1173" s="127" t="n">
        <v>46293</v>
      </c>
      <c r="I1173" s="4" t="n">
        <v>100</v>
      </c>
      <c r="J1173" s="4" t="n">
        <v>100</v>
      </c>
      <c r="K1173" s="4" t="n">
        <v>100</v>
      </c>
      <c r="M1173" s="2" t="str">
        <f aca="false">IF(C1173="","",IFERROR(INDEX($S$5:$S$304,MATCH(C1173,$R$5:$R$304,0))&amp;"","?"))</f>
        <v>17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1</v>
      </c>
      <c r="O1173" s="2" t="str">
        <f aca="false">IF(OR(F1173="",G1173=""),"",IF(G1173&lt;='RETRATO 2027'!$K$5,"CONCLUÍDA",IF(F1173&lt;='RETRATO 2027'!$K$5,"EM ANDAMENTO","A INICIAR")))</f>
        <v>CONCLUÍDA</v>
      </c>
    </row>
    <row r="1174" customFormat="false" ht="15" hidden="false" customHeight="false" outlineLevel="0" collapsed="false">
      <c r="B1174" s="4" t="n">
        <v>9364445</v>
      </c>
      <c r="C1174" s="4" t="s">
        <v>2711</v>
      </c>
      <c r="D1174" s="4" t="s">
        <v>3252</v>
      </c>
      <c r="E1174" s="4" t="s">
        <v>3243</v>
      </c>
      <c r="F1174" s="127" t="n">
        <v>46188</v>
      </c>
      <c r="G1174" s="127" t="n">
        <v>46188</v>
      </c>
      <c r="H1174" s="127" t="n">
        <v>46293</v>
      </c>
      <c r="I1174" s="4" t="n">
        <v>100</v>
      </c>
      <c r="J1174" s="4" t="n">
        <v>100</v>
      </c>
      <c r="K1174" s="4" t="n">
        <v>100</v>
      </c>
      <c r="M1174" s="2" t="str">
        <f aca="false">IF(C1174="","",IFERROR(INDEX($S$5:$S$304,MATCH(C1174,$R$5:$R$304,0))&amp;"","?"))</f>
        <v>17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1</v>
      </c>
      <c r="O1174" s="2" t="str">
        <f aca="false">IF(OR(F1174="",G1174=""),"",IF(G1174&lt;='RETRATO 2027'!$K$5,"CONCLUÍDA",IF(F1174&lt;='RETRATO 2027'!$K$5,"EM ANDAMENTO","A INICIAR")))</f>
        <v>CONCLUÍDA</v>
      </c>
    </row>
    <row r="1175" customFormat="false" ht="15" hidden="false" customHeight="false" outlineLevel="0" collapsed="false">
      <c r="B1175" s="4" t="n">
        <v>39808840</v>
      </c>
      <c r="C1175" s="4" t="s">
        <v>2765</v>
      </c>
      <c r="D1175" s="4" t="s">
        <v>433</v>
      </c>
      <c r="E1175" s="4" t="s">
        <v>3243</v>
      </c>
      <c r="F1175" s="127" t="n">
        <v>46163</v>
      </c>
      <c r="G1175" s="127" t="n">
        <v>46188</v>
      </c>
      <c r="H1175" s="127" t="n">
        <v>46293</v>
      </c>
      <c r="I1175" s="4" t="n">
        <v>100</v>
      </c>
      <c r="J1175" s="4" t="n">
        <v>100</v>
      </c>
      <c r="K1175" s="4" t="n">
        <v>100</v>
      </c>
      <c r="M1175" s="2" t="str">
        <f aca="false">IF(C1175="","",IFERROR(INDEX($S$5:$S$304,MATCH(C1175,$R$5:$R$304,0))&amp;"","?"))</f>
        <v>17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1</v>
      </c>
      <c r="O1175" s="2" t="str">
        <f aca="false">IF(OR(F1175="",G1175=""),"",IF(G1175&lt;='RETRATO 2027'!$K$5,"CONCLUÍDA",IF(F1175&lt;='RETRATO 2027'!$K$5,"EM ANDAMENTO","A INICIAR")))</f>
        <v>CONCLUÍDA</v>
      </c>
    </row>
    <row r="1176" customFormat="false" ht="15" hidden="false" customHeight="false" outlineLevel="0" collapsed="false">
      <c r="B1176" s="4" t="n">
        <v>19473624</v>
      </c>
      <c r="C1176" s="4" t="s">
        <v>2765</v>
      </c>
      <c r="D1176" s="4" t="s">
        <v>3575</v>
      </c>
      <c r="E1176" s="4" t="s">
        <v>3243</v>
      </c>
      <c r="F1176" s="127" t="n">
        <v>46163</v>
      </c>
      <c r="G1176" s="127" t="n">
        <v>46167</v>
      </c>
      <c r="H1176" s="127" t="n">
        <v>46293</v>
      </c>
      <c r="I1176" s="4" t="n">
        <v>100</v>
      </c>
      <c r="J1176" s="4" t="n">
        <v>100</v>
      </c>
      <c r="K1176" s="4" t="n">
        <v>100</v>
      </c>
      <c r="M1176" s="2" t="str">
        <f aca="false">IF(C1176="","",IFERROR(INDEX($S$5:$S$304,MATCH(C1176,$R$5:$R$304,0))&amp;"","?"))</f>
        <v>17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1</v>
      </c>
      <c r="O1176" s="2" t="str">
        <f aca="false">IF(OR(F1176="",G1176=""),"",IF(G1176&lt;='RETRATO 2027'!$K$5,"CONCLUÍDA",IF(F1176&lt;='RETRATO 2027'!$K$5,"EM ANDAMENTO","A INICIAR")))</f>
        <v>CONCLUÍDA</v>
      </c>
    </row>
    <row r="1177" customFormat="false" ht="15" hidden="false" customHeight="false" outlineLevel="0" collapsed="false">
      <c r="B1177" s="4" t="n">
        <v>19473625</v>
      </c>
      <c r="C1177" s="4" t="s">
        <v>2765</v>
      </c>
      <c r="D1177" s="4" t="s">
        <v>3576</v>
      </c>
      <c r="E1177" s="4" t="s">
        <v>3243</v>
      </c>
      <c r="F1177" s="127" t="n">
        <v>46168</v>
      </c>
      <c r="G1177" s="127" t="n">
        <v>46170</v>
      </c>
      <c r="H1177" s="127" t="n">
        <v>46293</v>
      </c>
      <c r="I1177" s="4" t="n">
        <v>100</v>
      </c>
      <c r="J1177" s="4" t="n">
        <v>100</v>
      </c>
      <c r="K1177" s="4" t="n">
        <v>100</v>
      </c>
      <c r="M1177" s="2" t="str">
        <f aca="false">IF(C1177="","",IFERROR(INDEX($S$5:$S$304,MATCH(C1177,$R$5:$R$304,0))&amp;"","?"))</f>
        <v>17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1</v>
      </c>
      <c r="O1177" s="2" t="str">
        <f aca="false">IF(OR(F1177="",G1177=""),"",IF(G1177&lt;='RETRATO 2027'!$K$5,"CONCLUÍDA",IF(F1177&lt;='RETRATO 2027'!$K$5,"EM ANDAMENTO","A INICIAR")))</f>
        <v>CONCLUÍDA</v>
      </c>
    </row>
    <row r="1178" customFormat="false" ht="15" hidden="false" customHeight="false" outlineLevel="0" collapsed="false">
      <c r="B1178" s="4" t="n">
        <v>19473626</v>
      </c>
      <c r="C1178" s="4" t="s">
        <v>2765</v>
      </c>
      <c r="D1178" s="4" t="s">
        <v>3613</v>
      </c>
      <c r="E1178" s="4" t="s">
        <v>3243</v>
      </c>
      <c r="F1178" s="127" t="n">
        <v>46169</v>
      </c>
      <c r="G1178" s="127" t="n">
        <v>46174</v>
      </c>
      <c r="H1178" s="127" t="n">
        <v>46293</v>
      </c>
      <c r="I1178" s="4" t="n">
        <v>100</v>
      </c>
      <c r="J1178" s="4" t="n">
        <v>100</v>
      </c>
      <c r="K1178" s="4" t="n">
        <v>100</v>
      </c>
      <c r="M1178" s="2" t="str">
        <f aca="false">IF(C1178="","",IFERROR(INDEX($S$5:$S$304,MATCH(C1178,$R$5:$R$304,0))&amp;"","?"))</f>
        <v>17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1</v>
      </c>
      <c r="O1178" s="2" t="str">
        <f aca="false">IF(OR(F1178="",G1178=""),"",IF(G1178&lt;='RETRATO 2027'!$K$5,"CONCLUÍDA",IF(F1178&lt;='RETRATO 2027'!$K$5,"EM ANDAMENTO","A INICIAR")))</f>
        <v>CONCLUÍDA</v>
      </c>
    </row>
    <row r="1179" customFormat="false" ht="15" hidden="false" customHeight="false" outlineLevel="0" collapsed="false">
      <c r="B1179" s="4" t="n">
        <v>19473627</v>
      </c>
      <c r="C1179" s="4" t="s">
        <v>2765</v>
      </c>
      <c r="D1179" s="4" t="s">
        <v>3614</v>
      </c>
      <c r="E1179" s="4" t="s">
        <v>3243</v>
      </c>
      <c r="F1179" s="127" t="n">
        <v>46175</v>
      </c>
      <c r="G1179" s="127" t="n">
        <v>46178</v>
      </c>
      <c r="H1179" s="127" t="n">
        <v>46293</v>
      </c>
      <c r="I1179" s="4" t="n">
        <v>100</v>
      </c>
      <c r="J1179" s="4" t="n">
        <v>100</v>
      </c>
      <c r="K1179" s="4" t="n">
        <v>100</v>
      </c>
      <c r="M1179" s="2" t="str">
        <f aca="false">IF(C1179="","",IFERROR(INDEX($S$5:$S$304,MATCH(C1179,$R$5:$R$304,0))&amp;"","?"))</f>
        <v>17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1</v>
      </c>
      <c r="O1179" s="2" t="str">
        <f aca="false">IF(OR(F1179="",G1179=""),"",IF(G1179&lt;='RETRATO 2027'!$K$5,"CONCLUÍDA",IF(F1179&lt;='RETRATO 2027'!$K$5,"EM ANDAMENTO","A INICIAR")))</f>
        <v>CONCLUÍDA</v>
      </c>
    </row>
    <row r="1180" customFormat="false" ht="15" hidden="false" customHeight="false" outlineLevel="0" collapsed="false">
      <c r="B1180" s="4" t="n">
        <v>19473628</v>
      </c>
      <c r="C1180" s="4" t="s">
        <v>2765</v>
      </c>
      <c r="D1180" s="4" t="s">
        <v>3615</v>
      </c>
      <c r="E1180" s="4" t="s">
        <v>3243</v>
      </c>
      <c r="F1180" s="127" t="n">
        <v>46181</v>
      </c>
      <c r="G1180" s="127" t="n">
        <v>46181</v>
      </c>
      <c r="H1180" s="127" t="n">
        <v>46293</v>
      </c>
      <c r="I1180" s="4" t="n">
        <v>100</v>
      </c>
      <c r="J1180" s="4" t="n">
        <v>100</v>
      </c>
      <c r="K1180" s="4" t="n">
        <v>100</v>
      </c>
      <c r="M1180" s="2" t="str">
        <f aca="false">IF(C1180="","",IFERROR(INDEX($S$5:$S$304,MATCH(C1180,$R$5:$R$304,0))&amp;"","?"))</f>
        <v>17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1</v>
      </c>
      <c r="O1180" s="2" t="str">
        <f aca="false">IF(OR(F1180="",G1180=""),"",IF(G1180&lt;='RETRATO 2027'!$K$5,"CONCLUÍDA",IF(F1180&lt;='RETRATO 2027'!$K$5,"EM ANDAMENTO","A INICIAR")))</f>
        <v>CONCLUÍDA</v>
      </c>
    </row>
    <row r="1181" customFormat="false" ht="15" hidden="false" customHeight="false" outlineLevel="0" collapsed="false">
      <c r="B1181" s="4" t="n">
        <v>19473629</v>
      </c>
      <c r="C1181" s="4" t="s">
        <v>2765</v>
      </c>
      <c r="D1181" s="4" t="s">
        <v>3616</v>
      </c>
      <c r="E1181" s="4" t="s">
        <v>3243</v>
      </c>
      <c r="F1181" s="127" t="n">
        <v>46178</v>
      </c>
      <c r="G1181" s="127" t="n">
        <v>46184</v>
      </c>
      <c r="H1181" s="127" t="n">
        <v>46293</v>
      </c>
      <c r="I1181" s="4" t="n">
        <v>100</v>
      </c>
      <c r="J1181" s="4" t="n">
        <v>100</v>
      </c>
      <c r="K1181" s="4" t="n">
        <v>100</v>
      </c>
      <c r="M1181" s="2" t="str">
        <f aca="false">IF(C1181="","",IFERROR(INDEX($S$5:$S$304,MATCH(C1181,$R$5:$R$304,0))&amp;"","?"))</f>
        <v>17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1</v>
      </c>
      <c r="O1181" s="2" t="str">
        <f aca="false">IF(OR(F1181="",G1181=""),"",IF(G1181&lt;='RETRATO 2027'!$K$5,"CONCLUÍDA",IF(F1181&lt;='RETRATO 2027'!$K$5,"EM ANDAMENTO","A INICIAR")))</f>
        <v>CONCLUÍDA</v>
      </c>
    </row>
    <row r="1182" customFormat="false" ht="15" hidden="false" customHeight="false" outlineLevel="0" collapsed="false">
      <c r="B1182" s="4" t="n">
        <v>19473630</v>
      </c>
      <c r="C1182" s="4" t="s">
        <v>2765</v>
      </c>
      <c r="D1182" s="4" t="s">
        <v>3536</v>
      </c>
      <c r="E1182" s="4" t="s">
        <v>3243</v>
      </c>
      <c r="F1182" s="127" t="n">
        <v>46183</v>
      </c>
      <c r="G1182" s="127" t="n">
        <v>46185</v>
      </c>
      <c r="H1182" s="127" t="n">
        <v>46293</v>
      </c>
      <c r="I1182" s="4" t="n">
        <v>100</v>
      </c>
      <c r="J1182" s="4" t="n">
        <v>100</v>
      </c>
      <c r="K1182" s="4" t="n">
        <v>100</v>
      </c>
      <c r="M1182" s="2" t="str">
        <f aca="false">IF(C1182="","",IFERROR(INDEX($S$5:$S$304,MATCH(C1182,$R$5:$R$304,0))&amp;"","?"))</f>
        <v>17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1</v>
      </c>
      <c r="O1182" s="2" t="str">
        <f aca="false">IF(OR(F1182="",G1182=""),"",IF(G1182&lt;='RETRATO 2027'!$K$5,"CONCLUÍDA",IF(F1182&lt;='RETRATO 2027'!$K$5,"EM ANDAMENTO","A INICIAR")))</f>
        <v>CONCLUÍDA</v>
      </c>
    </row>
    <row r="1183" customFormat="false" ht="15" hidden="false" customHeight="false" outlineLevel="0" collapsed="false">
      <c r="B1183" s="4" t="n">
        <v>29147639</v>
      </c>
      <c r="C1183" s="4" t="s">
        <v>2765</v>
      </c>
      <c r="D1183" s="4" t="s">
        <v>3563</v>
      </c>
      <c r="E1183" s="4" t="s">
        <v>3243</v>
      </c>
      <c r="F1183" s="127" t="n">
        <v>46188</v>
      </c>
      <c r="G1183" s="127" t="n">
        <v>46188</v>
      </c>
      <c r="H1183" s="127" t="n">
        <v>46293</v>
      </c>
      <c r="I1183" s="4" t="n">
        <v>0</v>
      </c>
      <c r="J1183" s="4" t="n">
        <v>100</v>
      </c>
      <c r="K1183" s="4" t="n">
        <v>100</v>
      </c>
      <c r="M1183" s="2" t="str">
        <f aca="false">IF(C1183="","",IFERROR(INDEX($S$5:$S$304,MATCH(C1183,$R$5:$R$304,0))&amp;"","?"))</f>
        <v>17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1</v>
      </c>
      <c r="O1183" s="2" t="str">
        <f aca="false">IF(OR(F1183="",G1183=""),"",IF(G1183&lt;='RETRATO 2027'!$K$5,"CONCLUÍDA",IF(F1183&lt;='RETRATO 2027'!$K$5,"EM ANDAMENTO","A INICIAR")))</f>
        <v>CONCLUÍDA</v>
      </c>
    </row>
    <row r="1184" customFormat="false" ht="15" hidden="false" customHeight="false" outlineLevel="0" collapsed="false">
      <c r="B1184" s="4" t="n">
        <v>44887641</v>
      </c>
      <c r="C1184" s="4" t="s">
        <v>2749</v>
      </c>
      <c r="D1184" s="4" t="s">
        <v>433</v>
      </c>
      <c r="E1184" s="4" t="s">
        <v>3449</v>
      </c>
      <c r="F1184" s="127" t="n">
        <v>46167</v>
      </c>
      <c r="G1184" s="127" t="n">
        <v>46181</v>
      </c>
      <c r="H1184" s="127" t="n">
        <v>46293</v>
      </c>
      <c r="I1184" s="4" t="n">
        <v>0</v>
      </c>
      <c r="J1184" s="4" t="n">
        <v>100</v>
      </c>
      <c r="K1184" s="4" t="n">
        <v>100</v>
      </c>
      <c r="M1184" s="2" t="str">
        <f aca="false">IF(C1184="","",IFERROR(INDEX($S$5:$S$304,MATCH(C1184,$R$5:$R$304,0))&amp;"","?"))</f>
        <v>17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-2</v>
      </c>
      <c r="O1184" s="2" t="str">
        <f aca="false">IF(OR(F1184="",G1184=""),"",IF(G1184&lt;='RETRATO 2027'!$K$5,"CONCLUÍDA",IF(F1184&lt;='RETRATO 2027'!$K$5,"EM ANDAMENTO","A INICIAR")))</f>
        <v>CONCLUÍDA</v>
      </c>
    </row>
    <row r="1185" customFormat="false" ht="15" hidden="false" customHeight="false" outlineLevel="0" collapsed="false">
      <c r="B1185" s="4" t="n">
        <v>28964538</v>
      </c>
      <c r="C1185" s="4" t="s">
        <v>2749</v>
      </c>
      <c r="D1185" s="4" t="s">
        <v>3554</v>
      </c>
      <c r="E1185" s="4" t="s">
        <v>3449</v>
      </c>
      <c r="F1185" s="127" t="n">
        <v>46167</v>
      </c>
      <c r="G1185" s="127" t="n">
        <v>46167</v>
      </c>
      <c r="H1185" s="127" t="n">
        <v>46293</v>
      </c>
      <c r="I1185" s="4" t="n">
        <v>0</v>
      </c>
      <c r="J1185" s="4" t="n">
        <v>100</v>
      </c>
      <c r="K1185" s="4" t="n">
        <v>100</v>
      </c>
      <c r="M1185" s="2" t="str">
        <f aca="false">IF(C1185="","",IFERROR(INDEX($S$5:$S$304,MATCH(C1185,$R$5:$R$304,0))&amp;"","?"))</f>
        <v>17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-2</v>
      </c>
      <c r="O1185" s="2" t="str">
        <f aca="false">IF(OR(F1185="",G1185=""),"",IF(G1185&lt;='RETRATO 2027'!$K$5,"CONCLUÍDA",IF(F1185&lt;='RETRATO 2027'!$K$5,"EM ANDAMENTO","A INICIAR")))</f>
        <v>CONCLUÍDA</v>
      </c>
    </row>
    <row r="1186" customFormat="false" ht="15" hidden="false" customHeight="false" outlineLevel="0" collapsed="false">
      <c r="B1186" s="4" t="n">
        <v>28964539</v>
      </c>
      <c r="C1186" s="4" t="s">
        <v>2749</v>
      </c>
      <c r="D1186" s="4" t="s">
        <v>3543</v>
      </c>
      <c r="E1186" s="4" t="s">
        <v>3449</v>
      </c>
      <c r="F1186" s="127" t="n">
        <v>46168</v>
      </c>
      <c r="G1186" s="127" t="n">
        <v>46168</v>
      </c>
      <c r="H1186" s="127" t="n">
        <v>46293</v>
      </c>
      <c r="I1186" s="4" t="n">
        <v>0</v>
      </c>
      <c r="J1186" s="4" t="n">
        <v>100</v>
      </c>
      <c r="K1186" s="4" t="n">
        <v>100</v>
      </c>
      <c r="M1186" s="2" t="str">
        <f aca="false">IF(C1186="","",IFERROR(INDEX($S$5:$S$304,MATCH(C1186,$R$5:$R$304,0))&amp;"","?"))</f>
        <v>17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-2</v>
      </c>
      <c r="O1186" s="2" t="str">
        <f aca="false">IF(OR(F1186="",G1186=""),"",IF(G1186&lt;='RETRATO 2027'!$K$5,"CONCLUÍDA",IF(F1186&lt;='RETRATO 2027'!$K$5,"EM ANDAMENTO","A INICIAR")))</f>
        <v>CONCLUÍDA</v>
      </c>
    </row>
    <row r="1187" customFormat="false" ht="15" hidden="false" customHeight="false" outlineLevel="0" collapsed="false">
      <c r="B1187" s="4" t="n">
        <v>28964540</v>
      </c>
      <c r="C1187" s="4" t="s">
        <v>2749</v>
      </c>
      <c r="D1187" s="4" t="s">
        <v>3498</v>
      </c>
      <c r="E1187" s="4" t="s">
        <v>3449</v>
      </c>
      <c r="F1187" s="127" t="n">
        <v>46169</v>
      </c>
      <c r="G1187" s="127" t="n">
        <v>46174</v>
      </c>
      <c r="H1187" s="127" t="n">
        <v>46293</v>
      </c>
      <c r="I1187" s="4" t="n">
        <v>0</v>
      </c>
      <c r="J1187" s="4" t="n">
        <v>100</v>
      </c>
      <c r="K1187" s="4" t="n">
        <v>100</v>
      </c>
      <c r="M1187" s="2" t="str">
        <f aca="false">IF(C1187="","",IFERROR(INDEX($S$5:$S$304,MATCH(C1187,$R$5:$R$304,0))&amp;"","?"))</f>
        <v>17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-2</v>
      </c>
      <c r="O1187" s="2" t="str">
        <f aca="false">IF(OR(F1187="",G1187=""),"",IF(G1187&lt;='RETRATO 2027'!$K$5,"CONCLUÍDA",IF(F1187&lt;='RETRATO 2027'!$K$5,"EM ANDAMENTO","A INICIAR")))</f>
        <v>CONCLUÍDA</v>
      </c>
    </row>
    <row r="1188" customFormat="false" ht="15" hidden="false" customHeight="false" outlineLevel="0" collapsed="false">
      <c r="B1188" s="4" t="n">
        <v>28964541</v>
      </c>
      <c r="C1188" s="4" t="s">
        <v>2749</v>
      </c>
      <c r="D1188" s="4" t="s">
        <v>3536</v>
      </c>
      <c r="E1188" s="4" t="s">
        <v>3449</v>
      </c>
      <c r="F1188" s="127" t="n">
        <v>46175</v>
      </c>
      <c r="G1188" s="127" t="n">
        <v>46178</v>
      </c>
      <c r="H1188" s="127" t="n">
        <v>46293</v>
      </c>
      <c r="I1188" s="4" t="n">
        <v>0</v>
      </c>
      <c r="J1188" s="4" t="n">
        <v>100</v>
      </c>
      <c r="K1188" s="4" t="n">
        <v>100</v>
      </c>
      <c r="M1188" s="2" t="str">
        <f aca="false">IF(C1188="","",IFERROR(INDEX($S$5:$S$304,MATCH(C1188,$R$5:$R$304,0))&amp;"","?"))</f>
        <v>17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-2</v>
      </c>
      <c r="O1188" s="2" t="str">
        <f aca="false">IF(OR(F1188="",G1188=""),"",IF(G1188&lt;='RETRATO 2027'!$K$5,"CONCLUÍDA",IF(F1188&lt;='RETRATO 2027'!$K$5,"EM ANDAMENTO","A INICIAR")))</f>
        <v>CONCLUÍDA</v>
      </c>
    </row>
    <row r="1189" customFormat="false" ht="15" hidden="false" customHeight="false" outlineLevel="0" collapsed="false">
      <c r="B1189" s="4" t="n">
        <v>28964542</v>
      </c>
      <c r="C1189" s="4" t="s">
        <v>2749</v>
      </c>
      <c r="D1189" s="4" t="s">
        <v>3617</v>
      </c>
      <c r="E1189" s="4" t="s">
        <v>3449</v>
      </c>
      <c r="F1189" s="127" t="n">
        <v>46181</v>
      </c>
      <c r="G1189" s="127" t="n">
        <v>46181</v>
      </c>
      <c r="H1189" s="127" t="n">
        <v>46293</v>
      </c>
      <c r="I1189" s="4" t="n">
        <v>0</v>
      </c>
      <c r="J1189" s="4" t="n">
        <v>100</v>
      </c>
      <c r="K1189" s="4" t="n">
        <v>100</v>
      </c>
      <c r="M1189" s="2" t="str">
        <f aca="false">IF(C1189="","",IFERROR(INDEX($S$5:$S$304,MATCH(C1189,$R$5:$R$304,0))&amp;"","?"))</f>
        <v>17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-2</v>
      </c>
      <c r="O1189" s="2" t="str">
        <f aca="false">IF(OR(F1189="",G1189=""),"",IF(G1189&lt;='RETRATO 2027'!$K$5,"CONCLUÍDA",IF(F1189&lt;='RETRATO 2027'!$K$5,"EM ANDAMENTO","A INICIAR")))</f>
        <v>CONCLUÍDA</v>
      </c>
    </row>
    <row r="1190" customFormat="false" ht="15" hidden="false" customHeight="false" outlineLevel="0" collapsed="false">
      <c r="B1190" s="4" t="n">
        <v>39808841</v>
      </c>
      <c r="C1190" s="4" t="s">
        <v>2767</v>
      </c>
      <c r="D1190" s="4" t="s">
        <v>433</v>
      </c>
      <c r="E1190" s="4" t="s">
        <v>3243</v>
      </c>
      <c r="F1190" s="127" t="n">
        <v>46167</v>
      </c>
      <c r="G1190" s="127" t="n">
        <v>46190</v>
      </c>
      <c r="H1190" s="127" t="n">
        <v>46293</v>
      </c>
      <c r="I1190" s="4" t="n">
        <v>100</v>
      </c>
      <c r="J1190" s="4" t="n">
        <v>100</v>
      </c>
      <c r="K1190" s="4" t="n">
        <v>100</v>
      </c>
      <c r="M1190" s="2" t="str">
        <f aca="false">IF(C1190="","",IFERROR(INDEX($S$5:$S$304,MATCH(C1190,$R$5:$R$304,0))&amp;"","?"))</f>
        <v>17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1</v>
      </c>
      <c r="O1190" s="2" t="str">
        <f aca="false">IF(OR(F1190="",G1190=""),"",IF(G1190&lt;='RETRATO 2027'!$K$5,"CONCLUÍDA",IF(F1190&lt;='RETRATO 2027'!$K$5,"EM ANDAMENTO","A INICIAR")))</f>
        <v>CONCLUÍDA</v>
      </c>
    </row>
    <row r="1191" customFormat="false" ht="15" hidden="false" customHeight="false" outlineLevel="0" collapsed="false">
      <c r="B1191" s="4" t="n">
        <v>19473575</v>
      </c>
      <c r="C1191" s="4" t="s">
        <v>2767</v>
      </c>
      <c r="D1191" s="4" t="s">
        <v>3556</v>
      </c>
      <c r="E1191" s="4" t="s">
        <v>3243</v>
      </c>
      <c r="F1191" s="127" t="n">
        <v>46167</v>
      </c>
      <c r="G1191" s="127" t="n">
        <v>46169</v>
      </c>
      <c r="H1191" s="127" t="n">
        <v>46293</v>
      </c>
      <c r="I1191" s="4" t="n">
        <v>100</v>
      </c>
      <c r="J1191" s="4" t="n">
        <v>100</v>
      </c>
      <c r="K1191" s="4" t="n">
        <v>100</v>
      </c>
      <c r="M1191" s="2" t="str">
        <f aca="false">IF(C1191="","",IFERROR(INDEX($S$5:$S$304,MATCH(C1191,$R$5:$R$304,0))&amp;"","?"))</f>
        <v>17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1</v>
      </c>
      <c r="O1191" s="2" t="str">
        <f aca="false">IF(OR(F1191="",G1191=""),"",IF(G1191&lt;='RETRATO 2027'!$K$5,"CONCLUÍDA",IF(F1191&lt;='RETRATO 2027'!$K$5,"EM ANDAMENTO","A INICIAR")))</f>
        <v>CONCLUÍDA</v>
      </c>
    </row>
    <row r="1192" customFormat="false" ht="15" hidden="false" customHeight="false" outlineLevel="0" collapsed="false">
      <c r="B1192" s="4" t="n">
        <v>19473576</v>
      </c>
      <c r="C1192" s="4" t="s">
        <v>2767</v>
      </c>
      <c r="D1192" s="4" t="s">
        <v>3557</v>
      </c>
      <c r="E1192" s="4" t="s">
        <v>3243</v>
      </c>
      <c r="F1192" s="127" t="n">
        <v>46168</v>
      </c>
      <c r="G1192" s="127" t="n">
        <v>46170</v>
      </c>
      <c r="H1192" s="127" t="n">
        <v>46293</v>
      </c>
      <c r="I1192" s="4" t="n">
        <v>100</v>
      </c>
      <c r="J1192" s="4" t="n">
        <v>100</v>
      </c>
      <c r="K1192" s="4" t="n">
        <v>100</v>
      </c>
      <c r="M1192" s="2" t="str">
        <f aca="false">IF(C1192="","",IFERROR(INDEX($S$5:$S$304,MATCH(C1192,$R$5:$R$304,0))&amp;"","?"))</f>
        <v>17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1</v>
      </c>
      <c r="O1192" s="2" t="str">
        <f aca="false">IF(OR(F1192="",G1192=""),"",IF(G1192&lt;='RETRATO 2027'!$K$5,"CONCLUÍDA",IF(F1192&lt;='RETRATO 2027'!$K$5,"EM ANDAMENTO","A INICIAR")))</f>
        <v>CONCLUÍDA</v>
      </c>
    </row>
    <row r="1193" customFormat="false" ht="15" hidden="false" customHeight="false" outlineLevel="0" collapsed="false">
      <c r="B1193" s="4" t="n">
        <v>19473577</v>
      </c>
      <c r="C1193" s="4" t="s">
        <v>2767</v>
      </c>
      <c r="D1193" s="4" t="s">
        <v>3613</v>
      </c>
      <c r="E1193" s="4" t="s">
        <v>3243</v>
      </c>
      <c r="F1193" s="127" t="n">
        <v>46169</v>
      </c>
      <c r="G1193" s="127" t="n">
        <v>46174</v>
      </c>
      <c r="H1193" s="127" t="n">
        <v>46293</v>
      </c>
      <c r="I1193" s="4" t="n">
        <v>100</v>
      </c>
      <c r="J1193" s="4" t="n">
        <v>100</v>
      </c>
      <c r="K1193" s="4" t="n">
        <v>100</v>
      </c>
      <c r="M1193" s="2" t="str">
        <f aca="false">IF(C1193="","",IFERROR(INDEX($S$5:$S$304,MATCH(C1193,$R$5:$R$304,0))&amp;"","?"))</f>
        <v>17</v>
      </c>
      <c r="N1193" s="2" t="n">
        <f aca="false">IF(E1193="","",IF(ISNUMBER(SEARCH("SUBSOLO",E1193)),IFERROR(-VALUE(LEFT(E1193,FIND("º",SUBSTITUTE(E1193,"°","º"))-1)),-1),IF(LEFT(E1193,6)="TÉRREO",0,IFERROR(VALUE(LEFT(E1193,FIND("º",SUBSTITUTE(E1193,"°","º"))-1)),""))))</f>
        <v>1</v>
      </c>
      <c r="O1193" s="2" t="str">
        <f aca="false">IF(OR(F1193="",G1193=""),"",IF(G1193&lt;='RETRATO 2027'!$K$5,"CONCLUÍDA",IF(F1193&lt;='RETRATO 2027'!$K$5,"EM ANDAMENTO","A INICIAR")))</f>
        <v>CONCLUÍDA</v>
      </c>
    </row>
    <row r="1194" customFormat="false" ht="15" hidden="false" customHeight="false" outlineLevel="0" collapsed="false">
      <c r="B1194" s="4" t="n">
        <v>19473578</v>
      </c>
      <c r="C1194" s="4" t="s">
        <v>2767</v>
      </c>
      <c r="D1194" s="4" t="s">
        <v>3614</v>
      </c>
      <c r="E1194" s="4" t="s">
        <v>3243</v>
      </c>
      <c r="F1194" s="127" t="n">
        <v>46175</v>
      </c>
      <c r="G1194" s="127" t="n">
        <v>46178</v>
      </c>
      <c r="H1194" s="127" t="n">
        <v>46293</v>
      </c>
      <c r="I1194" s="4" t="n">
        <v>100</v>
      </c>
      <c r="J1194" s="4" t="n">
        <v>100</v>
      </c>
      <c r="K1194" s="4" t="n">
        <v>100</v>
      </c>
      <c r="M1194" s="2" t="str">
        <f aca="false">IF(C1194="","",IFERROR(INDEX($S$5:$S$304,MATCH(C1194,$R$5:$R$304,0))&amp;"","?"))</f>
        <v>17</v>
      </c>
      <c r="N1194" s="2" t="n">
        <f aca="false">IF(E1194="","",IF(ISNUMBER(SEARCH("SUBSOLO",E1194)),IFERROR(-VALUE(LEFT(E1194,FIND("º",SUBSTITUTE(E1194,"°","º"))-1)),-1),IF(LEFT(E1194,6)="TÉRREO",0,IFERROR(VALUE(LEFT(E1194,FIND("º",SUBSTITUTE(E1194,"°","º"))-1)),""))))</f>
        <v>1</v>
      </c>
      <c r="O1194" s="2" t="str">
        <f aca="false">IF(OR(F1194="",G1194=""),"",IF(G1194&lt;='RETRATO 2027'!$K$5,"CONCLUÍDA",IF(F1194&lt;='RETRATO 2027'!$K$5,"EM ANDAMENTO","A INICIAR")))</f>
        <v>CONCLUÍDA</v>
      </c>
    </row>
    <row r="1195" customFormat="false" ht="15" hidden="false" customHeight="false" outlineLevel="0" collapsed="false">
      <c r="B1195" s="4" t="n">
        <v>19473579</v>
      </c>
      <c r="C1195" s="4" t="s">
        <v>2767</v>
      </c>
      <c r="D1195" s="4" t="s">
        <v>3615</v>
      </c>
      <c r="E1195" s="4" t="s">
        <v>3243</v>
      </c>
      <c r="F1195" s="127" t="n">
        <v>46181</v>
      </c>
      <c r="G1195" s="127" t="n">
        <v>46181</v>
      </c>
      <c r="H1195" s="127" t="n">
        <v>46293</v>
      </c>
      <c r="I1195" s="4" t="n">
        <v>100</v>
      </c>
      <c r="J1195" s="4" t="n">
        <v>100</v>
      </c>
      <c r="K1195" s="4" t="n">
        <v>100</v>
      </c>
      <c r="M1195" s="2" t="str">
        <f aca="false">IF(C1195="","",IFERROR(INDEX($S$5:$S$304,MATCH(C1195,$R$5:$R$304,0))&amp;"","?"))</f>
        <v>17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1</v>
      </c>
      <c r="O1195" s="2" t="str">
        <f aca="false">IF(OR(F1195="",G1195=""),"",IF(G1195&lt;='RETRATO 2027'!$K$5,"CONCLUÍDA",IF(F1195&lt;='RETRATO 2027'!$K$5,"EM ANDAMENTO","A INICIAR")))</f>
        <v>CONCLUÍDA</v>
      </c>
    </row>
    <row r="1196" customFormat="false" ht="15" hidden="false" customHeight="false" outlineLevel="0" collapsed="false">
      <c r="B1196" s="4" t="n">
        <v>19473580</v>
      </c>
      <c r="C1196" s="4" t="s">
        <v>2767</v>
      </c>
      <c r="D1196" s="4" t="s">
        <v>3616</v>
      </c>
      <c r="E1196" s="4" t="s">
        <v>3243</v>
      </c>
      <c r="F1196" s="127" t="n">
        <v>46182</v>
      </c>
      <c r="G1196" s="127" t="n">
        <v>46188</v>
      </c>
      <c r="H1196" s="127" t="n">
        <v>46293</v>
      </c>
      <c r="I1196" s="4" t="n">
        <v>100</v>
      </c>
      <c r="J1196" s="4" t="n">
        <v>100</v>
      </c>
      <c r="K1196" s="4" t="n">
        <v>100</v>
      </c>
      <c r="M1196" s="2" t="str">
        <f aca="false">IF(C1196="","",IFERROR(INDEX($S$5:$S$304,MATCH(C1196,$R$5:$R$304,0))&amp;"","?"))</f>
        <v>17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1</v>
      </c>
      <c r="O1196" s="2" t="str">
        <f aca="false">IF(OR(F1196="",G1196=""),"",IF(G1196&lt;='RETRATO 2027'!$K$5,"CONCLUÍDA",IF(F1196&lt;='RETRATO 2027'!$K$5,"EM ANDAMENTO","A INICIAR")))</f>
        <v>CONCLUÍDA</v>
      </c>
    </row>
    <row r="1197" customFormat="false" ht="15" hidden="false" customHeight="false" outlineLevel="0" collapsed="false">
      <c r="B1197" s="4" t="n">
        <v>19473581</v>
      </c>
      <c r="C1197" s="4" t="s">
        <v>2767</v>
      </c>
      <c r="D1197" s="4" t="s">
        <v>3536</v>
      </c>
      <c r="E1197" s="4" t="s">
        <v>3243</v>
      </c>
      <c r="F1197" s="127" t="n">
        <v>46185</v>
      </c>
      <c r="G1197" s="127" t="n">
        <v>46189</v>
      </c>
      <c r="H1197" s="127" t="n">
        <v>46293</v>
      </c>
      <c r="I1197" s="4" t="n">
        <v>100</v>
      </c>
      <c r="J1197" s="4" t="n">
        <v>100</v>
      </c>
      <c r="K1197" s="4" t="n">
        <v>100</v>
      </c>
      <c r="M1197" s="2" t="str">
        <f aca="false">IF(C1197="","",IFERROR(INDEX($S$5:$S$304,MATCH(C1197,$R$5:$R$304,0))&amp;"","?"))</f>
        <v>17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1</v>
      </c>
      <c r="O1197" s="2" t="str">
        <f aca="false">IF(OR(F1197="",G1197=""),"",IF(G1197&lt;='RETRATO 2027'!$K$5,"CONCLUÍDA",IF(F1197&lt;='RETRATO 2027'!$K$5,"EM ANDAMENTO","A INICIAR")))</f>
        <v>CONCLUÍDA</v>
      </c>
    </row>
    <row r="1198" customFormat="false" ht="15" hidden="false" customHeight="false" outlineLevel="0" collapsed="false">
      <c r="B1198" s="4" t="n">
        <v>29147649</v>
      </c>
      <c r="C1198" s="4" t="s">
        <v>2767</v>
      </c>
      <c r="D1198" s="4" t="s">
        <v>3617</v>
      </c>
      <c r="E1198" s="4" t="s">
        <v>3243</v>
      </c>
      <c r="F1198" s="127" t="n">
        <v>46190</v>
      </c>
      <c r="G1198" s="127" t="n">
        <v>46190</v>
      </c>
      <c r="H1198" s="127" t="n">
        <v>46293</v>
      </c>
      <c r="I1198" s="4" t="n">
        <v>0</v>
      </c>
      <c r="J1198" s="4" t="n">
        <v>100</v>
      </c>
      <c r="K1198" s="4" t="n">
        <v>100</v>
      </c>
      <c r="M1198" s="2" t="str">
        <f aca="false">IF(C1198="","",IFERROR(INDEX($S$5:$S$304,MATCH(C1198,$R$5:$R$304,0))&amp;"","?"))</f>
        <v>17</v>
      </c>
      <c r="N1198" s="2" t="n">
        <f aca="false">IF(E1198="","",IF(ISNUMBER(SEARCH("SUBSOLO",E1198)),IFERROR(-VALUE(LEFT(E1198,FIND("º",SUBSTITUTE(E1198,"°","º"))-1)),-1),IF(LEFT(E1198,6)="TÉRREO",0,IFERROR(VALUE(LEFT(E1198,FIND("º",SUBSTITUTE(E1198,"°","º"))-1)),""))))</f>
        <v>1</v>
      </c>
      <c r="O1198" s="2" t="str">
        <f aca="false">IF(OR(F1198="",G1198=""),"",IF(G1198&lt;='RETRATO 2027'!$K$5,"CONCLUÍDA",IF(F1198&lt;='RETRATO 2027'!$K$5,"EM ANDAMENTO","A INICIAR")))</f>
        <v>CONCLUÍDA</v>
      </c>
    </row>
    <row r="1199" customFormat="false" ht="15" hidden="false" customHeight="false" outlineLevel="0" collapsed="false">
      <c r="B1199" s="4" t="n">
        <v>44921683</v>
      </c>
      <c r="C1199" s="4" t="s">
        <v>2770</v>
      </c>
      <c r="D1199" s="4" t="s">
        <v>433</v>
      </c>
      <c r="E1199" s="4" t="s">
        <v>3473</v>
      </c>
      <c r="F1199" s="127" t="n">
        <v>46168</v>
      </c>
      <c r="G1199" s="127" t="n">
        <v>46183</v>
      </c>
      <c r="H1199" s="127" t="n">
        <v>46293</v>
      </c>
      <c r="I1199" s="4" t="n">
        <v>0</v>
      </c>
      <c r="J1199" s="4" t="n">
        <v>100</v>
      </c>
      <c r="K1199" s="4" t="n">
        <v>100</v>
      </c>
      <c r="M1199" s="2" t="str">
        <f aca="false">IF(C1199="","",IFERROR(INDEX($S$5:$S$304,MATCH(C1199,$R$5:$R$304,0))&amp;"","?"))</f>
        <v>20</v>
      </c>
      <c r="N1199" s="2" t="n">
        <f aca="false">IF(E1199="","",IF(ISNUMBER(SEARCH("SUBSOLO",E1199)),IFERROR(-VALUE(LEFT(E1199,FIND("º",SUBSTITUTE(E1199,"°","º"))-1)),-1),IF(LEFT(E1199,6)="TÉRREO",0,IFERROR(VALUE(LEFT(E1199,FIND("º",SUBSTITUTE(E1199,"°","º"))-1)),""))))</f>
        <v>-5</v>
      </c>
      <c r="O1199" s="2" t="str">
        <f aca="false">IF(OR(F1199="",G1199=""),"",IF(G1199&lt;='RETRATO 2027'!$K$5,"CONCLUÍDA",IF(F1199&lt;='RETRATO 2027'!$K$5,"EM ANDAMENTO","A INICIAR")))</f>
        <v>CONCLUÍDA</v>
      </c>
    </row>
    <row r="1200" customFormat="false" ht="15" hidden="false" customHeight="false" outlineLevel="0" collapsed="false">
      <c r="B1200" s="4" t="n">
        <v>36884563</v>
      </c>
      <c r="C1200" s="4" t="s">
        <v>2723</v>
      </c>
      <c r="D1200" s="4" t="s">
        <v>433</v>
      </c>
      <c r="E1200" s="4" t="s">
        <v>3243</v>
      </c>
      <c r="F1200" s="127" t="n">
        <v>46169</v>
      </c>
      <c r="G1200" s="127" t="n">
        <v>46204</v>
      </c>
      <c r="H1200" s="127" t="n">
        <v>46293</v>
      </c>
      <c r="I1200" s="4" t="n">
        <v>100</v>
      </c>
      <c r="J1200" s="4" t="n">
        <v>100</v>
      </c>
      <c r="K1200" s="4" t="n">
        <v>100</v>
      </c>
      <c r="M1200" s="2" t="str">
        <f aca="false">IF(C1200="","",IFERROR(INDEX($S$5:$S$304,MATCH(C1200,$R$5:$R$304,0))&amp;"","?"))</f>
        <v>17</v>
      </c>
      <c r="N1200" s="2" t="n">
        <f aca="false">IF(E1200="","",IF(ISNUMBER(SEARCH("SUBSOLO",E1200)),IFERROR(-VALUE(LEFT(E1200,FIND("º",SUBSTITUTE(E1200,"°","º"))-1)),-1),IF(LEFT(E1200,6)="TÉRREO",0,IFERROR(VALUE(LEFT(E1200,FIND("º",SUBSTITUTE(E1200,"°","º"))-1)),""))))</f>
        <v>1</v>
      </c>
      <c r="O1200" s="2" t="str">
        <f aca="false">IF(OR(F1200="",G1200=""),"",IF(G1200&lt;='RETRATO 2027'!$K$5,"CONCLUÍDA",IF(F1200&lt;='RETRATO 2027'!$K$5,"EM ANDAMENTO","A INICIAR")))</f>
        <v>CONCLUÍDA</v>
      </c>
    </row>
    <row r="1201" customFormat="false" ht="15" hidden="false" customHeight="false" outlineLevel="0" collapsed="false">
      <c r="B1201" s="4" t="n">
        <v>19473601</v>
      </c>
      <c r="C1201" s="4" t="s">
        <v>2723</v>
      </c>
      <c r="D1201" s="4" t="s">
        <v>3618</v>
      </c>
      <c r="E1201" s="4" t="s">
        <v>3243</v>
      </c>
      <c r="F1201" s="127" t="n">
        <v>46169</v>
      </c>
      <c r="G1201" s="127" t="n">
        <v>46174</v>
      </c>
      <c r="H1201" s="127" t="n">
        <v>46293</v>
      </c>
      <c r="I1201" s="4" t="n">
        <v>100</v>
      </c>
      <c r="J1201" s="4" t="n">
        <v>100</v>
      </c>
      <c r="K1201" s="4" t="n">
        <v>100</v>
      </c>
      <c r="M1201" s="2" t="str">
        <f aca="false">IF(C1201="","",IFERROR(INDEX($S$5:$S$304,MATCH(C1201,$R$5:$R$304,0))&amp;"","?"))</f>
        <v>17</v>
      </c>
      <c r="N1201" s="2" t="n">
        <f aca="false">IF(E1201="","",IF(ISNUMBER(SEARCH("SUBSOLO",E1201)),IFERROR(-VALUE(LEFT(E1201,FIND("º",SUBSTITUTE(E1201,"°","º"))-1)),-1),IF(LEFT(E1201,6)="TÉRREO",0,IFERROR(VALUE(LEFT(E1201,FIND("º",SUBSTITUTE(E1201,"°","º"))-1)),""))))</f>
        <v>1</v>
      </c>
      <c r="O1201" s="2" t="str">
        <f aca="false">IF(OR(F1201="",G1201=""),"",IF(G1201&lt;='RETRATO 2027'!$K$5,"CONCLUÍDA",IF(F1201&lt;='RETRATO 2027'!$K$5,"EM ANDAMENTO","A INICIAR")))</f>
        <v>CONCLUÍDA</v>
      </c>
    </row>
    <row r="1202" customFormat="false" ht="15" hidden="false" customHeight="false" outlineLevel="0" collapsed="false">
      <c r="B1202" s="4" t="n">
        <v>19473602</v>
      </c>
      <c r="C1202" s="4" t="s">
        <v>2723</v>
      </c>
      <c r="D1202" s="4" t="s">
        <v>3619</v>
      </c>
      <c r="E1202" s="4" t="s">
        <v>3243</v>
      </c>
      <c r="F1202" s="127" t="n">
        <v>46175</v>
      </c>
      <c r="G1202" s="127" t="n">
        <v>46181</v>
      </c>
      <c r="H1202" s="127" t="n">
        <v>46293</v>
      </c>
      <c r="I1202" s="4" t="n">
        <v>100</v>
      </c>
      <c r="J1202" s="4" t="n">
        <v>100</v>
      </c>
      <c r="K1202" s="4" t="n">
        <v>100</v>
      </c>
      <c r="M1202" s="2" t="str">
        <f aca="false">IF(C1202="","",IFERROR(INDEX($S$5:$S$304,MATCH(C1202,$R$5:$R$304,0))&amp;"","?"))</f>
        <v>17</v>
      </c>
      <c r="N1202" s="2" t="n">
        <f aca="false">IF(E1202="","",IF(ISNUMBER(SEARCH("SUBSOLO",E1202)),IFERROR(-VALUE(LEFT(E1202,FIND("º",SUBSTITUTE(E1202,"°","º"))-1)),-1),IF(LEFT(E1202,6)="TÉRREO",0,IFERROR(VALUE(LEFT(E1202,FIND("º",SUBSTITUTE(E1202,"°","º"))-1)),""))))</f>
        <v>1</v>
      </c>
      <c r="O1202" s="2" t="str">
        <f aca="false">IF(OR(F1202="",G1202=""),"",IF(G1202&lt;='RETRATO 2027'!$K$5,"CONCLUÍDA",IF(F1202&lt;='RETRATO 2027'!$K$5,"EM ANDAMENTO","A INICIAR")))</f>
        <v>CONCLUÍDA</v>
      </c>
    </row>
    <row r="1203" customFormat="false" ht="15" hidden="false" customHeight="false" outlineLevel="0" collapsed="false">
      <c r="B1203" s="4" t="n">
        <v>19473603</v>
      </c>
      <c r="C1203" s="4" t="s">
        <v>2723</v>
      </c>
      <c r="D1203" s="4" t="s">
        <v>3498</v>
      </c>
      <c r="E1203" s="4" t="s">
        <v>3243</v>
      </c>
      <c r="F1203" s="127" t="n">
        <v>46182</v>
      </c>
      <c r="G1203" s="127" t="n">
        <v>46195</v>
      </c>
      <c r="H1203" s="127" t="n">
        <v>46293</v>
      </c>
      <c r="I1203" s="4" t="n">
        <v>100</v>
      </c>
      <c r="J1203" s="4" t="n">
        <v>100</v>
      </c>
      <c r="K1203" s="4" t="n">
        <v>100</v>
      </c>
      <c r="M1203" s="2" t="str">
        <f aca="false">IF(C1203="","",IFERROR(INDEX($S$5:$S$304,MATCH(C1203,$R$5:$R$304,0))&amp;"","?"))</f>
        <v>17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1</v>
      </c>
      <c r="O1203" s="2" t="str">
        <f aca="false">IF(OR(F1203="",G1203=""),"",IF(G1203&lt;='RETRATO 2027'!$K$5,"CONCLUÍDA",IF(F1203&lt;='RETRATO 2027'!$K$5,"EM ANDAMENTO","A INICIAR")))</f>
        <v>CONCLUÍDA</v>
      </c>
    </row>
    <row r="1204" customFormat="false" ht="15" hidden="false" customHeight="false" outlineLevel="0" collapsed="false">
      <c r="B1204" s="4" t="n">
        <v>19473604</v>
      </c>
      <c r="C1204" s="4" t="s">
        <v>2723</v>
      </c>
      <c r="D1204" s="4" t="s">
        <v>3217</v>
      </c>
      <c r="E1204" s="4" t="s">
        <v>3243</v>
      </c>
      <c r="F1204" s="127" t="n">
        <v>46196</v>
      </c>
      <c r="G1204" s="127" t="n">
        <v>46203</v>
      </c>
      <c r="H1204" s="127" t="n">
        <v>46293</v>
      </c>
      <c r="I1204" s="4" t="n">
        <v>100</v>
      </c>
      <c r="J1204" s="4" t="n">
        <v>100</v>
      </c>
      <c r="K1204" s="4" t="n">
        <v>100</v>
      </c>
      <c r="M1204" s="2" t="str">
        <f aca="false">IF(C1204="","",IFERROR(INDEX($S$5:$S$304,MATCH(C1204,$R$5:$R$304,0))&amp;"","?"))</f>
        <v>17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1</v>
      </c>
      <c r="O1204" s="2" t="str">
        <f aca="false">IF(OR(F1204="",G1204=""),"",IF(G1204&lt;='RETRATO 2027'!$K$5,"CONCLUÍDA",IF(F1204&lt;='RETRATO 2027'!$K$5,"EM ANDAMENTO","A INICIAR")))</f>
        <v>CONCLUÍDA</v>
      </c>
    </row>
    <row r="1205" customFormat="false" ht="15" hidden="false" customHeight="false" outlineLevel="0" collapsed="false">
      <c r="B1205" s="4" t="n">
        <v>19473605</v>
      </c>
      <c r="C1205" s="4" t="s">
        <v>2723</v>
      </c>
      <c r="D1205" s="4" t="s">
        <v>3563</v>
      </c>
      <c r="E1205" s="4" t="s">
        <v>3243</v>
      </c>
      <c r="F1205" s="127" t="n">
        <v>46204</v>
      </c>
      <c r="G1205" s="127" t="n">
        <v>46204</v>
      </c>
      <c r="H1205" s="127" t="n">
        <v>46293</v>
      </c>
      <c r="I1205" s="4" t="n">
        <v>100</v>
      </c>
      <c r="J1205" s="4" t="n">
        <v>100</v>
      </c>
      <c r="K1205" s="4" t="n">
        <v>100</v>
      </c>
      <c r="M1205" s="2" t="str">
        <f aca="false">IF(C1205="","",IFERROR(INDEX($S$5:$S$304,MATCH(C1205,$R$5:$R$304,0))&amp;"","?"))</f>
        <v>17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1</v>
      </c>
      <c r="O1205" s="2" t="str">
        <f aca="false">IF(OR(F1205="",G1205=""),"",IF(G1205&lt;='RETRATO 2027'!$K$5,"CONCLUÍDA",IF(F1205&lt;='RETRATO 2027'!$K$5,"EM ANDAMENTO","A INICIAR")))</f>
        <v>CONCLUÍDA</v>
      </c>
    </row>
    <row r="1206" customFormat="false" ht="15" hidden="false" customHeight="false" outlineLevel="0" collapsed="false">
      <c r="B1206" s="4" t="n">
        <v>36884360</v>
      </c>
      <c r="C1206" s="4" t="s">
        <v>2773</v>
      </c>
      <c r="D1206" s="4" t="s">
        <v>433</v>
      </c>
      <c r="E1206" s="4" t="s">
        <v>81</v>
      </c>
      <c r="F1206" s="127" t="n">
        <v>46170</v>
      </c>
      <c r="G1206" s="127" t="n">
        <v>46192</v>
      </c>
      <c r="H1206" s="127" t="n">
        <v>46293</v>
      </c>
      <c r="I1206" s="4" t="n">
        <v>100</v>
      </c>
      <c r="J1206" s="4" t="n">
        <v>100</v>
      </c>
      <c r="K1206" s="4" t="n">
        <v>100</v>
      </c>
      <c r="M1206" s="2" t="str">
        <f aca="false">IF(C1206="","",IFERROR(INDEX($S$5:$S$304,MATCH(C1206,$R$5:$R$304,0))&amp;"","?"))</f>
        <v>13</v>
      </c>
      <c r="N1206" s="2" t="str">
        <f aca="false"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 t="str">
        <f aca="false">IF(OR(F1206="",G1206=""),"",IF(G1206&lt;='RETRATO 2027'!$K$5,"CONCLUÍDA",IF(F1206&lt;='RETRATO 2027'!$K$5,"EM ANDAMENTO","A INICIAR")))</f>
        <v>CONCLUÍDA</v>
      </c>
    </row>
    <row r="1207" customFormat="false" ht="15" hidden="false" customHeight="false" outlineLevel="0" collapsed="false">
      <c r="B1207" s="4" t="n">
        <v>14991592</v>
      </c>
      <c r="C1207" s="4" t="s">
        <v>2773</v>
      </c>
      <c r="D1207" s="4" t="s">
        <v>3620</v>
      </c>
      <c r="E1207" s="4" t="s">
        <v>81</v>
      </c>
      <c r="F1207" s="127" t="n">
        <v>46170</v>
      </c>
      <c r="G1207" s="127" t="n">
        <v>46176</v>
      </c>
      <c r="H1207" s="127" t="n">
        <v>46293</v>
      </c>
      <c r="I1207" s="4" t="n">
        <v>100</v>
      </c>
      <c r="J1207" s="4" t="n">
        <v>100</v>
      </c>
      <c r="K1207" s="4" t="n">
        <v>100</v>
      </c>
      <c r="M1207" s="2" t="str">
        <f aca="false">IF(C1207="","",IFERROR(INDEX($S$5:$S$304,MATCH(C1207,$R$5:$R$304,0))&amp;"","?"))</f>
        <v>13</v>
      </c>
      <c r="N1207" s="2" t="str">
        <f aca="false"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 t="str">
        <f aca="false">IF(OR(F1207="",G1207=""),"",IF(G1207&lt;='RETRATO 2027'!$K$5,"CONCLUÍDA",IF(F1207&lt;='RETRATO 2027'!$K$5,"EM ANDAMENTO","A INICIAR")))</f>
        <v>CONCLUÍDA</v>
      </c>
    </row>
    <row r="1208" customFormat="false" ht="15" hidden="false" customHeight="false" outlineLevel="0" collapsed="false">
      <c r="B1208" s="4" t="n">
        <v>14991593</v>
      </c>
      <c r="C1208" s="4" t="s">
        <v>2773</v>
      </c>
      <c r="D1208" s="4" t="s">
        <v>3621</v>
      </c>
      <c r="E1208" s="4" t="s">
        <v>81</v>
      </c>
      <c r="F1208" s="127" t="n">
        <v>46178</v>
      </c>
      <c r="G1208" s="127" t="n">
        <v>46182</v>
      </c>
      <c r="H1208" s="127" t="n">
        <v>46293</v>
      </c>
      <c r="I1208" s="4" t="n">
        <v>100</v>
      </c>
      <c r="J1208" s="4" t="n">
        <v>100</v>
      </c>
      <c r="K1208" s="4" t="n">
        <v>100</v>
      </c>
      <c r="M1208" s="2" t="str">
        <f aca="false">IF(C1208="","",IFERROR(INDEX($S$5:$S$304,MATCH(C1208,$R$5:$R$304,0))&amp;"","?"))</f>
        <v>13</v>
      </c>
      <c r="N1208" s="2" t="str">
        <f aca="false"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 t="str">
        <f aca="false">IF(OR(F1208="",G1208=""),"",IF(G1208&lt;='RETRATO 2027'!$K$5,"CONCLUÍDA",IF(F1208&lt;='RETRATO 2027'!$K$5,"EM ANDAMENTO","A INICIAR")))</f>
        <v>CONCLUÍDA</v>
      </c>
    </row>
    <row r="1209" customFormat="false" ht="15" hidden="false" customHeight="false" outlineLevel="0" collapsed="false">
      <c r="B1209" s="4" t="n">
        <v>14991594</v>
      </c>
      <c r="C1209" s="4" t="s">
        <v>2773</v>
      </c>
      <c r="D1209" s="4" t="s">
        <v>3622</v>
      </c>
      <c r="E1209" s="4" t="s">
        <v>81</v>
      </c>
      <c r="F1209" s="127" t="n">
        <v>46183</v>
      </c>
      <c r="G1209" s="127" t="n">
        <v>46183</v>
      </c>
      <c r="H1209" s="127" t="n">
        <v>46293</v>
      </c>
      <c r="I1209" s="4" t="n">
        <v>100</v>
      </c>
      <c r="J1209" s="4" t="n">
        <v>100</v>
      </c>
      <c r="K1209" s="4" t="n">
        <v>100</v>
      </c>
      <c r="M1209" s="2" t="str">
        <f aca="false">IF(C1209="","",IFERROR(INDEX($S$5:$S$304,MATCH(C1209,$R$5:$R$304,0))&amp;"","?"))</f>
        <v>13</v>
      </c>
      <c r="N1209" s="2" t="str">
        <f aca="false"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 t="str">
        <f aca="false">IF(OR(F1209="",G1209=""),"",IF(G1209&lt;='RETRATO 2027'!$K$5,"CONCLUÍDA",IF(F1209&lt;='RETRATO 2027'!$K$5,"EM ANDAMENTO","A INICIAR")))</f>
        <v>CONCLUÍDA</v>
      </c>
    </row>
    <row r="1210" customFormat="false" ht="15" hidden="false" customHeight="false" outlineLevel="0" collapsed="false">
      <c r="B1210" s="4" t="n">
        <v>14991595</v>
      </c>
      <c r="C1210" s="4" t="s">
        <v>2773</v>
      </c>
      <c r="D1210" s="4" t="s">
        <v>3623</v>
      </c>
      <c r="E1210" s="4" t="s">
        <v>81</v>
      </c>
      <c r="F1210" s="127" t="n">
        <v>46184</v>
      </c>
      <c r="G1210" s="127" t="n">
        <v>46188</v>
      </c>
      <c r="H1210" s="127" t="n">
        <v>46293</v>
      </c>
      <c r="I1210" s="4" t="n">
        <v>100</v>
      </c>
      <c r="J1210" s="4" t="n">
        <v>100</v>
      </c>
      <c r="K1210" s="4" t="n">
        <v>100</v>
      </c>
      <c r="M1210" s="2" t="str">
        <f aca="false">IF(C1210="","",IFERROR(INDEX($S$5:$S$304,MATCH(C1210,$R$5:$R$304,0))&amp;"","?"))</f>
        <v>13</v>
      </c>
      <c r="N1210" s="2" t="str">
        <f aca="false"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 t="str">
        <f aca="false">IF(OR(F1210="",G1210=""),"",IF(G1210&lt;='RETRATO 2027'!$K$5,"CONCLUÍDA",IF(F1210&lt;='RETRATO 2027'!$K$5,"EM ANDAMENTO","A INICIAR")))</f>
        <v>CONCLUÍDA</v>
      </c>
    </row>
    <row r="1211" customFormat="false" ht="15" hidden="false" customHeight="false" outlineLevel="0" collapsed="false">
      <c r="B1211" s="4" t="n">
        <v>19411589</v>
      </c>
      <c r="C1211" s="4" t="s">
        <v>2773</v>
      </c>
      <c r="D1211" s="4" t="s">
        <v>3624</v>
      </c>
      <c r="E1211" s="4" t="s">
        <v>81</v>
      </c>
      <c r="F1211" s="127" t="n">
        <v>46189</v>
      </c>
      <c r="G1211" s="127" t="n">
        <v>46191</v>
      </c>
      <c r="H1211" s="127" t="n">
        <v>46293</v>
      </c>
      <c r="I1211" s="4" t="n">
        <v>100</v>
      </c>
      <c r="J1211" s="4" t="n">
        <v>100</v>
      </c>
      <c r="K1211" s="4" t="n">
        <v>100</v>
      </c>
      <c r="M1211" s="2" t="str">
        <f aca="false">IF(C1211="","",IFERROR(INDEX($S$5:$S$304,MATCH(C1211,$R$5:$R$304,0))&amp;"","?"))</f>
        <v>13</v>
      </c>
      <c r="N1211" s="2" t="str">
        <f aca="false"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 t="str">
        <f aca="false">IF(OR(F1211="",G1211=""),"",IF(G1211&lt;='RETRATO 2027'!$K$5,"CONCLUÍDA",IF(F1211&lt;='RETRATO 2027'!$K$5,"EM ANDAMENTO","A INICIAR")))</f>
        <v>CONCLUÍDA</v>
      </c>
    </row>
    <row r="1212" customFormat="false" ht="15" hidden="false" customHeight="false" outlineLevel="0" collapsed="false">
      <c r="B1212" s="4" t="n">
        <v>19411590</v>
      </c>
      <c r="C1212" s="4" t="s">
        <v>2773</v>
      </c>
      <c r="D1212" s="4" t="s">
        <v>3625</v>
      </c>
      <c r="E1212" s="4" t="s">
        <v>81</v>
      </c>
      <c r="F1212" s="127" t="n">
        <v>46192</v>
      </c>
      <c r="G1212" s="127" t="n">
        <v>46192</v>
      </c>
      <c r="H1212" s="127" t="n">
        <v>46293</v>
      </c>
      <c r="I1212" s="4" t="n">
        <v>100</v>
      </c>
      <c r="J1212" s="4" t="n">
        <v>100</v>
      </c>
      <c r="K1212" s="4" t="n">
        <v>100</v>
      </c>
      <c r="M1212" s="2" t="str">
        <f aca="false">IF(C1212="","",IFERROR(INDEX($S$5:$S$304,MATCH(C1212,$R$5:$R$304,0))&amp;"","?"))</f>
        <v>13</v>
      </c>
      <c r="N1212" s="2" t="str">
        <f aca="false"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 t="str">
        <f aca="false">IF(OR(F1212="",G1212=""),"",IF(G1212&lt;='RETRATO 2027'!$K$5,"CONCLUÍDA",IF(F1212&lt;='RETRATO 2027'!$K$5,"EM ANDAMENTO","A INICIAR")))</f>
        <v>CONCLUÍDA</v>
      </c>
    </row>
    <row r="1213" customFormat="false" ht="15" hidden="false" customHeight="false" outlineLevel="0" collapsed="false">
      <c r="B1213" s="4" t="n">
        <v>43594253</v>
      </c>
      <c r="C1213" s="4" t="s">
        <v>2776</v>
      </c>
      <c r="D1213" s="4" t="s">
        <v>433</v>
      </c>
      <c r="E1213" s="4" t="s">
        <v>3374</v>
      </c>
      <c r="F1213" s="127" t="n">
        <v>46170</v>
      </c>
      <c r="G1213" s="127" t="n">
        <v>46181</v>
      </c>
      <c r="H1213" s="127" t="n">
        <v>46293</v>
      </c>
      <c r="I1213" s="4" t="n">
        <v>0</v>
      </c>
      <c r="J1213" s="4" t="n">
        <v>100</v>
      </c>
      <c r="K1213" s="4" t="n">
        <v>100</v>
      </c>
      <c r="M1213" s="2" t="str">
        <f aca="false">IF(C1213="","",IFERROR(INDEX($S$5:$S$304,MATCH(C1213,$R$5:$R$304,0))&amp;"","?"))</f>
        <v>17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-4</v>
      </c>
      <c r="O1213" s="2" t="str">
        <f aca="false">IF(OR(F1213="",G1213=""),"",IF(G1213&lt;='RETRATO 2027'!$K$5,"CONCLUÍDA",IF(F1213&lt;='RETRATO 2027'!$K$5,"EM ANDAMENTO","A INICIAR")))</f>
        <v>CONCLUÍDA</v>
      </c>
    </row>
    <row r="1214" customFormat="false" ht="15" hidden="false" customHeight="false" outlineLevel="0" collapsed="false">
      <c r="B1214" s="4" t="n">
        <v>27823288</v>
      </c>
      <c r="C1214" s="4" t="s">
        <v>2776</v>
      </c>
      <c r="D1214" s="4" t="s">
        <v>3545</v>
      </c>
      <c r="E1214" s="4" t="s">
        <v>3374</v>
      </c>
      <c r="F1214" s="127" t="n">
        <v>46170</v>
      </c>
      <c r="G1214" s="127" t="n">
        <v>46171</v>
      </c>
      <c r="H1214" s="127" t="n">
        <v>46293</v>
      </c>
      <c r="I1214" s="4" t="n">
        <v>0</v>
      </c>
      <c r="J1214" s="4" t="n">
        <v>100</v>
      </c>
      <c r="K1214" s="4" t="n">
        <v>100</v>
      </c>
      <c r="M1214" s="2" t="str">
        <f aca="false">IF(C1214="","",IFERROR(INDEX($S$5:$S$304,MATCH(C1214,$R$5:$R$304,0))&amp;"","?"))</f>
        <v>17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-4</v>
      </c>
      <c r="O1214" s="2" t="str">
        <f aca="false">IF(OR(F1214="",G1214=""),"",IF(G1214&lt;='RETRATO 2027'!$K$5,"CONCLUÍDA",IF(F1214&lt;='RETRATO 2027'!$K$5,"EM ANDAMENTO","A INICIAR")))</f>
        <v>CONCLUÍDA</v>
      </c>
    </row>
    <row r="1215" customFormat="false" ht="15" hidden="false" customHeight="false" outlineLevel="0" collapsed="false">
      <c r="B1215" s="4" t="n">
        <v>27823289</v>
      </c>
      <c r="C1215" s="4" t="s">
        <v>2776</v>
      </c>
      <c r="D1215" s="4" t="s">
        <v>3546</v>
      </c>
      <c r="E1215" s="4" t="s">
        <v>3374</v>
      </c>
      <c r="F1215" s="127" t="n">
        <v>46174</v>
      </c>
      <c r="G1215" s="127" t="n">
        <v>46175</v>
      </c>
      <c r="H1215" s="127" t="n">
        <v>46293</v>
      </c>
      <c r="I1215" s="4" t="n">
        <v>0</v>
      </c>
      <c r="J1215" s="4" t="n">
        <v>100</v>
      </c>
      <c r="K1215" s="4" t="n">
        <v>100</v>
      </c>
      <c r="M1215" s="2" t="str">
        <f aca="false">IF(C1215="","",IFERROR(INDEX($S$5:$S$304,MATCH(C1215,$R$5:$R$304,0))&amp;"","?"))</f>
        <v>17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-4</v>
      </c>
      <c r="O1215" s="2" t="str">
        <f aca="false">IF(OR(F1215="",G1215=""),"",IF(G1215&lt;='RETRATO 2027'!$K$5,"CONCLUÍDA",IF(F1215&lt;='RETRATO 2027'!$K$5,"EM ANDAMENTO","A INICIAR")))</f>
        <v>CONCLUÍDA</v>
      </c>
    </row>
    <row r="1216" customFormat="false" ht="15" hidden="false" customHeight="false" outlineLevel="0" collapsed="false">
      <c r="B1216" s="4" t="n">
        <v>27823290</v>
      </c>
      <c r="C1216" s="4" t="s">
        <v>2776</v>
      </c>
      <c r="D1216" s="4" t="s">
        <v>3547</v>
      </c>
      <c r="E1216" s="4" t="s">
        <v>3374</v>
      </c>
      <c r="F1216" s="127" t="n">
        <v>46176</v>
      </c>
      <c r="G1216" s="127" t="n">
        <v>46178</v>
      </c>
      <c r="H1216" s="127" t="n">
        <v>46293</v>
      </c>
      <c r="I1216" s="4" t="n">
        <v>0</v>
      </c>
      <c r="J1216" s="4" t="n">
        <v>100</v>
      </c>
      <c r="K1216" s="4" t="n">
        <v>100</v>
      </c>
      <c r="M1216" s="2" t="str">
        <f aca="false">IF(C1216="","",IFERROR(INDEX($S$5:$S$304,MATCH(C1216,$R$5:$R$304,0))&amp;"","?"))</f>
        <v>17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-4</v>
      </c>
      <c r="O1216" s="2" t="str">
        <f aca="false">IF(OR(F1216="",G1216=""),"",IF(G1216&lt;='RETRATO 2027'!$K$5,"CONCLUÍDA",IF(F1216&lt;='RETRATO 2027'!$K$5,"EM ANDAMENTO","A INICIAR")))</f>
        <v>CONCLUÍDA</v>
      </c>
    </row>
    <row r="1217" customFormat="false" ht="15" hidden="false" customHeight="false" outlineLevel="0" collapsed="false">
      <c r="B1217" s="4" t="n">
        <v>27823291</v>
      </c>
      <c r="C1217" s="4" t="s">
        <v>2776</v>
      </c>
      <c r="D1217" s="4" t="s">
        <v>3218</v>
      </c>
      <c r="E1217" s="4" t="s">
        <v>3374</v>
      </c>
      <c r="F1217" s="127" t="n">
        <v>46181</v>
      </c>
      <c r="G1217" s="127" t="n">
        <v>46181</v>
      </c>
      <c r="H1217" s="127" t="n">
        <v>46293</v>
      </c>
      <c r="I1217" s="4" t="n">
        <v>0</v>
      </c>
      <c r="J1217" s="4" t="n">
        <v>100</v>
      </c>
      <c r="K1217" s="4" t="n">
        <v>100</v>
      </c>
      <c r="M1217" s="2" t="str">
        <f aca="false">IF(C1217="","",IFERROR(INDEX($S$5:$S$304,MATCH(C1217,$R$5:$R$304,0))&amp;"","?"))</f>
        <v>17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-4</v>
      </c>
      <c r="O1217" s="2" t="str">
        <f aca="false">IF(OR(F1217="",G1217=""),"",IF(G1217&lt;='RETRATO 2027'!$K$5,"CONCLUÍDA",IF(F1217&lt;='RETRATO 2027'!$K$5,"EM ANDAMENTO","A INICIAR")))</f>
        <v>CONCLUÍDA</v>
      </c>
    </row>
    <row r="1218" customFormat="false" ht="15" hidden="false" customHeight="false" outlineLevel="0" collapsed="false">
      <c r="B1218" s="4" t="n">
        <v>24939814</v>
      </c>
      <c r="C1218" s="4" t="s">
        <v>2705</v>
      </c>
      <c r="D1218" s="4" t="s">
        <v>433</v>
      </c>
      <c r="E1218" s="4" t="s">
        <v>3626</v>
      </c>
      <c r="F1218" s="127" t="n">
        <v>46170</v>
      </c>
      <c r="G1218" s="127" t="n">
        <v>46196</v>
      </c>
      <c r="H1218" s="127" t="n">
        <v>46293</v>
      </c>
      <c r="I1218" s="4" t="n">
        <v>100</v>
      </c>
      <c r="J1218" s="4" t="n">
        <v>100</v>
      </c>
      <c r="K1218" s="4" t="n">
        <v>100</v>
      </c>
      <c r="M1218" s="2" t="str">
        <f aca="false">IF(C1218="","",IFERROR(INDEX($S$5:$S$304,MATCH(C1218,$R$5:$R$304,0))&amp;"","?"))</f>
        <v>17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2</v>
      </c>
      <c r="O1218" s="2" t="str">
        <f aca="false">IF(OR(F1218="",G1218=""),"",IF(G1218&lt;='RETRATO 2027'!$K$5,"CONCLUÍDA",IF(F1218&lt;='RETRATO 2027'!$K$5,"EM ANDAMENTO","A INICIAR")))</f>
        <v>CONCLUÍDA</v>
      </c>
    </row>
    <row r="1219" customFormat="false" ht="15" hidden="false" customHeight="false" outlineLevel="0" collapsed="false">
      <c r="B1219" s="4" t="n">
        <v>9360264</v>
      </c>
      <c r="C1219" s="4" t="s">
        <v>2705</v>
      </c>
      <c r="D1219" s="4" t="s">
        <v>3244</v>
      </c>
      <c r="E1219" s="4" t="s">
        <v>3626</v>
      </c>
      <c r="F1219" s="127" t="n">
        <v>46170</v>
      </c>
      <c r="G1219" s="127" t="n">
        <v>46178</v>
      </c>
      <c r="H1219" s="127" t="n">
        <v>46293</v>
      </c>
      <c r="I1219" s="4" t="n">
        <v>100</v>
      </c>
      <c r="J1219" s="4" t="n">
        <v>100</v>
      </c>
      <c r="K1219" s="4" t="n">
        <v>100</v>
      </c>
      <c r="M1219" s="2" t="str">
        <f aca="false">IF(C1219="","",IFERROR(INDEX($S$5:$S$304,MATCH(C1219,$R$5:$R$304,0))&amp;"","?"))</f>
        <v>17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2</v>
      </c>
      <c r="O1219" s="2" t="str">
        <f aca="false">IF(OR(F1219="",G1219=""),"",IF(G1219&lt;='RETRATO 2027'!$K$5,"CONCLUÍDA",IF(F1219&lt;='RETRATO 2027'!$K$5,"EM ANDAMENTO","A INICIAR")))</f>
        <v>CONCLUÍDA</v>
      </c>
    </row>
    <row r="1220" customFormat="false" ht="15" hidden="false" customHeight="false" outlineLevel="0" collapsed="false">
      <c r="B1220" s="4" t="n">
        <v>9360265</v>
      </c>
      <c r="C1220" s="4" t="s">
        <v>2705</v>
      </c>
      <c r="D1220" s="4" t="s">
        <v>3245</v>
      </c>
      <c r="E1220" s="4" t="s">
        <v>3626</v>
      </c>
      <c r="F1220" s="127" t="n">
        <v>46178</v>
      </c>
      <c r="G1220" s="127" t="n">
        <v>46185</v>
      </c>
      <c r="H1220" s="127" t="n">
        <v>46293</v>
      </c>
      <c r="I1220" s="4" t="n">
        <v>100</v>
      </c>
      <c r="J1220" s="4" t="n">
        <v>100</v>
      </c>
      <c r="K1220" s="4" t="n">
        <v>100</v>
      </c>
      <c r="M1220" s="2" t="str">
        <f aca="false">IF(C1220="","",IFERROR(INDEX($S$5:$S$304,MATCH(C1220,$R$5:$R$304,0))&amp;"","?"))</f>
        <v>17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2</v>
      </c>
      <c r="O1220" s="2" t="str">
        <f aca="false">IF(OR(F1220="",G1220=""),"",IF(G1220&lt;='RETRATO 2027'!$K$5,"CONCLUÍDA",IF(F1220&lt;='RETRATO 2027'!$K$5,"EM ANDAMENTO","A INICIAR")))</f>
        <v>CONCLUÍDA</v>
      </c>
    </row>
    <row r="1221" customFormat="false" ht="15" hidden="false" customHeight="false" outlineLevel="0" collapsed="false">
      <c r="B1221" s="4" t="n">
        <v>9360266</v>
      </c>
      <c r="C1221" s="4" t="s">
        <v>2705</v>
      </c>
      <c r="D1221" s="4" t="s">
        <v>3246</v>
      </c>
      <c r="E1221" s="4" t="s">
        <v>3626</v>
      </c>
      <c r="F1221" s="127" t="n">
        <v>46181</v>
      </c>
      <c r="G1221" s="127" t="n">
        <v>46183</v>
      </c>
      <c r="H1221" s="127" t="n">
        <v>46293</v>
      </c>
      <c r="I1221" s="4" t="n">
        <v>100</v>
      </c>
      <c r="J1221" s="4" t="n">
        <v>100</v>
      </c>
      <c r="K1221" s="4" t="n">
        <v>100</v>
      </c>
      <c r="M1221" s="2" t="str">
        <f aca="false">IF(C1221="","",IFERROR(INDEX($S$5:$S$304,MATCH(C1221,$R$5:$R$304,0))&amp;"","?"))</f>
        <v>17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2</v>
      </c>
      <c r="O1221" s="2" t="str">
        <f aca="false">IF(OR(F1221="",G1221=""),"",IF(G1221&lt;='RETRATO 2027'!$K$5,"CONCLUÍDA",IF(F1221&lt;='RETRATO 2027'!$K$5,"EM ANDAMENTO","A INICIAR")))</f>
        <v>CONCLUÍDA</v>
      </c>
    </row>
    <row r="1222" customFormat="false" ht="15" hidden="false" customHeight="false" outlineLevel="0" collapsed="false">
      <c r="B1222" s="4" t="n">
        <v>9360267</v>
      </c>
      <c r="C1222" s="4" t="s">
        <v>2705</v>
      </c>
      <c r="D1222" s="4" t="s">
        <v>3247</v>
      </c>
      <c r="E1222" s="4" t="s">
        <v>3626</v>
      </c>
      <c r="F1222" s="127" t="n">
        <v>46184</v>
      </c>
      <c r="G1222" s="127" t="n">
        <v>46184</v>
      </c>
      <c r="H1222" s="127" t="n">
        <v>46293</v>
      </c>
      <c r="I1222" s="4" t="n">
        <v>100</v>
      </c>
      <c r="J1222" s="4" t="n">
        <v>100</v>
      </c>
      <c r="K1222" s="4" t="n">
        <v>100</v>
      </c>
      <c r="M1222" s="2" t="str">
        <f aca="false">IF(C1222="","",IFERROR(INDEX($S$5:$S$304,MATCH(C1222,$R$5:$R$304,0))&amp;"","?"))</f>
        <v>17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2</v>
      </c>
      <c r="O1222" s="2" t="str">
        <f aca="false">IF(OR(F1222="",G1222=""),"",IF(G1222&lt;='RETRATO 2027'!$K$5,"CONCLUÍDA",IF(F1222&lt;='RETRATO 2027'!$K$5,"EM ANDAMENTO","A INICIAR")))</f>
        <v>CONCLUÍDA</v>
      </c>
    </row>
    <row r="1223" customFormat="false" ht="15" hidden="false" customHeight="false" outlineLevel="0" collapsed="false">
      <c r="B1223" s="4" t="n">
        <v>9360268</v>
      </c>
      <c r="C1223" s="4" t="s">
        <v>2705</v>
      </c>
      <c r="D1223" s="4" t="s">
        <v>3248</v>
      </c>
      <c r="E1223" s="4" t="s">
        <v>3626</v>
      </c>
      <c r="F1223" s="127" t="n">
        <v>46185</v>
      </c>
      <c r="G1223" s="127" t="n">
        <v>46196</v>
      </c>
      <c r="H1223" s="127" t="n">
        <v>46293</v>
      </c>
      <c r="I1223" s="4" t="n">
        <v>100</v>
      </c>
      <c r="J1223" s="4" t="n">
        <v>100</v>
      </c>
      <c r="K1223" s="4" t="n">
        <v>100</v>
      </c>
      <c r="M1223" s="2" t="str">
        <f aca="false">IF(C1223="","",IFERROR(INDEX($S$5:$S$304,MATCH(C1223,$R$5:$R$304,0))&amp;"","?"))</f>
        <v>17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2</v>
      </c>
      <c r="O1223" s="2" t="str">
        <f aca="false">IF(OR(F1223="",G1223=""),"",IF(G1223&lt;='RETRATO 2027'!$K$5,"CONCLUÍDA",IF(F1223&lt;='RETRATO 2027'!$K$5,"EM ANDAMENTO","A INICIAR")))</f>
        <v>CONCLUÍDA</v>
      </c>
    </row>
    <row r="1224" customFormat="false" ht="15" hidden="false" customHeight="false" outlineLevel="0" collapsed="false">
      <c r="B1224" s="4" t="n">
        <v>9360269</v>
      </c>
      <c r="C1224" s="4" t="s">
        <v>2705</v>
      </c>
      <c r="D1224" s="4" t="s">
        <v>3249</v>
      </c>
      <c r="E1224" s="4" t="s">
        <v>3626</v>
      </c>
      <c r="F1224" s="127" t="n">
        <v>46188</v>
      </c>
      <c r="G1224" s="127" t="n">
        <v>46196</v>
      </c>
      <c r="H1224" s="127" t="n">
        <v>46293</v>
      </c>
      <c r="I1224" s="4" t="n">
        <v>100</v>
      </c>
      <c r="J1224" s="4" t="n">
        <v>100</v>
      </c>
      <c r="K1224" s="4" t="n">
        <v>100</v>
      </c>
      <c r="M1224" s="2" t="str">
        <f aca="false">IF(C1224="","",IFERROR(INDEX($S$5:$S$304,MATCH(C1224,$R$5:$R$304,0))&amp;"","?"))</f>
        <v>17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2</v>
      </c>
      <c r="O1224" s="2" t="str">
        <f aca="false">IF(OR(F1224="",G1224=""),"",IF(G1224&lt;='RETRATO 2027'!$K$5,"CONCLUÍDA",IF(F1224&lt;='RETRATO 2027'!$K$5,"EM ANDAMENTO","A INICIAR")))</f>
        <v>CONCLUÍDA</v>
      </c>
    </row>
    <row r="1225" customFormat="false" ht="15" hidden="false" customHeight="false" outlineLevel="0" collapsed="false">
      <c r="B1225" s="4" t="n">
        <v>9360270</v>
      </c>
      <c r="C1225" s="4" t="s">
        <v>2705</v>
      </c>
      <c r="D1225" s="4" t="s">
        <v>3250</v>
      </c>
      <c r="E1225" s="4" t="s">
        <v>3626</v>
      </c>
      <c r="F1225" s="127" t="n">
        <v>46195</v>
      </c>
      <c r="G1225" s="127" t="n">
        <v>46195</v>
      </c>
      <c r="H1225" s="127" t="n">
        <v>46293</v>
      </c>
      <c r="I1225" s="4" t="n">
        <v>100</v>
      </c>
      <c r="J1225" s="4" t="n">
        <v>100</v>
      </c>
      <c r="K1225" s="4" t="n">
        <v>100</v>
      </c>
      <c r="M1225" s="2" t="str">
        <f aca="false">IF(C1225="","",IFERROR(INDEX($S$5:$S$304,MATCH(C1225,$R$5:$R$304,0))&amp;"","?"))</f>
        <v>17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2</v>
      </c>
      <c r="O1225" s="2" t="str">
        <f aca="false">IF(OR(F1225="",G1225=""),"",IF(G1225&lt;='RETRATO 2027'!$K$5,"CONCLUÍDA",IF(F1225&lt;='RETRATO 2027'!$K$5,"EM ANDAMENTO","A INICIAR")))</f>
        <v>CONCLUÍDA</v>
      </c>
    </row>
    <row r="1226" customFormat="false" ht="15" hidden="false" customHeight="false" outlineLevel="0" collapsed="false">
      <c r="B1226" s="4" t="n">
        <v>9360271</v>
      </c>
      <c r="C1226" s="4" t="s">
        <v>2705</v>
      </c>
      <c r="D1226" s="4" t="s">
        <v>3251</v>
      </c>
      <c r="E1226" s="4" t="s">
        <v>3626</v>
      </c>
      <c r="F1226" s="127" t="n">
        <v>46195</v>
      </c>
      <c r="G1226" s="127" t="n">
        <v>46195</v>
      </c>
      <c r="H1226" s="127" t="n">
        <v>46293</v>
      </c>
      <c r="I1226" s="4" t="n">
        <v>100</v>
      </c>
      <c r="J1226" s="4" t="n">
        <v>100</v>
      </c>
      <c r="K1226" s="4" t="n">
        <v>100</v>
      </c>
      <c r="M1226" s="2" t="str">
        <f aca="false">IF(C1226="","",IFERROR(INDEX($S$5:$S$304,MATCH(C1226,$R$5:$R$304,0))&amp;"","?"))</f>
        <v>17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</v>
      </c>
      <c r="O1226" s="2" t="str">
        <f aca="false">IF(OR(F1226="",G1226=""),"",IF(G1226&lt;='RETRATO 2027'!$K$5,"CONCLUÍDA",IF(F1226&lt;='RETRATO 2027'!$K$5,"EM ANDAMENTO","A INICIAR")))</f>
        <v>CONCLUÍDA</v>
      </c>
    </row>
    <row r="1227" customFormat="false" ht="15" hidden="false" customHeight="false" outlineLevel="0" collapsed="false">
      <c r="B1227" s="4" t="n">
        <v>9360272</v>
      </c>
      <c r="C1227" s="4" t="s">
        <v>2705</v>
      </c>
      <c r="D1227" s="4" t="s">
        <v>3252</v>
      </c>
      <c r="E1227" s="4" t="s">
        <v>3626</v>
      </c>
      <c r="F1227" s="127" t="n">
        <v>46196</v>
      </c>
      <c r="G1227" s="127" t="n">
        <v>46196</v>
      </c>
      <c r="H1227" s="127" t="n">
        <v>46293</v>
      </c>
      <c r="I1227" s="4" t="n">
        <v>100</v>
      </c>
      <c r="J1227" s="4" t="n">
        <v>100</v>
      </c>
      <c r="K1227" s="4" t="n">
        <v>100</v>
      </c>
      <c r="M1227" s="2" t="str">
        <f aca="false">IF(C1227="","",IFERROR(INDEX($S$5:$S$304,MATCH(C1227,$R$5:$R$304,0))&amp;"","?"))</f>
        <v>17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2</v>
      </c>
      <c r="O1227" s="2" t="str">
        <f aca="false">IF(OR(F1227="",G1227=""),"",IF(G1227&lt;='RETRATO 2027'!$K$5,"CONCLUÍDA",IF(F1227&lt;='RETRATO 2027'!$K$5,"EM ANDAMENTO","A INICIAR")))</f>
        <v>CONCLUÍDA</v>
      </c>
    </row>
    <row r="1228" customFormat="false" ht="15" hidden="false" customHeight="false" outlineLevel="0" collapsed="false">
      <c r="B1228" s="4" t="n">
        <v>39842136</v>
      </c>
      <c r="C1228" s="4" t="s">
        <v>2714</v>
      </c>
      <c r="D1228" s="4" t="s">
        <v>433</v>
      </c>
      <c r="E1228" s="4" t="s">
        <v>3626</v>
      </c>
      <c r="F1228" s="127" t="n">
        <v>46170</v>
      </c>
      <c r="G1228" s="127" t="n">
        <v>46196</v>
      </c>
      <c r="H1228" s="127" t="n">
        <v>46293</v>
      </c>
      <c r="I1228" s="4" t="n">
        <v>100</v>
      </c>
      <c r="J1228" s="4" t="n">
        <v>100</v>
      </c>
      <c r="K1228" s="4" t="n">
        <v>100</v>
      </c>
      <c r="M1228" s="2" t="str">
        <f aca="false">IF(C1228="","",IFERROR(INDEX($S$5:$S$304,MATCH(C1228,$R$5:$R$304,0))&amp;"","?"))</f>
        <v>17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2</v>
      </c>
      <c r="O1228" s="2" t="str">
        <f aca="false">IF(OR(F1228="",G1228=""),"",IF(G1228&lt;='RETRATO 2027'!$K$5,"CONCLUÍDA",IF(F1228&lt;='RETRATO 2027'!$K$5,"EM ANDAMENTO","A INICIAR")))</f>
        <v>CONCLUÍDA</v>
      </c>
    </row>
    <row r="1229" customFormat="false" ht="15" hidden="false" customHeight="false" outlineLevel="0" collapsed="false">
      <c r="B1229" s="4" t="n">
        <v>19473428</v>
      </c>
      <c r="C1229" s="4" t="s">
        <v>2714</v>
      </c>
      <c r="D1229" s="4" t="s">
        <v>3554</v>
      </c>
      <c r="E1229" s="4" t="s">
        <v>3626</v>
      </c>
      <c r="F1229" s="127" t="n">
        <v>46170</v>
      </c>
      <c r="G1229" s="127" t="n">
        <v>46174</v>
      </c>
      <c r="H1229" s="127" t="n">
        <v>46293</v>
      </c>
      <c r="I1229" s="4" t="n">
        <v>100</v>
      </c>
      <c r="J1229" s="4" t="n">
        <v>100</v>
      </c>
      <c r="K1229" s="4" t="n">
        <v>100</v>
      </c>
      <c r="M1229" s="2" t="str">
        <f aca="false">IF(C1229="","",IFERROR(INDEX($S$5:$S$304,MATCH(C1229,$R$5:$R$304,0))&amp;"","?"))</f>
        <v>17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</v>
      </c>
      <c r="O1229" s="2" t="str">
        <f aca="false">IF(OR(F1229="",G1229=""),"",IF(G1229&lt;='RETRATO 2027'!$K$5,"CONCLUÍDA",IF(F1229&lt;='RETRATO 2027'!$K$5,"EM ANDAMENTO","A INICIAR")))</f>
        <v>CONCLUÍDA</v>
      </c>
    </row>
    <row r="1230" customFormat="false" ht="15" hidden="false" customHeight="false" outlineLevel="0" collapsed="false">
      <c r="B1230" s="4" t="n">
        <v>19473429</v>
      </c>
      <c r="C1230" s="4" t="s">
        <v>2714</v>
      </c>
      <c r="D1230" s="4" t="s">
        <v>3555</v>
      </c>
      <c r="E1230" s="4" t="s">
        <v>3626</v>
      </c>
      <c r="F1230" s="127" t="n">
        <v>46171</v>
      </c>
      <c r="G1230" s="127" t="n">
        <v>46176</v>
      </c>
      <c r="H1230" s="127" t="n">
        <v>46293</v>
      </c>
      <c r="I1230" s="4" t="n">
        <v>100</v>
      </c>
      <c r="J1230" s="4" t="n">
        <v>100</v>
      </c>
      <c r="K1230" s="4" t="n">
        <v>100</v>
      </c>
      <c r="M1230" s="2" t="str">
        <f aca="false">IF(C1230="","",IFERROR(INDEX($S$5:$S$304,MATCH(C1230,$R$5:$R$304,0))&amp;"","?"))</f>
        <v>17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2</v>
      </c>
      <c r="O1230" s="2" t="str">
        <f aca="false">IF(OR(F1230="",G1230=""),"",IF(G1230&lt;='RETRATO 2027'!$K$5,"CONCLUÍDA",IF(F1230&lt;='RETRATO 2027'!$K$5,"EM ANDAMENTO","A INICIAR")))</f>
        <v>CONCLUÍDA</v>
      </c>
    </row>
    <row r="1231" customFormat="false" ht="15" hidden="false" customHeight="false" outlineLevel="0" collapsed="false">
      <c r="B1231" s="4" t="n">
        <v>19473430</v>
      </c>
      <c r="C1231" s="4" t="s">
        <v>2714</v>
      </c>
      <c r="D1231" s="4" t="s">
        <v>3498</v>
      </c>
      <c r="E1231" s="4" t="s">
        <v>3626</v>
      </c>
      <c r="F1231" s="127" t="n">
        <v>46178</v>
      </c>
      <c r="G1231" s="127" t="n">
        <v>46191</v>
      </c>
      <c r="H1231" s="127" t="n">
        <v>46293</v>
      </c>
      <c r="I1231" s="4" t="n">
        <v>100</v>
      </c>
      <c r="J1231" s="4" t="n">
        <v>100</v>
      </c>
      <c r="K1231" s="4" t="n">
        <v>100</v>
      </c>
      <c r="M1231" s="2" t="str">
        <f aca="false">IF(C1231="","",IFERROR(INDEX($S$5:$S$304,MATCH(C1231,$R$5:$R$304,0))&amp;"","?"))</f>
        <v>17</v>
      </c>
      <c r="N1231" s="2" t="n">
        <f aca="false">IF(E1231="","",IF(ISNUMBER(SEARCH("SUBSOLO",E1231)),IFERROR(-VALUE(LEFT(E1231,FIND("º",SUBSTITUTE(E1231,"°","º"))-1)),-1),IF(LEFT(E1231,6)="TÉRREO",0,IFERROR(VALUE(LEFT(E1231,FIND("º",SUBSTITUTE(E1231,"°","º"))-1)),""))))</f>
        <v>2</v>
      </c>
      <c r="O1231" s="2" t="str">
        <f aca="false">IF(OR(F1231="",G1231=""),"",IF(G1231&lt;='RETRATO 2027'!$K$5,"CONCLUÍDA",IF(F1231&lt;='RETRATO 2027'!$K$5,"EM ANDAMENTO","A INICIAR")))</f>
        <v>CONCLUÍDA</v>
      </c>
    </row>
    <row r="1232" customFormat="false" ht="15" hidden="false" customHeight="false" outlineLevel="0" collapsed="false">
      <c r="B1232" s="4" t="n">
        <v>19473431</v>
      </c>
      <c r="C1232" s="4" t="s">
        <v>2714</v>
      </c>
      <c r="D1232" s="4" t="s">
        <v>3572</v>
      </c>
      <c r="E1232" s="4" t="s">
        <v>3626</v>
      </c>
      <c r="F1232" s="127" t="n">
        <v>46184</v>
      </c>
      <c r="G1232" s="127" t="n">
        <v>46185</v>
      </c>
      <c r="H1232" s="127" t="n">
        <v>46293</v>
      </c>
      <c r="I1232" s="4" t="n">
        <v>100</v>
      </c>
      <c r="J1232" s="4" t="n">
        <v>100</v>
      </c>
      <c r="K1232" s="4" t="n">
        <v>100</v>
      </c>
      <c r="M1232" s="2" t="str">
        <f aca="false">IF(C1232="","",IFERROR(INDEX($S$5:$S$304,MATCH(C1232,$R$5:$R$304,0))&amp;"","?"))</f>
        <v>17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2</v>
      </c>
      <c r="O1232" s="2" t="str">
        <f aca="false">IF(OR(F1232="",G1232=""),"",IF(G1232&lt;='RETRATO 2027'!$K$5,"CONCLUÍDA",IF(F1232&lt;='RETRATO 2027'!$K$5,"EM ANDAMENTO","A INICIAR")))</f>
        <v>CONCLUÍDA</v>
      </c>
    </row>
    <row r="1233" customFormat="false" ht="15" hidden="false" customHeight="false" outlineLevel="0" collapsed="false">
      <c r="B1233" s="4" t="n">
        <v>19473432</v>
      </c>
      <c r="C1233" s="4" t="s">
        <v>2714</v>
      </c>
      <c r="D1233" s="4" t="s">
        <v>3627</v>
      </c>
      <c r="E1233" s="4" t="s">
        <v>3626</v>
      </c>
      <c r="F1233" s="127" t="n">
        <v>46188</v>
      </c>
      <c r="G1233" s="127" t="n">
        <v>46188</v>
      </c>
      <c r="H1233" s="127" t="n">
        <v>46293</v>
      </c>
      <c r="I1233" s="4" t="n">
        <v>100</v>
      </c>
      <c r="J1233" s="4" t="n">
        <v>100</v>
      </c>
      <c r="K1233" s="4" t="n">
        <v>100</v>
      </c>
      <c r="M1233" s="2" t="str">
        <f aca="false">IF(C1233="","",IFERROR(INDEX($S$5:$S$304,MATCH(C1233,$R$5:$R$304,0))&amp;"","?"))</f>
        <v>17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2</v>
      </c>
      <c r="O1233" s="2" t="str">
        <f aca="false">IF(OR(F1233="",G1233=""),"",IF(G1233&lt;='RETRATO 2027'!$K$5,"CONCLUÍDA",IF(F1233&lt;='RETRATO 2027'!$K$5,"EM ANDAMENTO","A INICIAR")))</f>
        <v>CONCLUÍDA</v>
      </c>
    </row>
    <row r="1234" customFormat="false" ht="15" hidden="false" customHeight="false" outlineLevel="0" collapsed="false">
      <c r="B1234" s="4" t="n">
        <v>19473433</v>
      </c>
      <c r="C1234" s="4" t="s">
        <v>2714</v>
      </c>
      <c r="D1234" s="4" t="s">
        <v>3536</v>
      </c>
      <c r="E1234" s="4" t="s">
        <v>3626</v>
      </c>
      <c r="F1234" s="127" t="n">
        <v>46189</v>
      </c>
      <c r="G1234" s="127" t="n">
        <v>46195</v>
      </c>
      <c r="H1234" s="127" t="n">
        <v>46293</v>
      </c>
      <c r="I1234" s="4" t="n">
        <v>100</v>
      </c>
      <c r="J1234" s="4" t="n">
        <v>100</v>
      </c>
      <c r="K1234" s="4" t="n">
        <v>100</v>
      </c>
      <c r="M1234" s="2" t="str">
        <f aca="false">IF(C1234="","",IFERROR(INDEX($S$5:$S$304,MATCH(C1234,$R$5:$R$304,0))&amp;"","?"))</f>
        <v>17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2</v>
      </c>
      <c r="O1234" s="2" t="str">
        <f aca="false">IF(OR(F1234="",G1234=""),"",IF(G1234&lt;='RETRATO 2027'!$K$5,"CONCLUÍDA",IF(F1234&lt;='RETRATO 2027'!$K$5,"EM ANDAMENTO","A INICIAR")))</f>
        <v>CONCLUÍDA</v>
      </c>
    </row>
    <row r="1235" customFormat="false" ht="15" hidden="false" customHeight="false" outlineLevel="0" collapsed="false">
      <c r="B1235" s="4" t="n">
        <v>19473434</v>
      </c>
      <c r="C1235" s="4" t="s">
        <v>2714</v>
      </c>
      <c r="D1235" s="4" t="s">
        <v>3617</v>
      </c>
      <c r="E1235" s="4" t="s">
        <v>3626</v>
      </c>
      <c r="F1235" s="127" t="n">
        <v>46196</v>
      </c>
      <c r="G1235" s="127" t="n">
        <v>46196</v>
      </c>
      <c r="H1235" s="127" t="n">
        <v>46293</v>
      </c>
      <c r="I1235" s="4" t="n">
        <v>100</v>
      </c>
      <c r="J1235" s="4" t="n">
        <v>100</v>
      </c>
      <c r="K1235" s="4" t="n">
        <v>100</v>
      </c>
      <c r="M1235" s="2" t="str">
        <f aca="false">IF(C1235="","",IFERROR(INDEX($S$5:$S$304,MATCH(C1235,$R$5:$R$304,0))&amp;"","?"))</f>
        <v>17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2</v>
      </c>
      <c r="O1235" s="2" t="str">
        <f aca="false">IF(OR(F1235="",G1235=""),"",IF(G1235&lt;='RETRATO 2027'!$K$5,"CONCLUÍDA",IF(F1235&lt;='RETRATO 2027'!$K$5,"EM ANDAMENTO","A INICIAR")))</f>
        <v>CONCLUÍDA</v>
      </c>
    </row>
    <row r="1236" customFormat="false" ht="15" hidden="false" customHeight="false" outlineLevel="0" collapsed="false">
      <c r="B1236" s="4" t="n">
        <v>43584286</v>
      </c>
      <c r="C1236" s="4" t="s">
        <v>2779</v>
      </c>
      <c r="D1236" s="4" t="s">
        <v>433</v>
      </c>
      <c r="E1236" s="4" t="s">
        <v>3628</v>
      </c>
      <c r="F1236" s="127" t="n">
        <v>46175</v>
      </c>
      <c r="G1236" s="127" t="n">
        <v>46255</v>
      </c>
      <c r="H1236" s="127" t="n">
        <v>46293</v>
      </c>
      <c r="I1236" s="4" t="n">
        <v>0</v>
      </c>
      <c r="J1236" s="4" t="n">
        <v>100</v>
      </c>
      <c r="K1236" s="4" t="n">
        <v>100</v>
      </c>
      <c r="M1236" s="2" t="str">
        <f aca="false">IF(C1236="","",IFERROR(INDEX($S$5:$S$304,MATCH(C1236,$R$5:$R$304,0))&amp;"","?"))</f>
        <v>17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-6</v>
      </c>
      <c r="O1236" s="2" t="str">
        <f aca="false">IF(OR(F1236="",G1236=""),"",IF(G1236&lt;='RETRATO 2027'!$K$5,"CONCLUÍDA",IF(F1236&lt;='RETRATO 2027'!$K$5,"EM ANDAMENTO","A INICIAR")))</f>
        <v>CONCLUÍDA</v>
      </c>
    </row>
    <row r="1237" customFormat="false" ht="15" hidden="false" customHeight="false" outlineLevel="0" collapsed="false">
      <c r="B1237" s="4" t="n">
        <v>27818546</v>
      </c>
      <c r="C1237" s="4" t="s">
        <v>2779</v>
      </c>
      <c r="D1237" s="4" t="s">
        <v>3629</v>
      </c>
      <c r="E1237" s="4" t="s">
        <v>3628</v>
      </c>
      <c r="F1237" s="127" t="n">
        <v>46175</v>
      </c>
      <c r="G1237" s="127" t="n">
        <v>46181</v>
      </c>
      <c r="H1237" s="127" t="n">
        <v>46293</v>
      </c>
      <c r="I1237" s="4" t="n">
        <v>0</v>
      </c>
      <c r="J1237" s="4" t="n">
        <v>100</v>
      </c>
      <c r="K1237" s="4" t="n">
        <v>100</v>
      </c>
      <c r="M1237" s="2" t="str">
        <f aca="false">IF(C1237="","",IFERROR(INDEX($S$5:$S$304,MATCH(C1237,$R$5:$R$304,0))&amp;"","?"))</f>
        <v>17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-6</v>
      </c>
      <c r="O1237" s="2" t="str">
        <f aca="false">IF(OR(F1237="",G1237=""),"",IF(G1237&lt;='RETRATO 2027'!$K$5,"CONCLUÍDA",IF(F1237&lt;='RETRATO 2027'!$K$5,"EM ANDAMENTO","A INICIAR")))</f>
        <v>CONCLUÍDA</v>
      </c>
    </row>
    <row r="1238" customFormat="false" ht="15" hidden="false" customHeight="false" outlineLevel="0" collapsed="false">
      <c r="B1238" s="4" t="n">
        <v>27822631</v>
      </c>
      <c r="C1238" s="4" t="s">
        <v>2779</v>
      </c>
      <c r="D1238" s="4" t="s">
        <v>3630</v>
      </c>
      <c r="E1238" s="4" t="s">
        <v>3628</v>
      </c>
      <c r="F1238" s="127" t="n">
        <v>46175</v>
      </c>
      <c r="G1238" s="127" t="n">
        <v>46181</v>
      </c>
      <c r="H1238" s="127" t="n">
        <v>46293</v>
      </c>
      <c r="I1238" s="4" t="n">
        <v>0</v>
      </c>
      <c r="J1238" s="4" t="n">
        <v>100</v>
      </c>
      <c r="K1238" s="4" t="n">
        <v>100</v>
      </c>
      <c r="M1238" s="2" t="str">
        <f aca="false">IF(C1238="","",IFERROR(INDEX($S$5:$S$304,MATCH(C1238,$R$5:$R$304,0))&amp;"","?"))</f>
        <v>17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-6</v>
      </c>
      <c r="O1238" s="2" t="str">
        <f aca="false">IF(OR(F1238="",G1238=""),"",IF(G1238&lt;='RETRATO 2027'!$K$5,"CONCLUÍDA",IF(F1238&lt;='RETRATO 2027'!$K$5,"EM ANDAMENTO","A INICIAR")))</f>
        <v>CONCLUÍDA</v>
      </c>
    </row>
    <row r="1239" customFormat="false" ht="15" hidden="false" customHeight="false" outlineLevel="0" collapsed="false">
      <c r="B1239" s="4" t="n">
        <v>27822632</v>
      </c>
      <c r="C1239" s="4" t="s">
        <v>2779</v>
      </c>
      <c r="D1239" s="4" t="s">
        <v>3631</v>
      </c>
      <c r="E1239" s="4" t="s">
        <v>3628</v>
      </c>
      <c r="F1239" s="127" t="n">
        <v>46182</v>
      </c>
      <c r="G1239" s="127" t="n">
        <v>46184</v>
      </c>
      <c r="H1239" s="127" t="n">
        <v>46293</v>
      </c>
      <c r="I1239" s="4" t="n">
        <v>0</v>
      </c>
      <c r="J1239" s="4" t="n">
        <v>100</v>
      </c>
      <c r="K1239" s="4" t="n">
        <v>100</v>
      </c>
      <c r="M1239" s="2" t="str">
        <f aca="false">IF(C1239="","",IFERROR(INDEX($S$5:$S$304,MATCH(C1239,$R$5:$R$304,0))&amp;"","?"))</f>
        <v>17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-6</v>
      </c>
      <c r="O1239" s="2" t="str">
        <f aca="false">IF(OR(F1239="",G1239=""),"",IF(G1239&lt;='RETRATO 2027'!$K$5,"CONCLUÍDA",IF(F1239&lt;='RETRATO 2027'!$K$5,"EM ANDAMENTO","A INICIAR")))</f>
        <v>CONCLUÍDA</v>
      </c>
    </row>
    <row r="1240" customFormat="false" ht="15" hidden="false" customHeight="false" outlineLevel="0" collapsed="false">
      <c r="B1240" s="4" t="n">
        <v>27822633</v>
      </c>
      <c r="C1240" s="4" t="s">
        <v>2779</v>
      </c>
      <c r="D1240" s="4" t="s">
        <v>3632</v>
      </c>
      <c r="E1240" s="4" t="s">
        <v>3628</v>
      </c>
      <c r="F1240" s="127" t="n">
        <v>46239</v>
      </c>
      <c r="G1240" s="127" t="n">
        <v>46246</v>
      </c>
      <c r="H1240" s="127" t="n">
        <v>46293</v>
      </c>
      <c r="I1240" s="4" t="n">
        <v>0</v>
      </c>
      <c r="J1240" s="4" t="n">
        <v>100</v>
      </c>
      <c r="K1240" s="4" t="n">
        <v>100</v>
      </c>
      <c r="M1240" s="2" t="str">
        <f aca="false">IF(C1240="","",IFERROR(INDEX($S$5:$S$304,MATCH(C1240,$R$5:$R$304,0))&amp;"","?"))</f>
        <v>17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-6</v>
      </c>
      <c r="O1240" s="2" t="str">
        <f aca="false">IF(OR(F1240="",G1240=""),"",IF(G1240&lt;='RETRATO 2027'!$K$5,"CONCLUÍDA",IF(F1240&lt;='RETRATO 2027'!$K$5,"EM ANDAMENTO","A INICIAR")))</f>
        <v>CONCLUÍDA</v>
      </c>
    </row>
    <row r="1241" customFormat="false" ht="15" hidden="false" customHeight="false" outlineLevel="0" collapsed="false">
      <c r="B1241" s="4" t="n">
        <v>27822634</v>
      </c>
      <c r="C1241" s="4" t="s">
        <v>2779</v>
      </c>
      <c r="D1241" s="4" t="s">
        <v>3633</v>
      </c>
      <c r="E1241" s="4" t="s">
        <v>3628</v>
      </c>
      <c r="F1241" s="127" t="n">
        <v>46247</v>
      </c>
      <c r="G1241" s="127" t="n">
        <v>46251</v>
      </c>
      <c r="H1241" s="127" t="n">
        <v>46293</v>
      </c>
      <c r="I1241" s="4" t="n">
        <v>0</v>
      </c>
      <c r="J1241" s="4" t="n">
        <v>100</v>
      </c>
      <c r="K1241" s="4" t="n">
        <v>100</v>
      </c>
      <c r="M1241" s="2" t="str">
        <f aca="false">IF(C1241="","",IFERROR(INDEX($S$5:$S$304,MATCH(C1241,$R$5:$R$304,0))&amp;"","?"))</f>
        <v>17</v>
      </c>
      <c r="N1241" s="2" t="n">
        <f aca="false">IF(E1241="","",IF(ISNUMBER(SEARCH("SUBSOLO",E1241)),IFERROR(-VALUE(LEFT(E1241,FIND("º",SUBSTITUTE(E1241,"°","º"))-1)),-1),IF(LEFT(E1241,6)="TÉRREO",0,IFERROR(VALUE(LEFT(E1241,FIND("º",SUBSTITUTE(E1241,"°","º"))-1)),""))))</f>
        <v>-6</v>
      </c>
      <c r="O1241" s="2" t="str">
        <f aca="false">IF(OR(F1241="",G1241=""),"",IF(G1241&lt;='RETRATO 2027'!$K$5,"CONCLUÍDA",IF(F1241&lt;='RETRATO 2027'!$K$5,"EM ANDAMENTO","A INICIAR")))</f>
        <v>CONCLUÍDA</v>
      </c>
    </row>
    <row r="1242" customFormat="false" ht="15" hidden="false" customHeight="false" outlineLevel="0" collapsed="false">
      <c r="B1242" s="4" t="n">
        <v>27822635</v>
      </c>
      <c r="C1242" s="4" t="s">
        <v>2779</v>
      </c>
      <c r="D1242" s="4" t="s">
        <v>3634</v>
      </c>
      <c r="E1242" s="4" t="s">
        <v>3628</v>
      </c>
      <c r="F1242" s="127" t="n">
        <v>46252</v>
      </c>
      <c r="G1242" s="127" t="n">
        <v>46254</v>
      </c>
      <c r="H1242" s="127" t="n">
        <v>46293</v>
      </c>
      <c r="I1242" s="4" t="n">
        <v>0</v>
      </c>
      <c r="J1242" s="4" t="n">
        <v>100</v>
      </c>
      <c r="K1242" s="4" t="n">
        <v>100</v>
      </c>
      <c r="M1242" s="2" t="str">
        <f aca="false">IF(C1242="","",IFERROR(INDEX($S$5:$S$304,MATCH(C1242,$R$5:$R$304,0))&amp;"","?"))</f>
        <v>17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-6</v>
      </c>
      <c r="O1242" s="2" t="str">
        <f aca="false">IF(OR(F1242="",G1242=""),"",IF(G1242&lt;='RETRATO 2027'!$K$5,"CONCLUÍDA",IF(F1242&lt;='RETRATO 2027'!$K$5,"EM ANDAMENTO","A INICIAR")))</f>
        <v>CONCLUÍDA</v>
      </c>
    </row>
    <row r="1243" customFormat="false" ht="15" hidden="false" customHeight="false" outlineLevel="0" collapsed="false">
      <c r="B1243" s="4" t="n">
        <v>27822636</v>
      </c>
      <c r="C1243" s="4" t="s">
        <v>2779</v>
      </c>
      <c r="D1243" s="4" t="s">
        <v>3635</v>
      </c>
      <c r="E1243" s="4" t="s">
        <v>3628</v>
      </c>
      <c r="F1243" s="127" t="n">
        <v>46255</v>
      </c>
      <c r="G1243" s="127" t="n">
        <v>46255</v>
      </c>
      <c r="H1243" s="127" t="n">
        <v>46293</v>
      </c>
      <c r="I1243" s="4" t="n">
        <v>0</v>
      </c>
      <c r="J1243" s="4" t="n">
        <v>100</v>
      </c>
      <c r="K1243" s="4" t="n">
        <v>100</v>
      </c>
      <c r="M1243" s="2" t="str">
        <f aca="false">IF(C1243="","",IFERROR(INDEX($S$5:$S$304,MATCH(C1243,$R$5:$R$304,0))&amp;"","?"))</f>
        <v>17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-6</v>
      </c>
      <c r="O1243" s="2" t="str">
        <f aca="false">IF(OR(F1243="",G1243=""),"",IF(G1243&lt;='RETRATO 2027'!$K$5,"CONCLUÍDA",IF(F1243&lt;='RETRATO 2027'!$K$5,"EM ANDAMENTO","A INICIAR")))</f>
        <v>CONCLUÍDA</v>
      </c>
    </row>
    <row r="1244" customFormat="false" ht="15" hidden="false" customHeight="false" outlineLevel="0" collapsed="false">
      <c r="B1244" s="4" t="n">
        <v>44083220</v>
      </c>
      <c r="C1244" s="4" t="s">
        <v>2782</v>
      </c>
      <c r="D1244" s="4" t="s">
        <v>433</v>
      </c>
      <c r="E1244" s="4" t="s">
        <v>3449</v>
      </c>
      <c r="F1244" s="127" t="n">
        <v>46175</v>
      </c>
      <c r="G1244" s="127" t="n">
        <v>46206</v>
      </c>
      <c r="H1244" s="127" t="n">
        <v>46293</v>
      </c>
      <c r="I1244" s="4" t="n">
        <v>0</v>
      </c>
      <c r="J1244" s="4" t="n">
        <v>100</v>
      </c>
      <c r="K1244" s="4" t="n">
        <v>100</v>
      </c>
      <c r="M1244" s="2" t="str">
        <f aca="false">IF(C1244="","",IFERROR(INDEX($S$5:$S$304,MATCH(C1244,$R$5:$R$304,0))&amp;"","?"))</f>
        <v>17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-2</v>
      </c>
      <c r="O1244" s="2" t="str">
        <f aca="false">IF(OR(F1244="",G1244=""),"",IF(G1244&lt;='RETRATO 2027'!$K$5,"CONCLUÍDA",IF(F1244&lt;='RETRATO 2027'!$K$5,"EM ANDAMENTO","A INICIAR")))</f>
        <v>CONCLUÍDA</v>
      </c>
    </row>
    <row r="1245" customFormat="false" ht="15" hidden="false" customHeight="false" outlineLevel="0" collapsed="false">
      <c r="B1245" s="4" t="n">
        <v>28098308</v>
      </c>
      <c r="C1245" s="4" t="s">
        <v>2782</v>
      </c>
      <c r="D1245" s="4" t="s">
        <v>3636</v>
      </c>
      <c r="E1245" s="4" t="s">
        <v>3449</v>
      </c>
      <c r="F1245" s="127" t="n">
        <v>46175</v>
      </c>
      <c r="G1245" s="127" t="n">
        <v>46178</v>
      </c>
      <c r="H1245" s="127" t="n">
        <v>46293</v>
      </c>
      <c r="I1245" s="4" t="n">
        <v>0</v>
      </c>
      <c r="J1245" s="4" t="n">
        <v>100</v>
      </c>
      <c r="K1245" s="4" t="n">
        <v>100</v>
      </c>
      <c r="M1245" s="2" t="str">
        <f aca="false">IF(C1245="","",IFERROR(INDEX($S$5:$S$304,MATCH(C1245,$R$5:$R$304,0))&amp;"","?"))</f>
        <v>17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-2</v>
      </c>
      <c r="O1245" s="2" t="str">
        <f aca="false">IF(OR(F1245="",G1245=""),"",IF(G1245&lt;='RETRATO 2027'!$K$5,"CONCLUÍDA",IF(F1245&lt;='RETRATO 2027'!$K$5,"EM ANDAMENTO","A INICIAR")))</f>
        <v>CONCLUÍDA</v>
      </c>
    </row>
    <row r="1246" customFormat="false" ht="15" hidden="false" customHeight="false" outlineLevel="0" collapsed="false">
      <c r="B1246" s="4" t="n">
        <v>28098309</v>
      </c>
      <c r="C1246" s="4" t="s">
        <v>2782</v>
      </c>
      <c r="D1246" s="4" t="s">
        <v>3637</v>
      </c>
      <c r="E1246" s="4" t="s">
        <v>3449</v>
      </c>
      <c r="F1246" s="127" t="n">
        <v>46181</v>
      </c>
      <c r="G1246" s="127" t="n">
        <v>46181</v>
      </c>
      <c r="H1246" s="127" t="n">
        <v>46293</v>
      </c>
      <c r="I1246" s="4" t="n">
        <v>0</v>
      </c>
      <c r="J1246" s="4" t="n">
        <v>100</v>
      </c>
      <c r="K1246" s="4" t="n">
        <v>100</v>
      </c>
      <c r="M1246" s="2" t="str">
        <f aca="false">IF(C1246="","",IFERROR(INDEX($S$5:$S$304,MATCH(C1246,$R$5:$R$304,0))&amp;"","?"))</f>
        <v>17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-2</v>
      </c>
      <c r="O1246" s="2" t="str">
        <f aca="false">IF(OR(F1246="",G1246=""),"",IF(G1246&lt;='RETRATO 2027'!$K$5,"CONCLUÍDA",IF(F1246&lt;='RETRATO 2027'!$K$5,"EM ANDAMENTO","A INICIAR")))</f>
        <v>CONCLUÍDA</v>
      </c>
    </row>
    <row r="1247" customFormat="false" ht="15" hidden="false" customHeight="false" outlineLevel="0" collapsed="false">
      <c r="B1247" s="4" t="n">
        <v>28098310</v>
      </c>
      <c r="C1247" s="4" t="s">
        <v>2782</v>
      </c>
      <c r="D1247" s="4" t="s">
        <v>3638</v>
      </c>
      <c r="E1247" s="4" t="s">
        <v>3449</v>
      </c>
      <c r="F1247" s="127" t="n">
        <v>46182</v>
      </c>
      <c r="G1247" s="127" t="n">
        <v>46183</v>
      </c>
      <c r="H1247" s="127" t="n">
        <v>46293</v>
      </c>
      <c r="I1247" s="4" t="n">
        <v>0</v>
      </c>
      <c r="J1247" s="4" t="n">
        <v>100</v>
      </c>
      <c r="K1247" s="4" t="n">
        <v>100</v>
      </c>
      <c r="M1247" s="2" t="str">
        <f aca="false">IF(C1247="","",IFERROR(INDEX($S$5:$S$304,MATCH(C1247,$R$5:$R$304,0))&amp;"","?"))</f>
        <v>17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-2</v>
      </c>
      <c r="O1247" s="2" t="str">
        <f aca="false">IF(OR(F1247="",G1247=""),"",IF(G1247&lt;='RETRATO 2027'!$K$5,"CONCLUÍDA",IF(F1247&lt;='RETRATO 2027'!$K$5,"EM ANDAMENTO","A INICIAR")))</f>
        <v>CONCLUÍDA</v>
      </c>
    </row>
    <row r="1248" customFormat="false" ht="15" hidden="false" customHeight="false" outlineLevel="0" collapsed="false">
      <c r="B1248" s="4" t="n">
        <v>28098311</v>
      </c>
      <c r="C1248" s="4" t="s">
        <v>2782</v>
      </c>
      <c r="D1248" s="4" t="s">
        <v>3639</v>
      </c>
      <c r="E1248" s="4" t="s">
        <v>3449</v>
      </c>
      <c r="F1248" s="127" t="n">
        <v>46184</v>
      </c>
      <c r="G1248" s="127" t="n">
        <v>46189</v>
      </c>
      <c r="H1248" s="127" t="n">
        <v>46293</v>
      </c>
      <c r="I1248" s="4" t="n">
        <v>0</v>
      </c>
      <c r="J1248" s="4" t="n">
        <v>100</v>
      </c>
      <c r="K1248" s="4" t="n">
        <v>100</v>
      </c>
      <c r="M1248" s="2" t="str">
        <f aca="false">IF(C1248="","",IFERROR(INDEX($S$5:$S$304,MATCH(C1248,$R$5:$R$304,0))&amp;"","?"))</f>
        <v>17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-2</v>
      </c>
      <c r="O1248" s="2" t="str">
        <f aca="false">IF(OR(F1248="",G1248=""),"",IF(G1248&lt;='RETRATO 2027'!$K$5,"CONCLUÍDA",IF(F1248&lt;='RETRATO 2027'!$K$5,"EM ANDAMENTO","A INICIAR")))</f>
        <v>CONCLUÍDA</v>
      </c>
    </row>
    <row r="1249" customFormat="false" ht="15" hidden="false" customHeight="false" outlineLevel="0" collapsed="false">
      <c r="B1249" s="4" t="n">
        <v>28098312</v>
      </c>
      <c r="C1249" s="4" t="s">
        <v>2782</v>
      </c>
      <c r="D1249" s="4" t="s">
        <v>3640</v>
      </c>
      <c r="E1249" s="4" t="s">
        <v>3449</v>
      </c>
      <c r="F1249" s="127" t="n">
        <v>46204</v>
      </c>
      <c r="G1249" s="127" t="n">
        <v>46205</v>
      </c>
      <c r="H1249" s="127" t="n">
        <v>46293</v>
      </c>
      <c r="I1249" s="4" t="n">
        <v>0</v>
      </c>
      <c r="J1249" s="4" t="n">
        <v>100</v>
      </c>
      <c r="K1249" s="4" t="n">
        <v>100</v>
      </c>
      <c r="M1249" s="2" t="str">
        <f aca="false">IF(C1249="","",IFERROR(INDEX($S$5:$S$304,MATCH(C1249,$R$5:$R$304,0))&amp;"","?"))</f>
        <v>17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-2</v>
      </c>
      <c r="O1249" s="2" t="str">
        <f aca="false">IF(OR(F1249="",G1249=""),"",IF(G1249&lt;='RETRATO 2027'!$K$5,"CONCLUÍDA",IF(F1249&lt;='RETRATO 2027'!$K$5,"EM ANDAMENTO","A INICIAR")))</f>
        <v>CONCLUÍDA</v>
      </c>
    </row>
    <row r="1250" customFormat="false" ht="15" hidden="false" customHeight="false" outlineLevel="0" collapsed="false">
      <c r="B1250" s="4" t="n">
        <v>28098313</v>
      </c>
      <c r="C1250" s="4" t="s">
        <v>2782</v>
      </c>
      <c r="D1250" s="4" t="s">
        <v>3635</v>
      </c>
      <c r="E1250" s="4" t="s">
        <v>3449</v>
      </c>
      <c r="F1250" s="127" t="n">
        <v>46206</v>
      </c>
      <c r="G1250" s="127" t="n">
        <v>46206</v>
      </c>
      <c r="H1250" s="127" t="n">
        <v>46293</v>
      </c>
      <c r="I1250" s="4" t="n">
        <v>0</v>
      </c>
      <c r="J1250" s="4" t="n">
        <v>100</v>
      </c>
      <c r="K1250" s="4" t="n">
        <v>100</v>
      </c>
      <c r="M1250" s="2" t="str">
        <f aca="false">IF(C1250="","",IFERROR(INDEX($S$5:$S$304,MATCH(C1250,$R$5:$R$304,0))&amp;"","?"))</f>
        <v>17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-2</v>
      </c>
      <c r="O1250" s="2" t="str">
        <f aca="false">IF(OR(F1250="",G1250=""),"",IF(G1250&lt;='RETRATO 2027'!$K$5,"CONCLUÍDA",IF(F1250&lt;='RETRATO 2027'!$K$5,"EM ANDAMENTO","A INICIAR")))</f>
        <v>CONCLUÍDA</v>
      </c>
    </row>
    <row r="1251" customFormat="false" ht="15" hidden="false" customHeight="false" outlineLevel="0" collapsed="false">
      <c r="B1251" s="4" t="n">
        <v>45015529</v>
      </c>
      <c r="C1251" s="4" t="s">
        <v>2785</v>
      </c>
      <c r="D1251" s="4" t="s">
        <v>433</v>
      </c>
      <c r="E1251" s="4" t="s">
        <v>3626</v>
      </c>
      <c r="F1251" s="127" t="n">
        <v>46175</v>
      </c>
      <c r="G1251" s="127" t="n">
        <v>46183</v>
      </c>
      <c r="H1251" s="127" t="n">
        <v>46293</v>
      </c>
      <c r="I1251" s="4" t="n">
        <v>0</v>
      </c>
      <c r="J1251" s="4" t="n">
        <v>100</v>
      </c>
      <c r="K1251" s="4" t="n">
        <v>100</v>
      </c>
      <c r="M1251" s="2" t="str">
        <f aca="false">IF(C1251="","",IFERROR(INDEX($S$5:$S$304,MATCH(C1251,$R$5:$R$304,0))&amp;"","?"))</f>
        <v>17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2</v>
      </c>
      <c r="O1251" s="2" t="str">
        <f aca="false">IF(OR(F1251="",G1251=""),"",IF(G1251&lt;='RETRATO 2027'!$K$5,"CONCLUÍDA",IF(F1251&lt;='RETRATO 2027'!$K$5,"EM ANDAMENTO","A INICIAR")))</f>
        <v>CONCLUÍDA</v>
      </c>
    </row>
    <row r="1252" customFormat="false" ht="15" hidden="false" customHeight="false" outlineLevel="0" collapsed="false">
      <c r="B1252" s="4" t="n">
        <v>36884361</v>
      </c>
      <c r="C1252" s="4" t="s">
        <v>2788</v>
      </c>
      <c r="D1252" s="4" t="s">
        <v>433</v>
      </c>
      <c r="E1252" s="4" t="s">
        <v>81</v>
      </c>
      <c r="F1252" s="127" t="n">
        <v>46178</v>
      </c>
      <c r="G1252" s="127" t="n">
        <v>46211</v>
      </c>
      <c r="H1252" s="127" t="n">
        <v>46293</v>
      </c>
      <c r="I1252" s="4" t="n">
        <v>100</v>
      </c>
      <c r="J1252" s="4" t="n">
        <v>100</v>
      </c>
      <c r="K1252" s="4" t="n">
        <v>100</v>
      </c>
      <c r="M1252" s="2" t="str">
        <f aca="false">IF(C1252="","",IFERROR(INDEX($S$5:$S$304,MATCH(C1252,$R$5:$R$304,0))&amp;"","?"))</f>
        <v>13</v>
      </c>
      <c r="N1252" s="2" t="str">
        <f aca="false"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 t="str">
        <f aca="false">IF(OR(F1252="",G1252=""),"",IF(G1252&lt;='RETRATO 2027'!$K$5,"CONCLUÍDA",IF(F1252&lt;='RETRATO 2027'!$K$5,"EM ANDAMENTO","A INICIAR")))</f>
        <v>CONCLUÍDA</v>
      </c>
    </row>
    <row r="1253" customFormat="false" ht="15" hidden="false" customHeight="false" outlineLevel="0" collapsed="false">
      <c r="B1253" s="4" t="n">
        <v>14991596</v>
      </c>
      <c r="C1253" s="4" t="s">
        <v>2788</v>
      </c>
      <c r="D1253" s="4" t="s">
        <v>3545</v>
      </c>
      <c r="E1253" s="4" t="s">
        <v>81</v>
      </c>
      <c r="F1253" s="127" t="n">
        <v>46178</v>
      </c>
      <c r="G1253" s="127" t="n">
        <v>46184</v>
      </c>
      <c r="H1253" s="127" t="n">
        <v>46293</v>
      </c>
      <c r="I1253" s="4" t="n">
        <v>100</v>
      </c>
      <c r="J1253" s="4" t="n">
        <v>100</v>
      </c>
      <c r="K1253" s="4" t="n">
        <v>100</v>
      </c>
      <c r="M1253" s="2" t="str">
        <f aca="false">IF(C1253="","",IFERROR(INDEX($S$5:$S$304,MATCH(C1253,$R$5:$R$304,0))&amp;"","?"))</f>
        <v>13</v>
      </c>
      <c r="N1253" s="2" t="str">
        <f aca="false"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 t="str">
        <f aca="false">IF(OR(F1253="",G1253=""),"",IF(G1253&lt;='RETRATO 2027'!$K$5,"CONCLUÍDA",IF(F1253&lt;='RETRATO 2027'!$K$5,"EM ANDAMENTO","A INICIAR")))</f>
        <v>CONCLUÍDA</v>
      </c>
    </row>
    <row r="1254" customFormat="false" ht="15" hidden="false" customHeight="false" outlineLevel="0" collapsed="false">
      <c r="B1254" s="4" t="n">
        <v>14991597</v>
      </c>
      <c r="C1254" s="4" t="s">
        <v>2788</v>
      </c>
      <c r="D1254" s="4" t="s">
        <v>3641</v>
      </c>
      <c r="E1254" s="4" t="s">
        <v>81</v>
      </c>
      <c r="F1254" s="127" t="n">
        <v>46185</v>
      </c>
      <c r="G1254" s="127" t="n">
        <v>46189</v>
      </c>
      <c r="H1254" s="127" t="n">
        <v>46293</v>
      </c>
      <c r="I1254" s="4" t="n">
        <v>100</v>
      </c>
      <c r="J1254" s="4" t="n">
        <v>100</v>
      </c>
      <c r="K1254" s="4" t="n">
        <v>100</v>
      </c>
      <c r="M1254" s="2" t="str">
        <f aca="false">IF(C1254="","",IFERROR(INDEX($S$5:$S$304,MATCH(C1254,$R$5:$R$304,0))&amp;"","?"))</f>
        <v>13</v>
      </c>
      <c r="N1254" s="2" t="str">
        <f aca="false"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 t="str">
        <f aca="false">IF(OR(F1254="",G1254=""),"",IF(G1254&lt;='RETRATO 2027'!$K$5,"CONCLUÍDA",IF(F1254&lt;='RETRATO 2027'!$K$5,"EM ANDAMENTO","A INICIAR")))</f>
        <v>CONCLUÍDA</v>
      </c>
    </row>
    <row r="1255" customFormat="false" ht="15" hidden="false" customHeight="false" outlineLevel="0" collapsed="false">
      <c r="B1255" s="4" t="n">
        <v>14991598</v>
      </c>
      <c r="C1255" s="4" t="s">
        <v>2788</v>
      </c>
      <c r="D1255" s="4" t="s">
        <v>3622</v>
      </c>
      <c r="E1255" s="4" t="s">
        <v>81</v>
      </c>
      <c r="F1255" s="127" t="n">
        <v>46190</v>
      </c>
      <c r="G1255" s="127" t="n">
        <v>46190</v>
      </c>
      <c r="H1255" s="127" t="n">
        <v>46293</v>
      </c>
      <c r="I1255" s="4" t="n">
        <v>100</v>
      </c>
      <c r="J1255" s="4" t="n">
        <v>100</v>
      </c>
      <c r="K1255" s="4" t="n">
        <v>100</v>
      </c>
      <c r="M1255" s="2" t="str">
        <f aca="false">IF(C1255="","",IFERROR(INDEX($S$5:$S$304,MATCH(C1255,$R$5:$R$304,0))&amp;"","?"))</f>
        <v>13</v>
      </c>
      <c r="N1255" s="2" t="str">
        <f aca="false"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 t="str">
        <f aca="false">IF(OR(F1255="",G1255=""),"",IF(G1255&lt;='RETRATO 2027'!$K$5,"CONCLUÍDA",IF(F1255&lt;='RETRATO 2027'!$K$5,"EM ANDAMENTO","A INICIAR")))</f>
        <v>CONCLUÍDA</v>
      </c>
    </row>
    <row r="1256" customFormat="false" ht="15" hidden="false" customHeight="false" outlineLevel="0" collapsed="false">
      <c r="B1256" s="4" t="n">
        <v>14991599</v>
      </c>
      <c r="C1256" s="4" t="s">
        <v>2788</v>
      </c>
      <c r="D1256" s="4" t="s">
        <v>3642</v>
      </c>
      <c r="E1256" s="4" t="s">
        <v>81</v>
      </c>
      <c r="F1256" s="127" t="n">
        <v>46191</v>
      </c>
      <c r="G1256" s="127" t="n">
        <v>46195</v>
      </c>
      <c r="H1256" s="127" t="n">
        <v>46293</v>
      </c>
      <c r="I1256" s="4" t="n">
        <v>100</v>
      </c>
      <c r="J1256" s="4" t="n">
        <v>100</v>
      </c>
      <c r="K1256" s="4" t="n">
        <v>100</v>
      </c>
      <c r="M1256" s="2" t="str">
        <f aca="false">IF(C1256="","",IFERROR(INDEX($S$5:$S$304,MATCH(C1256,$R$5:$R$304,0))&amp;"","?"))</f>
        <v>13</v>
      </c>
      <c r="N1256" s="2" t="str">
        <f aca="false"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 t="str">
        <f aca="false">IF(OR(F1256="",G1256=""),"",IF(G1256&lt;='RETRATO 2027'!$K$5,"CONCLUÍDA",IF(F1256&lt;='RETRATO 2027'!$K$5,"EM ANDAMENTO","A INICIAR")))</f>
        <v>CONCLUÍDA</v>
      </c>
    </row>
    <row r="1257" customFormat="false" ht="15" hidden="false" customHeight="false" outlineLevel="0" collapsed="false">
      <c r="B1257" s="4" t="n">
        <v>27823335</v>
      </c>
      <c r="C1257" s="4" t="s">
        <v>2788</v>
      </c>
      <c r="D1257" s="4" t="s">
        <v>3643</v>
      </c>
      <c r="E1257" s="4" t="s">
        <v>81</v>
      </c>
      <c r="F1257" s="127" t="n">
        <v>46206</v>
      </c>
      <c r="G1257" s="127" t="n">
        <v>46210</v>
      </c>
      <c r="H1257" s="127" t="n">
        <v>46293</v>
      </c>
      <c r="I1257" s="4" t="n">
        <v>0</v>
      </c>
      <c r="J1257" s="4" t="n">
        <v>100</v>
      </c>
      <c r="K1257" s="4" t="n">
        <v>100</v>
      </c>
      <c r="M1257" s="2" t="str">
        <f aca="false">IF(C1257="","",IFERROR(INDEX($S$5:$S$304,MATCH(C1257,$R$5:$R$304,0))&amp;"","?"))</f>
        <v>13</v>
      </c>
      <c r="N1257" s="2" t="str">
        <f aca="false"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 t="str">
        <f aca="false">IF(OR(F1257="",G1257=""),"",IF(G1257&lt;='RETRATO 2027'!$K$5,"CONCLUÍDA",IF(F1257&lt;='RETRATO 2027'!$K$5,"EM ANDAMENTO","A INICIAR")))</f>
        <v>CONCLUÍDA</v>
      </c>
    </row>
    <row r="1258" customFormat="false" ht="15" hidden="false" customHeight="false" outlineLevel="0" collapsed="false">
      <c r="B1258" s="4" t="n">
        <v>27823336</v>
      </c>
      <c r="C1258" s="4" t="s">
        <v>2788</v>
      </c>
      <c r="D1258" s="4" t="s">
        <v>3644</v>
      </c>
      <c r="E1258" s="4" t="s">
        <v>81</v>
      </c>
      <c r="F1258" s="127" t="n">
        <v>46211</v>
      </c>
      <c r="G1258" s="127" t="n">
        <v>46211</v>
      </c>
      <c r="H1258" s="127" t="n">
        <v>46293</v>
      </c>
      <c r="I1258" s="4" t="n">
        <v>0</v>
      </c>
      <c r="J1258" s="4" t="n">
        <v>100</v>
      </c>
      <c r="K1258" s="4" t="n">
        <v>100</v>
      </c>
      <c r="M1258" s="2" t="str">
        <f aca="false">IF(C1258="","",IFERROR(INDEX($S$5:$S$304,MATCH(C1258,$R$5:$R$304,0))&amp;"","?"))</f>
        <v>13</v>
      </c>
      <c r="N1258" s="2" t="str">
        <f aca="false"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 t="str">
        <f aca="false">IF(OR(F1258="",G1258=""),"",IF(G1258&lt;='RETRATO 2027'!$K$5,"CONCLUÍDA",IF(F1258&lt;='RETRATO 2027'!$K$5,"EM ANDAMENTO","A INICIAR")))</f>
        <v>CONCLUÍDA</v>
      </c>
    </row>
    <row r="1259" customFormat="false" ht="15" hidden="false" customHeight="false" outlineLevel="0" collapsed="false">
      <c r="B1259" s="4" t="n">
        <v>46401640</v>
      </c>
      <c r="C1259" s="4" t="s">
        <v>2791</v>
      </c>
      <c r="D1259" s="4" t="s">
        <v>433</v>
      </c>
      <c r="E1259" s="4" t="s">
        <v>3473</v>
      </c>
      <c r="F1259" s="127" t="n">
        <v>46181</v>
      </c>
      <c r="G1259" s="127" t="n">
        <v>46199</v>
      </c>
      <c r="H1259" s="127" t="n">
        <v>46293</v>
      </c>
      <c r="I1259" s="4" t="n">
        <v>0</v>
      </c>
      <c r="J1259" s="4" t="n">
        <v>100</v>
      </c>
      <c r="K1259" s="4" t="n">
        <v>100</v>
      </c>
      <c r="M1259" s="2" t="str">
        <f aca="false">IF(C1259="","",IFERROR(INDEX($S$5:$S$304,MATCH(C1259,$R$5:$R$304,0))&amp;"","?"))</f>
        <v>21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-5</v>
      </c>
      <c r="O1259" s="2" t="str">
        <f aca="false">IF(OR(F1259="",G1259=""),"",IF(G1259&lt;='RETRATO 2027'!$K$5,"CONCLUÍDA",IF(F1259&lt;='RETRATO 2027'!$K$5,"EM ANDAMENTO","A INICIAR")))</f>
        <v>CONCLUÍDA</v>
      </c>
    </row>
    <row r="1260" customFormat="false" ht="15" hidden="false" customHeight="false" outlineLevel="0" collapsed="false">
      <c r="B1260" s="4" t="n">
        <v>43541218</v>
      </c>
      <c r="C1260" s="4" t="s">
        <v>2794</v>
      </c>
      <c r="D1260" s="4" t="s">
        <v>433</v>
      </c>
      <c r="E1260" s="4" t="s">
        <v>3243</v>
      </c>
      <c r="F1260" s="127" t="n">
        <v>46181</v>
      </c>
      <c r="G1260" s="127" t="n">
        <v>46191</v>
      </c>
      <c r="H1260" s="127" t="n">
        <v>46293</v>
      </c>
      <c r="I1260" s="4" t="n">
        <v>0</v>
      </c>
      <c r="J1260" s="4" t="n">
        <v>100</v>
      </c>
      <c r="K1260" s="4" t="n">
        <v>100</v>
      </c>
      <c r="M1260" s="2" t="str">
        <f aca="false">IF(C1260="","",IFERROR(INDEX($S$5:$S$304,MATCH(C1260,$R$5:$R$304,0))&amp;"","?"))</f>
        <v>17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1</v>
      </c>
      <c r="O1260" s="2" t="str">
        <f aca="false">IF(OR(F1260="",G1260=""),"",IF(G1260&lt;='RETRATO 2027'!$K$5,"CONCLUÍDA",IF(F1260&lt;='RETRATO 2027'!$K$5,"EM ANDAMENTO","A INICIAR")))</f>
        <v>CONCLUÍDA</v>
      </c>
    </row>
    <row r="1261" customFormat="false" ht="15" hidden="false" customHeight="false" outlineLevel="0" collapsed="false">
      <c r="B1261" s="4" t="n">
        <v>27811366</v>
      </c>
      <c r="C1261" s="4" t="s">
        <v>2794</v>
      </c>
      <c r="D1261" s="4" t="s">
        <v>3645</v>
      </c>
      <c r="E1261" s="4" t="s">
        <v>3243</v>
      </c>
      <c r="F1261" s="127" t="n">
        <v>46181</v>
      </c>
      <c r="G1261" s="127" t="n">
        <v>46183</v>
      </c>
      <c r="H1261" s="127" t="n">
        <v>46293</v>
      </c>
      <c r="I1261" s="4" t="n">
        <v>0</v>
      </c>
      <c r="J1261" s="4" t="n">
        <v>100</v>
      </c>
      <c r="K1261" s="4" t="n">
        <v>100</v>
      </c>
      <c r="M1261" s="2" t="str">
        <f aca="false">IF(C1261="","",IFERROR(INDEX($S$5:$S$304,MATCH(C1261,$R$5:$R$304,0))&amp;"","?"))</f>
        <v>17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1</v>
      </c>
      <c r="O1261" s="2" t="str">
        <f aca="false">IF(OR(F1261="",G1261=""),"",IF(G1261&lt;='RETRATO 2027'!$K$5,"CONCLUÍDA",IF(F1261&lt;='RETRATO 2027'!$K$5,"EM ANDAMENTO","A INICIAR")))</f>
        <v>CONCLUÍDA</v>
      </c>
    </row>
    <row r="1262" customFormat="false" ht="15" hidden="false" customHeight="false" outlineLevel="0" collapsed="false">
      <c r="B1262" s="4" t="n">
        <v>27811367</v>
      </c>
      <c r="C1262" s="4" t="s">
        <v>2794</v>
      </c>
      <c r="D1262" s="4" t="s">
        <v>3646</v>
      </c>
      <c r="E1262" s="4" t="s">
        <v>3243</v>
      </c>
      <c r="F1262" s="127" t="n">
        <v>46182</v>
      </c>
      <c r="G1262" s="127" t="n">
        <v>46184</v>
      </c>
      <c r="H1262" s="127" t="n">
        <v>46293</v>
      </c>
      <c r="I1262" s="4" t="n">
        <v>0</v>
      </c>
      <c r="J1262" s="4" t="n">
        <v>100</v>
      </c>
      <c r="K1262" s="4" t="n">
        <v>100</v>
      </c>
      <c r="M1262" s="2" t="str">
        <f aca="false">IF(C1262="","",IFERROR(INDEX($S$5:$S$304,MATCH(C1262,$R$5:$R$304,0))&amp;"","?"))</f>
        <v>17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1</v>
      </c>
      <c r="O1262" s="2" t="str">
        <f aca="false">IF(OR(F1262="",G1262=""),"",IF(G1262&lt;='RETRATO 2027'!$K$5,"CONCLUÍDA",IF(F1262&lt;='RETRATO 2027'!$K$5,"EM ANDAMENTO","A INICIAR")))</f>
        <v>CONCLUÍDA</v>
      </c>
    </row>
    <row r="1263" customFormat="false" ht="15" hidden="false" customHeight="false" outlineLevel="0" collapsed="false">
      <c r="B1263" s="4" t="n">
        <v>27811368</v>
      </c>
      <c r="C1263" s="4" t="s">
        <v>2794</v>
      </c>
      <c r="D1263" s="4" t="s">
        <v>3546</v>
      </c>
      <c r="E1263" s="4" t="s">
        <v>3243</v>
      </c>
      <c r="F1263" s="127" t="n">
        <v>46185</v>
      </c>
      <c r="G1263" s="127" t="n">
        <v>46188</v>
      </c>
      <c r="H1263" s="127" t="n">
        <v>46293</v>
      </c>
      <c r="I1263" s="4" t="n">
        <v>0</v>
      </c>
      <c r="J1263" s="4" t="n">
        <v>100</v>
      </c>
      <c r="K1263" s="4" t="n">
        <v>100</v>
      </c>
      <c r="M1263" s="2" t="str">
        <f aca="false">IF(C1263="","",IFERROR(INDEX($S$5:$S$304,MATCH(C1263,$R$5:$R$304,0))&amp;"","?"))</f>
        <v>17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1</v>
      </c>
      <c r="O1263" s="2" t="str">
        <f aca="false">IF(OR(F1263="",G1263=""),"",IF(G1263&lt;='RETRATO 2027'!$K$5,"CONCLUÍDA",IF(F1263&lt;='RETRATO 2027'!$K$5,"EM ANDAMENTO","A INICIAR")))</f>
        <v>CONCLUÍDA</v>
      </c>
    </row>
    <row r="1264" customFormat="false" ht="15" hidden="false" customHeight="false" outlineLevel="0" collapsed="false">
      <c r="B1264" s="4" t="n">
        <v>27811369</v>
      </c>
      <c r="C1264" s="4" t="s">
        <v>2794</v>
      </c>
      <c r="D1264" s="4" t="s">
        <v>3547</v>
      </c>
      <c r="E1264" s="4" t="s">
        <v>3243</v>
      </c>
      <c r="F1264" s="127" t="n">
        <v>46188</v>
      </c>
      <c r="G1264" s="127" t="n">
        <v>46190</v>
      </c>
      <c r="H1264" s="127" t="n">
        <v>46293</v>
      </c>
      <c r="I1264" s="4" t="n">
        <v>0</v>
      </c>
      <c r="J1264" s="4" t="n">
        <v>100</v>
      </c>
      <c r="K1264" s="4" t="n">
        <v>100</v>
      </c>
      <c r="M1264" s="2" t="str">
        <f aca="false">IF(C1264="","",IFERROR(INDEX($S$5:$S$304,MATCH(C1264,$R$5:$R$304,0))&amp;"","?"))</f>
        <v>17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</v>
      </c>
      <c r="O1264" s="2" t="str">
        <f aca="false">IF(OR(F1264="",G1264=""),"",IF(G1264&lt;='RETRATO 2027'!$K$5,"CONCLUÍDA",IF(F1264&lt;='RETRATO 2027'!$K$5,"EM ANDAMENTO","A INICIAR")))</f>
        <v>CONCLUÍDA</v>
      </c>
    </row>
    <row r="1265" customFormat="false" ht="15" hidden="false" customHeight="false" outlineLevel="0" collapsed="false">
      <c r="B1265" s="4" t="n">
        <v>27811370</v>
      </c>
      <c r="C1265" s="4" t="s">
        <v>2794</v>
      </c>
      <c r="D1265" s="4" t="s">
        <v>3218</v>
      </c>
      <c r="E1265" s="4" t="s">
        <v>3243</v>
      </c>
      <c r="F1265" s="127" t="n">
        <v>46191</v>
      </c>
      <c r="G1265" s="127" t="n">
        <v>46191</v>
      </c>
      <c r="H1265" s="127" t="n">
        <v>46293</v>
      </c>
      <c r="I1265" s="4" t="n">
        <v>0</v>
      </c>
      <c r="J1265" s="4" t="n">
        <v>100</v>
      </c>
      <c r="K1265" s="4" t="n">
        <v>100</v>
      </c>
      <c r="M1265" s="2" t="str">
        <f aca="false">IF(C1265="","",IFERROR(INDEX($S$5:$S$304,MATCH(C1265,$R$5:$R$304,0))&amp;"","?"))</f>
        <v>17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</v>
      </c>
      <c r="O1265" s="2" t="str">
        <f aca="false">IF(OR(F1265="",G1265=""),"",IF(G1265&lt;='RETRATO 2027'!$K$5,"CONCLUÍDA",IF(F1265&lt;='RETRATO 2027'!$K$5,"EM ANDAMENTO","A INICIAR")))</f>
        <v>CONCLUÍDA</v>
      </c>
    </row>
    <row r="1266" customFormat="false" ht="15" hidden="false" customHeight="false" outlineLevel="0" collapsed="false">
      <c r="B1266" s="4" t="n">
        <v>43490823</v>
      </c>
      <c r="C1266" s="4" t="s">
        <v>2797</v>
      </c>
      <c r="D1266" s="4" t="s">
        <v>433</v>
      </c>
      <c r="E1266" s="4" t="s">
        <v>3583</v>
      </c>
      <c r="F1266" s="127" t="n">
        <v>46182</v>
      </c>
      <c r="G1266" s="127" t="n">
        <v>46218</v>
      </c>
      <c r="H1266" s="127" t="n">
        <v>46293</v>
      </c>
      <c r="I1266" s="4" t="n">
        <v>0</v>
      </c>
      <c r="J1266" s="4" t="n">
        <v>100</v>
      </c>
      <c r="K1266" s="4" t="n">
        <v>100</v>
      </c>
      <c r="M1266" s="2" t="str">
        <f aca="false">IF(C1266="","",IFERROR(INDEX($S$5:$S$304,MATCH(C1266,$R$5:$R$304,0))&amp;"","?"))</f>
        <v>17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-6</v>
      </c>
      <c r="O1266" s="2" t="str">
        <f aca="false">IF(OR(F1266="",G1266=""),"",IF(G1266&lt;='RETRATO 2027'!$K$5,"CONCLUÍDA",IF(F1266&lt;='RETRATO 2027'!$K$5,"EM ANDAMENTO","A INICIAR")))</f>
        <v>CONCLUÍDA</v>
      </c>
    </row>
    <row r="1267" customFormat="false" ht="15" hidden="false" customHeight="false" outlineLevel="0" collapsed="false">
      <c r="B1267" s="4" t="n">
        <v>27793388</v>
      </c>
      <c r="C1267" s="4" t="s">
        <v>2797</v>
      </c>
      <c r="D1267" s="4" t="s">
        <v>3647</v>
      </c>
      <c r="E1267" s="4" t="s">
        <v>3583</v>
      </c>
      <c r="F1267" s="127" t="n">
        <v>46182</v>
      </c>
      <c r="G1267" s="127" t="n">
        <v>46184</v>
      </c>
      <c r="H1267" s="127" t="n">
        <v>46293</v>
      </c>
      <c r="I1267" s="4" t="n">
        <v>0</v>
      </c>
      <c r="J1267" s="4" t="n">
        <v>100</v>
      </c>
      <c r="K1267" s="4" t="n">
        <v>100</v>
      </c>
      <c r="M1267" s="2" t="str">
        <f aca="false">IF(C1267="","",IFERROR(INDEX($S$5:$S$304,MATCH(C1267,$R$5:$R$304,0))&amp;"","?"))</f>
        <v>17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-6</v>
      </c>
      <c r="O1267" s="2" t="str">
        <f aca="false">IF(OR(F1267="",G1267=""),"",IF(G1267&lt;='RETRATO 2027'!$K$5,"CONCLUÍDA",IF(F1267&lt;='RETRATO 2027'!$K$5,"EM ANDAMENTO","A INICIAR")))</f>
        <v>CONCLUÍDA</v>
      </c>
    </row>
    <row r="1268" customFormat="false" ht="15" hidden="false" customHeight="false" outlineLevel="0" collapsed="false">
      <c r="B1268" s="4" t="n">
        <v>27793389</v>
      </c>
      <c r="C1268" s="4" t="s">
        <v>2797</v>
      </c>
      <c r="D1268" s="4" t="s">
        <v>3602</v>
      </c>
      <c r="E1268" s="4" t="s">
        <v>3583</v>
      </c>
      <c r="F1268" s="127" t="n">
        <v>46185</v>
      </c>
      <c r="G1268" s="127" t="n">
        <v>46189</v>
      </c>
      <c r="H1268" s="127" t="n">
        <v>46293</v>
      </c>
      <c r="I1268" s="4" t="n">
        <v>0</v>
      </c>
      <c r="J1268" s="4" t="n">
        <v>100</v>
      </c>
      <c r="K1268" s="4" t="n">
        <v>100</v>
      </c>
      <c r="M1268" s="2" t="str">
        <f aca="false">IF(C1268="","",IFERROR(INDEX($S$5:$S$304,MATCH(C1268,$R$5:$R$304,0))&amp;"","?"))</f>
        <v>17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-6</v>
      </c>
      <c r="O1268" s="2" t="str">
        <f aca="false">IF(OR(F1268="",G1268=""),"",IF(G1268&lt;='RETRATO 2027'!$K$5,"CONCLUÍDA",IF(F1268&lt;='RETRATO 2027'!$K$5,"EM ANDAMENTO","A INICIAR")))</f>
        <v>CONCLUÍDA</v>
      </c>
    </row>
    <row r="1269" customFormat="false" ht="15" hidden="false" customHeight="false" outlineLevel="0" collapsed="false">
      <c r="B1269" s="4" t="n">
        <v>27793390</v>
      </c>
      <c r="C1269" s="4" t="s">
        <v>2797</v>
      </c>
      <c r="D1269" s="4" t="s">
        <v>3603</v>
      </c>
      <c r="E1269" s="4" t="s">
        <v>3583</v>
      </c>
      <c r="F1269" s="127" t="n">
        <v>46190</v>
      </c>
      <c r="G1269" s="127" t="n">
        <v>46191</v>
      </c>
      <c r="H1269" s="127" t="n">
        <v>46293</v>
      </c>
      <c r="I1269" s="4" t="n">
        <v>0</v>
      </c>
      <c r="J1269" s="4" t="n">
        <v>100</v>
      </c>
      <c r="K1269" s="4" t="n">
        <v>100</v>
      </c>
      <c r="M1269" s="2" t="str">
        <f aca="false">IF(C1269="","",IFERROR(INDEX($S$5:$S$304,MATCH(C1269,$R$5:$R$304,0))&amp;"","?"))</f>
        <v>17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-6</v>
      </c>
      <c r="O1269" s="2" t="str">
        <f aca="false">IF(OR(F1269="",G1269=""),"",IF(G1269&lt;='RETRATO 2027'!$K$5,"CONCLUÍDA",IF(F1269&lt;='RETRATO 2027'!$K$5,"EM ANDAMENTO","A INICIAR")))</f>
        <v>CONCLUÍDA</v>
      </c>
    </row>
    <row r="1270" customFormat="false" ht="15" hidden="false" customHeight="false" outlineLevel="0" collapsed="false">
      <c r="B1270" s="4" t="n">
        <v>27793391</v>
      </c>
      <c r="C1270" s="4" t="s">
        <v>2797</v>
      </c>
      <c r="D1270" s="4" t="s">
        <v>3648</v>
      </c>
      <c r="E1270" s="4" t="s">
        <v>3583</v>
      </c>
      <c r="F1270" s="127" t="n">
        <v>46192</v>
      </c>
      <c r="G1270" s="127" t="n">
        <v>46196</v>
      </c>
      <c r="H1270" s="127" t="n">
        <v>46293</v>
      </c>
      <c r="I1270" s="4" t="n">
        <v>0</v>
      </c>
      <c r="J1270" s="4" t="n">
        <v>100</v>
      </c>
      <c r="K1270" s="4" t="n">
        <v>100</v>
      </c>
      <c r="M1270" s="2" t="str">
        <f aca="false">IF(C1270="","",IFERROR(INDEX($S$5:$S$304,MATCH(C1270,$R$5:$R$304,0))&amp;"","?"))</f>
        <v>17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-6</v>
      </c>
      <c r="O1270" s="2" t="str">
        <f aca="false">IF(OR(F1270="",G1270=""),"",IF(G1270&lt;='RETRATO 2027'!$K$5,"CONCLUÍDA",IF(F1270&lt;='RETRATO 2027'!$K$5,"EM ANDAMENTO","A INICIAR")))</f>
        <v>CONCLUÍDA</v>
      </c>
    </row>
    <row r="1271" customFormat="false" ht="15" hidden="false" customHeight="false" outlineLevel="0" collapsed="false">
      <c r="B1271" s="4" t="n">
        <v>27793952</v>
      </c>
      <c r="C1271" s="4" t="s">
        <v>2797</v>
      </c>
      <c r="D1271" s="4" t="s">
        <v>3649</v>
      </c>
      <c r="E1271" s="4" t="s">
        <v>3583</v>
      </c>
      <c r="F1271" s="127" t="n">
        <v>46197</v>
      </c>
      <c r="G1271" s="127" t="n">
        <v>46197</v>
      </c>
      <c r="H1271" s="127" t="n">
        <v>46293</v>
      </c>
      <c r="I1271" s="4" t="n">
        <v>0</v>
      </c>
      <c r="J1271" s="4" t="n">
        <v>100</v>
      </c>
      <c r="K1271" s="4" t="n">
        <v>100</v>
      </c>
      <c r="M1271" s="2" t="str">
        <f aca="false">IF(C1271="","",IFERROR(INDEX($S$5:$S$304,MATCH(C1271,$R$5:$R$304,0))&amp;"","?"))</f>
        <v>17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-6</v>
      </c>
      <c r="O1271" s="2" t="str">
        <f aca="false">IF(OR(F1271="",G1271=""),"",IF(G1271&lt;='RETRATO 2027'!$K$5,"CONCLUÍDA",IF(F1271&lt;='RETRATO 2027'!$K$5,"EM ANDAMENTO","A INICIAR")))</f>
        <v>CONCLUÍDA</v>
      </c>
    </row>
    <row r="1272" customFormat="false" ht="15" hidden="false" customHeight="false" outlineLevel="0" collapsed="false">
      <c r="B1272" s="4" t="n">
        <v>27794063</v>
      </c>
      <c r="C1272" s="4" t="s">
        <v>2797</v>
      </c>
      <c r="D1272" s="4" t="s">
        <v>2829</v>
      </c>
      <c r="E1272" s="4" t="s">
        <v>3583</v>
      </c>
      <c r="F1272" s="127" t="n">
        <v>46198</v>
      </c>
      <c r="G1272" s="127" t="n">
        <v>46205</v>
      </c>
      <c r="H1272" s="127" t="n">
        <v>46293</v>
      </c>
      <c r="I1272" s="4" t="n">
        <v>0</v>
      </c>
      <c r="J1272" s="4" t="n">
        <v>100</v>
      </c>
      <c r="K1272" s="4" t="n">
        <v>100</v>
      </c>
      <c r="M1272" s="2" t="str">
        <f aca="false">IF(C1272="","",IFERROR(INDEX($S$5:$S$304,MATCH(C1272,$R$5:$R$304,0))&amp;"","?"))</f>
        <v>17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-6</v>
      </c>
      <c r="O1272" s="2" t="str">
        <f aca="false">IF(OR(F1272="",G1272=""),"",IF(G1272&lt;='RETRATO 2027'!$K$5,"CONCLUÍDA",IF(F1272&lt;='RETRATO 2027'!$K$5,"EM ANDAMENTO","A INICIAR")))</f>
        <v>CONCLUÍDA</v>
      </c>
    </row>
    <row r="1273" customFormat="false" ht="15" hidden="false" customHeight="false" outlineLevel="0" collapsed="false">
      <c r="B1273" s="4" t="n">
        <v>27794064</v>
      </c>
      <c r="C1273" s="4" t="s">
        <v>2797</v>
      </c>
      <c r="D1273" s="4" t="s">
        <v>77</v>
      </c>
      <c r="E1273" s="4" t="s">
        <v>3583</v>
      </c>
      <c r="F1273" s="127" t="n">
        <v>46202</v>
      </c>
      <c r="G1273" s="127" t="n">
        <v>46210</v>
      </c>
      <c r="H1273" s="127" t="n">
        <v>46293</v>
      </c>
      <c r="I1273" s="4" t="n">
        <v>0</v>
      </c>
      <c r="J1273" s="4" t="n">
        <v>100</v>
      </c>
      <c r="K1273" s="4" t="n">
        <v>100</v>
      </c>
      <c r="M1273" s="2" t="str">
        <f aca="false">IF(C1273="","",IFERROR(INDEX($S$5:$S$304,MATCH(C1273,$R$5:$R$304,0))&amp;"","?"))</f>
        <v>17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-6</v>
      </c>
      <c r="O1273" s="2" t="str">
        <f aca="false">IF(OR(F1273="",G1273=""),"",IF(G1273&lt;='RETRATO 2027'!$K$5,"CONCLUÍDA",IF(F1273&lt;='RETRATO 2027'!$K$5,"EM ANDAMENTO","A INICIAR")))</f>
        <v>CONCLUÍDA</v>
      </c>
    </row>
    <row r="1274" customFormat="false" ht="15" hidden="false" customHeight="false" outlineLevel="0" collapsed="false">
      <c r="B1274" s="4" t="n">
        <v>27794862</v>
      </c>
      <c r="C1274" s="4" t="s">
        <v>2797</v>
      </c>
      <c r="D1274" s="4" t="s">
        <v>3650</v>
      </c>
      <c r="E1274" s="4" t="s">
        <v>3583</v>
      </c>
      <c r="F1274" s="127" t="n">
        <v>46211</v>
      </c>
      <c r="G1274" s="127" t="n">
        <v>46211</v>
      </c>
      <c r="H1274" s="127" t="n">
        <v>46293</v>
      </c>
      <c r="I1274" s="4" t="n">
        <v>0</v>
      </c>
      <c r="J1274" s="4" t="n">
        <v>100</v>
      </c>
      <c r="K1274" s="4" t="n">
        <v>100</v>
      </c>
      <c r="M1274" s="2" t="str">
        <f aca="false">IF(C1274="","",IFERROR(INDEX($S$5:$S$304,MATCH(C1274,$R$5:$R$304,0))&amp;"","?"))</f>
        <v>17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-6</v>
      </c>
      <c r="O1274" s="2" t="str">
        <f aca="false">IF(OR(F1274="",G1274=""),"",IF(G1274&lt;='RETRATO 2027'!$K$5,"CONCLUÍDA",IF(F1274&lt;='RETRATO 2027'!$K$5,"EM ANDAMENTO","A INICIAR")))</f>
        <v>CONCLUÍDA</v>
      </c>
    </row>
    <row r="1275" customFormat="false" ht="15" hidden="false" customHeight="false" outlineLevel="0" collapsed="false">
      <c r="B1275" s="4" t="n">
        <v>27794863</v>
      </c>
      <c r="C1275" s="4" t="s">
        <v>2797</v>
      </c>
      <c r="D1275" s="4" t="s">
        <v>3651</v>
      </c>
      <c r="E1275" s="4" t="s">
        <v>3583</v>
      </c>
      <c r="F1275" s="127" t="n">
        <v>46212</v>
      </c>
      <c r="G1275" s="127" t="n">
        <v>46213</v>
      </c>
      <c r="H1275" s="127" t="n">
        <v>46293</v>
      </c>
      <c r="I1275" s="4" t="n">
        <v>0</v>
      </c>
      <c r="J1275" s="4" t="n">
        <v>100</v>
      </c>
      <c r="K1275" s="4" t="n">
        <v>100</v>
      </c>
      <c r="M1275" s="2" t="str">
        <f aca="false">IF(C1275="","",IFERROR(INDEX($S$5:$S$304,MATCH(C1275,$R$5:$R$304,0))&amp;"","?"))</f>
        <v>17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-6</v>
      </c>
      <c r="O1275" s="2" t="str">
        <f aca="false">IF(OR(F1275="",G1275=""),"",IF(G1275&lt;='RETRATO 2027'!$K$5,"CONCLUÍDA",IF(F1275&lt;='RETRATO 2027'!$K$5,"EM ANDAMENTO","A INICIAR")))</f>
        <v>CONCLUÍDA</v>
      </c>
    </row>
    <row r="1276" customFormat="false" ht="15" hidden="false" customHeight="false" outlineLevel="0" collapsed="false">
      <c r="B1276" s="4" t="n">
        <v>27794864</v>
      </c>
      <c r="C1276" s="4" t="s">
        <v>2797</v>
      </c>
      <c r="D1276" s="4" t="s">
        <v>3596</v>
      </c>
      <c r="E1276" s="4" t="s">
        <v>3583</v>
      </c>
      <c r="F1276" s="127" t="n">
        <v>46216</v>
      </c>
      <c r="G1276" s="127" t="n">
        <v>46217</v>
      </c>
      <c r="H1276" s="127" t="n">
        <v>46293</v>
      </c>
      <c r="I1276" s="4" t="n">
        <v>0</v>
      </c>
      <c r="J1276" s="4" t="n">
        <v>100</v>
      </c>
      <c r="K1276" s="4" t="n">
        <v>100</v>
      </c>
      <c r="M1276" s="2" t="str">
        <f aca="false">IF(C1276="","",IFERROR(INDEX($S$5:$S$304,MATCH(C1276,$R$5:$R$304,0))&amp;"","?"))</f>
        <v>17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-6</v>
      </c>
      <c r="O1276" s="2" t="str">
        <f aca="false">IF(OR(F1276="",G1276=""),"",IF(G1276&lt;='RETRATO 2027'!$K$5,"CONCLUÍDA",IF(F1276&lt;='RETRATO 2027'!$K$5,"EM ANDAMENTO","A INICIAR")))</f>
        <v>CONCLUÍDA</v>
      </c>
    </row>
    <row r="1277" customFormat="false" ht="15" hidden="false" customHeight="false" outlineLevel="0" collapsed="false">
      <c r="B1277" s="4" t="n">
        <v>27794865</v>
      </c>
      <c r="C1277" s="4" t="s">
        <v>2797</v>
      </c>
      <c r="D1277" s="4" t="s">
        <v>3635</v>
      </c>
      <c r="E1277" s="4" t="s">
        <v>3583</v>
      </c>
      <c r="F1277" s="127" t="n">
        <v>46218</v>
      </c>
      <c r="G1277" s="127" t="n">
        <v>46218</v>
      </c>
      <c r="H1277" s="127" t="n">
        <v>46293</v>
      </c>
      <c r="I1277" s="4" t="n">
        <v>0</v>
      </c>
      <c r="J1277" s="4" t="n">
        <v>100</v>
      </c>
      <c r="K1277" s="4" t="n">
        <v>100</v>
      </c>
      <c r="M1277" s="2" t="str">
        <f aca="false">IF(C1277="","",IFERROR(INDEX($S$5:$S$304,MATCH(C1277,$R$5:$R$304,0))&amp;"","?"))</f>
        <v>17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-6</v>
      </c>
      <c r="O1277" s="2" t="str">
        <f aca="false">IF(OR(F1277="",G1277=""),"",IF(G1277&lt;='RETRATO 2027'!$K$5,"CONCLUÍDA",IF(F1277&lt;='RETRATO 2027'!$K$5,"EM ANDAMENTO","A INICIAR")))</f>
        <v>CONCLUÍDA</v>
      </c>
    </row>
    <row r="1278" customFormat="false" ht="15" hidden="false" customHeight="false" outlineLevel="0" collapsed="false">
      <c r="B1278" s="4" t="n">
        <v>47831201</v>
      </c>
      <c r="C1278" s="4" t="s">
        <v>2799</v>
      </c>
      <c r="D1278" s="4" t="s">
        <v>433</v>
      </c>
      <c r="E1278" s="4" t="s">
        <v>81</v>
      </c>
      <c r="F1278" s="127" t="n">
        <v>46183</v>
      </c>
      <c r="G1278" s="127" t="n">
        <v>46295</v>
      </c>
      <c r="H1278" s="127" t="n">
        <v>46293</v>
      </c>
      <c r="I1278" s="4" t="n">
        <v>0</v>
      </c>
      <c r="J1278" s="4" t="n">
        <v>97.5</v>
      </c>
      <c r="K1278" s="4" t="n">
        <v>95</v>
      </c>
      <c r="M1278" s="2" t="str">
        <f aca="false">IF(C1278="","",IFERROR(INDEX($S$5:$S$304,MATCH(C1278,$R$5:$R$304,0))&amp;"","?"))</f>
        <v>17</v>
      </c>
      <c r="N1278" s="2" t="str">
        <f aca="false"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 t="str">
        <f aca="false">IF(OR(F1278="",G1278=""),"",IF(G1278&lt;='RETRATO 2027'!$K$5,"CONCLUÍDA",IF(F1278&lt;='RETRATO 2027'!$K$5,"EM ANDAMENTO","A INICIAR")))</f>
        <v>CONCLUÍDA</v>
      </c>
    </row>
    <row r="1279" customFormat="false" ht="15" hidden="false" customHeight="false" outlineLevel="0" collapsed="false">
      <c r="B1279" s="4" t="n">
        <v>39886067</v>
      </c>
      <c r="C1279" s="4" t="s">
        <v>2733</v>
      </c>
      <c r="D1279" s="4" t="s">
        <v>433</v>
      </c>
      <c r="E1279" s="4" t="s">
        <v>3652</v>
      </c>
      <c r="F1279" s="127" t="n">
        <v>46189</v>
      </c>
      <c r="G1279" s="127" t="n">
        <v>46196</v>
      </c>
      <c r="H1279" s="127" t="n">
        <v>46293</v>
      </c>
      <c r="I1279" s="4" t="n">
        <v>100</v>
      </c>
      <c r="J1279" s="4" t="n">
        <v>100</v>
      </c>
      <c r="K1279" s="4" t="n">
        <v>100</v>
      </c>
      <c r="M1279" s="2" t="str">
        <f aca="false">IF(C1279="","",IFERROR(INDEX($S$5:$S$304,MATCH(C1279,$R$5:$R$304,0))&amp;"","?"))</f>
        <v>17</v>
      </c>
      <c r="N1279" s="2" t="str">
        <f aca="false"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 t="str">
        <f aca="false">IF(OR(F1279="",G1279=""),"",IF(G1279&lt;='RETRATO 2027'!$K$5,"CONCLUÍDA",IF(F1279&lt;='RETRATO 2027'!$K$5,"EM ANDAMENTO","A INICIAR")))</f>
        <v>CONCLUÍDA</v>
      </c>
    </row>
    <row r="1280" customFormat="false" ht="15" hidden="false" customHeight="false" outlineLevel="0" collapsed="false">
      <c r="B1280" s="4" t="n">
        <v>19483641</v>
      </c>
      <c r="C1280" s="4" t="s">
        <v>2733</v>
      </c>
      <c r="D1280" s="4" t="s">
        <v>3653</v>
      </c>
      <c r="E1280" s="4" t="s">
        <v>3652</v>
      </c>
      <c r="F1280" s="127" t="n">
        <v>46189</v>
      </c>
      <c r="G1280" s="127" t="n">
        <v>46190</v>
      </c>
      <c r="H1280" s="127" t="n">
        <v>46293</v>
      </c>
      <c r="I1280" s="4" t="n">
        <v>100</v>
      </c>
      <c r="J1280" s="4" t="n">
        <v>100</v>
      </c>
      <c r="K1280" s="4" t="n">
        <v>100</v>
      </c>
      <c r="M1280" s="2" t="str">
        <f aca="false">IF(C1280="","",IFERROR(INDEX($S$5:$S$304,MATCH(C1280,$R$5:$R$304,0))&amp;"","?"))</f>
        <v>17</v>
      </c>
      <c r="N1280" s="2" t="str">
        <f aca="false"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 t="str">
        <f aca="false">IF(OR(F1280="",G1280=""),"",IF(G1280&lt;='RETRATO 2027'!$K$5,"CONCLUÍDA",IF(F1280&lt;='RETRATO 2027'!$K$5,"EM ANDAMENTO","A INICIAR")))</f>
        <v>CONCLUÍDA</v>
      </c>
    </row>
    <row r="1281" customFormat="false" ht="15" hidden="false" customHeight="false" outlineLevel="0" collapsed="false">
      <c r="B1281" s="4" t="n">
        <v>19483642</v>
      </c>
      <c r="C1281" s="4" t="s">
        <v>2733</v>
      </c>
      <c r="D1281" s="4" t="s">
        <v>3560</v>
      </c>
      <c r="E1281" s="4" t="s">
        <v>3652</v>
      </c>
      <c r="F1281" s="127" t="n">
        <v>46191</v>
      </c>
      <c r="G1281" s="127" t="n">
        <v>46192</v>
      </c>
      <c r="H1281" s="127" t="n">
        <v>46293</v>
      </c>
      <c r="I1281" s="4" t="n">
        <v>100</v>
      </c>
      <c r="J1281" s="4" t="n">
        <v>100</v>
      </c>
      <c r="K1281" s="4" t="n">
        <v>100</v>
      </c>
      <c r="M1281" s="2" t="str">
        <f aca="false">IF(C1281="","",IFERROR(INDEX($S$5:$S$304,MATCH(C1281,$R$5:$R$304,0))&amp;"","?"))</f>
        <v>17</v>
      </c>
      <c r="N1281" s="2" t="str">
        <f aca="false"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 t="str">
        <f aca="false">IF(OR(F1281="",G1281=""),"",IF(G1281&lt;='RETRATO 2027'!$K$5,"CONCLUÍDA",IF(F1281&lt;='RETRATO 2027'!$K$5,"EM ANDAMENTO","A INICIAR")))</f>
        <v>CONCLUÍDA</v>
      </c>
    </row>
    <row r="1282" customFormat="false" ht="15" hidden="false" customHeight="false" outlineLevel="0" collapsed="false">
      <c r="B1282" s="4" t="n">
        <v>19483643</v>
      </c>
      <c r="C1282" s="4" t="s">
        <v>2733</v>
      </c>
      <c r="D1282" s="4" t="s">
        <v>3654</v>
      </c>
      <c r="E1282" s="4" t="s">
        <v>3652</v>
      </c>
      <c r="F1282" s="127" t="n">
        <v>46195</v>
      </c>
      <c r="G1282" s="127" t="n">
        <v>46195</v>
      </c>
      <c r="H1282" s="127" t="n">
        <v>46293</v>
      </c>
      <c r="I1282" s="4" t="n">
        <v>100</v>
      </c>
      <c r="J1282" s="4" t="n">
        <v>100</v>
      </c>
      <c r="K1282" s="4" t="n">
        <v>100</v>
      </c>
      <c r="M1282" s="2" t="str">
        <f aca="false">IF(C1282="","",IFERROR(INDEX($S$5:$S$304,MATCH(C1282,$R$5:$R$304,0))&amp;"","?"))</f>
        <v>17</v>
      </c>
      <c r="N1282" s="2" t="str">
        <f aca="false"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 t="str">
        <f aca="false">IF(OR(F1282="",G1282=""),"",IF(G1282&lt;='RETRATO 2027'!$K$5,"CONCLUÍDA",IF(F1282&lt;='RETRATO 2027'!$K$5,"EM ANDAMENTO","A INICIAR")))</f>
        <v>CONCLUÍDA</v>
      </c>
    </row>
    <row r="1283" customFormat="false" ht="15" hidden="false" customHeight="false" outlineLevel="0" collapsed="false">
      <c r="B1283" s="4" t="n">
        <v>19483644</v>
      </c>
      <c r="C1283" s="4" t="s">
        <v>2733</v>
      </c>
      <c r="D1283" s="4" t="s">
        <v>3218</v>
      </c>
      <c r="E1283" s="4" t="s">
        <v>3652</v>
      </c>
      <c r="F1283" s="127" t="n">
        <v>46196</v>
      </c>
      <c r="G1283" s="127" t="n">
        <v>46196</v>
      </c>
      <c r="H1283" s="127" t="n">
        <v>46293</v>
      </c>
      <c r="I1283" s="4" t="n">
        <v>100</v>
      </c>
      <c r="J1283" s="4" t="n">
        <v>100</v>
      </c>
      <c r="K1283" s="4" t="n">
        <v>100</v>
      </c>
      <c r="M1283" s="2" t="str">
        <f aca="false">IF(C1283="","",IFERROR(INDEX($S$5:$S$304,MATCH(C1283,$R$5:$R$304,0))&amp;"","?"))</f>
        <v>17</v>
      </c>
      <c r="N1283" s="2" t="str">
        <f aca="false"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 t="str">
        <f aca="false">IF(OR(F1283="",G1283=""),"",IF(G1283&lt;='RETRATO 2027'!$K$5,"CONCLUÍDA",IF(F1283&lt;='RETRATO 2027'!$K$5,"EM ANDAMENTO","A INICIAR")))</f>
        <v>CONCLUÍDA</v>
      </c>
    </row>
    <row r="1284" customFormat="false" ht="15" hidden="false" customHeight="false" outlineLevel="0" collapsed="false">
      <c r="B1284" s="4" t="n">
        <v>44888159</v>
      </c>
      <c r="C1284" s="4" t="s">
        <v>2749</v>
      </c>
      <c r="D1284" s="4" t="s">
        <v>433</v>
      </c>
      <c r="E1284" s="4" t="s">
        <v>3466</v>
      </c>
      <c r="F1284" s="127" t="n">
        <v>46191</v>
      </c>
      <c r="G1284" s="127" t="n">
        <v>46204</v>
      </c>
      <c r="H1284" s="127" t="n">
        <v>46293</v>
      </c>
      <c r="I1284" s="4" t="n">
        <v>0</v>
      </c>
      <c r="J1284" s="4" t="n">
        <v>100</v>
      </c>
      <c r="K1284" s="4" t="n">
        <v>100</v>
      </c>
      <c r="M1284" s="2" t="str">
        <f aca="false">IF(C1284="","",IFERROR(INDEX($S$5:$S$304,MATCH(C1284,$R$5:$R$304,0))&amp;"","?"))</f>
        <v>17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-1</v>
      </c>
      <c r="O1284" s="2" t="str">
        <f aca="false">IF(OR(F1284="",G1284=""),"",IF(G1284&lt;='RETRATO 2027'!$K$5,"CONCLUÍDA",IF(F1284&lt;='RETRATO 2027'!$K$5,"EM ANDAMENTO","A INICIAR")))</f>
        <v>CONCLUÍDA</v>
      </c>
    </row>
    <row r="1285" customFormat="false" ht="15" hidden="false" customHeight="false" outlineLevel="0" collapsed="false">
      <c r="B1285" s="4" t="n">
        <v>28964548</v>
      </c>
      <c r="C1285" s="4" t="s">
        <v>2749</v>
      </c>
      <c r="D1285" s="4" t="s">
        <v>3548</v>
      </c>
      <c r="E1285" s="4" t="s">
        <v>3466</v>
      </c>
      <c r="F1285" s="127" t="n">
        <v>46191</v>
      </c>
      <c r="G1285" s="127" t="n">
        <v>46191</v>
      </c>
      <c r="H1285" s="127" t="n">
        <v>46293</v>
      </c>
      <c r="I1285" s="4" t="n">
        <v>0</v>
      </c>
      <c r="J1285" s="4" t="n">
        <v>100</v>
      </c>
      <c r="K1285" s="4" t="n">
        <v>100</v>
      </c>
      <c r="M1285" s="2" t="str">
        <f aca="false">IF(C1285="","",IFERROR(INDEX($S$5:$S$304,MATCH(C1285,$R$5:$R$304,0))&amp;"","?"))</f>
        <v>17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-1</v>
      </c>
      <c r="O1285" s="2" t="str">
        <f aca="false">IF(OR(F1285="",G1285=""),"",IF(G1285&lt;='RETRATO 2027'!$K$5,"CONCLUÍDA",IF(F1285&lt;='RETRATO 2027'!$K$5,"EM ANDAMENTO","A INICIAR")))</f>
        <v>CONCLUÍDA</v>
      </c>
    </row>
    <row r="1286" customFormat="false" ht="15" hidden="false" customHeight="false" outlineLevel="0" collapsed="false">
      <c r="B1286" s="4" t="n">
        <v>28964549</v>
      </c>
      <c r="C1286" s="4" t="s">
        <v>2749</v>
      </c>
      <c r="D1286" s="4" t="s">
        <v>3543</v>
      </c>
      <c r="E1286" s="4" t="s">
        <v>3466</v>
      </c>
      <c r="F1286" s="127" t="n">
        <v>46192</v>
      </c>
      <c r="G1286" s="127" t="n">
        <v>46192</v>
      </c>
      <c r="H1286" s="127" t="n">
        <v>46293</v>
      </c>
      <c r="I1286" s="4" t="n">
        <v>0</v>
      </c>
      <c r="J1286" s="4" t="n">
        <v>100</v>
      </c>
      <c r="K1286" s="4" t="n">
        <v>100</v>
      </c>
      <c r="M1286" s="2" t="str">
        <f aca="false">IF(C1286="","",IFERROR(INDEX($S$5:$S$304,MATCH(C1286,$R$5:$R$304,0))&amp;"","?"))</f>
        <v>17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-1</v>
      </c>
      <c r="O1286" s="2" t="str">
        <f aca="false">IF(OR(F1286="",G1286=""),"",IF(G1286&lt;='RETRATO 2027'!$K$5,"CONCLUÍDA",IF(F1286&lt;='RETRATO 2027'!$K$5,"EM ANDAMENTO","A INICIAR")))</f>
        <v>CONCLUÍDA</v>
      </c>
    </row>
    <row r="1287" customFormat="false" ht="15" hidden="false" customHeight="false" outlineLevel="0" collapsed="false">
      <c r="B1287" s="4" t="n">
        <v>28964550</v>
      </c>
      <c r="C1287" s="4" t="s">
        <v>2749</v>
      </c>
      <c r="D1287" s="4" t="s">
        <v>3498</v>
      </c>
      <c r="E1287" s="4" t="s">
        <v>3466</v>
      </c>
      <c r="F1287" s="127" t="n">
        <v>46195</v>
      </c>
      <c r="G1287" s="127" t="n">
        <v>46198</v>
      </c>
      <c r="H1287" s="127" t="n">
        <v>46293</v>
      </c>
      <c r="I1287" s="4" t="n">
        <v>0</v>
      </c>
      <c r="J1287" s="4" t="n">
        <v>100</v>
      </c>
      <c r="K1287" s="4" t="n">
        <v>100</v>
      </c>
      <c r="M1287" s="2" t="str">
        <f aca="false">IF(C1287="","",IFERROR(INDEX($S$5:$S$304,MATCH(C1287,$R$5:$R$304,0))&amp;"","?"))</f>
        <v>17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-1</v>
      </c>
      <c r="O1287" s="2" t="str">
        <f aca="false">IF(OR(F1287="",G1287=""),"",IF(G1287&lt;='RETRATO 2027'!$K$5,"CONCLUÍDA",IF(F1287&lt;='RETRATO 2027'!$K$5,"EM ANDAMENTO","A INICIAR")))</f>
        <v>CONCLUÍDA</v>
      </c>
    </row>
    <row r="1288" customFormat="false" ht="15" hidden="false" customHeight="false" outlineLevel="0" collapsed="false">
      <c r="B1288" s="4" t="n">
        <v>28964551</v>
      </c>
      <c r="C1288" s="4" t="s">
        <v>2749</v>
      </c>
      <c r="D1288" s="4" t="s">
        <v>3536</v>
      </c>
      <c r="E1288" s="4" t="s">
        <v>3466</v>
      </c>
      <c r="F1288" s="127" t="n">
        <v>46199</v>
      </c>
      <c r="G1288" s="127" t="n">
        <v>46203</v>
      </c>
      <c r="H1288" s="127" t="n">
        <v>46293</v>
      </c>
      <c r="I1288" s="4" t="n">
        <v>0</v>
      </c>
      <c r="J1288" s="4" t="n">
        <v>100</v>
      </c>
      <c r="K1288" s="4" t="n">
        <v>100</v>
      </c>
      <c r="M1288" s="2" t="str">
        <f aca="false">IF(C1288="","",IFERROR(INDEX($S$5:$S$304,MATCH(C1288,$R$5:$R$304,0))&amp;"","?"))</f>
        <v>17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-1</v>
      </c>
      <c r="O1288" s="2" t="str">
        <f aca="false">IF(OR(F1288="",G1288=""),"",IF(G1288&lt;='RETRATO 2027'!$K$5,"CONCLUÍDA",IF(F1288&lt;='RETRATO 2027'!$K$5,"EM ANDAMENTO","A INICIAR")))</f>
        <v>CONCLUÍDA</v>
      </c>
    </row>
    <row r="1289" customFormat="false" ht="15" hidden="false" customHeight="false" outlineLevel="0" collapsed="false">
      <c r="B1289" s="4" t="n">
        <v>28964552</v>
      </c>
      <c r="C1289" s="4" t="s">
        <v>2749</v>
      </c>
      <c r="D1289" s="4" t="s">
        <v>3617</v>
      </c>
      <c r="E1289" s="4" t="s">
        <v>3466</v>
      </c>
      <c r="F1289" s="127" t="n">
        <v>46204</v>
      </c>
      <c r="G1289" s="127" t="n">
        <v>46204</v>
      </c>
      <c r="H1289" s="127" t="n">
        <v>46293</v>
      </c>
      <c r="I1289" s="4" t="n">
        <v>0</v>
      </c>
      <c r="J1289" s="4" t="n">
        <v>100</v>
      </c>
      <c r="K1289" s="4" t="n">
        <v>100</v>
      </c>
      <c r="M1289" s="2" t="str">
        <f aca="false">IF(C1289="","",IFERROR(INDEX($S$5:$S$304,MATCH(C1289,$R$5:$R$304,0))&amp;"","?"))</f>
        <v>17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-1</v>
      </c>
      <c r="O1289" s="2" t="str">
        <f aca="false">IF(OR(F1289="",G1289=""),"",IF(G1289&lt;='RETRATO 2027'!$K$5,"CONCLUÍDA",IF(F1289&lt;='RETRATO 2027'!$K$5,"EM ANDAMENTO","A INICIAR")))</f>
        <v>CONCLUÍDA</v>
      </c>
    </row>
    <row r="1290" customFormat="false" ht="15" hidden="false" customHeight="false" outlineLevel="0" collapsed="false">
      <c r="B1290" s="4" t="n">
        <v>26743755</v>
      </c>
      <c r="C1290" s="4" t="s">
        <v>163</v>
      </c>
      <c r="D1290" s="4" t="s">
        <v>433</v>
      </c>
      <c r="E1290" s="4" t="s">
        <v>3375</v>
      </c>
      <c r="F1290" s="127" t="n">
        <v>46195</v>
      </c>
      <c r="G1290" s="127" t="n">
        <v>46220</v>
      </c>
      <c r="H1290" s="127" t="n">
        <v>46293</v>
      </c>
      <c r="I1290" s="4" t="n">
        <v>100</v>
      </c>
      <c r="J1290" s="4" t="n">
        <v>100</v>
      </c>
      <c r="K1290" s="4" t="n">
        <v>100</v>
      </c>
      <c r="M1290" s="2" t="str">
        <f aca="false">IF(C1290="","",IFERROR(INDEX($S$5:$S$304,MATCH(C1290,$R$5:$R$304,0))&amp;"","?"))</f>
        <v>18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-3</v>
      </c>
      <c r="O1290" s="2" t="str">
        <f aca="false">IF(OR(F1290="",G1290=""),"",IF(G1290&lt;='RETRATO 2027'!$K$5,"CONCLUÍDA",IF(F1290&lt;='RETRATO 2027'!$K$5,"EM ANDAMENTO","A INICIAR")))</f>
        <v>CONCLUÍDA</v>
      </c>
    </row>
    <row r="1291" customFormat="false" ht="15" hidden="false" customHeight="false" outlineLevel="0" collapsed="false">
      <c r="B1291" s="4" t="n">
        <v>26708177</v>
      </c>
      <c r="C1291" s="4" t="s">
        <v>163</v>
      </c>
      <c r="D1291" s="4" t="s">
        <v>433</v>
      </c>
      <c r="E1291" s="4" t="s">
        <v>3628</v>
      </c>
      <c r="F1291" s="127" t="n">
        <v>46196</v>
      </c>
      <c r="G1291" s="127" t="n">
        <v>46206</v>
      </c>
      <c r="H1291" s="127" t="n">
        <v>46293</v>
      </c>
      <c r="I1291" s="4" t="n">
        <v>0</v>
      </c>
      <c r="J1291" s="4" t="n">
        <v>100</v>
      </c>
      <c r="K1291" s="4" t="n">
        <v>100</v>
      </c>
      <c r="M1291" s="2" t="str">
        <f aca="false">IF(C1291="","",IFERROR(INDEX($S$5:$S$304,MATCH(C1291,$R$5:$R$304,0))&amp;"","?"))</f>
        <v>18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-6</v>
      </c>
      <c r="O1291" s="2" t="str">
        <f aca="false">IF(OR(F1291="",G1291=""),"",IF(G1291&lt;='RETRATO 2027'!$K$5,"CONCLUÍDA",IF(F1291&lt;='RETRATO 2027'!$K$5,"EM ANDAMENTO","A INICIAR")))</f>
        <v>CONCLUÍDA</v>
      </c>
    </row>
    <row r="1292" customFormat="false" ht="15" hidden="false" customHeight="false" outlineLevel="0" collapsed="false">
      <c r="B1292" s="4" t="n">
        <v>24939775</v>
      </c>
      <c r="C1292" s="4" t="s">
        <v>2705</v>
      </c>
      <c r="D1292" s="4" t="s">
        <v>433</v>
      </c>
      <c r="E1292" s="4" t="s">
        <v>3655</v>
      </c>
      <c r="F1292" s="127" t="n">
        <v>46197</v>
      </c>
      <c r="G1292" s="127" t="n">
        <v>46220</v>
      </c>
      <c r="H1292" s="127" t="n">
        <v>46293</v>
      </c>
      <c r="I1292" s="4" t="n">
        <v>100</v>
      </c>
      <c r="J1292" s="4" t="n">
        <v>100</v>
      </c>
      <c r="K1292" s="4" t="n">
        <v>100</v>
      </c>
      <c r="M1292" s="2" t="str">
        <f aca="false">IF(C1292="","",IFERROR(INDEX($S$5:$S$304,MATCH(C1292,$R$5:$R$304,0))&amp;"","?"))</f>
        <v>17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3</v>
      </c>
      <c r="O1292" s="2" t="str">
        <f aca="false">IF(OR(F1292="",G1292=""),"",IF(G1292&lt;='RETRATO 2027'!$K$5,"CONCLUÍDA",IF(F1292&lt;='RETRATO 2027'!$K$5,"EM ANDAMENTO","A INICIAR")))</f>
        <v>CONCLUÍDA</v>
      </c>
    </row>
    <row r="1293" customFormat="false" ht="15" hidden="false" customHeight="false" outlineLevel="0" collapsed="false">
      <c r="B1293" s="4" t="n">
        <v>9360255</v>
      </c>
      <c r="C1293" s="4" t="s">
        <v>2705</v>
      </c>
      <c r="D1293" s="4" t="s">
        <v>3244</v>
      </c>
      <c r="E1293" s="4" t="s">
        <v>3655</v>
      </c>
      <c r="F1293" s="127" t="n">
        <v>46197</v>
      </c>
      <c r="G1293" s="127" t="n">
        <v>46206</v>
      </c>
      <c r="H1293" s="127" t="n">
        <v>46293</v>
      </c>
      <c r="I1293" s="4" t="n">
        <v>100</v>
      </c>
      <c r="J1293" s="4" t="n">
        <v>100</v>
      </c>
      <c r="K1293" s="4" t="n">
        <v>100</v>
      </c>
      <c r="M1293" s="2" t="str">
        <f aca="false">IF(C1293="","",IFERROR(INDEX($S$5:$S$304,MATCH(C1293,$R$5:$R$304,0))&amp;"","?"))</f>
        <v>17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3</v>
      </c>
      <c r="O1293" s="2" t="str">
        <f aca="false">IF(OR(F1293="",G1293=""),"",IF(G1293&lt;='RETRATO 2027'!$K$5,"CONCLUÍDA",IF(F1293&lt;='RETRATO 2027'!$K$5,"EM ANDAMENTO","A INICIAR")))</f>
        <v>CONCLUÍDA</v>
      </c>
    </row>
    <row r="1294" customFormat="false" ht="15" hidden="false" customHeight="false" outlineLevel="0" collapsed="false">
      <c r="B1294" s="4" t="n">
        <v>9360256</v>
      </c>
      <c r="C1294" s="4" t="s">
        <v>2705</v>
      </c>
      <c r="D1294" s="4" t="s">
        <v>3245</v>
      </c>
      <c r="E1294" s="4" t="s">
        <v>3655</v>
      </c>
      <c r="F1294" s="127" t="n">
        <v>46206</v>
      </c>
      <c r="G1294" s="127" t="n">
        <v>46212</v>
      </c>
      <c r="H1294" s="127" t="n">
        <v>46293</v>
      </c>
      <c r="I1294" s="4" t="n">
        <v>100</v>
      </c>
      <c r="J1294" s="4" t="n">
        <v>100</v>
      </c>
      <c r="K1294" s="4" t="n">
        <v>100</v>
      </c>
      <c r="M1294" s="2" t="str">
        <f aca="false">IF(C1294="","",IFERROR(INDEX($S$5:$S$304,MATCH(C1294,$R$5:$R$304,0))&amp;"","?"))</f>
        <v>17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3</v>
      </c>
      <c r="O1294" s="2" t="str">
        <f aca="false">IF(OR(F1294="",G1294=""),"",IF(G1294&lt;='RETRATO 2027'!$K$5,"CONCLUÍDA",IF(F1294&lt;='RETRATO 2027'!$K$5,"EM ANDAMENTO","A INICIAR")))</f>
        <v>CONCLUÍDA</v>
      </c>
    </row>
    <row r="1295" customFormat="false" ht="15" hidden="false" customHeight="false" outlineLevel="0" collapsed="false">
      <c r="B1295" s="4" t="n">
        <v>9360257</v>
      </c>
      <c r="C1295" s="4" t="s">
        <v>2705</v>
      </c>
      <c r="D1295" s="4" t="s">
        <v>3246</v>
      </c>
      <c r="E1295" s="4" t="s">
        <v>3655</v>
      </c>
      <c r="F1295" s="127" t="n">
        <v>46209</v>
      </c>
      <c r="G1295" s="127" t="n">
        <v>46210</v>
      </c>
      <c r="H1295" s="127" t="n">
        <v>46293</v>
      </c>
      <c r="I1295" s="4" t="n">
        <v>100</v>
      </c>
      <c r="J1295" s="4" t="n">
        <v>100</v>
      </c>
      <c r="K1295" s="4" t="n">
        <v>100</v>
      </c>
      <c r="M1295" s="2" t="str">
        <f aca="false">IF(C1295="","",IFERROR(INDEX($S$5:$S$304,MATCH(C1295,$R$5:$R$304,0))&amp;"","?"))</f>
        <v>17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3</v>
      </c>
      <c r="O1295" s="2" t="str">
        <f aca="false">IF(OR(F1295="",G1295=""),"",IF(G1295&lt;='RETRATO 2027'!$K$5,"CONCLUÍDA",IF(F1295&lt;='RETRATO 2027'!$K$5,"EM ANDAMENTO","A INICIAR")))</f>
        <v>CONCLUÍDA</v>
      </c>
    </row>
    <row r="1296" customFormat="false" ht="15" hidden="false" customHeight="false" outlineLevel="0" collapsed="false">
      <c r="B1296" s="4" t="n">
        <v>9360258</v>
      </c>
      <c r="C1296" s="4" t="s">
        <v>2705</v>
      </c>
      <c r="D1296" s="4" t="s">
        <v>3247</v>
      </c>
      <c r="E1296" s="4" t="s">
        <v>3655</v>
      </c>
      <c r="F1296" s="127" t="n">
        <v>46211</v>
      </c>
      <c r="G1296" s="127" t="n">
        <v>46211</v>
      </c>
      <c r="H1296" s="127" t="n">
        <v>46293</v>
      </c>
      <c r="I1296" s="4" t="n">
        <v>100</v>
      </c>
      <c r="J1296" s="4" t="n">
        <v>100</v>
      </c>
      <c r="K1296" s="4" t="n">
        <v>100</v>
      </c>
      <c r="M1296" s="2" t="str">
        <f aca="false">IF(C1296="","",IFERROR(INDEX($S$5:$S$304,MATCH(C1296,$R$5:$R$304,0))&amp;"","?"))</f>
        <v>17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3</v>
      </c>
      <c r="O1296" s="2" t="str">
        <f aca="false">IF(OR(F1296="",G1296=""),"",IF(G1296&lt;='RETRATO 2027'!$K$5,"CONCLUÍDA",IF(F1296&lt;='RETRATO 2027'!$K$5,"EM ANDAMENTO","A INICIAR")))</f>
        <v>CONCLUÍDA</v>
      </c>
    </row>
    <row r="1297" customFormat="false" ht="15" hidden="false" customHeight="false" outlineLevel="0" collapsed="false">
      <c r="B1297" s="4" t="n">
        <v>9360259</v>
      </c>
      <c r="C1297" s="4" t="s">
        <v>2705</v>
      </c>
      <c r="D1297" s="4" t="s">
        <v>3248</v>
      </c>
      <c r="E1297" s="4" t="s">
        <v>3655</v>
      </c>
      <c r="F1297" s="127" t="n">
        <v>46212</v>
      </c>
      <c r="G1297" s="127" t="n">
        <v>46220</v>
      </c>
      <c r="H1297" s="127" t="n">
        <v>46293</v>
      </c>
      <c r="I1297" s="4" t="n">
        <v>100</v>
      </c>
      <c r="J1297" s="4" t="n">
        <v>100</v>
      </c>
      <c r="K1297" s="4" t="n">
        <v>100</v>
      </c>
      <c r="M1297" s="2" t="str">
        <f aca="false">IF(C1297="","",IFERROR(INDEX($S$5:$S$304,MATCH(C1297,$R$5:$R$304,0))&amp;"","?"))</f>
        <v>17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3</v>
      </c>
      <c r="O1297" s="2" t="str">
        <f aca="false">IF(OR(F1297="",G1297=""),"",IF(G1297&lt;='RETRATO 2027'!$K$5,"CONCLUÍDA",IF(F1297&lt;='RETRATO 2027'!$K$5,"EM ANDAMENTO","A INICIAR")))</f>
        <v>CONCLUÍDA</v>
      </c>
    </row>
    <row r="1298" customFormat="false" ht="15" hidden="false" customHeight="false" outlineLevel="0" collapsed="false">
      <c r="B1298" s="4" t="n">
        <v>9360260</v>
      </c>
      <c r="C1298" s="4" t="s">
        <v>2705</v>
      </c>
      <c r="D1298" s="4" t="s">
        <v>3249</v>
      </c>
      <c r="E1298" s="4" t="s">
        <v>3655</v>
      </c>
      <c r="F1298" s="127" t="n">
        <v>46213</v>
      </c>
      <c r="G1298" s="127" t="n">
        <v>46219</v>
      </c>
      <c r="H1298" s="127" t="n">
        <v>46293</v>
      </c>
      <c r="I1298" s="4" t="n">
        <v>100</v>
      </c>
      <c r="J1298" s="4" t="n">
        <v>100</v>
      </c>
      <c r="K1298" s="4" t="n">
        <v>100</v>
      </c>
      <c r="M1298" s="2" t="str">
        <f aca="false">IF(C1298="","",IFERROR(INDEX($S$5:$S$304,MATCH(C1298,$R$5:$R$304,0))&amp;"","?"))</f>
        <v>17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3</v>
      </c>
      <c r="O1298" s="2" t="str">
        <f aca="false">IF(OR(F1298="",G1298=""),"",IF(G1298&lt;='RETRATO 2027'!$K$5,"CONCLUÍDA",IF(F1298&lt;='RETRATO 2027'!$K$5,"EM ANDAMENTO","A INICIAR")))</f>
        <v>CONCLUÍDA</v>
      </c>
    </row>
    <row r="1299" customFormat="false" ht="15" hidden="false" customHeight="false" outlineLevel="0" collapsed="false">
      <c r="B1299" s="4" t="n">
        <v>9360261</v>
      </c>
      <c r="C1299" s="4" t="s">
        <v>2705</v>
      </c>
      <c r="D1299" s="4" t="s">
        <v>3250</v>
      </c>
      <c r="E1299" s="4" t="s">
        <v>3655</v>
      </c>
      <c r="F1299" s="127" t="n">
        <v>46218</v>
      </c>
      <c r="G1299" s="127" t="n">
        <v>46218</v>
      </c>
      <c r="H1299" s="127" t="n">
        <v>46293</v>
      </c>
      <c r="I1299" s="4" t="n">
        <v>100</v>
      </c>
      <c r="J1299" s="4" t="n">
        <v>100</v>
      </c>
      <c r="K1299" s="4" t="n">
        <v>100</v>
      </c>
      <c r="M1299" s="2" t="str">
        <f aca="false">IF(C1299="","",IFERROR(INDEX($S$5:$S$304,MATCH(C1299,$R$5:$R$304,0))&amp;"","?"))</f>
        <v>17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3</v>
      </c>
      <c r="O1299" s="2" t="str">
        <f aca="false">IF(OR(F1299="",G1299=""),"",IF(G1299&lt;='RETRATO 2027'!$K$5,"CONCLUÍDA",IF(F1299&lt;='RETRATO 2027'!$K$5,"EM ANDAMENTO","A INICIAR")))</f>
        <v>CONCLUÍDA</v>
      </c>
    </row>
    <row r="1300" customFormat="false" ht="15" hidden="false" customHeight="false" outlineLevel="0" collapsed="false">
      <c r="B1300" s="4" t="n">
        <v>9360262</v>
      </c>
      <c r="C1300" s="4" t="s">
        <v>2705</v>
      </c>
      <c r="D1300" s="4" t="s">
        <v>3251</v>
      </c>
      <c r="E1300" s="4" t="s">
        <v>3655</v>
      </c>
      <c r="F1300" s="127" t="n">
        <v>46218</v>
      </c>
      <c r="G1300" s="127" t="n">
        <v>46218</v>
      </c>
      <c r="H1300" s="127" t="n">
        <v>46293</v>
      </c>
      <c r="I1300" s="4" t="n">
        <v>100</v>
      </c>
      <c r="J1300" s="4" t="n">
        <v>100</v>
      </c>
      <c r="K1300" s="4" t="n">
        <v>100</v>
      </c>
      <c r="M1300" s="2" t="str">
        <f aca="false">IF(C1300="","",IFERROR(INDEX($S$5:$S$304,MATCH(C1300,$R$5:$R$304,0))&amp;"","?"))</f>
        <v>17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3</v>
      </c>
      <c r="O1300" s="2" t="str">
        <f aca="false">IF(OR(F1300="",G1300=""),"",IF(G1300&lt;='RETRATO 2027'!$K$5,"CONCLUÍDA",IF(F1300&lt;='RETRATO 2027'!$K$5,"EM ANDAMENTO","A INICIAR")))</f>
        <v>CONCLUÍDA</v>
      </c>
    </row>
    <row r="1301" customFormat="false" ht="15" hidden="false" customHeight="false" outlineLevel="0" collapsed="false">
      <c r="B1301" s="4" t="n">
        <v>9360263</v>
      </c>
      <c r="C1301" s="4" t="s">
        <v>2705</v>
      </c>
      <c r="D1301" s="4" t="s">
        <v>3252</v>
      </c>
      <c r="E1301" s="4" t="s">
        <v>3655</v>
      </c>
      <c r="F1301" s="127" t="n">
        <v>46219</v>
      </c>
      <c r="G1301" s="127" t="n">
        <v>46219</v>
      </c>
      <c r="H1301" s="127" t="n">
        <v>46293</v>
      </c>
      <c r="I1301" s="4" t="n">
        <v>100</v>
      </c>
      <c r="J1301" s="4" t="n">
        <v>100</v>
      </c>
      <c r="K1301" s="4" t="n">
        <v>100</v>
      </c>
      <c r="M1301" s="2" t="str">
        <f aca="false">IF(C1301="","",IFERROR(INDEX($S$5:$S$304,MATCH(C1301,$R$5:$R$304,0))&amp;"","?"))</f>
        <v>17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3</v>
      </c>
      <c r="O1301" s="2" t="str">
        <f aca="false">IF(OR(F1301="",G1301=""),"",IF(G1301&lt;='RETRATO 2027'!$K$5,"CONCLUÍDA",IF(F1301&lt;='RETRATO 2027'!$K$5,"EM ANDAMENTO","A INICIAR")))</f>
        <v>CONCLUÍDA</v>
      </c>
    </row>
    <row r="1302" customFormat="false" ht="15" hidden="false" customHeight="false" outlineLevel="0" collapsed="false">
      <c r="B1302" s="4" t="n">
        <v>43594304</v>
      </c>
      <c r="C1302" s="4" t="s">
        <v>2714</v>
      </c>
      <c r="D1302" s="4" t="s">
        <v>433</v>
      </c>
      <c r="E1302" s="4" t="s">
        <v>3655</v>
      </c>
      <c r="F1302" s="127" t="n">
        <v>46197</v>
      </c>
      <c r="G1302" s="127" t="n">
        <v>46220</v>
      </c>
      <c r="H1302" s="127" t="n">
        <v>46293</v>
      </c>
      <c r="I1302" s="4" t="n">
        <v>0</v>
      </c>
      <c r="J1302" s="4" t="n">
        <v>100</v>
      </c>
      <c r="K1302" s="4" t="n">
        <v>100</v>
      </c>
      <c r="M1302" s="2" t="str">
        <f aca="false">IF(C1302="","",IFERROR(INDEX($S$5:$S$304,MATCH(C1302,$R$5:$R$304,0))&amp;"","?"))</f>
        <v>17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3</v>
      </c>
      <c r="O1302" s="2" t="str">
        <f aca="false">IF(OR(F1302="",G1302=""),"",IF(G1302&lt;='RETRATO 2027'!$K$5,"CONCLUÍDA",IF(F1302&lt;='RETRATO 2027'!$K$5,"EM ANDAMENTO","A INICIAR")))</f>
        <v>CONCLUÍDA</v>
      </c>
    </row>
    <row r="1303" customFormat="false" ht="15" hidden="false" customHeight="false" outlineLevel="0" collapsed="false">
      <c r="B1303" s="4" t="n">
        <v>27823293</v>
      </c>
      <c r="C1303" s="4" t="s">
        <v>2714</v>
      </c>
      <c r="D1303" s="4" t="s">
        <v>3554</v>
      </c>
      <c r="E1303" s="4" t="s">
        <v>3655</v>
      </c>
      <c r="F1303" s="127" t="n">
        <v>46197</v>
      </c>
      <c r="G1303" s="127" t="n">
        <v>46199</v>
      </c>
      <c r="H1303" s="127" t="n">
        <v>46293</v>
      </c>
      <c r="I1303" s="4" t="n">
        <v>0</v>
      </c>
      <c r="J1303" s="4" t="n">
        <v>100</v>
      </c>
      <c r="K1303" s="4" t="n">
        <v>100</v>
      </c>
      <c r="M1303" s="2" t="str">
        <f aca="false">IF(C1303="","",IFERROR(INDEX($S$5:$S$304,MATCH(C1303,$R$5:$R$304,0))&amp;"","?"))</f>
        <v>17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3</v>
      </c>
      <c r="O1303" s="2" t="str">
        <f aca="false">IF(OR(F1303="",G1303=""),"",IF(G1303&lt;='RETRATO 2027'!$K$5,"CONCLUÍDA",IF(F1303&lt;='RETRATO 2027'!$K$5,"EM ANDAMENTO","A INICIAR")))</f>
        <v>CONCLUÍDA</v>
      </c>
    </row>
    <row r="1304" customFormat="false" ht="15" hidden="false" customHeight="false" outlineLevel="0" collapsed="false">
      <c r="B1304" s="4" t="n">
        <v>27823294</v>
      </c>
      <c r="C1304" s="4" t="s">
        <v>2714</v>
      </c>
      <c r="D1304" s="4" t="s">
        <v>3555</v>
      </c>
      <c r="E1304" s="4" t="s">
        <v>3655</v>
      </c>
      <c r="F1304" s="127" t="n">
        <v>46198</v>
      </c>
      <c r="G1304" s="127" t="n">
        <v>46203</v>
      </c>
      <c r="H1304" s="127" t="n">
        <v>46293</v>
      </c>
      <c r="I1304" s="4" t="n">
        <v>0</v>
      </c>
      <c r="J1304" s="4" t="n">
        <v>100</v>
      </c>
      <c r="K1304" s="4" t="n">
        <v>100</v>
      </c>
      <c r="M1304" s="2" t="str">
        <f aca="false">IF(C1304="","",IFERROR(INDEX($S$5:$S$304,MATCH(C1304,$R$5:$R$304,0))&amp;"","?"))</f>
        <v>17</v>
      </c>
      <c r="N1304" s="2" t="n">
        <f aca="false">IF(E1304="","",IF(ISNUMBER(SEARCH("SUBSOLO",E1304)),IFERROR(-VALUE(LEFT(E1304,FIND("º",SUBSTITUTE(E1304,"°","º"))-1)),-1),IF(LEFT(E1304,6)="TÉRREO",0,IFERROR(VALUE(LEFT(E1304,FIND("º",SUBSTITUTE(E1304,"°","º"))-1)),""))))</f>
        <v>3</v>
      </c>
      <c r="O1304" s="2" t="str">
        <f aca="false">IF(OR(F1304="",G1304=""),"",IF(G1304&lt;='RETRATO 2027'!$K$5,"CONCLUÍDA",IF(F1304&lt;='RETRATO 2027'!$K$5,"EM ANDAMENTO","A INICIAR")))</f>
        <v>CONCLUÍDA</v>
      </c>
    </row>
    <row r="1305" customFormat="false" ht="15" hidden="false" customHeight="false" outlineLevel="0" collapsed="false">
      <c r="B1305" s="4" t="n">
        <v>27823295</v>
      </c>
      <c r="C1305" s="4" t="s">
        <v>2714</v>
      </c>
      <c r="D1305" s="4" t="s">
        <v>3498</v>
      </c>
      <c r="E1305" s="4" t="s">
        <v>3655</v>
      </c>
      <c r="F1305" s="127" t="n">
        <v>46204</v>
      </c>
      <c r="G1305" s="127" t="n">
        <v>46212</v>
      </c>
      <c r="H1305" s="127" t="n">
        <v>46293</v>
      </c>
      <c r="I1305" s="4" t="n">
        <v>0</v>
      </c>
      <c r="J1305" s="4" t="n">
        <v>100</v>
      </c>
      <c r="K1305" s="4" t="n">
        <v>100</v>
      </c>
      <c r="M1305" s="2" t="str">
        <f aca="false">IF(C1305="","",IFERROR(INDEX($S$5:$S$304,MATCH(C1305,$R$5:$R$304,0))&amp;"","?"))</f>
        <v>17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3</v>
      </c>
      <c r="O1305" s="2" t="str">
        <f aca="false">IF(OR(F1305="",G1305=""),"",IF(G1305&lt;='RETRATO 2027'!$K$5,"CONCLUÍDA",IF(F1305&lt;='RETRATO 2027'!$K$5,"EM ANDAMENTO","A INICIAR")))</f>
        <v>CONCLUÍDA</v>
      </c>
    </row>
    <row r="1306" customFormat="false" ht="15" hidden="false" customHeight="false" outlineLevel="0" collapsed="false">
      <c r="B1306" s="4" t="n">
        <v>27823296</v>
      </c>
      <c r="C1306" s="4" t="s">
        <v>2714</v>
      </c>
      <c r="D1306" s="4" t="s">
        <v>3599</v>
      </c>
      <c r="E1306" s="4" t="s">
        <v>3655</v>
      </c>
      <c r="F1306" s="127" t="n">
        <v>46210</v>
      </c>
      <c r="G1306" s="127" t="n">
        <v>46211</v>
      </c>
      <c r="H1306" s="127" t="n">
        <v>46293</v>
      </c>
      <c r="I1306" s="4" t="n">
        <v>0</v>
      </c>
      <c r="J1306" s="4" t="n">
        <v>100</v>
      </c>
      <c r="K1306" s="4" t="n">
        <v>100</v>
      </c>
      <c r="M1306" s="2" t="str">
        <f aca="false">IF(C1306="","",IFERROR(INDEX($S$5:$S$304,MATCH(C1306,$R$5:$R$304,0))&amp;"","?"))</f>
        <v>17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3</v>
      </c>
      <c r="O1306" s="2" t="str">
        <f aca="false">IF(OR(F1306="",G1306=""),"",IF(G1306&lt;='RETRATO 2027'!$K$5,"CONCLUÍDA",IF(F1306&lt;='RETRATO 2027'!$K$5,"EM ANDAMENTO","A INICIAR")))</f>
        <v>CONCLUÍDA</v>
      </c>
    </row>
    <row r="1307" customFormat="false" ht="15" hidden="false" customHeight="false" outlineLevel="0" collapsed="false">
      <c r="B1307" s="4" t="n">
        <v>27823297</v>
      </c>
      <c r="C1307" s="4" t="s">
        <v>2714</v>
      </c>
      <c r="D1307" s="4" t="s">
        <v>3627</v>
      </c>
      <c r="E1307" s="4" t="s">
        <v>3655</v>
      </c>
      <c r="F1307" s="127" t="n">
        <v>46212</v>
      </c>
      <c r="G1307" s="127" t="n">
        <v>46212</v>
      </c>
      <c r="H1307" s="127" t="n">
        <v>46293</v>
      </c>
      <c r="I1307" s="4" t="n">
        <v>0</v>
      </c>
      <c r="J1307" s="4" t="n">
        <v>100</v>
      </c>
      <c r="K1307" s="4" t="n">
        <v>100</v>
      </c>
      <c r="M1307" s="2" t="str">
        <f aca="false">IF(C1307="","",IFERROR(INDEX($S$5:$S$304,MATCH(C1307,$R$5:$R$304,0))&amp;"","?"))</f>
        <v>17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3</v>
      </c>
      <c r="O1307" s="2" t="str">
        <f aca="false">IF(OR(F1307="",G1307=""),"",IF(G1307&lt;='RETRATO 2027'!$K$5,"CONCLUÍDA",IF(F1307&lt;='RETRATO 2027'!$K$5,"EM ANDAMENTO","A INICIAR")))</f>
        <v>CONCLUÍDA</v>
      </c>
    </row>
    <row r="1308" customFormat="false" ht="15" hidden="false" customHeight="false" outlineLevel="0" collapsed="false">
      <c r="B1308" s="4" t="n">
        <v>27823298</v>
      </c>
      <c r="C1308" s="4" t="s">
        <v>2714</v>
      </c>
      <c r="D1308" s="4" t="s">
        <v>3217</v>
      </c>
      <c r="E1308" s="4" t="s">
        <v>3655</v>
      </c>
      <c r="F1308" s="127" t="n">
        <v>46213</v>
      </c>
      <c r="G1308" s="127" t="n">
        <v>46219</v>
      </c>
      <c r="H1308" s="127" t="n">
        <v>46293</v>
      </c>
      <c r="I1308" s="4" t="n">
        <v>0</v>
      </c>
      <c r="J1308" s="4" t="n">
        <v>100</v>
      </c>
      <c r="K1308" s="4" t="n">
        <v>100</v>
      </c>
      <c r="M1308" s="2" t="str">
        <f aca="false">IF(C1308="","",IFERROR(INDEX($S$5:$S$304,MATCH(C1308,$R$5:$R$304,0))&amp;"","?"))</f>
        <v>17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3</v>
      </c>
      <c r="O1308" s="2" t="str">
        <f aca="false">IF(OR(F1308="",G1308=""),"",IF(G1308&lt;='RETRATO 2027'!$K$5,"CONCLUÍDA",IF(F1308&lt;='RETRATO 2027'!$K$5,"EM ANDAMENTO","A INICIAR")))</f>
        <v>CONCLUÍDA</v>
      </c>
    </row>
    <row r="1309" customFormat="false" ht="15" hidden="false" customHeight="false" outlineLevel="0" collapsed="false">
      <c r="B1309" s="4" t="n">
        <v>27823299</v>
      </c>
      <c r="C1309" s="4" t="s">
        <v>2714</v>
      </c>
      <c r="D1309" s="4" t="s">
        <v>3563</v>
      </c>
      <c r="E1309" s="4" t="s">
        <v>3655</v>
      </c>
      <c r="F1309" s="127" t="n">
        <v>46220</v>
      </c>
      <c r="G1309" s="127" t="n">
        <v>46220</v>
      </c>
      <c r="H1309" s="127" t="n">
        <v>46293</v>
      </c>
      <c r="I1309" s="4" t="n">
        <v>0</v>
      </c>
      <c r="J1309" s="4" t="n">
        <v>100</v>
      </c>
      <c r="K1309" s="4" t="n">
        <v>100</v>
      </c>
      <c r="M1309" s="2" t="str">
        <f aca="false">IF(C1309="","",IFERROR(INDEX($S$5:$S$304,MATCH(C1309,$R$5:$R$304,0))&amp;"","?"))</f>
        <v>17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3</v>
      </c>
      <c r="O1309" s="2" t="str">
        <f aca="false">IF(OR(F1309="",G1309=""),"",IF(G1309&lt;='RETRATO 2027'!$K$5,"CONCLUÍDA",IF(F1309&lt;='RETRATO 2027'!$K$5,"EM ANDAMENTO","A INICIAR")))</f>
        <v>CONCLUÍDA</v>
      </c>
    </row>
    <row r="1310" customFormat="false" ht="15" hidden="false" customHeight="false" outlineLevel="0" collapsed="false">
      <c r="B1310" s="4" t="n">
        <v>47533609</v>
      </c>
      <c r="C1310" s="4" t="s">
        <v>2802</v>
      </c>
      <c r="D1310" s="4" t="s">
        <v>433</v>
      </c>
      <c r="E1310" s="4" t="s">
        <v>3243</v>
      </c>
      <c r="F1310" s="127" t="n">
        <v>46203</v>
      </c>
      <c r="G1310" s="127" t="n">
        <v>46218</v>
      </c>
      <c r="H1310" s="127" t="n">
        <v>46293</v>
      </c>
      <c r="I1310" s="4" t="n">
        <v>0</v>
      </c>
      <c r="J1310" s="4" t="n">
        <v>100</v>
      </c>
      <c r="K1310" s="4" t="n">
        <v>100</v>
      </c>
      <c r="M1310" s="2" t="str">
        <f aca="false">IF(C1310="","",IFERROR(INDEX($S$5:$S$304,MATCH(C1310,$R$5:$R$304,0))&amp;"","?"))</f>
        <v>17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1</v>
      </c>
      <c r="O1310" s="2" t="str">
        <f aca="false">IF(OR(F1310="",G1310=""),"",IF(G1310&lt;='RETRATO 2027'!$K$5,"CONCLUÍDA",IF(F1310&lt;='RETRATO 2027'!$K$5,"EM ANDAMENTO","A INICIAR")))</f>
        <v>CONCLUÍDA</v>
      </c>
    </row>
    <row r="1311" customFormat="false" ht="15" hidden="false" customHeight="false" outlineLevel="0" collapsed="false">
      <c r="B1311" s="4" t="n">
        <v>31451346</v>
      </c>
      <c r="C1311" s="4" t="s">
        <v>2802</v>
      </c>
      <c r="D1311" s="4" t="s">
        <v>3554</v>
      </c>
      <c r="E1311" s="4" t="s">
        <v>3243</v>
      </c>
      <c r="F1311" s="127" t="n">
        <v>46203</v>
      </c>
      <c r="G1311" s="127" t="n">
        <v>46203</v>
      </c>
      <c r="H1311" s="127" t="n">
        <v>46293</v>
      </c>
      <c r="I1311" s="4" t="n">
        <v>0</v>
      </c>
      <c r="J1311" s="4" t="n">
        <v>100</v>
      </c>
      <c r="K1311" s="4" t="n">
        <v>100</v>
      </c>
      <c r="M1311" s="2" t="str">
        <f aca="false">IF(C1311="","",IFERROR(INDEX($S$5:$S$304,MATCH(C1311,$R$5:$R$304,0))&amp;"","?"))</f>
        <v>17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1</v>
      </c>
      <c r="O1311" s="2" t="str">
        <f aca="false">IF(OR(F1311="",G1311=""),"",IF(G1311&lt;='RETRATO 2027'!$K$5,"CONCLUÍDA",IF(F1311&lt;='RETRATO 2027'!$K$5,"EM ANDAMENTO","A INICIAR")))</f>
        <v>CONCLUÍDA</v>
      </c>
    </row>
    <row r="1312" customFormat="false" ht="15" hidden="false" customHeight="false" outlineLevel="0" collapsed="false">
      <c r="B1312" s="4" t="n">
        <v>31451347</v>
      </c>
      <c r="C1312" s="4" t="s">
        <v>2802</v>
      </c>
      <c r="D1312" s="4" t="s">
        <v>3555</v>
      </c>
      <c r="E1312" s="4" t="s">
        <v>3243</v>
      </c>
      <c r="F1312" s="127" t="n">
        <v>46204</v>
      </c>
      <c r="G1312" s="127" t="n">
        <v>46204</v>
      </c>
      <c r="H1312" s="127" t="n">
        <v>46293</v>
      </c>
      <c r="I1312" s="4" t="n">
        <v>0</v>
      </c>
      <c r="J1312" s="4" t="n">
        <v>100</v>
      </c>
      <c r="K1312" s="4" t="n">
        <v>100</v>
      </c>
      <c r="M1312" s="2" t="str">
        <f aca="false">IF(C1312="","",IFERROR(INDEX($S$5:$S$304,MATCH(C1312,$R$5:$R$304,0))&amp;"","?"))</f>
        <v>17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1</v>
      </c>
      <c r="O1312" s="2" t="str">
        <f aca="false">IF(OR(F1312="",G1312=""),"",IF(G1312&lt;='RETRATO 2027'!$K$5,"CONCLUÍDA",IF(F1312&lt;='RETRATO 2027'!$K$5,"EM ANDAMENTO","A INICIAR")))</f>
        <v>CONCLUÍDA</v>
      </c>
    </row>
    <row r="1313" customFormat="false" ht="15" hidden="false" customHeight="false" outlineLevel="0" collapsed="false">
      <c r="B1313" s="4" t="n">
        <v>31451348</v>
      </c>
      <c r="C1313" s="4" t="s">
        <v>2802</v>
      </c>
      <c r="D1313" s="4" t="s">
        <v>3585</v>
      </c>
      <c r="E1313" s="4" t="s">
        <v>3243</v>
      </c>
      <c r="F1313" s="127" t="n">
        <v>46205</v>
      </c>
      <c r="G1313" s="127" t="n">
        <v>46210</v>
      </c>
      <c r="H1313" s="127" t="n">
        <v>46293</v>
      </c>
      <c r="I1313" s="4" t="n">
        <v>0</v>
      </c>
      <c r="J1313" s="4" t="n">
        <v>100</v>
      </c>
      <c r="K1313" s="4" t="n">
        <v>100</v>
      </c>
      <c r="M1313" s="2" t="str">
        <f aca="false">IF(C1313="","",IFERROR(INDEX($S$5:$S$304,MATCH(C1313,$R$5:$R$304,0))&amp;"","?"))</f>
        <v>17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</v>
      </c>
      <c r="O1313" s="2" t="str">
        <f aca="false">IF(OR(F1313="",G1313=""),"",IF(G1313&lt;='RETRATO 2027'!$K$5,"CONCLUÍDA",IF(F1313&lt;='RETRATO 2027'!$K$5,"EM ANDAMENTO","A INICIAR")))</f>
        <v>CONCLUÍDA</v>
      </c>
    </row>
    <row r="1314" customFormat="false" ht="15" hidden="false" customHeight="false" outlineLevel="0" collapsed="false">
      <c r="B1314" s="4" t="n">
        <v>31451349</v>
      </c>
      <c r="C1314" s="4" t="s">
        <v>2802</v>
      </c>
      <c r="D1314" s="4" t="s">
        <v>3656</v>
      </c>
      <c r="E1314" s="4" t="s">
        <v>3243</v>
      </c>
      <c r="F1314" s="127" t="n">
        <v>46209</v>
      </c>
      <c r="G1314" s="127" t="n">
        <v>46211</v>
      </c>
      <c r="H1314" s="127" t="n">
        <v>46293</v>
      </c>
      <c r="I1314" s="4" t="n">
        <v>0</v>
      </c>
      <c r="J1314" s="4" t="n">
        <v>100</v>
      </c>
      <c r="K1314" s="4" t="n">
        <v>100</v>
      </c>
      <c r="M1314" s="2" t="str">
        <f aca="false">IF(C1314="","",IFERROR(INDEX($S$5:$S$304,MATCH(C1314,$R$5:$R$304,0))&amp;"","?"))</f>
        <v>17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</v>
      </c>
      <c r="O1314" s="2" t="str">
        <f aca="false">IF(OR(F1314="",G1314=""),"",IF(G1314&lt;='RETRATO 2027'!$K$5,"CONCLUÍDA",IF(F1314&lt;='RETRATO 2027'!$K$5,"EM ANDAMENTO","A INICIAR")))</f>
        <v>CONCLUÍDA</v>
      </c>
    </row>
    <row r="1315" customFormat="false" ht="15" hidden="false" customHeight="false" outlineLevel="0" collapsed="false">
      <c r="B1315" s="4" t="n">
        <v>31451350</v>
      </c>
      <c r="C1315" s="4" t="s">
        <v>2802</v>
      </c>
      <c r="D1315" s="4" t="s">
        <v>3536</v>
      </c>
      <c r="E1315" s="4" t="s">
        <v>3243</v>
      </c>
      <c r="F1315" s="127" t="n">
        <v>46212</v>
      </c>
      <c r="G1315" s="127" t="n">
        <v>46217</v>
      </c>
      <c r="H1315" s="127" t="n">
        <v>46293</v>
      </c>
      <c r="I1315" s="4" t="n">
        <v>0</v>
      </c>
      <c r="J1315" s="4" t="n">
        <v>100</v>
      </c>
      <c r="K1315" s="4" t="n">
        <v>100</v>
      </c>
      <c r="M1315" s="2" t="str">
        <f aca="false">IF(C1315="","",IFERROR(INDEX($S$5:$S$304,MATCH(C1315,$R$5:$R$304,0))&amp;"","?"))</f>
        <v>17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</v>
      </c>
      <c r="O1315" s="2" t="str">
        <f aca="false">IF(OR(F1315="",G1315=""),"",IF(G1315&lt;='RETRATO 2027'!$K$5,"CONCLUÍDA",IF(F1315&lt;='RETRATO 2027'!$K$5,"EM ANDAMENTO","A INICIAR")))</f>
        <v>CONCLUÍDA</v>
      </c>
    </row>
    <row r="1316" customFormat="false" ht="15" hidden="false" customHeight="false" outlineLevel="0" collapsed="false">
      <c r="B1316" s="4" t="n">
        <v>31451351</v>
      </c>
      <c r="C1316" s="4" t="s">
        <v>2802</v>
      </c>
      <c r="D1316" s="4" t="s">
        <v>3617</v>
      </c>
      <c r="E1316" s="4" t="s">
        <v>3243</v>
      </c>
      <c r="F1316" s="127" t="n">
        <v>46218</v>
      </c>
      <c r="G1316" s="127" t="n">
        <v>46218</v>
      </c>
      <c r="H1316" s="127" t="n">
        <v>46293</v>
      </c>
      <c r="I1316" s="4" t="n">
        <v>0</v>
      </c>
      <c r="J1316" s="4" t="n">
        <v>100</v>
      </c>
      <c r="K1316" s="4" t="n">
        <v>100</v>
      </c>
      <c r="M1316" s="2" t="str">
        <f aca="false">IF(C1316="","",IFERROR(INDEX($S$5:$S$304,MATCH(C1316,$R$5:$R$304,0))&amp;"","?"))</f>
        <v>17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1</v>
      </c>
      <c r="O1316" s="2" t="str">
        <f aca="false">IF(OR(F1316="",G1316=""),"",IF(G1316&lt;='RETRATO 2027'!$K$5,"CONCLUÍDA",IF(F1316&lt;='RETRATO 2027'!$K$5,"EM ANDAMENTO","A INICIAR")))</f>
        <v>CONCLUÍDA</v>
      </c>
    </row>
    <row r="1317" customFormat="false" ht="15" hidden="false" customHeight="false" outlineLevel="0" collapsed="false">
      <c r="B1317" s="4" t="n">
        <v>26745197</v>
      </c>
      <c r="C1317" s="4" t="s">
        <v>163</v>
      </c>
      <c r="D1317" s="4" t="s">
        <v>433</v>
      </c>
      <c r="E1317" s="4" t="s">
        <v>3657</v>
      </c>
      <c r="F1317" s="127" t="n">
        <v>46206</v>
      </c>
      <c r="G1317" s="127" t="n">
        <v>46206</v>
      </c>
      <c r="H1317" s="127" t="n">
        <v>46293</v>
      </c>
      <c r="I1317" s="4" t="n">
        <v>100</v>
      </c>
      <c r="J1317" s="4" t="n">
        <v>100</v>
      </c>
      <c r="K1317" s="4" t="n">
        <v>100</v>
      </c>
      <c r="M1317" s="2" t="str">
        <f aca="false">IF(C1317="","",IFERROR(INDEX($S$5:$S$304,MATCH(C1317,$R$5:$R$304,0))&amp;"","?"))</f>
        <v>18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-5</v>
      </c>
      <c r="O1317" s="2" t="str">
        <f aca="false">IF(OR(F1317="",G1317=""),"",IF(G1317&lt;='RETRATO 2027'!$K$5,"CONCLUÍDA",IF(F1317&lt;='RETRATO 2027'!$K$5,"EM ANDAMENTO","A INICIAR")))</f>
        <v>CONCLUÍDA</v>
      </c>
    </row>
    <row r="1318" customFormat="false" ht="15" hidden="false" customHeight="false" outlineLevel="0" collapsed="false">
      <c r="B1318" s="4" t="n">
        <v>44921748</v>
      </c>
      <c r="C1318" s="4" t="s">
        <v>2770</v>
      </c>
      <c r="D1318" s="4" t="s">
        <v>433</v>
      </c>
      <c r="E1318" s="4" t="s">
        <v>3657</v>
      </c>
      <c r="F1318" s="127" t="n">
        <v>46206</v>
      </c>
      <c r="G1318" s="127" t="n">
        <v>46217</v>
      </c>
      <c r="H1318" s="127" t="n">
        <v>46293</v>
      </c>
      <c r="I1318" s="4" t="n">
        <v>0</v>
      </c>
      <c r="J1318" s="4" t="n">
        <v>100</v>
      </c>
      <c r="K1318" s="4" t="n">
        <v>100</v>
      </c>
      <c r="M1318" s="2" t="str">
        <f aca="false">IF(C1318="","",IFERROR(INDEX($S$5:$S$304,MATCH(C1318,$R$5:$R$304,0))&amp;"","?"))</f>
        <v>20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-5</v>
      </c>
      <c r="O1318" s="2" t="str">
        <f aca="false">IF(OR(F1318="",G1318=""),"",IF(G1318&lt;='RETRATO 2027'!$K$5,"CONCLUÍDA",IF(F1318&lt;='RETRATO 2027'!$K$5,"EM ANDAMENTO","A INICIAR")))</f>
        <v>CONCLUÍDA</v>
      </c>
    </row>
    <row r="1319" customFormat="false" ht="15" hidden="false" customHeight="false" outlineLevel="0" collapsed="false">
      <c r="B1319" s="4" t="n">
        <v>35955147</v>
      </c>
      <c r="C1319" s="4" t="s">
        <v>2805</v>
      </c>
      <c r="D1319" s="4" t="s">
        <v>433</v>
      </c>
      <c r="E1319" s="4" t="s">
        <v>81</v>
      </c>
      <c r="F1319" s="127" t="n">
        <v>46209</v>
      </c>
      <c r="G1319" s="127" t="n">
        <v>46220</v>
      </c>
      <c r="H1319" s="127" t="n">
        <v>46293</v>
      </c>
      <c r="I1319" s="4" t="n">
        <v>100</v>
      </c>
      <c r="J1319" s="4" t="n">
        <v>100</v>
      </c>
      <c r="K1319" s="4" t="n">
        <v>100</v>
      </c>
      <c r="M1319" s="2" t="str">
        <f aca="false">IF(C1319="","",IFERROR(INDEX($S$5:$S$304,MATCH(C1319,$R$5:$R$304,0))&amp;"","?"))</f>
        <v>21</v>
      </c>
      <c r="N1319" s="2" t="str">
        <f aca="false"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 t="str">
        <f aca="false">IF(OR(F1319="",G1319=""),"",IF(G1319&lt;='RETRATO 2027'!$K$5,"CONCLUÍDA",IF(F1319&lt;='RETRATO 2027'!$K$5,"EM ANDAMENTO","A INICIAR")))</f>
        <v>CONCLUÍDA</v>
      </c>
    </row>
    <row r="1320" customFormat="false" ht="15" hidden="false" customHeight="false" outlineLevel="0" collapsed="false">
      <c r="B1320" s="4" t="n">
        <v>14604805</v>
      </c>
      <c r="C1320" s="4" t="s">
        <v>2805</v>
      </c>
      <c r="D1320" s="4" t="s">
        <v>3658</v>
      </c>
      <c r="E1320" s="4" t="s">
        <v>81</v>
      </c>
      <c r="F1320" s="127" t="n">
        <v>46209</v>
      </c>
      <c r="G1320" s="127" t="n">
        <v>46220</v>
      </c>
      <c r="H1320" s="127" t="n">
        <v>46293</v>
      </c>
      <c r="I1320" s="4" t="n">
        <v>100</v>
      </c>
      <c r="J1320" s="4" t="n">
        <v>100</v>
      </c>
      <c r="K1320" s="4" t="n">
        <v>100</v>
      </c>
      <c r="M1320" s="2" t="str">
        <f aca="false">IF(C1320="","",IFERROR(INDEX($S$5:$S$304,MATCH(C1320,$R$5:$R$304,0))&amp;"","?"))</f>
        <v>21</v>
      </c>
      <c r="N1320" s="2" t="str">
        <f aca="false"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 t="str">
        <f aca="false">IF(OR(F1320="",G1320=""),"",IF(G1320&lt;='RETRATO 2027'!$K$5,"CONCLUÍDA",IF(F1320&lt;='RETRATO 2027'!$K$5,"EM ANDAMENTO","A INICIAR")))</f>
        <v>CONCLUÍDA</v>
      </c>
    </row>
    <row r="1321" customFormat="false" ht="15" hidden="false" customHeight="false" outlineLevel="0" collapsed="false">
      <c r="B1321" s="4" t="n">
        <v>26745184</v>
      </c>
      <c r="C1321" s="4" t="s">
        <v>2808</v>
      </c>
      <c r="D1321" s="4" t="s">
        <v>433</v>
      </c>
      <c r="E1321" s="4" t="s">
        <v>3657</v>
      </c>
      <c r="F1321" s="127" t="n">
        <v>46209</v>
      </c>
      <c r="G1321" s="127" t="n">
        <v>46218</v>
      </c>
      <c r="H1321" s="127" t="n">
        <v>46293</v>
      </c>
      <c r="I1321" s="4" t="n">
        <v>100</v>
      </c>
      <c r="J1321" s="4" t="n">
        <v>100</v>
      </c>
      <c r="K1321" s="4" t="n">
        <v>100</v>
      </c>
      <c r="M1321" s="2" t="str">
        <f aca="false">IF(C1321="","",IFERROR(INDEX($S$5:$S$304,MATCH(C1321,$R$5:$R$304,0))&amp;"","?"))</f>
        <v>29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-5</v>
      </c>
      <c r="O1321" s="2" t="str">
        <f aca="false">IF(OR(F1321="",G1321=""),"",IF(G1321&lt;='RETRATO 2027'!$K$5,"CONCLUÍDA",IF(F1321&lt;='RETRATO 2027'!$K$5,"EM ANDAMENTO","A INICIAR")))</f>
        <v>CONCLUÍDA</v>
      </c>
    </row>
    <row r="1322" customFormat="false" ht="15" hidden="false" customHeight="false" outlineLevel="0" collapsed="false">
      <c r="B1322" s="4" t="n">
        <v>39889790</v>
      </c>
      <c r="C1322" s="4" t="s">
        <v>2721</v>
      </c>
      <c r="D1322" s="4" t="s">
        <v>433</v>
      </c>
      <c r="E1322" s="4" t="s">
        <v>3659</v>
      </c>
      <c r="F1322" s="127" t="n">
        <v>46209</v>
      </c>
      <c r="G1322" s="127" t="n">
        <v>46218</v>
      </c>
      <c r="H1322" s="127" t="n">
        <v>46293</v>
      </c>
      <c r="I1322" s="4" t="n">
        <v>100</v>
      </c>
      <c r="J1322" s="4" t="n">
        <v>100</v>
      </c>
      <c r="K1322" s="4" t="n">
        <v>100</v>
      </c>
      <c r="M1322" s="2" t="str">
        <f aca="false">IF(C1322="","",IFERROR(INDEX($S$5:$S$304,MATCH(C1322,$R$5:$R$304,0))&amp;"","?"))</f>
        <v>17</v>
      </c>
      <c r="N1322" s="2" t="n">
        <f aca="false">IF(E1322="","",IF(ISNUMBER(SEARCH("SUBSOLO",E1322)),IFERROR(-VALUE(LEFT(E1322,FIND("º",SUBSTITUTE(E1322,"°","º"))-1)),-1),IF(LEFT(E1322,6)="TÉRREO",0,IFERROR(VALUE(LEFT(E1322,FIND("º",SUBSTITUTE(E1322,"°","º"))-1)),""))))</f>
        <v>1</v>
      </c>
      <c r="O1322" s="2" t="str">
        <f aca="false">IF(OR(F1322="",G1322=""),"",IF(G1322&lt;='RETRATO 2027'!$K$5,"CONCLUÍDA",IF(F1322&lt;='RETRATO 2027'!$K$5,"EM ANDAMENTO","A INICIAR")))</f>
        <v>CONCLUÍDA</v>
      </c>
    </row>
    <row r="1323" customFormat="false" ht="15" hidden="false" customHeight="false" outlineLevel="0" collapsed="false">
      <c r="B1323" s="4" t="n">
        <v>19483813</v>
      </c>
      <c r="C1323" s="4" t="s">
        <v>2721</v>
      </c>
      <c r="D1323" s="4" t="s">
        <v>3660</v>
      </c>
      <c r="E1323" s="4" t="s">
        <v>3659</v>
      </c>
      <c r="F1323" s="127" t="n">
        <v>46209</v>
      </c>
      <c r="G1323" s="127" t="n">
        <v>46211</v>
      </c>
      <c r="H1323" s="127" t="n">
        <v>46293</v>
      </c>
      <c r="I1323" s="4" t="n">
        <v>100</v>
      </c>
      <c r="J1323" s="4" t="n">
        <v>100</v>
      </c>
      <c r="K1323" s="4" t="n">
        <v>100</v>
      </c>
      <c r="M1323" s="2" t="str">
        <f aca="false">IF(C1323="","",IFERROR(INDEX($S$5:$S$304,MATCH(C1323,$R$5:$R$304,0))&amp;"","?"))</f>
        <v>17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1</v>
      </c>
      <c r="O1323" s="2" t="str">
        <f aca="false">IF(OR(F1323="",G1323=""),"",IF(G1323&lt;='RETRATO 2027'!$K$5,"CONCLUÍDA",IF(F1323&lt;='RETRATO 2027'!$K$5,"EM ANDAMENTO","A INICIAR")))</f>
        <v>CONCLUÍDA</v>
      </c>
    </row>
    <row r="1324" customFormat="false" ht="15" hidden="false" customHeight="false" outlineLevel="0" collapsed="false">
      <c r="B1324" s="4" t="n">
        <v>19483814</v>
      </c>
      <c r="C1324" s="4" t="s">
        <v>2721</v>
      </c>
      <c r="D1324" s="4" t="s">
        <v>3661</v>
      </c>
      <c r="E1324" s="4" t="s">
        <v>3659</v>
      </c>
      <c r="F1324" s="127" t="n">
        <v>46212</v>
      </c>
      <c r="G1324" s="127" t="n">
        <v>46216</v>
      </c>
      <c r="H1324" s="127" t="n">
        <v>46293</v>
      </c>
      <c r="I1324" s="4" t="n">
        <v>100</v>
      </c>
      <c r="J1324" s="4" t="n">
        <v>100</v>
      </c>
      <c r="K1324" s="4" t="n">
        <v>100</v>
      </c>
      <c r="M1324" s="2" t="str">
        <f aca="false">IF(C1324="","",IFERROR(INDEX($S$5:$S$304,MATCH(C1324,$R$5:$R$304,0))&amp;"","?"))</f>
        <v>17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1</v>
      </c>
      <c r="O1324" s="2" t="str">
        <f aca="false">IF(OR(F1324="",G1324=""),"",IF(G1324&lt;='RETRATO 2027'!$K$5,"CONCLUÍDA",IF(F1324&lt;='RETRATO 2027'!$K$5,"EM ANDAMENTO","A INICIAR")))</f>
        <v>CONCLUÍDA</v>
      </c>
    </row>
    <row r="1325" customFormat="false" ht="15" hidden="false" customHeight="false" outlineLevel="0" collapsed="false">
      <c r="B1325" s="4" t="n">
        <v>19483815</v>
      </c>
      <c r="C1325" s="4" t="s">
        <v>2721</v>
      </c>
      <c r="D1325" s="4" t="s">
        <v>3561</v>
      </c>
      <c r="E1325" s="4" t="s">
        <v>3659</v>
      </c>
      <c r="F1325" s="127" t="n">
        <v>46217</v>
      </c>
      <c r="G1325" s="127" t="n">
        <v>46217</v>
      </c>
      <c r="H1325" s="127" t="n">
        <v>46293</v>
      </c>
      <c r="I1325" s="4" t="n">
        <v>100</v>
      </c>
      <c r="J1325" s="4" t="n">
        <v>100</v>
      </c>
      <c r="K1325" s="4" t="n">
        <v>100</v>
      </c>
      <c r="M1325" s="2" t="str">
        <f aca="false">IF(C1325="","",IFERROR(INDEX($S$5:$S$304,MATCH(C1325,$R$5:$R$304,0))&amp;"","?"))</f>
        <v>17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1</v>
      </c>
      <c r="O1325" s="2" t="str">
        <f aca="false">IF(OR(F1325="",G1325=""),"",IF(G1325&lt;='RETRATO 2027'!$K$5,"CONCLUÍDA",IF(F1325&lt;='RETRATO 2027'!$K$5,"EM ANDAMENTO","A INICIAR")))</f>
        <v>CONCLUÍDA</v>
      </c>
    </row>
    <row r="1326" customFormat="false" ht="15" hidden="false" customHeight="false" outlineLevel="0" collapsed="false">
      <c r="B1326" s="4" t="n">
        <v>19483816</v>
      </c>
      <c r="C1326" s="4" t="s">
        <v>2721</v>
      </c>
      <c r="D1326" s="4" t="s">
        <v>3218</v>
      </c>
      <c r="E1326" s="4" t="s">
        <v>3659</v>
      </c>
      <c r="F1326" s="127" t="n">
        <v>46218</v>
      </c>
      <c r="G1326" s="127" t="n">
        <v>46218</v>
      </c>
      <c r="H1326" s="127" t="n">
        <v>46293</v>
      </c>
      <c r="I1326" s="4" t="n">
        <v>100</v>
      </c>
      <c r="J1326" s="4" t="n">
        <v>100</v>
      </c>
      <c r="K1326" s="4" t="n">
        <v>100</v>
      </c>
      <c r="M1326" s="2" t="str">
        <f aca="false">IF(C1326="","",IFERROR(INDEX($S$5:$S$304,MATCH(C1326,$R$5:$R$304,0))&amp;"","?"))</f>
        <v>17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1</v>
      </c>
      <c r="O1326" s="2" t="str">
        <f aca="false">IF(OR(F1326="",G1326=""),"",IF(G1326&lt;='RETRATO 2027'!$K$5,"CONCLUÍDA",IF(F1326&lt;='RETRATO 2027'!$K$5,"EM ANDAMENTO","A INICIAR")))</f>
        <v>CONCLUÍDA</v>
      </c>
    </row>
    <row r="1327" customFormat="false" ht="15" hidden="false" customHeight="false" outlineLevel="0" collapsed="false">
      <c r="B1327" s="4" t="n">
        <v>44921747</v>
      </c>
      <c r="C1327" s="4" t="s">
        <v>2770</v>
      </c>
      <c r="D1327" s="4" t="s">
        <v>433</v>
      </c>
      <c r="E1327" s="4" t="s">
        <v>3662</v>
      </c>
      <c r="F1327" s="127" t="n">
        <v>46210</v>
      </c>
      <c r="G1327" s="127" t="n">
        <v>46219</v>
      </c>
      <c r="H1327" s="127" t="n">
        <v>46293</v>
      </c>
      <c r="I1327" s="4" t="n">
        <v>0</v>
      </c>
      <c r="J1327" s="4" t="n">
        <v>100</v>
      </c>
      <c r="K1327" s="4" t="n">
        <v>100</v>
      </c>
      <c r="M1327" s="2" t="str">
        <f aca="false">IF(C1327="","",IFERROR(INDEX($S$5:$S$304,MATCH(C1327,$R$5:$R$304,0))&amp;"","?"))</f>
        <v>20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-5</v>
      </c>
      <c r="O1327" s="2" t="str">
        <f aca="false">IF(OR(F1327="",G1327=""),"",IF(G1327&lt;='RETRATO 2027'!$K$5,"CONCLUÍDA",IF(F1327&lt;='RETRATO 2027'!$K$5,"EM ANDAMENTO","A INICIAR")))</f>
        <v>CONCLUÍDA</v>
      </c>
    </row>
    <row r="1328" customFormat="false" ht="15" hidden="false" customHeight="false" outlineLevel="0" collapsed="false">
      <c r="B1328" s="4" t="n">
        <v>46324499</v>
      </c>
      <c r="C1328" s="4" t="s">
        <v>2811</v>
      </c>
      <c r="D1328" s="4" t="s">
        <v>433</v>
      </c>
      <c r="E1328" s="4" t="s">
        <v>3375</v>
      </c>
      <c r="F1328" s="127" t="n">
        <v>46211</v>
      </c>
      <c r="G1328" s="127" t="n">
        <v>46265</v>
      </c>
      <c r="H1328" s="127" t="n">
        <v>46293</v>
      </c>
      <c r="I1328" s="4" t="n">
        <v>0</v>
      </c>
      <c r="J1328" s="4" t="n">
        <v>100</v>
      </c>
      <c r="K1328" s="4" t="n">
        <v>100</v>
      </c>
      <c r="M1328" s="2" t="str">
        <f aca="false">IF(C1328="","",IFERROR(INDEX($S$5:$S$304,MATCH(C1328,$R$5:$R$304,0))&amp;"","?"))</f>
        <v>04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-3</v>
      </c>
      <c r="O1328" s="2" t="str">
        <f aca="false">IF(OR(F1328="",G1328=""),"",IF(G1328&lt;='RETRATO 2027'!$K$5,"CONCLUÍDA",IF(F1328&lt;='RETRATO 2027'!$K$5,"EM ANDAMENTO","A INICIAR")))</f>
        <v>CONCLUÍDA</v>
      </c>
    </row>
    <row r="1329" customFormat="false" ht="15" hidden="false" customHeight="false" outlineLevel="0" collapsed="false">
      <c r="B1329" s="4" t="n">
        <v>31034785</v>
      </c>
      <c r="C1329" s="4" t="s">
        <v>2811</v>
      </c>
      <c r="D1329" s="4" t="s">
        <v>2751</v>
      </c>
      <c r="E1329" s="4" t="s">
        <v>3375</v>
      </c>
      <c r="F1329" s="127" t="n">
        <v>46211</v>
      </c>
      <c r="G1329" s="127" t="n">
        <v>46217</v>
      </c>
      <c r="H1329" s="127" t="n">
        <v>46293</v>
      </c>
      <c r="I1329" s="4" t="n">
        <v>0</v>
      </c>
      <c r="J1329" s="4" t="n">
        <v>100</v>
      </c>
      <c r="K1329" s="4" t="n">
        <v>100</v>
      </c>
      <c r="M1329" s="2" t="str">
        <f aca="false">IF(C1329="","",IFERROR(INDEX($S$5:$S$304,MATCH(C1329,$R$5:$R$304,0))&amp;"","?"))</f>
        <v>04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-3</v>
      </c>
      <c r="O1329" s="2" t="str">
        <f aca="false">IF(OR(F1329="",G1329=""),"",IF(G1329&lt;='RETRATO 2027'!$K$5,"CONCLUÍDA",IF(F1329&lt;='RETRATO 2027'!$K$5,"EM ANDAMENTO","A INICIAR")))</f>
        <v>CONCLUÍDA</v>
      </c>
    </row>
    <row r="1330" customFormat="false" ht="15" hidden="false" customHeight="false" outlineLevel="0" collapsed="false">
      <c r="B1330" s="4" t="n">
        <v>31034786</v>
      </c>
      <c r="C1330" s="4" t="s">
        <v>2811</v>
      </c>
      <c r="D1330" s="4" t="s">
        <v>3663</v>
      </c>
      <c r="E1330" s="4" t="s">
        <v>3375</v>
      </c>
      <c r="F1330" s="127" t="n">
        <v>46212</v>
      </c>
      <c r="G1330" s="127" t="n">
        <v>46232</v>
      </c>
      <c r="H1330" s="127" t="n">
        <v>46293</v>
      </c>
      <c r="I1330" s="4" t="n">
        <v>0</v>
      </c>
      <c r="J1330" s="4" t="n">
        <v>100</v>
      </c>
      <c r="K1330" s="4" t="n">
        <v>100</v>
      </c>
      <c r="M1330" s="2" t="str">
        <f aca="false">IF(C1330="","",IFERROR(INDEX($S$5:$S$304,MATCH(C1330,$R$5:$R$304,0))&amp;"","?"))</f>
        <v>04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-3</v>
      </c>
      <c r="O1330" s="2" t="str">
        <f aca="false">IF(OR(F1330="",G1330=""),"",IF(G1330&lt;='RETRATO 2027'!$K$5,"CONCLUÍDA",IF(F1330&lt;='RETRATO 2027'!$K$5,"EM ANDAMENTO","A INICIAR")))</f>
        <v>CONCLUÍDA</v>
      </c>
    </row>
    <row r="1331" customFormat="false" ht="15" hidden="false" customHeight="false" outlineLevel="0" collapsed="false">
      <c r="B1331" s="4" t="n">
        <v>31034787</v>
      </c>
      <c r="C1331" s="4" t="s">
        <v>2811</v>
      </c>
      <c r="D1331" s="4" t="s">
        <v>3664</v>
      </c>
      <c r="E1331" s="4" t="s">
        <v>3375</v>
      </c>
      <c r="F1331" s="127" t="n">
        <v>46233</v>
      </c>
      <c r="G1331" s="127" t="n">
        <v>46246</v>
      </c>
      <c r="H1331" s="127" t="n">
        <v>46293</v>
      </c>
      <c r="I1331" s="4" t="n">
        <v>0</v>
      </c>
      <c r="J1331" s="4" t="n">
        <v>100</v>
      </c>
      <c r="K1331" s="4" t="n">
        <v>100</v>
      </c>
      <c r="M1331" s="2" t="str">
        <f aca="false">IF(C1331="","",IFERROR(INDEX($S$5:$S$304,MATCH(C1331,$R$5:$R$304,0))&amp;"","?"))</f>
        <v>04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-3</v>
      </c>
      <c r="O1331" s="2" t="str">
        <f aca="false">IF(OR(F1331="",G1331=""),"",IF(G1331&lt;='RETRATO 2027'!$K$5,"CONCLUÍDA",IF(F1331&lt;='RETRATO 2027'!$K$5,"EM ANDAMENTO","A INICIAR")))</f>
        <v>CONCLUÍDA</v>
      </c>
    </row>
    <row r="1332" customFormat="false" ht="15" hidden="false" customHeight="false" outlineLevel="0" collapsed="false">
      <c r="B1332" s="4" t="n">
        <v>31034788</v>
      </c>
      <c r="C1332" s="4" t="s">
        <v>2811</v>
      </c>
      <c r="D1332" s="4" t="s">
        <v>77</v>
      </c>
      <c r="E1332" s="4" t="s">
        <v>3375</v>
      </c>
      <c r="F1332" s="127" t="n">
        <v>46247</v>
      </c>
      <c r="G1332" s="127" t="n">
        <v>46258</v>
      </c>
      <c r="H1332" s="127" t="n">
        <v>46293</v>
      </c>
      <c r="I1332" s="4" t="n">
        <v>0</v>
      </c>
      <c r="J1332" s="4" t="n">
        <v>100</v>
      </c>
      <c r="K1332" s="4" t="n">
        <v>100</v>
      </c>
      <c r="M1332" s="2" t="str">
        <f aca="false">IF(C1332="","",IFERROR(INDEX($S$5:$S$304,MATCH(C1332,$R$5:$R$304,0))&amp;"","?"))</f>
        <v>04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-3</v>
      </c>
      <c r="O1332" s="2" t="str">
        <f aca="false">IF(OR(F1332="",G1332=""),"",IF(G1332&lt;='RETRATO 2027'!$K$5,"CONCLUÍDA",IF(F1332&lt;='RETRATO 2027'!$K$5,"EM ANDAMENTO","A INICIAR")))</f>
        <v>CONCLUÍDA</v>
      </c>
    </row>
    <row r="1333" customFormat="false" ht="15" hidden="false" customHeight="false" outlineLevel="0" collapsed="false">
      <c r="B1333" s="4" t="n">
        <v>31034789</v>
      </c>
      <c r="C1333" s="4" t="s">
        <v>2811</v>
      </c>
      <c r="D1333" s="4" t="s">
        <v>2829</v>
      </c>
      <c r="E1333" s="4" t="s">
        <v>3375</v>
      </c>
      <c r="F1333" s="127" t="n">
        <v>46247</v>
      </c>
      <c r="G1333" s="127" t="n">
        <v>46258</v>
      </c>
      <c r="H1333" s="127" t="n">
        <v>46293</v>
      </c>
      <c r="I1333" s="4" t="n">
        <v>0</v>
      </c>
      <c r="J1333" s="4" t="n">
        <v>100</v>
      </c>
      <c r="K1333" s="4" t="n">
        <v>100</v>
      </c>
      <c r="M1333" s="2" t="str">
        <f aca="false">IF(C1333="","",IFERROR(INDEX($S$5:$S$304,MATCH(C1333,$R$5:$R$304,0))&amp;"","?"))</f>
        <v>04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-3</v>
      </c>
      <c r="O1333" s="2" t="str">
        <f aca="false">IF(OR(F1333="",G1333=""),"",IF(G1333&lt;='RETRATO 2027'!$K$5,"CONCLUÍDA",IF(F1333&lt;='RETRATO 2027'!$K$5,"EM ANDAMENTO","A INICIAR")))</f>
        <v>CONCLUÍDA</v>
      </c>
    </row>
    <row r="1334" customFormat="false" ht="15" hidden="false" customHeight="false" outlineLevel="0" collapsed="false">
      <c r="B1334" s="4" t="n">
        <v>31034790</v>
      </c>
      <c r="C1334" s="4" t="s">
        <v>2811</v>
      </c>
      <c r="D1334" s="4" t="s">
        <v>3665</v>
      </c>
      <c r="E1334" s="4" t="s">
        <v>3375</v>
      </c>
      <c r="F1334" s="127" t="n">
        <v>46259</v>
      </c>
      <c r="G1334" s="127" t="n">
        <v>46265</v>
      </c>
      <c r="H1334" s="127" t="n">
        <v>46293</v>
      </c>
      <c r="I1334" s="4" t="n">
        <v>0</v>
      </c>
      <c r="J1334" s="4" t="n">
        <v>100</v>
      </c>
      <c r="K1334" s="4" t="n">
        <v>100</v>
      </c>
      <c r="M1334" s="2" t="str">
        <f aca="false">IF(C1334="","",IFERROR(INDEX($S$5:$S$304,MATCH(C1334,$R$5:$R$304,0))&amp;"","?"))</f>
        <v>04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-3</v>
      </c>
      <c r="O1334" s="2" t="str">
        <f aca="false">IF(OR(F1334="",G1334=""),"",IF(G1334&lt;='RETRATO 2027'!$K$5,"CONCLUÍDA",IF(F1334&lt;='RETRATO 2027'!$K$5,"EM ANDAMENTO","A INICIAR")))</f>
        <v>CONCLUÍDA</v>
      </c>
    </row>
    <row r="1335" customFormat="false" ht="15" hidden="false" customHeight="false" outlineLevel="0" collapsed="false">
      <c r="B1335" s="4" t="n">
        <v>26744995</v>
      </c>
      <c r="C1335" s="4" t="s">
        <v>163</v>
      </c>
      <c r="D1335" s="4" t="s">
        <v>433</v>
      </c>
      <c r="E1335" s="4" t="s">
        <v>3662</v>
      </c>
      <c r="F1335" s="127" t="n">
        <v>46212</v>
      </c>
      <c r="G1335" s="127" t="n">
        <v>46223</v>
      </c>
      <c r="H1335" s="127" t="n">
        <v>46293</v>
      </c>
      <c r="I1335" s="4" t="n">
        <v>100</v>
      </c>
      <c r="J1335" s="4" t="n">
        <v>100</v>
      </c>
      <c r="K1335" s="4" t="n">
        <v>100</v>
      </c>
      <c r="M1335" s="2" t="str">
        <f aca="false">IF(C1335="","",IFERROR(INDEX($S$5:$S$304,MATCH(C1335,$R$5:$R$304,0))&amp;"","?"))</f>
        <v>18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-5</v>
      </c>
      <c r="O1335" s="2" t="str">
        <f aca="false">IF(OR(F1335="",G1335=""),"",IF(G1335&lt;='RETRATO 2027'!$K$5,"CONCLUÍDA",IF(F1335&lt;='RETRATO 2027'!$K$5,"EM ANDAMENTO","A INICIAR")))</f>
        <v>CONCLUÍDA</v>
      </c>
    </row>
    <row r="1336" customFormat="false" ht="15" hidden="false" customHeight="false" outlineLevel="0" collapsed="false">
      <c r="B1336" s="4" t="n">
        <v>26743770</v>
      </c>
      <c r="C1336" s="4" t="s">
        <v>163</v>
      </c>
      <c r="D1336" s="4" t="s">
        <v>433</v>
      </c>
      <c r="E1336" s="4" t="s">
        <v>3374</v>
      </c>
      <c r="F1336" s="127" t="n">
        <v>46216</v>
      </c>
      <c r="G1336" s="127" t="n">
        <v>46241</v>
      </c>
      <c r="H1336" s="127" t="n">
        <v>46293</v>
      </c>
      <c r="I1336" s="4" t="n">
        <v>100</v>
      </c>
      <c r="J1336" s="4" t="n">
        <v>100</v>
      </c>
      <c r="K1336" s="4" t="n">
        <v>100</v>
      </c>
      <c r="M1336" s="2" t="str">
        <f aca="false">IF(C1336="","",IFERROR(INDEX($S$5:$S$304,MATCH(C1336,$R$5:$R$304,0))&amp;"","?"))</f>
        <v>18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-4</v>
      </c>
      <c r="O1336" s="2" t="str">
        <f aca="false">IF(OR(F1336="",G1336=""),"",IF(G1336&lt;='RETRATO 2027'!$K$5,"CONCLUÍDA",IF(F1336&lt;='RETRATO 2027'!$K$5,"EM ANDAMENTO","A INICIAR")))</f>
        <v>CONCLUÍDA</v>
      </c>
    </row>
    <row r="1337" customFormat="false" ht="15" hidden="false" customHeight="false" outlineLevel="0" collapsed="false">
      <c r="B1337" s="4" t="n">
        <v>26745185</v>
      </c>
      <c r="C1337" s="4" t="s">
        <v>2814</v>
      </c>
      <c r="D1337" s="4" t="s">
        <v>433</v>
      </c>
      <c r="E1337" s="4" t="s">
        <v>3657</v>
      </c>
      <c r="F1337" s="127" t="n">
        <v>46219</v>
      </c>
      <c r="G1337" s="127" t="n">
        <v>46230</v>
      </c>
      <c r="H1337" s="127" t="n">
        <v>46293</v>
      </c>
      <c r="I1337" s="4" t="n">
        <v>100</v>
      </c>
      <c r="J1337" s="4" t="n">
        <v>100</v>
      </c>
      <c r="K1337" s="4" t="n">
        <v>100</v>
      </c>
      <c r="M1337" s="2" t="str">
        <f aca="false">IF(C1337="","",IFERROR(INDEX($S$5:$S$304,MATCH(C1337,$R$5:$R$304,0))&amp;"","?"))</f>
        <v>28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-5</v>
      </c>
      <c r="O1337" s="2" t="str">
        <f aca="false">IF(OR(F1337="",G1337=""),"",IF(G1337&lt;='RETRATO 2027'!$K$5,"CONCLUÍDA",IF(F1337&lt;='RETRATO 2027'!$K$5,"EM ANDAMENTO","A INICIAR")))</f>
        <v>CONCLUÍDA</v>
      </c>
    </row>
    <row r="1338" customFormat="false" ht="15" hidden="false" customHeight="false" outlineLevel="0" collapsed="false">
      <c r="B1338" s="4" t="n">
        <v>44922462</v>
      </c>
      <c r="C1338" s="4" t="s">
        <v>2770</v>
      </c>
      <c r="D1338" s="4" t="s">
        <v>433</v>
      </c>
      <c r="E1338" s="4" t="s">
        <v>3374</v>
      </c>
      <c r="F1338" s="127" t="n">
        <v>46220</v>
      </c>
      <c r="G1338" s="127" t="n">
        <v>46247</v>
      </c>
      <c r="H1338" s="127" t="n">
        <v>46293</v>
      </c>
      <c r="I1338" s="4" t="n">
        <v>0</v>
      </c>
      <c r="J1338" s="4" t="n">
        <v>100</v>
      </c>
      <c r="K1338" s="4" t="n">
        <v>100</v>
      </c>
      <c r="M1338" s="2" t="str">
        <f aca="false">IF(C1338="","",IFERROR(INDEX($S$5:$S$304,MATCH(C1338,$R$5:$R$304,0))&amp;"","?"))</f>
        <v>20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-4</v>
      </c>
      <c r="O1338" s="2" t="str">
        <f aca="false">IF(OR(F1338="",G1338=""),"",IF(G1338&lt;='RETRATO 2027'!$K$5,"CONCLUÍDA",IF(F1338&lt;='RETRATO 2027'!$K$5,"EM ANDAMENTO","A INICIAR")))</f>
        <v>CONCLUÍDA</v>
      </c>
    </row>
    <row r="1339" customFormat="false" ht="15" hidden="false" customHeight="false" outlineLevel="0" collapsed="false">
      <c r="B1339" s="4" t="n">
        <v>26218312</v>
      </c>
      <c r="C1339" s="4" t="s">
        <v>2702</v>
      </c>
      <c r="D1339" s="4" t="s">
        <v>433</v>
      </c>
      <c r="E1339" s="4" t="s">
        <v>3626</v>
      </c>
      <c r="F1339" s="127" t="n">
        <v>46223</v>
      </c>
      <c r="G1339" s="127" t="n">
        <v>46253</v>
      </c>
      <c r="H1339" s="127" t="n">
        <v>46293</v>
      </c>
      <c r="I1339" s="4" t="n">
        <v>100</v>
      </c>
      <c r="J1339" s="4" t="n">
        <v>100</v>
      </c>
      <c r="K1339" s="4" t="n">
        <v>100</v>
      </c>
      <c r="M1339" s="2" t="str">
        <f aca="false">IF(C1339="","",IFERROR(INDEX($S$5:$S$304,MATCH(C1339,$R$5:$R$304,0))&amp;"","?"))</f>
        <v>17</v>
      </c>
      <c r="N1339" s="2" t="n">
        <f aca="false">IF(E1339="","",IF(ISNUMBER(SEARCH("SUBSOLO",E1339)),IFERROR(-VALUE(LEFT(E1339,FIND("º",SUBSTITUTE(E1339,"°","º"))-1)),-1),IF(LEFT(E1339,6)="TÉRREO",0,IFERROR(VALUE(LEFT(E1339,FIND("º",SUBSTITUTE(E1339,"°","º"))-1)),""))))</f>
        <v>2</v>
      </c>
      <c r="O1339" s="2" t="str">
        <f aca="false">IF(OR(F1339="",G1339=""),"",IF(G1339&lt;='RETRATO 2027'!$K$5,"CONCLUÍDA",IF(F1339&lt;='RETRATO 2027'!$K$5,"EM ANDAMENTO","A INICIAR")))</f>
        <v>CONCLUÍDA</v>
      </c>
    </row>
    <row r="1340" customFormat="false" ht="15" hidden="false" customHeight="false" outlineLevel="0" collapsed="false">
      <c r="B1340" s="4" t="n">
        <v>9364419</v>
      </c>
      <c r="C1340" s="4" t="s">
        <v>2702</v>
      </c>
      <c r="D1340" s="4" t="s">
        <v>3244</v>
      </c>
      <c r="E1340" s="4" t="s">
        <v>3626</v>
      </c>
      <c r="F1340" s="127" t="n">
        <v>46223</v>
      </c>
      <c r="G1340" s="127" t="n">
        <v>46225</v>
      </c>
      <c r="H1340" s="127" t="n">
        <v>46293</v>
      </c>
      <c r="I1340" s="4" t="n">
        <v>100</v>
      </c>
      <c r="J1340" s="4" t="n">
        <v>100</v>
      </c>
      <c r="K1340" s="4" t="n">
        <v>100</v>
      </c>
      <c r="M1340" s="2" t="str">
        <f aca="false">IF(C1340="","",IFERROR(INDEX($S$5:$S$304,MATCH(C1340,$R$5:$R$304,0))&amp;"","?"))</f>
        <v>17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2</v>
      </c>
      <c r="O1340" s="2" t="str">
        <f aca="false">IF(OR(F1340="",G1340=""),"",IF(G1340&lt;='RETRATO 2027'!$K$5,"CONCLUÍDA",IF(F1340&lt;='RETRATO 2027'!$K$5,"EM ANDAMENTO","A INICIAR")))</f>
        <v>CONCLUÍDA</v>
      </c>
    </row>
    <row r="1341" customFormat="false" ht="15" hidden="false" customHeight="false" outlineLevel="0" collapsed="false">
      <c r="B1341" s="4" t="n">
        <v>9364420</v>
      </c>
      <c r="C1341" s="4" t="s">
        <v>2702</v>
      </c>
      <c r="D1341" s="4" t="s">
        <v>3245</v>
      </c>
      <c r="E1341" s="4" t="s">
        <v>3626</v>
      </c>
      <c r="F1341" s="127" t="n">
        <v>46225</v>
      </c>
      <c r="G1341" s="127" t="n">
        <v>46227</v>
      </c>
      <c r="H1341" s="127" t="n">
        <v>46293</v>
      </c>
      <c r="I1341" s="4" t="n">
        <v>100</v>
      </c>
      <c r="J1341" s="4" t="n">
        <v>100</v>
      </c>
      <c r="K1341" s="4" t="n">
        <v>100</v>
      </c>
      <c r="M1341" s="2" t="str">
        <f aca="false">IF(C1341="","",IFERROR(INDEX($S$5:$S$304,MATCH(C1341,$R$5:$R$304,0))&amp;"","?"))</f>
        <v>17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2</v>
      </c>
      <c r="O1341" s="2" t="str">
        <f aca="false">IF(OR(F1341="",G1341=""),"",IF(G1341&lt;='RETRATO 2027'!$K$5,"CONCLUÍDA",IF(F1341&lt;='RETRATO 2027'!$K$5,"EM ANDAMENTO","A INICIAR")))</f>
        <v>CONCLUÍDA</v>
      </c>
    </row>
    <row r="1342" customFormat="false" ht="15" hidden="false" customHeight="false" outlineLevel="0" collapsed="false">
      <c r="B1342" s="4" t="n">
        <v>9364421</v>
      </c>
      <c r="C1342" s="4" t="s">
        <v>2702</v>
      </c>
      <c r="D1342" s="4" t="s">
        <v>3246</v>
      </c>
      <c r="E1342" s="4" t="s">
        <v>3626</v>
      </c>
      <c r="F1342" s="127" t="n">
        <v>46226</v>
      </c>
      <c r="G1342" s="127" t="n">
        <v>46237</v>
      </c>
      <c r="H1342" s="127" t="n">
        <v>46293</v>
      </c>
      <c r="I1342" s="4" t="n">
        <v>100</v>
      </c>
      <c r="J1342" s="4" t="n">
        <v>100</v>
      </c>
      <c r="K1342" s="4" t="n">
        <v>100</v>
      </c>
      <c r="M1342" s="2" t="str">
        <f aca="false">IF(C1342="","",IFERROR(INDEX($S$5:$S$304,MATCH(C1342,$R$5:$R$304,0))&amp;"","?"))</f>
        <v>17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2</v>
      </c>
      <c r="O1342" s="2" t="str">
        <f aca="false">IF(OR(F1342="",G1342=""),"",IF(G1342&lt;='RETRATO 2027'!$K$5,"CONCLUÍDA",IF(F1342&lt;='RETRATO 2027'!$K$5,"EM ANDAMENTO","A INICIAR")))</f>
        <v>CONCLUÍDA</v>
      </c>
    </row>
    <row r="1343" customFormat="false" ht="15" hidden="false" customHeight="false" outlineLevel="0" collapsed="false">
      <c r="B1343" s="4" t="n">
        <v>9364422</v>
      </c>
      <c r="C1343" s="4" t="s">
        <v>2702</v>
      </c>
      <c r="D1343" s="4" t="s">
        <v>3247</v>
      </c>
      <c r="E1343" s="4" t="s">
        <v>3626</v>
      </c>
      <c r="F1343" s="127" t="n">
        <v>46238</v>
      </c>
      <c r="G1343" s="127" t="n">
        <v>46238</v>
      </c>
      <c r="H1343" s="127" t="n">
        <v>46293</v>
      </c>
      <c r="I1343" s="4" t="n">
        <v>100</v>
      </c>
      <c r="J1343" s="4" t="n">
        <v>100</v>
      </c>
      <c r="K1343" s="4" t="n">
        <v>100</v>
      </c>
      <c r="M1343" s="2" t="str">
        <f aca="false">IF(C1343="","",IFERROR(INDEX($S$5:$S$304,MATCH(C1343,$R$5:$R$304,0))&amp;"","?"))</f>
        <v>17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2</v>
      </c>
      <c r="O1343" s="2" t="str">
        <f aca="false">IF(OR(F1343="",G1343=""),"",IF(G1343&lt;='RETRATO 2027'!$K$5,"CONCLUÍDA",IF(F1343&lt;='RETRATO 2027'!$K$5,"EM ANDAMENTO","A INICIAR")))</f>
        <v>CONCLUÍDA</v>
      </c>
    </row>
    <row r="1344" customFormat="false" ht="15" hidden="false" customHeight="false" outlineLevel="0" collapsed="false">
      <c r="B1344" s="4" t="n">
        <v>9364423</v>
      </c>
      <c r="C1344" s="4" t="s">
        <v>2702</v>
      </c>
      <c r="D1344" s="4" t="s">
        <v>3248</v>
      </c>
      <c r="E1344" s="4" t="s">
        <v>3626</v>
      </c>
      <c r="F1344" s="127" t="n">
        <v>46239</v>
      </c>
      <c r="G1344" s="127" t="n">
        <v>46248</v>
      </c>
      <c r="H1344" s="127" t="n">
        <v>46293</v>
      </c>
      <c r="I1344" s="4" t="n">
        <v>100</v>
      </c>
      <c r="J1344" s="4" t="n">
        <v>100</v>
      </c>
      <c r="K1344" s="4" t="n">
        <v>100</v>
      </c>
      <c r="M1344" s="2" t="str">
        <f aca="false">IF(C1344="","",IFERROR(INDEX($S$5:$S$304,MATCH(C1344,$R$5:$R$304,0))&amp;"","?"))</f>
        <v>17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2</v>
      </c>
      <c r="O1344" s="2" t="str">
        <f aca="false">IF(OR(F1344="",G1344=""),"",IF(G1344&lt;='RETRATO 2027'!$K$5,"CONCLUÍDA",IF(F1344&lt;='RETRATO 2027'!$K$5,"EM ANDAMENTO","A INICIAR")))</f>
        <v>CONCLUÍDA</v>
      </c>
    </row>
    <row r="1345" customFormat="false" ht="15" hidden="false" customHeight="false" outlineLevel="0" collapsed="false">
      <c r="B1345" s="4" t="n">
        <v>9364424</v>
      </c>
      <c r="C1345" s="4" t="s">
        <v>2702</v>
      </c>
      <c r="D1345" s="4" t="s">
        <v>3249</v>
      </c>
      <c r="E1345" s="4" t="s">
        <v>3626</v>
      </c>
      <c r="F1345" s="127" t="n">
        <v>46240</v>
      </c>
      <c r="G1345" s="127" t="n">
        <v>46251</v>
      </c>
      <c r="H1345" s="127" t="n">
        <v>46293</v>
      </c>
      <c r="I1345" s="4" t="n">
        <v>100</v>
      </c>
      <c r="J1345" s="4" t="n">
        <v>100</v>
      </c>
      <c r="K1345" s="4" t="n">
        <v>100</v>
      </c>
      <c r="M1345" s="2" t="str">
        <f aca="false">IF(C1345="","",IFERROR(INDEX($S$5:$S$304,MATCH(C1345,$R$5:$R$304,0))&amp;"","?"))</f>
        <v>17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2</v>
      </c>
      <c r="O1345" s="2" t="str">
        <f aca="false">IF(OR(F1345="",G1345=""),"",IF(G1345&lt;='RETRATO 2027'!$K$5,"CONCLUÍDA",IF(F1345&lt;='RETRATO 2027'!$K$5,"EM ANDAMENTO","A INICIAR")))</f>
        <v>CONCLUÍDA</v>
      </c>
    </row>
    <row r="1346" customFormat="false" ht="15" hidden="false" customHeight="false" outlineLevel="0" collapsed="false">
      <c r="B1346" s="4" t="n">
        <v>9364425</v>
      </c>
      <c r="C1346" s="4" t="s">
        <v>2702</v>
      </c>
      <c r="D1346" s="4" t="s">
        <v>3250</v>
      </c>
      <c r="E1346" s="4" t="s">
        <v>3626</v>
      </c>
      <c r="F1346" s="127" t="n">
        <v>46248</v>
      </c>
      <c r="G1346" s="127" t="n">
        <v>46251</v>
      </c>
      <c r="H1346" s="127" t="n">
        <v>46293</v>
      </c>
      <c r="I1346" s="4" t="n">
        <v>100</v>
      </c>
      <c r="J1346" s="4" t="n">
        <v>100</v>
      </c>
      <c r="K1346" s="4" t="n">
        <v>100</v>
      </c>
      <c r="M1346" s="2" t="str">
        <f aca="false">IF(C1346="","",IFERROR(INDEX($S$5:$S$304,MATCH(C1346,$R$5:$R$304,0))&amp;"","?"))</f>
        <v>17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2</v>
      </c>
      <c r="O1346" s="2" t="str">
        <f aca="false">IF(OR(F1346="",G1346=""),"",IF(G1346&lt;='RETRATO 2027'!$K$5,"CONCLUÍDA",IF(F1346&lt;='RETRATO 2027'!$K$5,"EM ANDAMENTO","A INICIAR")))</f>
        <v>CONCLUÍDA</v>
      </c>
    </row>
    <row r="1347" customFormat="false" ht="15" hidden="false" customHeight="false" outlineLevel="0" collapsed="false">
      <c r="B1347" s="4" t="n">
        <v>9364426</v>
      </c>
      <c r="C1347" s="4" t="s">
        <v>2702</v>
      </c>
      <c r="D1347" s="4" t="s">
        <v>3251</v>
      </c>
      <c r="E1347" s="4" t="s">
        <v>3626</v>
      </c>
      <c r="F1347" s="127" t="n">
        <v>46251</v>
      </c>
      <c r="G1347" s="127" t="n">
        <v>46252</v>
      </c>
      <c r="H1347" s="127" t="n">
        <v>46293</v>
      </c>
      <c r="I1347" s="4" t="n">
        <v>100</v>
      </c>
      <c r="J1347" s="4" t="n">
        <v>100</v>
      </c>
      <c r="K1347" s="4" t="n">
        <v>100</v>
      </c>
      <c r="M1347" s="2" t="str">
        <f aca="false">IF(C1347="","",IFERROR(INDEX($S$5:$S$304,MATCH(C1347,$R$5:$R$304,0))&amp;"","?"))</f>
        <v>17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2</v>
      </c>
      <c r="O1347" s="2" t="str">
        <f aca="false">IF(OR(F1347="",G1347=""),"",IF(G1347&lt;='RETRATO 2027'!$K$5,"CONCLUÍDA",IF(F1347&lt;='RETRATO 2027'!$K$5,"EM ANDAMENTO","A INICIAR")))</f>
        <v>CONCLUÍDA</v>
      </c>
    </row>
    <row r="1348" customFormat="false" ht="15" hidden="false" customHeight="false" outlineLevel="0" collapsed="false">
      <c r="B1348" s="4" t="n">
        <v>9364427</v>
      </c>
      <c r="C1348" s="4" t="s">
        <v>2702</v>
      </c>
      <c r="D1348" s="4" t="s">
        <v>3252</v>
      </c>
      <c r="E1348" s="4" t="s">
        <v>3626</v>
      </c>
      <c r="F1348" s="127" t="n">
        <v>46253</v>
      </c>
      <c r="G1348" s="127" t="n">
        <v>46253</v>
      </c>
      <c r="H1348" s="127" t="n">
        <v>46293</v>
      </c>
      <c r="I1348" s="4" t="n">
        <v>100</v>
      </c>
      <c r="J1348" s="4" t="n">
        <v>100</v>
      </c>
      <c r="K1348" s="4" t="n">
        <v>100</v>
      </c>
      <c r="M1348" s="2" t="str">
        <f aca="false">IF(C1348="","",IFERROR(INDEX($S$5:$S$304,MATCH(C1348,$R$5:$R$304,0))&amp;"","?"))</f>
        <v>17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2</v>
      </c>
      <c r="O1348" s="2" t="str">
        <f aca="false">IF(OR(F1348="",G1348=""),"",IF(G1348&lt;='RETRATO 2027'!$K$5,"CONCLUÍDA",IF(F1348&lt;='RETRATO 2027'!$K$5,"EM ANDAMENTO","A INICIAR")))</f>
        <v>CONCLUÍDA</v>
      </c>
    </row>
    <row r="1349" customFormat="false" ht="15" hidden="false" customHeight="false" outlineLevel="0" collapsed="false">
      <c r="B1349" s="4" t="n">
        <v>39842164</v>
      </c>
      <c r="C1349" s="4" t="s">
        <v>2729</v>
      </c>
      <c r="D1349" s="4" t="s">
        <v>433</v>
      </c>
      <c r="E1349" s="4" t="s">
        <v>3626</v>
      </c>
      <c r="F1349" s="127" t="n">
        <v>46223</v>
      </c>
      <c r="G1349" s="127" t="n">
        <v>46253</v>
      </c>
      <c r="H1349" s="127" t="n">
        <v>46293</v>
      </c>
      <c r="I1349" s="4" t="n">
        <v>100</v>
      </c>
      <c r="J1349" s="4" t="n">
        <v>100</v>
      </c>
      <c r="K1349" s="4" t="n">
        <v>100</v>
      </c>
      <c r="M1349" s="2" t="str">
        <f aca="false">IF(C1349="","",IFERROR(INDEX($S$5:$S$304,MATCH(C1349,$R$5:$R$304,0))&amp;"","?"))</f>
        <v>17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2</v>
      </c>
      <c r="O1349" s="2" t="str">
        <f aca="false">IF(OR(F1349="",G1349=""),"",IF(G1349&lt;='RETRATO 2027'!$K$5,"CONCLUÍDA",IF(F1349&lt;='RETRATO 2027'!$K$5,"EM ANDAMENTO","A INICIAR")))</f>
        <v>CONCLUÍDA</v>
      </c>
    </row>
    <row r="1350" customFormat="false" ht="15" hidden="false" customHeight="false" outlineLevel="0" collapsed="false">
      <c r="B1350" s="4" t="n">
        <v>19473482</v>
      </c>
      <c r="C1350" s="4" t="s">
        <v>2729</v>
      </c>
      <c r="D1350" s="4" t="s">
        <v>3554</v>
      </c>
      <c r="E1350" s="4" t="s">
        <v>3626</v>
      </c>
      <c r="F1350" s="127" t="n">
        <v>46223</v>
      </c>
      <c r="G1350" s="127" t="n">
        <v>46225</v>
      </c>
      <c r="H1350" s="127" t="n">
        <v>46293</v>
      </c>
      <c r="I1350" s="4" t="n">
        <v>100</v>
      </c>
      <c r="J1350" s="4" t="n">
        <v>100</v>
      </c>
      <c r="K1350" s="4" t="n">
        <v>100</v>
      </c>
      <c r="M1350" s="2" t="str">
        <f aca="false">IF(C1350="","",IFERROR(INDEX($S$5:$S$304,MATCH(C1350,$R$5:$R$304,0))&amp;"","?"))</f>
        <v>17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2</v>
      </c>
      <c r="O1350" s="2" t="str">
        <f aca="false">IF(OR(F1350="",G1350=""),"",IF(G1350&lt;='RETRATO 2027'!$K$5,"CONCLUÍDA",IF(F1350&lt;='RETRATO 2027'!$K$5,"EM ANDAMENTO","A INICIAR")))</f>
        <v>CONCLUÍDA</v>
      </c>
    </row>
    <row r="1351" customFormat="false" ht="15" hidden="false" customHeight="false" outlineLevel="0" collapsed="false">
      <c r="B1351" s="4" t="n">
        <v>19473483</v>
      </c>
      <c r="C1351" s="4" t="s">
        <v>2729</v>
      </c>
      <c r="D1351" s="4" t="s">
        <v>3555</v>
      </c>
      <c r="E1351" s="4" t="s">
        <v>3626</v>
      </c>
      <c r="F1351" s="127" t="n">
        <v>46226</v>
      </c>
      <c r="G1351" s="127" t="n">
        <v>46230</v>
      </c>
      <c r="H1351" s="127" t="n">
        <v>46293</v>
      </c>
      <c r="I1351" s="4" t="n">
        <v>100</v>
      </c>
      <c r="J1351" s="4" t="n">
        <v>100</v>
      </c>
      <c r="K1351" s="4" t="n">
        <v>100</v>
      </c>
      <c r="M1351" s="2" t="str">
        <f aca="false">IF(C1351="","",IFERROR(INDEX($S$5:$S$304,MATCH(C1351,$R$5:$R$304,0))&amp;"","?"))</f>
        <v>17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2</v>
      </c>
      <c r="O1351" s="2" t="str">
        <f aca="false">IF(OR(F1351="",G1351=""),"",IF(G1351&lt;='RETRATO 2027'!$K$5,"CONCLUÍDA",IF(F1351&lt;='RETRATO 2027'!$K$5,"EM ANDAMENTO","A INICIAR")))</f>
        <v>CONCLUÍDA</v>
      </c>
    </row>
    <row r="1352" customFormat="false" ht="15" hidden="false" customHeight="false" outlineLevel="0" collapsed="false">
      <c r="B1352" s="4" t="n">
        <v>19473484</v>
      </c>
      <c r="C1352" s="4" t="s">
        <v>2729</v>
      </c>
      <c r="D1352" s="4" t="s">
        <v>3498</v>
      </c>
      <c r="E1352" s="4" t="s">
        <v>3626</v>
      </c>
      <c r="F1352" s="127" t="n">
        <v>46231</v>
      </c>
      <c r="G1352" s="127" t="n">
        <v>46244</v>
      </c>
      <c r="H1352" s="127" t="n">
        <v>46293</v>
      </c>
      <c r="I1352" s="4" t="n">
        <v>100</v>
      </c>
      <c r="J1352" s="4" t="n">
        <v>100</v>
      </c>
      <c r="K1352" s="4" t="n">
        <v>100</v>
      </c>
      <c r="M1352" s="2" t="str">
        <f aca="false">IF(C1352="","",IFERROR(INDEX($S$5:$S$304,MATCH(C1352,$R$5:$R$304,0))&amp;"","?"))</f>
        <v>17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2</v>
      </c>
      <c r="O1352" s="2" t="str">
        <f aca="false">IF(OR(F1352="",G1352=""),"",IF(G1352&lt;='RETRATO 2027'!$K$5,"CONCLUÍDA",IF(F1352&lt;='RETRATO 2027'!$K$5,"EM ANDAMENTO","A INICIAR")))</f>
        <v>CONCLUÍDA</v>
      </c>
    </row>
    <row r="1353" customFormat="false" ht="15" hidden="false" customHeight="false" outlineLevel="0" collapsed="false">
      <c r="B1353" s="4" t="n">
        <v>19473485</v>
      </c>
      <c r="C1353" s="4" t="s">
        <v>2729</v>
      </c>
      <c r="D1353" s="4" t="s">
        <v>3599</v>
      </c>
      <c r="E1353" s="4" t="s">
        <v>3626</v>
      </c>
      <c r="F1353" s="127" t="n">
        <v>46238</v>
      </c>
      <c r="G1353" s="127" t="n">
        <v>46239</v>
      </c>
      <c r="H1353" s="127" t="n">
        <v>46293</v>
      </c>
      <c r="I1353" s="4" t="n">
        <v>100</v>
      </c>
      <c r="J1353" s="4" t="n">
        <v>100</v>
      </c>
      <c r="K1353" s="4" t="n">
        <v>100</v>
      </c>
      <c r="M1353" s="2" t="str">
        <f aca="false">IF(C1353="","",IFERROR(INDEX($S$5:$S$304,MATCH(C1353,$R$5:$R$304,0))&amp;"","?"))</f>
        <v>17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2</v>
      </c>
      <c r="O1353" s="2" t="str">
        <f aca="false">IF(OR(F1353="",G1353=""),"",IF(G1353&lt;='RETRATO 2027'!$K$5,"CONCLUÍDA",IF(F1353&lt;='RETRATO 2027'!$K$5,"EM ANDAMENTO","A INICIAR")))</f>
        <v>CONCLUÍDA</v>
      </c>
    </row>
    <row r="1354" customFormat="false" ht="15" hidden="false" customHeight="false" outlineLevel="0" collapsed="false">
      <c r="B1354" s="4" t="n">
        <v>19473486</v>
      </c>
      <c r="C1354" s="4" t="s">
        <v>2729</v>
      </c>
      <c r="D1354" s="4" t="s">
        <v>3549</v>
      </c>
      <c r="E1354" s="4" t="s">
        <v>3626</v>
      </c>
      <c r="F1354" s="127" t="n">
        <v>46240</v>
      </c>
      <c r="G1354" s="127" t="n">
        <v>46240</v>
      </c>
      <c r="H1354" s="127" t="n">
        <v>46293</v>
      </c>
      <c r="I1354" s="4" t="n">
        <v>100</v>
      </c>
      <c r="J1354" s="4" t="n">
        <v>100</v>
      </c>
      <c r="K1354" s="4" t="n">
        <v>100</v>
      </c>
      <c r="M1354" s="2" t="str">
        <f aca="false">IF(C1354="","",IFERROR(INDEX($S$5:$S$304,MATCH(C1354,$R$5:$R$304,0))&amp;"","?"))</f>
        <v>17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2</v>
      </c>
      <c r="O1354" s="2" t="str">
        <f aca="false">IF(OR(F1354="",G1354=""),"",IF(G1354&lt;='RETRATO 2027'!$K$5,"CONCLUÍDA",IF(F1354&lt;='RETRATO 2027'!$K$5,"EM ANDAMENTO","A INICIAR")))</f>
        <v>CONCLUÍDA</v>
      </c>
    </row>
    <row r="1355" customFormat="false" ht="15" hidden="false" customHeight="false" outlineLevel="0" collapsed="false">
      <c r="B1355" s="4" t="n">
        <v>19473487</v>
      </c>
      <c r="C1355" s="4" t="s">
        <v>2729</v>
      </c>
      <c r="D1355" s="4" t="s">
        <v>3217</v>
      </c>
      <c r="E1355" s="4" t="s">
        <v>3626</v>
      </c>
      <c r="F1355" s="127" t="n">
        <v>46241</v>
      </c>
      <c r="G1355" s="127" t="n">
        <v>46252</v>
      </c>
      <c r="H1355" s="127" t="n">
        <v>46293</v>
      </c>
      <c r="I1355" s="4" t="n">
        <v>100</v>
      </c>
      <c r="J1355" s="4" t="n">
        <v>100</v>
      </c>
      <c r="K1355" s="4" t="n">
        <v>100</v>
      </c>
      <c r="M1355" s="2" t="str">
        <f aca="false">IF(C1355="","",IFERROR(INDEX($S$5:$S$304,MATCH(C1355,$R$5:$R$304,0))&amp;"","?"))</f>
        <v>17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2</v>
      </c>
      <c r="O1355" s="2" t="str">
        <f aca="false">IF(OR(F1355="",G1355=""),"",IF(G1355&lt;='RETRATO 2027'!$K$5,"CONCLUÍDA",IF(F1355&lt;='RETRATO 2027'!$K$5,"EM ANDAMENTO","A INICIAR")))</f>
        <v>CONCLUÍDA</v>
      </c>
    </row>
    <row r="1356" customFormat="false" ht="15" hidden="false" customHeight="false" outlineLevel="0" collapsed="false">
      <c r="B1356" s="4" t="n">
        <v>19473488</v>
      </c>
      <c r="C1356" s="4" t="s">
        <v>2729</v>
      </c>
      <c r="D1356" s="4" t="s">
        <v>3666</v>
      </c>
      <c r="E1356" s="4" t="s">
        <v>3626</v>
      </c>
      <c r="F1356" s="127" t="n">
        <v>46253</v>
      </c>
      <c r="G1356" s="127" t="n">
        <v>46253</v>
      </c>
      <c r="H1356" s="127" t="n">
        <v>46293</v>
      </c>
      <c r="I1356" s="4" t="n">
        <v>100</v>
      </c>
      <c r="J1356" s="4" t="n">
        <v>100</v>
      </c>
      <c r="K1356" s="4" t="n">
        <v>100</v>
      </c>
      <c r="M1356" s="2" t="str">
        <f aca="false">IF(C1356="","",IFERROR(INDEX($S$5:$S$304,MATCH(C1356,$R$5:$R$304,0))&amp;"","?"))</f>
        <v>17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2</v>
      </c>
      <c r="O1356" s="2" t="str">
        <f aca="false">IF(OR(F1356="",G1356=""),"",IF(G1356&lt;='RETRATO 2027'!$K$5,"CONCLUÍDA",IF(F1356&lt;='RETRATO 2027'!$K$5,"EM ANDAMENTO","A INICIAR")))</f>
        <v>CONCLUÍDA</v>
      </c>
    </row>
    <row r="1357" customFormat="false" ht="15" hidden="false" customHeight="false" outlineLevel="0" collapsed="false">
      <c r="B1357" s="4" t="n">
        <v>46437997</v>
      </c>
      <c r="C1357" s="4" t="s">
        <v>2817</v>
      </c>
      <c r="D1357" s="4" t="s">
        <v>433</v>
      </c>
      <c r="E1357" s="4" t="s">
        <v>3583</v>
      </c>
      <c r="F1357" s="127" t="n">
        <v>46225</v>
      </c>
      <c r="G1357" s="127" t="n">
        <v>46239</v>
      </c>
      <c r="H1357" s="127" t="n">
        <v>46293</v>
      </c>
      <c r="I1357" s="4" t="n">
        <v>0</v>
      </c>
      <c r="J1357" s="4" t="n">
        <v>100</v>
      </c>
      <c r="K1357" s="4" t="n">
        <v>100</v>
      </c>
      <c r="M1357" s="2" t="str">
        <f aca="false">IF(C1357="","",IFERROR(INDEX($S$5:$S$304,MATCH(C1357,$R$5:$R$304,0))&amp;"","?"))</f>
        <v>04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-6</v>
      </c>
      <c r="O1357" s="2" t="str">
        <f aca="false">IF(OR(F1357="",G1357=""),"",IF(G1357&lt;='RETRATO 2027'!$K$5,"CONCLUÍDA",IF(F1357&lt;='RETRATO 2027'!$K$5,"EM ANDAMENTO","A INICIAR")))</f>
        <v>CONCLUÍDA</v>
      </c>
    </row>
    <row r="1358" customFormat="false" ht="15" hidden="false" customHeight="false" outlineLevel="0" collapsed="false">
      <c r="B1358" s="4" t="n">
        <v>31123044</v>
      </c>
      <c r="C1358" s="4" t="s">
        <v>2817</v>
      </c>
      <c r="D1358" s="4" t="s">
        <v>3667</v>
      </c>
      <c r="E1358" s="4" t="s">
        <v>3583</v>
      </c>
      <c r="F1358" s="127" t="n">
        <v>46225</v>
      </c>
      <c r="G1358" s="127" t="n">
        <v>46226</v>
      </c>
      <c r="H1358" s="127" t="n">
        <v>46293</v>
      </c>
      <c r="I1358" s="4" t="n">
        <v>0</v>
      </c>
      <c r="J1358" s="4" t="n">
        <v>100</v>
      </c>
      <c r="K1358" s="4" t="n">
        <v>100</v>
      </c>
      <c r="M1358" s="2" t="str">
        <f aca="false">IF(C1358="","",IFERROR(INDEX($S$5:$S$304,MATCH(C1358,$R$5:$R$304,0))&amp;"","?"))</f>
        <v>04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-6</v>
      </c>
      <c r="O1358" s="2" t="str">
        <f aca="false">IF(OR(F1358="",G1358=""),"",IF(G1358&lt;='RETRATO 2027'!$K$5,"CONCLUÍDA",IF(F1358&lt;='RETRATO 2027'!$K$5,"EM ANDAMENTO","A INICIAR")))</f>
        <v>CONCLUÍDA</v>
      </c>
    </row>
    <row r="1359" customFormat="false" ht="15" hidden="false" customHeight="false" outlineLevel="0" collapsed="false">
      <c r="B1359" s="4" t="n">
        <v>31123045</v>
      </c>
      <c r="C1359" s="4" t="s">
        <v>2817</v>
      </c>
      <c r="D1359" s="4" t="s">
        <v>3664</v>
      </c>
      <c r="E1359" s="4" t="s">
        <v>3583</v>
      </c>
      <c r="F1359" s="127" t="n">
        <v>46227</v>
      </c>
      <c r="G1359" s="127" t="n">
        <v>46233</v>
      </c>
      <c r="H1359" s="127" t="n">
        <v>46293</v>
      </c>
      <c r="I1359" s="4" t="n">
        <v>0</v>
      </c>
      <c r="J1359" s="4" t="n">
        <v>100</v>
      </c>
      <c r="K1359" s="4" t="n">
        <v>100</v>
      </c>
      <c r="M1359" s="2" t="str">
        <f aca="false">IF(C1359="","",IFERROR(INDEX($S$5:$S$304,MATCH(C1359,$R$5:$R$304,0))&amp;"","?"))</f>
        <v>04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-6</v>
      </c>
      <c r="O1359" s="2" t="str">
        <f aca="false">IF(OR(F1359="",G1359=""),"",IF(G1359&lt;='RETRATO 2027'!$K$5,"CONCLUÍDA",IF(F1359&lt;='RETRATO 2027'!$K$5,"EM ANDAMENTO","A INICIAR")))</f>
        <v>CONCLUÍDA</v>
      </c>
    </row>
    <row r="1360" customFormat="false" ht="15" hidden="false" customHeight="false" outlineLevel="0" collapsed="false">
      <c r="B1360" s="4" t="n">
        <v>31123046</v>
      </c>
      <c r="C1360" s="4" t="s">
        <v>2817</v>
      </c>
      <c r="D1360" s="4" t="s">
        <v>3665</v>
      </c>
      <c r="E1360" s="4" t="s">
        <v>3583</v>
      </c>
      <c r="F1360" s="127" t="n">
        <v>46234</v>
      </c>
      <c r="G1360" s="127" t="n">
        <v>46239</v>
      </c>
      <c r="H1360" s="127" t="n">
        <v>46293</v>
      </c>
      <c r="I1360" s="4" t="n">
        <v>0</v>
      </c>
      <c r="J1360" s="4" t="n">
        <v>100</v>
      </c>
      <c r="K1360" s="4" t="n">
        <v>100</v>
      </c>
      <c r="M1360" s="2" t="str">
        <f aca="false">IF(C1360="","",IFERROR(INDEX($S$5:$S$304,MATCH(C1360,$R$5:$R$304,0))&amp;"","?"))</f>
        <v>04</v>
      </c>
      <c r="N1360" s="2" t="n">
        <f aca="false">IF(E1360="","",IF(ISNUMBER(SEARCH("SUBSOLO",E1360)),IFERROR(-VALUE(LEFT(E1360,FIND("º",SUBSTITUTE(E1360,"°","º"))-1)),-1),IF(LEFT(E1360,6)="TÉRREO",0,IFERROR(VALUE(LEFT(E1360,FIND("º",SUBSTITUTE(E1360,"°","º"))-1)),""))))</f>
        <v>-6</v>
      </c>
      <c r="O1360" s="2" t="str">
        <f aca="false">IF(OR(F1360="",G1360=""),"",IF(G1360&lt;='RETRATO 2027'!$K$5,"CONCLUÍDA",IF(F1360&lt;='RETRATO 2027'!$K$5,"EM ANDAMENTO","A INICIAR")))</f>
        <v>CONCLUÍDA</v>
      </c>
    </row>
    <row r="1361" customFormat="false" ht="15" hidden="false" customHeight="false" outlineLevel="0" collapsed="false">
      <c r="B1361" s="4" t="n">
        <v>26743728</v>
      </c>
      <c r="C1361" s="4" t="s">
        <v>2751</v>
      </c>
      <c r="D1361" s="4" t="s">
        <v>433</v>
      </c>
      <c r="E1361" s="4" t="s">
        <v>3449</v>
      </c>
      <c r="F1361" s="127" t="n">
        <v>46226</v>
      </c>
      <c r="G1361" s="127" t="n">
        <v>46269</v>
      </c>
      <c r="H1361" s="127" t="n">
        <v>46293</v>
      </c>
      <c r="I1361" s="4" t="n">
        <v>96.667</v>
      </c>
      <c r="J1361" s="4" t="n">
        <v>100</v>
      </c>
      <c r="K1361" s="4" t="n">
        <v>90</v>
      </c>
      <c r="M1361" s="2" t="str">
        <f aca="false">IF(C1361="","",IFERROR(INDEX($S$5:$S$304,MATCH(C1361,$R$5:$R$304,0))&amp;"","?"))</f>
        <v>35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-2</v>
      </c>
      <c r="O1361" s="2" t="str">
        <f aca="false">IF(OR(F1361="",G1361=""),"",IF(G1361&lt;='RETRATO 2027'!$K$5,"CONCLUÍDA",IF(F1361&lt;='RETRATO 2027'!$K$5,"EM ANDAMENTO","A INICIAR")))</f>
        <v>CONCLUÍDA</v>
      </c>
    </row>
    <row r="1362" customFormat="false" ht="15" hidden="false" customHeight="false" outlineLevel="0" collapsed="false">
      <c r="B1362" s="4" t="n">
        <v>24939736</v>
      </c>
      <c r="C1362" s="4" t="s">
        <v>2705</v>
      </c>
      <c r="D1362" s="4" t="s">
        <v>433</v>
      </c>
      <c r="E1362" s="4" t="s">
        <v>3668</v>
      </c>
      <c r="F1362" s="127" t="n">
        <v>46226</v>
      </c>
      <c r="G1362" s="127" t="n">
        <v>46239</v>
      </c>
      <c r="H1362" s="127" t="n">
        <v>46293</v>
      </c>
      <c r="I1362" s="4" t="n">
        <v>100</v>
      </c>
      <c r="J1362" s="4" t="n">
        <v>100</v>
      </c>
      <c r="K1362" s="4" t="n">
        <v>100</v>
      </c>
      <c r="M1362" s="2" t="str">
        <f aca="false">IF(C1362="","",IFERROR(INDEX($S$5:$S$304,MATCH(C1362,$R$5:$R$304,0))&amp;"","?"))</f>
        <v>17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4</v>
      </c>
      <c r="O1362" s="2" t="str">
        <f aca="false">IF(OR(F1362="",G1362=""),"",IF(G1362&lt;='RETRATO 2027'!$K$5,"CONCLUÍDA",IF(F1362&lt;='RETRATO 2027'!$K$5,"EM ANDAMENTO","A INICIAR")))</f>
        <v>CONCLUÍDA</v>
      </c>
    </row>
    <row r="1363" customFormat="false" ht="15" hidden="false" customHeight="false" outlineLevel="0" collapsed="false">
      <c r="B1363" s="4" t="n">
        <v>9360246</v>
      </c>
      <c r="C1363" s="4" t="s">
        <v>2705</v>
      </c>
      <c r="D1363" s="4" t="s">
        <v>3244</v>
      </c>
      <c r="E1363" s="4" t="s">
        <v>3668</v>
      </c>
      <c r="F1363" s="127" t="n">
        <v>46226</v>
      </c>
      <c r="G1363" s="127" t="n">
        <v>46231</v>
      </c>
      <c r="H1363" s="127" t="n">
        <v>46293</v>
      </c>
      <c r="I1363" s="4" t="n">
        <v>100</v>
      </c>
      <c r="J1363" s="4" t="n">
        <v>100</v>
      </c>
      <c r="K1363" s="4" t="n">
        <v>100</v>
      </c>
      <c r="M1363" s="2" t="str">
        <f aca="false">IF(C1363="","",IFERROR(INDEX($S$5:$S$304,MATCH(C1363,$R$5:$R$304,0))&amp;"","?"))</f>
        <v>17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4</v>
      </c>
      <c r="O1363" s="2" t="str">
        <f aca="false">IF(OR(F1363="",G1363=""),"",IF(G1363&lt;='RETRATO 2027'!$K$5,"CONCLUÍDA",IF(F1363&lt;='RETRATO 2027'!$K$5,"EM ANDAMENTO","A INICIAR")))</f>
        <v>CONCLUÍDA</v>
      </c>
    </row>
    <row r="1364" customFormat="false" ht="15" hidden="false" customHeight="false" outlineLevel="0" collapsed="false">
      <c r="B1364" s="4" t="n">
        <v>9360247</v>
      </c>
      <c r="C1364" s="4" t="s">
        <v>2705</v>
      </c>
      <c r="D1364" s="4" t="s">
        <v>3245</v>
      </c>
      <c r="E1364" s="4" t="s">
        <v>3668</v>
      </c>
      <c r="F1364" s="127" t="n">
        <v>46231</v>
      </c>
      <c r="G1364" s="127" t="n">
        <v>46233</v>
      </c>
      <c r="H1364" s="127" t="n">
        <v>46293</v>
      </c>
      <c r="I1364" s="4" t="n">
        <v>100</v>
      </c>
      <c r="J1364" s="4" t="n">
        <v>100</v>
      </c>
      <c r="K1364" s="4" t="n">
        <v>100</v>
      </c>
      <c r="M1364" s="2" t="str">
        <f aca="false">IF(C1364="","",IFERROR(INDEX($S$5:$S$304,MATCH(C1364,$R$5:$R$304,0))&amp;"","?"))</f>
        <v>17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4</v>
      </c>
      <c r="O1364" s="2" t="str">
        <f aca="false">IF(OR(F1364="",G1364=""),"",IF(G1364&lt;='RETRATO 2027'!$K$5,"CONCLUÍDA",IF(F1364&lt;='RETRATO 2027'!$K$5,"EM ANDAMENTO","A INICIAR")))</f>
        <v>CONCLUÍDA</v>
      </c>
    </row>
    <row r="1365" customFormat="false" ht="15" hidden="false" customHeight="false" outlineLevel="0" collapsed="false">
      <c r="B1365" s="4" t="n">
        <v>9360248</v>
      </c>
      <c r="C1365" s="4" t="s">
        <v>2705</v>
      </c>
      <c r="D1365" s="4" t="s">
        <v>3246</v>
      </c>
      <c r="E1365" s="4" t="s">
        <v>3668</v>
      </c>
      <c r="F1365" s="127" t="n">
        <v>46232</v>
      </c>
      <c r="G1365" s="127" t="n">
        <v>46232</v>
      </c>
      <c r="H1365" s="127" t="n">
        <v>46293</v>
      </c>
      <c r="I1365" s="4" t="n">
        <v>100</v>
      </c>
      <c r="J1365" s="4" t="n">
        <v>100</v>
      </c>
      <c r="K1365" s="4" t="n">
        <v>100</v>
      </c>
      <c r="M1365" s="2" t="str">
        <f aca="false">IF(C1365="","",IFERROR(INDEX($S$5:$S$304,MATCH(C1365,$R$5:$R$304,0))&amp;"","?"))</f>
        <v>17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4</v>
      </c>
      <c r="O1365" s="2" t="str">
        <f aca="false">IF(OR(F1365="",G1365=""),"",IF(G1365&lt;='RETRATO 2027'!$K$5,"CONCLUÍDA",IF(F1365&lt;='RETRATO 2027'!$K$5,"EM ANDAMENTO","A INICIAR")))</f>
        <v>CONCLUÍDA</v>
      </c>
    </row>
    <row r="1366" customFormat="false" ht="15" hidden="false" customHeight="false" outlineLevel="0" collapsed="false">
      <c r="B1366" s="4" t="n">
        <v>9360249</v>
      </c>
      <c r="C1366" s="4" t="s">
        <v>2705</v>
      </c>
      <c r="D1366" s="4" t="s">
        <v>3247</v>
      </c>
      <c r="E1366" s="4" t="s">
        <v>3668</v>
      </c>
      <c r="F1366" s="127" t="n">
        <v>46233</v>
      </c>
      <c r="G1366" s="127" t="n">
        <v>46233</v>
      </c>
      <c r="H1366" s="127" t="n">
        <v>46293</v>
      </c>
      <c r="I1366" s="4" t="n">
        <v>100</v>
      </c>
      <c r="J1366" s="4" t="n">
        <v>100</v>
      </c>
      <c r="K1366" s="4" t="n">
        <v>100</v>
      </c>
      <c r="M1366" s="2" t="str">
        <f aca="false">IF(C1366="","",IFERROR(INDEX($S$5:$S$304,MATCH(C1366,$R$5:$R$304,0))&amp;"","?"))</f>
        <v>17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4</v>
      </c>
      <c r="O1366" s="2" t="str">
        <f aca="false">IF(OR(F1366="",G1366=""),"",IF(G1366&lt;='RETRATO 2027'!$K$5,"CONCLUÍDA",IF(F1366&lt;='RETRATO 2027'!$K$5,"EM ANDAMENTO","A INICIAR")))</f>
        <v>CONCLUÍDA</v>
      </c>
    </row>
    <row r="1367" customFormat="false" ht="15" hidden="false" customHeight="false" outlineLevel="0" collapsed="false">
      <c r="B1367" s="4" t="n">
        <v>9360250</v>
      </c>
      <c r="C1367" s="4" t="s">
        <v>2705</v>
      </c>
      <c r="D1367" s="4" t="s">
        <v>3248</v>
      </c>
      <c r="E1367" s="4" t="s">
        <v>3668</v>
      </c>
      <c r="F1367" s="127" t="n">
        <v>46234</v>
      </c>
      <c r="G1367" s="127" t="n">
        <v>46239</v>
      </c>
      <c r="H1367" s="127" t="n">
        <v>46293</v>
      </c>
      <c r="I1367" s="4" t="n">
        <v>100</v>
      </c>
      <c r="J1367" s="4" t="n">
        <v>100</v>
      </c>
      <c r="K1367" s="4" t="n">
        <v>100</v>
      </c>
      <c r="M1367" s="2" t="str">
        <f aca="false">IF(C1367="","",IFERROR(INDEX($S$5:$S$304,MATCH(C1367,$R$5:$R$304,0))&amp;"","?"))</f>
        <v>17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4</v>
      </c>
      <c r="O1367" s="2" t="str">
        <f aca="false">IF(OR(F1367="",G1367=""),"",IF(G1367&lt;='RETRATO 2027'!$K$5,"CONCLUÍDA",IF(F1367&lt;='RETRATO 2027'!$K$5,"EM ANDAMENTO","A INICIAR")))</f>
        <v>CONCLUÍDA</v>
      </c>
    </row>
    <row r="1368" customFormat="false" ht="15" hidden="false" customHeight="false" outlineLevel="0" collapsed="false">
      <c r="B1368" s="4" t="n">
        <v>9360251</v>
      </c>
      <c r="C1368" s="4" t="s">
        <v>2705</v>
      </c>
      <c r="D1368" s="4" t="s">
        <v>3249</v>
      </c>
      <c r="E1368" s="4" t="s">
        <v>3668</v>
      </c>
      <c r="F1368" s="127" t="n">
        <v>46237</v>
      </c>
      <c r="G1368" s="127" t="n">
        <v>46239</v>
      </c>
      <c r="H1368" s="127" t="n">
        <v>46293</v>
      </c>
      <c r="I1368" s="4" t="n">
        <v>100</v>
      </c>
      <c r="J1368" s="4" t="n">
        <v>100</v>
      </c>
      <c r="K1368" s="4" t="n">
        <v>100</v>
      </c>
      <c r="M1368" s="2" t="str">
        <f aca="false">IF(C1368="","",IFERROR(INDEX($S$5:$S$304,MATCH(C1368,$R$5:$R$304,0))&amp;"","?"))</f>
        <v>17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4</v>
      </c>
      <c r="O1368" s="2" t="str">
        <f aca="false">IF(OR(F1368="",G1368=""),"",IF(G1368&lt;='RETRATO 2027'!$K$5,"CONCLUÍDA",IF(F1368&lt;='RETRATO 2027'!$K$5,"EM ANDAMENTO","A INICIAR")))</f>
        <v>CONCLUÍDA</v>
      </c>
    </row>
    <row r="1369" customFormat="false" ht="15" hidden="false" customHeight="false" outlineLevel="0" collapsed="false">
      <c r="B1369" s="4" t="n">
        <v>9360252</v>
      </c>
      <c r="C1369" s="4" t="s">
        <v>2705</v>
      </c>
      <c r="D1369" s="4" t="s">
        <v>3250</v>
      </c>
      <c r="E1369" s="4" t="s">
        <v>3668</v>
      </c>
      <c r="F1369" s="127" t="n">
        <v>46238</v>
      </c>
      <c r="G1369" s="127" t="n">
        <v>46238</v>
      </c>
      <c r="H1369" s="127" t="n">
        <v>46293</v>
      </c>
      <c r="I1369" s="4" t="n">
        <v>100</v>
      </c>
      <c r="J1369" s="4" t="n">
        <v>100</v>
      </c>
      <c r="K1369" s="4" t="n">
        <v>100</v>
      </c>
      <c r="M1369" s="2" t="str">
        <f aca="false">IF(C1369="","",IFERROR(INDEX($S$5:$S$304,MATCH(C1369,$R$5:$R$304,0))&amp;"","?"))</f>
        <v>17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4</v>
      </c>
      <c r="O1369" s="2" t="str">
        <f aca="false">IF(OR(F1369="",G1369=""),"",IF(G1369&lt;='RETRATO 2027'!$K$5,"CONCLUÍDA",IF(F1369&lt;='RETRATO 2027'!$K$5,"EM ANDAMENTO","A INICIAR")))</f>
        <v>CONCLUÍDA</v>
      </c>
    </row>
    <row r="1370" customFormat="false" ht="15" hidden="false" customHeight="false" outlineLevel="0" collapsed="false">
      <c r="B1370" s="4" t="n">
        <v>9360253</v>
      </c>
      <c r="C1370" s="4" t="s">
        <v>2705</v>
      </c>
      <c r="D1370" s="4" t="s">
        <v>3251</v>
      </c>
      <c r="E1370" s="4" t="s">
        <v>3668</v>
      </c>
      <c r="F1370" s="127" t="n">
        <v>46238</v>
      </c>
      <c r="G1370" s="127" t="n">
        <v>46238</v>
      </c>
      <c r="H1370" s="127" t="n">
        <v>46293</v>
      </c>
      <c r="I1370" s="4" t="n">
        <v>100</v>
      </c>
      <c r="J1370" s="4" t="n">
        <v>100</v>
      </c>
      <c r="K1370" s="4" t="n">
        <v>100</v>
      </c>
      <c r="M1370" s="2" t="str">
        <f aca="false">IF(C1370="","",IFERROR(INDEX($S$5:$S$304,MATCH(C1370,$R$5:$R$304,0))&amp;"","?"))</f>
        <v>17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4</v>
      </c>
      <c r="O1370" s="2" t="str">
        <f aca="false">IF(OR(F1370="",G1370=""),"",IF(G1370&lt;='RETRATO 2027'!$K$5,"CONCLUÍDA",IF(F1370&lt;='RETRATO 2027'!$K$5,"EM ANDAMENTO","A INICIAR")))</f>
        <v>CONCLUÍDA</v>
      </c>
    </row>
    <row r="1371" customFormat="false" ht="15" hidden="false" customHeight="false" outlineLevel="0" collapsed="false">
      <c r="B1371" s="4" t="n">
        <v>9360254</v>
      </c>
      <c r="C1371" s="4" t="s">
        <v>2705</v>
      </c>
      <c r="D1371" s="4" t="s">
        <v>3252</v>
      </c>
      <c r="E1371" s="4" t="s">
        <v>3668</v>
      </c>
      <c r="F1371" s="127" t="n">
        <v>46239</v>
      </c>
      <c r="G1371" s="127" t="n">
        <v>46239</v>
      </c>
      <c r="H1371" s="127" t="n">
        <v>46293</v>
      </c>
      <c r="I1371" s="4" t="n">
        <v>100</v>
      </c>
      <c r="J1371" s="4" t="n">
        <v>100</v>
      </c>
      <c r="K1371" s="4" t="n">
        <v>100</v>
      </c>
      <c r="M1371" s="2" t="str">
        <f aca="false">IF(C1371="","",IFERROR(INDEX($S$5:$S$304,MATCH(C1371,$R$5:$R$304,0))&amp;"","?"))</f>
        <v>17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4</v>
      </c>
      <c r="O1371" s="2" t="str">
        <f aca="false">IF(OR(F1371="",G1371=""),"",IF(G1371&lt;='RETRATO 2027'!$K$5,"CONCLUÍDA",IF(F1371&lt;='RETRATO 2027'!$K$5,"EM ANDAMENTO","A INICIAR")))</f>
        <v>CONCLUÍDA</v>
      </c>
    </row>
    <row r="1372" customFormat="false" ht="15" hidden="false" customHeight="false" outlineLevel="0" collapsed="false">
      <c r="B1372" s="4" t="n">
        <v>44923177</v>
      </c>
      <c r="C1372" s="4" t="s">
        <v>163</v>
      </c>
      <c r="D1372" s="4" t="s">
        <v>433</v>
      </c>
      <c r="E1372" s="4" t="s">
        <v>3583</v>
      </c>
      <c r="F1372" s="127" t="n">
        <v>46230</v>
      </c>
      <c r="G1372" s="127" t="n">
        <v>46293</v>
      </c>
      <c r="H1372" s="127" t="n">
        <v>46293</v>
      </c>
      <c r="I1372" s="4" t="n">
        <v>0</v>
      </c>
      <c r="J1372" s="4" t="n">
        <v>100</v>
      </c>
      <c r="K1372" s="4" t="n">
        <v>78</v>
      </c>
      <c r="M1372" s="2" t="str">
        <f aca="false">IF(C1372="","",IFERROR(INDEX($S$5:$S$304,MATCH(C1372,$R$5:$R$304,0))&amp;"","?"))</f>
        <v>18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-6</v>
      </c>
      <c r="O1372" s="2" t="str">
        <f aca="false">IF(OR(F1372="",G1372=""),"",IF(G1372&lt;='RETRATO 2027'!$K$5,"CONCLUÍDA",IF(F1372&lt;='RETRATO 2027'!$K$5,"EM ANDAMENTO","A INICIAR")))</f>
        <v>CONCLUÍDA</v>
      </c>
    </row>
    <row r="1373" customFormat="false" ht="15" hidden="false" customHeight="false" outlineLevel="0" collapsed="false">
      <c r="B1373" s="4" t="n">
        <v>44084785</v>
      </c>
      <c r="C1373" s="4" t="s">
        <v>2820</v>
      </c>
      <c r="D1373" s="4" t="s">
        <v>433</v>
      </c>
      <c r="E1373" s="4" t="s">
        <v>81</v>
      </c>
      <c r="F1373" s="127" t="n">
        <v>46238</v>
      </c>
      <c r="G1373" s="127" t="n">
        <v>46286</v>
      </c>
      <c r="H1373" s="127" t="n">
        <v>46293</v>
      </c>
      <c r="I1373" s="4" t="n">
        <v>0</v>
      </c>
      <c r="J1373" s="4" t="n">
        <v>100</v>
      </c>
      <c r="K1373" s="4" t="n">
        <v>92.571</v>
      </c>
      <c r="M1373" s="2" t="str">
        <f aca="false">IF(C1373="","",IFERROR(INDEX($S$5:$S$304,MATCH(C1373,$R$5:$R$304,0))&amp;"","?"))</f>
        <v>13</v>
      </c>
      <c r="N1373" s="2" t="str">
        <f aca="false"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 t="str">
        <f aca="false">IF(OR(F1373="",G1373=""),"",IF(G1373&lt;='RETRATO 2027'!$K$5,"CONCLUÍDA",IF(F1373&lt;='RETRATO 2027'!$K$5,"EM ANDAMENTO","A INICIAR")))</f>
        <v>CONCLUÍDA</v>
      </c>
    </row>
    <row r="1374" customFormat="false" ht="15" hidden="false" customHeight="false" outlineLevel="0" collapsed="false">
      <c r="B1374" s="4" t="n">
        <v>28098326</v>
      </c>
      <c r="C1374" s="4" t="s">
        <v>2820</v>
      </c>
      <c r="D1374" s="4" t="s">
        <v>3608</v>
      </c>
      <c r="E1374" s="4" t="s">
        <v>81</v>
      </c>
      <c r="F1374" s="127" t="n">
        <v>46238</v>
      </c>
      <c r="G1374" s="127" t="n">
        <v>46251</v>
      </c>
      <c r="H1374" s="127" t="n">
        <v>46293</v>
      </c>
      <c r="I1374" s="4" t="n">
        <v>0</v>
      </c>
      <c r="J1374" s="4" t="n">
        <v>100</v>
      </c>
      <c r="K1374" s="4" t="n">
        <v>100</v>
      </c>
      <c r="M1374" s="2" t="str">
        <f aca="false">IF(C1374="","",IFERROR(INDEX($S$5:$S$304,MATCH(C1374,$R$5:$R$304,0))&amp;"","?"))</f>
        <v>13</v>
      </c>
      <c r="N1374" s="2" t="str">
        <f aca="false"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 t="str">
        <f aca="false">IF(OR(F1374="",G1374=""),"",IF(G1374&lt;='RETRATO 2027'!$K$5,"CONCLUÍDA",IF(F1374&lt;='RETRATO 2027'!$K$5,"EM ANDAMENTO","A INICIAR")))</f>
        <v>CONCLUÍDA</v>
      </c>
    </row>
    <row r="1375" customFormat="false" ht="15" hidden="false" customHeight="false" outlineLevel="0" collapsed="false">
      <c r="B1375" s="4" t="n">
        <v>28098327</v>
      </c>
      <c r="C1375" s="4" t="s">
        <v>2820</v>
      </c>
      <c r="D1375" s="4" t="s">
        <v>3609</v>
      </c>
      <c r="E1375" s="4" t="s">
        <v>81</v>
      </c>
      <c r="F1375" s="127" t="n">
        <v>46246</v>
      </c>
      <c r="G1375" s="127" t="n">
        <v>46260</v>
      </c>
      <c r="H1375" s="127" t="n">
        <v>46293</v>
      </c>
      <c r="I1375" s="4" t="n">
        <v>0</v>
      </c>
      <c r="J1375" s="4" t="n">
        <v>100</v>
      </c>
      <c r="K1375" s="4" t="n">
        <v>100</v>
      </c>
      <c r="M1375" s="2" t="str">
        <f aca="false">IF(C1375="","",IFERROR(INDEX($S$5:$S$304,MATCH(C1375,$R$5:$R$304,0))&amp;"","?"))</f>
        <v>13</v>
      </c>
      <c r="N1375" s="2" t="str">
        <f aca="false"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 t="str">
        <f aca="false">IF(OR(F1375="",G1375=""),"",IF(G1375&lt;='RETRATO 2027'!$K$5,"CONCLUÍDA",IF(F1375&lt;='RETRATO 2027'!$K$5,"EM ANDAMENTO","A INICIAR")))</f>
        <v>CONCLUÍDA</v>
      </c>
    </row>
    <row r="1376" customFormat="false" ht="15" hidden="false" customHeight="false" outlineLevel="0" collapsed="false">
      <c r="B1376" s="4" t="n">
        <v>28098328</v>
      </c>
      <c r="C1376" s="4" t="s">
        <v>2820</v>
      </c>
      <c r="D1376" s="4" t="s">
        <v>3669</v>
      </c>
      <c r="E1376" s="4" t="s">
        <v>81</v>
      </c>
      <c r="F1376" s="127" t="n">
        <v>46255</v>
      </c>
      <c r="G1376" s="127" t="n">
        <v>46274</v>
      </c>
      <c r="H1376" s="127" t="n">
        <v>46293</v>
      </c>
      <c r="I1376" s="4" t="n">
        <v>0</v>
      </c>
      <c r="J1376" s="4" t="n">
        <v>100</v>
      </c>
      <c r="K1376" s="4" t="n">
        <v>87</v>
      </c>
      <c r="M1376" s="2" t="str">
        <f aca="false">IF(C1376="","",IFERROR(INDEX($S$5:$S$304,MATCH(C1376,$R$5:$R$304,0))&amp;"","?"))</f>
        <v>13</v>
      </c>
      <c r="N1376" s="2" t="str">
        <f aca="false"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 t="str">
        <f aca="false">IF(OR(F1376="",G1376=""),"",IF(G1376&lt;='RETRATO 2027'!$K$5,"CONCLUÍDA",IF(F1376&lt;='RETRATO 2027'!$K$5,"EM ANDAMENTO","A INICIAR")))</f>
        <v>CONCLUÍDA</v>
      </c>
    </row>
    <row r="1377" customFormat="false" ht="15" hidden="false" customHeight="false" outlineLevel="0" collapsed="false">
      <c r="B1377" s="4" t="n">
        <v>28098329</v>
      </c>
      <c r="C1377" s="4" t="s">
        <v>2820</v>
      </c>
      <c r="D1377" s="4" t="s">
        <v>3670</v>
      </c>
      <c r="E1377" s="4" t="s">
        <v>81</v>
      </c>
      <c r="F1377" s="127" t="n">
        <v>46265</v>
      </c>
      <c r="G1377" s="127" t="n">
        <v>46286</v>
      </c>
      <c r="H1377" s="127" t="n">
        <v>46293</v>
      </c>
      <c r="I1377" s="4" t="n">
        <v>0</v>
      </c>
      <c r="J1377" s="4" t="n">
        <v>100</v>
      </c>
      <c r="K1377" s="4" t="n">
        <v>87</v>
      </c>
      <c r="M1377" s="2" t="str">
        <f aca="false">IF(C1377="","",IFERROR(INDEX($S$5:$S$304,MATCH(C1377,$R$5:$R$304,0))&amp;"","?"))</f>
        <v>13</v>
      </c>
      <c r="N1377" s="2" t="str">
        <f aca="false"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 t="str">
        <f aca="false">IF(OR(F1377="",G1377=""),"",IF(G1377&lt;='RETRATO 2027'!$K$5,"CONCLUÍDA",IF(F1377&lt;='RETRATO 2027'!$K$5,"EM ANDAMENTO","A INICIAR")))</f>
        <v>CONCLUÍDA</v>
      </c>
    </row>
    <row r="1378" customFormat="false" ht="15" hidden="false" customHeight="false" outlineLevel="0" collapsed="false">
      <c r="B1378" s="4" t="n">
        <v>26744965</v>
      </c>
      <c r="C1378" s="4" t="s">
        <v>163</v>
      </c>
      <c r="D1378" s="4" t="s">
        <v>433</v>
      </c>
      <c r="E1378" s="4" t="s">
        <v>3671</v>
      </c>
      <c r="F1378" s="127" t="n">
        <v>46239</v>
      </c>
      <c r="G1378" s="127" t="n">
        <v>46248</v>
      </c>
      <c r="H1378" s="127" t="n">
        <v>46293</v>
      </c>
      <c r="I1378" s="4" t="n">
        <v>100</v>
      </c>
      <c r="J1378" s="4" t="n">
        <v>100</v>
      </c>
      <c r="K1378" s="4" t="n">
        <v>100</v>
      </c>
      <c r="M1378" s="2" t="str">
        <f aca="false">IF(C1378="","",IFERROR(INDEX($S$5:$S$304,MATCH(C1378,$R$5:$R$304,0))&amp;"","?"))</f>
        <v>18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-3</v>
      </c>
      <c r="O1378" s="2" t="str">
        <f aca="false">IF(OR(F1378="",G1378=""),"",IF(G1378&lt;='RETRATO 2027'!$K$5,"CONCLUÍDA",IF(F1378&lt;='RETRATO 2027'!$K$5,"EM ANDAMENTO","A INICIAR")))</f>
        <v>CONCLUÍDA</v>
      </c>
    </row>
    <row r="1379" customFormat="false" ht="15" hidden="false" customHeight="false" outlineLevel="0" collapsed="false">
      <c r="B1379" s="4" t="n">
        <v>44922691</v>
      </c>
      <c r="C1379" s="4" t="s">
        <v>2770</v>
      </c>
      <c r="D1379" s="4" t="s">
        <v>433</v>
      </c>
      <c r="E1379" s="4" t="s">
        <v>3671</v>
      </c>
      <c r="F1379" s="127" t="n">
        <v>46240</v>
      </c>
      <c r="G1379" s="127" t="n">
        <v>46251</v>
      </c>
      <c r="H1379" s="127" t="n">
        <v>46293</v>
      </c>
      <c r="I1379" s="4" t="n">
        <v>0</v>
      </c>
      <c r="J1379" s="4" t="n">
        <v>100</v>
      </c>
      <c r="K1379" s="4" t="n">
        <v>100</v>
      </c>
      <c r="M1379" s="2" t="str">
        <f aca="false">IF(C1379="","",IFERROR(INDEX($S$5:$S$304,MATCH(C1379,$R$5:$R$304,0))&amp;"","?"))</f>
        <v>20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-3</v>
      </c>
      <c r="O1379" s="2" t="str">
        <f aca="false">IF(OR(F1379="",G1379=""),"",IF(G1379&lt;='RETRATO 2027'!$K$5,"CONCLUÍDA",IF(F1379&lt;='RETRATO 2027'!$K$5,"EM ANDAMENTO","A INICIAR")))</f>
        <v>CONCLUÍDA</v>
      </c>
    </row>
    <row r="1380" customFormat="false" ht="15" hidden="false" customHeight="false" outlineLevel="0" collapsed="false">
      <c r="B1380" s="4" t="n">
        <v>46328869</v>
      </c>
      <c r="C1380" s="4" t="s">
        <v>2823</v>
      </c>
      <c r="D1380" s="4" t="s">
        <v>433</v>
      </c>
      <c r="E1380" s="4" t="s">
        <v>3449</v>
      </c>
      <c r="F1380" s="127" t="n">
        <v>46240</v>
      </c>
      <c r="G1380" s="127" t="n">
        <v>46269</v>
      </c>
      <c r="H1380" s="127" t="n">
        <v>46293</v>
      </c>
      <c r="I1380" s="4" t="n">
        <v>0</v>
      </c>
      <c r="J1380" s="4" t="n">
        <v>100</v>
      </c>
      <c r="K1380" s="4" t="n">
        <v>100</v>
      </c>
      <c r="M1380" s="2" t="str">
        <f aca="false">IF(C1380="","",IFERROR(INDEX($S$5:$S$304,MATCH(C1380,$R$5:$R$304,0))&amp;"","?"))</f>
        <v>04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-2</v>
      </c>
      <c r="O1380" s="2" t="str">
        <f aca="false">IF(OR(F1380="",G1380=""),"",IF(G1380&lt;='RETRATO 2027'!$K$5,"CONCLUÍDA",IF(F1380&lt;='RETRATO 2027'!$K$5,"EM ANDAMENTO","A INICIAR")))</f>
        <v>CONCLUÍDA</v>
      </c>
    </row>
    <row r="1381" customFormat="false" ht="15" hidden="false" customHeight="false" outlineLevel="0" collapsed="false">
      <c r="B1381" s="4" t="n">
        <v>31059792</v>
      </c>
      <c r="C1381" s="4" t="s">
        <v>2823</v>
      </c>
      <c r="D1381" s="4" t="s">
        <v>3672</v>
      </c>
      <c r="E1381" s="4" t="s">
        <v>3449</v>
      </c>
      <c r="F1381" s="127" t="n">
        <v>46240</v>
      </c>
      <c r="G1381" s="127" t="n">
        <v>46240</v>
      </c>
      <c r="H1381" s="127" t="n">
        <v>46293</v>
      </c>
      <c r="I1381" s="4" t="n">
        <v>0</v>
      </c>
      <c r="J1381" s="4" t="n">
        <v>100</v>
      </c>
      <c r="K1381" s="4" t="n">
        <v>100</v>
      </c>
      <c r="M1381" s="2" t="str">
        <f aca="false">IF(C1381="","",IFERROR(INDEX($S$5:$S$304,MATCH(C1381,$R$5:$R$304,0))&amp;"","?"))</f>
        <v>04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-2</v>
      </c>
      <c r="O1381" s="2" t="str">
        <f aca="false">IF(OR(F1381="",G1381=""),"",IF(G1381&lt;='RETRATO 2027'!$K$5,"CONCLUÍDA",IF(F1381&lt;='RETRATO 2027'!$K$5,"EM ANDAMENTO","A INICIAR")))</f>
        <v>CONCLUÍDA</v>
      </c>
    </row>
    <row r="1382" customFormat="false" ht="15" hidden="false" customHeight="false" outlineLevel="0" collapsed="false">
      <c r="B1382" s="4" t="n">
        <v>31059793</v>
      </c>
      <c r="C1382" s="4" t="s">
        <v>2823</v>
      </c>
      <c r="D1382" s="4" t="s">
        <v>3673</v>
      </c>
      <c r="E1382" s="4" t="s">
        <v>3449</v>
      </c>
      <c r="F1382" s="127" t="n">
        <v>46241</v>
      </c>
      <c r="G1382" s="127" t="n">
        <v>46247</v>
      </c>
      <c r="H1382" s="127" t="n">
        <v>46293</v>
      </c>
      <c r="I1382" s="4" t="n">
        <v>0</v>
      </c>
      <c r="J1382" s="4" t="n">
        <v>100</v>
      </c>
      <c r="K1382" s="4" t="n">
        <v>100</v>
      </c>
      <c r="M1382" s="2" t="str">
        <f aca="false">IF(C1382="","",IFERROR(INDEX($S$5:$S$304,MATCH(C1382,$R$5:$R$304,0))&amp;"","?"))</f>
        <v>04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-2</v>
      </c>
      <c r="O1382" s="2" t="str">
        <f aca="false">IF(OR(F1382="",G1382=""),"",IF(G1382&lt;='RETRATO 2027'!$K$5,"CONCLUÍDA",IF(F1382&lt;='RETRATO 2027'!$K$5,"EM ANDAMENTO","A INICIAR")))</f>
        <v>CONCLUÍDA</v>
      </c>
    </row>
    <row r="1383" customFormat="false" ht="15" hidden="false" customHeight="false" outlineLevel="0" collapsed="false">
      <c r="B1383" s="4" t="n">
        <v>31059794</v>
      </c>
      <c r="C1383" s="4" t="s">
        <v>2823</v>
      </c>
      <c r="D1383" s="4" t="s">
        <v>3674</v>
      </c>
      <c r="E1383" s="4" t="s">
        <v>3449</v>
      </c>
      <c r="F1383" s="127" t="n">
        <v>46248</v>
      </c>
      <c r="G1383" s="127" t="n">
        <v>46251</v>
      </c>
      <c r="H1383" s="127" t="n">
        <v>46293</v>
      </c>
      <c r="I1383" s="4" t="n">
        <v>0</v>
      </c>
      <c r="J1383" s="4" t="n">
        <v>100</v>
      </c>
      <c r="K1383" s="4" t="n">
        <v>100</v>
      </c>
      <c r="M1383" s="2" t="str">
        <f aca="false">IF(C1383="","",IFERROR(INDEX($S$5:$S$304,MATCH(C1383,$R$5:$R$304,0))&amp;"","?"))</f>
        <v>04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-2</v>
      </c>
      <c r="O1383" s="2" t="str">
        <f aca="false">IF(OR(F1383="",G1383=""),"",IF(G1383&lt;='RETRATO 2027'!$K$5,"CONCLUÍDA",IF(F1383&lt;='RETRATO 2027'!$K$5,"EM ANDAMENTO","A INICIAR")))</f>
        <v>CONCLUÍDA</v>
      </c>
    </row>
    <row r="1384" customFormat="false" ht="15" hidden="false" customHeight="false" outlineLevel="0" collapsed="false">
      <c r="B1384" s="4" t="n">
        <v>31059795</v>
      </c>
      <c r="C1384" s="4" t="s">
        <v>2823</v>
      </c>
      <c r="D1384" s="4" t="s">
        <v>3675</v>
      </c>
      <c r="E1384" s="4" t="s">
        <v>3449</v>
      </c>
      <c r="F1384" s="127" t="n">
        <v>46252</v>
      </c>
      <c r="G1384" s="127" t="n">
        <v>46261</v>
      </c>
      <c r="H1384" s="127" t="n">
        <v>46293</v>
      </c>
      <c r="I1384" s="4" t="n">
        <v>0</v>
      </c>
      <c r="J1384" s="4" t="n">
        <v>100</v>
      </c>
      <c r="K1384" s="4" t="n">
        <v>100</v>
      </c>
      <c r="M1384" s="2" t="str">
        <f aca="false">IF(C1384="","",IFERROR(INDEX($S$5:$S$304,MATCH(C1384,$R$5:$R$304,0))&amp;"","?"))</f>
        <v>04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-2</v>
      </c>
      <c r="O1384" s="2" t="str">
        <f aca="false">IF(OR(F1384="",G1384=""),"",IF(G1384&lt;='RETRATO 2027'!$K$5,"CONCLUÍDA",IF(F1384&lt;='RETRATO 2027'!$K$5,"EM ANDAMENTO","A INICIAR")))</f>
        <v>CONCLUÍDA</v>
      </c>
    </row>
    <row r="1385" customFormat="false" ht="15" hidden="false" customHeight="false" outlineLevel="0" collapsed="false">
      <c r="B1385" s="4" t="n">
        <v>31059796</v>
      </c>
      <c r="C1385" s="4" t="s">
        <v>2823</v>
      </c>
      <c r="D1385" s="4" t="s">
        <v>214</v>
      </c>
      <c r="E1385" s="4" t="s">
        <v>3449</v>
      </c>
      <c r="F1385" s="127" t="n">
        <v>46262</v>
      </c>
      <c r="G1385" s="127" t="n">
        <v>46266</v>
      </c>
      <c r="H1385" s="127" t="n">
        <v>46293</v>
      </c>
      <c r="I1385" s="4" t="n">
        <v>0</v>
      </c>
      <c r="J1385" s="4" t="n">
        <v>100</v>
      </c>
      <c r="K1385" s="4" t="n">
        <v>100</v>
      </c>
      <c r="M1385" s="2" t="str">
        <f aca="false">IF(C1385="","",IFERROR(INDEX($S$5:$S$304,MATCH(C1385,$R$5:$R$304,0))&amp;"","?"))</f>
        <v>04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-2</v>
      </c>
      <c r="O1385" s="2" t="str">
        <f aca="false">IF(OR(F1385="",G1385=""),"",IF(G1385&lt;='RETRATO 2027'!$K$5,"CONCLUÍDA",IF(F1385&lt;='RETRATO 2027'!$K$5,"EM ANDAMENTO","A INICIAR")))</f>
        <v>CONCLUÍDA</v>
      </c>
    </row>
    <row r="1386" customFormat="false" ht="15" hidden="false" customHeight="false" outlineLevel="0" collapsed="false">
      <c r="B1386" s="4" t="n">
        <v>31059797</v>
      </c>
      <c r="C1386" s="4" t="s">
        <v>2823</v>
      </c>
      <c r="D1386" s="4" t="s">
        <v>3665</v>
      </c>
      <c r="E1386" s="4" t="s">
        <v>3449</v>
      </c>
      <c r="F1386" s="127" t="n">
        <v>46267</v>
      </c>
      <c r="G1386" s="127" t="n">
        <v>46269</v>
      </c>
      <c r="H1386" s="127" t="n">
        <v>46293</v>
      </c>
      <c r="I1386" s="4" t="n">
        <v>0</v>
      </c>
      <c r="J1386" s="4" t="n">
        <v>100</v>
      </c>
      <c r="K1386" s="4" t="n">
        <v>100</v>
      </c>
      <c r="M1386" s="2" t="str">
        <f aca="false">IF(C1386="","",IFERROR(INDEX($S$5:$S$304,MATCH(C1386,$R$5:$R$304,0))&amp;"","?"))</f>
        <v>04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-2</v>
      </c>
      <c r="O1386" s="2" t="str">
        <f aca="false">IF(OR(F1386="",G1386=""),"",IF(G1386&lt;='RETRATO 2027'!$K$5,"CONCLUÍDA",IF(F1386&lt;='RETRATO 2027'!$K$5,"EM ANDAMENTO","A INICIAR")))</f>
        <v>CONCLUÍDA</v>
      </c>
    </row>
    <row r="1387" customFormat="false" ht="15" hidden="false" customHeight="false" outlineLevel="0" collapsed="false">
      <c r="B1387" s="4" t="n">
        <v>26744980</v>
      </c>
      <c r="C1387" s="4" t="s">
        <v>163</v>
      </c>
      <c r="D1387" s="4" t="s">
        <v>433</v>
      </c>
      <c r="E1387" s="4" t="s">
        <v>3558</v>
      </c>
      <c r="F1387" s="127" t="n">
        <v>46244</v>
      </c>
      <c r="G1387" s="127" t="n">
        <v>46253</v>
      </c>
      <c r="H1387" s="127" t="n">
        <v>46293</v>
      </c>
      <c r="I1387" s="4" t="n">
        <v>100</v>
      </c>
      <c r="J1387" s="4" t="n">
        <v>100</v>
      </c>
      <c r="K1387" s="4" t="n">
        <v>100</v>
      </c>
      <c r="M1387" s="2" t="str">
        <f aca="false">IF(C1387="","",IFERROR(INDEX($S$5:$S$304,MATCH(C1387,$R$5:$R$304,0))&amp;"","?"))</f>
        <v>18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-4</v>
      </c>
      <c r="O1387" s="2" t="str">
        <f aca="false">IF(OR(F1387="",G1387=""),"",IF(G1387&lt;='RETRATO 2027'!$K$5,"CONCLUÍDA",IF(F1387&lt;='RETRATO 2027'!$K$5,"EM ANDAMENTO","A INICIAR")))</f>
        <v>CONCLUÍDA</v>
      </c>
    </row>
    <row r="1388" customFormat="false" ht="15" hidden="false" customHeight="false" outlineLevel="0" collapsed="false">
      <c r="B1388" s="4" t="n">
        <v>44923021</v>
      </c>
      <c r="C1388" s="4" t="s">
        <v>163</v>
      </c>
      <c r="D1388" s="4" t="s">
        <v>433</v>
      </c>
      <c r="E1388" s="4" t="s">
        <v>3676</v>
      </c>
      <c r="F1388" s="127" t="n">
        <v>46244</v>
      </c>
      <c r="G1388" s="127" t="n">
        <v>46253</v>
      </c>
      <c r="H1388" s="127" t="n">
        <v>46293</v>
      </c>
      <c r="I1388" s="4" t="n">
        <v>0</v>
      </c>
      <c r="J1388" s="4" t="n">
        <v>100</v>
      </c>
      <c r="K1388" s="4" t="n">
        <v>100</v>
      </c>
      <c r="M1388" s="2" t="str">
        <f aca="false">IF(C1388="","",IFERROR(INDEX($S$5:$S$304,MATCH(C1388,$R$5:$R$304,0))&amp;"","?"))</f>
        <v>18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-3</v>
      </c>
      <c r="O1388" s="2" t="str">
        <f aca="false">IF(OR(F1388="",G1388=""),"",IF(G1388&lt;='RETRATO 2027'!$K$5,"CONCLUÍDA",IF(F1388&lt;='RETRATO 2027'!$K$5,"EM ANDAMENTO","A INICIAR")))</f>
        <v>CONCLUÍDA</v>
      </c>
    </row>
    <row r="1389" customFormat="false" ht="15" hidden="false" customHeight="false" outlineLevel="0" collapsed="false">
      <c r="B1389" s="4" t="n">
        <v>44923079</v>
      </c>
      <c r="C1389" s="4" t="s">
        <v>2770</v>
      </c>
      <c r="D1389" s="4" t="s">
        <v>433</v>
      </c>
      <c r="E1389" s="4" t="s">
        <v>3676</v>
      </c>
      <c r="F1389" s="127" t="n">
        <v>46244</v>
      </c>
      <c r="G1389" s="127" t="n">
        <v>46253</v>
      </c>
      <c r="H1389" s="127" t="n">
        <v>46293</v>
      </c>
      <c r="I1389" s="4" t="n">
        <v>0</v>
      </c>
      <c r="J1389" s="4" t="n">
        <v>100</v>
      </c>
      <c r="K1389" s="4" t="n">
        <v>100</v>
      </c>
      <c r="M1389" s="2" t="str">
        <f aca="false">IF(C1389="","",IFERROR(INDEX($S$5:$S$304,MATCH(C1389,$R$5:$R$304,0))&amp;"","?"))</f>
        <v>20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-3</v>
      </c>
      <c r="O1389" s="2" t="str">
        <f aca="false">IF(OR(F1389="",G1389=""),"",IF(G1389&lt;='RETRATO 2027'!$K$5,"CONCLUÍDA",IF(F1389&lt;='RETRATO 2027'!$K$5,"EM ANDAMENTO","A INICIAR")))</f>
        <v>CONCLUÍDA</v>
      </c>
    </row>
    <row r="1390" customFormat="false" ht="15" hidden="false" customHeight="false" outlineLevel="0" collapsed="false">
      <c r="B1390" s="4" t="n">
        <v>44922993</v>
      </c>
      <c r="C1390" s="4" t="s">
        <v>2826</v>
      </c>
      <c r="D1390" s="4" t="s">
        <v>433</v>
      </c>
      <c r="E1390" s="4" t="s">
        <v>3676</v>
      </c>
      <c r="F1390" s="127" t="n">
        <v>46244</v>
      </c>
      <c r="G1390" s="127" t="n">
        <v>46253</v>
      </c>
      <c r="H1390" s="127" t="n">
        <v>46293</v>
      </c>
      <c r="I1390" s="4" t="n">
        <v>0</v>
      </c>
      <c r="J1390" s="4" t="n">
        <v>100</v>
      </c>
      <c r="K1390" s="4" t="n">
        <v>100</v>
      </c>
      <c r="M1390" s="2" t="str">
        <f aca="false">IF(C1390="","",IFERROR(INDEX($S$5:$S$304,MATCH(C1390,$R$5:$R$304,0))&amp;"","?"))</f>
        <v>21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-3</v>
      </c>
      <c r="O1390" s="2" t="str">
        <f aca="false">IF(OR(F1390="",G1390=""),"",IF(G1390&lt;='RETRATO 2027'!$K$5,"CONCLUÍDA",IF(F1390&lt;='RETRATO 2027'!$K$5,"EM ANDAMENTO","A INICIAR")))</f>
        <v>CONCLUÍDA</v>
      </c>
    </row>
    <row r="1391" customFormat="false" ht="15" hidden="false" customHeight="false" outlineLevel="0" collapsed="false">
      <c r="B1391" s="4" t="n">
        <v>26735646</v>
      </c>
      <c r="C1391" s="4" t="s">
        <v>2684</v>
      </c>
      <c r="D1391" s="4" t="s">
        <v>433</v>
      </c>
      <c r="E1391" s="4" t="s">
        <v>3626</v>
      </c>
      <c r="F1391" s="127" t="n">
        <v>46245</v>
      </c>
      <c r="G1391" s="127" t="n">
        <v>46267</v>
      </c>
      <c r="H1391" s="127" t="n">
        <v>46293</v>
      </c>
      <c r="I1391" s="4" t="n">
        <v>100</v>
      </c>
      <c r="J1391" s="4" t="n">
        <v>100</v>
      </c>
      <c r="K1391" s="4" t="n">
        <v>100</v>
      </c>
      <c r="M1391" s="2" t="str">
        <f aca="false">IF(C1391="","",IFERROR(INDEX($S$5:$S$304,MATCH(C1391,$R$5:$R$304,0))&amp;"","?"))</f>
        <v>17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2</v>
      </c>
      <c r="O1391" s="2" t="str">
        <f aca="false">IF(OR(F1391="",G1391=""),"",IF(G1391&lt;='RETRATO 2027'!$K$5,"CONCLUÍDA",IF(F1391&lt;='RETRATO 2027'!$K$5,"EM ANDAMENTO","A INICIAR")))</f>
        <v>CONCLUÍDA</v>
      </c>
    </row>
    <row r="1392" customFormat="false" ht="15" hidden="false" customHeight="false" outlineLevel="0" collapsed="false">
      <c r="B1392" s="4" t="n">
        <v>9522933</v>
      </c>
      <c r="C1392" s="4" t="s">
        <v>2684</v>
      </c>
      <c r="D1392" s="4" t="s">
        <v>3244</v>
      </c>
      <c r="E1392" s="4" t="s">
        <v>3626</v>
      </c>
      <c r="F1392" s="127" t="n">
        <v>46245</v>
      </c>
      <c r="G1392" s="127" t="n">
        <v>46247</v>
      </c>
      <c r="H1392" s="127" t="n">
        <v>46293</v>
      </c>
      <c r="I1392" s="4" t="n">
        <v>100</v>
      </c>
      <c r="J1392" s="4" t="n">
        <v>100</v>
      </c>
      <c r="K1392" s="4" t="n">
        <v>100</v>
      </c>
      <c r="M1392" s="2" t="str">
        <f aca="false">IF(C1392="","",IFERROR(INDEX($S$5:$S$304,MATCH(C1392,$R$5:$R$304,0))&amp;"","?"))</f>
        <v>17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2</v>
      </c>
      <c r="O1392" s="2" t="str">
        <f aca="false">IF(OR(F1392="",G1392=""),"",IF(G1392&lt;='RETRATO 2027'!$K$5,"CONCLUÍDA",IF(F1392&lt;='RETRATO 2027'!$K$5,"EM ANDAMENTO","A INICIAR")))</f>
        <v>CONCLUÍDA</v>
      </c>
    </row>
    <row r="1393" customFormat="false" ht="15" hidden="false" customHeight="false" outlineLevel="0" collapsed="false">
      <c r="B1393" s="4" t="n">
        <v>9522934</v>
      </c>
      <c r="C1393" s="4" t="s">
        <v>2684</v>
      </c>
      <c r="D1393" s="4" t="s">
        <v>3245</v>
      </c>
      <c r="E1393" s="4" t="s">
        <v>3626</v>
      </c>
      <c r="F1393" s="127" t="n">
        <v>46247</v>
      </c>
      <c r="G1393" s="127" t="n">
        <v>46251</v>
      </c>
      <c r="H1393" s="127" t="n">
        <v>46293</v>
      </c>
      <c r="I1393" s="4" t="n">
        <v>100</v>
      </c>
      <c r="J1393" s="4" t="n">
        <v>100</v>
      </c>
      <c r="K1393" s="4" t="n">
        <v>100</v>
      </c>
      <c r="M1393" s="2" t="str">
        <f aca="false">IF(C1393="","",IFERROR(INDEX($S$5:$S$304,MATCH(C1393,$R$5:$R$304,0))&amp;"","?"))</f>
        <v>17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2</v>
      </c>
      <c r="O1393" s="2" t="str">
        <f aca="false">IF(OR(F1393="",G1393=""),"",IF(G1393&lt;='RETRATO 2027'!$K$5,"CONCLUÍDA",IF(F1393&lt;='RETRATO 2027'!$K$5,"EM ANDAMENTO","A INICIAR")))</f>
        <v>CONCLUÍDA</v>
      </c>
    </row>
    <row r="1394" customFormat="false" ht="15" hidden="false" customHeight="false" outlineLevel="0" collapsed="false">
      <c r="B1394" s="4" t="n">
        <v>9522935</v>
      </c>
      <c r="C1394" s="4" t="s">
        <v>2684</v>
      </c>
      <c r="D1394" s="4" t="s">
        <v>3246</v>
      </c>
      <c r="E1394" s="4" t="s">
        <v>3626</v>
      </c>
      <c r="F1394" s="127" t="n">
        <v>46248</v>
      </c>
      <c r="G1394" s="127" t="n">
        <v>46254</v>
      </c>
      <c r="H1394" s="127" t="n">
        <v>46293</v>
      </c>
      <c r="I1394" s="4" t="n">
        <v>100</v>
      </c>
      <c r="J1394" s="4" t="n">
        <v>100</v>
      </c>
      <c r="K1394" s="4" t="n">
        <v>100</v>
      </c>
      <c r="M1394" s="2" t="str">
        <f aca="false">IF(C1394="","",IFERROR(INDEX($S$5:$S$304,MATCH(C1394,$R$5:$R$304,0))&amp;"","?"))</f>
        <v>17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2</v>
      </c>
      <c r="O1394" s="2" t="str">
        <f aca="false">IF(OR(F1394="",G1394=""),"",IF(G1394&lt;='RETRATO 2027'!$K$5,"CONCLUÍDA",IF(F1394&lt;='RETRATO 2027'!$K$5,"EM ANDAMENTO","A INICIAR")))</f>
        <v>CONCLUÍDA</v>
      </c>
    </row>
    <row r="1395" customFormat="false" ht="15" hidden="false" customHeight="false" outlineLevel="0" collapsed="false">
      <c r="B1395" s="4" t="n">
        <v>9522936</v>
      </c>
      <c r="C1395" s="4" t="s">
        <v>2684</v>
      </c>
      <c r="D1395" s="4" t="s">
        <v>3247</v>
      </c>
      <c r="E1395" s="4" t="s">
        <v>3626</v>
      </c>
      <c r="F1395" s="127" t="n">
        <v>46255</v>
      </c>
      <c r="G1395" s="127" t="n">
        <v>46255</v>
      </c>
      <c r="H1395" s="127" t="n">
        <v>46293</v>
      </c>
      <c r="I1395" s="4" t="n">
        <v>100</v>
      </c>
      <c r="J1395" s="4" t="n">
        <v>100</v>
      </c>
      <c r="K1395" s="4" t="n">
        <v>100</v>
      </c>
      <c r="M1395" s="2" t="str">
        <f aca="false">IF(C1395="","",IFERROR(INDEX($S$5:$S$304,MATCH(C1395,$R$5:$R$304,0))&amp;"","?"))</f>
        <v>17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2</v>
      </c>
      <c r="O1395" s="2" t="str">
        <f aca="false">IF(OR(F1395="",G1395=""),"",IF(G1395&lt;='RETRATO 2027'!$K$5,"CONCLUÍDA",IF(F1395&lt;='RETRATO 2027'!$K$5,"EM ANDAMENTO","A INICIAR")))</f>
        <v>CONCLUÍDA</v>
      </c>
    </row>
    <row r="1396" customFormat="false" ht="15" hidden="false" customHeight="false" outlineLevel="0" collapsed="false">
      <c r="B1396" s="4" t="n">
        <v>9522937</v>
      </c>
      <c r="C1396" s="4" t="s">
        <v>2684</v>
      </c>
      <c r="D1396" s="4" t="s">
        <v>3248</v>
      </c>
      <c r="E1396" s="4" t="s">
        <v>3626</v>
      </c>
      <c r="F1396" s="127" t="n">
        <v>46258</v>
      </c>
      <c r="G1396" s="127" t="n">
        <v>46267</v>
      </c>
      <c r="H1396" s="127" t="n">
        <v>46293</v>
      </c>
      <c r="I1396" s="4" t="n">
        <v>100</v>
      </c>
      <c r="J1396" s="4" t="n">
        <v>100</v>
      </c>
      <c r="K1396" s="4" t="n">
        <v>100</v>
      </c>
      <c r="M1396" s="2" t="str">
        <f aca="false">IF(C1396="","",IFERROR(INDEX($S$5:$S$304,MATCH(C1396,$R$5:$R$304,0))&amp;"","?"))</f>
        <v>17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2</v>
      </c>
      <c r="O1396" s="2" t="str">
        <f aca="false">IF(OR(F1396="",G1396=""),"",IF(G1396&lt;='RETRATO 2027'!$K$5,"CONCLUÍDA",IF(F1396&lt;='RETRATO 2027'!$K$5,"EM ANDAMENTO","A INICIAR")))</f>
        <v>CONCLUÍDA</v>
      </c>
    </row>
    <row r="1397" customFormat="false" ht="15" hidden="false" customHeight="false" outlineLevel="0" collapsed="false">
      <c r="B1397" s="4" t="n">
        <v>9522938</v>
      </c>
      <c r="C1397" s="4" t="s">
        <v>2684</v>
      </c>
      <c r="D1397" s="4" t="s">
        <v>3249</v>
      </c>
      <c r="E1397" s="4" t="s">
        <v>3626</v>
      </c>
      <c r="F1397" s="127" t="n">
        <v>46259</v>
      </c>
      <c r="G1397" s="127" t="n">
        <v>46261</v>
      </c>
      <c r="H1397" s="127" t="n">
        <v>46293</v>
      </c>
      <c r="I1397" s="4" t="n">
        <v>100</v>
      </c>
      <c r="J1397" s="4" t="n">
        <v>100</v>
      </c>
      <c r="K1397" s="4" t="n">
        <v>100</v>
      </c>
      <c r="M1397" s="2" t="str">
        <f aca="false">IF(C1397="","",IFERROR(INDEX($S$5:$S$304,MATCH(C1397,$R$5:$R$304,0))&amp;"","?"))</f>
        <v>17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2</v>
      </c>
      <c r="O1397" s="2" t="str">
        <f aca="false">IF(OR(F1397="",G1397=""),"",IF(G1397&lt;='RETRATO 2027'!$K$5,"CONCLUÍDA",IF(F1397&lt;='RETRATO 2027'!$K$5,"EM ANDAMENTO","A INICIAR")))</f>
        <v>CONCLUÍDA</v>
      </c>
    </row>
    <row r="1398" customFormat="false" ht="15" hidden="false" customHeight="false" outlineLevel="0" collapsed="false">
      <c r="B1398" s="4" t="n">
        <v>9522939</v>
      </c>
      <c r="C1398" s="4" t="s">
        <v>2684</v>
      </c>
      <c r="D1398" s="4" t="s">
        <v>3250</v>
      </c>
      <c r="E1398" s="4" t="s">
        <v>3626</v>
      </c>
      <c r="F1398" s="127" t="n">
        <v>46260</v>
      </c>
      <c r="G1398" s="127" t="n">
        <v>46261</v>
      </c>
      <c r="H1398" s="127" t="n">
        <v>46293</v>
      </c>
      <c r="I1398" s="4" t="n">
        <v>100</v>
      </c>
      <c r="J1398" s="4" t="n">
        <v>100</v>
      </c>
      <c r="K1398" s="4" t="n">
        <v>100</v>
      </c>
      <c r="M1398" s="2" t="str">
        <f aca="false">IF(C1398="","",IFERROR(INDEX($S$5:$S$304,MATCH(C1398,$R$5:$R$304,0))&amp;"","?"))</f>
        <v>17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2</v>
      </c>
      <c r="O1398" s="2" t="str">
        <f aca="false">IF(OR(F1398="",G1398=""),"",IF(G1398&lt;='RETRATO 2027'!$K$5,"CONCLUÍDA",IF(F1398&lt;='RETRATO 2027'!$K$5,"EM ANDAMENTO","A INICIAR")))</f>
        <v>CONCLUÍDA</v>
      </c>
    </row>
    <row r="1399" customFormat="false" ht="15" hidden="false" customHeight="false" outlineLevel="0" collapsed="false">
      <c r="B1399" s="4" t="n">
        <v>9522940</v>
      </c>
      <c r="C1399" s="4" t="s">
        <v>2684</v>
      </c>
      <c r="D1399" s="4" t="s">
        <v>3251</v>
      </c>
      <c r="E1399" s="4" t="s">
        <v>3626</v>
      </c>
      <c r="F1399" s="127" t="n">
        <v>46261</v>
      </c>
      <c r="G1399" s="127" t="n">
        <v>46262</v>
      </c>
      <c r="H1399" s="127" t="n">
        <v>46293</v>
      </c>
      <c r="I1399" s="4" t="n">
        <v>100</v>
      </c>
      <c r="J1399" s="4" t="n">
        <v>100</v>
      </c>
      <c r="K1399" s="4" t="n">
        <v>100</v>
      </c>
      <c r="M1399" s="2" t="str">
        <f aca="false">IF(C1399="","",IFERROR(INDEX($S$5:$S$304,MATCH(C1399,$R$5:$R$304,0))&amp;"","?"))</f>
        <v>17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2</v>
      </c>
      <c r="O1399" s="2" t="str">
        <f aca="false">IF(OR(F1399="",G1399=""),"",IF(G1399&lt;='RETRATO 2027'!$K$5,"CONCLUÍDA",IF(F1399&lt;='RETRATO 2027'!$K$5,"EM ANDAMENTO","A INICIAR")))</f>
        <v>CONCLUÍDA</v>
      </c>
    </row>
    <row r="1400" customFormat="false" ht="15" hidden="false" customHeight="false" outlineLevel="0" collapsed="false">
      <c r="B1400" s="4" t="n">
        <v>9522941</v>
      </c>
      <c r="C1400" s="4" t="s">
        <v>2684</v>
      </c>
      <c r="D1400" s="4" t="s">
        <v>3252</v>
      </c>
      <c r="E1400" s="4" t="s">
        <v>3626</v>
      </c>
      <c r="F1400" s="127" t="n">
        <v>46265</v>
      </c>
      <c r="G1400" s="127" t="n">
        <v>46265</v>
      </c>
      <c r="H1400" s="127" t="n">
        <v>46293</v>
      </c>
      <c r="I1400" s="4" t="n">
        <v>100</v>
      </c>
      <c r="J1400" s="4" t="n">
        <v>100</v>
      </c>
      <c r="K1400" s="4" t="n">
        <v>100</v>
      </c>
      <c r="M1400" s="2" t="str">
        <f aca="false">IF(C1400="","",IFERROR(INDEX($S$5:$S$304,MATCH(C1400,$R$5:$R$304,0))&amp;"","?"))</f>
        <v>17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2</v>
      </c>
      <c r="O1400" s="2" t="str">
        <f aca="false">IF(OR(F1400="",G1400=""),"",IF(G1400&lt;='RETRATO 2027'!$K$5,"CONCLUÍDA",IF(F1400&lt;='RETRATO 2027'!$K$5,"EM ANDAMENTO","A INICIAR")))</f>
        <v>CONCLUÍDA</v>
      </c>
    </row>
    <row r="1401" customFormat="false" ht="15" hidden="false" customHeight="false" outlineLevel="0" collapsed="false">
      <c r="B1401" s="4" t="n">
        <v>36884427</v>
      </c>
      <c r="C1401" s="4" t="s">
        <v>2708</v>
      </c>
      <c r="D1401" s="4" t="s">
        <v>433</v>
      </c>
      <c r="E1401" s="4" t="s">
        <v>3626</v>
      </c>
      <c r="F1401" s="127" t="n">
        <v>46245</v>
      </c>
      <c r="G1401" s="127" t="n">
        <v>46267</v>
      </c>
      <c r="H1401" s="127" t="n">
        <v>46293</v>
      </c>
      <c r="I1401" s="4" t="n">
        <v>100</v>
      </c>
      <c r="J1401" s="4" t="n">
        <v>100</v>
      </c>
      <c r="K1401" s="4" t="n">
        <v>100</v>
      </c>
      <c r="M1401" s="2" t="str">
        <f aca="false">IF(C1401="","",IFERROR(INDEX($S$5:$S$304,MATCH(C1401,$R$5:$R$304,0))&amp;"","?"))</f>
        <v>17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2</v>
      </c>
      <c r="O1401" s="2" t="str">
        <f aca="false">IF(OR(F1401="",G1401=""),"",IF(G1401&lt;='RETRATO 2027'!$K$5,"CONCLUÍDA",IF(F1401&lt;='RETRATO 2027'!$K$5,"EM ANDAMENTO","A INICIAR")))</f>
        <v>CONCLUÍDA</v>
      </c>
    </row>
    <row r="1402" customFormat="false" ht="15" hidden="false" customHeight="false" outlineLevel="0" collapsed="false">
      <c r="B1402" s="4" t="n">
        <v>14991674</v>
      </c>
      <c r="C1402" s="4" t="s">
        <v>2708</v>
      </c>
      <c r="D1402" s="4" t="s">
        <v>3548</v>
      </c>
      <c r="E1402" s="4" t="s">
        <v>3626</v>
      </c>
      <c r="F1402" s="127" t="n">
        <v>46245</v>
      </c>
      <c r="G1402" s="127" t="n">
        <v>46246</v>
      </c>
      <c r="H1402" s="127" t="n">
        <v>46293</v>
      </c>
      <c r="I1402" s="4" t="n">
        <v>100</v>
      </c>
      <c r="J1402" s="4" t="n">
        <v>100</v>
      </c>
      <c r="K1402" s="4" t="n">
        <v>100</v>
      </c>
      <c r="M1402" s="2" t="str">
        <f aca="false">IF(C1402="","",IFERROR(INDEX($S$5:$S$304,MATCH(C1402,$R$5:$R$304,0))&amp;"","?"))</f>
        <v>17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2</v>
      </c>
      <c r="O1402" s="2" t="str">
        <f aca="false">IF(OR(F1402="",G1402=""),"",IF(G1402&lt;='RETRATO 2027'!$K$5,"CONCLUÍDA",IF(F1402&lt;='RETRATO 2027'!$K$5,"EM ANDAMENTO","A INICIAR")))</f>
        <v>CONCLUÍDA</v>
      </c>
    </row>
    <row r="1403" customFormat="false" ht="15" hidden="false" customHeight="false" outlineLevel="0" collapsed="false">
      <c r="B1403" s="4" t="n">
        <v>14991675</v>
      </c>
      <c r="C1403" s="4" t="s">
        <v>2708</v>
      </c>
      <c r="D1403" s="4" t="s">
        <v>3543</v>
      </c>
      <c r="E1403" s="4" t="s">
        <v>3626</v>
      </c>
      <c r="F1403" s="127" t="n">
        <v>46247</v>
      </c>
      <c r="G1403" s="127" t="n">
        <v>46252</v>
      </c>
      <c r="H1403" s="127" t="n">
        <v>46293</v>
      </c>
      <c r="I1403" s="4" t="n">
        <v>100</v>
      </c>
      <c r="J1403" s="4" t="n">
        <v>100</v>
      </c>
      <c r="K1403" s="4" t="n">
        <v>100</v>
      </c>
      <c r="M1403" s="2" t="str">
        <f aca="false">IF(C1403="","",IFERROR(INDEX($S$5:$S$304,MATCH(C1403,$R$5:$R$304,0))&amp;"","?"))</f>
        <v>17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2</v>
      </c>
      <c r="O1403" s="2" t="str">
        <f aca="false">IF(OR(F1403="",G1403=""),"",IF(G1403&lt;='RETRATO 2027'!$K$5,"CONCLUÍDA",IF(F1403&lt;='RETRATO 2027'!$K$5,"EM ANDAMENTO","A INICIAR")))</f>
        <v>CONCLUÍDA</v>
      </c>
    </row>
    <row r="1404" customFormat="false" ht="15" hidden="false" customHeight="false" outlineLevel="0" collapsed="false">
      <c r="B1404" s="4" t="n">
        <v>14991676</v>
      </c>
      <c r="C1404" s="4" t="s">
        <v>2708</v>
      </c>
      <c r="D1404" s="4" t="s">
        <v>3535</v>
      </c>
      <c r="E1404" s="4" t="s">
        <v>3626</v>
      </c>
      <c r="F1404" s="127" t="n">
        <v>46248</v>
      </c>
      <c r="G1404" s="127" t="n">
        <v>46261</v>
      </c>
      <c r="H1404" s="127" t="n">
        <v>46293</v>
      </c>
      <c r="I1404" s="4" t="n">
        <v>100</v>
      </c>
      <c r="J1404" s="4" t="n">
        <v>100</v>
      </c>
      <c r="K1404" s="4" t="n">
        <v>100</v>
      </c>
      <c r="M1404" s="2" t="str">
        <f aca="false">IF(C1404="","",IFERROR(INDEX($S$5:$S$304,MATCH(C1404,$R$5:$R$304,0))&amp;"","?"))</f>
        <v>17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2</v>
      </c>
      <c r="O1404" s="2" t="str">
        <f aca="false">IF(OR(F1404="",G1404=""),"",IF(G1404&lt;='RETRATO 2027'!$K$5,"CONCLUÍDA",IF(F1404&lt;='RETRATO 2027'!$K$5,"EM ANDAMENTO","A INICIAR")))</f>
        <v>CONCLUÍDA</v>
      </c>
    </row>
    <row r="1405" customFormat="false" ht="15" hidden="false" customHeight="false" outlineLevel="0" collapsed="false">
      <c r="B1405" s="4" t="n">
        <v>14991677</v>
      </c>
      <c r="C1405" s="4" t="s">
        <v>2708</v>
      </c>
      <c r="D1405" s="4" t="s">
        <v>3536</v>
      </c>
      <c r="E1405" s="4" t="s">
        <v>3626</v>
      </c>
      <c r="F1405" s="127" t="n">
        <v>46260</v>
      </c>
      <c r="G1405" s="127" t="n">
        <v>46266</v>
      </c>
      <c r="H1405" s="127" t="n">
        <v>46293</v>
      </c>
      <c r="I1405" s="4" t="n">
        <v>100</v>
      </c>
      <c r="J1405" s="4" t="n">
        <v>100</v>
      </c>
      <c r="K1405" s="4" t="n">
        <v>100</v>
      </c>
      <c r="M1405" s="2" t="str">
        <f aca="false">IF(C1405="","",IFERROR(INDEX($S$5:$S$304,MATCH(C1405,$R$5:$R$304,0))&amp;"","?"))</f>
        <v>17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2</v>
      </c>
      <c r="O1405" s="2" t="str">
        <f aca="false">IF(OR(F1405="",G1405=""),"",IF(G1405&lt;='RETRATO 2027'!$K$5,"CONCLUÍDA",IF(F1405&lt;='RETRATO 2027'!$K$5,"EM ANDAMENTO","A INICIAR")))</f>
        <v>CONCLUÍDA</v>
      </c>
    </row>
    <row r="1406" customFormat="false" ht="15" hidden="false" customHeight="false" outlineLevel="0" collapsed="false">
      <c r="B1406" s="4" t="n">
        <v>14991678</v>
      </c>
      <c r="C1406" s="4" t="s">
        <v>2708</v>
      </c>
      <c r="D1406" s="4" t="s">
        <v>3677</v>
      </c>
      <c r="E1406" s="4" t="s">
        <v>3626</v>
      </c>
      <c r="F1406" s="127" t="n">
        <v>46267</v>
      </c>
      <c r="G1406" s="127" t="n">
        <v>46267</v>
      </c>
      <c r="H1406" s="127" t="n">
        <v>46293</v>
      </c>
      <c r="I1406" s="4" t="n">
        <v>100</v>
      </c>
      <c r="J1406" s="4" t="n">
        <v>100</v>
      </c>
      <c r="K1406" s="4" t="n">
        <v>100</v>
      </c>
      <c r="M1406" s="2" t="str">
        <f aca="false">IF(C1406="","",IFERROR(INDEX($S$5:$S$304,MATCH(C1406,$R$5:$R$304,0))&amp;"","?"))</f>
        <v>17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2</v>
      </c>
      <c r="O1406" s="2" t="str">
        <f aca="false">IF(OR(F1406="",G1406=""),"",IF(G1406&lt;='RETRATO 2027'!$K$5,"CONCLUÍDA",IF(F1406&lt;='RETRATO 2027'!$K$5,"EM ANDAMENTO","A INICIAR")))</f>
        <v>CONCLUÍDA</v>
      </c>
    </row>
    <row r="1407" customFormat="false" ht="15" hidden="false" customHeight="false" outlineLevel="0" collapsed="false">
      <c r="B1407" s="4" t="n">
        <v>48679984</v>
      </c>
      <c r="C1407" s="4" t="s">
        <v>2714</v>
      </c>
      <c r="D1407" s="4" t="s">
        <v>433</v>
      </c>
      <c r="E1407" s="4" t="s">
        <v>3678</v>
      </c>
      <c r="F1407" s="127" t="n">
        <v>46245</v>
      </c>
      <c r="G1407" s="127" t="n">
        <v>46254</v>
      </c>
      <c r="H1407" s="127" t="n">
        <v>46293</v>
      </c>
      <c r="I1407" s="4" t="n">
        <v>0</v>
      </c>
      <c r="J1407" s="4" t="n">
        <v>100</v>
      </c>
      <c r="K1407" s="4" t="n">
        <v>100</v>
      </c>
      <c r="M1407" s="2" t="str">
        <f aca="false">IF(C1407="","",IFERROR(INDEX($S$5:$S$304,MATCH(C1407,$R$5:$R$304,0))&amp;"","?"))</f>
        <v>17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5</v>
      </c>
      <c r="O1407" s="2" t="str">
        <f aca="false">IF(OR(F1407="",G1407=""),"",IF(G1407&lt;='RETRATO 2027'!$K$5,"CONCLUÍDA",IF(F1407&lt;='RETRATO 2027'!$K$5,"EM ANDAMENTO","A INICIAR")))</f>
        <v>CONCLUÍDA</v>
      </c>
    </row>
    <row r="1408" customFormat="false" ht="15" hidden="false" customHeight="false" outlineLevel="0" collapsed="false">
      <c r="B1408" s="4" t="n">
        <v>31847093</v>
      </c>
      <c r="C1408" s="4" t="s">
        <v>2714</v>
      </c>
      <c r="D1408" s="4" t="s">
        <v>3554</v>
      </c>
      <c r="E1408" s="4" t="s">
        <v>3678</v>
      </c>
      <c r="F1408" s="127" t="n">
        <v>46245</v>
      </c>
      <c r="G1408" s="127" t="n">
        <v>46245</v>
      </c>
      <c r="H1408" s="127" t="n">
        <v>46293</v>
      </c>
      <c r="I1408" s="4" t="n">
        <v>0</v>
      </c>
      <c r="J1408" s="4" t="n">
        <v>100</v>
      </c>
      <c r="K1408" s="4" t="n">
        <v>100</v>
      </c>
      <c r="M1408" s="2" t="str">
        <f aca="false">IF(C1408="","",IFERROR(INDEX($S$5:$S$304,MATCH(C1408,$R$5:$R$304,0))&amp;"","?"))</f>
        <v>17</v>
      </c>
      <c r="N1408" s="2" t="n">
        <f aca="false">IF(E1408="","",IF(ISNUMBER(SEARCH("SUBSOLO",E1408)),IFERROR(-VALUE(LEFT(E1408,FIND("º",SUBSTITUTE(E1408,"°","º"))-1)),-1),IF(LEFT(E1408,6)="TÉRREO",0,IFERROR(VALUE(LEFT(E1408,FIND("º",SUBSTITUTE(E1408,"°","º"))-1)),""))))</f>
        <v>5</v>
      </c>
      <c r="O1408" s="2" t="str">
        <f aca="false">IF(OR(F1408="",G1408=""),"",IF(G1408&lt;='RETRATO 2027'!$K$5,"CONCLUÍDA",IF(F1408&lt;='RETRATO 2027'!$K$5,"EM ANDAMENTO","A INICIAR")))</f>
        <v>CONCLUÍDA</v>
      </c>
    </row>
    <row r="1409" customFormat="false" ht="15" hidden="false" customHeight="false" outlineLevel="0" collapsed="false">
      <c r="B1409" s="4" t="n">
        <v>31847094</v>
      </c>
      <c r="C1409" s="4" t="s">
        <v>2714</v>
      </c>
      <c r="D1409" s="4" t="s">
        <v>3555</v>
      </c>
      <c r="E1409" s="4" t="s">
        <v>3678</v>
      </c>
      <c r="F1409" s="127" t="n">
        <v>46246</v>
      </c>
      <c r="G1409" s="127" t="n">
        <v>46246</v>
      </c>
      <c r="H1409" s="127" t="n">
        <v>46293</v>
      </c>
      <c r="I1409" s="4" t="n">
        <v>0</v>
      </c>
      <c r="J1409" s="4" t="n">
        <v>100</v>
      </c>
      <c r="K1409" s="4" t="n">
        <v>100</v>
      </c>
      <c r="M1409" s="2" t="str">
        <f aca="false">IF(C1409="","",IFERROR(INDEX($S$5:$S$304,MATCH(C1409,$R$5:$R$304,0))&amp;"","?"))</f>
        <v>17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5</v>
      </c>
      <c r="O1409" s="2" t="str">
        <f aca="false">IF(OR(F1409="",G1409=""),"",IF(G1409&lt;='RETRATO 2027'!$K$5,"CONCLUÍDA",IF(F1409&lt;='RETRATO 2027'!$K$5,"EM ANDAMENTO","A INICIAR")))</f>
        <v>CONCLUÍDA</v>
      </c>
    </row>
    <row r="1410" customFormat="false" ht="15" hidden="false" customHeight="false" outlineLevel="0" collapsed="false">
      <c r="B1410" s="4" t="n">
        <v>31847095</v>
      </c>
      <c r="C1410" s="4" t="s">
        <v>2714</v>
      </c>
      <c r="D1410" s="4" t="s">
        <v>3498</v>
      </c>
      <c r="E1410" s="4" t="s">
        <v>3678</v>
      </c>
      <c r="F1410" s="127" t="n">
        <v>46247</v>
      </c>
      <c r="G1410" s="127" t="n">
        <v>46247</v>
      </c>
      <c r="H1410" s="127" t="n">
        <v>46293</v>
      </c>
      <c r="I1410" s="4" t="n">
        <v>0</v>
      </c>
      <c r="J1410" s="4" t="n">
        <v>100</v>
      </c>
      <c r="K1410" s="4" t="n">
        <v>100</v>
      </c>
      <c r="M1410" s="2" t="str">
        <f aca="false">IF(C1410="","",IFERROR(INDEX($S$5:$S$304,MATCH(C1410,$R$5:$R$304,0))&amp;"","?"))</f>
        <v>17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5</v>
      </c>
      <c r="O1410" s="2" t="str">
        <f aca="false">IF(OR(F1410="",G1410=""),"",IF(G1410&lt;='RETRATO 2027'!$K$5,"CONCLUÍDA",IF(F1410&lt;='RETRATO 2027'!$K$5,"EM ANDAMENTO","A INICIAR")))</f>
        <v>CONCLUÍDA</v>
      </c>
    </row>
    <row r="1411" customFormat="false" ht="15" hidden="false" customHeight="false" outlineLevel="0" collapsed="false">
      <c r="B1411" s="4" t="n">
        <v>31847096</v>
      </c>
      <c r="C1411" s="4" t="s">
        <v>2714</v>
      </c>
      <c r="D1411" s="4" t="s">
        <v>3599</v>
      </c>
      <c r="E1411" s="4" t="s">
        <v>3678</v>
      </c>
      <c r="F1411" s="127" t="n">
        <v>46248</v>
      </c>
      <c r="G1411" s="127" t="n">
        <v>46248</v>
      </c>
      <c r="H1411" s="127" t="n">
        <v>46293</v>
      </c>
      <c r="I1411" s="4" t="n">
        <v>0</v>
      </c>
      <c r="J1411" s="4" t="n">
        <v>100</v>
      </c>
      <c r="K1411" s="4" t="n">
        <v>100</v>
      </c>
      <c r="M1411" s="2" t="str">
        <f aca="false">IF(C1411="","",IFERROR(INDEX($S$5:$S$304,MATCH(C1411,$R$5:$R$304,0))&amp;"","?"))</f>
        <v>17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5</v>
      </c>
      <c r="O1411" s="2" t="str">
        <f aca="false">IF(OR(F1411="",G1411=""),"",IF(G1411&lt;='RETRATO 2027'!$K$5,"CONCLUÍDA",IF(F1411&lt;='RETRATO 2027'!$K$5,"EM ANDAMENTO","A INICIAR")))</f>
        <v>CONCLUÍDA</v>
      </c>
    </row>
    <row r="1412" customFormat="false" ht="15" hidden="false" customHeight="false" outlineLevel="0" collapsed="false">
      <c r="B1412" s="4" t="n">
        <v>31847097</v>
      </c>
      <c r="C1412" s="4" t="s">
        <v>2714</v>
      </c>
      <c r="D1412" s="4" t="s">
        <v>3549</v>
      </c>
      <c r="E1412" s="4" t="s">
        <v>3678</v>
      </c>
      <c r="F1412" s="127" t="n">
        <v>46251</v>
      </c>
      <c r="G1412" s="127" t="n">
        <v>46251</v>
      </c>
      <c r="H1412" s="127" t="n">
        <v>46293</v>
      </c>
      <c r="I1412" s="4" t="n">
        <v>0</v>
      </c>
      <c r="J1412" s="4" t="n">
        <v>100</v>
      </c>
      <c r="K1412" s="4" t="n">
        <v>100</v>
      </c>
      <c r="M1412" s="2" t="str">
        <f aca="false">IF(C1412="","",IFERROR(INDEX($S$5:$S$304,MATCH(C1412,$R$5:$R$304,0))&amp;"","?"))</f>
        <v>17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5</v>
      </c>
      <c r="O1412" s="2" t="str">
        <f aca="false">IF(OR(F1412="",G1412=""),"",IF(G1412&lt;='RETRATO 2027'!$K$5,"CONCLUÍDA",IF(F1412&lt;='RETRATO 2027'!$K$5,"EM ANDAMENTO","A INICIAR")))</f>
        <v>CONCLUÍDA</v>
      </c>
    </row>
    <row r="1413" customFormat="false" ht="15" hidden="false" customHeight="false" outlineLevel="0" collapsed="false">
      <c r="B1413" s="4" t="n">
        <v>31847098</v>
      </c>
      <c r="C1413" s="4" t="s">
        <v>2714</v>
      </c>
      <c r="D1413" s="4" t="s">
        <v>3217</v>
      </c>
      <c r="E1413" s="4" t="s">
        <v>3678</v>
      </c>
      <c r="F1413" s="127" t="n">
        <v>46252</v>
      </c>
      <c r="G1413" s="127" t="n">
        <v>46253</v>
      </c>
      <c r="H1413" s="127" t="n">
        <v>46293</v>
      </c>
      <c r="I1413" s="4" t="n">
        <v>0</v>
      </c>
      <c r="J1413" s="4" t="n">
        <v>100</v>
      </c>
      <c r="K1413" s="4" t="n">
        <v>100</v>
      </c>
      <c r="M1413" s="2" t="str">
        <f aca="false">IF(C1413="","",IFERROR(INDEX($S$5:$S$304,MATCH(C1413,$R$5:$R$304,0))&amp;"","?"))</f>
        <v>17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5</v>
      </c>
      <c r="O1413" s="2" t="str">
        <f aca="false">IF(OR(F1413="",G1413=""),"",IF(G1413&lt;='RETRATO 2027'!$K$5,"CONCLUÍDA",IF(F1413&lt;='RETRATO 2027'!$K$5,"EM ANDAMENTO","A INICIAR")))</f>
        <v>CONCLUÍDA</v>
      </c>
    </row>
    <row r="1414" customFormat="false" ht="15" hidden="false" customHeight="false" outlineLevel="0" collapsed="false">
      <c r="B1414" s="4" t="n">
        <v>31847099</v>
      </c>
      <c r="C1414" s="4" t="s">
        <v>2714</v>
      </c>
      <c r="D1414" s="4" t="s">
        <v>3563</v>
      </c>
      <c r="E1414" s="4" t="s">
        <v>3678</v>
      </c>
      <c r="F1414" s="127" t="n">
        <v>46254</v>
      </c>
      <c r="G1414" s="127" t="n">
        <v>46254</v>
      </c>
      <c r="H1414" s="127" t="n">
        <v>46293</v>
      </c>
      <c r="I1414" s="4" t="n">
        <v>0</v>
      </c>
      <c r="J1414" s="4" t="n">
        <v>100</v>
      </c>
      <c r="K1414" s="4" t="n">
        <v>100</v>
      </c>
      <c r="M1414" s="2" t="str">
        <f aca="false">IF(C1414="","",IFERROR(INDEX($S$5:$S$304,MATCH(C1414,$R$5:$R$304,0))&amp;"","?"))</f>
        <v>17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5</v>
      </c>
      <c r="O1414" s="2" t="str">
        <f aca="false">IF(OR(F1414="",G1414=""),"",IF(G1414&lt;='RETRATO 2027'!$K$5,"CONCLUÍDA",IF(F1414&lt;='RETRATO 2027'!$K$5,"EM ANDAMENTO","A INICIAR")))</f>
        <v>CONCLUÍDA</v>
      </c>
    </row>
    <row r="1415" customFormat="false" ht="15" hidden="false" customHeight="false" outlineLevel="0" collapsed="false">
      <c r="B1415" s="4" t="n">
        <v>26743763</v>
      </c>
      <c r="C1415" s="4" t="s">
        <v>2829</v>
      </c>
      <c r="D1415" s="4" t="s">
        <v>433</v>
      </c>
      <c r="E1415" s="4" t="s">
        <v>3374</v>
      </c>
      <c r="F1415" s="127" t="n">
        <v>46246</v>
      </c>
      <c r="G1415" s="127" t="n">
        <v>46358</v>
      </c>
      <c r="H1415" s="127" t="n">
        <v>46293</v>
      </c>
      <c r="I1415" s="4" t="n">
        <v>86.667</v>
      </c>
      <c r="J1415" s="4" t="n">
        <v>50</v>
      </c>
      <c r="K1415" s="4" t="n">
        <v>50</v>
      </c>
      <c r="M1415" s="2" t="str">
        <f aca="false">IF(C1415="","",IFERROR(INDEX($S$5:$S$304,MATCH(C1415,$R$5:$R$304,0))&amp;"","?"))</f>
        <v>21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-4</v>
      </c>
      <c r="O1415" s="2" t="str">
        <f aca="false">IF(OR(F1415="",G1415=""),"",IF(G1415&lt;='RETRATO 2027'!$K$5,"CONCLUÍDA",IF(F1415&lt;='RETRATO 2027'!$K$5,"EM ANDAMENTO","A INICIAR")))</f>
        <v>CONCLUÍDA</v>
      </c>
    </row>
    <row r="1416" customFormat="false" ht="15" hidden="false" customHeight="false" outlineLevel="0" collapsed="false">
      <c r="B1416" s="4" t="n">
        <v>24939697</v>
      </c>
      <c r="C1416" s="4" t="s">
        <v>2705</v>
      </c>
      <c r="D1416" s="4" t="s">
        <v>433</v>
      </c>
      <c r="E1416" s="4" t="s">
        <v>3678</v>
      </c>
      <c r="F1416" s="127" t="n">
        <v>46246</v>
      </c>
      <c r="G1416" s="127" t="n">
        <v>46254</v>
      </c>
      <c r="H1416" s="127" t="n">
        <v>46293</v>
      </c>
      <c r="I1416" s="4" t="n">
        <v>100</v>
      </c>
      <c r="J1416" s="4" t="n">
        <v>100</v>
      </c>
      <c r="K1416" s="4" t="n">
        <v>100</v>
      </c>
      <c r="M1416" s="2" t="str">
        <f aca="false">IF(C1416="","",IFERROR(INDEX($S$5:$S$304,MATCH(C1416,$R$5:$R$304,0))&amp;"","?"))</f>
        <v>17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5</v>
      </c>
      <c r="O1416" s="2" t="str">
        <f aca="false">IF(OR(F1416="",G1416=""),"",IF(G1416&lt;='RETRATO 2027'!$K$5,"CONCLUÍDA",IF(F1416&lt;='RETRATO 2027'!$K$5,"EM ANDAMENTO","A INICIAR")))</f>
        <v>CONCLUÍDA</v>
      </c>
    </row>
    <row r="1417" customFormat="false" ht="15" hidden="false" customHeight="false" outlineLevel="0" collapsed="false">
      <c r="B1417" s="4" t="n">
        <v>31404592</v>
      </c>
      <c r="C1417" s="4" t="s">
        <v>2705</v>
      </c>
      <c r="D1417" s="4" t="s">
        <v>3679</v>
      </c>
      <c r="E1417" s="4" t="s">
        <v>3678</v>
      </c>
      <c r="F1417" s="127" t="n">
        <v>46246</v>
      </c>
      <c r="G1417" s="127" t="n">
        <v>46246</v>
      </c>
      <c r="H1417" s="127" t="n">
        <v>46293</v>
      </c>
      <c r="I1417" s="4" t="n">
        <v>0</v>
      </c>
      <c r="J1417" s="4" t="n">
        <v>100</v>
      </c>
      <c r="K1417" s="4" t="n">
        <v>100</v>
      </c>
      <c r="M1417" s="2" t="str">
        <f aca="false">IF(C1417="","",IFERROR(INDEX($S$5:$S$304,MATCH(C1417,$R$5:$R$304,0))&amp;"","?"))</f>
        <v>17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5</v>
      </c>
      <c r="O1417" s="2" t="str">
        <f aca="false">IF(OR(F1417="",G1417=""),"",IF(G1417&lt;='RETRATO 2027'!$K$5,"CONCLUÍDA",IF(F1417&lt;='RETRATO 2027'!$K$5,"EM ANDAMENTO","A INICIAR")))</f>
        <v>CONCLUÍDA</v>
      </c>
    </row>
    <row r="1418" customFormat="false" ht="15" hidden="false" customHeight="false" outlineLevel="0" collapsed="false">
      <c r="B1418" s="4" t="n">
        <v>31404593</v>
      </c>
      <c r="C1418" s="4" t="s">
        <v>2705</v>
      </c>
      <c r="D1418" s="4" t="s">
        <v>3680</v>
      </c>
      <c r="E1418" s="4" t="s">
        <v>3678</v>
      </c>
      <c r="F1418" s="127" t="n">
        <v>46247</v>
      </c>
      <c r="G1418" s="127" t="n">
        <v>46247</v>
      </c>
      <c r="H1418" s="127" t="n">
        <v>46293</v>
      </c>
      <c r="I1418" s="4" t="n">
        <v>0</v>
      </c>
      <c r="J1418" s="4" t="n">
        <v>100</v>
      </c>
      <c r="K1418" s="4" t="n">
        <v>100</v>
      </c>
      <c r="M1418" s="2" t="str">
        <f aca="false">IF(C1418="","",IFERROR(INDEX($S$5:$S$304,MATCH(C1418,$R$5:$R$304,0))&amp;"","?"))</f>
        <v>17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5</v>
      </c>
      <c r="O1418" s="2" t="str">
        <f aca="false">IF(OR(F1418="",G1418=""),"",IF(G1418&lt;='RETRATO 2027'!$K$5,"CONCLUÍDA",IF(F1418&lt;='RETRATO 2027'!$K$5,"EM ANDAMENTO","A INICIAR")))</f>
        <v>CONCLUÍDA</v>
      </c>
    </row>
    <row r="1419" customFormat="false" ht="15" hidden="false" customHeight="false" outlineLevel="0" collapsed="false">
      <c r="B1419" s="4" t="n">
        <v>31404594</v>
      </c>
      <c r="C1419" s="4" t="s">
        <v>2705</v>
      </c>
      <c r="D1419" s="4" t="s">
        <v>3681</v>
      </c>
      <c r="E1419" s="4" t="s">
        <v>3678</v>
      </c>
      <c r="F1419" s="127" t="n">
        <v>46248</v>
      </c>
      <c r="G1419" s="127" t="n">
        <v>46248</v>
      </c>
      <c r="H1419" s="127" t="n">
        <v>46293</v>
      </c>
      <c r="I1419" s="4" t="n">
        <v>0</v>
      </c>
      <c r="J1419" s="4" t="n">
        <v>100</v>
      </c>
      <c r="K1419" s="4" t="n">
        <v>100</v>
      </c>
      <c r="M1419" s="2" t="str">
        <f aca="false">IF(C1419="","",IFERROR(INDEX($S$5:$S$304,MATCH(C1419,$R$5:$R$304,0))&amp;"","?"))</f>
        <v>17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5</v>
      </c>
      <c r="O1419" s="2" t="str">
        <f aca="false">IF(OR(F1419="",G1419=""),"",IF(G1419&lt;='RETRATO 2027'!$K$5,"CONCLUÍDA",IF(F1419&lt;='RETRATO 2027'!$K$5,"EM ANDAMENTO","A INICIAR")))</f>
        <v>CONCLUÍDA</v>
      </c>
    </row>
    <row r="1420" customFormat="false" ht="15" hidden="false" customHeight="false" outlineLevel="0" collapsed="false">
      <c r="B1420" s="4" t="n">
        <v>31404595</v>
      </c>
      <c r="C1420" s="4" t="s">
        <v>2705</v>
      </c>
      <c r="D1420" s="4" t="s">
        <v>3682</v>
      </c>
      <c r="E1420" s="4" t="s">
        <v>3678</v>
      </c>
      <c r="F1420" s="127" t="n">
        <v>46251</v>
      </c>
      <c r="G1420" s="127" t="n">
        <v>46251</v>
      </c>
      <c r="H1420" s="127" t="n">
        <v>46293</v>
      </c>
      <c r="I1420" s="4" t="n">
        <v>0</v>
      </c>
      <c r="J1420" s="4" t="n">
        <v>100</v>
      </c>
      <c r="K1420" s="4" t="n">
        <v>100</v>
      </c>
      <c r="M1420" s="2" t="str">
        <f aca="false">IF(C1420="","",IFERROR(INDEX($S$5:$S$304,MATCH(C1420,$R$5:$R$304,0))&amp;"","?"))</f>
        <v>17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5</v>
      </c>
      <c r="O1420" s="2" t="str">
        <f aca="false">IF(OR(F1420="",G1420=""),"",IF(G1420&lt;='RETRATO 2027'!$K$5,"CONCLUÍDA",IF(F1420&lt;='RETRATO 2027'!$K$5,"EM ANDAMENTO","A INICIAR")))</f>
        <v>CONCLUÍDA</v>
      </c>
    </row>
    <row r="1421" customFormat="false" ht="15" hidden="false" customHeight="false" outlineLevel="0" collapsed="false">
      <c r="B1421" s="4" t="n">
        <v>31404596</v>
      </c>
      <c r="C1421" s="4" t="s">
        <v>2705</v>
      </c>
      <c r="D1421" s="4" t="s">
        <v>3683</v>
      </c>
      <c r="E1421" s="4" t="s">
        <v>3678</v>
      </c>
      <c r="F1421" s="127" t="n">
        <v>46252</v>
      </c>
      <c r="G1421" s="127" t="n">
        <v>46252</v>
      </c>
      <c r="H1421" s="127" t="n">
        <v>46293</v>
      </c>
      <c r="I1421" s="4" t="n">
        <v>0</v>
      </c>
      <c r="J1421" s="4" t="n">
        <v>100</v>
      </c>
      <c r="K1421" s="4" t="n">
        <v>100</v>
      </c>
      <c r="M1421" s="2" t="str">
        <f aca="false">IF(C1421="","",IFERROR(INDEX($S$5:$S$304,MATCH(C1421,$R$5:$R$304,0))&amp;"","?"))</f>
        <v>17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5</v>
      </c>
      <c r="O1421" s="2" t="str">
        <f aca="false">IF(OR(F1421="",G1421=""),"",IF(G1421&lt;='RETRATO 2027'!$K$5,"CONCLUÍDA",IF(F1421&lt;='RETRATO 2027'!$K$5,"EM ANDAMENTO","A INICIAR")))</f>
        <v>CONCLUÍDA</v>
      </c>
    </row>
    <row r="1422" customFormat="false" ht="15" hidden="false" customHeight="false" outlineLevel="0" collapsed="false">
      <c r="B1422" s="4" t="n">
        <v>31404597</v>
      </c>
      <c r="C1422" s="4" t="s">
        <v>2705</v>
      </c>
      <c r="D1422" s="4" t="s">
        <v>3684</v>
      </c>
      <c r="E1422" s="4" t="s">
        <v>3678</v>
      </c>
      <c r="F1422" s="127" t="n">
        <v>46253</v>
      </c>
      <c r="G1422" s="127" t="n">
        <v>46253</v>
      </c>
      <c r="H1422" s="127" t="n">
        <v>46293</v>
      </c>
      <c r="I1422" s="4" t="n">
        <v>0</v>
      </c>
      <c r="J1422" s="4" t="n">
        <v>100</v>
      </c>
      <c r="K1422" s="4" t="n">
        <v>100</v>
      </c>
      <c r="M1422" s="2" t="str">
        <f aca="false">IF(C1422="","",IFERROR(INDEX($S$5:$S$304,MATCH(C1422,$R$5:$R$304,0))&amp;"","?"))</f>
        <v>17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5</v>
      </c>
      <c r="O1422" s="2" t="str">
        <f aca="false">IF(OR(F1422="",G1422=""),"",IF(G1422&lt;='RETRATO 2027'!$K$5,"CONCLUÍDA",IF(F1422&lt;='RETRATO 2027'!$K$5,"EM ANDAMENTO","A INICIAR")))</f>
        <v>CONCLUÍDA</v>
      </c>
    </row>
    <row r="1423" customFormat="false" ht="15" hidden="false" customHeight="false" outlineLevel="0" collapsed="false">
      <c r="B1423" s="4" t="n">
        <v>31404598</v>
      </c>
      <c r="C1423" s="4" t="s">
        <v>2705</v>
      </c>
      <c r="D1423" s="4" t="s">
        <v>3617</v>
      </c>
      <c r="E1423" s="4" t="s">
        <v>3678</v>
      </c>
      <c r="F1423" s="127" t="n">
        <v>46254</v>
      </c>
      <c r="G1423" s="127" t="n">
        <v>46254</v>
      </c>
      <c r="H1423" s="127" t="n">
        <v>46293</v>
      </c>
      <c r="I1423" s="4" t="n">
        <v>0</v>
      </c>
      <c r="J1423" s="4" t="n">
        <v>100</v>
      </c>
      <c r="K1423" s="4" t="n">
        <v>100</v>
      </c>
      <c r="M1423" s="2" t="str">
        <f aca="false">IF(C1423="","",IFERROR(INDEX($S$5:$S$304,MATCH(C1423,$R$5:$R$304,0))&amp;"","?"))</f>
        <v>17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5</v>
      </c>
      <c r="O1423" s="2" t="str">
        <f aca="false">IF(OR(F1423="",G1423=""),"",IF(G1423&lt;='RETRATO 2027'!$K$5,"CONCLUÍDA",IF(F1423&lt;='RETRATO 2027'!$K$5,"EM ANDAMENTO","A INICIAR")))</f>
        <v>CONCLUÍDA</v>
      </c>
    </row>
    <row r="1424" customFormat="false" ht="15" hidden="false" customHeight="false" outlineLevel="0" collapsed="false">
      <c r="B1424" s="4" t="n">
        <v>26743758</v>
      </c>
      <c r="C1424" s="4" t="s">
        <v>2751</v>
      </c>
      <c r="D1424" s="4" t="s">
        <v>433</v>
      </c>
      <c r="E1424" s="4" t="s">
        <v>3374</v>
      </c>
      <c r="F1424" s="127" t="n">
        <v>46248</v>
      </c>
      <c r="G1424" s="127" t="n">
        <v>46317</v>
      </c>
      <c r="H1424" s="127" t="n">
        <v>46293</v>
      </c>
      <c r="I1424" s="4" t="n">
        <v>100</v>
      </c>
      <c r="J1424" s="4" t="n">
        <v>43.334</v>
      </c>
      <c r="K1424" s="4" t="n">
        <v>16.667</v>
      </c>
      <c r="M1424" s="2" t="str">
        <f aca="false">IF(C1424="","",IFERROR(INDEX($S$5:$S$304,MATCH(C1424,$R$5:$R$304,0))&amp;"","?"))</f>
        <v>35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-4</v>
      </c>
      <c r="O1424" s="2" t="str">
        <f aca="false">IF(OR(F1424="",G1424=""),"",IF(G1424&lt;='RETRATO 2027'!$K$5,"CONCLUÍDA",IF(F1424&lt;='RETRATO 2027'!$K$5,"EM ANDAMENTO","A INICIAR")))</f>
        <v>CONCLUÍDA</v>
      </c>
    </row>
    <row r="1425" customFormat="false" ht="15" hidden="false" customHeight="false" outlineLevel="0" collapsed="false">
      <c r="B1425" s="4" t="n">
        <v>46533765</v>
      </c>
      <c r="C1425" s="4" t="s">
        <v>2832</v>
      </c>
      <c r="D1425" s="4" t="s">
        <v>433</v>
      </c>
      <c r="E1425" s="4" t="s">
        <v>3243</v>
      </c>
      <c r="F1425" s="127" t="n">
        <v>46248</v>
      </c>
      <c r="G1425" s="127" t="n">
        <v>46276</v>
      </c>
      <c r="H1425" s="127" t="n">
        <v>46293</v>
      </c>
      <c r="I1425" s="4" t="n">
        <v>0</v>
      </c>
      <c r="J1425" s="4" t="n">
        <v>100</v>
      </c>
      <c r="K1425" s="4" t="n">
        <v>100</v>
      </c>
      <c r="M1425" s="2" t="str">
        <f aca="false">IF(C1425="","",IFERROR(INDEX($S$5:$S$304,MATCH(C1425,$R$5:$R$304,0))&amp;"","?"))</f>
        <v>18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1</v>
      </c>
      <c r="O1425" s="2" t="str">
        <f aca="false">IF(OR(F1425="",G1425=""),"",IF(G1425&lt;='RETRATO 2027'!$K$5,"CONCLUÍDA",IF(F1425&lt;='RETRATO 2027'!$K$5,"EM ANDAMENTO","A INICIAR")))</f>
        <v>CONCLUÍDA</v>
      </c>
    </row>
    <row r="1426" customFormat="false" ht="15" hidden="false" customHeight="false" outlineLevel="0" collapsed="false">
      <c r="B1426" s="4" t="n">
        <v>26743740</v>
      </c>
      <c r="C1426" s="4" t="s">
        <v>163</v>
      </c>
      <c r="D1426" s="4" t="s">
        <v>433</v>
      </c>
      <c r="E1426" s="4" t="s">
        <v>3449</v>
      </c>
      <c r="F1426" s="127" t="n">
        <v>46251</v>
      </c>
      <c r="G1426" s="127" t="n">
        <v>46279</v>
      </c>
      <c r="H1426" s="127" t="n">
        <v>46293</v>
      </c>
      <c r="I1426" s="4" t="n">
        <v>80</v>
      </c>
      <c r="J1426" s="4" t="n">
        <v>100</v>
      </c>
      <c r="K1426" s="4" t="n">
        <v>95</v>
      </c>
      <c r="M1426" s="2" t="str">
        <f aca="false">IF(C1426="","",IFERROR(INDEX($S$5:$S$304,MATCH(C1426,$R$5:$R$304,0))&amp;"","?"))</f>
        <v>18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-2</v>
      </c>
      <c r="O1426" s="2" t="str">
        <f aca="false">IF(OR(F1426="",G1426=""),"",IF(G1426&lt;='RETRATO 2027'!$K$5,"CONCLUÍDA",IF(F1426&lt;='RETRATO 2027'!$K$5,"EM ANDAMENTO","A INICIAR")))</f>
        <v>CONCLUÍDA</v>
      </c>
    </row>
    <row r="1427" customFormat="false" ht="15" hidden="false" customHeight="false" outlineLevel="0" collapsed="false">
      <c r="B1427" s="4" t="n">
        <v>48679975</v>
      </c>
      <c r="C1427" s="4" t="s">
        <v>2714</v>
      </c>
      <c r="D1427" s="4" t="s">
        <v>433</v>
      </c>
      <c r="E1427" s="4" t="s">
        <v>3685</v>
      </c>
      <c r="F1427" s="127" t="n">
        <v>46254</v>
      </c>
      <c r="G1427" s="127" t="n">
        <v>46265</v>
      </c>
      <c r="H1427" s="127" t="n">
        <v>46293</v>
      </c>
      <c r="I1427" s="4" t="n">
        <v>0</v>
      </c>
      <c r="J1427" s="4" t="n">
        <v>100</v>
      </c>
      <c r="K1427" s="4" t="n">
        <v>100</v>
      </c>
      <c r="M1427" s="2" t="str">
        <f aca="false">IF(C1427="","",IFERROR(INDEX($S$5:$S$304,MATCH(C1427,$R$5:$R$304,0))&amp;"","?"))</f>
        <v>17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6</v>
      </c>
      <c r="O1427" s="2" t="str">
        <f aca="false">IF(OR(F1427="",G1427=""),"",IF(G1427&lt;='RETRATO 2027'!$K$5,"CONCLUÍDA",IF(F1427&lt;='RETRATO 2027'!$K$5,"EM ANDAMENTO","A INICIAR")))</f>
        <v>CONCLUÍDA</v>
      </c>
    </row>
    <row r="1428" customFormat="false" ht="15" hidden="false" customHeight="false" outlineLevel="0" collapsed="false">
      <c r="B1428" s="4" t="n">
        <v>31847054</v>
      </c>
      <c r="C1428" s="4" t="s">
        <v>2714</v>
      </c>
      <c r="D1428" s="4" t="s">
        <v>3554</v>
      </c>
      <c r="E1428" s="4" t="s">
        <v>3685</v>
      </c>
      <c r="F1428" s="127" t="n">
        <v>46254</v>
      </c>
      <c r="G1428" s="127" t="n">
        <v>46254</v>
      </c>
      <c r="H1428" s="127" t="n">
        <v>46293</v>
      </c>
      <c r="I1428" s="4" t="n">
        <v>0</v>
      </c>
      <c r="J1428" s="4" t="n">
        <v>100</v>
      </c>
      <c r="K1428" s="4" t="n">
        <v>100</v>
      </c>
      <c r="M1428" s="2" t="str">
        <f aca="false">IF(C1428="","",IFERROR(INDEX($S$5:$S$304,MATCH(C1428,$R$5:$R$304,0))&amp;"","?"))</f>
        <v>17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6</v>
      </c>
      <c r="O1428" s="2" t="str">
        <f aca="false">IF(OR(F1428="",G1428=""),"",IF(G1428&lt;='RETRATO 2027'!$K$5,"CONCLUÍDA",IF(F1428&lt;='RETRATO 2027'!$K$5,"EM ANDAMENTO","A INICIAR")))</f>
        <v>CONCLUÍDA</v>
      </c>
    </row>
    <row r="1429" customFormat="false" ht="15" hidden="false" customHeight="false" outlineLevel="0" collapsed="false">
      <c r="B1429" s="4" t="n">
        <v>31847055</v>
      </c>
      <c r="C1429" s="4" t="s">
        <v>2714</v>
      </c>
      <c r="D1429" s="4" t="s">
        <v>3555</v>
      </c>
      <c r="E1429" s="4" t="s">
        <v>3685</v>
      </c>
      <c r="F1429" s="127" t="n">
        <v>46255</v>
      </c>
      <c r="G1429" s="127" t="n">
        <v>46255</v>
      </c>
      <c r="H1429" s="127" t="n">
        <v>46293</v>
      </c>
      <c r="I1429" s="4" t="n">
        <v>0</v>
      </c>
      <c r="J1429" s="4" t="n">
        <v>100</v>
      </c>
      <c r="K1429" s="4" t="n">
        <v>100</v>
      </c>
      <c r="M1429" s="2" t="str">
        <f aca="false">IF(C1429="","",IFERROR(INDEX($S$5:$S$304,MATCH(C1429,$R$5:$R$304,0))&amp;"","?"))</f>
        <v>17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6</v>
      </c>
      <c r="O1429" s="2" t="str">
        <f aca="false">IF(OR(F1429="",G1429=""),"",IF(G1429&lt;='RETRATO 2027'!$K$5,"CONCLUÍDA",IF(F1429&lt;='RETRATO 2027'!$K$5,"EM ANDAMENTO","A INICIAR")))</f>
        <v>CONCLUÍDA</v>
      </c>
    </row>
    <row r="1430" customFormat="false" ht="15" hidden="false" customHeight="false" outlineLevel="0" collapsed="false">
      <c r="B1430" s="4" t="n">
        <v>31847056</v>
      </c>
      <c r="C1430" s="4" t="s">
        <v>2714</v>
      </c>
      <c r="D1430" s="4" t="s">
        <v>3498</v>
      </c>
      <c r="E1430" s="4" t="s">
        <v>3685</v>
      </c>
      <c r="F1430" s="127" t="n">
        <v>46258</v>
      </c>
      <c r="G1430" s="127" t="n">
        <v>46259</v>
      </c>
      <c r="H1430" s="127" t="n">
        <v>46293</v>
      </c>
      <c r="I1430" s="4" t="n">
        <v>0</v>
      </c>
      <c r="J1430" s="4" t="n">
        <v>100</v>
      </c>
      <c r="K1430" s="4" t="n">
        <v>100</v>
      </c>
      <c r="M1430" s="2" t="str">
        <f aca="false">IF(C1430="","",IFERROR(INDEX($S$5:$S$304,MATCH(C1430,$R$5:$R$304,0))&amp;"","?"))</f>
        <v>17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6</v>
      </c>
      <c r="O1430" s="2" t="str">
        <f aca="false">IF(OR(F1430="",G1430=""),"",IF(G1430&lt;='RETRATO 2027'!$K$5,"CONCLUÍDA",IF(F1430&lt;='RETRATO 2027'!$K$5,"EM ANDAMENTO","A INICIAR")))</f>
        <v>CONCLUÍDA</v>
      </c>
    </row>
    <row r="1431" customFormat="false" ht="15" hidden="false" customHeight="false" outlineLevel="0" collapsed="false">
      <c r="B1431" s="4" t="n">
        <v>31847057</v>
      </c>
      <c r="C1431" s="4" t="s">
        <v>2714</v>
      </c>
      <c r="D1431" s="4" t="s">
        <v>3599</v>
      </c>
      <c r="E1431" s="4" t="s">
        <v>3685</v>
      </c>
      <c r="F1431" s="127" t="n">
        <v>46260</v>
      </c>
      <c r="G1431" s="127" t="n">
        <v>46260</v>
      </c>
      <c r="H1431" s="127" t="n">
        <v>46293</v>
      </c>
      <c r="I1431" s="4" t="n">
        <v>0</v>
      </c>
      <c r="J1431" s="4" t="n">
        <v>100</v>
      </c>
      <c r="K1431" s="4" t="n">
        <v>100</v>
      </c>
      <c r="M1431" s="2" t="str">
        <f aca="false">IF(C1431="","",IFERROR(INDEX($S$5:$S$304,MATCH(C1431,$R$5:$R$304,0))&amp;"","?"))</f>
        <v>17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6</v>
      </c>
      <c r="O1431" s="2" t="str">
        <f aca="false">IF(OR(F1431="",G1431=""),"",IF(G1431&lt;='RETRATO 2027'!$K$5,"CONCLUÍDA",IF(F1431&lt;='RETRATO 2027'!$K$5,"EM ANDAMENTO","A INICIAR")))</f>
        <v>CONCLUÍDA</v>
      </c>
    </row>
    <row r="1432" customFormat="false" ht="15" hidden="false" customHeight="false" outlineLevel="0" collapsed="false">
      <c r="B1432" s="4" t="n">
        <v>31847058</v>
      </c>
      <c r="C1432" s="4" t="s">
        <v>2714</v>
      </c>
      <c r="D1432" s="4" t="s">
        <v>3549</v>
      </c>
      <c r="E1432" s="4" t="s">
        <v>3685</v>
      </c>
      <c r="F1432" s="127" t="n">
        <v>46261</v>
      </c>
      <c r="G1432" s="127" t="n">
        <v>46261</v>
      </c>
      <c r="H1432" s="127" t="n">
        <v>46293</v>
      </c>
      <c r="I1432" s="4" t="n">
        <v>0</v>
      </c>
      <c r="J1432" s="4" t="n">
        <v>100</v>
      </c>
      <c r="K1432" s="4" t="n">
        <v>100</v>
      </c>
      <c r="M1432" s="2" t="str">
        <f aca="false">IF(C1432="","",IFERROR(INDEX($S$5:$S$304,MATCH(C1432,$R$5:$R$304,0))&amp;"","?"))</f>
        <v>17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6</v>
      </c>
      <c r="O1432" s="2" t="str">
        <f aca="false">IF(OR(F1432="",G1432=""),"",IF(G1432&lt;='RETRATO 2027'!$K$5,"CONCLUÍDA",IF(F1432&lt;='RETRATO 2027'!$K$5,"EM ANDAMENTO","A INICIAR")))</f>
        <v>CONCLUÍDA</v>
      </c>
    </row>
    <row r="1433" customFormat="false" ht="15" hidden="false" customHeight="false" outlineLevel="0" collapsed="false">
      <c r="B1433" s="4" t="n">
        <v>31847059</v>
      </c>
      <c r="C1433" s="4" t="s">
        <v>2714</v>
      </c>
      <c r="D1433" s="4" t="s">
        <v>3217</v>
      </c>
      <c r="E1433" s="4" t="s">
        <v>3685</v>
      </c>
      <c r="F1433" s="127" t="n">
        <v>46262</v>
      </c>
      <c r="G1433" s="127" t="n">
        <v>46262</v>
      </c>
      <c r="H1433" s="127" t="n">
        <v>46293</v>
      </c>
      <c r="I1433" s="4" t="n">
        <v>0</v>
      </c>
      <c r="J1433" s="4" t="n">
        <v>100</v>
      </c>
      <c r="K1433" s="4" t="n">
        <v>100</v>
      </c>
      <c r="M1433" s="2" t="str">
        <f aca="false">IF(C1433="","",IFERROR(INDEX($S$5:$S$304,MATCH(C1433,$R$5:$R$304,0))&amp;"","?"))</f>
        <v>17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6</v>
      </c>
      <c r="O1433" s="2" t="str">
        <f aca="false">IF(OR(F1433="",G1433=""),"",IF(G1433&lt;='RETRATO 2027'!$K$5,"CONCLUÍDA",IF(F1433&lt;='RETRATO 2027'!$K$5,"EM ANDAMENTO","A INICIAR")))</f>
        <v>CONCLUÍDA</v>
      </c>
    </row>
    <row r="1434" customFormat="false" ht="15" hidden="false" customHeight="false" outlineLevel="0" collapsed="false">
      <c r="B1434" s="4" t="n">
        <v>31847060</v>
      </c>
      <c r="C1434" s="4" t="s">
        <v>2714</v>
      </c>
      <c r="D1434" s="4" t="s">
        <v>3563</v>
      </c>
      <c r="E1434" s="4" t="s">
        <v>3685</v>
      </c>
      <c r="F1434" s="127" t="n">
        <v>46265</v>
      </c>
      <c r="G1434" s="127" t="n">
        <v>46265</v>
      </c>
      <c r="H1434" s="127" t="n">
        <v>46293</v>
      </c>
      <c r="I1434" s="4" t="n">
        <v>0</v>
      </c>
      <c r="J1434" s="4" t="n">
        <v>100</v>
      </c>
      <c r="K1434" s="4" t="n">
        <v>100</v>
      </c>
      <c r="M1434" s="2" t="str">
        <f aca="false">IF(C1434="","",IFERROR(INDEX($S$5:$S$304,MATCH(C1434,$R$5:$R$304,0))&amp;"","?"))</f>
        <v>17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6</v>
      </c>
      <c r="O1434" s="2" t="str">
        <f aca="false">IF(OR(F1434="",G1434=""),"",IF(G1434&lt;='RETRATO 2027'!$K$5,"CONCLUÍDA",IF(F1434&lt;='RETRATO 2027'!$K$5,"EM ANDAMENTO","A INICIAR")))</f>
        <v>CONCLUÍDA</v>
      </c>
    </row>
    <row r="1435" customFormat="false" ht="15" hidden="false" customHeight="false" outlineLevel="0" collapsed="false">
      <c r="B1435" s="4" t="n">
        <v>39791776</v>
      </c>
      <c r="C1435" s="4" t="s">
        <v>2835</v>
      </c>
      <c r="D1435" s="4" t="s">
        <v>433</v>
      </c>
      <c r="E1435" s="4" t="s">
        <v>81</v>
      </c>
      <c r="F1435" s="127" t="n">
        <v>46255</v>
      </c>
      <c r="G1435" s="127" t="n">
        <v>46276</v>
      </c>
      <c r="H1435" s="127" t="n">
        <v>46293</v>
      </c>
      <c r="I1435" s="4" t="n">
        <v>100</v>
      </c>
      <c r="J1435" s="4" t="n">
        <v>100</v>
      </c>
      <c r="K1435" s="4" t="n">
        <v>87</v>
      </c>
      <c r="M1435" s="2" t="str">
        <f aca="false">IF(C1435="","",IFERROR(INDEX($S$5:$S$304,MATCH(C1435,$R$5:$R$304,0))&amp;"","?"))</f>
        <v>19</v>
      </c>
      <c r="N1435" s="2" t="str">
        <f aca="false"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 t="str">
        <f aca="false">IF(OR(F1435="",G1435=""),"",IF(G1435&lt;='RETRATO 2027'!$K$5,"CONCLUÍDA",IF(F1435&lt;='RETRATO 2027'!$K$5,"EM ANDAMENTO","A INICIAR")))</f>
        <v>CONCLUÍDA</v>
      </c>
    </row>
    <row r="1436" customFormat="false" ht="15" hidden="false" customHeight="false" outlineLevel="0" collapsed="false">
      <c r="B1436" s="4" t="n">
        <v>26218316</v>
      </c>
      <c r="C1436" s="4" t="s">
        <v>2702</v>
      </c>
      <c r="D1436" s="4" t="s">
        <v>433</v>
      </c>
      <c r="E1436" s="4" t="s">
        <v>3655</v>
      </c>
      <c r="F1436" s="127" t="n">
        <v>46255</v>
      </c>
      <c r="G1436" s="127" t="n">
        <v>46295</v>
      </c>
      <c r="H1436" s="127" t="n">
        <v>46293</v>
      </c>
      <c r="I1436" s="4" t="n">
        <v>100</v>
      </c>
      <c r="J1436" s="4" t="n">
        <v>93.93939394</v>
      </c>
      <c r="K1436" s="4" t="n">
        <v>62.727</v>
      </c>
      <c r="M1436" s="2" t="str">
        <f aca="false">IF(C1436="","",IFERROR(INDEX($S$5:$S$304,MATCH(C1436,$R$5:$R$304,0))&amp;"","?"))</f>
        <v>17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3</v>
      </c>
      <c r="O1436" s="2" t="str">
        <f aca="false">IF(OR(F1436="",G1436=""),"",IF(G1436&lt;='RETRATO 2027'!$K$5,"CONCLUÍDA",IF(F1436&lt;='RETRATO 2027'!$K$5,"EM ANDAMENTO","A INICIAR")))</f>
        <v>CONCLUÍDA</v>
      </c>
    </row>
    <row r="1437" customFormat="false" ht="15" hidden="false" customHeight="false" outlineLevel="0" collapsed="false">
      <c r="B1437" s="4" t="n">
        <v>9364428</v>
      </c>
      <c r="C1437" s="4" t="s">
        <v>2702</v>
      </c>
      <c r="D1437" s="4" t="s">
        <v>3244</v>
      </c>
      <c r="E1437" s="4" t="s">
        <v>3655</v>
      </c>
      <c r="F1437" s="127" t="n">
        <v>46255</v>
      </c>
      <c r="G1437" s="127" t="n">
        <v>46260</v>
      </c>
      <c r="H1437" s="127" t="n">
        <v>46293</v>
      </c>
      <c r="I1437" s="4" t="n">
        <v>100</v>
      </c>
      <c r="J1437" s="4" t="n">
        <v>100</v>
      </c>
      <c r="K1437" s="4" t="n">
        <v>100</v>
      </c>
      <c r="M1437" s="2" t="str">
        <f aca="false">IF(C1437="","",IFERROR(INDEX($S$5:$S$304,MATCH(C1437,$R$5:$R$304,0))&amp;"","?"))</f>
        <v>17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3</v>
      </c>
      <c r="O1437" s="2" t="str">
        <f aca="false">IF(OR(F1437="",G1437=""),"",IF(G1437&lt;='RETRATO 2027'!$K$5,"CONCLUÍDA",IF(F1437&lt;='RETRATO 2027'!$K$5,"EM ANDAMENTO","A INICIAR")))</f>
        <v>CONCLUÍDA</v>
      </c>
    </row>
    <row r="1438" customFormat="false" ht="15" hidden="false" customHeight="false" outlineLevel="0" collapsed="false">
      <c r="B1438" s="4" t="n">
        <v>9364429</v>
      </c>
      <c r="C1438" s="4" t="s">
        <v>2702</v>
      </c>
      <c r="D1438" s="4" t="s">
        <v>3245</v>
      </c>
      <c r="E1438" s="4" t="s">
        <v>3655</v>
      </c>
      <c r="F1438" s="127" t="n">
        <v>46260</v>
      </c>
      <c r="G1438" s="127" t="n">
        <v>46261</v>
      </c>
      <c r="H1438" s="127" t="n">
        <v>46293</v>
      </c>
      <c r="I1438" s="4" t="n">
        <v>100</v>
      </c>
      <c r="J1438" s="4" t="n">
        <v>100</v>
      </c>
      <c r="K1438" s="4" t="n">
        <v>100</v>
      </c>
      <c r="M1438" s="2" t="str">
        <f aca="false">IF(C1438="","",IFERROR(INDEX($S$5:$S$304,MATCH(C1438,$R$5:$R$304,0))&amp;"","?"))</f>
        <v>17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3</v>
      </c>
      <c r="O1438" s="2" t="str">
        <f aca="false">IF(OR(F1438="",G1438=""),"",IF(G1438&lt;='RETRATO 2027'!$K$5,"CONCLUÍDA",IF(F1438&lt;='RETRATO 2027'!$K$5,"EM ANDAMENTO","A INICIAR")))</f>
        <v>CONCLUÍDA</v>
      </c>
    </row>
    <row r="1439" customFormat="false" ht="15" hidden="false" customHeight="false" outlineLevel="0" collapsed="false">
      <c r="B1439" s="4" t="n">
        <v>9364430</v>
      </c>
      <c r="C1439" s="4" t="s">
        <v>2702</v>
      </c>
      <c r="D1439" s="4" t="s">
        <v>3246</v>
      </c>
      <c r="E1439" s="4" t="s">
        <v>3655</v>
      </c>
      <c r="F1439" s="127" t="n">
        <v>46261</v>
      </c>
      <c r="G1439" s="127" t="n">
        <v>46269</v>
      </c>
      <c r="H1439" s="127" t="n">
        <v>46293</v>
      </c>
      <c r="I1439" s="4" t="n">
        <v>100</v>
      </c>
      <c r="J1439" s="4" t="n">
        <v>100</v>
      </c>
      <c r="K1439" s="4" t="n">
        <v>100</v>
      </c>
      <c r="M1439" s="2" t="str">
        <f aca="false">IF(C1439="","",IFERROR(INDEX($S$5:$S$304,MATCH(C1439,$R$5:$R$304,0))&amp;"","?"))</f>
        <v>17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3</v>
      </c>
      <c r="O1439" s="2" t="str">
        <f aca="false">IF(OR(F1439="",G1439=""),"",IF(G1439&lt;='RETRATO 2027'!$K$5,"CONCLUÍDA",IF(F1439&lt;='RETRATO 2027'!$K$5,"EM ANDAMENTO","A INICIAR")))</f>
        <v>CONCLUÍDA</v>
      </c>
    </row>
    <row r="1440" customFormat="false" ht="15" hidden="false" customHeight="false" outlineLevel="0" collapsed="false">
      <c r="B1440" s="4" t="n">
        <v>9364431</v>
      </c>
      <c r="C1440" s="4" t="s">
        <v>2702</v>
      </c>
      <c r="D1440" s="4" t="s">
        <v>3247</v>
      </c>
      <c r="E1440" s="4" t="s">
        <v>3655</v>
      </c>
      <c r="F1440" s="127" t="n">
        <v>46273</v>
      </c>
      <c r="G1440" s="127" t="n">
        <v>46273</v>
      </c>
      <c r="H1440" s="127" t="n">
        <v>46293</v>
      </c>
      <c r="I1440" s="4" t="n">
        <v>100</v>
      </c>
      <c r="J1440" s="4" t="n">
        <v>100</v>
      </c>
      <c r="K1440" s="4" t="n">
        <v>70</v>
      </c>
      <c r="M1440" s="2" t="str">
        <f aca="false">IF(C1440="","",IFERROR(INDEX($S$5:$S$304,MATCH(C1440,$R$5:$R$304,0))&amp;"","?"))</f>
        <v>17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3</v>
      </c>
      <c r="O1440" s="2" t="str">
        <f aca="false">IF(OR(F1440="",G1440=""),"",IF(G1440&lt;='RETRATO 2027'!$K$5,"CONCLUÍDA",IF(F1440&lt;='RETRATO 2027'!$K$5,"EM ANDAMENTO","A INICIAR")))</f>
        <v>CONCLUÍDA</v>
      </c>
    </row>
    <row r="1441" customFormat="false" ht="15" hidden="false" customHeight="false" outlineLevel="0" collapsed="false">
      <c r="B1441" s="4" t="n">
        <v>9364432</v>
      </c>
      <c r="C1441" s="4" t="s">
        <v>2702</v>
      </c>
      <c r="D1441" s="4" t="s">
        <v>3248</v>
      </c>
      <c r="E1441" s="4" t="s">
        <v>3655</v>
      </c>
      <c r="F1441" s="127" t="n">
        <v>46274</v>
      </c>
      <c r="G1441" s="127" t="n">
        <v>46282</v>
      </c>
      <c r="H1441" s="127" t="n">
        <v>46293</v>
      </c>
      <c r="I1441" s="4" t="n">
        <v>100</v>
      </c>
      <c r="J1441" s="4" t="n">
        <v>100</v>
      </c>
      <c r="K1441" s="4" t="n">
        <v>70</v>
      </c>
      <c r="M1441" s="2" t="str">
        <f aca="false">IF(C1441="","",IFERROR(INDEX($S$5:$S$304,MATCH(C1441,$R$5:$R$304,0))&amp;"","?"))</f>
        <v>17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3</v>
      </c>
      <c r="O1441" s="2" t="str">
        <f aca="false">IF(OR(F1441="",G1441=""),"",IF(G1441&lt;='RETRATO 2027'!$K$5,"CONCLUÍDA",IF(F1441&lt;='RETRATO 2027'!$K$5,"EM ANDAMENTO","A INICIAR")))</f>
        <v>CONCLUÍDA</v>
      </c>
    </row>
    <row r="1442" customFormat="false" ht="15" hidden="false" customHeight="false" outlineLevel="0" collapsed="false">
      <c r="B1442" s="4" t="n">
        <v>9364433</v>
      </c>
      <c r="C1442" s="4" t="s">
        <v>2702</v>
      </c>
      <c r="D1442" s="4" t="s">
        <v>3249</v>
      </c>
      <c r="E1442" s="4" t="s">
        <v>3655</v>
      </c>
      <c r="F1442" s="127" t="n">
        <v>46283</v>
      </c>
      <c r="G1442" s="127" t="n">
        <v>46293</v>
      </c>
      <c r="H1442" s="127" t="n">
        <v>46293</v>
      </c>
      <c r="I1442" s="4" t="n">
        <v>100</v>
      </c>
      <c r="J1442" s="4" t="n">
        <v>100</v>
      </c>
      <c r="K1442" s="4" t="n">
        <v>30</v>
      </c>
      <c r="M1442" s="2" t="str">
        <f aca="false">IF(C1442="","",IFERROR(INDEX($S$5:$S$304,MATCH(C1442,$R$5:$R$304,0))&amp;"","?"))</f>
        <v>17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3</v>
      </c>
      <c r="O1442" s="2" t="str">
        <f aca="false">IF(OR(F1442="",G1442=""),"",IF(G1442&lt;='RETRATO 2027'!$K$5,"CONCLUÍDA",IF(F1442&lt;='RETRATO 2027'!$K$5,"EM ANDAMENTO","A INICIAR")))</f>
        <v>CONCLUÍDA</v>
      </c>
    </row>
    <row r="1443" customFormat="false" ht="15" hidden="false" customHeight="false" outlineLevel="0" collapsed="false">
      <c r="B1443" s="4" t="n">
        <v>9364434</v>
      </c>
      <c r="C1443" s="4" t="s">
        <v>2702</v>
      </c>
      <c r="D1443" s="4" t="s">
        <v>3250</v>
      </c>
      <c r="E1443" s="4" t="s">
        <v>3655</v>
      </c>
      <c r="F1443" s="127" t="n">
        <v>46290</v>
      </c>
      <c r="G1443" s="127" t="n">
        <v>46293</v>
      </c>
      <c r="H1443" s="127" t="n">
        <v>46293</v>
      </c>
      <c r="I1443" s="4" t="n">
        <v>100</v>
      </c>
      <c r="J1443" s="4" t="n">
        <v>100</v>
      </c>
      <c r="K1443" s="4" t="n">
        <v>0</v>
      </c>
      <c r="M1443" s="2" t="str">
        <f aca="false">IF(C1443="","",IFERROR(INDEX($S$5:$S$304,MATCH(C1443,$R$5:$R$304,0))&amp;"","?"))</f>
        <v>17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</v>
      </c>
      <c r="O1443" s="2" t="str">
        <f aca="false">IF(OR(F1443="",G1443=""),"",IF(G1443&lt;='RETRATO 2027'!$K$5,"CONCLUÍDA",IF(F1443&lt;='RETRATO 2027'!$K$5,"EM ANDAMENTO","A INICIAR")))</f>
        <v>CONCLUÍDA</v>
      </c>
    </row>
    <row r="1444" customFormat="false" ht="15" hidden="false" customHeight="false" outlineLevel="0" collapsed="false">
      <c r="B1444" s="4" t="n">
        <v>9364435</v>
      </c>
      <c r="C1444" s="4" t="s">
        <v>2702</v>
      </c>
      <c r="D1444" s="4" t="s">
        <v>3251</v>
      </c>
      <c r="E1444" s="4" t="s">
        <v>3655</v>
      </c>
      <c r="F1444" s="127" t="n">
        <v>46293</v>
      </c>
      <c r="G1444" s="127" t="n">
        <v>46294</v>
      </c>
      <c r="H1444" s="127" t="n">
        <v>46293</v>
      </c>
      <c r="I1444" s="4" t="n">
        <v>100</v>
      </c>
      <c r="J1444" s="4" t="n">
        <v>50</v>
      </c>
      <c r="K1444" s="4" t="n">
        <v>0</v>
      </c>
      <c r="M1444" s="2" t="str">
        <f aca="false">IF(C1444="","",IFERROR(INDEX($S$5:$S$304,MATCH(C1444,$R$5:$R$304,0))&amp;"","?"))</f>
        <v>17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3</v>
      </c>
      <c r="O1444" s="2" t="str">
        <f aca="false">IF(OR(F1444="",G1444=""),"",IF(G1444&lt;='RETRATO 2027'!$K$5,"CONCLUÍDA",IF(F1444&lt;='RETRATO 2027'!$K$5,"EM ANDAMENTO","A INICIAR")))</f>
        <v>CONCLUÍDA</v>
      </c>
    </row>
    <row r="1445" customFormat="false" ht="15" hidden="false" customHeight="false" outlineLevel="0" collapsed="false">
      <c r="B1445" s="4" t="n">
        <v>9364436</v>
      </c>
      <c r="C1445" s="4" t="s">
        <v>2702</v>
      </c>
      <c r="D1445" s="4" t="s">
        <v>3252</v>
      </c>
      <c r="E1445" s="4" t="s">
        <v>3655</v>
      </c>
      <c r="F1445" s="127" t="n">
        <v>46295</v>
      </c>
      <c r="G1445" s="127" t="n">
        <v>46295</v>
      </c>
      <c r="H1445" s="127" t="n">
        <v>46293</v>
      </c>
      <c r="I1445" s="4" t="n">
        <v>100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17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3</v>
      </c>
      <c r="O1445" s="2" t="str">
        <f aca="false">IF(OR(F1445="",G1445=""),"",IF(G1445&lt;='RETRATO 2027'!$K$5,"CONCLUÍDA",IF(F1445&lt;='RETRATO 2027'!$K$5,"EM ANDAMENTO","A INICIAR")))</f>
        <v>CONCLUÍDA</v>
      </c>
    </row>
    <row r="1446" customFormat="false" ht="15" hidden="false" customHeight="false" outlineLevel="0" collapsed="false">
      <c r="B1446" s="4" t="n">
        <v>44888590</v>
      </c>
      <c r="C1446" s="4" t="s">
        <v>2767</v>
      </c>
      <c r="D1446" s="4" t="s">
        <v>433</v>
      </c>
      <c r="E1446" s="4" t="s">
        <v>3655</v>
      </c>
      <c r="F1446" s="127" t="n">
        <v>46255</v>
      </c>
      <c r="G1446" s="127" t="n">
        <v>46295</v>
      </c>
      <c r="H1446" s="127" t="n">
        <v>46293</v>
      </c>
      <c r="I1446" s="4" t="n">
        <v>0</v>
      </c>
      <c r="J1446" s="4" t="n">
        <v>92.59259259</v>
      </c>
      <c r="K1446" s="4" t="n">
        <v>48.889</v>
      </c>
      <c r="M1446" s="2" t="str">
        <f aca="false">IF(C1446="","",IFERROR(INDEX($S$5:$S$304,MATCH(C1446,$R$5:$R$304,0))&amp;"","?"))</f>
        <v>17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3</v>
      </c>
      <c r="O1446" s="2" t="str">
        <f aca="false">IF(OR(F1446="",G1446=""),"",IF(G1446&lt;='RETRATO 2027'!$K$5,"CONCLUÍDA",IF(F1446&lt;='RETRATO 2027'!$K$5,"EM ANDAMENTO","A INICIAR")))</f>
        <v>CONCLUÍDA</v>
      </c>
    </row>
    <row r="1447" customFormat="false" ht="15" hidden="false" customHeight="false" outlineLevel="0" collapsed="false">
      <c r="B1447" s="4" t="n">
        <v>28964854</v>
      </c>
      <c r="C1447" s="4" t="s">
        <v>2767</v>
      </c>
      <c r="D1447" s="4" t="s">
        <v>3548</v>
      </c>
      <c r="E1447" s="4" t="s">
        <v>3655</v>
      </c>
      <c r="F1447" s="127" t="n">
        <v>46255</v>
      </c>
      <c r="G1447" s="127" t="n">
        <v>46258</v>
      </c>
      <c r="H1447" s="127" t="n">
        <v>46293</v>
      </c>
      <c r="I1447" s="4" t="n">
        <v>0</v>
      </c>
      <c r="J1447" s="4" t="n">
        <v>100</v>
      </c>
      <c r="K1447" s="4" t="n">
        <v>100</v>
      </c>
      <c r="M1447" s="2" t="str">
        <f aca="false">IF(C1447="","",IFERROR(INDEX($S$5:$S$304,MATCH(C1447,$R$5:$R$304,0))&amp;"","?"))</f>
        <v>17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3</v>
      </c>
      <c r="O1447" s="2" t="str">
        <f aca="false">IF(OR(F1447="",G1447=""),"",IF(G1447&lt;='RETRATO 2027'!$K$5,"CONCLUÍDA",IF(F1447&lt;='RETRATO 2027'!$K$5,"EM ANDAMENTO","A INICIAR")))</f>
        <v>CONCLUÍDA</v>
      </c>
    </row>
    <row r="1448" customFormat="false" ht="15" hidden="false" customHeight="false" outlineLevel="0" collapsed="false">
      <c r="B1448" s="4" t="n">
        <v>28964855</v>
      </c>
      <c r="C1448" s="4" t="s">
        <v>2767</v>
      </c>
      <c r="D1448" s="4" t="s">
        <v>3543</v>
      </c>
      <c r="E1448" s="4" t="s">
        <v>3655</v>
      </c>
      <c r="F1448" s="127" t="n">
        <v>46259</v>
      </c>
      <c r="G1448" s="127" t="n">
        <v>46262</v>
      </c>
      <c r="H1448" s="127" t="n">
        <v>46293</v>
      </c>
      <c r="I1448" s="4" t="n">
        <v>0</v>
      </c>
      <c r="J1448" s="4" t="n">
        <v>100</v>
      </c>
      <c r="K1448" s="4" t="n">
        <v>100</v>
      </c>
      <c r="M1448" s="2" t="str">
        <f aca="false">IF(C1448="","",IFERROR(INDEX($S$5:$S$304,MATCH(C1448,$R$5:$R$304,0))&amp;"","?"))</f>
        <v>17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3</v>
      </c>
      <c r="O1448" s="2" t="str">
        <f aca="false">IF(OR(F1448="",G1448=""),"",IF(G1448&lt;='RETRATO 2027'!$K$5,"CONCLUÍDA",IF(F1448&lt;='RETRATO 2027'!$K$5,"EM ANDAMENTO","A INICIAR")))</f>
        <v>CONCLUÍDA</v>
      </c>
    </row>
    <row r="1449" customFormat="false" ht="15" hidden="false" customHeight="false" outlineLevel="0" collapsed="false">
      <c r="B1449" s="4" t="n">
        <v>28964856</v>
      </c>
      <c r="C1449" s="4" t="s">
        <v>2767</v>
      </c>
      <c r="D1449" s="4" t="s">
        <v>3498</v>
      </c>
      <c r="E1449" s="4" t="s">
        <v>3655</v>
      </c>
      <c r="F1449" s="127" t="n">
        <v>46265</v>
      </c>
      <c r="G1449" s="127" t="n">
        <v>46275</v>
      </c>
      <c r="H1449" s="127" t="n">
        <v>46293</v>
      </c>
      <c r="I1449" s="4" t="n">
        <v>0</v>
      </c>
      <c r="J1449" s="4" t="n">
        <v>100</v>
      </c>
      <c r="K1449" s="4" t="n">
        <v>70</v>
      </c>
      <c r="M1449" s="2" t="str">
        <f aca="false">IF(C1449="","",IFERROR(INDEX($S$5:$S$304,MATCH(C1449,$R$5:$R$304,0))&amp;"","?"))</f>
        <v>17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3</v>
      </c>
      <c r="O1449" s="2" t="str">
        <f aca="false">IF(OR(F1449="",G1449=""),"",IF(G1449&lt;='RETRATO 2027'!$K$5,"CONCLUÍDA",IF(F1449&lt;='RETRATO 2027'!$K$5,"EM ANDAMENTO","A INICIAR")))</f>
        <v>CONCLUÍDA</v>
      </c>
    </row>
    <row r="1450" customFormat="false" ht="15" hidden="false" customHeight="false" outlineLevel="0" collapsed="false">
      <c r="B1450" s="4" t="n">
        <v>28964857</v>
      </c>
      <c r="C1450" s="4" t="s">
        <v>2767</v>
      </c>
      <c r="D1450" s="4" t="s">
        <v>3572</v>
      </c>
      <c r="E1450" s="4" t="s">
        <v>3655</v>
      </c>
      <c r="F1450" s="127" t="n">
        <v>46279</v>
      </c>
      <c r="G1450" s="127" t="n">
        <v>46281</v>
      </c>
      <c r="H1450" s="127" t="n">
        <v>46293</v>
      </c>
      <c r="I1450" s="4" t="n">
        <v>0</v>
      </c>
      <c r="J1450" s="4" t="n">
        <v>100</v>
      </c>
      <c r="K1450" s="4" t="n">
        <v>0</v>
      </c>
      <c r="M1450" s="2" t="str">
        <f aca="false">IF(C1450="","",IFERROR(INDEX($S$5:$S$304,MATCH(C1450,$R$5:$R$304,0))&amp;"","?"))</f>
        <v>17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3</v>
      </c>
      <c r="O1450" s="2" t="str">
        <f aca="false">IF(OR(F1450="",G1450=""),"",IF(G1450&lt;='RETRATO 2027'!$K$5,"CONCLUÍDA",IF(F1450&lt;='RETRATO 2027'!$K$5,"EM ANDAMENTO","A INICIAR")))</f>
        <v>CONCLUÍDA</v>
      </c>
    </row>
    <row r="1451" customFormat="false" ht="15" hidden="false" customHeight="false" outlineLevel="0" collapsed="false">
      <c r="B1451" s="4" t="n">
        <v>28964922</v>
      </c>
      <c r="C1451" s="4" t="s">
        <v>2767</v>
      </c>
      <c r="D1451" s="4" t="s">
        <v>3573</v>
      </c>
      <c r="E1451" s="4" t="s">
        <v>3655</v>
      </c>
      <c r="F1451" s="127" t="n">
        <v>46282</v>
      </c>
      <c r="G1451" s="127" t="n">
        <v>46282</v>
      </c>
      <c r="H1451" s="127" t="n">
        <v>46293</v>
      </c>
      <c r="I1451" s="4" t="n">
        <v>0</v>
      </c>
      <c r="J1451" s="4" t="n">
        <v>100</v>
      </c>
      <c r="K1451" s="4" t="n">
        <v>0</v>
      </c>
      <c r="M1451" s="2" t="str">
        <f aca="false">IF(C1451="","",IFERROR(INDEX($S$5:$S$304,MATCH(C1451,$R$5:$R$304,0))&amp;"","?"))</f>
        <v>17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3</v>
      </c>
      <c r="O1451" s="2" t="str">
        <f aca="false">IF(OR(F1451="",G1451=""),"",IF(G1451&lt;='RETRATO 2027'!$K$5,"CONCLUÍDA",IF(F1451&lt;='RETRATO 2027'!$K$5,"EM ANDAMENTO","A INICIAR")))</f>
        <v>CONCLUÍDA</v>
      </c>
    </row>
    <row r="1452" customFormat="false" ht="15" hidden="false" customHeight="false" outlineLevel="0" collapsed="false">
      <c r="B1452" s="4" t="n">
        <v>28964923</v>
      </c>
      <c r="C1452" s="4" t="s">
        <v>2767</v>
      </c>
      <c r="D1452" s="4" t="s">
        <v>3536</v>
      </c>
      <c r="E1452" s="4" t="s">
        <v>3655</v>
      </c>
      <c r="F1452" s="127" t="n">
        <v>46283</v>
      </c>
      <c r="G1452" s="127" t="n">
        <v>46294</v>
      </c>
      <c r="H1452" s="127" t="n">
        <v>46293</v>
      </c>
      <c r="I1452" s="4" t="n">
        <v>0</v>
      </c>
      <c r="J1452" s="4" t="n">
        <v>87.5</v>
      </c>
      <c r="K1452" s="4" t="n">
        <v>20</v>
      </c>
      <c r="M1452" s="2" t="str">
        <f aca="false">IF(C1452="","",IFERROR(INDEX($S$5:$S$304,MATCH(C1452,$R$5:$R$304,0))&amp;"","?"))</f>
        <v>17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3</v>
      </c>
      <c r="O1452" s="2" t="str">
        <f aca="false">IF(OR(F1452="",G1452=""),"",IF(G1452&lt;='RETRATO 2027'!$K$5,"CONCLUÍDA",IF(F1452&lt;='RETRATO 2027'!$K$5,"EM ANDAMENTO","A INICIAR")))</f>
        <v>CONCLUÍDA</v>
      </c>
    </row>
    <row r="1453" customFormat="false" ht="15" hidden="false" customHeight="false" outlineLevel="0" collapsed="false">
      <c r="B1453" s="4" t="n">
        <v>28964924</v>
      </c>
      <c r="C1453" s="4" t="s">
        <v>2767</v>
      </c>
      <c r="D1453" s="4" t="s">
        <v>3617</v>
      </c>
      <c r="E1453" s="4" t="s">
        <v>3655</v>
      </c>
      <c r="F1453" s="127" t="n">
        <v>46295</v>
      </c>
      <c r="G1453" s="127" t="n">
        <v>46295</v>
      </c>
      <c r="H1453" s="127" t="n">
        <v>46293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17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3</v>
      </c>
      <c r="O1453" s="2" t="str">
        <f aca="false">IF(OR(F1453="",G1453=""),"",IF(G1453&lt;='RETRATO 2027'!$K$5,"CONCLUÍDA",IF(F1453&lt;='RETRATO 2027'!$K$5,"EM ANDAMENTO","A INICIAR")))</f>
        <v>CONCLUÍDA</v>
      </c>
    </row>
    <row r="1454" customFormat="false" ht="15" hidden="false" customHeight="false" outlineLevel="0" collapsed="false">
      <c r="B1454" s="4" t="n">
        <v>24939658</v>
      </c>
      <c r="C1454" s="4" t="s">
        <v>2705</v>
      </c>
      <c r="D1454" s="4" t="s">
        <v>433</v>
      </c>
      <c r="E1454" s="4" t="s">
        <v>3685</v>
      </c>
      <c r="F1454" s="127" t="n">
        <v>46255</v>
      </c>
      <c r="G1454" s="127" t="n">
        <v>46265</v>
      </c>
      <c r="H1454" s="127" t="n">
        <v>46293</v>
      </c>
      <c r="I1454" s="4" t="n">
        <v>100</v>
      </c>
      <c r="J1454" s="4" t="n">
        <v>100</v>
      </c>
      <c r="K1454" s="4" t="n">
        <v>100</v>
      </c>
      <c r="M1454" s="2" t="str">
        <f aca="false">IF(C1454="","",IFERROR(INDEX($S$5:$S$304,MATCH(C1454,$R$5:$R$304,0))&amp;"","?"))</f>
        <v>17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6</v>
      </c>
      <c r="O1454" s="2" t="str">
        <f aca="false">IF(OR(F1454="",G1454=""),"",IF(G1454&lt;='RETRATO 2027'!$K$5,"CONCLUÍDA",IF(F1454&lt;='RETRATO 2027'!$K$5,"EM ANDAMENTO","A INICIAR")))</f>
        <v>CONCLUÍDA</v>
      </c>
    </row>
    <row r="1455" customFormat="false" ht="15" hidden="false" customHeight="false" outlineLevel="0" collapsed="false">
      <c r="B1455" s="4" t="n">
        <v>9360167</v>
      </c>
      <c r="C1455" s="4" t="s">
        <v>2705</v>
      </c>
      <c r="D1455" s="4" t="s">
        <v>3244</v>
      </c>
      <c r="E1455" s="4" t="s">
        <v>3685</v>
      </c>
      <c r="F1455" s="127" t="n">
        <v>46255</v>
      </c>
      <c r="G1455" s="127" t="n">
        <v>46259</v>
      </c>
      <c r="H1455" s="127" t="n">
        <v>46293</v>
      </c>
      <c r="I1455" s="4" t="n">
        <v>100</v>
      </c>
      <c r="J1455" s="4" t="n">
        <v>100</v>
      </c>
      <c r="K1455" s="4" t="n">
        <v>100</v>
      </c>
      <c r="M1455" s="2" t="str">
        <f aca="false">IF(C1455="","",IFERROR(INDEX($S$5:$S$304,MATCH(C1455,$R$5:$R$304,0))&amp;"","?"))</f>
        <v>17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6</v>
      </c>
      <c r="O1455" s="2" t="str">
        <f aca="false">IF(OR(F1455="",G1455=""),"",IF(G1455&lt;='RETRATO 2027'!$K$5,"CONCLUÍDA",IF(F1455&lt;='RETRATO 2027'!$K$5,"EM ANDAMENTO","A INICIAR")))</f>
        <v>CONCLUÍDA</v>
      </c>
    </row>
    <row r="1456" customFormat="false" ht="15" hidden="false" customHeight="false" outlineLevel="0" collapsed="false">
      <c r="B1456" s="4" t="n">
        <v>9360168</v>
      </c>
      <c r="C1456" s="4" t="s">
        <v>2705</v>
      </c>
      <c r="D1456" s="4" t="s">
        <v>3245</v>
      </c>
      <c r="E1456" s="4" t="s">
        <v>3685</v>
      </c>
      <c r="F1456" s="127" t="n">
        <v>46255</v>
      </c>
      <c r="G1456" s="127" t="n">
        <v>46259</v>
      </c>
      <c r="H1456" s="127" t="n">
        <v>46293</v>
      </c>
      <c r="I1456" s="4" t="n">
        <v>100</v>
      </c>
      <c r="J1456" s="4" t="n">
        <v>100</v>
      </c>
      <c r="K1456" s="4" t="n">
        <v>100</v>
      </c>
      <c r="M1456" s="2" t="str">
        <f aca="false">IF(C1456="","",IFERROR(INDEX($S$5:$S$304,MATCH(C1456,$R$5:$R$304,0))&amp;"","?"))</f>
        <v>17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6</v>
      </c>
      <c r="O1456" s="2" t="str">
        <f aca="false">IF(OR(F1456="",G1456=""),"",IF(G1456&lt;='RETRATO 2027'!$K$5,"CONCLUÍDA",IF(F1456&lt;='RETRATO 2027'!$K$5,"EM ANDAMENTO","A INICIAR")))</f>
        <v>CONCLUÍDA</v>
      </c>
    </row>
    <row r="1457" customFormat="false" ht="15" hidden="false" customHeight="false" outlineLevel="0" collapsed="false">
      <c r="B1457" s="4" t="n">
        <v>9360169</v>
      </c>
      <c r="C1457" s="4" t="s">
        <v>2705</v>
      </c>
      <c r="D1457" s="4" t="s">
        <v>3246</v>
      </c>
      <c r="E1457" s="4" t="s">
        <v>3685</v>
      </c>
      <c r="F1457" s="127" t="n">
        <v>46258</v>
      </c>
      <c r="G1457" s="127" t="n">
        <v>46258</v>
      </c>
      <c r="H1457" s="127" t="n">
        <v>46293</v>
      </c>
      <c r="I1457" s="4" t="n">
        <v>100</v>
      </c>
      <c r="J1457" s="4" t="n">
        <v>100</v>
      </c>
      <c r="K1457" s="4" t="n">
        <v>100</v>
      </c>
      <c r="M1457" s="2" t="str">
        <f aca="false">IF(C1457="","",IFERROR(INDEX($S$5:$S$304,MATCH(C1457,$R$5:$R$304,0))&amp;"","?"))</f>
        <v>17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6</v>
      </c>
      <c r="O1457" s="2" t="str">
        <f aca="false">IF(OR(F1457="",G1457=""),"",IF(G1457&lt;='RETRATO 2027'!$K$5,"CONCLUÍDA",IF(F1457&lt;='RETRATO 2027'!$K$5,"EM ANDAMENTO","A INICIAR")))</f>
        <v>CONCLUÍDA</v>
      </c>
    </row>
    <row r="1458" customFormat="false" ht="15" hidden="false" customHeight="false" outlineLevel="0" collapsed="false">
      <c r="B1458" s="4" t="n">
        <v>9360170</v>
      </c>
      <c r="C1458" s="4" t="s">
        <v>2705</v>
      </c>
      <c r="D1458" s="4" t="s">
        <v>3247</v>
      </c>
      <c r="E1458" s="4" t="s">
        <v>3685</v>
      </c>
      <c r="F1458" s="127" t="n">
        <v>46259</v>
      </c>
      <c r="G1458" s="127" t="n">
        <v>46259</v>
      </c>
      <c r="H1458" s="127" t="n">
        <v>46293</v>
      </c>
      <c r="I1458" s="4" t="n">
        <v>100</v>
      </c>
      <c r="J1458" s="4" t="n">
        <v>100</v>
      </c>
      <c r="K1458" s="4" t="n">
        <v>100</v>
      </c>
      <c r="M1458" s="2" t="str">
        <f aca="false">IF(C1458="","",IFERROR(INDEX($S$5:$S$304,MATCH(C1458,$R$5:$R$304,0))&amp;"","?"))</f>
        <v>17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6</v>
      </c>
      <c r="O1458" s="2" t="str">
        <f aca="false">IF(OR(F1458="",G1458=""),"",IF(G1458&lt;='RETRATO 2027'!$K$5,"CONCLUÍDA",IF(F1458&lt;='RETRATO 2027'!$K$5,"EM ANDAMENTO","A INICIAR")))</f>
        <v>CONCLUÍDA</v>
      </c>
    </row>
    <row r="1459" customFormat="false" ht="15" hidden="false" customHeight="false" outlineLevel="0" collapsed="false">
      <c r="B1459" s="4" t="n">
        <v>9360171</v>
      </c>
      <c r="C1459" s="4" t="s">
        <v>2705</v>
      </c>
      <c r="D1459" s="4" t="s">
        <v>3248</v>
      </c>
      <c r="E1459" s="4" t="s">
        <v>3685</v>
      </c>
      <c r="F1459" s="127" t="n">
        <v>46260</v>
      </c>
      <c r="G1459" s="127" t="n">
        <v>46262</v>
      </c>
      <c r="H1459" s="127" t="n">
        <v>46293</v>
      </c>
      <c r="I1459" s="4" t="n">
        <v>100</v>
      </c>
      <c r="J1459" s="4" t="n">
        <v>100</v>
      </c>
      <c r="K1459" s="4" t="n">
        <v>100</v>
      </c>
      <c r="M1459" s="2" t="str">
        <f aca="false">IF(C1459="","",IFERROR(INDEX($S$5:$S$304,MATCH(C1459,$R$5:$R$304,0))&amp;"","?"))</f>
        <v>17</v>
      </c>
      <c r="N1459" s="2" t="n">
        <f aca="false">IF(E1459="","",IF(ISNUMBER(SEARCH("SUBSOLO",E1459)),IFERROR(-VALUE(LEFT(E1459,FIND("º",SUBSTITUTE(E1459,"°","º"))-1)),-1),IF(LEFT(E1459,6)="TÉRREO",0,IFERROR(VALUE(LEFT(E1459,FIND("º",SUBSTITUTE(E1459,"°","º"))-1)),""))))</f>
        <v>6</v>
      </c>
      <c r="O1459" s="2" t="str">
        <f aca="false">IF(OR(F1459="",G1459=""),"",IF(G1459&lt;='RETRATO 2027'!$K$5,"CONCLUÍDA",IF(F1459&lt;='RETRATO 2027'!$K$5,"EM ANDAMENTO","A INICIAR")))</f>
        <v>CONCLUÍDA</v>
      </c>
    </row>
    <row r="1460" customFormat="false" ht="15" hidden="false" customHeight="false" outlineLevel="0" collapsed="false">
      <c r="B1460" s="4" t="n">
        <v>9360172</v>
      </c>
      <c r="C1460" s="4" t="s">
        <v>2705</v>
      </c>
      <c r="D1460" s="4" t="s">
        <v>3249</v>
      </c>
      <c r="E1460" s="4" t="s">
        <v>3685</v>
      </c>
      <c r="F1460" s="127" t="n">
        <v>46261</v>
      </c>
      <c r="G1460" s="127" t="n">
        <v>46265</v>
      </c>
      <c r="H1460" s="127" t="n">
        <v>46293</v>
      </c>
      <c r="I1460" s="4" t="n">
        <v>100</v>
      </c>
      <c r="J1460" s="4" t="n">
        <v>100</v>
      </c>
      <c r="K1460" s="4" t="n">
        <v>100</v>
      </c>
      <c r="M1460" s="2" t="str">
        <f aca="false">IF(C1460="","",IFERROR(INDEX($S$5:$S$304,MATCH(C1460,$R$5:$R$304,0))&amp;"","?"))</f>
        <v>17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6</v>
      </c>
      <c r="O1460" s="2" t="str">
        <f aca="false">IF(OR(F1460="",G1460=""),"",IF(G1460&lt;='RETRATO 2027'!$K$5,"CONCLUÍDA",IF(F1460&lt;='RETRATO 2027'!$K$5,"EM ANDAMENTO","A INICIAR")))</f>
        <v>CONCLUÍDA</v>
      </c>
    </row>
    <row r="1461" customFormat="false" ht="15" hidden="false" customHeight="false" outlineLevel="0" collapsed="false">
      <c r="B1461" s="4" t="n">
        <v>9360173</v>
      </c>
      <c r="C1461" s="4" t="s">
        <v>2705</v>
      </c>
      <c r="D1461" s="4" t="s">
        <v>3250</v>
      </c>
      <c r="E1461" s="4" t="s">
        <v>3685</v>
      </c>
      <c r="F1461" s="127" t="n">
        <v>46260</v>
      </c>
      <c r="G1461" s="127" t="n">
        <v>46260</v>
      </c>
      <c r="H1461" s="127" t="n">
        <v>46293</v>
      </c>
      <c r="I1461" s="4" t="n">
        <v>100</v>
      </c>
      <c r="J1461" s="4" t="n">
        <v>100</v>
      </c>
      <c r="K1461" s="4" t="n">
        <v>100</v>
      </c>
      <c r="M1461" s="2" t="str">
        <f aca="false">IF(C1461="","",IFERROR(INDEX($S$5:$S$304,MATCH(C1461,$R$5:$R$304,0))&amp;"","?"))</f>
        <v>17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6</v>
      </c>
      <c r="O1461" s="2" t="str">
        <f aca="false">IF(OR(F1461="",G1461=""),"",IF(G1461&lt;='RETRATO 2027'!$K$5,"CONCLUÍDA",IF(F1461&lt;='RETRATO 2027'!$K$5,"EM ANDAMENTO","A INICIAR")))</f>
        <v>CONCLUÍDA</v>
      </c>
    </row>
    <row r="1462" customFormat="false" ht="15" hidden="false" customHeight="false" outlineLevel="0" collapsed="false">
      <c r="B1462" s="4" t="n">
        <v>9360174</v>
      </c>
      <c r="C1462" s="4" t="s">
        <v>2705</v>
      </c>
      <c r="D1462" s="4" t="s">
        <v>3251</v>
      </c>
      <c r="E1462" s="4" t="s">
        <v>3685</v>
      </c>
      <c r="F1462" s="127" t="n">
        <v>46260</v>
      </c>
      <c r="G1462" s="127" t="n">
        <v>46260</v>
      </c>
      <c r="H1462" s="127" t="n">
        <v>46293</v>
      </c>
      <c r="I1462" s="4" t="n">
        <v>100</v>
      </c>
      <c r="J1462" s="4" t="n">
        <v>100</v>
      </c>
      <c r="K1462" s="4" t="n">
        <v>100</v>
      </c>
      <c r="M1462" s="2" t="str">
        <f aca="false">IF(C1462="","",IFERROR(INDEX($S$5:$S$304,MATCH(C1462,$R$5:$R$304,0))&amp;"","?"))</f>
        <v>17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6</v>
      </c>
      <c r="O1462" s="2" t="str">
        <f aca="false">IF(OR(F1462="",G1462=""),"",IF(G1462&lt;='RETRATO 2027'!$K$5,"CONCLUÍDA",IF(F1462&lt;='RETRATO 2027'!$K$5,"EM ANDAMENTO","A INICIAR")))</f>
        <v>CONCLUÍDA</v>
      </c>
    </row>
    <row r="1463" customFormat="false" ht="15" hidden="false" customHeight="false" outlineLevel="0" collapsed="false">
      <c r="B1463" s="4" t="n">
        <v>9360175</v>
      </c>
      <c r="C1463" s="4" t="s">
        <v>2705</v>
      </c>
      <c r="D1463" s="4" t="s">
        <v>3252</v>
      </c>
      <c r="E1463" s="4" t="s">
        <v>3685</v>
      </c>
      <c r="F1463" s="127" t="n">
        <v>46261</v>
      </c>
      <c r="G1463" s="127" t="n">
        <v>46261</v>
      </c>
      <c r="H1463" s="127" t="n">
        <v>46293</v>
      </c>
      <c r="I1463" s="4" t="n">
        <v>100</v>
      </c>
      <c r="J1463" s="4" t="n">
        <v>100</v>
      </c>
      <c r="K1463" s="4" t="n">
        <v>100</v>
      </c>
      <c r="M1463" s="2" t="str">
        <f aca="false">IF(C1463="","",IFERROR(INDEX($S$5:$S$304,MATCH(C1463,$R$5:$R$304,0))&amp;"","?"))</f>
        <v>17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6</v>
      </c>
      <c r="O1463" s="2" t="str">
        <f aca="false">IF(OR(F1463="",G1463=""),"",IF(G1463&lt;='RETRATO 2027'!$K$5,"CONCLUÍDA",IF(F1463&lt;='RETRATO 2027'!$K$5,"EM ANDAMENTO","A INICIAR")))</f>
        <v>CONCLUÍDA</v>
      </c>
    </row>
    <row r="1464" customFormat="false" ht="15" hidden="false" customHeight="false" outlineLevel="0" collapsed="false">
      <c r="B1464" s="4" t="n">
        <v>44923272</v>
      </c>
      <c r="C1464" s="4" t="s">
        <v>2770</v>
      </c>
      <c r="D1464" s="4" t="s">
        <v>433</v>
      </c>
      <c r="E1464" s="4" t="s">
        <v>3583</v>
      </c>
      <c r="F1464" s="127" t="n">
        <v>46258</v>
      </c>
      <c r="G1464" s="127" t="n">
        <v>46325</v>
      </c>
      <c r="H1464" s="127" t="n">
        <v>46293</v>
      </c>
      <c r="I1464" s="4" t="n">
        <v>0</v>
      </c>
      <c r="J1464" s="4" t="n">
        <v>52.083</v>
      </c>
      <c r="K1464" s="4" t="n">
        <v>90</v>
      </c>
      <c r="M1464" s="2" t="str">
        <f aca="false">IF(C1464="","",IFERROR(INDEX($S$5:$S$304,MATCH(C1464,$R$5:$R$304,0))&amp;"","?"))</f>
        <v>20</v>
      </c>
      <c r="N1464" s="2" t="n">
        <f aca="false">IF(E1464="","",IF(ISNUMBER(SEARCH("SUBSOLO",E1464)),IFERROR(-VALUE(LEFT(E1464,FIND("º",SUBSTITUTE(E1464,"°","º"))-1)),-1),IF(LEFT(E1464,6)="TÉRREO",0,IFERROR(VALUE(LEFT(E1464,FIND("º",SUBSTITUTE(E1464,"°","º"))-1)),""))))</f>
        <v>-6</v>
      </c>
      <c r="O1464" s="2" t="str">
        <f aca="false">IF(OR(F1464="",G1464=""),"",IF(G1464&lt;='RETRATO 2027'!$K$5,"CONCLUÍDA",IF(F1464&lt;='RETRATO 2027'!$K$5,"EM ANDAMENTO","A INICIAR")))</f>
        <v>CONCLUÍDA</v>
      </c>
    </row>
    <row r="1465" customFormat="false" ht="15" hidden="false" customHeight="false" outlineLevel="0" collapsed="false">
      <c r="B1465" s="4" t="n">
        <v>44923227</v>
      </c>
      <c r="C1465" s="4" t="s">
        <v>2826</v>
      </c>
      <c r="D1465" s="4" t="s">
        <v>433</v>
      </c>
      <c r="E1465" s="4" t="s">
        <v>3583</v>
      </c>
      <c r="F1465" s="127" t="n">
        <v>46261</v>
      </c>
      <c r="G1465" s="127" t="n">
        <v>46325</v>
      </c>
      <c r="H1465" s="127" t="n">
        <v>46293</v>
      </c>
      <c r="I1465" s="4" t="n">
        <v>0</v>
      </c>
      <c r="J1465" s="4" t="n">
        <v>48.889</v>
      </c>
      <c r="K1465" s="4" t="n">
        <v>88.889</v>
      </c>
      <c r="M1465" s="2" t="str">
        <f aca="false">IF(C1465="","",IFERROR(INDEX($S$5:$S$304,MATCH(C1465,$R$5:$R$304,0))&amp;"","?"))</f>
        <v>21</v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-6</v>
      </c>
      <c r="O1465" s="2" t="str">
        <f aca="false">IF(OR(F1465="",G1465=""),"",IF(G1465&lt;='RETRATO 2027'!$K$5,"CONCLUÍDA",IF(F1465&lt;='RETRATO 2027'!$K$5,"EM ANDAMENTO","A INICIAR")))</f>
        <v>CONCLUÍDA</v>
      </c>
    </row>
    <row r="1466" customFormat="false" ht="15" hidden="false" customHeight="false" outlineLevel="0" collapsed="false">
      <c r="B1466" s="4" t="n">
        <v>53205014</v>
      </c>
      <c r="C1466" s="4" t="s">
        <v>2838</v>
      </c>
      <c r="D1466" s="4" t="s">
        <v>433</v>
      </c>
      <c r="E1466" s="4" t="s">
        <v>3375</v>
      </c>
      <c r="F1466" s="127" t="n">
        <v>46266</v>
      </c>
      <c r="G1466" s="127" t="n">
        <v>46276</v>
      </c>
      <c r="H1466" s="127" t="n">
        <v>46293</v>
      </c>
      <c r="I1466" s="4" t="n">
        <v>0</v>
      </c>
      <c r="J1466" s="4" t="n">
        <v>100</v>
      </c>
      <c r="K1466" s="4" t="n">
        <v>90</v>
      </c>
      <c r="M1466" s="2" t="str">
        <f aca="false">IF(C1466="","",IFERROR(INDEX($S$5:$S$304,MATCH(C1466,$R$5:$R$304,0))&amp;"","?"))</f>
        <v>30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-3</v>
      </c>
      <c r="O1466" s="2" t="str">
        <f aca="false">IF(OR(F1466="",G1466=""),"",IF(G1466&lt;='RETRATO 2027'!$K$5,"CONCLUÍDA",IF(F1466&lt;='RETRATO 2027'!$K$5,"EM ANDAMENTO","A INICIAR")))</f>
        <v>CONCLUÍDA</v>
      </c>
    </row>
    <row r="1467" customFormat="false" ht="15" hidden="false" customHeight="false" outlineLevel="0" collapsed="false">
      <c r="B1467" s="4" t="n">
        <v>24939619</v>
      </c>
      <c r="C1467" s="4" t="s">
        <v>2705</v>
      </c>
      <c r="D1467" s="4" t="s">
        <v>433</v>
      </c>
      <c r="E1467" s="4" t="s">
        <v>3686</v>
      </c>
      <c r="F1467" s="127" t="n">
        <v>46266</v>
      </c>
      <c r="G1467" s="127" t="n">
        <v>46275</v>
      </c>
      <c r="H1467" s="127" t="n">
        <v>46293</v>
      </c>
      <c r="I1467" s="4" t="n">
        <v>100</v>
      </c>
      <c r="J1467" s="4" t="n">
        <v>100</v>
      </c>
      <c r="K1467" s="4" t="n">
        <v>100</v>
      </c>
      <c r="M1467" s="2" t="str">
        <f aca="false">IF(C1467="","",IFERROR(INDEX($S$5:$S$304,MATCH(C1467,$R$5:$R$304,0))&amp;"","?"))</f>
        <v>17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7</v>
      </c>
      <c r="O1467" s="2" t="str">
        <f aca="false">IF(OR(F1467="",G1467=""),"",IF(G1467&lt;='RETRATO 2027'!$K$5,"CONCLUÍDA",IF(F1467&lt;='RETRATO 2027'!$K$5,"EM ANDAMENTO","A INICIAR")))</f>
        <v>CONCLUÍDA</v>
      </c>
    </row>
    <row r="1468" customFormat="false" ht="15" hidden="false" customHeight="false" outlineLevel="0" collapsed="false">
      <c r="B1468" s="4" t="n">
        <v>9360158</v>
      </c>
      <c r="C1468" s="4" t="s">
        <v>2705</v>
      </c>
      <c r="D1468" s="4" t="s">
        <v>3244</v>
      </c>
      <c r="E1468" s="4" t="s">
        <v>3686</v>
      </c>
      <c r="F1468" s="127" t="n">
        <v>46266</v>
      </c>
      <c r="G1468" s="127" t="n">
        <v>46269</v>
      </c>
      <c r="H1468" s="127" t="n">
        <v>46293</v>
      </c>
      <c r="I1468" s="4" t="n">
        <v>100</v>
      </c>
      <c r="J1468" s="4" t="n">
        <v>100</v>
      </c>
      <c r="K1468" s="4" t="n">
        <v>100</v>
      </c>
      <c r="M1468" s="2" t="str">
        <f aca="false">IF(C1468="","",IFERROR(INDEX($S$5:$S$304,MATCH(C1468,$R$5:$R$304,0))&amp;"","?"))</f>
        <v>17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7</v>
      </c>
      <c r="O1468" s="2" t="str">
        <f aca="false">IF(OR(F1468="",G1468=""),"",IF(G1468&lt;='RETRATO 2027'!$K$5,"CONCLUÍDA",IF(F1468&lt;='RETRATO 2027'!$K$5,"EM ANDAMENTO","A INICIAR")))</f>
        <v>CONCLUÍDA</v>
      </c>
    </row>
    <row r="1469" customFormat="false" ht="15" hidden="false" customHeight="false" outlineLevel="0" collapsed="false">
      <c r="B1469" s="4" t="n">
        <v>9360159</v>
      </c>
      <c r="C1469" s="4" t="s">
        <v>2705</v>
      </c>
      <c r="D1469" s="4" t="s">
        <v>3245</v>
      </c>
      <c r="E1469" s="4" t="s">
        <v>3686</v>
      </c>
      <c r="F1469" s="127" t="n">
        <v>46266</v>
      </c>
      <c r="G1469" s="127" t="n">
        <v>46268</v>
      </c>
      <c r="H1469" s="127" t="n">
        <v>46293</v>
      </c>
      <c r="I1469" s="4" t="n">
        <v>100</v>
      </c>
      <c r="J1469" s="4" t="n">
        <v>100</v>
      </c>
      <c r="K1469" s="4" t="n">
        <v>100</v>
      </c>
      <c r="M1469" s="2" t="str">
        <f aca="false">IF(C1469="","",IFERROR(INDEX($S$5:$S$304,MATCH(C1469,$R$5:$R$304,0))&amp;"","?"))</f>
        <v>17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7</v>
      </c>
      <c r="O1469" s="2" t="str">
        <f aca="false">IF(OR(F1469="",G1469=""),"",IF(G1469&lt;='RETRATO 2027'!$K$5,"CONCLUÍDA",IF(F1469&lt;='RETRATO 2027'!$K$5,"EM ANDAMENTO","A INICIAR")))</f>
        <v>CONCLUÍDA</v>
      </c>
    </row>
    <row r="1470" customFormat="false" ht="15" hidden="false" customHeight="false" outlineLevel="0" collapsed="false">
      <c r="B1470" s="4" t="n">
        <v>9360160</v>
      </c>
      <c r="C1470" s="4" t="s">
        <v>2705</v>
      </c>
      <c r="D1470" s="4" t="s">
        <v>3246</v>
      </c>
      <c r="E1470" s="4" t="s">
        <v>3686</v>
      </c>
      <c r="F1470" s="127" t="n">
        <v>46267</v>
      </c>
      <c r="G1470" s="127" t="n">
        <v>46267</v>
      </c>
      <c r="H1470" s="127" t="n">
        <v>46293</v>
      </c>
      <c r="I1470" s="4" t="n">
        <v>100</v>
      </c>
      <c r="J1470" s="4" t="n">
        <v>100</v>
      </c>
      <c r="K1470" s="4" t="n">
        <v>100</v>
      </c>
      <c r="M1470" s="2" t="str">
        <f aca="false">IF(C1470="","",IFERROR(INDEX($S$5:$S$304,MATCH(C1470,$R$5:$R$304,0))&amp;"","?"))</f>
        <v>17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7</v>
      </c>
      <c r="O1470" s="2" t="str">
        <f aca="false">IF(OR(F1470="",G1470=""),"",IF(G1470&lt;='RETRATO 2027'!$K$5,"CONCLUÍDA",IF(F1470&lt;='RETRATO 2027'!$K$5,"EM ANDAMENTO","A INICIAR")))</f>
        <v>CONCLUÍDA</v>
      </c>
    </row>
    <row r="1471" customFormat="false" ht="15" hidden="false" customHeight="false" outlineLevel="0" collapsed="false">
      <c r="B1471" s="4" t="n">
        <v>9360161</v>
      </c>
      <c r="C1471" s="4" t="s">
        <v>2705</v>
      </c>
      <c r="D1471" s="4" t="s">
        <v>3247</v>
      </c>
      <c r="E1471" s="4" t="s">
        <v>3686</v>
      </c>
      <c r="F1471" s="127" t="n">
        <v>46268</v>
      </c>
      <c r="G1471" s="127" t="n">
        <v>46268</v>
      </c>
      <c r="H1471" s="127" t="n">
        <v>46293</v>
      </c>
      <c r="I1471" s="4" t="n">
        <v>100</v>
      </c>
      <c r="J1471" s="4" t="n">
        <v>100</v>
      </c>
      <c r="K1471" s="4" t="n">
        <v>100</v>
      </c>
      <c r="M1471" s="2" t="str">
        <f aca="false">IF(C1471="","",IFERROR(INDEX($S$5:$S$304,MATCH(C1471,$R$5:$R$304,0))&amp;"","?"))</f>
        <v>17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7</v>
      </c>
      <c r="O1471" s="2" t="str">
        <f aca="false">IF(OR(F1471="",G1471=""),"",IF(G1471&lt;='RETRATO 2027'!$K$5,"CONCLUÍDA",IF(F1471&lt;='RETRATO 2027'!$K$5,"EM ANDAMENTO","A INICIAR")))</f>
        <v>CONCLUÍDA</v>
      </c>
    </row>
    <row r="1472" customFormat="false" ht="15" hidden="false" customHeight="false" outlineLevel="0" collapsed="false">
      <c r="B1472" s="4" t="n">
        <v>9360162</v>
      </c>
      <c r="C1472" s="4" t="s">
        <v>2705</v>
      </c>
      <c r="D1472" s="4" t="s">
        <v>3248</v>
      </c>
      <c r="E1472" s="4" t="s">
        <v>3686</v>
      </c>
      <c r="F1472" s="127" t="n">
        <v>46269</v>
      </c>
      <c r="G1472" s="127" t="n">
        <v>46274</v>
      </c>
      <c r="H1472" s="127" t="n">
        <v>46293</v>
      </c>
      <c r="I1472" s="4" t="n">
        <v>100</v>
      </c>
      <c r="J1472" s="4" t="n">
        <v>100</v>
      </c>
      <c r="K1472" s="4" t="n">
        <v>100</v>
      </c>
      <c r="M1472" s="2" t="str">
        <f aca="false">IF(C1472="","",IFERROR(INDEX($S$5:$S$304,MATCH(C1472,$R$5:$R$304,0))&amp;"","?"))</f>
        <v>17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7</v>
      </c>
      <c r="O1472" s="2" t="str">
        <f aca="false">IF(OR(F1472="",G1472=""),"",IF(G1472&lt;='RETRATO 2027'!$K$5,"CONCLUÍDA",IF(F1472&lt;='RETRATO 2027'!$K$5,"EM ANDAMENTO","A INICIAR")))</f>
        <v>CONCLUÍDA</v>
      </c>
    </row>
    <row r="1473" customFormat="false" ht="15" hidden="false" customHeight="false" outlineLevel="0" collapsed="false">
      <c r="B1473" s="4" t="n">
        <v>9360163</v>
      </c>
      <c r="C1473" s="4" t="s">
        <v>2705</v>
      </c>
      <c r="D1473" s="4" t="s">
        <v>3249</v>
      </c>
      <c r="E1473" s="4" t="s">
        <v>3686</v>
      </c>
      <c r="F1473" s="127" t="n">
        <v>46273</v>
      </c>
      <c r="G1473" s="127" t="n">
        <v>46275</v>
      </c>
      <c r="H1473" s="127" t="n">
        <v>46293</v>
      </c>
      <c r="I1473" s="4" t="n">
        <v>100</v>
      </c>
      <c r="J1473" s="4" t="n">
        <v>100</v>
      </c>
      <c r="K1473" s="4" t="n">
        <v>100</v>
      </c>
      <c r="M1473" s="2" t="str">
        <f aca="false">IF(C1473="","",IFERROR(INDEX($S$5:$S$304,MATCH(C1473,$R$5:$R$304,0))&amp;"","?"))</f>
        <v>17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7</v>
      </c>
      <c r="O1473" s="2" t="str">
        <f aca="false">IF(OR(F1473="",G1473=""),"",IF(G1473&lt;='RETRATO 2027'!$K$5,"CONCLUÍDA",IF(F1473&lt;='RETRATO 2027'!$K$5,"EM ANDAMENTO","A INICIAR")))</f>
        <v>CONCLUÍDA</v>
      </c>
    </row>
    <row r="1474" customFormat="false" ht="15" hidden="false" customHeight="false" outlineLevel="0" collapsed="false">
      <c r="B1474" s="4" t="n">
        <v>9360164</v>
      </c>
      <c r="C1474" s="4" t="s">
        <v>2705</v>
      </c>
      <c r="D1474" s="4" t="s">
        <v>3250</v>
      </c>
      <c r="E1474" s="4" t="s">
        <v>3686</v>
      </c>
      <c r="F1474" s="127" t="n">
        <v>46269</v>
      </c>
      <c r="G1474" s="127" t="n">
        <v>46269</v>
      </c>
      <c r="H1474" s="127" t="n">
        <v>46293</v>
      </c>
      <c r="I1474" s="4" t="n">
        <v>100</v>
      </c>
      <c r="J1474" s="4" t="n">
        <v>100</v>
      </c>
      <c r="K1474" s="4" t="n">
        <v>100</v>
      </c>
      <c r="M1474" s="2" t="str">
        <f aca="false">IF(C1474="","",IFERROR(INDEX($S$5:$S$304,MATCH(C1474,$R$5:$R$304,0))&amp;"","?"))</f>
        <v>17</v>
      </c>
      <c r="N1474" s="2" t="n">
        <f aca="false">IF(E1474="","",IF(ISNUMBER(SEARCH("SUBSOLO",E1474)),IFERROR(-VALUE(LEFT(E1474,FIND("º",SUBSTITUTE(E1474,"°","º"))-1)),-1),IF(LEFT(E1474,6)="TÉRREO",0,IFERROR(VALUE(LEFT(E1474,FIND("º",SUBSTITUTE(E1474,"°","º"))-1)),""))))</f>
        <v>7</v>
      </c>
      <c r="O1474" s="2" t="str">
        <f aca="false">IF(OR(F1474="",G1474=""),"",IF(G1474&lt;='RETRATO 2027'!$K$5,"CONCLUÍDA",IF(F1474&lt;='RETRATO 2027'!$K$5,"EM ANDAMENTO","A INICIAR")))</f>
        <v>CONCLUÍDA</v>
      </c>
    </row>
    <row r="1475" customFormat="false" ht="15" hidden="false" customHeight="false" outlineLevel="0" collapsed="false">
      <c r="B1475" s="4" t="n">
        <v>9360165</v>
      </c>
      <c r="C1475" s="4" t="s">
        <v>2705</v>
      </c>
      <c r="D1475" s="4" t="s">
        <v>3251</v>
      </c>
      <c r="E1475" s="4" t="s">
        <v>3686</v>
      </c>
      <c r="F1475" s="127" t="n">
        <v>46269</v>
      </c>
      <c r="G1475" s="127" t="n">
        <v>46269</v>
      </c>
      <c r="H1475" s="127" t="n">
        <v>46293</v>
      </c>
      <c r="I1475" s="4" t="n">
        <v>100</v>
      </c>
      <c r="J1475" s="4" t="n">
        <v>100</v>
      </c>
      <c r="K1475" s="4" t="n">
        <v>100</v>
      </c>
      <c r="M1475" s="2" t="str">
        <f aca="false">IF(C1475="","",IFERROR(INDEX($S$5:$S$304,MATCH(C1475,$R$5:$R$304,0))&amp;"","?"))</f>
        <v>17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7</v>
      </c>
      <c r="O1475" s="2" t="str">
        <f aca="false">IF(OR(F1475="",G1475=""),"",IF(G1475&lt;='RETRATO 2027'!$K$5,"CONCLUÍDA",IF(F1475&lt;='RETRATO 2027'!$K$5,"EM ANDAMENTO","A INICIAR")))</f>
        <v>CONCLUÍDA</v>
      </c>
    </row>
    <row r="1476" customFormat="false" ht="15" hidden="false" customHeight="false" outlineLevel="0" collapsed="false">
      <c r="B1476" s="4" t="n">
        <v>9360166</v>
      </c>
      <c r="C1476" s="4" t="s">
        <v>2705</v>
      </c>
      <c r="D1476" s="4" t="s">
        <v>3252</v>
      </c>
      <c r="E1476" s="4" t="s">
        <v>3686</v>
      </c>
      <c r="F1476" s="127" t="n">
        <v>46273</v>
      </c>
      <c r="G1476" s="127" t="n">
        <v>46273</v>
      </c>
      <c r="H1476" s="127" t="n">
        <v>46293</v>
      </c>
      <c r="I1476" s="4" t="n">
        <v>100</v>
      </c>
      <c r="J1476" s="4" t="n">
        <v>100</v>
      </c>
      <c r="K1476" s="4" t="n">
        <v>100</v>
      </c>
      <c r="M1476" s="2" t="str">
        <f aca="false">IF(C1476="","",IFERROR(INDEX($S$5:$S$304,MATCH(C1476,$R$5:$R$304,0))&amp;"","?"))</f>
        <v>17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7</v>
      </c>
      <c r="O1476" s="2" t="str">
        <f aca="false">IF(OR(F1476="",G1476=""),"",IF(G1476&lt;='RETRATO 2027'!$K$5,"CONCLUÍDA",IF(F1476&lt;='RETRATO 2027'!$K$5,"EM ANDAMENTO","A INICIAR")))</f>
        <v>CONCLUÍDA</v>
      </c>
    </row>
    <row r="1477" customFormat="false" ht="15" hidden="false" customHeight="false" outlineLevel="0" collapsed="false">
      <c r="B1477" s="4" t="n">
        <v>48679986</v>
      </c>
      <c r="C1477" s="4" t="s">
        <v>2714</v>
      </c>
      <c r="D1477" s="4" t="s">
        <v>433</v>
      </c>
      <c r="E1477" s="4" t="s">
        <v>3686</v>
      </c>
      <c r="F1477" s="127" t="n">
        <v>46266</v>
      </c>
      <c r="G1477" s="127" t="n">
        <v>46275</v>
      </c>
      <c r="H1477" s="127" t="n">
        <v>46293</v>
      </c>
      <c r="I1477" s="4" t="n">
        <v>0</v>
      </c>
      <c r="J1477" s="4" t="n">
        <v>100</v>
      </c>
      <c r="K1477" s="4" t="n">
        <v>100</v>
      </c>
      <c r="M1477" s="2" t="str">
        <f aca="false">IF(C1477="","",IFERROR(INDEX($S$5:$S$304,MATCH(C1477,$R$5:$R$304,0))&amp;"","?"))</f>
        <v>17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7</v>
      </c>
      <c r="O1477" s="2" t="str">
        <f aca="false">IF(OR(F1477="",G1477=""),"",IF(G1477&lt;='RETRATO 2027'!$K$5,"CONCLUÍDA",IF(F1477&lt;='RETRATO 2027'!$K$5,"EM ANDAMENTO","A INICIAR")))</f>
        <v>CONCLUÍDA</v>
      </c>
    </row>
    <row r="1478" customFormat="false" ht="15" hidden="false" customHeight="false" outlineLevel="0" collapsed="false">
      <c r="B1478" s="4" t="n">
        <v>31847101</v>
      </c>
      <c r="C1478" s="4" t="s">
        <v>2714</v>
      </c>
      <c r="D1478" s="4" t="s">
        <v>3554</v>
      </c>
      <c r="E1478" s="4" t="s">
        <v>3686</v>
      </c>
      <c r="F1478" s="127" t="n">
        <v>46266</v>
      </c>
      <c r="G1478" s="127" t="n">
        <v>46266</v>
      </c>
      <c r="H1478" s="127" t="n">
        <v>46293</v>
      </c>
      <c r="I1478" s="4" t="n">
        <v>0</v>
      </c>
      <c r="J1478" s="4" t="n">
        <v>100</v>
      </c>
      <c r="K1478" s="4" t="n">
        <v>100</v>
      </c>
      <c r="M1478" s="2" t="str">
        <f aca="false">IF(C1478="","",IFERROR(INDEX($S$5:$S$304,MATCH(C1478,$R$5:$R$304,0))&amp;"","?"))</f>
        <v>17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7</v>
      </c>
      <c r="O1478" s="2" t="str">
        <f aca="false">IF(OR(F1478="",G1478=""),"",IF(G1478&lt;='RETRATO 2027'!$K$5,"CONCLUÍDA",IF(F1478&lt;='RETRATO 2027'!$K$5,"EM ANDAMENTO","A INICIAR")))</f>
        <v>CONCLUÍDA</v>
      </c>
    </row>
    <row r="1479" customFormat="false" ht="15" hidden="false" customHeight="false" outlineLevel="0" collapsed="false">
      <c r="B1479" s="4" t="n">
        <v>31847102</v>
      </c>
      <c r="C1479" s="4" t="s">
        <v>2714</v>
      </c>
      <c r="D1479" s="4" t="s">
        <v>3555</v>
      </c>
      <c r="E1479" s="4" t="s">
        <v>3686</v>
      </c>
      <c r="F1479" s="127" t="n">
        <v>46267</v>
      </c>
      <c r="G1479" s="127" t="n">
        <v>46267</v>
      </c>
      <c r="H1479" s="127" t="n">
        <v>46293</v>
      </c>
      <c r="I1479" s="4" t="n">
        <v>0</v>
      </c>
      <c r="J1479" s="4" t="n">
        <v>100</v>
      </c>
      <c r="K1479" s="4" t="n">
        <v>100</v>
      </c>
      <c r="M1479" s="2" t="str">
        <f aca="false">IF(C1479="","",IFERROR(INDEX($S$5:$S$304,MATCH(C1479,$R$5:$R$304,0))&amp;"","?"))</f>
        <v>17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7</v>
      </c>
      <c r="O1479" s="2" t="str">
        <f aca="false">IF(OR(F1479="",G1479=""),"",IF(G1479&lt;='RETRATO 2027'!$K$5,"CONCLUÍDA",IF(F1479&lt;='RETRATO 2027'!$K$5,"EM ANDAMENTO","A INICIAR")))</f>
        <v>CONCLUÍDA</v>
      </c>
    </row>
    <row r="1480" customFormat="false" ht="15" hidden="false" customHeight="false" outlineLevel="0" collapsed="false">
      <c r="B1480" s="4" t="n">
        <v>31847103</v>
      </c>
      <c r="C1480" s="4" t="s">
        <v>2714</v>
      </c>
      <c r="D1480" s="4" t="s">
        <v>3498</v>
      </c>
      <c r="E1480" s="4" t="s">
        <v>3686</v>
      </c>
      <c r="F1480" s="127" t="n">
        <v>46268</v>
      </c>
      <c r="G1480" s="127" t="n">
        <v>46268</v>
      </c>
      <c r="H1480" s="127" t="n">
        <v>46293</v>
      </c>
      <c r="I1480" s="4" t="n">
        <v>0</v>
      </c>
      <c r="J1480" s="4" t="n">
        <v>100</v>
      </c>
      <c r="K1480" s="4" t="n">
        <v>100</v>
      </c>
      <c r="M1480" s="2" t="str">
        <f aca="false">IF(C1480="","",IFERROR(INDEX($S$5:$S$304,MATCH(C1480,$R$5:$R$304,0))&amp;"","?"))</f>
        <v>17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7</v>
      </c>
      <c r="O1480" s="2" t="str">
        <f aca="false">IF(OR(F1480="",G1480=""),"",IF(G1480&lt;='RETRATO 2027'!$K$5,"CONCLUÍDA",IF(F1480&lt;='RETRATO 2027'!$K$5,"EM ANDAMENTO","A INICIAR")))</f>
        <v>CONCLUÍDA</v>
      </c>
    </row>
    <row r="1481" customFormat="false" ht="15" hidden="false" customHeight="false" outlineLevel="0" collapsed="false">
      <c r="B1481" s="4" t="n">
        <v>31847104</v>
      </c>
      <c r="C1481" s="4" t="s">
        <v>2714</v>
      </c>
      <c r="D1481" s="4" t="s">
        <v>3599</v>
      </c>
      <c r="E1481" s="4" t="s">
        <v>3686</v>
      </c>
      <c r="F1481" s="127" t="n">
        <v>46269</v>
      </c>
      <c r="G1481" s="127" t="n">
        <v>46269</v>
      </c>
      <c r="H1481" s="127" t="n">
        <v>46293</v>
      </c>
      <c r="I1481" s="4" t="n">
        <v>0</v>
      </c>
      <c r="J1481" s="4" t="n">
        <v>100</v>
      </c>
      <c r="K1481" s="4" t="n">
        <v>100</v>
      </c>
      <c r="M1481" s="2" t="str">
        <f aca="false">IF(C1481="","",IFERROR(INDEX($S$5:$S$304,MATCH(C1481,$R$5:$R$304,0))&amp;"","?"))</f>
        <v>17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7</v>
      </c>
      <c r="O1481" s="2" t="str">
        <f aca="false">IF(OR(F1481="",G1481=""),"",IF(G1481&lt;='RETRATO 2027'!$K$5,"CONCLUÍDA",IF(F1481&lt;='RETRATO 2027'!$K$5,"EM ANDAMENTO","A INICIAR")))</f>
        <v>CONCLUÍDA</v>
      </c>
    </row>
    <row r="1482" customFormat="false" ht="15" hidden="false" customHeight="false" outlineLevel="0" collapsed="false">
      <c r="B1482" s="4" t="n">
        <v>31847105</v>
      </c>
      <c r="C1482" s="4" t="s">
        <v>2714</v>
      </c>
      <c r="D1482" s="4" t="s">
        <v>3549</v>
      </c>
      <c r="E1482" s="4" t="s">
        <v>3686</v>
      </c>
      <c r="F1482" s="127" t="n">
        <v>46273</v>
      </c>
      <c r="G1482" s="127" t="n">
        <v>46273</v>
      </c>
      <c r="H1482" s="127" t="n">
        <v>46293</v>
      </c>
      <c r="I1482" s="4" t="n">
        <v>0</v>
      </c>
      <c r="J1482" s="4" t="n">
        <v>100</v>
      </c>
      <c r="K1482" s="4" t="n">
        <v>100</v>
      </c>
      <c r="M1482" s="2" t="str">
        <f aca="false">IF(C1482="","",IFERROR(INDEX($S$5:$S$304,MATCH(C1482,$R$5:$R$304,0))&amp;"","?"))</f>
        <v>17</v>
      </c>
      <c r="N1482" s="2" t="n">
        <f aca="false">IF(E1482="","",IF(ISNUMBER(SEARCH("SUBSOLO",E1482)),IFERROR(-VALUE(LEFT(E1482,FIND("º",SUBSTITUTE(E1482,"°","º"))-1)),-1),IF(LEFT(E1482,6)="TÉRREO",0,IFERROR(VALUE(LEFT(E1482,FIND("º",SUBSTITUTE(E1482,"°","º"))-1)),""))))</f>
        <v>7</v>
      </c>
      <c r="O1482" s="2" t="str">
        <f aca="false">IF(OR(F1482="",G1482=""),"",IF(G1482&lt;='RETRATO 2027'!$K$5,"CONCLUÍDA",IF(F1482&lt;='RETRATO 2027'!$K$5,"EM ANDAMENTO","A INICIAR")))</f>
        <v>CONCLUÍDA</v>
      </c>
    </row>
    <row r="1483" customFormat="false" ht="15" hidden="false" customHeight="false" outlineLevel="0" collapsed="false">
      <c r="B1483" s="4" t="n">
        <v>31847106</v>
      </c>
      <c r="C1483" s="4" t="s">
        <v>2714</v>
      </c>
      <c r="D1483" s="4" t="s">
        <v>3217</v>
      </c>
      <c r="E1483" s="4" t="s">
        <v>3686</v>
      </c>
      <c r="F1483" s="127" t="n">
        <v>46274</v>
      </c>
      <c r="G1483" s="127" t="n">
        <v>46274</v>
      </c>
      <c r="H1483" s="127" t="n">
        <v>46293</v>
      </c>
      <c r="I1483" s="4" t="n">
        <v>0</v>
      </c>
      <c r="J1483" s="4" t="n">
        <v>100</v>
      </c>
      <c r="K1483" s="4" t="n">
        <v>100</v>
      </c>
      <c r="M1483" s="2" t="str">
        <f aca="false">IF(C1483="","",IFERROR(INDEX($S$5:$S$304,MATCH(C1483,$R$5:$R$304,0))&amp;"","?"))</f>
        <v>17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7</v>
      </c>
      <c r="O1483" s="2" t="str">
        <f aca="false">IF(OR(F1483="",G1483=""),"",IF(G1483&lt;='RETRATO 2027'!$K$5,"CONCLUÍDA",IF(F1483&lt;='RETRATO 2027'!$K$5,"EM ANDAMENTO","A INICIAR")))</f>
        <v>CONCLUÍDA</v>
      </c>
    </row>
    <row r="1484" customFormat="false" ht="15" hidden="false" customHeight="false" outlineLevel="0" collapsed="false">
      <c r="B1484" s="4" t="n">
        <v>31847107</v>
      </c>
      <c r="C1484" s="4" t="s">
        <v>2714</v>
      </c>
      <c r="D1484" s="4" t="s">
        <v>3563</v>
      </c>
      <c r="E1484" s="4" t="s">
        <v>3686</v>
      </c>
      <c r="F1484" s="127" t="n">
        <v>46275</v>
      </c>
      <c r="G1484" s="127" t="n">
        <v>46275</v>
      </c>
      <c r="H1484" s="127" t="n">
        <v>46293</v>
      </c>
      <c r="I1484" s="4" t="n">
        <v>0</v>
      </c>
      <c r="J1484" s="4" t="n">
        <v>100</v>
      </c>
      <c r="K1484" s="4" t="n">
        <v>100</v>
      </c>
      <c r="M1484" s="2" t="str">
        <f aca="false">IF(C1484="","",IFERROR(INDEX($S$5:$S$304,MATCH(C1484,$R$5:$R$304,0))&amp;"","?"))</f>
        <v>17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7</v>
      </c>
      <c r="O1484" s="2" t="str">
        <f aca="false">IF(OR(F1484="",G1484=""),"",IF(G1484&lt;='RETRATO 2027'!$K$5,"CONCLUÍDA",IF(F1484&lt;='RETRATO 2027'!$K$5,"EM ANDAMENTO","A INICIAR")))</f>
        <v>CONCLUÍDA</v>
      </c>
    </row>
    <row r="1485" customFormat="false" ht="15" hidden="false" customHeight="false" outlineLevel="0" collapsed="false">
      <c r="B1485" s="4" t="n">
        <v>26743745</v>
      </c>
      <c r="C1485" s="4" t="s">
        <v>177</v>
      </c>
      <c r="D1485" s="4" t="s">
        <v>433</v>
      </c>
      <c r="E1485" s="4" t="s">
        <v>3375</v>
      </c>
      <c r="F1485" s="127" t="n">
        <v>46267</v>
      </c>
      <c r="G1485" s="127" t="n">
        <v>46318</v>
      </c>
      <c r="H1485" s="127" t="n">
        <v>46293</v>
      </c>
      <c r="I1485" s="4" t="n">
        <v>0</v>
      </c>
      <c r="J1485" s="4" t="n">
        <v>50</v>
      </c>
      <c r="K1485" s="4" t="n">
        <v>43.056</v>
      </c>
      <c r="M1485" s="2" t="str">
        <f aca="false">IF(C1485="","",IFERROR(INDEX($S$5:$S$304,MATCH(C1485,$R$5:$R$304,0))&amp;"","?"))</f>
        <v>23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-3</v>
      </c>
      <c r="O1485" s="2" t="str">
        <f aca="false">IF(OR(F1485="",G1485=""),"",IF(G1485&lt;='RETRATO 2027'!$K$5,"CONCLUÍDA",IF(F1485&lt;='RETRATO 2027'!$K$5,"EM ANDAMENTO","A INICIAR")))</f>
        <v>CONCLUÍDA</v>
      </c>
    </row>
    <row r="1486" customFormat="false" ht="15" hidden="false" customHeight="false" outlineLevel="0" collapsed="false">
      <c r="B1486" s="4" t="n">
        <v>42661055</v>
      </c>
      <c r="C1486" s="4" t="s">
        <v>177</v>
      </c>
      <c r="D1486" s="4" t="s">
        <v>3687</v>
      </c>
      <c r="E1486" s="4" t="s">
        <v>3375</v>
      </c>
      <c r="F1486" s="127" t="n">
        <v>46267</v>
      </c>
      <c r="G1486" s="127" t="n">
        <v>46288</v>
      </c>
      <c r="H1486" s="127" t="n">
        <v>46293</v>
      </c>
      <c r="I1486" s="4" t="n">
        <v>0</v>
      </c>
      <c r="J1486" s="4" t="n">
        <v>100</v>
      </c>
      <c r="K1486" s="4" t="n">
        <v>90</v>
      </c>
      <c r="M1486" s="2" t="str">
        <f aca="false">IF(C1486="","",IFERROR(INDEX($S$5:$S$304,MATCH(C1486,$R$5:$R$304,0))&amp;"","?"))</f>
        <v>23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-3</v>
      </c>
      <c r="O1486" s="2" t="str">
        <f aca="false">IF(OR(F1486="",G1486=""),"",IF(G1486&lt;='RETRATO 2027'!$K$5,"CONCLUÍDA",IF(F1486&lt;='RETRATO 2027'!$K$5,"EM ANDAMENTO","A INICIAR")))</f>
        <v>CONCLUÍDA</v>
      </c>
    </row>
    <row r="1487" customFormat="false" ht="15" hidden="false" customHeight="false" outlineLevel="0" collapsed="false">
      <c r="B1487" s="4" t="n">
        <v>42661056</v>
      </c>
      <c r="C1487" s="4" t="s">
        <v>177</v>
      </c>
      <c r="D1487" s="4" t="s">
        <v>3688</v>
      </c>
      <c r="E1487" s="4" t="s">
        <v>3375</v>
      </c>
      <c r="F1487" s="127" t="n">
        <v>46289</v>
      </c>
      <c r="G1487" s="127" t="n">
        <v>46295</v>
      </c>
      <c r="H1487" s="127" t="n">
        <v>46293</v>
      </c>
      <c r="I1487" s="4" t="n">
        <v>0</v>
      </c>
      <c r="J1487" s="4" t="n">
        <v>60</v>
      </c>
      <c r="K1487" s="4" t="n">
        <v>40</v>
      </c>
      <c r="M1487" s="2" t="str">
        <f aca="false">IF(C1487="","",IFERROR(INDEX($S$5:$S$304,MATCH(C1487,$R$5:$R$304,0))&amp;"","?"))</f>
        <v>23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-3</v>
      </c>
      <c r="O1487" s="2" t="str">
        <f aca="false">IF(OR(F1487="",G1487=""),"",IF(G1487&lt;='RETRATO 2027'!$K$5,"CONCLUÍDA",IF(F1487&lt;='RETRATO 2027'!$K$5,"EM ANDAMENTO","A INICIAR")))</f>
        <v>CONCLUÍDA</v>
      </c>
    </row>
    <row r="1488" customFormat="false" ht="15" hidden="false" customHeight="false" outlineLevel="0" collapsed="false">
      <c r="B1488" s="4" t="n">
        <v>42661057</v>
      </c>
      <c r="C1488" s="4" t="s">
        <v>177</v>
      </c>
      <c r="D1488" s="4" t="s">
        <v>3689</v>
      </c>
      <c r="E1488" s="4" t="s">
        <v>3375</v>
      </c>
      <c r="F1488" s="127" t="n">
        <v>46296</v>
      </c>
      <c r="G1488" s="127" t="n">
        <v>46296</v>
      </c>
      <c r="H1488" s="127" t="n">
        <v>46293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23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-3</v>
      </c>
      <c r="O1488" s="2" t="str">
        <f aca="false">IF(OR(F1488="",G1488=""),"",IF(G1488&lt;='RETRATO 2027'!$K$5,"CONCLUÍDA",IF(F1488&lt;='RETRATO 2027'!$K$5,"EM ANDAMENTO","A INICIAR")))</f>
        <v>CONCLUÍDA</v>
      </c>
    </row>
    <row r="1489" customFormat="false" ht="15" hidden="false" customHeight="false" outlineLevel="0" collapsed="false">
      <c r="B1489" s="4" t="n">
        <v>42661058</v>
      </c>
      <c r="C1489" s="4" t="s">
        <v>177</v>
      </c>
      <c r="D1489" s="4" t="s">
        <v>3690</v>
      </c>
      <c r="E1489" s="4" t="s">
        <v>3375</v>
      </c>
      <c r="F1489" s="127" t="n">
        <v>46297</v>
      </c>
      <c r="G1489" s="127" t="n">
        <v>46309</v>
      </c>
      <c r="H1489" s="127" t="n">
        <v>46293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23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-3</v>
      </c>
      <c r="O1489" s="2" t="str">
        <f aca="false">IF(OR(F1489="",G1489=""),"",IF(G1489&lt;='RETRATO 2027'!$K$5,"CONCLUÍDA",IF(F1489&lt;='RETRATO 2027'!$K$5,"EM ANDAMENTO","A INICIAR")))</f>
        <v>CONCLUÍDA</v>
      </c>
    </row>
    <row r="1490" customFormat="false" ht="15" hidden="false" customHeight="false" outlineLevel="0" collapsed="false">
      <c r="B1490" s="4" t="n">
        <v>42661059</v>
      </c>
      <c r="C1490" s="4" t="s">
        <v>177</v>
      </c>
      <c r="D1490" s="4" t="s">
        <v>3691</v>
      </c>
      <c r="E1490" s="4" t="s">
        <v>3375</v>
      </c>
      <c r="F1490" s="127" t="n">
        <v>46310</v>
      </c>
      <c r="G1490" s="127" t="n">
        <v>46317</v>
      </c>
      <c r="H1490" s="127" t="n">
        <v>46293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23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-3</v>
      </c>
      <c r="O1490" s="2" t="str">
        <f aca="false">IF(OR(F1490="",G1490=""),"",IF(G1490&lt;='RETRATO 2027'!$K$5,"CONCLUÍDA",IF(F1490&lt;='RETRATO 2027'!$K$5,"EM ANDAMENTO","A INICIAR")))</f>
        <v>CONCLUÍDA</v>
      </c>
    </row>
    <row r="1491" customFormat="false" ht="15" hidden="false" customHeight="false" outlineLevel="0" collapsed="false">
      <c r="B1491" s="4" t="n">
        <v>42661060</v>
      </c>
      <c r="C1491" s="4" t="s">
        <v>177</v>
      </c>
      <c r="D1491" s="4" t="s">
        <v>3692</v>
      </c>
      <c r="E1491" s="4" t="s">
        <v>3375</v>
      </c>
      <c r="F1491" s="127" t="n">
        <v>46318</v>
      </c>
      <c r="G1491" s="127" t="n">
        <v>46318</v>
      </c>
      <c r="H1491" s="127" t="n">
        <v>46293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23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-3</v>
      </c>
      <c r="O1491" s="2" t="str">
        <f aca="false">IF(OR(F1491="",G1491=""),"",IF(G1491&lt;='RETRATO 2027'!$K$5,"CONCLUÍDA",IF(F1491&lt;='RETRATO 2027'!$K$5,"EM ANDAMENTO","A INICIAR")))</f>
        <v>CONCLUÍDA</v>
      </c>
    </row>
    <row r="1492" customFormat="false" ht="15" hidden="false" customHeight="false" outlineLevel="0" collapsed="false">
      <c r="B1492" s="4" t="n">
        <v>26743744</v>
      </c>
      <c r="C1492" s="4" t="s">
        <v>77</v>
      </c>
      <c r="D1492" s="4" t="s">
        <v>433</v>
      </c>
      <c r="E1492" s="4" t="s">
        <v>3375</v>
      </c>
      <c r="F1492" s="127" t="n">
        <v>46268</v>
      </c>
      <c r="G1492" s="127" t="n">
        <v>46335</v>
      </c>
      <c r="H1492" s="127" t="n">
        <v>46293</v>
      </c>
      <c r="I1492" s="4" t="n">
        <v>0</v>
      </c>
      <c r="J1492" s="4" t="n">
        <v>37.77777778</v>
      </c>
      <c r="K1492" s="4" t="n">
        <v>30</v>
      </c>
      <c r="M1492" s="2" t="str">
        <f aca="false">IF(C1492="","",IFERROR(INDEX($S$5:$S$304,MATCH(C1492,$R$5:$R$304,0))&amp;"","?"))</f>
        <v>20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-3</v>
      </c>
      <c r="O1492" s="2" t="str">
        <f aca="false">IF(OR(F1492="",G1492=""),"",IF(G1492&lt;='RETRATO 2027'!$K$5,"CONCLUÍDA",IF(F1492&lt;='RETRATO 2027'!$K$5,"EM ANDAMENTO","A INICIAR")))</f>
        <v>CONCLUÍDA</v>
      </c>
    </row>
    <row r="1493" customFormat="false" ht="15" hidden="false" customHeight="false" outlineLevel="0" collapsed="false">
      <c r="B1493" s="4" t="n">
        <v>42652049</v>
      </c>
      <c r="C1493" s="4" t="s">
        <v>77</v>
      </c>
      <c r="D1493" s="4" t="s">
        <v>3693</v>
      </c>
      <c r="E1493" s="4" t="s">
        <v>3375</v>
      </c>
      <c r="F1493" s="127" t="n">
        <v>46268</v>
      </c>
      <c r="G1493" s="127" t="n">
        <v>46289</v>
      </c>
      <c r="H1493" s="127" t="n">
        <v>46293</v>
      </c>
      <c r="I1493" s="4" t="n">
        <v>0</v>
      </c>
      <c r="J1493" s="4" t="n">
        <v>100</v>
      </c>
      <c r="K1493" s="4" t="n">
        <v>90</v>
      </c>
      <c r="M1493" s="2" t="str">
        <f aca="false">IF(C1493="","",IFERROR(INDEX($S$5:$S$304,MATCH(C1493,$R$5:$R$304,0))&amp;"","?"))</f>
        <v>20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-3</v>
      </c>
      <c r="O1493" s="2" t="str">
        <f aca="false">IF(OR(F1493="",G1493=""),"",IF(G1493&lt;='RETRATO 2027'!$K$5,"CONCLUÍDA",IF(F1493&lt;='RETRATO 2027'!$K$5,"EM ANDAMENTO","A INICIAR")))</f>
        <v>CONCLUÍDA</v>
      </c>
    </row>
    <row r="1494" customFormat="false" ht="15" hidden="false" customHeight="false" outlineLevel="0" collapsed="false">
      <c r="B1494" s="4" t="n">
        <v>42652050</v>
      </c>
      <c r="C1494" s="4" t="s">
        <v>77</v>
      </c>
      <c r="D1494" s="4" t="s">
        <v>3688</v>
      </c>
      <c r="E1494" s="4" t="s">
        <v>3375</v>
      </c>
      <c r="F1494" s="127" t="n">
        <v>46290</v>
      </c>
      <c r="G1494" s="127" t="n">
        <v>46303</v>
      </c>
      <c r="H1494" s="127" t="n">
        <v>46293</v>
      </c>
      <c r="I1494" s="4" t="n">
        <v>0</v>
      </c>
      <c r="J1494" s="4" t="n">
        <v>20</v>
      </c>
      <c r="K1494" s="4" t="n">
        <v>0</v>
      </c>
      <c r="M1494" s="2" t="str">
        <f aca="false">IF(C1494="","",IFERROR(INDEX($S$5:$S$304,MATCH(C1494,$R$5:$R$304,0))&amp;"","?"))</f>
        <v>20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-3</v>
      </c>
      <c r="O1494" s="2" t="str">
        <f aca="false">IF(OR(F1494="",G1494=""),"",IF(G1494&lt;='RETRATO 2027'!$K$5,"CONCLUÍDA",IF(F1494&lt;='RETRATO 2027'!$K$5,"EM ANDAMENTO","A INICIAR")))</f>
        <v>CONCLUÍDA</v>
      </c>
    </row>
    <row r="1495" customFormat="false" ht="15" hidden="false" customHeight="false" outlineLevel="0" collapsed="false">
      <c r="B1495" s="4" t="n">
        <v>42652051</v>
      </c>
      <c r="C1495" s="4" t="s">
        <v>77</v>
      </c>
      <c r="D1495" s="4" t="s">
        <v>3694</v>
      </c>
      <c r="E1495" s="4" t="s">
        <v>3375</v>
      </c>
      <c r="F1495" s="127" t="n">
        <v>46304</v>
      </c>
      <c r="G1495" s="127" t="n">
        <v>46308</v>
      </c>
      <c r="H1495" s="127" t="n">
        <v>46293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20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-3</v>
      </c>
      <c r="O1495" s="2" t="str">
        <f aca="false">IF(OR(F1495="",G1495=""),"",IF(G1495&lt;='RETRATO 2027'!$K$5,"CONCLUÍDA",IF(F1495&lt;='RETRATO 2027'!$K$5,"EM ANDAMENTO","A INICIAR")))</f>
        <v>CONCLUÍDA</v>
      </c>
    </row>
    <row r="1496" customFormat="false" ht="15" hidden="false" customHeight="false" outlineLevel="0" collapsed="false">
      <c r="B1496" s="4" t="n">
        <v>42652052</v>
      </c>
      <c r="C1496" s="4" t="s">
        <v>77</v>
      </c>
      <c r="D1496" s="4" t="s">
        <v>3690</v>
      </c>
      <c r="E1496" s="4" t="s">
        <v>3375</v>
      </c>
      <c r="F1496" s="127" t="n">
        <v>46309</v>
      </c>
      <c r="G1496" s="127" t="n">
        <v>46330</v>
      </c>
      <c r="H1496" s="127" t="n">
        <v>46293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20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-3</v>
      </c>
      <c r="O1496" s="2" t="str">
        <f aca="false">IF(OR(F1496="",G1496=""),"",IF(G1496&lt;='RETRATO 2027'!$K$5,"CONCLUÍDA",IF(F1496&lt;='RETRATO 2027'!$K$5,"EM ANDAMENTO","A INICIAR")))</f>
        <v>CONCLUÍDA</v>
      </c>
    </row>
    <row r="1497" customFormat="false" ht="15" hidden="false" customHeight="false" outlineLevel="0" collapsed="false">
      <c r="B1497" s="4" t="n">
        <v>42652053</v>
      </c>
      <c r="C1497" s="4" t="s">
        <v>77</v>
      </c>
      <c r="D1497" s="4" t="s">
        <v>3692</v>
      </c>
      <c r="E1497" s="4" t="s">
        <v>3375</v>
      </c>
      <c r="F1497" s="127" t="n">
        <v>46331</v>
      </c>
      <c r="G1497" s="127" t="n">
        <v>46332</v>
      </c>
      <c r="H1497" s="127" t="n">
        <v>46293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20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-3</v>
      </c>
      <c r="O1497" s="2" t="str">
        <f aca="false">IF(OR(F1497="",G1497=""),"",IF(G1497&lt;='RETRATO 2027'!$K$5,"CONCLUÍDA",IF(F1497&lt;='RETRATO 2027'!$K$5,"EM ANDAMENTO","A INICIAR")))</f>
        <v>CONCLUÍDA</v>
      </c>
    </row>
    <row r="1498" customFormat="false" ht="15" hidden="false" customHeight="false" outlineLevel="0" collapsed="false">
      <c r="B1498" s="4" t="n">
        <v>42652054</v>
      </c>
      <c r="C1498" s="4" t="s">
        <v>77</v>
      </c>
      <c r="D1498" s="4" t="s">
        <v>3695</v>
      </c>
      <c r="E1498" s="4" t="s">
        <v>3375</v>
      </c>
      <c r="F1498" s="127" t="n">
        <v>46335</v>
      </c>
      <c r="G1498" s="127" t="n">
        <v>46335</v>
      </c>
      <c r="H1498" s="127" t="n">
        <v>46293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20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-3</v>
      </c>
      <c r="O1498" s="2" t="str">
        <f aca="false">IF(OR(F1498="",G1498=""),"",IF(G1498&lt;='RETRATO 2027'!$K$5,"CONCLUÍDA",IF(F1498&lt;='RETRATO 2027'!$K$5,"EM ANDAMENTO","A INICIAR")))</f>
        <v>CONCLUÍDA</v>
      </c>
    </row>
    <row r="1499" customFormat="false" ht="15" hidden="false" customHeight="false" outlineLevel="0" collapsed="false">
      <c r="B1499" s="4" t="n">
        <v>26743748</v>
      </c>
      <c r="C1499" s="4" t="s">
        <v>2829</v>
      </c>
      <c r="D1499" s="4" t="s">
        <v>433</v>
      </c>
      <c r="E1499" s="4" t="s">
        <v>3375</v>
      </c>
      <c r="F1499" s="127" t="n">
        <v>46268</v>
      </c>
      <c r="G1499" s="127" t="n">
        <v>46303</v>
      </c>
      <c r="H1499" s="127" t="n">
        <v>46293</v>
      </c>
      <c r="I1499" s="4" t="n">
        <v>0</v>
      </c>
      <c r="J1499" s="4" t="n">
        <v>68</v>
      </c>
      <c r="K1499" s="4" t="n">
        <v>50</v>
      </c>
      <c r="M1499" s="2" t="str">
        <f aca="false">IF(C1499="","",IFERROR(INDEX($S$5:$S$304,MATCH(C1499,$R$5:$R$304,0))&amp;"","?"))</f>
        <v>21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-3</v>
      </c>
      <c r="O1499" s="2" t="str">
        <f aca="false">IF(OR(F1499="",G1499=""),"",IF(G1499&lt;='RETRATO 2027'!$K$5,"CONCLUÍDA",IF(F1499&lt;='RETRATO 2027'!$K$5,"EM ANDAMENTO","A INICIAR")))</f>
        <v>CONCLUÍDA</v>
      </c>
    </row>
    <row r="1500" customFormat="false" ht="15" hidden="false" customHeight="false" outlineLevel="0" collapsed="false">
      <c r="B1500" s="4" t="n">
        <v>26743733</v>
      </c>
      <c r="C1500" s="4" t="s">
        <v>2829</v>
      </c>
      <c r="D1500" s="4" t="s">
        <v>433</v>
      </c>
      <c r="E1500" s="4" t="s">
        <v>3449</v>
      </c>
      <c r="F1500" s="127" t="n">
        <v>46268</v>
      </c>
      <c r="G1500" s="127" t="n">
        <v>46303</v>
      </c>
      <c r="H1500" s="127" t="n">
        <v>46293</v>
      </c>
      <c r="I1500" s="4" t="n">
        <v>0</v>
      </c>
      <c r="J1500" s="4" t="n">
        <v>68</v>
      </c>
      <c r="K1500" s="4" t="n">
        <v>40</v>
      </c>
      <c r="M1500" s="2" t="str">
        <f aca="false">IF(C1500="","",IFERROR(INDEX($S$5:$S$304,MATCH(C1500,$R$5:$R$304,0))&amp;"","?"))</f>
        <v>21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-2</v>
      </c>
      <c r="O1500" s="2" t="str">
        <f aca="false">IF(OR(F1500="",G1500=""),"",IF(G1500&lt;='RETRATO 2027'!$K$5,"CONCLUÍDA",IF(F1500&lt;='RETRATO 2027'!$K$5,"EM ANDAMENTO","A INICIAR")))</f>
        <v>CONCLUÍDA</v>
      </c>
    </row>
    <row r="1501" customFormat="false" ht="15" hidden="false" customHeight="false" outlineLevel="0" collapsed="false">
      <c r="B1501" s="4" t="n">
        <v>26743730</v>
      </c>
      <c r="C1501" s="4" t="s">
        <v>177</v>
      </c>
      <c r="D1501" s="4" t="s">
        <v>433</v>
      </c>
      <c r="E1501" s="4" t="s">
        <v>3449</v>
      </c>
      <c r="F1501" s="127" t="n">
        <v>46268</v>
      </c>
      <c r="G1501" s="127" t="n">
        <v>46315</v>
      </c>
      <c r="H1501" s="127" t="n">
        <v>46293</v>
      </c>
      <c r="I1501" s="4" t="n">
        <v>0</v>
      </c>
      <c r="J1501" s="4" t="n">
        <v>53.125</v>
      </c>
      <c r="K1501" s="4" t="n">
        <v>40.625</v>
      </c>
      <c r="M1501" s="2" t="str">
        <f aca="false">IF(C1501="","",IFERROR(INDEX($S$5:$S$304,MATCH(C1501,$R$5:$R$304,0))&amp;"","?"))</f>
        <v>23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-2</v>
      </c>
      <c r="O1501" s="2" t="str">
        <f aca="false">IF(OR(F1501="",G1501=""),"",IF(G1501&lt;='RETRATO 2027'!$K$5,"CONCLUÍDA",IF(F1501&lt;='RETRATO 2027'!$K$5,"EM ANDAMENTO","A INICIAR")))</f>
        <v>CONCLUÍDA</v>
      </c>
    </row>
    <row r="1502" customFormat="false" ht="15" hidden="false" customHeight="false" outlineLevel="0" collapsed="false">
      <c r="B1502" s="4" t="n">
        <v>42627553</v>
      </c>
      <c r="C1502" s="4" t="s">
        <v>177</v>
      </c>
      <c r="D1502" s="4" t="s">
        <v>3696</v>
      </c>
      <c r="E1502" s="4" t="s">
        <v>3449</v>
      </c>
      <c r="F1502" s="127" t="n">
        <v>46268</v>
      </c>
      <c r="G1502" s="127" t="n">
        <v>46289</v>
      </c>
      <c r="H1502" s="127" t="n">
        <v>46293</v>
      </c>
      <c r="I1502" s="4" t="n">
        <v>0</v>
      </c>
      <c r="J1502" s="4" t="n">
        <v>100</v>
      </c>
      <c r="K1502" s="4" t="n">
        <v>80</v>
      </c>
      <c r="M1502" s="2" t="str">
        <f aca="false">IF(C1502="","",IFERROR(INDEX($S$5:$S$304,MATCH(C1502,$R$5:$R$304,0))&amp;"","?"))</f>
        <v>23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-2</v>
      </c>
      <c r="O1502" s="2" t="str">
        <f aca="false">IF(OR(F1502="",G1502=""),"",IF(G1502&lt;='RETRATO 2027'!$K$5,"CONCLUÍDA",IF(F1502&lt;='RETRATO 2027'!$K$5,"EM ANDAMENTO","A INICIAR")))</f>
        <v>CONCLUÍDA</v>
      </c>
    </row>
    <row r="1503" customFormat="false" ht="15" hidden="false" customHeight="false" outlineLevel="0" collapsed="false">
      <c r="B1503" s="4" t="n">
        <v>42627554</v>
      </c>
      <c r="C1503" s="4" t="s">
        <v>177</v>
      </c>
      <c r="D1503" s="4" t="s">
        <v>3697</v>
      </c>
      <c r="E1503" s="4" t="s">
        <v>3449</v>
      </c>
      <c r="F1503" s="127" t="n">
        <v>46290</v>
      </c>
      <c r="G1503" s="127" t="n">
        <v>46296</v>
      </c>
      <c r="H1503" s="127" t="n">
        <v>46293</v>
      </c>
      <c r="I1503" s="4" t="n">
        <v>0</v>
      </c>
      <c r="J1503" s="4" t="n">
        <v>40</v>
      </c>
      <c r="K1503" s="4" t="n">
        <v>20</v>
      </c>
      <c r="M1503" s="2" t="str">
        <f aca="false">IF(C1503="","",IFERROR(INDEX($S$5:$S$304,MATCH(C1503,$R$5:$R$304,0))&amp;"","?"))</f>
        <v>23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-2</v>
      </c>
      <c r="O1503" s="2" t="str">
        <f aca="false">IF(OR(F1503="",G1503=""),"",IF(G1503&lt;='RETRATO 2027'!$K$5,"CONCLUÍDA",IF(F1503&lt;='RETRATO 2027'!$K$5,"EM ANDAMENTO","A INICIAR")))</f>
        <v>CONCLUÍDA</v>
      </c>
    </row>
    <row r="1504" customFormat="false" ht="15" hidden="false" customHeight="false" outlineLevel="0" collapsed="false">
      <c r="B1504" s="4" t="n">
        <v>42627555</v>
      </c>
      <c r="C1504" s="4" t="s">
        <v>177</v>
      </c>
      <c r="D1504" s="4" t="s">
        <v>3698</v>
      </c>
      <c r="E1504" s="4" t="s">
        <v>3449</v>
      </c>
      <c r="F1504" s="127" t="n">
        <v>46297</v>
      </c>
      <c r="G1504" s="127" t="n">
        <v>46297</v>
      </c>
      <c r="H1504" s="127" t="n">
        <v>46293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23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-2</v>
      </c>
      <c r="O1504" s="2" t="str">
        <f aca="false">IF(OR(F1504="",G1504=""),"",IF(G1504&lt;='RETRATO 2027'!$K$5,"CONCLUÍDA",IF(F1504&lt;='RETRATO 2027'!$K$5,"EM ANDAMENTO","A INICIAR")))</f>
        <v>CONCLUÍDA</v>
      </c>
    </row>
    <row r="1505" customFormat="false" ht="15" hidden="false" customHeight="false" outlineLevel="0" collapsed="false">
      <c r="B1505" s="4" t="n">
        <v>42627556</v>
      </c>
      <c r="C1505" s="4" t="s">
        <v>177</v>
      </c>
      <c r="D1505" s="4" t="s">
        <v>3690</v>
      </c>
      <c r="E1505" s="4" t="s">
        <v>3449</v>
      </c>
      <c r="F1505" s="127" t="n">
        <v>46300</v>
      </c>
      <c r="G1505" s="127" t="n">
        <v>46310</v>
      </c>
      <c r="H1505" s="127" t="n">
        <v>46293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23</v>
      </c>
      <c r="N1505" s="2" t="n">
        <f aca="false">IF(E1505="","",IF(ISNUMBER(SEARCH("SUBSOLO",E1505)),IFERROR(-VALUE(LEFT(E1505,FIND("º",SUBSTITUTE(E1505,"°","º"))-1)),-1),IF(LEFT(E1505,6)="TÉRREO",0,IFERROR(VALUE(LEFT(E1505,FIND("º",SUBSTITUTE(E1505,"°","º"))-1)),""))))</f>
        <v>-2</v>
      </c>
      <c r="O1505" s="2" t="str">
        <f aca="false">IF(OR(F1505="",G1505=""),"",IF(G1505&lt;='RETRATO 2027'!$K$5,"CONCLUÍDA",IF(F1505&lt;='RETRATO 2027'!$K$5,"EM ANDAMENTO","A INICIAR")))</f>
        <v>CONCLUÍDA</v>
      </c>
    </row>
    <row r="1506" customFormat="false" ht="15" hidden="false" customHeight="false" outlineLevel="0" collapsed="false">
      <c r="B1506" s="4" t="n">
        <v>42627557</v>
      </c>
      <c r="C1506" s="4" t="s">
        <v>177</v>
      </c>
      <c r="D1506" s="4" t="s">
        <v>3691</v>
      </c>
      <c r="E1506" s="4" t="s">
        <v>3449</v>
      </c>
      <c r="F1506" s="127" t="n">
        <v>46311</v>
      </c>
      <c r="G1506" s="127" t="n">
        <v>46314</v>
      </c>
      <c r="H1506" s="127" t="n">
        <v>46293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23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-2</v>
      </c>
      <c r="O1506" s="2" t="str">
        <f aca="false">IF(OR(F1506="",G1506=""),"",IF(G1506&lt;='RETRATO 2027'!$K$5,"CONCLUÍDA",IF(F1506&lt;='RETRATO 2027'!$K$5,"EM ANDAMENTO","A INICIAR")))</f>
        <v>CONCLUÍDA</v>
      </c>
    </row>
    <row r="1507" customFormat="false" ht="15" hidden="false" customHeight="false" outlineLevel="0" collapsed="false">
      <c r="B1507" s="4" t="n">
        <v>42627558</v>
      </c>
      <c r="C1507" s="4" t="s">
        <v>177</v>
      </c>
      <c r="D1507" s="4" t="s">
        <v>3699</v>
      </c>
      <c r="E1507" s="4" t="s">
        <v>3449</v>
      </c>
      <c r="F1507" s="127" t="n">
        <v>46315</v>
      </c>
      <c r="G1507" s="127" t="n">
        <v>46315</v>
      </c>
      <c r="H1507" s="127" t="n">
        <v>46293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23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-2</v>
      </c>
      <c r="O1507" s="2" t="str">
        <f aca="false">IF(OR(F1507="",G1507=""),"",IF(G1507&lt;='RETRATO 2027'!$K$5,"CONCLUÍDA",IF(F1507&lt;='RETRATO 2027'!$K$5,"EM ANDAMENTO","A INICIAR")))</f>
        <v>CONCLUÍDA</v>
      </c>
    </row>
    <row r="1508" customFormat="false" ht="15" hidden="false" customHeight="false" outlineLevel="0" collapsed="false">
      <c r="B1508" s="4" t="n">
        <v>44914116</v>
      </c>
      <c r="C1508" s="4" t="s">
        <v>2708</v>
      </c>
      <c r="D1508" s="4" t="s">
        <v>433</v>
      </c>
      <c r="E1508" s="4" t="s">
        <v>3655</v>
      </c>
      <c r="F1508" s="127" t="n">
        <v>46268</v>
      </c>
      <c r="G1508" s="127" t="n">
        <v>46304</v>
      </c>
      <c r="H1508" s="127" t="n">
        <v>46293</v>
      </c>
      <c r="I1508" s="4" t="n">
        <v>0</v>
      </c>
      <c r="J1508" s="4" t="n">
        <v>65.38461538</v>
      </c>
      <c r="K1508" s="4" t="n">
        <v>1.538</v>
      </c>
      <c r="M1508" s="2" t="str">
        <f aca="false">IF(C1508="","",IFERROR(INDEX($S$5:$S$304,MATCH(C1508,$R$5:$R$304,0))&amp;"","?"))</f>
        <v>17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3</v>
      </c>
      <c r="O1508" s="2" t="str">
        <f aca="false">IF(OR(F1508="",G1508=""),"",IF(G1508&lt;='RETRATO 2027'!$K$5,"CONCLUÍDA",IF(F1508&lt;='RETRATO 2027'!$K$5,"EM ANDAMENTO","A INICIAR")))</f>
        <v>CONCLUÍDA</v>
      </c>
    </row>
    <row r="1509" customFormat="false" ht="15" hidden="false" customHeight="false" outlineLevel="0" collapsed="false">
      <c r="B1509" s="4" t="n">
        <v>31454902</v>
      </c>
      <c r="C1509" s="4" t="s">
        <v>2708</v>
      </c>
      <c r="D1509" s="4" t="s">
        <v>3548</v>
      </c>
      <c r="E1509" s="4" t="s">
        <v>3655</v>
      </c>
      <c r="F1509" s="127" t="n">
        <v>46268</v>
      </c>
      <c r="G1509" s="127" t="n">
        <v>46269</v>
      </c>
      <c r="H1509" s="127" t="n">
        <v>46293</v>
      </c>
      <c r="I1509" s="4" t="n">
        <v>0</v>
      </c>
      <c r="J1509" s="4" t="n">
        <v>100</v>
      </c>
      <c r="K1509" s="4" t="n">
        <v>20</v>
      </c>
      <c r="M1509" s="2" t="str">
        <f aca="false">IF(C1509="","",IFERROR(INDEX($S$5:$S$304,MATCH(C1509,$R$5:$R$304,0))&amp;"","?"))</f>
        <v>17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3</v>
      </c>
      <c r="O1509" s="2" t="str">
        <f aca="false">IF(OR(F1509="",G1509=""),"",IF(G1509&lt;='RETRATO 2027'!$K$5,"CONCLUÍDA",IF(F1509&lt;='RETRATO 2027'!$K$5,"EM ANDAMENTO","A INICIAR")))</f>
        <v>CONCLUÍDA</v>
      </c>
    </row>
    <row r="1510" customFormat="false" ht="15" hidden="false" customHeight="false" outlineLevel="0" collapsed="false">
      <c r="B1510" s="4" t="n">
        <v>31454903</v>
      </c>
      <c r="C1510" s="4" t="s">
        <v>2708</v>
      </c>
      <c r="D1510" s="4" t="s">
        <v>3543</v>
      </c>
      <c r="E1510" s="4" t="s">
        <v>3655</v>
      </c>
      <c r="F1510" s="127" t="n">
        <v>46273</v>
      </c>
      <c r="G1510" s="127" t="n">
        <v>46274</v>
      </c>
      <c r="H1510" s="127" t="n">
        <v>46293</v>
      </c>
      <c r="I1510" s="4" t="n">
        <v>0</v>
      </c>
      <c r="J1510" s="4" t="n">
        <v>100</v>
      </c>
      <c r="K1510" s="4" t="n">
        <v>0</v>
      </c>
      <c r="M1510" s="2" t="str">
        <f aca="false">IF(C1510="","",IFERROR(INDEX($S$5:$S$304,MATCH(C1510,$R$5:$R$304,0))&amp;"","?"))</f>
        <v>17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3</v>
      </c>
      <c r="O1510" s="2" t="str">
        <f aca="false">IF(OR(F1510="",G1510=""),"",IF(G1510&lt;='RETRATO 2027'!$K$5,"CONCLUÍDA",IF(F1510&lt;='RETRATO 2027'!$K$5,"EM ANDAMENTO","A INICIAR")))</f>
        <v>CONCLUÍDA</v>
      </c>
    </row>
    <row r="1511" customFormat="false" ht="15" hidden="false" customHeight="false" outlineLevel="0" collapsed="false">
      <c r="B1511" s="4" t="n">
        <v>31454904</v>
      </c>
      <c r="C1511" s="4" t="s">
        <v>2708</v>
      </c>
      <c r="D1511" s="4" t="s">
        <v>3585</v>
      </c>
      <c r="E1511" s="4" t="s">
        <v>3655</v>
      </c>
      <c r="F1511" s="127" t="n">
        <v>46275</v>
      </c>
      <c r="G1511" s="127" t="n">
        <v>46288</v>
      </c>
      <c r="H1511" s="127" t="n">
        <v>46293</v>
      </c>
      <c r="I1511" s="4" t="n">
        <v>0</v>
      </c>
      <c r="J1511" s="4" t="n">
        <v>100</v>
      </c>
      <c r="K1511" s="4" t="n">
        <v>0</v>
      </c>
      <c r="M1511" s="2" t="str">
        <f aca="false">IF(C1511="","",IFERROR(INDEX($S$5:$S$304,MATCH(C1511,$R$5:$R$304,0))&amp;"","?"))</f>
        <v>17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3</v>
      </c>
      <c r="O1511" s="2" t="str">
        <f aca="false">IF(OR(F1511="",G1511=""),"",IF(G1511&lt;='RETRATO 2027'!$K$5,"CONCLUÍDA",IF(F1511&lt;='RETRATO 2027'!$K$5,"EM ANDAMENTO","A INICIAR")))</f>
        <v>CONCLUÍDA</v>
      </c>
    </row>
    <row r="1512" customFormat="false" ht="15" hidden="false" customHeight="false" outlineLevel="0" collapsed="false">
      <c r="B1512" s="4" t="n">
        <v>31454905</v>
      </c>
      <c r="C1512" s="4" t="s">
        <v>2708</v>
      </c>
      <c r="D1512" s="4" t="s">
        <v>3700</v>
      </c>
      <c r="E1512" s="4" t="s">
        <v>3655</v>
      </c>
      <c r="F1512" s="127" t="n">
        <v>46289</v>
      </c>
      <c r="G1512" s="127" t="n">
        <v>46294</v>
      </c>
      <c r="H1512" s="127" t="n">
        <v>46293</v>
      </c>
      <c r="I1512" s="4" t="n">
        <v>0</v>
      </c>
      <c r="J1512" s="4" t="n">
        <v>75</v>
      </c>
      <c r="K1512" s="4" t="n">
        <v>0</v>
      </c>
      <c r="M1512" s="2" t="str">
        <f aca="false">IF(C1512="","",IFERROR(INDEX($S$5:$S$304,MATCH(C1512,$R$5:$R$304,0))&amp;"","?"))</f>
        <v>17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3</v>
      </c>
      <c r="O1512" s="2" t="str">
        <f aca="false">IF(OR(F1512="",G1512=""),"",IF(G1512&lt;='RETRATO 2027'!$K$5,"CONCLUÍDA",IF(F1512&lt;='RETRATO 2027'!$K$5,"EM ANDAMENTO","A INICIAR")))</f>
        <v>CONCLUÍDA</v>
      </c>
    </row>
    <row r="1513" customFormat="false" ht="15" hidden="false" customHeight="false" outlineLevel="0" collapsed="false">
      <c r="B1513" s="4" t="n">
        <v>31454906</v>
      </c>
      <c r="C1513" s="4" t="s">
        <v>2708</v>
      </c>
      <c r="D1513" s="4" t="s">
        <v>3701</v>
      </c>
      <c r="E1513" s="4" t="s">
        <v>3655</v>
      </c>
      <c r="F1513" s="127" t="n">
        <v>46295</v>
      </c>
      <c r="G1513" s="127" t="n">
        <v>46295</v>
      </c>
      <c r="H1513" s="127" t="n">
        <v>46293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17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3</v>
      </c>
      <c r="O1513" s="2" t="str">
        <f aca="false">IF(OR(F1513="",G1513=""),"",IF(G1513&lt;='RETRATO 2027'!$K$5,"CONCLUÍDA",IF(F1513&lt;='RETRATO 2027'!$K$5,"EM ANDAMENTO","A INICIAR")))</f>
        <v>CONCLUÍDA</v>
      </c>
    </row>
    <row r="1514" customFormat="false" ht="15" hidden="false" customHeight="false" outlineLevel="0" collapsed="false">
      <c r="B1514" s="4" t="n">
        <v>31454907</v>
      </c>
      <c r="C1514" s="4" t="s">
        <v>2708</v>
      </c>
      <c r="D1514" s="4" t="s">
        <v>3702</v>
      </c>
      <c r="E1514" s="4" t="s">
        <v>3655</v>
      </c>
      <c r="F1514" s="127" t="n">
        <v>46296</v>
      </c>
      <c r="G1514" s="127" t="n">
        <v>46301</v>
      </c>
      <c r="H1514" s="127" t="n">
        <v>46293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17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3</v>
      </c>
      <c r="O1514" s="2" t="str">
        <f aca="false">IF(OR(F1514="",G1514=""),"",IF(G1514&lt;='RETRATO 2027'!$K$5,"CONCLUÍDA",IF(F1514&lt;='RETRATO 2027'!$K$5,"EM ANDAMENTO","A INICIAR")))</f>
        <v>CONCLUÍDA</v>
      </c>
    </row>
    <row r="1515" customFormat="false" ht="15" hidden="false" customHeight="false" outlineLevel="0" collapsed="false">
      <c r="B1515" s="4" t="n">
        <v>31454908</v>
      </c>
      <c r="C1515" s="4" t="s">
        <v>2708</v>
      </c>
      <c r="D1515" s="4" t="s">
        <v>3703</v>
      </c>
      <c r="E1515" s="4" t="s">
        <v>3655</v>
      </c>
      <c r="F1515" s="127" t="n">
        <v>46302</v>
      </c>
      <c r="G1515" s="127" t="n">
        <v>46303</v>
      </c>
      <c r="H1515" s="127" t="n">
        <v>46293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17</v>
      </c>
      <c r="N1515" s="2" t="n">
        <f aca="false">IF(E1515="","",IF(ISNUMBER(SEARCH("SUBSOLO",E1515)),IFERROR(-VALUE(LEFT(E1515,FIND("º",SUBSTITUTE(E1515,"°","º"))-1)),-1),IF(LEFT(E1515,6)="TÉRREO",0,IFERROR(VALUE(LEFT(E1515,FIND("º",SUBSTITUTE(E1515,"°","º"))-1)),""))))</f>
        <v>3</v>
      </c>
      <c r="O1515" s="2" t="str">
        <f aca="false">IF(OR(F1515="",G1515=""),"",IF(G1515&lt;='RETRATO 2027'!$K$5,"CONCLUÍDA",IF(F1515&lt;='RETRATO 2027'!$K$5,"EM ANDAMENTO","A INICIAR")))</f>
        <v>CONCLUÍDA</v>
      </c>
    </row>
    <row r="1516" customFormat="false" ht="15" hidden="false" customHeight="false" outlineLevel="0" collapsed="false">
      <c r="B1516" s="4" t="n">
        <v>31454909</v>
      </c>
      <c r="C1516" s="4" t="s">
        <v>2708</v>
      </c>
      <c r="D1516" s="4" t="s">
        <v>3617</v>
      </c>
      <c r="E1516" s="4" t="s">
        <v>3655</v>
      </c>
      <c r="F1516" s="127" t="n">
        <v>46304</v>
      </c>
      <c r="G1516" s="127" t="n">
        <v>46304</v>
      </c>
      <c r="H1516" s="127" t="n">
        <v>46293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17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3</v>
      </c>
      <c r="O1516" s="2" t="str">
        <f aca="false">IF(OR(F1516="",G1516=""),"",IF(G1516&lt;='RETRATO 2027'!$K$5,"CONCLUÍDA",IF(F1516&lt;='RETRATO 2027'!$K$5,"EM ANDAMENTO","A INICIAR")))</f>
        <v>CONCLUÍDA</v>
      </c>
    </row>
    <row r="1517" customFormat="false" ht="15" hidden="false" customHeight="false" outlineLevel="0" collapsed="false">
      <c r="B1517" s="4" t="n">
        <v>46398578</v>
      </c>
      <c r="C1517" s="4" t="s">
        <v>2808</v>
      </c>
      <c r="D1517" s="4" t="s">
        <v>433</v>
      </c>
      <c r="E1517" s="4" t="s">
        <v>3583</v>
      </c>
      <c r="F1517" s="127" t="n">
        <v>46269</v>
      </c>
      <c r="G1517" s="127" t="n">
        <v>46325</v>
      </c>
      <c r="H1517" s="127" t="n">
        <v>46293</v>
      </c>
      <c r="I1517" s="4" t="n">
        <v>0</v>
      </c>
      <c r="J1517" s="4" t="n">
        <v>41.026</v>
      </c>
      <c r="K1517" s="4" t="n">
        <v>54</v>
      </c>
      <c r="M1517" s="2" t="str">
        <f aca="false">IF(C1517="","",IFERROR(INDEX($S$5:$S$304,MATCH(C1517,$R$5:$R$304,0))&amp;"","?"))</f>
        <v>29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-6</v>
      </c>
      <c r="O1517" s="2" t="str">
        <f aca="false">IF(OR(F1517="",G1517=""),"",IF(G1517&lt;='RETRATO 2027'!$K$5,"CONCLUÍDA",IF(F1517&lt;='RETRATO 2027'!$K$5,"EM ANDAMENTO","A INICIAR")))</f>
        <v>CONCLUÍDA</v>
      </c>
    </row>
    <row r="1518" customFormat="false" ht="15" hidden="false" customHeight="false" outlineLevel="0" collapsed="false">
      <c r="B1518" s="4" t="n">
        <v>44922481</v>
      </c>
      <c r="C1518" s="4" t="s">
        <v>2770</v>
      </c>
      <c r="D1518" s="4" t="s">
        <v>433</v>
      </c>
      <c r="E1518" s="4" t="s">
        <v>3558</v>
      </c>
      <c r="F1518" s="127" t="n">
        <v>46269</v>
      </c>
      <c r="G1518" s="127" t="n">
        <v>46281</v>
      </c>
      <c r="H1518" s="127" t="n">
        <v>46293</v>
      </c>
      <c r="I1518" s="4" t="n">
        <v>0</v>
      </c>
      <c r="J1518" s="4" t="n">
        <v>100</v>
      </c>
      <c r="K1518" s="4" t="n">
        <v>50</v>
      </c>
      <c r="M1518" s="2" t="str">
        <f aca="false">IF(C1518="","",IFERROR(INDEX($S$5:$S$304,MATCH(C1518,$R$5:$R$304,0))&amp;"","?"))</f>
        <v>20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-4</v>
      </c>
      <c r="O1518" s="2" t="str">
        <f aca="false">IF(OR(F1518="",G1518=""),"",IF(G1518&lt;='RETRATO 2027'!$K$5,"CONCLUÍDA",IF(F1518&lt;='RETRATO 2027'!$K$5,"EM ANDAMENTO","A INICIAR")))</f>
        <v>CONCLUÍDA</v>
      </c>
    </row>
    <row r="1519" customFormat="false" ht="15" hidden="false" customHeight="false" outlineLevel="0" collapsed="false">
      <c r="B1519" s="4" t="n">
        <v>46534461</v>
      </c>
      <c r="C1519" s="4" t="s">
        <v>2845</v>
      </c>
      <c r="D1519" s="4" t="s">
        <v>433</v>
      </c>
      <c r="E1519" s="4" t="s">
        <v>3243</v>
      </c>
      <c r="F1519" s="127" t="n">
        <v>46269</v>
      </c>
      <c r="G1519" s="127" t="n">
        <v>46297</v>
      </c>
      <c r="H1519" s="127" t="n">
        <v>46293</v>
      </c>
      <c r="I1519" s="4" t="n">
        <v>0</v>
      </c>
      <c r="J1519" s="4" t="n">
        <v>80</v>
      </c>
      <c r="K1519" s="4" t="n">
        <v>80</v>
      </c>
      <c r="M1519" s="2" t="str">
        <f aca="false">IF(C1519="","",IFERROR(INDEX($S$5:$S$304,MATCH(C1519,$R$5:$R$304,0))&amp;"","?"))</f>
        <v>18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1</v>
      </c>
      <c r="O1519" s="2" t="str">
        <f aca="false">IF(OR(F1519="",G1519=""),"",IF(G1519&lt;='RETRATO 2027'!$K$5,"CONCLUÍDA",IF(F1519&lt;='RETRATO 2027'!$K$5,"EM ANDAMENTO","A INICIAR")))</f>
        <v>CONCLUÍDA</v>
      </c>
    </row>
    <row r="1520" customFormat="false" ht="15" hidden="false" customHeight="false" outlineLevel="0" collapsed="false">
      <c r="B1520" s="4" t="n">
        <v>36118596</v>
      </c>
      <c r="C1520" s="4" t="s">
        <v>2848</v>
      </c>
      <c r="D1520" s="4" t="s">
        <v>433</v>
      </c>
      <c r="E1520" s="4" t="s">
        <v>3473</v>
      </c>
      <c r="F1520" s="127" t="n">
        <v>46273</v>
      </c>
      <c r="G1520" s="127" t="n">
        <v>46293</v>
      </c>
      <c r="H1520" s="127" t="n">
        <v>46293</v>
      </c>
      <c r="I1520" s="4" t="n">
        <v>100</v>
      </c>
      <c r="J1520" s="4" t="n">
        <v>100</v>
      </c>
      <c r="K1520" s="4" t="n">
        <v>0</v>
      </c>
      <c r="M1520" s="2" t="str">
        <f aca="false">IF(C1520="","",IFERROR(INDEX($S$5:$S$304,MATCH(C1520,$R$5:$R$304,0))&amp;"","?"))</f>
        <v>26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-5</v>
      </c>
      <c r="O1520" s="2" t="str">
        <f aca="false">IF(OR(F1520="",G1520=""),"",IF(G1520&lt;='RETRATO 2027'!$K$5,"CONCLUÍDA",IF(F1520&lt;='RETRATO 2027'!$K$5,"EM ANDAMENTO","A INICIAR")))</f>
        <v>CONCLUÍDA</v>
      </c>
    </row>
    <row r="1521" customFormat="false" ht="15" hidden="false" customHeight="false" outlineLevel="0" collapsed="false">
      <c r="B1521" s="4" t="n">
        <v>26743729</v>
      </c>
      <c r="C1521" s="4" t="s">
        <v>77</v>
      </c>
      <c r="D1521" s="4" t="s">
        <v>433</v>
      </c>
      <c r="E1521" s="4" t="s">
        <v>3449</v>
      </c>
      <c r="F1521" s="127" t="n">
        <v>46273</v>
      </c>
      <c r="G1521" s="127" t="n">
        <v>46337</v>
      </c>
      <c r="H1521" s="127" t="n">
        <v>46293</v>
      </c>
      <c r="I1521" s="4" t="n">
        <v>0</v>
      </c>
      <c r="J1521" s="4" t="n">
        <v>33.33333333</v>
      </c>
      <c r="K1521" s="4" t="n">
        <v>23.333</v>
      </c>
      <c r="M1521" s="2" t="str">
        <f aca="false">IF(C1521="","",IFERROR(INDEX($S$5:$S$304,MATCH(C1521,$R$5:$R$304,0))&amp;"","?"))</f>
        <v>20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-2</v>
      </c>
      <c r="O1521" s="2" t="str">
        <f aca="false">IF(OR(F1521="",G1521=""),"",IF(G1521&lt;='RETRATO 2027'!$K$5,"CONCLUÍDA",IF(F1521&lt;='RETRATO 2027'!$K$5,"EM ANDAMENTO","A INICIAR")))</f>
        <v>CONCLUÍDA</v>
      </c>
    </row>
    <row r="1522" customFormat="false" ht="15" hidden="false" customHeight="false" outlineLevel="0" collapsed="false">
      <c r="B1522" s="4" t="n">
        <v>42627447</v>
      </c>
      <c r="C1522" s="4" t="s">
        <v>77</v>
      </c>
      <c r="D1522" s="4" t="s">
        <v>3704</v>
      </c>
      <c r="E1522" s="4" t="s">
        <v>3449</v>
      </c>
      <c r="F1522" s="127" t="n">
        <v>46273</v>
      </c>
      <c r="G1522" s="127" t="n">
        <v>46293</v>
      </c>
      <c r="H1522" s="127" t="n">
        <v>46293</v>
      </c>
      <c r="I1522" s="4" t="n">
        <v>0</v>
      </c>
      <c r="J1522" s="4" t="n">
        <v>100</v>
      </c>
      <c r="K1522" s="4" t="n">
        <v>70</v>
      </c>
      <c r="M1522" s="2" t="str">
        <f aca="false">IF(C1522="","",IFERROR(INDEX($S$5:$S$304,MATCH(C1522,$R$5:$R$304,0))&amp;"","?"))</f>
        <v>20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-2</v>
      </c>
      <c r="O1522" s="2" t="str">
        <f aca="false">IF(OR(F1522="",G1522=""),"",IF(G1522&lt;='RETRATO 2027'!$K$5,"CONCLUÍDA",IF(F1522&lt;='RETRATO 2027'!$K$5,"EM ANDAMENTO","A INICIAR")))</f>
        <v>CONCLUÍDA</v>
      </c>
    </row>
    <row r="1523" customFormat="false" ht="15" hidden="false" customHeight="false" outlineLevel="0" collapsed="false">
      <c r="B1523" s="4" t="n">
        <v>42627448</v>
      </c>
      <c r="C1523" s="4" t="s">
        <v>77</v>
      </c>
      <c r="D1523" s="4" t="s">
        <v>3697</v>
      </c>
      <c r="E1523" s="4" t="s">
        <v>3449</v>
      </c>
      <c r="F1523" s="127" t="n">
        <v>46294</v>
      </c>
      <c r="G1523" s="127" t="n">
        <v>46308</v>
      </c>
      <c r="H1523" s="127" t="n">
        <v>46293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20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-2</v>
      </c>
      <c r="O1523" s="2" t="str">
        <f aca="false">IF(OR(F1523="",G1523=""),"",IF(G1523&lt;='RETRATO 2027'!$K$5,"CONCLUÍDA",IF(F1523&lt;='RETRATO 2027'!$K$5,"EM ANDAMENTO","A INICIAR")))</f>
        <v>CONCLUÍDA</v>
      </c>
    </row>
    <row r="1524" customFormat="false" ht="15" hidden="false" customHeight="false" outlineLevel="0" collapsed="false">
      <c r="B1524" s="4" t="n">
        <v>42627449</v>
      </c>
      <c r="C1524" s="4" t="s">
        <v>77</v>
      </c>
      <c r="D1524" s="4" t="s">
        <v>3705</v>
      </c>
      <c r="E1524" s="4" t="s">
        <v>3449</v>
      </c>
      <c r="F1524" s="127" t="n">
        <v>46309</v>
      </c>
      <c r="G1524" s="127" t="n">
        <v>46310</v>
      </c>
      <c r="H1524" s="127" t="n">
        <v>46293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20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-2</v>
      </c>
      <c r="O1524" s="2" t="str">
        <f aca="false">IF(OR(F1524="",G1524=""),"",IF(G1524&lt;='RETRATO 2027'!$K$5,"CONCLUÍDA",IF(F1524&lt;='RETRATO 2027'!$K$5,"EM ANDAMENTO","A INICIAR")))</f>
        <v>CONCLUÍDA</v>
      </c>
    </row>
    <row r="1525" customFormat="false" ht="15" hidden="false" customHeight="false" outlineLevel="0" collapsed="false">
      <c r="B1525" s="4" t="n">
        <v>42627450</v>
      </c>
      <c r="C1525" s="4" t="s">
        <v>77</v>
      </c>
      <c r="D1525" s="4" t="s">
        <v>3690</v>
      </c>
      <c r="E1525" s="4" t="s">
        <v>3449</v>
      </c>
      <c r="F1525" s="127" t="n">
        <v>46311</v>
      </c>
      <c r="G1525" s="127" t="n">
        <v>46332</v>
      </c>
      <c r="H1525" s="127" t="n">
        <v>46293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20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-2</v>
      </c>
      <c r="O1525" s="2" t="str">
        <f aca="false">IF(OR(F1525="",G1525=""),"",IF(G1525&lt;='RETRATO 2027'!$K$5,"CONCLUÍDA",IF(F1525&lt;='RETRATO 2027'!$K$5,"EM ANDAMENTO","A INICIAR")))</f>
        <v>CONCLUÍDA</v>
      </c>
    </row>
    <row r="1526" customFormat="false" ht="15" hidden="false" customHeight="false" outlineLevel="0" collapsed="false">
      <c r="B1526" s="4" t="n">
        <v>42627451</v>
      </c>
      <c r="C1526" s="4" t="s">
        <v>77</v>
      </c>
      <c r="D1526" s="4" t="s">
        <v>3699</v>
      </c>
      <c r="E1526" s="4" t="s">
        <v>3449</v>
      </c>
      <c r="F1526" s="127" t="n">
        <v>46335</v>
      </c>
      <c r="G1526" s="127" t="n">
        <v>46336</v>
      </c>
      <c r="H1526" s="127" t="n">
        <v>46293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20</v>
      </c>
      <c r="N1526" s="2" t="n">
        <f aca="false">IF(E1526="","",IF(ISNUMBER(SEARCH("SUBSOLO",E1526)),IFERROR(-VALUE(LEFT(E1526,FIND("º",SUBSTITUTE(E1526,"°","º"))-1)),-1),IF(LEFT(E1526,6)="TÉRREO",0,IFERROR(VALUE(LEFT(E1526,FIND("º",SUBSTITUTE(E1526,"°","º"))-1)),""))))</f>
        <v>-2</v>
      </c>
      <c r="O1526" s="2" t="str">
        <f aca="false">IF(OR(F1526="",G1526=""),"",IF(G1526&lt;='RETRATO 2027'!$K$5,"CONCLUÍDA",IF(F1526&lt;='RETRATO 2027'!$K$5,"EM ANDAMENTO","A INICIAR")))</f>
        <v>CONCLUÍDA</v>
      </c>
    </row>
    <row r="1527" customFormat="false" ht="15" hidden="false" customHeight="false" outlineLevel="0" collapsed="false">
      <c r="B1527" s="4" t="n">
        <v>42627455</v>
      </c>
      <c r="C1527" s="4" t="s">
        <v>77</v>
      </c>
      <c r="D1527" s="4" t="s">
        <v>3695</v>
      </c>
      <c r="E1527" s="4" t="s">
        <v>3449</v>
      </c>
      <c r="F1527" s="127" t="n">
        <v>46337</v>
      </c>
      <c r="G1527" s="127" t="n">
        <v>46337</v>
      </c>
      <c r="H1527" s="127" t="n">
        <v>46293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20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-2</v>
      </c>
      <c r="O1527" s="2" t="str">
        <f aca="false">IF(OR(F1527="",G1527=""),"",IF(G1527&lt;='RETRATO 2027'!$K$5,"CONCLUÍDA",IF(F1527&lt;='RETRATO 2027'!$K$5,"EM ANDAMENTO","A INICIAR")))</f>
        <v>CONCLUÍDA</v>
      </c>
    </row>
    <row r="1528" customFormat="false" ht="15" hidden="false" customHeight="false" outlineLevel="0" collapsed="false">
      <c r="B1528" s="4" t="n">
        <v>24939580</v>
      </c>
      <c r="C1528" s="4" t="s">
        <v>2705</v>
      </c>
      <c r="D1528" s="4" t="s">
        <v>433</v>
      </c>
      <c r="E1528" s="4" t="s">
        <v>3706</v>
      </c>
      <c r="F1528" s="127" t="n">
        <v>46275</v>
      </c>
      <c r="G1528" s="127" t="n">
        <v>46283</v>
      </c>
      <c r="H1528" s="127" t="n">
        <v>46293</v>
      </c>
      <c r="I1528" s="4" t="n">
        <v>100</v>
      </c>
      <c r="J1528" s="4" t="n">
        <v>100</v>
      </c>
      <c r="K1528" s="4" t="n">
        <v>100</v>
      </c>
      <c r="M1528" s="2" t="str">
        <f aca="false">IF(C1528="","",IFERROR(INDEX($S$5:$S$304,MATCH(C1528,$R$5:$R$304,0))&amp;"","?"))</f>
        <v>17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8</v>
      </c>
      <c r="O1528" s="2" t="str">
        <f aca="false">IF(OR(F1528="",G1528=""),"",IF(G1528&lt;='RETRATO 2027'!$K$5,"CONCLUÍDA",IF(F1528&lt;='RETRATO 2027'!$K$5,"EM ANDAMENTO","A INICIAR")))</f>
        <v>CONCLUÍDA</v>
      </c>
    </row>
    <row r="1529" customFormat="false" ht="15" hidden="false" customHeight="false" outlineLevel="0" collapsed="false">
      <c r="B1529" s="4" t="n">
        <v>9360149</v>
      </c>
      <c r="C1529" s="4" t="s">
        <v>2705</v>
      </c>
      <c r="D1529" s="4" t="s">
        <v>3244</v>
      </c>
      <c r="E1529" s="4" t="s">
        <v>3706</v>
      </c>
      <c r="F1529" s="127" t="n">
        <v>46275</v>
      </c>
      <c r="G1529" s="127" t="n">
        <v>46279</v>
      </c>
      <c r="H1529" s="127" t="n">
        <v>46293</v>
      </c>
      <c r="I1529" s="4" t="n">
        <v>100</v>
      </c>
      <c r="J1529" s="4" t="n">
        <v>100</v>
      </c>
      <c r="K1529" s="4" t="n">
        <v>100</v>
      </c>
      <c r="M1529" s="2" t="str">
        <f aca="false">IF(C1529="","",IFERROR(INDEX($S$5:$S$304,MATCH(C1529,$R$5:$R$304,0))&amp;"","?"))</f>
        <v>17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8</v>
      </c>
      <c r="O1529" s="2" t="str">
        <f aca="false">IF(OR(F1529="",G1529=""),"",IF(G1529&lt;='RETRATO 2027'!$K$5,"CONCLUÍDA",IF(F1529&lt;='RETRATO 2027'!$K$5,"EM ANDAMENTO","A INICIAR")))</f>
        <v>CONCLUÍDA</v>
      </c>
    </row>
    <row r="1530" customFormat="false" ht="15" hidden="false" customHeight="false" outlineLevel="0" collapsed="false">
      <c r="B1530" s="4" t="n">
        <v>9360150</v>
      </c>
      <c r="C1530" s="4" t="s">
        <v>2705</v>
      </c>
      <c r="D1530" s="4" t="s">
        <v>3245</v>
      </c>
      <c r="E1530" s="4" t="s">
        <v>3706</v>
      </c>
      <c r="F1530" s="127" t="n">
        <v>46275</v>
      </c>
      <c r="G1530" s="127" t="n">
        <v>46279</v>
      </c>
      <c r="H1530" s="127" t="n">
        <v>46293</v>
      </c>
      <c r="I1530" s="4" t="n">
        <v>100</v>
      </c>
      <c r="J1530" s="4" t="n">
        <v>100</v>
      </c>
      <c r="K1530" s="4" t="n">
        <v>100</v>
      </c>
      <c r="M1530" s="2" t="str">
        <f aca="false">IF(C1530="","",IFERROR(INDEX($S$5:$S$304,MATCH(C1530,$R$5:$R$304,0))&amp;"","?"))</f>
        <v>17</v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8</v>
      </c>
      <c r="O1530" s="2" t="str">
        <f aca="false">IF(OR(F1530="",G1530=""),"",IF(G1530&lt;='RETRATO 2027'!$K$5,"CONCLUÍDA",IF(F1530&lt;='RETRATO 2027'!$K$5,"EM ANDAMENTO","A INICIAR")))</f>
        <v>CONCLUÍDA</v>
      </c>
    </row>
    <row r="1531" customFormat="false" ht="15" hidden="false" customHeight="false" outlineLevel="0" collapsed="false">
      <c r="B1531" s="4" t="n">
        <v>9360151</v>
      </c>
      <c r="C1531" s="4" t="s">
        <v>2705</v>
      </c>
      <c r="D1531" s="4" t="s">
        <v>3246</v>
      </c>
      <c r="E1531" s="4" t="s">
        <v>3706</v>
      </c>
      <c r="F1531" s="127" t="n">
        <v>46276</v>
      </c>
      <c r="G1531" s="127" t="n">
        <v>46276</v>
      </c>
      <c r="H1531" s="127" t="n">
        <v>46293</v>
      </c>
      <c r="I1531" s="4" t="n">
        <v>100</v>
      </c>
      <c r="J1531" s="4" t="n">
        <v>100</v>
      </c>
      <c r="K1531" s="4" t="n">
        <v>100</v>
      </c>
      <c r="M1531" s="2" t="str">
        <f aca="false">IF(C1531="","",IFERROR(INDEX($S$5:$S$304,MATCH(C1531,$R$5:$R$304,0))&amp;"","?"))</f>
        <v>17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8</v>
      </c>
      <c r="O1531" s="2" t="str">
        <f aca="false">IF(OR(F1531="",G1531=""),"",IF(G1531&lt;='RETRATO 2027'!$K$5,"CONCLUÍDA",IF(F1531&lt;='RETRATO 2027'!$K$5,"EM ANDAMENTO","A INICIAR")))</f>
        <v>CONCLUÍDA</v>
      </c>
    </row>
    <row r="1532" customFormat="false" ht="15" hidden="false" customHeight="false" outlineLevel="0" collapsed="false">
      <c r="B1532" s="4" t="n">
        <v>9360152</v>
      </c>
      <c r="C1532" s="4" t="s">
        <v>2705</v>
      </c>
      <c r="D1532" s="4" t="s">
        <v>3247</v>
      </c>
      <c r="E1532" s="4" t="s">
        <v>3706</v>
      </c>
      <c r="F1532" s="127" t="n">
        <v>46279</v>
      </c>
      <c r="G1532" s="127" t="n">
        <v>46279</v>
      </c>
      <c r="H1532" s="127" t="n">
        <v>46293</v>
      </c>
      <c r="I1532" s="4" t="n">
        <v>100</v>
      </c>
      <c r="J1532" s="4" t="n">
        <v>100</v>
      </c>
      <c r="K1532" s="4" t="n">
        <v>100</v>
      </c>
      <c r="M1532" s="2" t="str">
        <f aca="false">IF(C1532="","",IFERROR(INDEX($S$5:$S$304,MATCH(C1532,$R$5:$R$304,0))&amp;"","?"))</f>
        <v>17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8</v>
      </c>
      <c r="O1532" s="2" t="str">
        <f aca="false">IF(OR(F1532="",G1532=""),"",IF(G1532&lt;='RETRATO 2027'!$K$5,"CONCLUÍDA",IF(F1532&lt;='RETRATO 2027'!$K$5,"EM ANDAMENTO","A INICIAR")))</f>
        <v>CONCLUÍDA</v>
      </c>
    </row>
    <row r="1533" customFormat="false" ht="15" hidden="false" customHeight="false" outlineLevel="0" collapsed="false">
      <c r="B1533" s="4" t="n">
        <v>9360153</v>
      </c>
      <c r="C1533" s="4" t="s">
        <v>2705</v>
      </c>
      <c r="D1533" s="4" t="s">
        <v>3248</v>
      </c>
      <c r="E1533" s="4" t="s">
        <v>3706</v>
      </c>
      <c r="F1533" s="127" t="n">
        <v>46280</v>
      </c>
      <c r="G1533" s="127" t="n">
        <v>46282</v>
      </c>
      <c r="H1533" s="127" t="n">
        <v>46293</v>
      </c>
      <c r="I1533" s="4" t="n">
        <v>100</v>
      </c>
      <c r="J1533" s="4" t="n">
        <v>100</v>
      </c>
      <c r="K1533" s="4" t="n">
        <v>100</v>
      </c>
      <c r="M1533" s="2" t="str">
        <f aca="false">IF(C1533="","",IFERROR(INDEX($S$5:$S$304,MATCH(C1533,$R$5:$R$304,0))&amp;"","?"))</f>
        <v>17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8</v>
      </c>
      <c r="O1533" s="2" t="str">
        <f aca="false">IF(OR(F1533="",G1533=""),"",IF(G1533&lt;='RETRATO 2027'!$K$5,"CONCLUÍDA",IF(F1533&lt;='RETRATO 2027'!$K$5,"EM ANDAMENTO","A INICIAR")))</f>
        <v>CONCLUÍDA</v>
      </c>
    </row>
    <row r="1534" customFormat="false" ht="15" hidden="false" customHeight="false" outlineLevel="0" collapsed="false">
      <c r="B1534" s="4" t="n">
        <v>9360154</v>
      </c>
      <c r="C1534" s="4" t="s">
        <v>2705</v>
      </c>
      <c r="D1534" s="4" t="s">
        <v>3249</v>
      </c>
      <c r="E1534" s="4" t="s">
        <v>3706</v>
      </c>
      <c r="F1534" s="127" t="n">
        <v>46281</v>
      </c>
      <c r="G1534" s="127" t="n">
        <v>46283</v>
      </c>
      <c r="H1534" s="127" t="n">
        <v>46293</v>
      </c>
      <c r="I1534" s="4" t="n">
        <v>100</v>
      </c>
      <c r="J1534" s="4" t="n">
        <v>100</v>
      </c>
      <c r="K1534" s="4" t="n">
        <v>100</v>
      </c>
      <c r="M1534" s="2" t="str">
        <f aca="false">IF(C1534="","",IFERROR(INDEX($S$5:$S$304,MATCH(C1534,$R$5:$R$304,0))&amp;"","?"))</f>
        <v>17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8</v>
      </c>
      <c r="O1534" s="2" t="str">
        <f aca="false">IF(OR(F1534="",G1534=""),"",IF(G1534&lt;='RETRATO 2027'!$K$5,"CONCLUÍDA",IF(F1534&lt;='RETRATO 2027'!$K$5,"EM ANDAMENTO","A INICIAR")))</f>
        <v>CONCLUÍDA</v>
      </c>
    </row>
    <row r="1535" customFormat="false" ht="15" hidden="false" customHeight="false" outlineLevel="0" collapsed="false">
      <c r="B1535" s="4" t="n">
        <v>9360155</v>
      </c>
      <c r="C1535" s="4" t="s">
        <v>2705</v>
      </c>
      <c r="D1535" s="4" t="s">
        <v>3250</v>
      </c>
      <c r="E1535" s="4" t="s">
        <v>3706</v>
      </c>
      <c r="F1535" s="127" t="n">
        <v>46280</v>
      </c>
      <c r="G1535" s="127" t="n">
        <v>46280</v>
      </c>
      <c r="H1535" s="127" t="n">
        <v>46293</v>
      </c>
      <c r="I1535" s="4" t="n">
        <v>100</v>
      </c>
      <c r="J1535" s="4" t="n">
        <v>100</v>
      </c>
      <c r="K1535" s="4" t="n">
        <v>100</v>
      </c>
      <c r="M1535" s="2" t="str">
        <f aca="false">IF(C1535="","",IFERROR(INDEX($S$5:$S$304,MATCH(C1535,$R$5:$R$304,0))&amp;"","?"))</f>
        <v>17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8</v>
      </c>
      <c r="O1535" s="2" t="str">
        <f aca="false">IF(OR(F1535="",G1535=""),"",IF(G1535&lt;='RETRATO 2027'!$K$5,"CONCLUÍDA",IF(F1535&lt;='RETRATO 2027'!$K$5,"EM ANDAMENTO","A INICIAR")))</f>
        <v>CONCLUÍDA</v>
      </c>
    </row>
    <row r="1536" customFormat="false" ht="15" hidden="false" customHeight="false" outlineLevel="0" collapsed="false">
      <c r="B1536" s="4" t="n">
        <v>9360156</v>
      </c>
      <c r="C1536" s="4" t="s">
        <v>2705</v>
      </c>
      <c r="D1536" s="4" t="s">
        <v>3251</v>
      </c>
      <c r="E1536" s="4" t="s">
        <v>3706</v>
      </c>
      <c r="F1536" s="127" t="n">
        <v>46280</v>
      </c>
      <c r="G1536" s="127" t="n">
        <v>46280</v>
      </c>
      <c r="H1536" s="127" t="n">
        <v>46293</v>
      </c>
      <c r="I1536" s="4" t="n">
        <v>100</v>
      </c>
      <c r="J1536" s="4" t="n">
        <v>100</v>
      </c>
      <c r="K1536" s="4" t="n">
        <v>100</v>
      </c>
      <c r="M1536" s="2" t="str">
        <f aca="false">IF(C1536="","",IFERROR(INDEX($S$5:$S$304,MATCH(C1536,$R$5:$R$304,0))&amp;"","?"))</f>
        <v>17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8</v>
      </c>
      <c r="O1536" s="2" t="str">
        <f aca="false">IF(OR(F1536="",G1536=""),"",IF(G1536&lt;='RETRATO 2027'!$K$5,"CONCLUÍDA",IF(F1536&lt;='RETRATO 2027'!$K$5,"EM ANDAMENTO","A INICIAR")))</f>
        <v>CONCLUÍDA</v>
      </c>
    </row>
    <row r="1537" customFormat="false" ht="15" hidden="false" customHeight="false" outlineLevel="0" collapsed="false">
      <c r="B1537" s="4" t="n">
        <v>9360157</v>
      </c>
      <c r="C1537" s="4" t="s">
        <v>2705</v>
      </c>
      <c r="D1537" s="4" t="s">
        <v>3252</v>
      </c>
      <c r="E1537" s="4" t="s">
        <v>3706</v>
      </c>
      <c r="F1537" s="127" t="n">
        <v>46281</v>
      </c>
      <c r="G1537" s="127" t="n">
        <v>46281</v>
      </c>
      <c r="H1537" s="127" t="n">
        <v>46293</v>
      </c>
      <c r="I1537" s="4" t="n">
        <v>100</v>
      </c>
      <c r="J1537" s="4" t="n">
        <v>100</v>
      </c>
      <c r="K1537" s="4" t="n">
        <v>100</v>
      </c>
      <c r="M1537" s="2" t="str">
        <f aca="false">IF(C1537="","",IFERROR(INDEX($S$5:$S$304,MATCH(C1537,$R$5:$R$304,0))&amp;"","?"))</f>
        <v>17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8</v>
      </c>
      <c r="O1537" s="2" t="str">
        <f aca="false">IF(OR(F1537="",G1537=""),"",IF(G1537&lt;='RETRATO 2027'!$K$5,"CONCLUÍDA",IF(F1537&lt;='RETRATO 2027'!$K$5,"EM ANDAMENTO","A INICIAR")))</f>
        <v>CONCLUÍDA</v>
      </c>
    </row>
    <row r="1538" customFormat="false" ht="15" hidden="false" customHeight="false" outlineLevel="0" collapsed="false">
      <c r="B1538" s="4" t="n">
        <v>48679989</v>
      </c>
      <c r="C1538" s="4" t="s">
        <v>2714</v>
      </c>
      <c r="D1538" s="4" t="s">
        <v>433</v>
      </c>
      <c r="E1538" s="4" t="s">
        <v>3706</v>
      </c>
      <c r="F1538" s="127" t="n">
        <v>46275</v>
      </c>
      <c r="G1538" s="127" t="n">
        <v>46283</v>
      </c>
      <c r="H1538" s="127" t="n">
        <v>46293</v>
      </c>
      <c r="I1538" s="4" t="n">
        <v>0</v>
      </c>
      <c r="J1538" s="4" t="n">
        <v>100</v>
      </c>
      <c r="K1538" s="4" t="n">
        <v>100</v>
      </c>
      <c r="M1538" s="2" t="str">
        <f aca="false">IF(C1538="","",IFERROR(INDEX($S$5:$S$304,MATCH(C1538,$R$5:$R$304,0))&amp;"","?"))</f>
        <v>17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8</v>
      </c>
      <c r="O1538" s="2" t="str">
        <f aca="false">IF(OR(F1538="",G1538=""),"",IF(G1538&lt;='RETRATO 2027'!$K$5,"CONCLUÍDA",IF(F1538&lt;='RETRATO 2027'!$K$5,"EM ANDAMENTO","A INICIAR")))</f>
        <v>CONCLUÍDA</v>
      </c>
    </row>
    <row r="1539" customFormat="false" ht="15" hidden="false" customHeight="false" outlineLevel="0" collapsed="false">
      <c r="B1539" s="4" t="n">
        <v>31847109</v>
      </c>
      <c r="C1539" s="4" t="s">
        <v>2714</v>
      </c>
      <c r="D1539" s="4" t="s">
        <v>3554</v>
      </c>
      <c r="E1539" s="4" t="s">
        <v>3706</v>
      </c>
      <c r="F1539" s="127" t="n">
        <v>46275</v>
      </c>
      <c r="G1539" s="127" t="n">
        <v>46275</v>
      </c>
      <c r="H1539" s="127" t="n">
        <v>46293</v>
      </c>
      <c r="I1539" s="4" t="n">
        <v>0</v>
      </c>
      <c r="J1539" s="4" t="n">
        <v>100</v>
      </c>
      <c r="K1539" s="4" t="n">
        <v>100</v>
      </c>
      <c r="M1539" s="2" t="str">
        <f aca="false">IF(C1539="","",IFERROR(INDEX($S$5:$S$304,MATCH(C1539,$R$5:$R$304,0))&amp;"","?"))</f>
        <v>17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8</v>
      </c>
      <c r="O1539" s="2" t="str">
        <f aca="false">IF(OR(F1539="",G1539=""),"",IF(G1539&lt;='RETRATO 2027'!$K$5,"CONCLUÍDA",IF(F1539&lt;='RETRATO 2027'!$K$5,"EM ANDAMENTO","A INICIAR")))</f>
        <v>CONCLUÍDA</v>
      </c>
    </row>
    <row r="1540" customFormat="false" ht="15" hidden="false" customHeight="false" outlineLevel="0" collapsed="false">
      <c r="B1540" s="4" t="n">
        <v>31847110</v>
      </c>
      <c r="C1540" s="4" t="s">
        <v>2714</v>
      </c>
      <c r="D1540" s="4" t="s">
        <v>3555</v>
      </c>
      <c r="E1540" s="4" t="s">
        <v>3706</v>
      </c>
      <c r="F1540" s="127" t="n">
        <v>46276</v>
      </c>
      <c r="G1540" s="127" t="n">
        <v>46276</v>
      </c>
      <c r="H1540" s="127" t="n">
        <v>46293</v>
      </c>
      <c r="I1540" s="4" t="n">
        <v>0</v>
      </c>
      <c r="J1540" s="4" t="n">
        <v>100</v>
      </c>
      <c r="K1540" s="4" t="n">
        <v>100</v>
      </c>
      <c r="M1540" s="2" t="str">
        <f aca="false">IF(C1540="","",IFERROR(INDEX($S$5:$S$304,MATCH(C1540,$R$5:$R$304,0))&amp;"","?"))</f>
        <v>17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8</v>
      </c>
      <c r="O1540" s="2" t="str">
        <f aca="false">IF(OR(F1540="",G1540=""),"",IF(G1540&lt;='RETRATO 2027'!$K$5,"CONCLUÍDA",IF(F1540&lt;='RETRATO 2027'!$K$5,"EM ANDAMENTO","A INICIAR")))</f>
        <v>CONCLUÍDA</v>
      </c>
    </row>
    <row r="1541" customFormat="false" ht="15" hidden="false" customHeight="false" outlineLevel="0" collapsed="false">
      <c r="B1541" s="4" t="n">
        <v>31847111</v>
      </c>
      <c r="C1541" s="4" t="s">
        <v>2714</v>
      </c>
      <c r="D1541" s="4" t="s">
        <v>3498</v>
      </c>
      <c r="E1541" s="4" t="s">
        <v>3706</v>
      </c>
      <c r="F1541" s="127" t="n">
        <v>46279</v>
      </c>
      <c r="G1541" s="127" t="n">
        <v>46279</v>
      </c>
      <c r="H1541" s="127" t="n">
        <v>46293</v>
      </c>
      <c r="I1541" s="4" t="n">
        <v>0</v>
      </c>
      <c r="J1541" s="4" t="n">
        <v>100</v>
      </c>
      <c r="K1541" s="4" t="n">
        <v>100</v>
      </c>
      <c r="M1541" s="2" t="str">
        <f aca="false">IF(C1541="","",IFERROR(INDEX($S$5:$S$304,MATCH(C1541,$R$5:$R$304,0))&amp;"","?"))</f>
        <v>17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8</v>
      </c>
      <c r="O1541" s="2" t="str">
        <f aca="false">IF(OR(F1541="",G1541=""),"",IF(G1541&lt;='RETRATO 2027'!$K$5,"CONCLUÍDA",IF(F1541&lt;='RETRATO 2027'!$K$5,"EM ANDAMENTO","A INICIAR")))</f>
        <v>CONCLUÍDA</v>
      </c>
    </row>
    <row r="1542" customFormat="false" ht="15" hidden="false" customHeight="false" outlineLevel="0" collapsed="false">
      <c r="B1542" s="4" t="n">
        <v>31847112</v>
      </c>
      <c r="C1542" s="4" t="s">
        <v>2714</v>
      </c>
      <c r="D1542" s="4" t="s">
        <v>3599</v>
      </c>
      <c r="E1542" s="4" t="s">
        <v>3706</v>
      </c>
      <c r="F1542" s="127" t="n">
        <v>46280</v>
      </c>
      <c r="G1542" s="127" t="n">
        <v>46280</v>
      </c>
      <c r="H1542" s="127" t="n">
        <v>46293</v>
      </c>
      <c r="I1542" s="4" t="n">
        <v>0</v>
      </c>
      <c r="J1542" s="4" t="n">
        <v>100</v>
      </c>
      <c r="K1542" s="4" t="n">
        <v>100</v>
      </c>
      <c r="M1542" s="2" t="str">
        <f aca="false">IF(C1542="","",IFERROR(INDEX($S$5:$S$304,MATCH(C1542,$R$5:$R$304,0))&amp;"","?"))</f>
        <v>17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8</v>
      </c>
      <c r="O1542" s="2" t="str">
        <f aca="false">IF(OR(F1542="",G1542=""),"",IF(G1542&lt;='RETRATO 2027'!$K$5,"CONCLUÍDA",IF(F1542&lt;='RETRATO 2027'!$K$5,"EM ANDAMENTO","A INICIAR")))</f>
        <v>CONCLUÍDA</v>
      </c>
    </row>
    <row r="1543" customFormat="false" ht="15" hidden="false" customHeight="false" outlineLevel="0" collapsed="false">
      <c r="B1543" s="4" t="n">
        <v>31847113</v>
      </c>
      <c r="C1543" s="4" t="s">
        <v>2714</v>
      </c>
      <c r="D1543" s="4" t="s">
        <v>3549</v>
      </c>
      <c r="E1543" s="4" t="s">
        <v>3706</v>
      </c>
      <c r="F1543" s="127" t="n">
        <v>46281</v>
      </c>
      <c r="G1543" s="127" t="n">
        <v>46281</v>
      </c>
      <c r="H1543" s="127" t="n">
        <v>46293</v>
      </c>
      <c r="I1543" s="4" t="n">
        <v>0</v>
      </c>
      <c r="J1543" s="4" t="n">
        <v>100</v>
      </c>
      <c r="K1543" s="4" t="n">
        <v>100</v>
      </c>
      <c r="M1543" s="2" t="str">
        <f aca="false">IF(C1543="","",IFERROR(INDEX($S$5:$S$304,MATCH(C1543,$R$5:$R$304,0))&amp;"","?"))</f>
        <v>17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8</v>
      </c>
      <c r="O1543" s="2" t="str">
        <f aca="false">IF(OR(F1543="",G1543=""),"",IF(G1543&lt;='RETRATO 2027'!$K$5,"CONCLUÍDA",IF(F1543&lt;='RETRATO 2027'!$K$5,"EM ANDAMENTO","A INICIAR")))</f>
        <v>CONCLUÍDA</v>
      </c>
    </row>
    <row r="1544" customFormat="false" ht="15" hidden="false" customHeight="false" outlineLevel="0" collapsed="false">
      <c r="B1544" s="4" t="n">
        <v>31847114</v>
      </c>
      <c r="C1544" s="4" t="s">
        <v>2714</v>
      </c>
      <c r="D1544" s="4" t="s">
        <v>3217</v>
      </c>
      <c r="E1544" s="4" t="s">
        <v>3706</v>
      </c>
      <c r="F1544" s="127" t="n">
        <v>46282</v>
      </c>
      <c r="G1544" s="127" t="n">
        <v>46282</v>
      </c>
      <c r="H1544" s="127" t="n">
        <v>46293</v>
      </c>
      <c r="I1544" s="4" t="n">
        <v>0</v>
      </c>
      <c r="J1544" s="4" t="n">
        <v>100</v>
      </c>
      <c r="K1544" s="4" t="n">
        <v>100</v>
      </c>
      <c r="M1544" s="2" t="str">
        <f aca="false">IF(C1544="","",IFERROR(INDEX($S$5:$S$304,MATCH(C1544,$R$5:$R$304,0))&amp;"","?"))</f>
        <v>17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8</v>
      </c>
      <c r="O1544" s="2" t="str">
        <f aca="false">IF(OR(F1544="",G1544=""),"",IF(G1544&lt;='RETRATO 2027'!$K$5,"CONCLUÍDA",IF(F1544&lt;='RETRATO 2027'!$K$5,"EM ANDAMENTO","A INICIAR")))</f>
        <v>CONCLUÍDA</v>
      </c>
    </row>
    <row r="1545" customFormat="false" ht="15" hidden="false" customHeight="false" outlineLevel="0" collapsed="false">
      <c r="B1545" s="4" t="n">
        <v>31847115</v>
      </c>
      <c r="C1545" s="4" t="s">
        <v>2714</v>
      </c>
      <c r="D1545" s="4" t="s">
        <v>3563</v>
      </c>
      <c r="E1545" s="4" t="s">
        <v>3706</v>
      </c>
      <c r="F1545" s="127" t="n">
        <v>46283</v>
      </c>
      <c r="G1545" s="127" t="n">
        <v>46283</v>
      </c>
      <c r="H1545" s="127" t="n">
        <v>46293</v>
      </c>
      <c r="I1545" s="4" t="n">
        <v>0</v>
      </c>
      <c r="J1545" s="4" t="n">
        <v>100</v>
      </c>
      <c r="K1545" s="4" t="n">
        <v>100</v>
      </c>
      <c r="M1545" s="2" t="str">
        <f aca="false">IF(C1545="","",IFERROR(INDEX($S$5:$S$304,MATCH(C1545,$R$5:$R$304,0))&amp;"","?"))</f>
        <v>17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8</v>
      </c>
      <c r="O1545" s="2" t="str">
        <f aca="false">IF(OR(F1545="",G1545=""),"",IF(G1545&lt;='RETRATO 2027'!$K$5,"CONCLUÍDA",IF(F1545&lt;='RETRATO 2027'!$K$5,"EM ANDAMENTO","A INICIAR")))</f>
        <v>CONCLUÍDA</v>
      </c>
    </row>
    <row r="1546" customFormat="false" ht="15" hidden="false" customHeight="false" outlineLevel="0" collapsed="false">
      <c r="B1546" s="4" t="n">
        <v>26744953</v>
      </c>
      <c r="C1546" s="4" t="s">
        <v>2808</v>
      </c>
      <c r="D1546" s="4" t="s">
        <v>433</v>
      </c>
      <c r="E1546" s="4" t="s">
        <v>3671</v>
      </c>
      <c r="F1546" s="127" t="n">
        <v>46276</v>
      </c>
      <c r="G1546" s="127" t="n">
        <v>46287</v>
      </c>
      <c r="H1546" s="127" t="n">
        <v>46293</v>
      </c>
      <c r="I1546" s="4" t="n">
        <v>100</v>
      </c>
      <c r="J1546" s="4" t="n">
        <v>100</v>
      </c>
      <c r="K1546" s="4" t="n">
        <v>50</v>
      </c>
      <c r="M1546" s="2" t="str">
        <f aca="false">IF(C1546="","",IFERROR(INDEX($S$5:$S$304,MATCH(C1546,$R$5:$R$304,0))&amp;"","?"))</f>
        <v>29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-3</v>
      </c>
      <c r="O1546" s="2" t="str">
        <f aca="false">IF(OR(F1546="",G1546=""),"",IF(G1546&lt;='RETRATO 2027'!$K$5,"CONCLUÍDA",IF(F1546&lt;='RETRATO 2027'!$K$5,"EM ANDAMENTO","A INICIAR")))</f>
        <v>CONCLUÍDA</v>
      </c>
    </row>
    <row r="1547" customFormat="false" ht="15" hidden="false" customHeight="false" outlineLevel="0" collapsed="false">
      <c r="B1547" s="4" t="n">
        <v>36884365</v>
      </c>
      <c r="C1547" s="4" t="s">
        <v>2851</v>
      </c>
      <c r="D1547" s="4" t="s">
        <v>433</v>
      </c>
      <c r="E1547" s="4" t="s">
        <v>81</v>
      </c>
      <c r="F1547" s="127" t="n">
        <v>46279</v>
      </c>
      <c r="G1547" s="127" t="n">
        <v>46330</v>
      </c>
      <c r="H1547" s="127" t="n">
        <v>46293</v>
      </c>
      <c r="I1547" s="4" t="n">
        <v>100</v>
      </c>
      <c r="J1547" s="4" t="n">
        <v>31.42857143</v>
      </c>
      <c r="K1547" s="4" t="n">
        <v>2.857</v>
      </c>
      <c r="M1547" s="2" t="str">
        <f aca="false">IF(C1547="","",IFERROR(INDEX($S$5:$S$304,MATCH(C1547,$R$5:$R$304,0))&amp;"","?"))</f>
        <v>17</v>
      </c>
      <c r="N1547" s="2" t="str">
        <f aca="false"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 t="str">
        <f aca="false">IF(OR(F1547="",G1547=""),"",IF(G1547&lt;='RETRATO 2027'!$K$5,"CONCLUÍDA",IF(F1547&lt;='RETRATO 2027'!$K$5,"EM ANDAMENTO","A INICIAR")))</f>
        <v>CONCLUÍDA</v>
      </c>
    </row>
    <row r="1548" customFormat="false" ht="15" hidden="false" customHeight="false" outlineLevel="0" collapsed="false">
      <c r="B1548" s="4" t="n">
        <v>14991604</v>
      </c>
      <c r="C1548" s="4" t="s">
        <v>2851</v>
      </c>
      <c r="D1548" s="4" t="s">
        <v>3707</v>
      </c>
      <c r="E1548" s="4" t="s">
        <v>81</v>
      </c>
      <c r="F1548" s="127" t="n">
        <v>46279</v>
      </c>
      <c r="G1548" s="127" t="n">
        <v>46283</v>
      </c>
      <c r="H1548" s="127" t="n">
        <v>46293</v>
      </c>
      <c r="I1548" s="4" t="n">
        <v>100</v>
      </c>
      <c r="J1548" s="4" t="n">
        <v>100</v>
      </c>
      <c r="K1548" s="4" t="n">
        <v>20</v>
      </c>
      <c r="M1548" s="2" t="str">
        <f aca="false">IF(C1548="","",IFERROR(INDEX($S$5:$S$304,MATCH(C1548,$R$5:$R$304,0))&amp;"","?"))</f>
        <v>17</v>
      </c>
      <c r="N1548" s="2" t="str">
        <f aca="false"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 t="str">
        <f aca="false">IF(OR(F1548="",G1548=""),"",IF(G1548&lt;='RETRATO 2027'!$K$5,"CONCLUÍDA",IF(F1548&lt;='RETRATO 2027'!$K$5,"EM ANDAMENTO","A INICIAR")))</f>
        <v>CONCLUÍDA</v>
      </c>
    </row>
    <row r="1549" customFormat="false" ht="15" hidden="false" customHeight="false" outlineLevel="0" collapsed="false">
      <c r="B1549" s="4" t="n">
        <v>14991605</v>
      </c>
      <c r="C1549" s="4" t="s">
        <v>2851</v>
      </c>
      <c r="D1549" s="4" t="s">
        <v>3708</v>
      </c>
      <c r="E1549" s="4" t="s">
        <v>81</v>
      </c>
      <c r="F1549" s="127" t="n">
        <v>46286</v>
      </c>
      <c r="G1549" s="127" t="n">
        <v>46304</v>
      </c>
      <c r="H1549" s="127" t="n">
        <v>46293</v>
      </c>
      <c r="I1549" s="4" t="n">
        <v>100</v>
      </c>
      <c r="J1549" s="4" t="n">
        <v>40</v>
      </c>
      <c r="K1549" s="4" t="n">
        <v>0</v>
      </c>
      <c r="M1549" s="2" t="str">
        <f aca="false">IF(C1549="","",IFERROR(INDEX($S$5:$S$304,MATCH(C1549,$R$5:$R$304,0))&amp;"","?"))</f>
        <v>17</v>
      </c>
      <c r="N1549" s="2" t="str">
        <f aca="false"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 t="str">
        <f aca="false">IF(OR(F1549="",G1549=""),"",IF(G1549&lt;='RETRATO 2027'!$K$5,"CONCLUÍDA",IF(F1549&lt;='RETRATO 2027'!$K$5,"EM ANDAMENTO","A INICIAR")))</f>
        <v>CONCLUÍDA</v>
      </c>
    </row>
    <row r="1550" customFormat="false" ht="15" hidden="false" customHeight="false" outlineLevel="0" collapsed="false">
      <c r="B1550" s="4" t="n">
        <v>14991606</v>
      </c>
      <c r="C1550" s="4" t="s">
        <v>2851</v>
      </c>
      <c r="D1550" s="4" t="s">
        <v>3546</v>
      </c>
      <c r="E1550" s="4" t="s">
        <v>81</v>
      </c>
      <c r="F1550" s="127" t="n">
        <v>46308</v>
      </c>
      <c r="G1550" s="127" t="n">
        <v>46321</v>
      </c>
      <c r="H1550" s="127" t="n">
        <v>46293</v>
      </c>
      <c r="I1550" s="4" t="n">
        <v>100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17</v>
      </c>
      <c r="N1550" s="2" t="str">
        <f aca="false"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 t="str">
        <f aca="false">IF(OR(F1550="",G1550=""),"",IF(G1550&lt;='RETRATO 2027'!$K$5,"CONCLUÍDA",IF(F1550&lt;='RETRATO 2027'!$K$5,"EM ANDAMENTO","A INICIAR")))</f>
        <v>CONCLUÍDA</v>
      </c>
    </row>
    <row r="1551" customFormat="false" ht="15" hidden="false" customHeight="false" outlineLevel="0" collapsed="false">
      <c r="B1551" s="4" t="n">
        <v>14991607</v>
      </c>
      <c r="C1551" s="4" t="s">
        <v>2851</v>
      </c>
      <c r="D1551" s="4" t="s">
        <v>3547</v>
      </c>
      <c r="E1551" s="4" t="s">
        <v>81</v>
      </c>
      <c r="F1551" s="127" t="n">
        <v>46322</v>
      </c>
      <c r="G1551" s="127" t="n">
        <v>46324</v>
      </c>
      <c r="H1551" s="127" t="n">
        <v>46293</v>
      </c>
      <c r="I1551" s="4" t="n">
        <v>100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17</v>
      </c>
      <c r="N1551" s="2" t="str">
        <f aca="false"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 t="str">
        <f aca="false">IF(OR(F1551="",G1551=""),"",IF(G1551&lt;='RETRATO 2027'!$K$5,"CONCLUÍDA",IF(F1551&lt;='RETRATO 2027'!$K$5,"EM ANDAMENTO","A INICIAR")))</f>
        <v>CONCLUÍDA</v>
      </c>
    </row>
    <row r="1552" customFormat="false" ht="15" hidden="false" customHeight="false" outlineLevel="0" collapsed="false">
      <c r="B1552" s="4" t="n">
        <v>14991608</v>
      </c>
      <c r="C1552" s="4" t="s">
        <v>2851</v>
      </c>
      <c r="D1552" s="4" t="s">
        <v>3709</v>
      </c>
      <c r="E1552" s="4" t="s">
        <v>81</v>
      </c>
      <c r="F1552" s="127" t="n">
        <v>46325</v>
      </c>
      <c r="G1552" s="127" t="n">
        <v>46325</v>
      </c>
      <c r="H1552" s="127" t="n">
        <v>46293</v>
      </c>
      <c r="I1552" s="4" t="n">
        <v>100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17</v>
      </c>
      <c r="N1552" s="2" t="str">
        <f aca="false"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 t="str">
        <f aca="false">IF(OR(F1552="",G1552=""),"",IF(G1552&lt;='RETRATO 2027'!$K$5,"CONCLUÍDA",IF(F1552&lt;='RETRATO 2027'!$K$5,"EM ANDAMENTO","A INICIAR")))</f>
        <v>CONCLUÍDA</v>
      </c>
    </row>
    <row r="1553" customFormat="false" ht="15" hidden="false" customHeight="false" outlineLevel="0" collapsed="false">
      <c r="B1553" s="4" t="n">
        <v>14991609</v>
      </c>
      <c r="C1553" s="4" t="s">
        <v>2851</v>
      </c>
      <c r="D1553" s="4" t="s">
        <v>3710</v>
      </c>
      <c r="E1553" s="4" t="s">
        <v>81</v>
      </c>
      <c r="F1553" s="127" t="n">
        <v>46330</v>
      </c>
      <c r="G1553" s="127" t="n">
        <v>46330</v>
      </c>
      <c r="H1553" s="127" t="n">
        <v>46293</v>
      </c>
      <c r="I1553" s="4" t="n">
        <v>100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17</v>
      </c>
      <c r="N1553" s="2" t="str">
        <f aca="false"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 t="str">
        <f aca="false">IF(OR(F1553="",G1553=""),"",IF(G1553&lt;='RETRATO 2027'!$K$5,"CONCLUÍDA",IF(F1553&lt;='RETRATO 2027'!$K$5,"EM ANDAMENTO","A INICIAR")))</f>
        <v>CONCLUÍDA</v>
      </c>
    </row>
    <row r="1554" customFormat="false" ht="15" hidden="false" customHeight="false" outlineLevel="0" collapsed="false">
      <c r="B1554" s="4" t="n">
        <v>26744968</v>
      </c>
      <c r="C1554" s="4" t="s">
        <v>2808</v>
      </c>
      <c r="D1554" s="4" t="s">
        <v>433</v>
      </c>
      <c r="E1554" s="4" t="s">
        <v>3558</v>
      </c>
      <c r="F1554" s="127" t="n">
        <v>46279</v>
      </c>
      <c r="G1554" s="127" t="n">
        <v>46288</v>
      </c>
      <c r="H1554" s="127" t="n">
        <v>46293</v>
      </c>
      <c r="I1554" s="4" t="n">
        <v>100</v>
      </c>
      <c r="J1554" s="4" t="n">
        <v>100</v>
      </c>
      <c r="K1554" s="4" t="n">
        <v>0</v>
      </c>
      <c r="M1554" s="2" t="str">
        <f aca="false">IF(C1554="","",IFERROR(INDEX($S$5:$S$304,MATCH(C1554,$R$5:$R$304,0))&amp;"","?"))</f>
        <v>29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-4</v>
      </c>
      <c r="O1554" s="2" t="str">
        <f aca="false">IF(OR(F1554="",G1554=""),"",IF(G1554&lt;='RETRATO 2027'!$K$5,"CONCLUÍDA",IF(F1554&lt;='RETRATO 2027'!$K$5,"EM ANDAMENTO","A INICIAR")))</f>
        <v>CONCLUÍDA</v>
      </c>
    </row>
    <row r="1555" customFormat="false" ht="15" hidden="false" customHeight="false" outlineLevel="0" collapsed="false">
      <c r="B1555" s="4" t="n">
        <v>53205017</v>
      </c>
      <c r="C1555" s="4" t="s">
        <v>2838</v>
      </c>
      <c r="D1555" s="4" t="s">
        <v>433</v>
      </c>
      <c r="E1555" s="4" t="s">
        <v>3449</v>
      </c>
      <c r="F1555" s="127" t="n">
        <v>46279</v>
      </c>
      <c r="G1555" s="127" t="n">
        <v>46295</v>
      </c>
      <c r="H1555" s="127" t="n">
        <v>46293</v>
      </c>
      <c r="I1555" s="4" t="n">
        <v>0</v>
      </c>
      <c r="J1555" s="4" t="n">
        <v>84.615</v>
      </c>
      <c r="K1555" s="4" t="n">
        <v>50</v>
      </c>
      <c r="M1555" s="2" t="str">
        <f aca="false">IF(C1555="","",IFERROR(INDEX($S$5:$S$304,MATCH(C1555,$R$5:$R$304,0))&amp;"","?"))</f>
        <v>30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-2</v>
      </c>
      <c r="O1555" s="2" t="str">
        <f aca="false">IF(OR(F1555="",G1555=""),"",IF(G1555&lt;='RETRATO 2027'!$K$5,"CONCLUÍDA",IF(F1555&lt;='RETRATO 2027'!$K$5,"EM ANDAMENTO","A INICIAR")))</f>
        <v>CONCLUÍDA</v>
      </c>
    </row>
    <row r="1556" customFormat="false" ht="15" hidden="false" customHeight="false" outlineLevel="0" collapsed="false">
      <c r="B1556" s="4" t="n">
        <v>44888201</v>
      </c>
      <c r="C1556" s="4" t="s">
        <v>2749</v>
      </c>
      <c r="D1556" s="4" t="s">
        <v>433</v>
      </c>
      <c r="E1556" s="4" t="s">
        <v>3482</v>
      </c>
      <c r="F1556" s="127" t="n">
        <v>46279</v>
      </c>
      <c r="G1556" s="127" t="n">
        <v>46290</v>
      </c>
      <c r="H1556" s="127" t="n">
        <v>46293</v>
      </c>
      <c r="I1556" s="4" t="n">
        <v>0</v>
      </c>
      <c r="J1556" s="4" t="n">
        <v>100</v>
      </c>
      <c r="K1556" s="4" t="n">
        <v>10</v>
      </c>
      <c r="M1556" s="2" t="str">
        <f aca="false">IF(C1556="","",IFERROR(INDEX($S$5:$S$304,MATCH(C1556,$R$5:$R$304,0))&amp;"","?"))</f>
        <v>17</v>
      </c>
      <c r="N1556" s="2" t="str">
        <f aca="false"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 t="str">
        <f aca="false">IF(OR(F1556="",G1556=""),"",IF(G1556&lt;='RETRATO 2027'!$K$5,"CONCLUÍDA",IF(F1556&lt;='RETRATO 2027'!$K$5,"EM ANDAMENTO","A INICIAR")))</f>
        <v>CONCLUÍDA</v>
      </c>
    </row>
    <row r="1557" customFormat="false" ht="15" hidden="false" customHeight="false" outlineLevel="0" collapsed="false">
      <c r="B1557" s="4" t="n">
        <v>28964553</v>
      </c>
      <c r="C1557" s="4" t="s">
        <v>2749</v>
      </c>
      <c r="D1557" s="4" t="s">
        <v>3548</v>
      </c>
      <c r="E1557" s="4" t="s">
        <v>3482</v>
      </c>
      <c r="F1557" s="127" t="n">
        <v>46279</v>
      </c>
      <c r="G1557" s="127" t="n">
        <v>46279</v>
      </c>
      <c r="H1557" s="127" t="n">
        <v>46293</v>
      </c>
      <c r="I1557" s="4" t="n">
        <v>0</v>
      </c>
      <c r="J1557" s="4" t="n">
        <v>100</v>
      </c>
      <c r="K1557" s="4" t="n">
        <v>100</v>
      </c>
      <c r="M1557" s="2" t="str">
        <f aca="false">IF(C1557="","",IFERROR(INDEX($S$5:$S$304,MATCH(C1557,$R$5:$R$304,0))&amp;"","?"))</f>
        <v>17</v>
      </c>
      <c r="N1557" s="2" t="str">
        <f aca="false"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 t="str">
        <f aca="false">IF(OR(F1557="",G1557=""),"",IF(G1557&lt;='RETRATO 2027'!$K$5,"CONCLUÍDA",IF(F1557&lt;='RETRATO 2027'!$K$5,"EM ANDAMENTO","A INICIAR")))</f>
        <v>CONCLUÍDA</v>
      </c>
    </row>
    <row r="1558" customFormat="false" ht="15" hidden="false" customHeight="false" outlineLevel="0" collapsed="false">
      <c r="B1558" s="4" t="n">
        <v>28964554</v>
      </c>
      <c r="C1558" s="4" t="s">
        <v>2749</v>
      </c>
      <c r="D1558" s="4" t="s">
        <v>3543</v>
      </c>
      <c r="E1558" s="4" t="s">
        <v>3482</v>
      </c>
      <c r="F1558" s="127" t="n">
        <v>46280</v>
      </c>
      <c r="G1558" s="127" t="n">
        <v>46280</v>
      </c>
      <c r="H1558" s="127" t="n">
        <v>46293</v>
      </c>
      <c r="I1558" s="4" t="n">
        <v>0</v>
      </c>
      <c r="J1558" s="4" t="n">
        <v>100</v>
      </c>
      <c r="K1558" s="4" t="n">
        <v>0</v>
      </c>
      <c r="M1558" s="2" t="str">
        <f aca="false">IF(C1558="","",IFERROR(INDEX($S$5:$S$304,MATCH(C1558,$R$5:$R$304,0))&amp;"","?"))</f>
        <v>17</v>
      </c>
      <c r="N1558" s="2" t="str">
        <f aca="false"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 t="str">
        <f aca="false">IF(OR(F1558="",G1558=""),"",IF(G1558&lt;='RETRATO 2027'!$K$5,"CONCLUÍDA",IF(F1558&lt;='RETRATO 2027'!$K$5,"EM ANDAMENTO","A INICIAR")))</f>
        <v>CONCLUÍDA</v>
      </c>
    </row>
    <row r="1559" customFormat="false" ht="15" hidden="false" customHeight="false" outlineLevel="0" collapsed="false">
      <c r="B1559" s="4" t="n">
        <v>28964555</v>
      </c>
      <c r="C1559" s="4" t="s">
        <v>2749</v>
      </c>
      <c r="D1559" s="4" t="s">
        <v>3498</v>
      </c>
      <c r="E1559" s="4" t="s">
        <v>3482</v>
      </c>
      <c r="F1559" s="127" t="n">
        <v>46281</v>
      </c>
      <c r="G1559" s="127" t="n">
        <v>46286</v>
      </c>
      <c r="H1559" s="127" t="n">
        <v>46293</v>
      </c>
      <c r="I1559" s="4" t="n">
        <v>0</v>
      </c>
      <c r="J1559" s="4" t="n">
        <v>100</v>
      </c>
      <c r="K1559" s="4" t="n">
        <v>0</v>
      </c>
      <c r="M1559" s="2" t="str">
        <f aca="false">IF(C1559="","",IFERROR(INDEX($S$5:$S$304,MATCH(C1559,$R$5:$R$304,0))&amp;"","?"))</f>
        <v>17</v>
      </c>
      <c r="N1559" s="2" t="str">
        <f aca="false"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 t="str">
        <f aca="false">IF(OR(F1559="",G1559=""),"",IF(G1559&lt;='RETRATO 2027'!$K$5,"CONCLUÍDA",IF(F1559&lt;='RETRATO 2027'!$K$5,"EM ANDAMENTO","A INICIAR")))</f>
        <v>CONCLUÍDA</v>
      </c>
    </row>
    <row r="1560" customFormat="false" ht="15" hidden="false" customHeight="false" outlineLevel="0" collapsed="false">
      <c r="B1560" s="4" t="n">
        <v>28964556</v>
      </c>
      <c r="C1560" s="4" t="s">
        <v>2749</v>
      </c>
      <c r="D1560" s="4" t="s">
        <v>3711</v>
      </c>
      <c r="E1560" s="4" t="s">
        <v>3482</v>
      </c>
      <c r="F1560" s="127" t="n">
        <v>46287</v>
      </c>
      <c r="G1560" s="127" t="n">
        <v>46289</v>
      </c>
      <c r="H1560" s="127" t="n">
        <v>46293</v>
      </c>
      <c r="I1560" s="4" t="n">
        <v>0</v>
      </c>
      <c r="J1560" s="4" t="n">
        <v>100</v>
      </c>
      <c r="K1560" s="4" t="n">
        <v>0</v>
      </c>
      <c r="M1560" s="2" t="str">
        <f aca="false">IF(C1560="","",IFERROR(INDEX($S$5:$S$304,MATCH(C1560,$R$5:$R$304,0))&amp;"","?"))</f>
        <v>17</v>
      </c>
      <c r="N1560" s="2" t="str">
        <f aca="false"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 t="str">
        <f aca="false">IF(OR(F1560="",G1560=""),"",IF(G1560&lt;='RETRATO 2027'!$K$5,"CONCLUÍDA",IF(F1560&lt;='RETRATO 2027'!$K$5,"EM ANDAMENTO","A INICIAR")))</f>
        <v>CONCLUÍDA</v>
      </c>
    </row>
    <row r="1561" customFormat="false" ht="15" hidden="false" customHeight="false" outlineLevel="0" collapsed="false">
      <c r="B1561" s="4" t="n">
        <v>28964557</v>
      </c>
      <c r="C1561" s="4" t="s">
        <v>2749</v>
      </c>
      <c r="D1561" s="4" t="s">
        <v>3563</v>
      </c>
      <c r="E1561" s="4" t="s">
        <v>3482</v>
      </c>
      <c r="F1561" s="127" t="n">
        <v>46290</v>
      </c>
      <c r="G1561" s="127" t="n">
        <v>46290</v>
      </c>
      <c r="H1561" s="127" t="n">
        <v>46293</v>
      </c>
      <c r="I1561" s="4" t="n">
        <v>0</v>
      </c>
      <c r="J1561" s="4" t="n">
        <v>100</v>
      </c>
      <c r="K1561" s="4" t="n">
        <v>0</v>
      </c>
      <c r="M1561" s="2" t="str">
        <f aca="false">IF(C1561="","",IFERROR(INDEX($S$5:$S$304,MATCH(C1561,$R$5:$R$304,0))&amp;"","?"))</f>
        <v>17</v>
      </c>
      <c r="N1561" s="2" t="str">
        <f aca="false"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 t="str">
        <f aca="false">IF(OR(F1561="",G1561=""),"",IF(G1561&lt;='RETRATO 2027'!$K$5,"CONCLUÍDA",IF(F1561&lt;='RETRATO 2027'!$K$5,"EM ANDAMENTO","A INICIAR")))</f>
        <v>CONCLUÍDA</v>
      </c>
    </row>
    <row r="1562" customFormat="false" ht="15" hidden="false" customHeight="false" outlineLevel="0" collapsed="false">
      <c r="B1562" s="4" t="n">
        <v>47424083</v>
      </c>
      <c r="C1562" s="4" t="s">
        <v>2853</v>
      </c>
      <c r="D1562" s="4" t="s">
        <v>433</v>
      </c>
      <c r="E1562" s="4" t="s">
        <v>3482</v>
      </c>
      <c r="F1562" s="127" t="n">
        <v>46279</v>
      </c>
      <c r="G1562" s="127" t="n">
        <v>46314</v>
      </c>
      <c r="H1562" s="127" t="n">
        <v>46293</v>
      </c>
      <c r="I1562" s="4" t="n">
        <v>0</v>
      </c>
      <c r="J1562" s="4" t="n">
        <v>38.4614359</v>
      </c>
      <c r="K1562" s="4" t="n">
        <v>7.692</v>
      </c>
      <c r="M1562" s="2" t="str">
        <f aca="false">IF(C1562="","",IFERROR(INDEX($S$5:$S$304,MATCH(C1562,$R$5:$R$304,0))&amp;"","?"))</f>
        <v/>
      </c>
      <c r="N1562" s="2" t="str">
        <f aca="false"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 t="str">
        <f aca="false">IF(OR(F1562="",G1562=""),"",IF(G1562&lt;='RETRATO 2027'!$K$5,"CONCLUÍDA",IF(F1562&lt;='RETRATO 2027'!$K$5,"EM ANDAMENTO","A INICIAR")))</f>
        <v>CONCLUÍDA</v>
      </c>
    </row>
    <row r="1563" customFormat="false" ht="15" hidden="false" customHeight="false" outlineLevel="0" collapsed="false">
      <c r="B1563" s="4" t="n">
        <v>31426940</v>
      </c>
      <c r="C1563" s="4" t="s">
        <v>2853</v>
      </c>
      <c r="D1563" s="4" t="s">
        <v>2751</v>
      </c>
      <c r="E1563" s="4" t="s">
        <v>3482</v>
      </c>
      <c r="F1563" s="127" t="n">
        <v>46279</v>
      </c>
      <c r="G1563" s="127" t="n">
        <v>46297</v>
      </c>
      <c r="H1563" s="127" t="n">
        <v>46293</v>
      </c>
      <c r="I1563" s="4" t="n">
        <v>0</v>
      </c>
      <c r="J1563" s="4" t="n">
        <v>73.333</v>
      </c>
      <c r="K1563" s="4" t="n">
        <v>0</v>
      </c>
      <c r="M1563" s="2" t="str">
        <f aca="false">IF(C1563="","",IFERROR(INDEX($S$5:$S$304,MATCH(C1563,$R$5:$R$304,0))&amp;"","?"))</f>
        <v/>
      </c>
      <c r="N1563" s="2" t="str">
        <f aca="false"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 t="str">
        <f aca="false">IF(OR(F1563="",G1563=""),"",IF(G1563&lt;='RETRATO 2027'!$K$5,"CONCLUÍDA",IF(F1563&lt;='RETRATO 2027'!$K$5,"EM ANDAMENTO","A INICIAR")))</f>
        <v>CONCLUÍDA</v>
      </c>
    </row>
    <row r="1564" customFormat="false" ht="15" hidden="false" customHeight="false" outlineLevel="0" collapsed="false">
      <c r="B1564" s="4" t="n">
        <v>31426941</v>
      </c>
      <c r="C1564" s="4" t="s">
        <v>2853</v>
      </c>
      <c r="D1564" s="4" t="s">
        <v>163</v>
      </c>
      <c r="E1564" s="4" t="s">
        <v>3482</v>
      </c>
      <c r="F1564" s="127" t="n">
        <v>46288</v>
      </c>
      <c r="G1564" s="127" t="n">
        <v>46296</v>
      </c>
      <c r="H1564" s="127" t="n">
        <v>46293</v>
      </c>
      <c r="I1564" s="4" t="n">
        <v>0</v>
      </c>
      <c r="J1564" s="4" t="n">
        <v>57.143</v>
      </c>
      <c r="K1564" s="4" t="n">
        <v>42.857</v>
      </c>
      <c r="M1564" s="2" t="str">
        <f aca="false">IF(C1564="","",IFERROR(INDEX($S$5:$S$304,MATCH(C1564,$R$5:$R$304,0))&amp;"","?"))</f>
        <v/>
      </c>
      <c r="N1564" s="2" t="str">
        <f aca="false"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 t="str">
        <f aca="false">IF(OR(F1564="",G1564=""),"",IF(G1564&lt;='RETRATO 2027'!$K$5,"CONCLUÍDA",IF(F1564&lt;='RETRATO 2027'!$K$5,"EM ANDAMENTO","A INICIAR")))</f>
        <v>CONCLUÍDA</v>
      </c>
    </row>
    <row r="1565" customFormat="false" ht="15" hidden="false" customHeight="false" outlineLevel="0" collapsed="false">
      <c r="B1565" s="4" t="n">
        <v>31426942</v>
      </c>
      <c r="C1565" s="4" t="s">
        <v>2853</v>
      </c>
      <c r="D1565" s="4" t="s">
        <v>3712</v>
      </c>
      <c r="E1565" s="4" t="s">
        <v>3482</v>
      </c>
      <c r="F1565" s="127" t="n">
        <v>46297</v>
      </c>
      <c r="G1565" s="127" t="n">
        <v>46304</v>
      </c>
      <c r="H1565" s="127" t="n">
        <v>46293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/>
      </c>
      <c r="N1565" s="2" t="str">
        <f aca="false"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 t="str">
        <f aca="false">IF(OR(F1565="",G1565=""),"",IF(G1565&lt;='RETRATO 2027'!$K$5,"CONCLUÍDA",IF(F1565&lt;='RETRATO 2027'!$K$5,"EM ANDAMENTO","A INICIAR")))</f>
        <v>CONCLUÍDA</v>
      </c>
    </row>
    <row r="1566" customFormat="false" ht="15" hidden="false" customHeight="false" outlineLevel="0" collapsed="false">
      <c r="B1566" s="4" t="n">
        <v>31426943</v>
      </c>
      <c r="C1566" s="4" t="s">
        <v>2853</v>
      </c>
      <c r="D1566" s="4" t="s">
        <v>3713</v>
      </c>
      <c r="E1566" s="4" t="s">
        <v>3482</v>
      </c>
      <c r="F1566" s="127" t="n">
        <v>46308</v>
      </c>
      <c r="G1566" s="127" t="n">
        <v>46314</v>
      </c>
      <c r="H1566" s="127" t="n">
        <v>46293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/>
      </c>
      <c r="N1566" s="2" t="str">
        <f aca="false"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 t="str">
        <f aca="false">IF(OR(F1566="",G1566=""),"",IF(G1566&lt;='RETRATO 2027'!$K$5,"CONCLUÍDA",IF(F1566&lt;='RETRATO 2027'!$K$5,"EM ANDAMENTO","A INICIAR")))</f>
        <v>CONCLUÍDA</v>
      </c>
    </row>
    <row r="1567" customFormat="false" ht="15" hidden="false" customHeight="false" outlineLevel="0" collapsed="false">
      <c r="B1567" s="4" t="n">
        <v>31426944</v>
      </c>
      <c r="C1567" s="4" t="s">
        <v>2853</v>
      </c>
      <c r="D1567" s="4" t="s">
        <v>214</v>
      </c>
      <c r="E1567" s="4" t="s">
        <v>3482</v>
      </c>
      <c r="F1567" s="127" t="n">
        <v>46304</v>
      </c>
      <c r="G1567" s="127" t="n">
        <v>46311</v>
      </c>
      <c r="H1567" s="127" t="n">
        <v>46293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/>
      </c>
      <c r="N1567" s="2" t="str">
        <f aca="false"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 t="str">
        <f aca="false">IF(OR(F1567="",G1567=""),"",IF(G1567&lt;='RETRATO 2027'!$K$5,"CONCLUÍDA",IF(F1567&lt;='RETRATO 2027'!$K$5,"EM ANDAMENTO","A INICIAR")))</f>
        <v>CONCLUÍDA</v>
      </c>
    </row>
    <row r="1568" customFormat="false" ht="15" hidden="false" customHeight="false" outlineLevel="0" collapsed="false">
      <c r="B1568" s="4" t="n">
        <v>31426946</v>
      </c>
      <c r="C1568" s="4" t="s">
        <v>2853</v>
      </c>
      <c r="D1568" s="4" t="s">
        <v>3608</v>
      </c>
      <c r="E1568" s="4" t="s">
        <v>3482</v>
      </c>
      <c r="F1568" s="127" t="n">
        <v>46314</v>
      </c>
      <c r="G1568" s="127" t="n">
        <v>46314</v>
      </c>
      <c r="H1568" s="127" t="n">
        <v>46293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/>
      </c>
      <c r="N1568" s="2" t="str">
        <f aca="false"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 t="str">
        <f aca="false">IF(OR(F1568="",G1568=""),"",IF(G1568&lt;='RETRATO 2027'!$K$5,"CONCLUÍDA",IF(F1568&lt;='RETRATO 2027'!$K$5,"EM ANDAMENTO","A INICIAR")))</f>
        <v>CONCLUÍDA</v>
      </c>
    </row>
    <row r="1569" customFormat="false" ht="15" hidden="false" customHeight="false" outlineLevel="0" collapsed="false">
      <c r="B1569" s="4" t="n">
        <v>47373682</v>
      </c>
      <c r="C1569" s="4" t="s">
        <v>2855</v>
      </c>
      <c r="D1569" s="4" t="s">
        <v>433</v>
      </c>
      <c r="E1569" s="4" t="s">
        <v>3243</v>
      </c>
      <c r="F1569" s="127" t="n">
        <v>46279</v>
      </c>
      <c r="G1569" s="127" t="n">
        <v>46297</v>
      </c>
      <c r="H1569" s="127" t="n">
        <v>46293</v>
      </c>
      <c r="I1569" s="4" t="n">
        <v>0</v>
      </c>
      <c r="J1569" s="4" t="n">
        <v>73.33333333</v>
      </c>
      <c r="K1569" s="4" t="n">
        <v>0</v>
      </c>
      <c r="M1569" s="2" t="str">
        <f aca="false">IF(C1569="","",IFERROR(INDEX($S$5:$S$304,MATCH(C1569,$R$5:$R$304,0))&amp;"","?"))</f>
        <v>21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1</v>
      </c>
      <c r="O1569" s="2" t="str">
        <f aca="false">IF(OR(F1569="",G1569=""),"",IF(G1569&lt;='RETRATO 2027'!$K$5,"CONCLUÍDA",IF(F1569&lt;='RETRATO 2027'!$K$5,"EM ANDAMENTO","A INICIAR")))</f>
        <v>CONCLUÍDA</v>
      </c>
    </row>
    <row r="1570" customFormat="false" ht="15" hidden="false" customHeight="false" outlineLevel="0" collapsed="false">
      <c r="B1570" s="4" t="n">
        <v>31403901</v>
      </c>
      <c r="C1570" s="4" t="s">
        <v>2855</v>
      </c>
      <c r="D1570" s="4" t="s">
        <v>3595</v>
      </c>
      <c r="E1570" s="4" t="s">
        <v>3243</v>
      </c>
      <c r="F1570" s="127" t="n">
        <v>46279</v>
      </c>
      <c r="G1570" s="127" t="n">
        <v>46283</v>
      </c>
      <c r="H1570" s="127" t="n">
        <v>46293</v>
      </c>
      <c r="I1570" s="4" t="n">
        <v>0</v>
      </c>
      <c r="J1570" s="4" t="n">
        <v>100</v>
      </c>
      <c r="K1570" s="4" t="n">
        <v>0</v>
      </c>
      <c r="M1570" s="2" t="str">
        <f aca="false">IF(C1570="","",IFERROR(INDEX($S$5:$S$304,MATCH(C1570,$R$5:$R$304,0))&amp;"","?"))</f>
        <v>21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1</v>
      </c>
      <c r="O1570" s="2" t="str">
        <f aca="false">IF(OR(F1570="",G1570=""),"",IF(G1570&lt;='RETRATO 2027'!$K$5,"CONCLUÍDA",IF(F1570&lt;='RETRATO 2027'!$K$5,"EM ANDAMENTO","A INICIAR")))</f>
        <v>CONCLUÍDA</v>
      </c>
    </row>
    <row r="1571" customFormat="false" ht="15" hidden="false" customHeight="false" outlineLevel="0" collapsed="false">
      <c r="B1571" s="4" t="n">
        <v>31403902</v>
      </c>
      <c r="C1571" s="4" t="s">
        <v>2855</v>
      </c>
      <c r="D1571" s="4" t="s">
        <v>3714</v>
      </c>
      <c r="E1571" s="4" t="s">
        <v>3243</v>
      </c>
      <c r="F1571" s="127" t="n">
        <v>46286</v>
      </c>
      <c r="G1571" s="127" t="n">
        <v>46290</v>
      </c>
      <c r="H1571" s="127" t="n">
        <v>46293</v>
      </c>
      <c r="I1571" s="4" t="n">
        <v>0</v>
      </c>
      <c r="J1571" s="4" t="n">
        <v>100</v>
      </c>
      <c r="K1571" s="4" t="n">
        <v>0</v>
      </c>
      <c r="M1571" s="2" t="str">
        <f aca="false">IF(C1571="","",IFERROR(INDEX($S$5:$S$304,MATCH(C1571,$R$5:$R$304,0))&amp;"","?"))</f>
        <v>21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1</v>
      </c>
      <c r="O1571" s="2" t="str">
        <f aca="false">IF(OR(F1571="",G1571=""),"",IF(G1571&lt;='RETRATO 2027'!$K$5,"CONCLUÍDA",IF(F1571&lt;='RETRATO 2027'!$K$5,"EM ANDAMENTO","A INICIAR")))</f>
        <v>CONCLUÍDA</v>
      </c>
    </row>
    <row r="1572" customFormat="false" ht="15" hidden="false" customHeight="false" outlineLevel="0" collapsed="false">
      <c r="B1572" s="4" t="n">
        <v>31403903</v>
      </c>
      <c r="C1572" s="4" t="s">
        <v>2855</v>
      </c>
      <c r="D1572" s="4" t="s">
        <v>3715</v>
      </c>
      <c r="E1572" s="4" t="s">
        <v>3243</v>
      </c>
      <c r="F1572" s="127" t="n">
        <v>46293</v>
      </c>
      <c r="G1572" s="127" t="n">
        <v>46297</v>
      </c>
      <c r="H1572" s="127" t="n">
        <v>46293</v>
      </c>
      <c r="I1572" s="4" t="n">
        <v>0</v>
      </c>
      <c r="J1572" s="4" t="n">
        <v>20</v>
      </c>
      <c r="K1572" s="4" t="n">
        <v>0</v>
      </c>
      <c r="M1572" s="2" t="str">
        <f aca="false">IF(C1572="","",IFERROR(INDEX($S$5:$S$304,MATCH(C1572,$R$5:$R$304,0))&amp;"","?"))</f>
        <v>21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1</v>
      </c>
      <c r="O1572" s="2" t="str">
        <f aca="false">IF(OR(F1572="",G1572=""),"",IF(G1572&lt;='RETRATO 2027'!$K$5,"CONCLUÍDA",IF(F1572&lt;='RETRATO 2027'!$K$5,"EM ANDAMENTO","A INICIAR")))</f>
        <v>CONCLUÍDA</v>
      </c>
    </row>
    <row r="1573" customFormat="false" ht="15" hidden="false" customHeight="false" outlineLevel="0" collapsed="false">
      <c r="B1573" s="4" t="n">
        <v>26735657</v>
      </c>
      <c r="C1573" s="4" t="s">
        <v>2684</v>
      </c>
      <c r="D1573" s="4" t="s">
        <v>433</v>
      </c>
      <c r="E1573" s="4" t="s">
        <v>3655</v>
      </c>
      <c r="F1573" s="127" t="n">
        <v>46279</v>
      </c>
      <c r="G1573" s="127" t="n">
        <v>46314</v>
      </c>
      <c r="H1573" s="127" t="n">
        <v>46293</v>
      </c>
      <c r="I1573" s="4" t="n">
        <v>100</v>
      </c>
      <c r="J1573" s="4" t="n">
        <v>39.02436585</v>
      </c>
      <c r="K1573" s="4" t="n">
        <v>1.463</v>
      </c>
      <c r="M1573" s="2" t="str">
        <f aca="false">IF(C1573="","",IFERROR(INDEX($S$5:$S$304,MATCH(C1573,$R$5:$R$304,0))&amp;"","?"))</f>
        <v>17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3</v>
      </c>
      <c r="O1573" s="2" t="str">
        <f aca="false">IF(OR(F1573="",G1573=""),"",IF(G1573&lt;='RETRATO 2027'!$K$5,"CONCLUÍDA",IF(F1573&lt;='RETRATO 2027'!$K$5,"EM ANDAMENTO","A INICIAR")))</f>
        <v>CONCLUÍDA</v>
      </c>
    </row>
    <row r="1574" customFormat="false" ht="15" hidden="false" customHeight="false" outlineLevel="0" collapsed="false">
      <c r="B1574" s="4" t="n">
        <v>9522942</v>
      </c>
      <c r="C1574" s="4" t="s">
        <v>2684</v>
      </c>
      <c r="D1574" s="4" t="s">
        <v>3244</v>
      </c>
      <c r="E1574" s="4" t="s">
        <v>3655</v>
      </c>
      <c r="F1574" s="127" t="n">
        <v>46279</v>
      </c>
      <c r="G1574" s="127" t="n">
        <v>46287</v>
      </c>
      <c r="H1574" s="127" t="n">
        <v>46293</v>
      </c>
      <c r="I1574" s="4" t="n">
        <v>100</v>
      </c>
      <c r="J1574" s="4" t="n">
        <v>100</v>
      </c>
      <c r="K1574" s="4" t="n">
        <v>0</v>
      </c>
      <c r="M1574" s="2" t="str">
        <f aca="false">IF(C1574="","",IFERROR(INDEX($S$5:$S$304,MATCH(C1574,$R$5:$R$304,0))&amp;"","?"))</f>
        <v>17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3</v>
      </c>
      <c r="O1574" s="2" t="str">
        <f aca="false">IF(OR(F1574="",G1574=""),"",IF(G1574&lt;='RETRATO 2027'!$K$5,"CONCLUÍDA",IF(F1574&lt;='RETRATO 2027'!$K$5,"EM ANDAMENTO","A INICIAR")))</f>
        <v>CONCLUÍDA</v>
      </c>
    </row>
    <row r="1575" customFormat="false" ht="15" hidden="false" customHeight="false" outlineLevel="0" collapsed="false">
      <c r="B1575" s="4" t="n">
        <v>9522943</v>
      </c>
      <c r="C1575" s="4" t="s">
        <v>2684</v>
      </c>
      <c r="D1575" s="4" t="s">
        <v>3245</v>
      </c>
      <c r="E1575" s="4" t="s">
        <v>3655</v>
      </c>
      <c r="F1575" s="127" t="n">
        <v>46287</v>
      </c>
      <c r="G1575" s="127" t="n">
        <v>46294</v>
      </c>
      <c r="H1575" s="127" t="n">
        <v>46293</v>
      </c>
      <c r="I1575" s="4" t="n">
        <v>100</v>
      </c>
      <c r="J1575" s="4" t="n">
        <v>83.333</v>
      </c>
      <c r="K1575" s="4" t="n">
        <v>10</v>
      </c>
      <c r="M1575" s="2" t="str">
        <f aca="false">IF(C1575="","",IFERROR(INDEX($S$5:$S$304,MATCH(C1575,$R$5:$R$304,0))&amp;"","?"))</f>
        <v>17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3</v>
      </c>
      <c r="O1575" s="2" t="str">
        <f aca="false">IF(OR(F1575="",G1575=""),"",IF(G1575&lt;='RETRATO 2027'!$K$5,"CONCLUÍDA",IF(F1575&lt;='RETRATO 2027'!$K$5,"EM ANDAMENTO","A INICIAR")))</f>
        <v>CONCLUÍDA</v>
      </c>
    </row>
    <row r="1576" customFormat="false" ht="15" hidden="false" customHeight="false" outlineLevel="0" collapsed="false">
      <c r="B1576" s="4" t="n">
        <v>9522944</v>
      </c>
      <c r="C1576" s="4" t="s">
        <v>2684</v>
      </c>
      <c r="D1576" s="4" t="s">
        <v>3246</v>
      </c>
      <c r="E1576" s="4" t="s">
        <v>3655</v>
      </c>
      <c r="F1576" s="127" t="n">
        <v>46288</v>
      </c>
      <c r="G1576" s="127" t="n">
        <v>46296</v>
      </c>
      <c r="H1576" s="127" t="n">
        <v>46293</v>
      </c>
      <c r="I1576" s="4" t="n">
        <v>100</v>
      </c>
      <c r="J1576" s="4" t="n">
        <v>57.143</v>
      </c>
      <c r="K1576" s="4" t="n">
        <v>0</v>
      </c>
      <c r="M1576" s="2" t="str">
        <f aca="false">IF(C1576="","",IFERROR(INDEX($S$5:$S$304,MATCH(C1576,$R$5:$R$304,0))&amp;"","?"))</f>
        <v>17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3</v>
      </c>
      <c r="O1576" s="2" t="str">
        <f aca="false">IF(OR(F1576="",G1576=""),"",IF(G1576&lt;='RETRATO 2027'!$K$5,"CONCLUÍDA",IF(F1576&lt;='RETRATO 2027'!$K$5,"EM ANDAMENTO","A INICIAR")))</f>
        <v>CONCLUÍDA</v>
      </c>
    </row>
    <row r="1577" customFormat="false" ht="15" hidden="false" customHeight="false" outlineLevel="0" collapsed="false">
      <c r="B1577" s="4" t="n">
        <v>9522945</v>
      </c>
      <c r="C1577" s="4" t="s">
        <v>2684</v>
      </c>
      <c r="D1577" s="4" t="s">
        <v>3247</v>
      </c>
      <c r="E1577" s="4" t="s">
        <v>3655</v>
      </c>
      <c r="F1577" s="127" t="n">
        <v>46297</v>
      </c>
      <c r="G1577" s="127" t="n">
        <v>46297</v>
      </c>
      <c r="H1577" s="127" t="n">
        <v>46293</v>
      </c>
      <c r="I1577" s="4" t="n">
        <v>100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17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3</v>
      </c>
      <c r="O1577" s="2" t="str">
        <f aca="false">IF(OR(F1577="",G1577=""),"",IF(G1577&lt;='RETRATO 2027'!$K$5,"CONCLUÍDA",IF(F1577&lt;='RETRATO 2027'!$K$5,"EM ANDAMENTO","A INICIAR")))</f>
        <v>CONCLUÍDA</v>
      </c>
    </row>
    <row r="1578" customFormat="false" ht="15" hidden="false" customHeight="false" outlineLevel="0" collapsed="false">
      <c r="B1578" s="4" t="n">
        <v>9522946</v>
      </c>
      <c r="C1578" s="4" t="s">
        <v>2684</v>
      </c>
      <c r="D1578" s="4" t="s">
        <v>3248</v>
      </c>
      <c r="E1578" s="4" t="s">
        <v>3655</v>
      </c>
      <c r="F1578" s="127" t="n">
        <v>46300</v>
      </c>
      <c r="G1578" s="127" t="n">
        <v>46310</v>
      </c>
      <c r="H1578" s="127" t="n">
        <v>46293</v>
      </c>
      <c r="I1578" s="4" t="n">
        <v>100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17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3</v>
      </c>
      <c r="O1578" s="2" t="str">
        <f aca="false">IF(OR(F1578="",G1578=""),"",IF(G1578&lt;='RETRATO 2027'!$K$5,"CONCLUÍDA",IF(F1578&lt;='RETRATO 2027'!$K$5,"EM ANDAMENTO","A INICIAR")))</f>
        <v>CONCLUÍDA</v>
      </c>
    </row>
    <row r="1579" customFormat="false" ht="15" hidden="false" customHeight="false" outlineLevel="0" collapsed="false">
      <c r="B1579" s="4" t="n">
        <v>9522947</v>
      </c>
      <c r="C1579" s="4" t="s">
        <v>2684</v>
      </c>
      <c r="D1579" s="4" t="s">
        <v>3249</v>
      </c>
      <c r="E1579" s="4" t="s">
        <v>3655</v>
      </c>
      <c r="F1579" s="127" t="n">
        <v>46301</v>
      </c>
      <c r="G1579" s="127" t="n">
        <v>46310</v>
      </c>
      <c r="H1579" s="127" t="n">
        <v>46293</v>
      </c>
      <c r="I1579" s="4" t="n">
        <v>100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17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3</v>
      </c>
      <c r="O1579" s="2" t="str">
        <f aca="false">IF(OR(F1579="",G1579=""),"",IF(G1579&lt;='RETRATO 2027'!$K$5,"CONCLUÍDA",IF(F1579&lt;='RETRATO 2027'!$K$5,"EM ANDAMENTO","A INICIAR")))</f>
        <v>CONCLUÍDA</v>
      </c>
    </row>
    <row r="1580" customFormat="false" ht="15" hidden="false" customHeight="false" outlineLevel="0" collapsed="false">
      <c r="B1580" s="4" t="n">
        <v>9522948</v>
      </c>
      <c r="C1580" s="4" t="s">
        <v>2684</v>
      </c>
      <c r="D1580" s="4" t="s">
        <v>3250</v>
      </c>
      <c r="E1580" s="4" t="s">
        <v>3655</v>
      </c>
      <c r="F1580" s="127" t="n">
        <v>46309</v>
      </c>
      <c r="G1580" s="127" t="n">
        <v>46310</v>
      </c>
      <c r="H1580" s="127" t="n">
        <v>46293</v>
      </c>
      <c r="I1580" s="4" t="n">
        <v>100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17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3</v>
      </c>
      <c r="O1580" s="2" t="str">
        <f aca="false">IF(OR(F1580="",G1580=""),"",IF(G1580&lt;='RETRATO 2027'!$K$5,"CONCLUÍDA",IF(F1580&lt;='RETRATO 2027'!$K$5,"EM ANDAMENTO","A INICIAR")))</f>
        <v>CONCLUÍDA</v>
      </c>
    </row>
    <row r="1581" customFormat="false" ht="15" hidden="false" customHeight="false" outlineLevel="0" collapsed="false">
      <c r="B1581" s="4" t="n">
        <v>9522949</v>
      </c>
      <c r="C1581" s="4" t="s">
        <v>2684</v>
      </c>
      <c r="D1581" s="4" t="s">
        <v>3251</v>
      </c>
      <c r="E1581" s="4" t="s">
        <v>3655</v>
      </c>
      <c r="F1581" s="127" t="n">
        <v>46310</v>
      </c>
      <c r="G1581" s="127" t="n">
        <v>46311</v>
      </c>
      <c r="H1581" s="127" t="n">
        <v>46293</v>
      </c>
      <c r="I1581" s="4" t="n">
        <v>100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17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3</v>
      </c>
      <c r="O1581" s="2" t="str">
        <f aca="false">IF(OR(F1581="",G1581=""),"",IF(G1581&lt;='RETRATO 2027'!$K$5,"CONCLUÍDA",IF(F1581&lt;='RETRATO 2027'!$K$5,"EM ANDAMENTO","A INICIAR")))</f>
        <v>CONCLUÍDA</v>
      </c>
    </row>
    <row r="1582" customFormat="false" ht="15" hidden="false" customHeight="false" outlineLevel="0" collapsed="false">
      <c r="B1582" s="4" t="n">
        <v>9522950</v>
      </c>
      <c r="C1582" s="4" t="s">
        <v>2684</v>
      </c>
      <c r="D1582" s="4" t="s">
        <v>3252</v>
      </c>
      <c r="E1582" s="4" t="s">
        <v>3655</v>
      </c>
      <c r="F1582" s="127" t="n">
        <v>46314</v>
      </c>
      <c r="G1582" s="127" t="n">
        <v>46314</v>
      </c>
      <c r="H1582" s="127" t="n">
        <v>46293</v>
      </c>
      <c r="I1582" s="4" t="n">
        <v>100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17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3</v>
      </c>
      <c r="O1582" s="2" t="str">
        <f aca="false">IF(OR(F1582="",G1582=""),"",IF(G1582&lt;='RETRATO 2027'!$K$5,"CONCLUÍDA",IF(F1582&lt;='RETRATO 2027'!$K$5,"EM ANDAMENTO","A INICIAR")))</f>
        <v>CONCLUÍDA</v>
      </c>
    </row>
    <row r="1583" customFormat="false" ht="15" hidden="false" customHeight="false" outlineLevel="0" collapsed="false">
      <c r="B1583" s="4" t="n">
        <v>44968767</v>
      </c>
      <c r="C1583" s="4" t="s">
        <v>2826</v>
      </c>
      <c r="D1583" s="4" t="s">
        <v>433</v>
      </c>
      <c r="E1583" s="4" t="s">
        <v>3449</v>
      </c>
      <c r="F1583" s="127" t="n">
        <v>46280</v>
      </c>
      <c r="G1583" s="127" t="n">
        <v>46288</v>
      </c>
      <c r="H1583" s="127" t="n">
        <v>46293</v>
      </c>
      <c r="I1583" s="4" t="n">
        <v>0</v>
      </c>
      <c r="J1583" s="4" t="n">
        <v>100</v>
      </c>
      <c r="K1583" s="4" t="n">
        <v>60</v>
      </c>
      <c r="M1583" s="2" t="str">
        <f aca="false">IF(C1583="","",IFERROR(INDEX($S$5:$S$304,MATCH(C1583,$R$5:$R$304,0))&amp;"","?"))</f>
        <v>21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-2</v>
      </c>
      <c r="O1583" s="2" t="str">
        <f aca="false">IF(OR(F1583="",G1583=""),"",IF(G1583&lt;='RETRATO 2027'!$K$5,"CONCLUÍDA",IF(F1583&lt;='RETRATO 2027'!$K$5,"EM ANDAMENTO","A INICIAR")))</f>
        <v>CONCLUÍDA</v>
      </c>
    </row>
    <row r="1584" customFormat="false" ht="15" hidden="false" customHeight="false" outlineLevel="0" collapsed="false">
      <c r="B1584" s="4" t="n">
        <v>26750531</v>
      </c>
      <c r="C1584" s="4" t="s">
        <v>163</v>
      </c>
      <c r="D1584" s="4" t="s">
        <v>433</v>
      </c>
      <c r="E1584" s="4" t="s">
        <v>3597</v>
      </c>
      <c r="F1584" s="127" t="n">
        <v>46280</v>
      </c>
      <c r="G1584" s="127" t="n">
        <v>46289</v>
      </c>
      <c r="H1584" s="127" t="n">
        <v>46293</v>
      </c>
      <c r="I1584" s="4" t="n">
        <v>0</v>
      </c>
      <c r="J1584" s="4" t="n">
        <v>100</v>
      </c>
      <c r="K1584" s="4" t="n">
        <v>100</v>
      </c>
      <c r="M1584" s="2" t="str">
        <f aca="false">IF(C1584="","",IFERROR(INDEX($S$5:$S$304,MATCH(C1584,$R$5:$R$304,0))&amp;"","?"))</f>
        <v>18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-2</v>
      </c>
      <c r="O1584" s="2" t="str">
        <f aca="false">IF(OR(F1584="",G1584=""),"",IF(G1584&lt;='RETRATO 2027'!$K$5,"CONCLUÍDA",IF(F1584&lt;='RETRATO 2027'!$K$5,"EM ANDAMENTO","A INICIAR")))</f>
        <v>CONCLUÍDA</v>
      </c>
    </row>
    <row r="1585" customFormat="false" ht="15" hidden="false" customHeight="false" outlineLevel="0" collapsed="false">
      <c r="B1585" s="4" t="n">
        <v>26743725</v>
      </c>
      <c r="C1585" s="4" t="s">
        <v>163</v>
      </c>
      <c r="D1585" s="4" t="s">
        <v>433</v>
      </c>
      <c r="E1585" s="4" t="s">
        <v>3466</v>
      </c>
      <c r="F1585" s="127" t="n">
        <v>46280</v>
      </c>
      <c r="G1585" s="127" t="n">
        <v>46308</v>
      </c>
      <c r="H1585" s="127" t="n">
        <v>46293</v>
      </c>
      <c r="I1585" s="4" t="n">
        <v>0</v>
      </c>
      <c r="J1585" s="4" t="n">
        <v>50</v>
      </c>
      <c r="K1585" s="4" t="n">
        <v>45</v>
      </c>
      <c r="M1585" s="2" t="str">
        <f aca="false">IF(C1585="","",IFERROR(INDEX($S$5:$S$304,MATCH(C1585,$R$5:$R$304,0))&amp;"","?"))</f>
        <v>18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-1</v>
      </c>
      <c r="O1585" s="2" t="str">
        <f aca="false">IF(OR(F1585="",G1585=""),"",IF(G1585&lt;='RETRATO 2027'!$K$5,"CONCLUÍDA",IF(F1585&lt;='RETRATO 2027'!$K$5,"EM ANDAMENTO","A INICIAR")))</f>
        <v>CONCLUÍDA</v>
      </c>
    </row>
    <row r="1586" customFormat="false" ht="15" hidden="false" customHeight="false" outlineLevel="0" collapsed="false">
      <c r="B1586" s="4" t="n">
        <v>26743647</v>
      </c>
      <c r="C1586" s="4" t="s">
        <v>163</v>
      </c>
      <c r="D1586" s="4" t="s">
        <v>433</v>
      </c>
      <c r="E1586" s="4" t="s">
        <v>3668</v>
      </c>
      <c r="F1586" s="127" t="n">
        <v>46286</v>
      </c>
      <c r="G1586" s="127" t="n">
        <v>46295</v>
      </c>
      <c r="H1586" s="127" t="n">
        <v>46293</v>
      </c>
      <c r="I1586" s="4" t="n">
        <v>100</v>
      </c>
      <c r="J1586" s="4" t="n">
        <v>75</v>
      </c>
      <c r="K1586" s="4" t="n">
        <v>62.5</v>
      </c>
      <c r="M1586" s="2" t="str">
        <f aca="false">IF(C1586="","",IFERROR(INDEX($S$5:$S$304,MATCH(C1586,$R$5:$R$304,0))&amp;"","?"))</f>
        <v>18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4</v>
      </c>
      <c r="O1586" s="2" t="str">
        <f aca="false">IF(OR(F1586="",G1586=""),"",IF(G1586&lt;='RETRATO 2027'!$K$5,"CONCLUÍDA",IF(F1586&lt;='RETRATO 2027'!$K$5,"EM ANDAMENTO","A INICIAR")))</f>
        <v>CONCLUÍDA</v>
      </c>
    </row>
    <row r="1587" customFormat="false" ht="15" hidden="false" customHeight="false" outlineLevel="0" collapsed="false">
      <c r="B1587" s="4" t="n">
        <v>24939541</v>
      </c>
      <c r="C1587" s="4" t="s">
        <v>2705</v>
      </c>
      <c r="D1587" s="4" t="s">
        <v>433</v>
      </c>
      <c r="E1587" s="4" t="s">
        <v>3716</v>
      </c>
      <c r="F1587" s="127" t="n">
        <v>46286</v>
      </c>
      <c r="G1587" s="127" t="n">
        <v>46294</v>
      </c>
      <c r="H1587" s="127" t="n">
        <v>46293</v>
      </c>
      <c r="I1587" s="4" t="n">
        <v>100</v>
      </c>
      <c r="J1587" s="4" t="n">
        <v>88.23535294</v>
      </c>
      <c r="K1587" s="4" t="n">
        <v>92.941</v>
      </c>
      <c r="M1587" s="2" t="str">
        <f aca="false">IF(C1587="","",IFERROR(INDEX($S$5:$S$304,MATCH(C1587,$R$5:$R$304,0))&amp;"","?"))</f>
        <v>17</v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9</v>
      </c>
      <c r="O1587" s="2" t="str">
        <f aca="false">IF(OR(F1587="",G1587=""),"",IF(G1587&lt;='RETRATO 2027'!$K$5,"CONCLUÍDA",IF(F1587&lt;='RETRATO 2027'!$K$5,"EM ANDAMENTO","A INICIAR")))</f>
        <v>CONCLUÍDA</v>
      </c>
    </row>
    <row r="1588" customFormat="false" ht="15" hidden="false" customHeight="false" outlineLevel="0" collapsed="false">
      <c r="B1588" s="4" t="n">
        <v>9360140</v>
      </c>
      <c r="C1588" s="4" t="s">
        <v>2705</v>
      </c>
      <c r="D1588" s="4" t="s">
        <v>3244</v>
      </c>
      <c r="E1588" s="4" t="s">
        <v>3716</v>
      </c>
      <c r="F1588" s="127" t="n">
        <v>46286</v>
      </c>
      <c r="G1588" s="127" t="n">
        <v>46288</v>
      </c>
      <c r="H1588" s="127" t="n">
        <v>46293</v>
      </c>
      <c r="I1588" s="4" t="n">
        <v>100</v>
      </c>
      <c r="J1588" s="4" t="n">
        <v>100</v>
      </c>
      <c r="K1588" s="4" t="n">
        <v>100</v>
      </c>
      <c r="M1588" s="2" t="str">
        <f aca="false">IF(C1588="","",IFERROR(INDEX($S$5:$S$304,MATCH(C1588,$R$5:$R$304,0))&amp;"","?"))</f>
        <v>17</v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9</v>
      </c>
      <c r="O1588" s="2" t="str">
        <f aca="false">IF(OR(F1588="",G1588=""),"",IF(G1588&lt;='RETRATO 2027'!$K$5,"CONCLUÍDA",IF(F1588&lt;='RETRATO 2027'!$K$5,"EM ANDAMENTO","A INICIAR")))</f>
        <v>CONCLUÍDA</v>
      </c>
    </row>
    <row r="1589" customFormat="false" ht="15" hidden="false" customHeight="false" outlineLevel="0" collapsed="false">
      <c r="B1589" s="4" t="n">
        <v>9360141</v>
      </c>
      <c r="C1589" s="4" t="s">
        <v>2705</v>
      </c>
      <c r="D1589" s="4" t="s">
        <v>3245</v>
      </c>
      <c r="E1589" s="4" t="s">
        <v>3716</v>
      </c>
      <c r="F1589" s="127" t="n">
        <v>46286</v>
      </c>
      <c r="G1589" s="127" t="n">
        <v>46288</v>
      </c>
      <c r="H1589" s="127" t="n">
        <v>46293</v>
      </c>
      <c r="I1589" s="4" t="n">
        <v>100</v>
      </c>
      <c r="J1589" s="4" t="n">
        <v>100</v>
      </c>
      <c r="K1589" s="4" t="n">
        <v>100</v>
      </c>
      <c r="M1589" s="2" t="str">
        <f aca="false">IF(C1589="","",IFERROR(INDEX($S$5:$S$304,MATCH(C1589,$R$5:$R$304,0))&amp;"","?"))</f>
        <v>17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9</v>
      </c>
      <c r="O1589" s="2" t="str">
        <f aca="false">IF(OR(F1589="",G1589=""),"",IF(G1589&lt;='RETRATO 2027'!$K$5,"CONCLUÍDA",IF(F1589&lt;='RETRATO 2027'!$K$5,"EM ANDAMENTO","A INICIAR")))</f>
        <v>CONCLUÍDA</v>
      </c>
    </row>
    <row r="1590" customFormat="false" ht="15" hidden="false" customHeight="false" outlineLevel="0" collapsed="false">
      <c r="B1590" s="4" t="n">
        <v>9360142</v>
      </c>
      <c r="C1590" s="4" t="s">
        <v>2705</v>
      </c>
      <c r="D1590" s="4" t="s">
        <v>3246</v>
      </c>
      <c r="E1590" s="4" t="s">
        <v>3716</v>
      </c>
      <c r="F1590" s="127" t="n">
        <v>46287</v>
      </c>
      <c r="G1590" s="127" t="n">
        <v>46288</v>
      </c>
      <c r="H1590" s="127" t="n">
        <v>46293</v>
      </c>
      <c r="I1590" s="4" t="n">
        <v>100</v>
      </c>
      <c r="J1590" s="4" t="n">
        <v>100</v>
      </c>
      <c r="K1590" s="4" t="n">
        <v>100</v>
      </c>
      <c r="M1590" s="2" t="str">
        <f aca="false">IF(C1590="","",IFERROR(INDEX($S$5:$S$304,MATCH(C1590,$R$5:$R$304,0))&amp;"","?"))</f>
        <v>17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9</v>
      </c>
      <c r="O1590" s="2" t="str">
        <f aca="false">IF(OR(F1590="",G1590=""),"",IF(G1590&lt;='RETRATO 2027'!$K$5,"CONCLUÍDA",IF(F1590&lt;='RETRATO 2027'!$K$5,"EM ANDAMENTO","A INICIAR")))</f>
        <v>CONCLUÍDA</v>
      </c>
    </row>
    <row r="1591" customFormat="false" ht="15" hidden="false" customHeight="false" outlineLevel="0" collapsed="false">
      <c r="B1591" s="4" t="n">
        <v>9360143</v>
      </c>
      <c r="C1591" s="4" t="s">
        <v>2705</v>
      </c>
      <c r="D1591" s="4" t="s">
        <v>3247</v>
      </c>
      <c r="E1591" s="4" t="s">
        <v>3716</v>
      </c>
      <c r="F1591" s="127" t="n">
        <v>46289</v>
      </c>
      <c r="G1591" s="127" t="n">
        <v>46289</v>
      </c>
      <c r="H1591" s="127" t="n">
        <v>46293</v>
      </c>
      <c r="I1591" s="4" t="n">
        <v>100</v>
      </c>
      <c r="J1591" s="4" t="n">
        <v>100</v>
      </c>
      <c r="K1591" s="4" t="n">
        <v>100</v>
      </c>
      <c r="M1591" s="2" t="str">
        <f aca="false">IF(C1591="","",IFERROR(INDEX($S$5:$S$304,MATCH(C1591,$R$5:$R$304,0))&amp;"","?"))</f>
        <v>17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9</v>
      </c>
      <c r="O1591" s="2" t="str">
        <f aca="false">IF(OR(F1591="",G1591=""),"",IF(G1591&lt;='RETRATO 2027'!$K$5,"CONCLUÍDA",IF(F1591&lt;='RETRATO 2027'!$K$5,"EM ANDAMENTO","A INICIAR")))</f>
        <v>CONCLUÍDA</v>
      </c>
    </row>
    <row r="1592" customFormat="false" ht="15" hidden="false" customHeight="false" outlineLevel="0" collapsed="false">
      <c r="B1592" s="4" t="n">
        <v>9360144</v>
      </c>
      <c r="C1592" s="4" t="s">
        <v>2705</v>
      </c>
      <c r="D1592" s="4" t="s">
        <v>3248</v>
      </c>
      <c r="E1592" s="4" t="s">
        <v>3716</v>
      </c>
      <c r="F1592" s="127" t="n">
        <v>46290</v>
      </c>
      <c r="G1592" s="127" t="n">
        <v>46294</v>
      </c>
      <c r="H1592" s="127" t="n">
        <v>46293</v>
      </c>
      <c r="I1592" s="4" t="n">
        <v>100</v>
      </c>
      <c r="J1592" s="4" t="n">
        <v>66.667</v>
      </c>
      <c r="K1592" s="4" t="n">
        <v>100</v>
      </c>
      <c r="M1592" s="2" t="str">
        <f aca="false">IF(C1592="","",IFERROR(INDEX($S$5:$S$304,MATCH(C1592,$R$5:$R$304,0))&amp;"","?"))</f>
        <v>17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9</v>
      </c>
      <c r="O1592" s="2" t="str">
        <f aca="false">IF(OR(F1592="",G1592=""),"",IF(G1592&lt;='RETRATO 2027'!$K$5,"CONCLUÍDA",IF(F1592&lt;='RETRATO 2027'!$K$5,"EM ANDAMENTO","A INICIAR")))</f>
        <v>CONCLUÍDA</v>
      </c>
    </row>
    <row r="1593" customFormat="false" ht="15" hidden="false" customHeight="false" outlineLevel="0" collapsed="false">
      <c r="B1593" s="4" t="n">
        <v>9360145</v>
      </c>
      <c r="C1593" s="4" t="s">
        <v>2705</v>
      </c>
      <c r="D1593" s="4" t="s">
        <v>3249</v>
      </c>
      <c r="E1593" s="4" t="s">
        <v>3716</v>
      </c>
      <c r="F1593" s="127" t="n">
        <v>46293</v>
      </c>
      <c r="G1593" s="127" t="n">
        <v>46294</v>
      </c>
      <c r="H1593" s="127" t="n">
        <v>46293</v>
      </c>
      <c r="I1593" s="4" t="n">
        <v>100</v>
      </c>
      <c r="J1593" s="4" t="n">
        <v>50</v>
      </c>
      <c r="K1593" s="4" t="n">
        <v>90</v>
      </c>
      <c r="M1593" s="2" t="str">
        <f aca="false">IF(C1593="","",IFERROR(INDEX($S$5:$S$304,MATCH(C1593,$R$5:$R$304,0))&amp;"","?"))</f>
        <v>17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9</v>
      </c>
      <c r="O1593" s="2" t="str">
        <f aca="false">IF(OR(F1593="",G1593=""),"",IF(G1593&lt;='RETRATO 2027'!$K$5,"CONCLUÍDA",IF(F1593&lt;='RETRATO 2027'!$K$5,"EM ANDAMENTO","A INICIAR")))</f>
        <v>CONCLUÍDA</v>
      </c>
    </row>
    <row r="1594" customFormat="false" ht="15" hidden="false" customHeight="false" outlineLevel="0" collapsed="false">
      <c r="B1594" s="4" t="n">
        <v>9360146</v>
      </c>
      <c r="C1594" s="4" t="s">
        <v>2705</v>
      </c>
      <c r="D1594" s="4" t="s">
        <v>3250</v>
      </c>
      <c r="E1594" s="4" t="s">
        <v>3716</v>
      </c>
      <c r="F1594" s="127" t="n">
        <v>46290</v>
      </c>
      <c r="G1594" s="127" t="n">
        <v>46290</v>
      </c>
      <c r="H1594" s="127" t="n">
        <v>46293</v>
      </c>
      <c r="I1594" s="4" t="n">
        <v>100</v>
      </c>
      <c r="J1594" s="4" t="n">
        <v>100</v>
      </c>
      <c r="K1594" s="4" t="n">
        <v>100</v>
      </c>
      <c r="M1594" s="2" t="str">
        <f aca="false">IF(C1594="","",IFERROR(INDEX($S$5:$S$304,MATCH(C1594,$R$5:$R$304,0))&amp;"","?"))</f>
        <v>17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9</v>
      </c>
      <c r="O1594" s="2" t="str">
        <f aca="false">IF(OR(F1594="",G1594=""),"",IF(G1594&lt;='RETRATO 2027'!$K$5,"CONCLUÍDA",IF(F1594&lt;='RETRATO 2027'!$K$5,"EM ANDAMENTO","A INICIAR")))</f>
        <v>CONCLUÍDA</v>
      </c>
    </row>
    <row r="1595" customFormat="false" ht="15" hidden="false" customHeight="false" outlineLevel="0" collapsed="false">
      <c r="B1595" s="4" t="n">
        <v>9360147</v>
      </c>
      <c r="C1595" s="4" t="s">
        <v>2705</v>
      </c>
      <c r="D1595" s="4" t="s">
        <v>3251</v>
      </c>
      <c r="E1595" s="4" t="s">
        <v>3716</v>
      </c>
      <c r="F1595" s="127" t="n">
        <v>46290</v>
      </c>
      <c r="G1595" s="127" t="n">
        <v>46290</v>
      </c>
      <c r="H1595" s="127" t="n">
        <v>46293</v>
      </c>
      <c r="I1595" s="4" t="n">
        <v>100</v>
      </c>
      <c r="J1595" s="4" t="n">
        <v>100</v>
      </c>
      <c r="K1595" s="4" t="n">
        <v>100</v>
      </c>
      <c r="M1595" s="2" t="str">
        <f aca="false">IF(C1595="","",IFERROR(INDEX($S$5:$S$304,MATCH(C1595,$R$5:$R$304,0))&amp;"","?"))</f>
        <v>17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9</v>
      </c>
      <c r="O1595" s="2" t="str">
        <f aca="false">IF(OR(F1595="",G1595=""),"",IF(G1595&lt;='RETRATO 2027'!$K$5,"CONCLUÍDA",IF(F1595&lt;='RETRATO 2027'!$K$5,"EM ANDAMENTO","A INICIAR")))</f>
        <v>CONCLUÍDA</v>
      </c>
    </row>
    <row r="1596" customFormat="false" ht="15" hidden="false" customHeight="false" outlineLevel="0" collapsed="false">
      <c r="B1596" s="4" t="n">
        <v>9360148</v>
      </c>
      <c r="C1596" s="4" t="s">
        <v>2705</v>
      </c>
      <c r="D1596" s="4" t="s">
        <v>3252</v>
      </c>
      <c r="E1596" s="4" t="s">
        <v>3716</v>
      </c>
      <c r="F1596" s="127" t="n">
        <v>46293</v>
      </c>
      <c r="G1596" s="127" t="n">
        <v>46293</v>
      </c>
      <c r="H1596" s="127" t="n">
        <v>46293</v>
      </c>
      <c r="I1596" s="4" t="n">
        <v>100</v>
      </c>
      <c r="J1596" s="4" t="n">
        <v>100</v>
      </c>
      <c r="K1596" s="4" t="n">
        <v>0</v>
      </c>
      <c r="M1596" s="2" t="str">
        <f aca="false">IF(C1596="","",IFERROR(INDEX($S$5:$S$304,MATCH(C1596,$R$5:$R$304,0))&amp;"","?"))</f>
        <v>17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9</v>
      </c>
      <c r="O1596" s="2" t="str">
        <f aca="false">IF(OR(F1596="",G1596=""),"",IF(G1596&lt;='RETRATO 2027'!$K$5,"CONCLUÍDA",IF(F1596&lt;='RETRATO 2027'!$K$5,"EM ANDAMENTO","A INICIAR")))</f>
        <v>CONCLUÍDA</v>
      </c>
    </row>
    <row r="1597" customFormat="false" ht="15" hidden="false" customHeight="false" outlineLevel="0" collapsed="false">
      <c r="B1597" s="4" t="n">
        <v>26744954</v>
      </c>
      <c r="C1597" s="4" t="s">
        <v>2814</v>
      </c>
      <c r="D1597" s="4" t="s">
        <v>433</v>
      </c>
      <c r="E1597" s="4" t="s">
        <v>3671</v>
      </c>
      <c r="F1597" s="127" t="n">
        <v>46288</v>
      </c>
      <c r="G1597" s="127" t="n">
        <v>46297</v>
      </c>
      <c r="H1597" s="127" t="n">
        <v>46293</v>
      </c>
      <c r="I1597" s="4" t="n">
        <v>100</v>
      </c>
      <c r="J1597" s="4" t="n">
        <v>50</v>
      </c>
      <c r="K1597" s="4" t="n">
        <v>0</v>
      </c>
      <c r="M1597" s="2" t="str">
        <f aca="false">IF(C1597="","",IFERROR(INDEX($S$5:$S$304,MATCH(C1597,$R$5:$R$304,0))&amp;"","?"))</f>
        <v>28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-3</v>
      </c>
      <c r="O1597" s="2" t="str">
        <f aca="false">IF(OR(F1597="",G1597=""),"",IF(G1597&lt;='RETRATO 2027'!$K$5,"CONCLUÍDA",IF(F1597&lt;='RETRATO 2027'!$K$5,"EM ANDAMENTO","A INICIAR")))</f>
        <v>CONCLUÍDA</v>
      </c>
    </row>
    <row r="1598" customFormat="false" ht="15" hidden="false" customHeight="false" outlineLevel="0" collapsed="false">
      <c r="B1598" s="4" t="n">
        <v>26744969</v>
      </c>
      <c r="C1598" s="4" t="s">
        <v>2814</v>
      </c>
      <c r="D1598" s="4" t="s">
        <v>433</v>
      </c>
      <c r="E1598" s="4" t="s">
        <v>3558</v>
      </c>
      <c r="F1598" s="127" t="n">
        <v>46289</v>
      </c>
      <c r="G1598" s="127" t="n">
        <v>46300</v>
      </c>
      <c r="H1598" s="127" t="n">
        <v>46293</v>
      </c>
      <c r="I1598" s="4" t="n">
        <v>100</v>
      </c>
      <c r="J1598" s="4" t="n">
        <v>37.5</v>
      </c>
      <c r="K1598" s="4" t="n">
        <v>0</v>
      </c>
      <c r="M1598" s="2" t="str">
        <f aca="false">IF(C1598="","",IFERROR(INDEX($S$5:$S$304,MATCH(C1598,$R$5:$R$304,0))&amp;"","?"))</f>
        <v>28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-4</v>
      </c>
      <c r="O1598" s="2" t="str">
        <f aca="false">IF(OR(F1598="",G1598=""),"",IF(G1598&lt;='RETRATO 2027'!$K$5,"CONCLUÍDA",IF(F1598&lt;='RETRATO 2027'!$K$5,"EM ANDAMENTO","A INICIAR")))</f>
        <v>CONCLUÍDA</v>
      </c>
    </row>
    <row r="1599" customFormat="false" ht="15" hidden="false" customHeight="false" outlineLevel="0" collapsed="false">
      <c r="B1599" s="4" t="n">
        <v>26743772</v>
      </c>
      <c r="C1599" s="4" t="s">
        <v>2808</v>
      </c>
      <c r="D1599" s="4" t="s">
        <v>433</v>
      </c>
      <c r="E1599" s="4" t="s">
        <v>3473</v>
      </c>
      <c r="F1599" s="127" t="n">
        <v>46290</v>
      </c>
      <c r="G1599" s="127" t="n">
        <v>46335</v>
      </c>
      <c r="H1599" s="127" t="n">
        <v>46293</v>
      </c>
      <c r="I1599" s="4" t="n">
        <v>100</v>
      </c>
      <c r="J1599" s="4" t="n">
        <v>6.667</v>
      </c>
      <c r="K1599" s="4" t="n">
        <v>0</v>
      </c>
      <c r="M1599" s="2" t="str">
        <f aca="false">IF(C1599="","",IFERROR(INDEX($S$5:$S$304,MATCH(C1599,$R$5:$R$304,0))&amp;"","?"))</f>
        <v>29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-5</v>
      </c>
      <c r="O1599" s="2" t="str">
        <f aca="false">IF(OR(F1599="",G1599=""),"",IF(G1599&lt;='RETRATO 2027'!$K$5,"CONCLUÍDA",IF(F1599&lt;='RETRATO 2027'!$K$5,"EM ANDAMENTO","A INICIAR")))</f>
        <v>CONCLUÍDA</v>
      </c>
    </row>
    <row r="1600" customFormat="false" ht="15" hidden="false" customHeight="false" outlineLevel="0" collapsed="false">
      <c r="B1600" s="4" t="n">
        <v>26750532</v>
      </c>
      <c r="C1600" s="4" t="s">
        <v>2808</v>
      </c>
      <c r="D1600" s="4" t="s">
        <v>433</v>
      </c>
      <c r="E1600" s="4" t="s">
        <v>3597</v>
      </c>
      <c r="F1600" s="127" t="n">
        <v>46290</v>
      </c>
      <c r="G1600" s="127" t="n">
        <v>46301</v>
      </c>
      <c r="H1600" s="127" t="n">
        <v>46293</v>
      </c>
      <c r="I1600" s="4" t="n">
        <v>0</v>
      </c>
      <c r="J1600" s="4" t="n">
        <v>25</v>
      </c>
      <c r="K1600" s="4" t="n">
        <v>0</v>
      </c>
      <c r="M1600" s="2" t="str">
        <f aca="false">IF(C1600="","",IFERROR(INDEX($S$5:$S$304,MATCH(C1600,$R$5:$R$304,0))&amp;"","?"))</f>
        <v>29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-2</v>
      </c>
      <c r="O1600" s="2" t="str">
        <f aca="false">IF(OR(F1600="",G1600=""),"",IF(G1600&lt;='RETRATO 2027'!$K$5,"CONCLUÍDA",IF(F1600&lt;='RETRATO 2027'!$K$5,"EM ANDAMENTO","A INICIAR")))</f>
        <v>CONCLUÍDA</v>
      </c>
    </row>
    <row r="1601" customFormat="false" ht="15" hidden="false" customHeight="false" outlineLevel="0" collapsed="false">
      <c r="B1601" s="4" t="n">
        <v>34002018</v>
      </c>
      <c r="C1601" s="4" t="s">
        <v>2857</v>
      </c>
      <c r="D1601" s="4" t="s">
        <v>433</v>
      </c>
      <c r="E1601" s="4" t="s">
        <v>81</v>
      </c>
      <c r="F1601" s="127" t="n">
        <v>46293</v>
      </c>
      <c r="G1601" s="127" t="n">
        <v>46357</v>
      </c>
      <c r="H1601" s="127" t="n">
        <v>46293</v>
      </c>
      <c r="I1601" s="4" t="n">
        <v>100</v>
      </c>
      <c r="J1601" s="4" t="n">
        <v>2.273</v>
      </c>
      <c r="K1601" s="4" t="n">
        <v>0</v>
      </c>
      <c r="M1601" s="2" t="str">
        <f aca="false">IF(C1601="","",IFERROR(INDEX($S$5:$S$304,MATCH(C1601,$R$5:$R$304,0))&amp;"","?"))</f>
        <v>21</v>
      </c>
      <c r="N1601" s="2" t="str">
        <f aca="false"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 t="str">
        <f aca="false">IF(OR(F1601="",G1601=""),"",IF(G1601&lt;='RETRATO 2027'!$K$5,"CONCLUÍDA",IF(F1601&lt;='RETRATO 2027'!$K$5,"EM ANDAMENTO","A INICIAR")))</f>
        <v>CONCLUÍDA</v>
      </c>
    </row>
    <row r="1602" customFormat="false" ht="15" hidden="false" customHeight="false" outlineLevel="0" collapsed="false">
      <c r="B1602" s="4" t="n">
        <v>13785245</v>
      </c>
      <c r="C1602" s="4" t="s">
        <v>2857</v>
      </c>
      <c r="D1602" s="4" t="s">
        <v>3717</v>
      </c>
      <c r="E1602" s="4" t="s">
        <v>81</v>
      </c>
      <c r="F1602" s="127" t="n">
        <v>46293</v>
      </c>
      <c r="G1602" s="127" t="n">
        <v>46357</v>
      </c>
      <c r="H1602" s="127" t="n">
        <v>46293</v>
      </c>
      <c r="I1602" s="4" t="n">
        <v>100</v>
      </c>
      <c r="J1602" s="4" t="n">
        <v>2.273</v>
      </c>
      <c r="K1602" s="4" t="n">
        <v>0</v>
      </c>
      <c r="M1602" s="2" t="str">
        <f aca="false">IF(C1602="","",IFERROR(INDEX($S$5:$S$304,MATCH(C1602,$R$5:$R$304,0))&amp;"","?"))</f>
        <v>21</v>
      </c>
      <c r="N1602" s="2" t="str">
        <f aca="false"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 t="str">
        <f aca="false">IF(OR(F1602="",G1602=""),"",IF(G1602&lt;='RETRATO 2027'!$K$5,"CONCLUÍDA",IF(F1602&lt;='RETRATO 2027'!$K$5,"EM ANDAMENTO","A INICIAR")))</f>
        <v>CONCLUÍDA</v>
      </c>
    </row>
    <row r="1603" customFormat="false" ht="15" hidden="false" customHeight="false" outlineLevel="0" collapsed="false">
      <c r="B1603" s="4" t="n">
        <v>26744983</v>
      </c>
      <c r="C1603" s="4" t="s">
        <v>2808</v>
      </c>
      <c r="D1603" s="4" t="s">
        <v>433</v>
      </c>
      <c r="E1603" s="4" t="s">
        <v>3662</v>
      </c>
      <c r="F1603" s="127" t="n">
        <v>46293</v>
      </c>
      <c r="G1603" s="127" t="n">
        <v>46302</v>
      </c>
      <c r="H1603" s="127" t="n">
        <v>46293</v>
      </c>
      <c r="I1603" s="4" t="n">
        <v>100</v>
      </c>
      <c r="J1603" s="4" t="n">
        <v>12.5</v>
      </c>
      <c r="K1603" s="4" t="n">
        <v>0</v>
      </c>
      <c r="M1603" s="2" t="str">
        <f aca="false">IF(C1603="","",IFERROR(INDEX($S$5:$S$304,MATCH(C1603,$R$5:$R$304,0))&amp;"","?"))</f>
        <v>29</v>
      </c>
      <c r="N1603" s="2" t="n">
        <f aca="false">IF(E1603="","",IF(ISNUMBER(SEARCH("SUBSOLO",E1603)),IFERROR(-VALUE(LEFT(E1603,FIND("º",SUBSTITUTE(E1603,"°","º"))-1)),-1),IF(LEFT(E1603,6)="TÉRREO",0,IFERROR(VALUE(LEFT(E1603,FIND("º",SUBSTITUTE(E1603,"°","º"))-1)),""))))</f>
        <v>-5</v>
      </c>
      <c r="O1603" s="2" t="str">
        <f aca="false">IF(OR(F1603="",G1603=""),"",IF(G1603&lt;='RETRATO 2027'!$K$5,"CONCLUÍDA",IF(F1603&lt;='RETRATO 2027'!$K$5,"EM ANDAMENTO","A INICIAR")))</f>
        <v>CONCLUÍDA</v>
      </c>
    </row>
    <row r="1604" customFormat="false" ht="15" hidden="false" customHeight="false" outlineLevel="0" collapsed="false">
      <c r="B1604" s="4" t="n">
        <v>47424572</v>
      </c>
      <c r="C1604" s="4" t="s">
        <v>2860</v>
      </c>
      <c r="D1604" s="4" t="s">
        <v>433</v>
      </c>
      <c r="E1604" s="4" t="s">
        <v>3374</v>
      </c>
      <c r="F1604" s="127" t="n">
        <v>46293</v>
      </c>
      <c r="G1604" s="127" t="n">
        <v>46309</v>
      </c>
      <c r="H1604" s="127" t="n">
        <v>46293</v>
      </c>
      <c r="I1604" s="4" t="n">
        <v>0</v>
      </c>
      <c r="J1604" s="4" t="n">
        <v>8.3335</v>
      </c>
      <c r="K1604" s="4" t="n">
        <v>0</v>
      </c>
      <c r="M1604" s="2" t="str">
        <f aca="false">IF(C1604="","",IFERROR(INDEX($S$5:$S$304,MATCH(C1604,$R$5:$R$304,0))&amp;"","?"))</f>
        <v>19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-4</v>
      </c>
      <c r="O1604" s="2" t="str">
        <f aca="false">IF(OR(F1604="",G1604=""),"",IF(G1604&lt;='RETRATO 2027'!$K$5,"CONCLUÍDA",IF(F1604&lt;='RETRATO 2027'!$K$5,"EM ANDAMENTO","A INICIAR")))</f>
        <v>CONCLUÍDA</v>
      </c>
    </row>
    <row r="1605" customFormat="false" ht="15" hidden="false" customHeight="false" outlineLevel="0" collapsed="false">
      <c r="B1605" s="4" t="n">
        <v>31427281</v>
      </c>
      <c r="C1605" s="4" t="s">
        <v>2860</v>
      </c>
      <c r="D1605" s="4" t="s">
        <v>3718</v>
      </c>
      <c r="E1605" s="4" t="s">
        <v>3374</v>
      </c>
      <c r="F1605" s="127" t="n">
        <v>46293</v>
      </c>
      <c r="G1605" s="127" t="n">
        <v>46301</v>
      </c>
      <c r="H1605" s="127" t="n">
        <v>46293</v>
      </c>
      <c r="I1605" s="4" t="n">
        <v>0</v>
      </c>
      <c r="J1605" s="4" t="n">
        <v>14.286</v>
      </c>
      <c r="K1605" s="4" t="n">
        <v>0</v>
      </c>
      <c r="M1605" s="2" t="str">
        <f aca="false">IF(C1605="","",IFERROR(INDEX($S$5:$S$304,MATCH(C1605,$R$5:$R$304,0))&amp;"","?"))</f>
        <v>19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-4</v>
      </c>
      <c r="O1605" s="2" t="str">
        <f aca="false">IF(OR(F1605="",G1605=""),"",IF(G1605&lt;='RETRATO 2027'!$K$5,"CONCLUÍDA",IF(F1605&lt;='RETRATO 2027'!$K$5,"EM ANDAMENTO","A INICIAR")))</f>
        <v>CONCLUÍDA</v>
      </c>
    </row>
    <row r="1606" customFormat="false" ht="15" hidden="false" customHeight="false" outlineLevel="0" collapsed="false">
      <c r="B1606" s="4" t="n">
        <v>31427282</v>
      </c>
      <c r="C1606" s="4" t="s">
        <v>2860</v>
      </c>
      <c r="D1606" s="4" t="s">
        <v>3719</v>
      </c>
      <c r="E1606" s="4" t="s">
        <v>3374</v>
      </c>
      <c r="F1606" s="127" t="n">
        <v>46302</v>
      </c>
      <c r="G1606" s="127" t="n">
        <v>46304</v>
      </c>
      <c r="H1606" s="127" t="n">
        <v>46293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19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-4</v>
      </c>
      <c r="O1606" s="2" t="str">
        <f aca="false">IF(OR(F1606="",G1606=""),"",IF(G1606&lt;='RETRATO 2027'!$K$5,"CONCLUÍDA",IF(F1606&lt;='RETRATO 2027'!$K$5,"EM ANDAMENTO","A INICIAR")))</f>
        <v>CONCLUÍDA</v>
      </c>
    </row>
    <row r="1607" customFormat="false" ht="15" hidden="false" customHeight="false" outlineLevel="0" collapsed="false">
      <c r="B1607" s="4" t="n">
        <v>31427283</v>
      </c>
      <c r="C1607" s="4" t="s">
        <v>2860</v>
      </c>
      <c r="D1607" s="4" t="s">
        <v>3720</v>
      </c>
      <c r="E1607" s="4" t="s">
        <v>3374</v>
      </c>
      <c r="F1607" s="127" t="n">
        <v>46308</v>
      </c>
      <c r="G1607" s="127" t="n">
        <v>46308</v>
      </c>
      <c r="H1607" s="127" t="n">
        <v>46293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19</v>
      </c>
      <c r="N1607" s="2" t="n">
        <f aca="false">IF(E1607="","",IF(ISNUMBER(SEARCH("SUBSOLO",E1607)),IFERROR(-VALUE(LEFT(E1607,FIND("º",SUBSTITUTE(E1607,"°","º"))-1)),-1),IF(LEFT(E1607,6)="TÉRREO",0,IFERROR(VALUE(LEFT(E1607,FIND("º",SUBSTITUTE(E1607,"°","º"))-1)),""))))</f>
        <v>-4</v>
      </c>
      <c r="O1607" s="2" t="str">
        <f aca="false">IF(OR(F1607="",G1607=""),"",IF(G1607&lt;='RETRATO 2027'!$K$5,"CONCLUÍDA",IF(F1607&lt;='RETRATO 2027'!$K$5,"EM ANDAMENTO","A INICIAR")))</f>
        <v>CONCLUÍDA</v>
      </c>
    </row>
    <row r="1608" customFormat="false" ht="15" hidden="false" customHeight="false" outlineLevel="0" collapsed="false">
      <c r="B1608" s="4" t="n">
        <v>31427284</v>
      </c>
      <c r="C1608" s="4" t="s">
        <v>2860</v>
      </c>
      <c r="D1608" s="4" t="s">
        <v>3721</v>
      </c>
      <c r="E1608" s="4" t="s">
        <v>3374</v>
      </c>
      <c r="F1608" s="127" t="n">
        <v>46309</v>
      </c>
      <c r="G1608" s="127" t="n">
        <v>46309</v>
      </c>
      <c r="H1608" s="127" t="n">
        <v>46293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19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-4</v>
      </c>
      <c r="O1608" s="2" t="str">
        <f aca="false">IF(OR(F1608="",G1608=""),"",IF(G1608&lt;='RETRATO 2027'!$K$5,"CONCLUÍDA",IF(F1608&lt;='RETRATO 2027'!$K$5,"EM ANDAMENTO","A INICIAR")))</f>
        <v>CONCLUÍDA</v>
      </c>
    </row>
    <row r="1609" customFormat="false" ht="15" hidden="false" customHeight="false" outlineLevel="0" collapsed="false">
      <c r="B1609" s="4" t="n">
        <v>44888236</v>
      </c>
      <c r="C1609" s="4" t="s">
        <v>2749</v>
      </c>
      <c r="D1609" s="4" t="s">
        <v>433</v>
      </c>
      <c r="E1609" s="4" t="s">
        <v>3243</v>
      </c>
      <c r="F1609" s="127" t="n">
        <v>46293</v>
      </c>
      <c r="G1609" s="127" t="n">
        <v>46309</v>
      </c>
      <c r="H1609" s="127" t="n">
        <v>46293</v>
      </c>
      <c r="I1609" s="4" t="n">
        <v>0</v>
      </c>
      <c r="J1609" s="4" t="n">
        <v>8.33333333</v>
      </c>
      <c r="K1609" s="4" t="n">
        <v>0</v>
      </c>
      <c r="M1609" s="2" t="str">
        <f aca="false">IF(C1609="","",IFERROR(INDEX($S$5:$S$304,MATCH(C1609,$R$5:$R$304,0))&amp;"","?"))</f>
        <v>17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1</v>
      </c>
      <c r="O1609" s="2" t="str">
        <f aca="false">IF(OR(F1609="",G1609=""),"",IF(G1609&lt;='RETRATO 2027'!$K$5,"CONCLUÍDA",IF(F1609&lt;='RETRATO 2027'!$K$5,"EM ANDAMENTO","A INICIAR")))</f>
        <v>CONCLUÍDA</v>
      </c>
    </row>
    <row r="1610" customFormat="false" ht="15" hidden="false" customHeight="false" outlineLevel="0" collapsed="false">
      <c r="B1610" s="4" t="n">
        <v>28964558</v>
      </c>
      <c r="C1610" s="4" t="s">
        <v>2749</v>
      </c>
      <c r="D1610" s="4" t="s">
        <v>3548</v>
      </c>
      <c r="E1610" s="4" t="s">
        <v>3243</v>
      </c>
      <c r="F1610" s="127" t="n">
        <v>46293</v>
      </c>
      <c r="G1610" s="127" t="n">
        <v>46293</v>
      </c>
      <c r="H1610" s="127" t="n">
        <v>46293</v>
      </c>
      <c r="I1610" s="4" t="n">
        <v>0</v>
      </c>
      <c r="J1610" s="4" t="n">
        <v>100</v>
      </c>
      <c r="K1610" s="4" t="n">
        <v>0</v>
      </c>
      <c r="M1610" s="2" t="str">
        <f aca="false">IF(C1610="","",IFERROR(INDEX($S$5:$S$304,MATCH(C1610,$R$5:$R$304,0))&amp;"","?"))</f>
        <v>17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1</v>
      </c>
      <c r="O1610" s="2" t="str">
        <f aca="false">IF(OR(F1610="",G1610=""),"",IF(G1610&lt;='RETRATO 2027'!$K$5,"CONCLUÍDA",IF(F1610&lt;='RETRATO 2027'!$K$5,"EM ANDAMENTO","A INICIAR")))</f>
        <v>CONCLUÍDA</v>
      </c>
    </row>
    <row r="1611" customFormat="false" ht="15" hidden="false" customHeight="false" outlineLevel="0" collapsed="false">
      <c r="B1611" s="4" t="n">
        <v>28964559</v>
      </c>
      <c r="C1611" s="4" t="s">
        <v>2749</v>
      </c>
      <c r="D1611" s="4" t="s">
        <v>3543</v>
      </c>
      <c r="E1611" s="4" t="s">
        <v>3243</v>
      </c>
      <c r="F1611" s="127" t="n">
        <v>46294</v>
      </c>
      <c r="G1611" s="127" t="n">
        <v>46294</v>
      </c>
      <c r="H1611" s="127" t="n">
        <v>46293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17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1</v>
      </c>
      <c r="O1611" s="2" t="str">
        <f aca="false">IF(OR(F1611="",G1611=""),"",IF(G1611&lt;='RETRATO 2027'!$K$5,"CONCLUÍDA",IF(F1611&lt;='RETRATO 2027'!$K$5,"EM ANDAMENTO","A INICIAR")))</f>
        <v>CONCLUÍDA</v>
      </c>
    </row>
    <row r="1612" customFormat="false" ht="15" hidden="false" customHeight="false" outlineLevel="0" collapsed="false">
      <c r="B1612" s="4" t="n">
        <v>28964560</v>
      </c>
      <c r="C1612" s="4" t="s">
        <v>2749</v>
      </c>
      <c r="D1612" s="4" t="s">
        <v>3498</v>
      </c>
      <c r="E1612" s="4" t="s">
        <v>3243</v>
      </c>
      <c r="F1612" s="127" t="n">
        <v>46295</v>
      </c>
      <c r="G1612" s="127" t="n">
        <v>46301</v>
      </c>
      <c r="H1612" s="127" t="n">
        <v>46293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17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1</v>
      </c>
      <c r="O1612" s="2" t="str">
        <f aca="false">IF(OR(F1612="",G1612=""),"",IF(G1612&lt;='RETRATO 2027'!$K$5,"CONCLUÍDA",IF(F1612&lt;='RETRATO 2027'!$K$5,"EM ANDAMENTO","A INICIAR")))</f>
        <v>CONCLUÍDA</v>
      </c>
    </row>
    <row r="1613" customFormat="false" ht="15" hidden="false" customHeight="false" outlineLevel="0" collapsed="false">
      <c r="B1613" s="4" t="n">
        <v>28964561</v>
      </c>
      <c r="C1613" s="4" t="s">
        <v>2749</v>
      </c>
      <c r="D1613" s="4" t="s">
        <v>3536</v>
      </c>
      <c r="E1613" s="4" t="s">
        <v>3243</v>
      </c>
      <c r="F1613" s="127" t="n">
        <v>46302</v>
      </c>
      <c r="G1613" s="127" t="n">
        <v>46308</v>
      </c>
      <c r="H1613" s="127" t="n">
        <v>46293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17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1</v>
      </c>
      <c r="O1613" s="2" t="str">
        <f aca="false">IF(OR(F1613="",G1613=""),"",IF(G1613&lt;='RETRATO 2027'!$K$5,"CONCLUÍDA",IF(F1613&lt;='RETRATO 2027'!$K$5,"EM ANDAMENTO","A INICIAR")))</f>
        <v>CONCLUÍDA</v>
      </c>
    </row>
    <row r="1614" customFormat="false" ht="15" hidden="false" customHeight="false" outlineLevel="0" collapsed="false">
      <c r="B1614" s="4" t="n">
        <v>28964562</v>
      </c>
      <c r="C1614" s="4" t="s">
        <v>2749</v>
      </c>
      <c r="D1614" s="4" t="s">
        <v>3617</v>
      </c>
      <c r="E1614" s="4" t="s">
        <v>3243</v>
      </c>
      <c r="F1614" s="127" t="n">
        <v>46309</v>
      </c>
      <c r="G1614" s="127" t="n">
        <v>46309</v>
      </c>
      <c r="H1614" s="127" t="n">
        <v>46293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17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1</v>
      </c>
      <c r="O1614" s="2" t="str">
        <f aca="false">IF(OR(F1614="",G1614=""),"",IF(G1614&lt;='RETRATO 2027'!$K$5,"CONCLUÍDA",IF(F1614&lt;='RETRATO 2027'!$K$5,"EM ANDAMENTO","A INICIAR")))</f>
        <v>CONCLUÍDA</v>
      </c>
    </row>
    <row r="1615" customFormat="false" ht="15" hidden="false" customHeight="false" outlineLevel="0" collapsed="false">
      <c r="B1615" s="4" t="n">
        <v>46444646</v>
      </c>
      <c r="C1615" s="4" t="s">
        <v>2863</v>
      </c>
      <c r="D1615" s="4" t="s">
        <v>433</v>
      </c>
      <c r="E1615" s="4" t="s">
        <v>3243</v>
      </c>
      <c r="F1615" s="127" t="n">
        <v>46293</v>
      </c>
      <c r="G1615" s="127" t="n">
        <v>46324</v>
      </c>
      <c r="H1615" s="127" t="n">
        <v>46293</v>
      </c>
      <c r="I1615" s="4" t="n">
        <v>0</v>
      </c>
      <c r="J1615" s="4" t="n">
        <v>4.348</v>
      </c>
      <c r="K1615" s="4" t="n">
        <v>0</v>
      </c>
      <c r="M1615" s="2" t="str">
        <f aca="false">IF(C1615="","",IFERROR(INDEX($S$5:$S$304,MATCH(C1615,$R$5:$R$304,0))&amp;"","?"))</f>
        <v>32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1</v>
      </c>
      <c r="O1615" s="2" t="str">
        <f aca="false">IF(OR(F1615="",G1615=""),"",IF(G1615&lt;='RETRATO 2027'!$K$5,"CONCLUÍDA",IF(F1615&lt;='RETRATO 2027'!$K$5,"EM ANDAMENTO","A INICIAR")))</f>
        <v>CONCLUÍDA</v>
      </c>
    </row>
    <row r="1616" customFormat="false" ht="15" hidden="false" customHeight="false" outlineLevel="0" collapsed="false">
      <c r="B1616" s="4" t="n">
        <v>36118597</v>
      </c>
      <c r="C1616" s="4" t="s">
        <v>2848</v>
      </c>
      <c r="D1616" s="4" t="s">
        <v>433</v>
      </c>
      <c r="E1616" s="4" t="s">
        <v>3374</v>
      </c>
      <c r="F1616" s="127" t="n">
        <v>46294</v>
      </c>
      <c r="G1616" s="127" t="n">
        <v>46315</v>
      </c>
      <c r="H1616" s="127" t="n">
        <v>46293</v>
      </c>
      <c r="I1616" s="4" t="n">
        <v>100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26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-4</v>
      </c>
      <c r="O1616" s="2" t="str">
        <f aca="false">IF(OR(F1616="",G1616=""),"",IF(G1616&lt;='RETRATO 2027'!$K$5,"CONCLUÍDA",IF(F1616&lt;='RETRATO 2027'!$K$5,"EM ANDAMENTO","A INICIAR")))</f>
        <v>CONCLUÍDA</v>
      </c>
    </row>
    <row r="1617" customFormat="false" ht="15" hidden="false" customHeight="false" outlineLevel="0" collapsed="false">
      <c r="B1617" s="4" t="n">
        <v>26743757</v>
      </c>
      <c r="C1617" s="4" t="s">
        <v>2808</v>
      </c>
      <c r="D1617" s="4" t="s">
        <v>433</v>
      </c>
      <c r="E1617" s="4" t="s">
        <v>3374</v>
      </c>
      <c r="F1617" s="127" t="n">
        <v>46295</v>
      </c>
      <c r="G1617" s="127" t="n">
        <v>46338</v>
      </c>
      <c r="H1617" s="127" t="n">
        <v>46293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29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-4</v>
      </c>
      <c r="O1617" s="2" t="str">
        <f aca="false">IF(OR(F1617="",G1617=""),"",IF(G1617&lt;='RETRATO 2027'!$K$5,"CONCLUÍDA",IF(F1617&lt;='RETRATO 2027'!$K$5,"EM ANDAMENTO","A INICIAR")))</f>
        <v>CONCLUÍDA</v>
      </c>
    </row>
    <row r="1618" customFormat="false" ht="15" hidden="false" customHeight="false" outlineLevel="0" collapsed="false">
      <c r="B1618" s="4" t="n">
        <v>24939502</v>
      </c>
      <c r="C1618" s="4" t="s">
        <v>2705</v>
      </c>
      <c r="D1618" s="4" t="s">
        <v>433</v>
      </c>
      <c r="E1618" s="4" t="s">
        <v>3722</v>
      </c>
      <c r="F1618" s="127" t="n">
        <v>46295</v>
      </c>
      <c r="G1618" s="127" t="n">
        <v>46303</v>
      </c>
      <c r="H1618" s="127" t="n">
        <v>46293</v>
      </c>
      <c r="I1618" s="4" t="n">
        <v>62.5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17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10</v>
      </c>
      <c r="O1618" s="2" t="str">
        <f aca="false">IF(OR(F1618="",G1618=""),"",IF(G1618&lt;='RETRATO 2027'!$K$5,"CONCLUÍDA",IF(F1618&lt;='RETRATO 2027'!$K$5,"EM ANDAMENTO","A INICIAR")))</f>
        <v>CONCLUÍDA</v>
      </c>
    </row>
    <row r="1619" customFormat="false" ht="15" hidden="false" customHeight="false" outlineLevel="0" collapsed="false">
      <c r="B1619" s="4" t="n">
        <v>9360131</v>
      </c>
      <c r="C1619" s="4" t="s">
        <v>2705</v>
      </c>
      <c r="D1619" s="4" t="s">
        <v>3244</v>
      </c>
      <c r="E1619" s="4" t="s">
        <v>3722</v>
      </c>
      <c r="F1619" s="127" t="n">
        <v>46295</v>
      </c>
      <c r="G1619" s="127" t="n">
        <v>46297</v>
      </c>
      <c r="H1619" s="127" t="n">
        <v>46293</v>
      </c>
      <c r="I1619" s="4" t="n">
        <v>100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17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10</v>
      </c>
      <c r="O1619" s="2" t="str">
        <f aca="false">IF(OR(F1619="",G1619=""),"",IF(G1619&lt;='RETRATO 2027'!$K$5,"CONCLUÍDA",IF(F1619&lt;='RETRATO 2027'!$K$5,"EM ANDAMENTO","A INICIAR")))</f>
        <v>CONCLUÍDA</v>
      </c>
    </row>
    <row r="1620" customFormat="false" ht="15" hidden="false" customHeight="false" outlineLevel="0" collapsed="false">
      <c r="B1620" s="4" t="n">
        <v>9360132</v>
      </c>
      <c r="C1620" s="4" t="s">
        <v>2705</v>
      </c>
      <c r="D1620" s="4" t="s">
        <v>3245</v>
      </c>
      <c r="E1620" s="4" t="s">
        <v>3722</v>
      </c>
      <c r="F1620" s="127" t="n">
        <v>46295</v>
      </c>
      <c r="G1620" s="127" t="n">
        <v>46297</v>
      </c>
      <c r="H1620" s="127" t="n">
        <v>46293</v>
      </c>
      <c r="I1620" s="4" t="n">
        <v>100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17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10</v>
      </c>
      <c r="O1620" s="2" t="str">
        <f aca="false">IF(OR(F1620="",G1620=""),"",IF(G1620&lt;='RETRATO 2027'!$K$5,"CONCLUÍDA",IF(F1620&lt;='RETRATO 2027'!$K$5,"EM ANDAMENTO","A INICIAR")))</f>
        <v>CONCLUÍDA</v>
      </c>
    </row>
    <row r="1621" customFormat="false" ht="15" hidden="false" customHeight="false" outlineLevel="0" collapsed="false">
      <c r="B1621" s="4" t="n">
        <v>9360133</v>
      </c>
      <c r="C1621" s="4" t="s">
        <v>2705</v>
      </c>
      <c r="D1621" s="4" t="s">
        <v>3246</v>
      </c>
      <c r="E1621" s="4" t="s">
        <v>3722</v>
      </c>
      <c r="F1621" s="127" t="n">
        <v>46296</v>
      </c>
      <c r="G1621" s="127" t="n">
        <v>46300</v>
      </c>
      <c r="H1621" s="127" t="n">
        <v>46293</v>
      </c>
      <c r="I1621" s="4" t="n">
        <v>100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17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10</v>
      </c>
      <c r="O1621" s="2" t="str">
        <f aca="false">IF(OR(F1621="",G1621=""),"",IF(G1621&lt;='RETRATO 2027'!$K$5,"CONCLUÍDA",IF(F1621&lt;='RETRATO 2027'!$K$5,"EM ANDAMENTO","A INICIAR")))</f>
        <v>CONCLUÍDA</v>
      </c>
    </row>
    <row r="1622" customFormat="false" ht="15" hidden="false" customHeight="false" outlineLevel="0" collapsed="false">
      <c r="B1622" s="4" t="n">
        <v>9360134</v>
      </c>
      <c r="C1622" s="4" t="s">
        <v>2705</v>
      </c>
      <c r="D1622" s="4" t="s">
        <v>3247</v>
      </c>
      <c r="E1622" s="4" t="s">
        <v>3722</v>
      </c>
      <c r="F1622" s="127" t="n">
        <v>46301</v>
      </c>
      <c r="G1622" s="127" t="n">
        <v>46301</v>
      </c>
      <c r="H1622" s="127" t="n">
        <v>46293</v>
      </c>
      <c r="I1622" s="4" t="n">
        <v>100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17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10</v>
      </c>
      <c r="O1622" s="2" t="str">
        <f aca="false">IF(OR(F1622="",G1622=""),"",IF(G1622&lt;='RETRATO 2027'!$K$5,"CONCLUÍDA",IF(F1622&lt;='RETRATO 2027'!$K$5,"EM ANDAMENTO","A INICIAR")))</f>
        <v>CONCLUÍDA</v>
      </c>
    </row>
    <row r="1623" customFormat="false" ht="15" hidden="false" customHeight="false" outlineLevel="0" collapsed="false">
      <c r="B1623" s="4" t="n">
        <v>9360135</v>
      </c>
      <c r="C1623" s="4" t="s">
        <v>2705</v>
      </c>
      <c r="D1623" s="4" t="s">
        <v>3248</v>
      </c>
      <c r="E1623" s="4" t="s">
        <v>3722</v>
      </c>
      <c r="F1623" s="127" t="n">
        <v>46302</v>
      </c>
      <c r="G1623" s="127" t="n">
        <v>46303</v>
      </c>
      <c r="H1623" s="127" t="n">
        <v>46293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17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10</v>
      </c>
      <c r="O1623" s="2" t="str">
        <f aca="false">IF(OR(F1623="",G1623=""),"",IF(G1623&lt;='RETRATO 2027'!$K$5,"CONCLUÍDA",IF(F1623&lt;='RETRATO 2027'!$K$5,"EM ANDAMENTO","A INICIAR")))</f>
        <v>CONCLUÍDA</v>
      </c>
    </row>
    <row r="1624" customFormat="false" ht="15" hidden="false" customHeight="false" outlineLevel="0" collapsed="false">
      <c r="B1624" s="4" t="n">
        <v>9360136</v>
      </c>
      <c r="C1624" s="4" t="s">
        <v>2705</v>
      </c>
      <c r="D1624" s="4" t="s">
        <v>3249</v>
      </c>
      <c r="E1624" s="4" t="s">
        <v>3722</v>
      </c>
      <c r="F1624" s="127" t="n">
        <v>46303</v>
      </c>
      <c r="G1624" s="127" t="n">
        <v>46303</v>
      </c>
      <c r="H1624" s="127" t="n">
        <v>46293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17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10</v>
      </c>
      <c r="O1624" s="2" t="str">
        <f aca="false">IF(OR(F1624="",G1624=""),"",IF(G1624&lt;='RETRATO 2027'!$K$5,"CONCLUÍDA",IF(F1624&lt;='RETRATO 2027'!$K$5,"EM ANDAMENTO","A INICIAR")))</f>
        <v>CONCLUÍDA</v>
      </c>
    </row>
    <row r="1625" customFormat="false" ht="15" hidden="false" customHeight="false" outlineLevel="0" collapsed="false">
      <c r="B1625" s="4" t="n">
        <v>9360137</v>
      </c>
      <c r="C1625" s="4" t="s">
        <v>2705</v>
      </c>
      <c r="D1625" s="4" t="s">
        <v>3250</v>
      </c>
      <c r="E1625" s="4" t="s">
        <v>3722</v>
      </c>
      <c r="F1625" s="127" t="n">
        <v>46302</v>
      </c>
      <c r="G1625" s="127" t="n">
        <v>46302</v>
      </c>
      <c r="H1625" s="127" t="n">
        <v>46293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17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10</v>
      </c>
      <c r="O1625" s="2" t="str">
        <f aca="false">IF(OR(F1625="",G1625=""),"",IF(G1625&lt;='RETRATO 2027'!$K$5,"CONCLUÍDA",IF(F1625&lt;='RETRATO 2027'!$K$5,"EM ANDAMENTO","A INICIAR")))</f>
        <v>CONCLUÍDA</v>
      </c>
    </row>
    <row r="1626" customFormat="false" ht="15" hidden="false" customHeight="false" outlineLevel="0" collapsed="false">
      <c r="B1626" s="4" t="n">
        <v>9360138</v>
      </c>
      <c r="C1626" s="4" t="s">
        <v>2705</v>
      </c>
      <c r="D1626" s="4" t="s">
        <v>3251</v>
      </c>
      <c r="E1626" s="4" t="s">
        <v>3722</v>
      </c>
      <c r="F1626" s="127" t="n">
        <v>46302</v>
      </c>
      <c r="G1626" s="127" t="n">
        <v>46302</v>
      </c>
      <c r="H1626" s="127" t="n">
        <v>46293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17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10</v>
      </c>
      <c r="O1626" s="2" t="str">
        <f aca="false">IF(OR(F1626="",G1626=""),"",IF(G1626&lt;='RETRATO 2027'!$K$5,"CONCLUÍDA",IF(F1626&lt;='RETRATO 2027'!$K$5,"EM ANDAMENTO","A INICIAR")))</f>
        <v>CONCLUÍDA</v>
      </c>
    </row>
    <row r="1627" customFormat="false" ht="15" hidden="false" customHeight="false" outlineLevel="0" collapsed="false">
      <c r="B1627" s="4" t="n">
        <v>9360139</v>
      </c>
      <c r="C1627" s="4" t="s">
        <v>2705</v>
      </c>
      <c r="D1627" s="4" t="s">
        <v>3252</v>
      </c>
      <c r="E1627" s="4" t="s">
        <v>3722</v>
      </c>
      <c r="F1627" s="127" t="n">
        <v>46303</v>
      </c>
      <c r="G1627" s="127" t="n">
        <v>46303</v>
      </c>
      <c r="H1627" s="127" t="n">
        <v>46293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17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10</v>
      </c>
      <c r="O1627" s="2" t="str">
        <f aca="false">IF(OR(F1627="",G1627=""),"",IF(G1627&lt;='RETRATO 2027'!$K$5,"CONCLUÍDA",IF(F1627&lt;='RETRATO 2027'!$K$5,"EM ANDAMENTO","A INICIAR")))</f>
        <v>CONCLUÍDA</v>
      </c>
    </row>
    <row r="1628" customFormat="false" ht="15" hidden="false" customHeight="false" outlineLevel="0" collapsed="false">
      <c r="B1628" s="4" t="n">
        <v>26743774</v>
      </c>
      <c r="C1628" s="4" t="s">
        <v>77</v>
      </c>
      <c r="D1628" s="4" t="s">
        <v>433</v>
      </c>
      <c r="E1628" s="4" t="s">
        <v>3473</v>
      </c>
      <c r="F1628" s="127" t="n">
        <v>46296</v>
      </c>
      <c r="G1628" s="127" t="n">
        <v>46349</v>
      </c>
      <c r="H1628" s="127" t="n">
        <v>46293</v>
      </c>
      <c r="I1628" s="4" t="n">
        <v>100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20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-5</v>
      </c>
      <c r="O1628" s="2" t="str">
        <f aca="false">IF(OR(F1628="",G1628=""),"",IF(G1628&lt;='RETRATO 2027'!$K$5,"CONCLUÍDA",IF(F1628&lt;='RETRATO 2027'!$K$5,"EM ANDAMENTO","A INICIAR")))</f>
        <v>CONCLUÍDA</v>
      </c>
    </row>
    <row r="1629" customFormat="false" ht="15" hidden="false" customHeight="false" outlineLevel="0" collapsed="false">
      <c r="B1629" s="4" t="n">
        <v>28972576</v>
      </c>
      <c r="C1629" s="4" t="s">
        <v>77</v>
      </c>
      <c r="D1629" s="4" t="s">
        <v>3723</v>
      </c>
      <c r="E1629" s="4" t="s">
        <v>3473</v>
      </c>
      <c r="F1629" s="127" t="n">
        <v>46296</v>
      </c>
      <c r="G1629" s="127" t="n">
        <v>46317</v>
      </c>
      <c r="H1629" s="127" t="n">
        <v>46293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20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-5</v>
      </c>
      <c r="O1629" s="2" t="str">
        <f aca="false">IF(OR(F1629="",G1629=""),"",IF(G1629&lt;='RETRATO 2027'!$K$5,"CONCLUÍDA",IF(F1629&lt;='RETRATO 2027'!$K$5,"EM ANDAMENTO","A INICIAR")))</f>
        <v>CONCLUÍDA</v>
      </c>
    </row>
    <row r="1630" customFormat="false" ht="15" hidden="false" customHeight="false" outlineLevel="0" collapsed="false">
      <c r="B1630" s="4" t="n">
        <v>28972577</v>
      </c>
      <c r="C1630" s="4" t="s">
        <v>77</v>
      </c>
      <c r="D1630" s="4" t="s">
        <v>3724</v>
      </c>
      <c r="E1630" s="4" t="s">
        <v>3473</v>
      </c>
      <c r="F1630" s="127" t="n">
        <v>46317</v>
      </c>
      <c r="G1630" s="127" t="n">
        <v>46329</v>
      </c>
      <c r="H1630" s="127" t="n">
        <v>46293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20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-5</v>
      </c>
      <c r="O1630" s="2" t="str">
        <f aca="false">IF(OR(F1630="",G1630=""),"",IF(G1630&lt;='RETRATO 2027'!$K$5,"CONCLUÍDA",IF(F1630&lt;='RETRATO 2027'!$K$5,"EM ANDAMENTO","A INICIAR")))</f>
        <v>CONCLUÍDA</v>
      </c>
    </row>
    <row r="1631" customFormat="false" ht="15" hidden="false" customHeight="false" outlineLevel="0" collapsed="false">
      <c r="B1631" s="4" t="n">
        <v>42652089</v>
      </c>
      <c r="C1631" s="4" t="s">
        <v>77</v>
      </c>
      <c r="D1631" s="4" t="s">
        <v>3725</v>
      </c>
      <c r="E1631" s="4" t="s">
        <v>3473</v>
      </c>
      <c r="F1631" s="127" t="n">
        <v>46330</v>
      </c>
      <c r="G1631" s="127" t="n">
        <v>46331</v>
      </c>
      <c r="H1631" s="127" t="n">
        <v>46293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-5</v>
      </c>
      <c r="O1631" s="2" t="str">
        <f aca="false">IF(OR(F1631="",G1631=""),"",IF(G1631&lt;='RETRATO 2027'!$K$5,"CONCLUÍDA",IF(F1631&lt;='RETRATO 2027'!$K$5,"EM ANDAMENTO","A INICIAR")))</f>
        <v>CONCLUÍDA</v>
      </c>
    </row>
    <row r="1632" customFormat="false" ht="15" hidden="false" customHeight="false" outlineLevel="0" collapsed="false">
      <c r="B1632" s="4" t="n">
        <v>42652090</v>
      </c>
      <c r="C1632" s="4" t="s">
        <v>77</v>
      </c>
      <c r="D1632" s="4" t="s">
        <v>3726</v>
      </c>
      <c r="E1632" s="4" t="s">
        <v>3473</v>
      </c>
      <c r="F1632" s="127" t="n">
        <v>46332</v>
      </c>
      <c r="G1632" s="127" t="n">
        <v>46343</v>
      </c>
      <c r="H1632" s="127" t="n">
        <v>46293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20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-5</v>
      </c>
      <c r="O1632" s="2" t="str">
        <f aca="false">IF(OR(F1632="",G1632=""),"",IF(G1632&lt;='RETRATO 2027'!$K$5,"CONCLUÍDA",IF(F1632&lt;='RETRATO 2027'!$K$5,"EM ANDAMENTO","A INICIAR")))</f>
        <v>CONCLUÍDA</v>
      </c>
    </row>
    <row r="1633" customFormat="false" ht="15" hidden="false" customHeight="false" outlineLevel="0" collapsed="false">
      <c r="B1633" s="4" t="n">
        <v>42652091</v>
      </c>
      <c r="C1633" s="4" t="s">
        <v>77</v>
      </c>
      <c r="D1633" s="4" t="s">
        <v>3727</v>
      </c>
      <c r="E1633" s="4" t="s">
        <v>3473</v>
      </c>
      <c r="F1633" s="127" t="n">
        <v>46344</v>
      </c>
      <c r="G1633" s="127" t="n">
        <v>46345</v>
      </c>
      <c r="H1633" s="127" t="n">
        <v>46293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20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-5</v>
      </c>
      <c r="O1633" s="2" t="str">
        <f aca="false">IF(OR(F1633="",G1633=""),"",IF(G1633&lt;='RETRATO 2027'!$K$5,"CONCLUÍDA",IF(F1633&lt;='RETRATO 2027'!$K$5,"EM ANDAMENTO","A INICIAR")))</f>
        <v>CONCLUÍDA</v>
      </c>
    </row>
    <row r="1634" customFormat="false" ht="15" hidden="false" customHeight="false" outlineLevel="0" collapsed="false">
      <c r="B1634" s="4" t="n">
        <v>42652092</v>
      </c>
      <c r="C1634" s="4" t="s">
        <v>77</v>
      </c>
      <c r="D1634" s="4" t="s">
        <v>3728</v>
      </c>
      <c r="E1634" s="4" t="s">
        <v>3473</v>
      </c>
      <c r="F1634" s="127" t="n">
        <v>46349</v>
      </c>
      <c r="G1634" s="127" t="n">
        <v>46349</v>
      </c>
      <c r="H1634" s="127" t="n">
        <v>46293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20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-5</v>
      </c>
      <c r="O1634" s="2" t="str">
        <f aca="false">IF(OR(F1634="",G1634=""),"",IF(G1634&lt;='RETRATO 2027'!$K$5,"CONCLUÍDA",IF(F1634&lt;='RETRATO 2027'!$K$5,"EM ANDAMENTO","A INICIAR")))</f>
        <v>CONCLUÍDA</v>
      </c>
    </row>
    <row r="1635" customFormat="false" ht="15" hidden="false" customHeight="false" outlineLevel="0" collapsed="false">
      <c r="B1635" s="4" t="n">
        <v>26743778</v>
      </c>
      <c r="C1635" s="4" t="s">
        <v>2829</v>
      </c>
      <c r="D1635" s="4" t="s">
        <v>433</v>
      </c>
      <c r="E1635" s="4" t="s">
        <v>3473</v>
      </c>
      <c r="F1635" s="127" t="n">
        <v>46296</v>
      </c>
      <c r="G1635" s="127" t="n">
        <v>46339</v>
      </c>
      <c r="H1635" s="127" t="n">
        <v>46293</v>
      </c>
      <c r="I1635" s="4" t="n">
        <v>100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21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-5</v>
      </c>
      <c r="O1635" s="2" t="str">
        <f aca="false">IF(OR(F1635="",G1635=""),"",IF(G1635&lt;='RETRATO 2027'!$K$5,"CONCLUÍDA",IF(F1635&lt;='RETRATO 2027'!$K$5,"EM ANDAMENTO","A INICIAR")))</f>
        <v>CONCLUÍDA</v>
      </c>
    </row>
    <row r="1636" customFormat="false" ht="15" hidden="false" customHeight="false" outlineLevel="0" collapsed="false">
      <c r="B1636" s="4" t="n">
        <v>26743775</v>
      </c>
      <c r="C1636" s="4" t="s">
        <v>177</v>
      </c>
      <c r="D1636" s="4" t="s">
        <v>433</v>
      </c>
      <c r="E1636" s="4" t="s">
        <v>3473</v>
      </c>
      <c r="F1636" s="127" t="n">
        <v>46296</v>
      </c>
      <c r="G1636" s="127" t="n">
        <v>46344</v>
      </c>
      <c r="H1636" s="127" t="n">
        <v>46293</v>
      </c>
      <c r="I1636" s="4" t="n">
        <v>100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23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-5</v>
      </c>
      <c r="O1636" s="2" t="str">
        <f aca="false">IF(OR(F1636="",G1636=""),"",IF(G1636&lt;='RETRATO 2027'!$K$5,"CONCLUÍDA",IF(F1636&lt;='RETRATO 2027'!$K$5,"EM ANDAMENTO","A INICIAR")))</f>
        <v>CONCLUÍDA</v>
      </c>
    </row>
    <row r="1637" customFormat="false" ht="15" hidden="false" customHeight="false" outlineLevel="0" collapsed="false">
      <c r="B1637" s="4" t="n">
        <v>42661067</v>
      </c>
      <c r="C1637" s="4" t="s">
        <v>177</v>
      </c>
      <c r="D1637" s="4" t="s">
        <v>3693</v>
      </c>
      <c r="E1637" s="4" t="s">
        <v>3473</v>
      </c>
      <c r="F1637" s="127" t="n">
        <v>46296</v>
      </c>
      <c r="G1637" s="127" t="n">
        <v>46317</v>
      </c>
      <c r="H1637" s="127" t="n">
        <v>46293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23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-5</v>
      </c>
      <c r="O1637" s="2" t="str">
        <f aca="false">IF(OR(F1637="",G1637=""),"",IF(G1637&lt;='RETRATO 2027'!$K$5,"CONCLUÍDA",IF(F1637&lt;='RETRATO 2027'!$K$5,"EM ANDAMENTO","A INICIAR")))</f>
        <v>CONCLUÍDA</v>
      </c>
    </row>
    <row r="1638" customFormat="false" ht="15" hidden="false" customHeight="false" outlineLevel="0" collapsed="false">
      <c r="B1638" s="4" t="n">
        <v>42661068</v>
      </c>
      <c r="C1638" s="4" t="s">
        <v>177</v>
      </c>
      <c r="D1638" s="4" t="s">
        <v>3688</v>
      </c>
      <c r="E1638" s="4" t="s">
        <v>3473</v>
      </c>
      <c r="F1638" s="127" t="n">
        <v>46318</v>
      </c>
      <c r="G1638" s="127" t="n">
        <v>46330</v>
      </c>
      <c r="H1638" s="127" t="n">
        <v>46293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23</v>
      </c>
      <c r="N1638" s="2" t="n">
        <f aca="false">IF(E1638="","",IF(ISNUMBER(SEARCH("SUBSOLO",E1638)),IFERROR(-VALUE(LEFT(E1638,FIND("º",SUBSTITUTE(E1638,"°","º"))-1)),-1),IF(LEFT(E1638,6)="TÉRREO",0,IFERROR(VALUE(LEFT(E1638,FIND("º",SUBSTITUTE(E1638,"°","º"))-1)),""))))</f>
        <v>-5</v>
      </c>
      <c r="O1638" s="2" t="str">
        <f aca="false">IF(OR(F1638="",G1638=""),"",IF(G1638&lt;='RETRATO 2027'!$K$5,"CONCLUÍDA",IF(F1638&lt;='RETRATO 2027'!$K$5,"EM ANDAMENTO","A INICIAR")))</f>
        <v>CONCLUÍDA</v>
      </c>
    </row>
    <row r="1639" customFormat="false" ht="15" hidden="false" customHeight="false" outlineLevel="0" collapsed="false">
      <c r="B1639" s="4" t="n">
        <v>42661069</v>
      </c>
      <c r="C1639" s="4" t="s">
        <v>177</v>
      </c>
      <c r="D1639" s="4" t="s">
        <v>3689</v>
      </c>
      <c r="E1639" s="4" t="s">
        <v>3473</v>
      </c>
      <c r="F1639" s="127" t="n">
        <v>46331</v>
      </c>
      <c r="G1639" s="127" t="n">
        <v>46332</v>
      </c>
      <c r="H1639" s="127" t="n">
        <v>46293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23</v>
      </c>
      <c r="N1639" s="2" t="n">
        <f aca="false">IF(E1639="","",IF(ISNUMBER(SEARCH("SUBSOLO",E1639)),IFERROR(-VALUE(LEFT(E1639,FIND("º",SUBSTITUTE(E1639,"°","º"))-1)),-1),IF(LEFT(E1639,6)="TÉRREO",0,IFERROR(VALUE(LEFT(E1639,FIND("º",SUBSTITUTE(E1639,"°","º"))-1)),""))))</f>
        <v>-5</v>
      </c>
      <c r="O1639" s="2" t="str">
        <f aca="false">IF(OR(F1639="",G1639=""),"",IF(G1639&lt;='RETRATO 2027'!$K$5,"CONCLUÍDA",IF(F1639&lt;='RETRATO 2027'!$K$5,"EM ANDAMENTO","A INICIAR")))</f>
        <v>CONCLUÍDA</v>
      </c>
    </row>
    <row r="1640" customFormat="false" ht="15" hidden="false" customHeight="false" outlineLevel="0" collapsed="false">
      <c r="B1640" s="4" t="n">
        <v>42661070</v>
      </c>
      <c r="C1640" s="4" t="s">
        <v>177</v>
      </c>
      <c r="D1640" s="4" t="s">
        <v>3690</v>
      </c>
      <c r="E1640" s="4" t="s">
        <v>3473</v>
      </c>
      <c r="F1640" s="127" t="n">
        <v>46335</v>
      </c>
      <c r="G1640" s="127" t="n">
        <v>46339</v>
      </c>
      <c r="H1640" s="127" t="n">
        <v>46293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23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-5</v>
      </c>
      <c r="O1640" s="2" t="str">
        <f aca="false">IF(OR(F1640="",G1640=""),"",IF(G1640&lt;='RETRATO 2027'!$K$5,"CONCLUÍDA",IF(F1640&lt;='RETRATO 2027'!$K$5,"EM ANDAMENTO","A INICIAR")))</f>
        <v>CONCLUÍDA</v>
      </c>
    </row>
    <row r="1641" customFormat="false" ht="15" hidden="false" customHeight="false" outlineLevel="0" collapsed="false">
      <c r="B1641" s="4" t="n">
        <v>42661071</v>
      </c>
      <c r="C1641" s="4" t="s">
        <v>177</v>
      </c>
      <c r="D1641" s="4" t="s">
        <v>3691</v>
      </c>
      <c r="E1641" s="4" t="s">
        <v>3473</v>
      </c>
      <c r="F1641" s="127" t="n">
        <v>46342</v>
      </c>
      <c r="G1641" s="127" t="n">
        <v>46343</v>
      </c>
      <c r="H1641" s="127" t="n">
        <v>46293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23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-5</v>
      </c>
      <c r="O1641" s="2" t="str">
        <f aca="false">IF(OR(F1641="",G1641=""),"",IF(G1641&lt;='RETRATO 2027'!$K$5,"CONCLUÍDA",IF(F1641&lt;='RETRATO 2027'!$K$5,"EM ANDAMENTO","A INICIAR")))</f>
        <v>CONCLUÍDA</v>
      </c>
    </row>
    <row r="1642" customFormat="false" ht="15" hidden="false" customHeight="false" outlineLevel="0" collapsed="false">
      <c r="B1642" s="4" t="n">
        <v>42661072</v>
      </c>
      <c r="C1642" s="4" t="s">
        <v>177</v>
      </c>
      <c r="D1642" s="4" t="s">
        <v>3692</v>
      </c>
      <c r="E1642" s="4" t="s">
        <v>3473</v>
      </c>
      <c r="F1642" s="127" t="n">
        <v>46344</v>
      </c>
      <c r="G1642" s="127" t="n">
        <v>46344</v>
      </c>
      <c r="H1642" s="127" t="n">
        <v>46293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>23</v>
      </c>
      <c r="N1642" s="2" t="n">
        <f aca="false">IF(E1642="","",IF(ISNUMBER(SEARCH("SUBSOLO",E1642)),IFERROR(-VALUE(LEFT(E1642,FIND("º",SUBSTITUTE(E1642,"°","º"))-1)),-1),IF(LEFT(E1642,6)="TÉRREO",0,IFERROR(VALUE(LEFT(E1642,FIND("º",SUBSTITUTE(E1642,"°","º"))-1)),""))))</f>
        <v>-5</v>
      </c>
      <c r="O1642" s="2" t="str">
        <f aca="false">IF(OR(F1642="",G1642=""),"",IF(G1642&lt;='RETRATO 2027'!$K$5,"CONCLUÍDA",IF(F1642&lt;='RETRATO 2027'!$K$5,"EM ANDAMENTO","A INICIAR")))</f>
        <v>CONCLUÍDA</v>
      </c>
    </row>
    <row r="1643" customFormat="false" ht="15" hidden="false" customHeight="false" outlineLevel="0" collapsed="false">
      <c r="B1643" s="4" t="n">
        <v>53205018</v>
      </c>
      <c r="C1643" s="4" t="s">
        <v>2838</v>
      </c>
      <c r="D1643" s="4" t="s">
        <v>433</v>
      </c>
      <c r="E1643" s="4" t="s">
        <v>3374</v>
      </c>
      <c r="F1643" s="127" t="n">
        <v>46296</v>
      </c>
      <c r="G1643" s="127" t="n">
        <v>46314</v>
      </c>
      <c r="H1643" s="127" t="n">
        <v>46293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30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-4</v>
      </c>
      <c r="O1643" s="2" t="str">
        <f aca="false">IF(OR(F1643="",G1643=""),"",IF(G1643&lt;='RETRATO 2027'!$K$5,"CONCLUÍDA",IF(F1643&lt;='RETRATO 2027'!$K$5,"EM ANDAMENTO","A INICIAR")))</f>
        <v>CONCLUÍDA</v>
      </c>
    </row>
    <row r="1644" customFormat="false" ht="15" hidden="false" customHeight="false" outlineLevel="0" collapsed="false">
      <c r="B1644" s="4" t="n">
        <v>26743713</v>
      </c>
      <c r="C1644" s="4" t="s">
        <v>2751</v>
      </c>
      <c r="D1644" s="4" t="s">
        <v>433</v>
      </c>
      <c r="E1644" s="4" t="s">
        <v>3466</v>
      </c>
      <c r="F1644" s="127" t="n">
        <v>46296</v>
      </c>
      <c r="G1644" s="127" t="n">
        <v>46339</v>
      </c>
      <c r="H1644" s="127" t="n">
        <v>46293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35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-1</v>
      </c>
      <c r="O1644" s="2" t="str">
        <f aca="false">IF(OR(F1644="",G1644=""),"",IF(G1644&lt;='RETRATO 2027'!$K$5,"CONCLUÍDA",IF(F1644&lt;='RETRATO 2027'!$K$5,"EM ANDAMENTO","A INICIAR")))</f>
        <v>CONCLUÍDA</v>
      </c>
    </row>
    <row r="1645" customFormat="false" ht="15" hidden="false" customHeight="false" outlineLevel="0" collapsed="false">
      <c r="B1645" s="4" t="n">
        <v>46489397</v>
      </c>
      <c r="C1645" s="4" t="s">
        <v>2866</v>
      </c>
      <c r="D1645" s="4" t="s">
        <v>433</v>
      </c>
      <c r="E1645" s="4" t="s">
        <v>3655</v>
      </c>
      <c r="F1645" s="127" t="n">
        <v>46296</v>
      </c>
      <c r="G1645" s="127" t="n">
        <v>46339</v>
      </c>
      <c r="H1645" s="127" t="n">
        <v>46293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18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3</v>
      </c>
      <c r="O1645" s="2" t="str">
        <f aca="false">IF(OR(F1645="",G1645=""),"",IF(G1645&lt;='RETRATO 2027'!$K$5,"CONCLUÍDA",IF(F1645&lt;='RETRATO 2027'!$K$5,"EM ANDAMENTO","A INICIAR")))</f>
        <v>CONCLUÍDA</v>
      </c>
    </row>
    <row r="1646" customFormat="false" ht="15" hidden="false" customHeight="false" outlineLevel="0" collapsed="false">
      <c r="B1646" s="4" t="n">
        <v>26743649</v>
      </c>
      <c r="C1646" s="4" t="s">
        <v>2869</v>
      </c>
      <c r="D1646" s="4" t="s">
        <v>433</v>
      </c>
      <c r="E1646" s="4" t="s">
        <v>3668</v>
      </c>
      <c r="F1646" s="127" t="n">
        <v>46296</v>
      </c>
      <c r="G1646" s="127" t="n">
        <v>46308</v>
      </c>
      <c r="H1646" s="127" t="n">
        <v>46293</v>
      </c>
      <c r="I1646" s="4" t="n">
        <v>50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22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4</v>
      </c>
      <c r="O1646" s="2" t="str">
        <f aca="false">IF(OR(F1646="",G1646=""),"",IF(G1646&lt;='RETRATO 2027'!$K$5,"CONCLUÍDA",IF(F1646&lt;='RETRATO 2027'!$K$5,"EM ANDAMENTO","A INICIAR")))</f>
        <v>CONCLUÍDA</v>
      </c>
    </row>
    <row r="1647" customFormat="false" ht="15" hidden="false" customHeight="false" outlineLevel="0" collapsed="false">
      <c r="B1647" s="4" t="n">
        <v>47437332</v>
      </c>
      <c r="C1647" s="4" t="s">
        <v>2872</v>
      </c>
      <c r="D1647" s="4" t="s">
        <v>433</v>
      </c>
      <c r="E1647" s="4" t="s">
        <v>3668</v>
      </c>
      <c r="F1647" s="127" t="n">
        <v>46296</v>
      </c>
      <c r="G1647" s="127" t="n">
        <v>46405</v>
      </c>
      <c r="H1647" s="127" t="n">
        <v>46293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/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4</v>
      </c>
      <c r="O1647" s="2" t="str">
        <f aca="false">IF(OR(F1647="",G1647=""),"",IF(G1647&lt;='RETRATO 2027'!$K$5,"CONCLUÍDA",IF(F1647&lt;='RETRATO 2027'!$K$5,"EM ANDAMENTO","A INICIAR")))</f>
        <v>CONCLUÍDA</v>
      </c>
    </row>
    <row r="1648" customFormat="false" ht="15" hidden="false" customHeight="false" outlineLevel="0" collapsed="false">
      <c r="B1648" s="4" t="n">
        <v>31434160</v>
      </c>
      <c r="C1648" s="4" t="s">
        <v>2872</v>
      </c>
      <c r="D1648" s="4" t="s">
        <v>163</v>
      </c>
      <c r="E1648" s="4" t="s">
        <v>3668</v>
      </c>
      <c r="F1648" s="127" t="n">
        <v>46296</v>
      </c>
      <c r="G1648" s="127" t="n">
        <v>46297</v>
      </c>
      <c r="H1648" s="127" t="n">
        <v>46293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/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4</v>
      </c>
      <c r="O1648" s="2" t="str">
        <f aca="false">IF(OR(F1648="",G1648=""),"",IF(G1648&lt;='RETRATO 2027'!$K$5,"CONCLUÍDA",IF(F1648&lt;='RETRATO 2027'!$K$5,"EM ANDAMENTO","A INICIAR")))</f>
        <v>CONCLUÍDA</v>
      </c>
    </row>
    <row r="1649" customFormat="false" ht="15" hidden="false" customHeight="false" outlineLevel="0" collapsed="false">
      <c r="B1649" s="4" t="n">
        <v>31434161</v>
      </c>
      <c r="C1649" s="4" t="s">
        <v>2872</v>
      </c>
      <c r="D1649" s="4" t="s">
        <v>2869</v>
      </c>
      <c r="E1649" s="4" t="s">
        <v>3668</v>
      </c>
      <c r="F1649" s="127" t="n">
        <v>46296</v>
      </c>
      <c r="G1649" s="127" t="n">
        <v>46296</v>
      </c>
      <c r="H1649" s="127" t="n">
        <v>46293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/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4</v>
      </c>
      <c r="O1649" s="2" t="str">
        <f aca="false">IF(OR(F1649="",G1649=""),"",IF(G1649&lt;='RETRATO 2027'!$K$5,"CONCLUÍDA",IF(F1649&lt;='RETRATO 2027'!$K$5,"EM ANDAMENTO","A INICIAR")))</f>
        <v>CONCLUÍDA</v>
      </c>
    </row>
    <row r="1650" customFormat="false" ht="15" hidden="false" customHeight="false" outlineLevel="0" collapsed="false">
      <c r="B1650" s="4" t="n">
        <v>31434166</v>
      </c>
      <c r="C1650" s="4" t="s">
        <v>2872</v>
      </c>
      <c r="D1650" s="4" t="s">
        <v>2886</v>
      </c>
      <c r="E1650" s="4" t="s">
        <v>3668</v>
      </c>
      <c r="F1650" s="127" t="n">
        <v>46297</v>
      </c>
      <c r="G1650" s="127" t="n">
        <v>46300</v>
      </c>
      <c r="H1650" s="127" t="n">
        <v>46293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/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4</v>
      </c>
      <c r="O1650" s="2" t="str">
        <f aca="false">IF(OR(F1650="",G1650=""),"",IF(G1650&lt;='RETRATO 2027'!$K$5,"CONCLUÍDA",IF(F1650&lt;='RETRATO 2027'!$K$5,"EM ANDAMENTO","A INICIAR")))</f>
        <v>CONCLUÍDA</v>
      </c>
    </row>
    <row r="1651" customFormat="false" ht="15" hidden="false" customHeight="false" outlineLevel="0" collapsed="false">
      <c r="B1651" s="4" t="n">
        <v>31434171</v>
      </c>
      <c r="C1651" s="4" t="s">
        <v>2872</v>
      </c>
      <c r="D1651" s="4" t="s">
        <v>3729</v>
      </c>
      <c r="E1651" s="4" t="s">
        <v>3668</v>
      </c>
      <c r="F1651" s="127" t="n">
        <v>46301</v>
      </c>
      <c r="G1651" s="127" t="n">
        <v>46301</v>
      </c>
      <c r="H1651" s="127" t="n">
        <v>46293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/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4</v>
      </c>
      <c r="O1651" s="2" t="str">
        <f aca="false">IF(OR(F1651="",G1651=""),"",IF(G1651&lt;='RETRATO 2027'!$K$5,"CONCLUÍDA",IF(F1651&lt;='RETRATO 2027'!$K$5,"EM ANDAMENTO","A INICIAR")))</f>
        <v>CONCLUÍDA</v>
      </c>
    </row>
    <row r="1652" customFormat="false" ht="15" hidden="false" customHeight="false" outlineLevel="0" collapsed="false">
      <c r="B1652" s="4" t="n">
        <v>31434175</v>
      </c>
      <c r="C1652" s="4" t="s">
        <v>2872</v>
      </c>
      <c r="D1652" s="4" t="s">
        <v>2890</v>
      </c>
      <c r="E1652" s="4" t="s">
        <v>3668</v>
      </c>
      <c r="F1652" s="127" t="n">
        <v>46302</v>
      </c>
      <c r="G1652" s="127" t="n">
        <v>46302</v>
      </c>
      <c r="H1652" s="127" t="n">
        <v>46293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/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4</v>
      </c>
      <c r="O1652" s="2" t="str">
        <f aca="false">IF(OR(F1652="",G1652=""),"",IF(G1652&lt;='RETRATO 2027'!$K$5,"CONCLUÍDA",IF(F1652&lt;='RETRATO 2027'!$K$5,"EM ANDAMENTO","A INICIAR")))</f>
        <v>CONCLUÍDA</v>
      </c>
    </row>
    <row r="1653" customFormat="false" ht="15" hidden="false" customHeight="false" outlineLevel="0" collapsed="false">
      <c r="B1653" s="4" t="n">
        <v>31436146</v>
      </c>
      <c r="C1653" s="4" t="s">
        <v>2872</v>
      </c>
      <c r="D1653" s="4" t="s">
        <v>3730</v>
      </c>
      <c r="E1653" s="4" t="s">
        <v>3668</v>
      </c>
      <c r="F1653" s="127" t="n">
        <v>46303</v>
      </c>
      <c r="G1653" s="127" t="n">
        <v>46303</v>
      </c>
      <c r="H1653" s="127" t="n">
        <v>46293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/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4</v>
      </c>
      <c r="O1653" s="2" t="str">
        <f aca="false">IF(OR(F1653="",G1653=""),"",IF(G1653&lt;='RETRATO 2027'!$K$5,"CONCLUÍDA",IF(F1653&lt;='RETRATO 2027'!$K$5,"EM ANDAMENTO","A INICIAR")))</f>
        <v>CONCLUÍDA</v>
      </c>
    </row>
    <row r="1654" customFormat="false" ht="15" hidden="false" customHeight="false" outlineLevel="0" collapsed="false">
      <c r="B1654" s="4" t="n">
        <v>31436153</v>
      </c>
      <c r="C1654" s="4" t="s">
        <v>2872</v>
      </c>
      <c r="D1654" s="4" t="s">
        <v>3731</v>
      </c>
      <c r="E1654" s="4" t="s">
        <v>3668</v>
      </c>
      <c r="F1654" s="127" t="n">
        <v>46303</v>
      </c>
      <c r="G1654" s="127" t="n">
        <v>46303</v>
      </c>
      <c r="H1654" s="127" t="n">
        <v>46293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/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4</v>
      </c>
      <c r="O1654" s="2" t="str">
        <f aca="false">IF(OR(F1654="",G1654=""),"",IF(G1654&lt;='RETRATO 2027'!$K$5,"CONCLUÍDA",IF(F1654&lt;='RETRATO 2027'!$K$5,"EM ANDAMENTO","A INICIAR")))</f>
        <v>CONCLUÍDA</v>
      </c>
    </row>
    <row r="1655" customFormat="false" ht="15" hidden="false" customHeight="false" outlineLevel="0" collapsed="false">
      <c r="B1655" s="4" t="n">
        <v>31437347</v>
      </c>
      <c r="C1655" s="4" t="s">
        <v>2872</v>
      </c>
      <c r="D1655" s="4" t="s">
        <v>2808</v>
      </c>
      <c r="E1655" s="4" t="s">
        <v>3668</v>
      </c>
      <c r="F1655" s="127" t="n">
        <v>46304</v>
      </c>
      <c r="G1655" s="127" t="n">
        <v>46304</v>
      </c>
      <c r="H1655" s="127" t="n">
        <v>46293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/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4</v>
      </c>
      <c r="O1655" s="2" t="str">
        <f aca="false">IF(OR(F1655="",G1655=""),"",IF(G1655&lt;='RETRATO 2027'!$K$5,"CONCLUÍDA",IF(F1655&lt;='RETRATO 2027'!$K$5,"EM ANDAMENTO","A INICIAR")))</f>
        <v>CONCLUÍDA</v>
      </c>
    </row>
    <row r="1656" customFormat="false" ht="15" hidden="false" customHeight="false" outlineLevel="0" collapsed="false">
      <c r="B1656" s="4" t="n">
        <v>31437355</v>
      </c>
      <c r="C1656" s="4" t="s">
        <v>2872</v>
      </c>
      <c r="D1656" s="4" t="s">
        <v>2914</v>
      </c>
      <c r="E1656" s="4" t="s">
        <v>3668</v>
      </c>
      <c r="F1656" s="127" t="n">
        <v>46308</v>
      </c>
      <c r="G1656" s="127" t="n">
        <v>46308</v>
      </c>
      <c r="H1656" s="127" t="n">
        <v>46293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/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4</v>
      </c>
      <c r="O1656" s="2" t="str">
        <f aca="false">IF(OR(F1656="",G1656=""),"",IF(G1656&lt;='RETRATO 2027'!$K$5,"CONCLUÍDA",IF(F1656&lt;='RETRATO 2027'!$K$5,"EM ANDAMENTO","A INICIAR")))</f>
        <v>CONCLUÍDA</v>
      </c>
    </row>
    <row r="1657" customFormat="false" ht="15" hidden="false" customHeight="false" outlineLevel="0" collapsed="false">
      <c r="B1657" s="4" t="n">
        <v>31705478</v>
      </c>
      <c r="C1657" s="4" t="s">
        <v>2872</v>
      </c>
      <c r="D1657" s="4" t="s">
        <v>3732</v>
      </c>
      <c r="E1657" s="4" t="s">
        <v>3668</v>
      </c>
      <c r="F1657" s="127" t="n">
        <v>46308</v>
      </c>
      <c r="G1657" s="127" t="n">
        <v>46308</v>
      </c>
      <c r="H1657" s="127" t="n">
        <v>46293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/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4</v>
      </c>
      <c r="O1657" s="2" t="str">
        <f aca="false">IF(OR(F1657="",G1657=""),"",IF(G1657&lt;='RETRATO 2027'!$K$5,"CONCLUÍDA",IF(F1657&lt;='RETRATO 2027'!$K$5,"EM ANDAMENTO","A INICIAR")))</f>
        <v>CONCLUÍDA</v>
      </c>
    </row>
    <row r="1658" customFormat="false" ht="15" hidden="false" customHeight="false" outlineLevel="0" collapsed="false">
      <c r="B1658" s="4" t="n">
        <v>31705543</v>
      </c>
      <c r="C1658" s="4" t="s">
        <v>2872</v>
      </c>
      <c r="D1658" s="4" t="s">
        <v>3733</v>
      </c>
      <c r="E1658" s="4" t="s">
        <v>3668</v>
      </c>
      <c r="F1658" s="127" t="n">
        <v>46309</v>
      </c>
      <c r="G1658" s="127" t="n">
        <v>46310</v>
      </c>
      <c r="H1658" s="127" t="n">
        <v>46293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/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4</v>
      </c>
      <c r="O1658" s="2" t="str">
        <f aca="false">IF(OR(F1658="",G1658=""),"",IF(G1658&lt;='RETRATO 2027'!$K$5,"CONCLUÍDA",IF(F1658&lt;='RETRATO 2027'!$K$5,"EM ANDAMENTO","A INICIAR")))</f>
        <v>CONCLUÍDA</v>
      </c>
    </row>
    <row r="1659" customFormat="false" ht="15" hidden="false" customHeight="false" outlineLevel="0" collapsed="false">
      <c r="B1659" s="4" t="n">
        <v>31709837</v>
      </c>
      <c r="C1659" s="4" t="s">
        <v>2872</v>
      </c>
      <c r="D1659" s="4" t="s">
        <v>3734</v>
      </c>
      <c r="E1659" s="4" t="s">
        <v>3668</v>
      </c>
      <c r="F1659" s="127" t="n">
        <v>46310</v>
      </c>
      <c r="G1659" s="127" t="n">
        <v>46311</v>
      </c>
      <c r="H1659" s="127" t="n">
        <v>46293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/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4</v>
      </c>
      <c r="O1659" s="2" t="str">
        <f aca="false">IF(OR(F1659="",G1659=""),"",IF(G1659&lt;='RETRATO 2027'!$K$5,"CONCLUÍDA",IF(F1659&lt;='RETRATO 2027'!$K$5,"EM ANDAMENTO","A INICIAR")))</f>
        <v>CONCLUÍDA</v>
      </c>
    </row>
    <row r="1660" customFormat="false" ht="15" hidden="false" customHeight="false" outlineLevel="0" collapsed="false">
      <c r="B1660" s="4" t="n">
        <v>31711787</v>
      </c>
      <c r="C1660" s="4" t="s">
        <v>2872</v>
      </c>
      <c r="D1660" s="4" t="s">
        <v>3735</v>
      </c>
      <c r="E1660" s="4" t="s">
        <v>3668</v>
      </c>
      <c r="F1660" s="127" t="n">
        <v>46314</v>
      </c>
      <c r="G1660" s="127" t="n">
        <v>46314</v>
      </c>
      <c r="H1660" s="127" t="n">
        <v>46293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/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4</v>
      </c>
      <c r="O1660" s="2" t="str">
        <f aca="false">IF(OR(F1660="",G1660=""),"",IF(G1660&lt;='RETRATO 2027'!$K$5,"CONCLUÍDA",IF(F1660&lt;='RETRATO 2027'!$K$5,"EM ANDAMENTO","A INICIAR")))</f>
        <v>CONCLUÍDA</v>
      </c>
    </row>
    <row r="1661" customFormat="false" ht="15" hidden="false" customHeight="false" outlineLevel="0" collapsed="false">
      <c r="B1661" s="4" t="n">
        <v>31711808</v>
      </c>
      <c r="C1661" s="4" t="s">
        <v>2872</v>
      </c>
      <c r="D1661" s="4" t="s">
        <v>3736</v>
      </c>
      <c r="E1661" s="4" t="s">
        <v>3668</v>
      </c>
      <c r="F1661" s="127" t="n">
        <v>46314</v>
      </c>
      <c r="G1661" s="127" t="n">
        <v>46315</v>
      </c>
      <c r="H1661" s="127" t="n">
        <v>46293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/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4</v>
      </c>
      <c r="O1661" s="2" t="str">
        <f aca="false">IF(OR(F1661="",G1661=""),"",IF(G1661&lt;='RETRATO 2027'!$K$5,"CONCLUÍDA",IF(F1661&lt;='RETRATO 2027'!$K$5,"EM ANDAMENTO","A INICIAR")))</f>
        <v>CONCLUÍDA</v>
      </c>
    </row>
    <row r="1662" customFormat="false" ht="15" hidden="false" customHeight="false" outlineLevel="0" collapsed="false">
      <c r="B1662" s="4" t="n">
        <v>31711809</v>
      </c>
      <c r="C1662" s="4" t="s">
        <v>2872</v>
      </c>
      <c r="D1662" s="4" t="s">
        <v>2933</v>
      </c>
      <c r="E1662" s="4" t="s">
        <v>3668</v>
      </c>
      <c r="F1662" s="127" t="n">
        <v>46316</v>
      </c>
      <c r="G1662" s="127" t="n">
        <v>46317</v>
      </c>
      <c r="H1662" s="127" t="n">
        <v>46293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/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4</v>
      </c>
      <c r="O1662" s="2" t="str">
        <f aca="false">IF(OR(F1662="",G1662=""),"",IF(G1662&lt;='RETRATO 2027'!$K$5,"CONCLUÍDA",IF(F1662&lt;='RETRATO 2027'!$K$5,"EM ANDAMENTO","A INICIAR")))</f>
        <v>CONCLUÍDA</v>
      </c>
    </row>
    <row r="1663" customFormat="false" ht="15" hidden="false" customHeight="false" outlineLevel="0" collapsed="false">
      <c r="B1663" s="4" t="n">
        <v>31711810</v>
      </c>
      <c r="C1663" s="4" t="s">
        <v>2872</v>
      </c>
      <c r="D1663" s="4" t="s">
        <v>2924</v>
      </c>
      <c r="E1663" s="4" t="s">
        <v>3668</v>
      </c>
      <c r="F1663" s="127" t="n">
        <v>46316</v>
      </c>
      <c r="G1663" s="127" t="n">
        <v>46316</v>
      </c>
      <c r="H1663" s="127" t="n">
        <v>46293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/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4</v>
      </c>
      <c r="O1663" s="2" t="str">
        <f aca="false">IF(OR(F1663="",G1663=""),"",IF(G1663&lt;='RETRATO 2027'!$K$5,"CONCLUÍDA",IF(F1663&lt;='RETRATO 2027'!$K$5,"EM ANDAMENTO","A INICIAR")))</f>
        <v>CONCLUÍDA</v>
      </c>
    </row>
    <row r="1664" customFormat="false" ht="15" hidden="false" customHeight="false" outlineLevel="0" collapsed="false">
      <c r="B1664" s="4" t="n">
        <v>31711811</v>
      </c>
      <c r="C1664" s="4" t="s">
        <v>2872</v>
      </c>
      <c r="D1664" s="4" t="s">
        <v>2930</v>
      </c>
      <c r="E1664" s="4" t="s">
        <v>3668</v>
      </c>
      <c r="F1664" s="127" t="n">
        <v>46317</v>
      </c>
      <c r="G1664" s="127" t="n">
        <v>46317</v>
      </c>
      <c r="H1664" s="127" t="n">
        <v>46293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/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4</v>
      </c>
      <c r="O1664" s="2" t="str">
        <f aca="false">IF(OR(F1664="",G1664=""),"",IF(G1664&lt;='RETRATO 2027'!$K$5,"CONCLUÍDA",IF(F1664&lt;='RETRATO 2027'!$K$5,"EM ANDAMENTO","A INICIAR")))</f>
        <v>CONCLUÍDA</v>
      </c>
    </row>
    <row r="1665" customFormat="false" ht="15" hidden="false" customHeight="false" outlineLevel="0" collapsed="false">
      <c r="B1665" s="4" t="n">
        <v>31711812</v>
      </c>
      <c r="C1665" s="4" t="s">
        <v>2872</v>
      </c>
      <c r="D1665" s="4" t="s">
        <v>3737</v>
      </c>
      <c r="E1665" s="4" t="s">
        <v>3668</v>
      </c>
      <c r="F1665" s="127" t="n">
        <v>46317</v>
      </c>
      <c r="G1665" s="127" t="n">
        <v>46318</v>
      </c>
      <c r="H1665" s="127" t="n">
        <v>46293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/>
      </c>
      <c r="N1665" s="2" t="n">
        <f aca="false">IF(E1665="","",IF(ISNUMBER(SEARCH("SUBSOLO",E1665)),IFERROR(-VALUE(LEFT(E1665,FIND("º",SUBSTITUTE(E1665,"°","º"))-1)),-1),IF(LEFT(E1665,6)="TÉRREO",0,IFERROR(VALUE(LEFT(E1665,FIND("º",SUBSTITUTE(E1665,"°","º"))-1)),""))))</f>
        <v>4</v>
      </c>
      <c r="O1665" s="2" t="str">
        <f aca="false">IF(OR(F1665="",G1665=""),"",IF(G1665&lt;='RETRATO 2027'!$K$5,"CONCLUÍDA",IF(F1665&lt;='RETRATO 2027'!$K$5,"EM ANDAMENTO","A INICIAR")))</f>
        <v>CONCLUÍDA</v>
      </c>
    </row>
    <row r="1666" customFormat="false" ht="15" hidden="false" customHeight="false" outlineLevel="0" collapsed="false">
      <c r="B1666" s="4" t="n">
        <v>31711815</v>
      </c>
      <c r="C1666" s="4" t="s">
        <v>2872</v>
      </c>
      <c r="D1666" s="4" t="s">
        <v>166</v>
      </c>
      <c r="E1666" s="4" t="s">
        <v>3668</v>
      </c>
      <c r="F1666" s="127" t="n">
        <v>46321</v>
      </c>
      <c r="G1666" s="127" t="n">
        <v>46323</v>
      </c>
      <c r="H1666" s="127" t="n">
        <v>46293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/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4</v>
      </c>
      <c r="O1666" s="2" t="str">
        <f aca="false">IF(OR(F1666="",G1666=""),"",IF(G1666&lt;='RETRATO 2027'!$K$5,"CONCLUÍDA",IF(F1666&lt;='RETRATO 2027'!$K$5,"EM ANDAMENTO","A INICIAR")))</f>
        <v>CONCLUÍDA</v>
      </c>
    </row>
    <row r="1667" customFormat="false" ht="15" hidden="false" customHeight="false" outlineLevel="0" collapsed="false">
      <c r="B1667" s="4" t="n">
        <v>31722079</v>
      </c>
      <c r="C1667" s="4" t="s">
        <v>2872</v>
      </c>
      <c r="D1667" s="4" t="s">
        <v>2938</v>
      </c>
      <c r="E1667" s="4" t="s">
        <v>3668</v>
      </c>
      <c r="F1667" s="127" t="n">
        <v>46324</v>
      </c>
      <c r="G1667" s="127" t="n">
        <v>46330</v>
      </c>
      <c r="H1667" s="127" t="n">
        <v>46293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/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4</v>
      </c>
      <c r="O1667" s="2" t="str">
        <f aca="false">IF(OR(F1667="",G1667=""),"",IF(G1667&lt;='RETRATO 2027'!$K$5,"CONCLUÍDA",IF(F1667&lt;='RETRATO 2027'!$K$5,"EM ANDAMENTO","A INICIAR")))</f>
        <v>CONCLUÍDA</v>
      </c>
    </row>
    <row r="1668" customFormat="false" ht="15" hidden="false" customHeight="false" outlineLevel="0" collapsed="false">
      <c r="B1668" s="4" t="n">
        <v>31722080</v>
      </c>
      <c r="C1668" s="4" t="s">
        <v>2872</v>
      </c>
      <c r="D1668" s="4" t="s">
        <v>3738</v>
      </c>
      <c r="E1668" s="4" t="s">
        <v>3668</v>
      </c>
      <c r="F1668" s="127" t="n">
        <v>46331</v>
      </c>
      <c r="G1668" s="127" t="n">
        <v>46336</v>
      </c>
      <c r="H1668" s="127" t="n">
        <v>46293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/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4</v>
      </c>
      <c r="O1668" s="2" t="str">
        <f aca="false">IF(OR(F1668="",G1668=""),"",IF(G1668&lt;='RETRATO 2027'!$K$5,"CONCLUÍDA",IF(F1668&lt;='RETRATO 2027'!$K$5,"EM ANDAMENTO","A INICIAR")))</f>
        <v>CONCLUÍDA</v>
      </c>
    </row>
    <row r="1669" customFormat="false" ht="15" hidden="false" customHeight="false" outlineLevel="0" collapsed="false">
      <c r="B1669" s="4" t="n">
        <v>31722081</v>
      </c>
      <c r="C1669" s="4" t="s">
        <v>2872</v>
      </c>
      <c r="D1669" s="4" t="s">
        <v>2977</v>
      </c>
      <c r="E1669" s="4" t="s">
        <v>3668</v>
      </c>
      <c r="F1669" s="127" t="n">
        <v>46337</v>
      </c>
      <c r="G1669" s="127" t="n">
        <v>46342</v>
      </c>
      <c r="H1669" s="127" t="n">
        <v>46293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/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4</v>
      </c>
      <c r="O1669" s="2" t="str">
        <f aca="false">IF(OR(F1669="",G1669=""),"",IF(G1669&lt;='RETRATO 2027'!$K$5,"CONCLUÍDA",IF(F1669&lt;='RETRATO 2027'!$K$5,"EM ANDAMENTO","A INICIAR")))</f>
        <v>CONCLUÍDA</v>
      </c>
    </row>
    <row r="1670" customFormat="false" ht="15" hidden="false" customHeight="false" outlineLevel="0" collapsed="false">
      <c r="B1670" s="4" t="n">
        <v>31722137</v>
      </c>
      <c r="C1670" s="4" t="s">
        <v>2872</v>
      </c>
      <c r="D1670" s="4" t="s">
        <v>2983</v>
      </c>
      <c r="E1670" s="4" t="s">
        <v>3668</v>
      </c>
      <c r="F1670" s="127" t="n">
        <v>46343</v>
      </c>
      <c r="G1670" s="127" t="n">
        <v>46344</v>
      </c>
      <c r="H1670" s="127" t="n">
        <v>46293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/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4</v>
      </c>
      <c r="O1670" s="2" t="str">
        <f aca="false">IF(OR(F1670="",G1670=""),"",IF(G1670&lt;='RETRATO 2027'!$K$5,"CONCLUÍDA",IF(F1670&lt;='RETRATO 2027'!$K$5,"EM ANDAMENTO","A INICIAR")))</f>
        <v>CONCLUÍDA</v>
      </c>
    </row>
    <row r="1671" customFormat="false" ht="15" hidden="false" customHeight="false" outlineLevel="0" collapsed="false">
      <c r="B1671" s="4" t="n">
        <v>31722148</v>
      </c>
      <c r="C1671" s="4" t="s">
        <v>2872</v>
      </c>
      <c r="D1671" s="4" t="s">
        <v>2986</v>
      </c>
      <c r="E1671" s="4" t="s">
        <v>3668</v>
      </c>
      <c r="F1671" s="127" t="n">
        <v>46343</v>
      </c>
      <c r="G1671" s="127" t="n">
        <v>46343</v>
      </c>
      <c r="H1671" s="127" t="n">
        <v>46293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/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4</v>
      </c>
      <c r="O1671" s="2" t="str">
        <f aca="false">IF(OR(F1671="",G1671=""),"",IF(G1671&lt;='RETRATO 2027'!$K$5,"CONCLUÍDA",IF(F1671&lt;='RETRATO 2027'!$K$5,"EM ANDAMENTO","A INICIAR")))</f>
        <v>CONCLUÍDA</v>
      </c>
    </row>
    <row r="1672" customFormat="false" ht="15" hidden="false" customHeight="false" outlineLevel="0" collapsed="false">
      <c r="B1672" s="4" t="n">
        <v>31722155</v>
      </c>
      <c r="C1672" s="4" t="s">
        <v>2872</v>
      </c>
      <c r="D1672" s="4" t="s">
        <v>208</v>
      </c>
      <c r="E1672" s="4" t="s">
        <v>3668</v>
      </c>
      <c r="F1672" s="127" t="n">
        <v>46344</v>
      </c>
      <c r="G1672" s="127" t="n">
        <v>46349</v>
      </c>
      <c r="H1672" s="127" t="n">
        <v>46293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/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4</v>
      </c>
      <c r="O1672" s="2" t="str">
        <f aca="false">IF(OR(F1672="",G1672=""),"",IF(G1672&lt;='RETRATO 2027'!$K$5,"CONCLUÍDA",IF(F1672&lt;='RETRATO 2027'!$K$5,"EM ANDAMENTO","A INICIAR")))</f>
        <v>CONCLUÍDA</v>
      </c>
    </row>
    <row r="1673" customFormat="false" ht="15" hidden="false" customHeight="false" outlineLevel="0" collapsed="false">
      <c r="B1673" s="4" t="n">
        <v>31722156</v>
      </c>
      <c r="C1673" s="4" t="s">
        <v>2872</v>
      </c>
      <c r="D1673" s="4" t="s">
        <v>2980</v>
      </c>
      <c r="E1673" s="4" t="s">
        <v>3668</v>
      </c>
      <c r="F1673" s="127" t="n">
        <v>46350</v>
      </c>
      <c r="G1673" s="127" t="n">
        <v>46352</v>
      </c>
      <c r="H1673" s="127" t="n">
        <v>46293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/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4</v>
      </c>
      <c r="O1673" s="2" t="str">
        <f aca="false">IF(OR(F1673="",G1673=""),"",IF(G1673&lt;='RETRATO 2027'!$K$5,"CONCLUÍDA",IF(F1673&lt;='RETRATO 2027'!$K$5,"EM ANDAMENTO","A INICIAR")))</f>
        <v>CONCLUÍDA</v>
      </c>
    </row>
    <row r="1674" customFormat="false" ht="15" hidden="false" customHeight="false" outlineLevel="0" collapsed="false">
      <c r="B1674" s="4" t="n">
        <v>31722157</v>
      </c>
      <c r="C1674" s="4" t="s">
        <v>2872</v>
      </c>
      <c r="D1674" s="4" t="s">
        <v>3739</v>
      </c>
      <c r="E1674" s="4" t="s">
        <v>3668</v>
      </c>
      <c r="F1674" s="127" t="n">
        <v>46353</v>
      </c>
      <c r="G1674" s="127" t="n">
        <v>46357</v>
      </c>
      <c r="H1674" s="127" t="n">
        <v>46293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/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4</v>
      </c>
      <c r="O1674" s="2" t="str">
        <f aca="false">IF(OR(F1674="",G1674=""),"",IF(G1674&lt;='RETRATO 2027'!$K$5,"CONCLUÍDA",IF(F1674&lt;='RETRATO 2027'!$K$5,"EM ANDAMENTO","A INICIAR")))</f>
        <v>CONCLUÍDA</v>
      </c>
    </row>
    <row r="1675" customFormat="false" ht="15" hidden="false" customHeight="false" outlineLevel="0" collapsed="false">
      <c r="B1675" s="4" t="n">
        <v>31724248</v>
      </c>
      <c r="C1675" s="4" t="s">
        <v>2872</v>
      </c>
      <c r="D1675" s="4" t="s">
        <v>3740</v>
      </c>
      <c r="E1675" s="4" t="s">
        <v>3668</v>
      </c>
      <c r="F1675" s="127" t="n">
        <v>46358</v>
      </c>
      <c r="G1675" s="127" t="n">
        <v>46360</v>
      </c>
      <c r="H1675" s="127" t="n">
        <v>46293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/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4</v>
      </c>
      <c r="O1675" s="2" t="str">
        <f aca="false">IF(OR(F1675="",G1675=""),"",IF(G1675&lt;='RETRATO 2027'!$K$5,"CONCLUÍDA",IF(F1675&lt;='RETRATO 2027'!$K$5,"EM ANDAMENTO","A INICIAR")))</f>
        <v>CONCLUÍDA</v>
      </c>
    </row>
    <row r="1676" customFormat="false" ht="15" hidden="false" customHeight="false" outlineLevel="0" collapsed="false">
      <c r="B1676" s="4" t="n">
        <v>31724249</v>
      </c>
      <c r="C1676" s="4" t="s">
        <v>2872</v>
      </c>
      <c r="D1676" s="4" t="s">
        <v>3741</v>
      </c>
      <c r="E1676" s="4" t="s">
        <v>3668</v>
      </c>
      <c r="F1676" s="127" t="n">
        <v>46363</v>
      </c>
      <c r="G1676" s="127" t="n">
        <v>46366</v>
      </c>
      <c r="H1676" s="127" t="n">
        <v>46293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/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4</v>
      </c>
      <c r="O1676" s="2" t="str">
        <f aca="false">IF(OR(F1676="",G1676=""),"",IF(G1676&lt;='RETRATO 2027'!$K$5,"CONCLUÍDA",IF(F1676&lt;='RETRATO 2027'!$K$5,"EM ANDAMENTO","A INICIAR")))</f>
        <v>CONCLUÍDA</v>
      </c>
    </row>
    <row r="1677" customFormat="false" ht="15" hidden="false" customHeight="false" outlineLevel="0" collapsed="false">
      <c r="B1677" s="4" t="n">
        <v>31724254</v>
      </c>
      <c r="C1677" s="4" t="s">
        <v>2872</v>
      </c>
      <c r="D1677" s="4" t="s">
        <v>3742</v>
      </c>
      <c r="E1677" s="4" t="s">
        <v>3668</v>
      </c>
      <c r="F1677" s="127" t="n">
        <v>46367</v>
      </c>
      <c r="G1677" s="127" t="n">
        <v>46367</v>
      </c>
      <c r="H1677" s="127" t="n">
        <v>46293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/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4</v>
      </c>
      <c r="O1677" s="2" t="str">
        <f aca="false">IF(OR(F1677="",G1677=""),"",IF(G1677&lt;='RETRATO 2027'!$K$5,"CONCLUÍDA",IF(F1677&lt;='RETRATO 2027'!$K$5,"EM ANDAMENTO","A INICIAR")))</f>
        <v>CONCLUÍDA</v>
      </c>
    </row>
    <row r="1678" customFormat="false" ht="15" hidden="false" customHeight="false" outlineLevel="0" collapsed="false">
      <c r="B1678" s="4" t="n">
        <v>31724255</v>
      </c>
      <c r="C1678" s="4" t="s">
        <v>2872</v>
      </c>
      <c r="D1678" s="4" t="s">
        <v>3743</v>
      </c>
      <c r="E1678" s="4" t="s">
        <v>3668</v>
      </c>
      <c r="F1678" s="127" t="n">
        <v>46370</v>
      </c>
      <c r="G1678" s="127" t="n">
        <v>46370</v>
      </c>
      <c r="H1678" s="127" t="n">
        <v>46293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/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4</v>
      </c>
      <c r="O1678" s="2" t="str">
        <f aca="false">IF(OR(F1678="",G1678=""),"",IF(G1678&lt;='RETRATO 2027'!$K$5,"CONCLUÍDA",IF(F1678&lt;='RETRATO 2027'!$K$5,"EM ANDAMENTO","A INICIAR")))</f>
        <v>CONCLUÍDA</v>
      </c>
    </row>
    <row r="1679" customFormat="false" ht="15" hidden="false" customHeight="false" outlineLevel="0" collapsed="false">
      <c r="B1679" s="4" t="n">
        <v>31724262</v>
      </c>
      <c r="C1679" s="4" t="s">
        <v>2872</v>
      </c>
      <c r="D1679" s="4" t="s">
        <v>3009</v>
      </c>
      <c r="E1679" s="4" t="s">
        <v>3668</v>
      </c>
      <c r="F1679" s="127" t="n">
        <v>46371</v>
      </c>
      <c r="G1679" s="127" t="n">
        <v>46372</v>
      </c>
      <c r="H1679" s="127" t="n">
        <v>46293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/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4</v>
      </c>
      <c r="O1679" s="2" t="str">
        <f aca="false">IF(OR(F1679="",G1679=""),"",IF(G1679&lt;='RETRATO 2027'!$K$5,"CONCLUÍDA",IF(F1679&lt;='RETRATO 2027'!$K$5,"EM ANDAMENTO","A INICIAR")))</f>
        <v>CONCLUÍDA</v>
      </c>
    </row>
    <row r="1680" customFormat="false" ht="15" hidden="false" customHeight="false" outlineLevel="0" collapsed="false">
      <c r="B1680" s="4" t="n">
        <v>31724263</v>
      </c>
      <c r="C1680" s="4" t="s">
        <v>2872</v>
      </c>
      <c r="D1680" s="4" t="s">
        <v>2962</v>
      </c>
      <c r="E1680" s="4" t="s">
        <v>3668</v>
      </c>
      <c r="F1680" s="127" t="n">
        <v>46373</v>
      </c>
      <c r="G1680" s="127" t="n">
        <v>46373</v>
      </c>
      <c r="H1680" s="127" t="n">
        <v>46293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/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4</v>
      </c>
      <c r="O1680" s="2" t="str">
        <f aca="false">IF(OR(F1680="",G1680=""),"",IF(G1680&lt;='RETRATO 2027'!$K$5,"CONCLUÍDA",IF(F1680&lt;='RETRATO 2027'!$K$5,"EM ANDAMENTO","A INICIAR")))</f>
        <v>CONCLUÍDA</v>
      </c>
    </row>
    <row r="1681" customFormat="false" ht="15" hidden="false" customHeight="false" outlineLevel="0" collapsed="false">
      <c r="B1681" s="4" t="n">
        <v>31724264</v>
      </c>
      <c r="C1681" s="4" t="s">
        <v>2872</v>
      </c>
      <c r="D1681" s="4" t="s">
        <v>3744</v>
      </c>
      <c r="E1681" s="4" t="s">
        <v>3668</v>
      </c>
      <c r="F1681" s="127" t="n">
        <v>46374</v>
      </c>
      <c r="G1681" s="127" t="n">
        <v>46374</v>
      </c>
      <c r="H1681" s="127" t="n">
        <v>46293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/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4</v>
      </c>
      <c r="O1681" s="2" t="str">
        <f aca="false">IF(OR(F1681="",G1681=""),"",IF(G1681&lt;='RETRATO 2027'!$K$5,"CONCLUÍDA",IF(F1681&lt;='RETRATO 2027'!$K$5,"EM ANDAMENTO","A INICIAR")))</f>
        <v>CONCLUÍDA</v>
      </c>
    </row>
    <row r="1682" customFormat="false" ht="15" hidden="false" customHeight="false" outlineLevel="0" collapsed="false">
      <c r="B1682" s="4" t="n">
        <v>31724265</v>
      </c>
      <c r="C1682" s="4" t="s">
        <v>2872</v>
      </c>
      <c r="D1682" s="4" t="s">
        <v>3006</v>
      </c>
      <c r="E1682" s="4" t="s">
        <v>3668</v>
      </c>
      <c r="F1682" s="127" t="n">
        <v>46391</v>
      </c>
      <c r="G1682" s="127" t="n">
        <v>46391</v>
      </c>
      <c r="H1682" s="127" t="n">
        <v>46293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/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4</v>
      </c>
      <c r="O1682" s="2" t="str">
        <f aca="false">IF(OR(F1682="",G1682=""),"",IF(G1682&lt;='RETRATO 2027'!$K$5,"CONCLUÍDA",IF(F1682&lt;='RETRATO 2027'!$K$5,"EM ANDAMENTO","A INICIAR")))</f>
        <v>CONCLUÍDA</v>
      </c>
    </row>
    <row r="1683" customFormat="false" ht="15" hidden="false" customHeight="false" outlineLevel="0" collapsed="false">
      <c r="B1683" s="4" t="n">
        <v>31724270</v>
      </c>
      <c r="C1683" s="4" t="s">
        <v>2872</v>
      </c>
      <c r="D1683" s="4" t="s">
        <v>3745</v>
      </c>
      <c r="E1683" s="4" t="s">
        <v>3668</v>
      </c>
      <c r="F1683" s="127" t="n">
        <v>46392</v>
      </c>
      <c r="G1683" s="127" t="n">
        <v>46393</v>
      </c>
      <c r="H1683" s="127" t="n">
        <v>46293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/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4</v>
      </c>
      <c r="O1683" s="2" t="str">
        <f aca="false">IF(OR(F1683="",G1683=""),"",IF(G1683&lt;='RETRATO 2027'!$K$5,"CONCLUÍDA",IF(F1683&lt;='RETRATO 2027'!$K$5,"EM ANDAMENTO","A INICIAR")))</f>
        <v>CONCLUÍDA</v>
      </c>
    </row>
    <row r="1684" customFormat="false" ht="15" hidden="false" customHeight="false" outlineLevel="0" collapsed="false">
      <c r="B1684" s="4" t="n">
        <v>31724271</v>
      </c>
      <c r="C1684" s="4" t="s">
        <v>2872</v>
      </c>
      <c r="D1684" s="4" t="s">
        <v>2965</v>
      </c>
      <c r="E1684" s="4" t="s">
        <v>3668</v>
      </c>
      <c r="F1684" s="127" t="n">
        <v>46394</v>
      </c>
      <c r="G1684" s="127" t="n">
        <v>46394</v>
      </c>
      <c r="H1684" s="127" t="n">
        <v>46293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/>
      </c>
      <c r="N1684" s="2" t="n">
        <f aca="false">IF(E1684="","",IF(ISNUMBER(SEARCH("SUBSOLO",E1684)),IFERROR(-VALUE(LEFT(E1684,FIND("º",SUBSTITUTE(E1684,"°","º"))-1)),-1),IF(LEFT(E1684,6)="TÉRREO",0,IFERROR(VALUE(LEFT(E1684,FIND("º",SUBSTITUTE(E1684,"°","º"))-1)),""))))</f>
        <v>4</v>
      </c>
      <c r="O1684" s="2" t="str">
        <f aca="false">IF(OR(F1684="",G1684=""),"",IF(G1684&lt;='RETRATO 2027'!$K$5,"CONCLUÍDA",IF(F1684&lt;='RETRATO 2027'!$K$5,"EM ANDAMENTO","A INICIAR")))</f>
        <v>CONCLUÍDA</v>
      </c>
    </row>
    <row r="1685" customFormat="false" ht="15" hidden="false" customHeight="false" outlineLevel="0" collapsed="false">
      <c r="B1685" s="4" t="n">
        <v>31724272</v>
      </c>
      <c r="C1685" s="4" t="s">
        <v>2872</v>
      </c>
      <c r="D1685" s="4" t="s">
        <v>3093</v>
      </c>
      <c r="E1685" s="4" t="s">
        <v>3668</v>
      </c>
      <c r="F1685" s="127" t="n">
        <v>46395</v>
      </c>
      <c r="G1685" s="127" t="n">
        <v>46395</v>
      </c>
      <c r="H1685" s="127" t="n">
        <v>46293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/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4</v>
      </c>
      <c r="O1685" s="2" t="str">
        <f aca="false">IF(OR(F1685="",G1685=""),"",IF(G1685&lt;='RETRATO 2027'!$K$5,"CONCLUÍDA",IF(F1685&lt;='RETRATO 2027'!$K$5,"EM ANDAMENTO","A INICIAR")))</f>
        <v>CONCLUÍDA</v>
      </c>
    </row>
    <row r="1686" customFormat="false" ht="15" hidden="false" customHeight="false" outlineLevel="0" collapsed="false">
      <c r="B1686" s="4" t="n">
        <v>31724273</v>
      </c>
      <c r="C1686" s="4" t="s">
        <v>2872</v>
      </c>
      <c r="D1686" s="4" t="s">
        <v>3746</v>
      </c>
      <c r="E1686" s="4" t="s">
        <v>3668</v>
      </c>
      <c r="F1686" s="127" t="n">
        <v>46398</v>
      </c>
      <c r="G1686" s="127" t="n">
        <v>46399</v>
      </c>
      <c r="H1686" s="127" t="n">
        <v>46293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/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4</v>
      </c>
      <c r="O1686" s="2" t="str">
        <f aca="false">IF(OR(F1686="",G1686=""),"",IF(G1686&lt;='RETRATO 2027'!$K$5,"CONCLUÍDA",IF(F1686&lt;='RETRATO 2027'!$K$5,"EM ANDAMENTO","A INICIAR")))</f>
        <v>CONCLUÍDA</v>
      </c>
    </row>
    <row r="1687" customFormat="false" ht="15" hidden="false" customHeight="false" outlineLevel="0" collapsed="false">
      <c r="B1687" s="4" t="n">
        <v>31724274</v>
      </c>
      <c r="C1687" s="4" t="s">
        <v>2872</v>
      </c>
      <c r="D1687" s="4" t="s">
        <v>2971</v>
      </c>
      <c r="E1687" s="4" t="s">
        <v>3668</v>
      </c>
      <c r="F1687" s="127" t="n">
        <v>46400</v>
      </c>
      <c r="G1687" s="127" t="n">
        <v>46400</v>
      </c>
      <c r="H1687" s="127" t="n">
        <v>46293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/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4</v>
      </c>
      <c r="O1687" s="2" t="str">
        <f aca="false">IF(OR(F1687="",G1687=""),"",IF(G1687&lt;='RETRATO 2027'!$K$5,"CONCLUÍDA",IF(F1687&lt;='RETRATO 2027'!$K$5,"EM ANDAMENTO","A INICIAR")))</f>
        <v>CONCLUÍDA</v>
      </c>
    </row>
    <row r="1688" customFormat="false" ht="15" hidden="false" customHeight="false" outlineLevel="0" collapsed="false">
      <c r="B1688" s="4" t="n">
        <v>31724417</v>
      </c>
      <c r="C1688" s="4" t="s">
        <v>2872</v>
      </c>
      <c r="D1688" s="4" t="s">
        <v>3029</v>
      </c>
      <c r="E1688" s="4" t="s">
        <v>3668</v>
      </c>
      <c r="F1688" s="127" t="n">
        <v>46401</v>
      </c>
      <c r="G1688" s="127" t="n">
        <v>46405</v>
      </c>
      <c r="H1688" s="127" t="n">
        <v>46293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/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4</v>
      </c>
      <c r="O1688" s="2" t="str">
        <f aca="false">IF(OR(F1688="",G1688=""),"",IF(G1688&lt;='RETRATO 2027'!$K$5,"CONCLUÍDA",IF(F1688&lt;='RETRATO 2027'!$K$5,"EM ANDAMENTO","A INICIAR")))</f>
        <v>CONCLUÍDA</v>
      </c>
    </row>
    <row r="1689" customFormat="false" ht="15" hidden="false" customHeight="false" outlineLevel="0" collapsed="false">
      <c r="B1689" s="4" t="n">
        <v>47437369</v>
      </c>
      <c r="C1689" s="4" t="s">
        <v>2875</v>
      </c>
      <c r="D1689" s="4" t="s">
        <v>433</v>
      </c>
      <c r="E1689" s="4" t="s">
        <v>3668</v>
      </c>
      <c r="F1689" s="127" t="n">
        <v>46296</v>
      </c>
      <c r="G1689" s="127" t="n">
        <v>46402</v>
      </c>
      <c r="H1689" s="127" t="n">
        <v>46293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/>
      </c>
      <c r="N1689" s="2" t="n">
        <f aca="false">IF(E1689="","",IF(ISNUMBER(SEARCH("SUBSOLO",E1689)),IFERROR(-VALUE(LEFT(E1689,FIND("º",SUBSTITUTE(E1689,"°","º"))-1)),-1),IF(LEFT(E1689,6)="TÉRREO",0,IFERROR(VALUE(LEFT(E1689,FIND("º",SUBSTITUTE(E1689,"°","º"))-1)),""))))</f>
        <v>4</v>
      </c>
      <c r="O1689" s="2" t="str">
        <f aca="false">IF(OR(F1689="",G1689=""),"",IF(G1689&lt;='RETRATO 2027'!$K$5,"CONCLUÍDA",IF(F1689&lt;='RETRATO 2027'!$K$5,"EM ANDAMENTO","A INICIAR")))</f>
        <v>CONCLUÍDA</v>
      </c>
    </row>
    <row r="1690" customFormat="false" ht="15" hidden="false" customHeight="false" outlineLevel="0" collapsed="false">
      <c r="B1690" s="4" t="n">
        <v>31722223</v>
      </c>
      <c r="C1690" s="4" t="s">
        <v>2875</v>
      </c>
      <c r="D1690" s="4" t="s">
        <v>163</v>
      </c>
      <c r="E1690" s="4" t="s">
        <v>3668</v>
      </c>
      <c r="F1690" s="127" t="n">
        <v>46296</v>
      </c>
      <c r="G1690" s="127" t="n">
        <v>46297</v>
      </c>
      <c r="H1690" s="127" t="n">
        <v>46293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/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4</v>
      </c>
      <c r="O1690" s="2" t="str">
        <f aca="false">IF(OR(F1690="",G1690=""),"",IF(G1690&lt;='RETRATO 2027'!$K$5,"CONCLUÍDA",IF(F1690&lt;='RETRATO 2027'!$K$5,"EM ANDAMENTO","A INICIAR")))</f>
        <v>CONCLUÍDA</v>
      </c>
    </row>
    <row r="1691" customFormat="false" ht="15" hidden="false" customHeight="false" outlineLevel="0" collapsed="false">
      <c r="B1691" s="4" t="n">
        <v>31722225</v>
      </c>
      <c r="C1691" s="4" t="s">
        <v>2875</v>
      </c>
      <c r="D1691" s="4" t="s">
        <v>3747</v>
      </c>
      <c r="E1691" s="4" t="s">
        <v>3668</v>
      </c>
      <c r="F1691" s="127" t="n">
        <v>46300</v>
      </c>
      <c r="G1691" s="127" t="n">
        <v>46300</v>
      </c>
      <c r="H1691" s="127" t="n">
        <v>46293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/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4</v>
      </c>
      <c r="O1691" s="2" t="str">
        <f aca="false">IF(OR(F1691="",G1691=""),"",IF(G1691&lt;='RETRATO 2027'!$K$5,"CONCLUÍDA",IF(F1691&lt;='RETRATO 2027'!$K$5,"EM ANDAMENTO","A INICIAR")))</f>
        <v>CONCLUÍDA</v>
      </c>
    </row>
    <row r="1692" customFormat="false" ht="15" hidden="false" customHeight="false" outlineLevel="0" collapsed="false">
      <c r="B1692" s="4" t="n">
        <v>31722228</v>
      </c>
      <c r="C1692" s="4" t="s">
        <v>2875</v>
      </c>
      <c r="D1692" s="4" t="s">
        <v>2886</v>
      </c>
      <c r="E1692" s="4" t="s">
        <v>3668</v>
      </c>
      <c r="F1692" s="127" t="n">
        <v>46301</v>
      </c>
      <c r="G1692" s="127" t="n">
        <v>46301</v>
      </c>
      <c r="H1692" s="127" t="n">
        <v>46293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/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4</v>
      </c>
      <c r="O1692" s="2" t="str">
        <f aca="false">IF(OR(F1692="",G1692=""),"",IF(G1692&lt;='RETRATO 2027'!$K$5,"CONCLUÍDA",IF(F1692&lt;='RETRATO 2027'!$K$5,"EM ANDAMENTO","A INICIAR")))</f>
        <v>CONCLUÍDA</v>
      </c>
    </row>
    <row r="1693" customFormat="false" ht="15" hidden="false" customHeight="false" outlineLevel="0" collapsed="false">
      <c r="B1693" s="4" t="n">
        <v>31722229</v>
      </c>
      <c r="C1693" s="4" t="s">
        <v>2875</v>
      </c>
      <c r="D1693" s="4" t="s">
        <v>3729</v>
      </c>
      <c r="E1693" s="4" t="s">
        <v>3668</v>
      </c>
      <c r="F1693" s="127" t="n">
        <v>46302</v>
      </c>
      <c r="G1693" s="127" t="n">
        <v>46302</v>
      </c>
      <c r="H1693" s="127" t="n">
        <v>46293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/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4</v>
      </c>
      <c r="O1693" s="2" t="str">
        <f aca="false">IF(OR(F1693="",G1693=""),"",IF(G1693&lt;='RETRATO 2027'!$K$5,"CONCLUÍDA",IF(F1693&lt;='RETRATO 2027'!$K$5,"EM ANDAMENTO","A INICIAR")))</f>
        <v>CONCLUÍDA</v>
      </c>
    </row>
    <row r="1694" customFormat="false" ht="15" hidden="false" customHeight="false" outlineLevel="0" collapsed="false">
      <c r="B1694" s="4" t="n">
        <v>31722230</v>
      </c>
      <c r="C1694" s="4" t="s">
        <v>2875</v>
      </c>
      <c r="D1694" s="4" t="s">
        <v>2890</v>
      </c>
      <c r="E1694" s="4" t="s">
        <v>3668</v>
      </c>
      <c r="F1694" s="127" t="n">
        <v>46303</v>
      </c>
      <c r="G1694" s="127" t="n">
        <v>46303</v>
      </c>
      <c r="H1694" s="127" t="n">
        <v>46293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/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4</v>
      </c>
      <c r="O1694" s="2" t="str">
        <f aca="false">IF(OR(F1694="",G1694=""),"",IF(G1694&lt;='RETRATO 2027'!$K$5,"CONCLUÍDA",IF(F1694&lt;='RETRATO 2027'!$K$5,"EM ANDAMENTO","A INICIAR")))</f>
        <v>CONCLUÍDA</v>
      </c>
    </row>
    <row r="1695" customFormat="false" ht="15" hidden="false" customHeight="false" outlineLevel="0" collapsed="false">
      <c r="B1695" s="4" t="n">
        <v>31722231</v>
      </c>
      <c r="C1695" s="4" t="s">
        <v>2875</v>
      </c>
      <c r="D1695" s="4" t="s">
        <v>3730</v>
      </c>
      <c r="E1695" s="4" t="s">
        <v>3668</v>
      </c>
      <c r="F1695" s="127" t="n">
        <v>46304</v>
      </c>
      <c r="G1695" s="127" t="n">
        <v>46304</v>
      </c>
      <c r="H1695" s="127" t="n">
        <v>46293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/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4</v>
      </c>
      <c r="O1695" s="2" t="str">
        <f aca="false">IF(OR(F1695="",G1695=""),"",IF(G1695&lt;='RETRATO 2027'!$K$5,"CONCLUÍDA",IF(F1695&lt;='RETRATO 2027'!$K$5,"EM ANDAMENTO","A INICIAR")))</f>
        <v>CONCLUÍDA</v>
      </c>
    </row>
    <row r="1696" customFormat="false" ht="15" hidden="false" customHeight="false" outlineLevel="0" collapsed="false">
      <c r="B1696" s="4" t="n">
        <v>31722232</v>
      </c>
      <c r="C1696" s="4" t="s">
        <v>2875</v>
      </c>
      <c r="D1696" s="4" t="s">
        <v>3731</v>
      </c>
      <c r="E1696" s="4" t="s">
        <v>3668</v>
      </c>
      <c r="F1696" s="127" t="n">
        <v>46308</v>
      </c>
      <c r="G1696" s="127" t="n">
        <v>46308</v>
      </c>
      <c r="H1696" s="127" t="n">
        <v>46293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/>
      </c>
      <c r="N1696" s="2" t="n">
        <f aca="false">IF(E1696="","",IF(ISNUMBER(SEARCH("SUBSOLO",E1696)),IFERROR(-VALUE(LEFT(E1696,FIND("º",SUBSTITUTE(E1696,"°","º"))-1)),-1),IF(LEFT(E1696,6)="TÉRREO",0,IFERROR(VALUE(LEFT(E1696,FIND("º",SUBSTITUTE(E1696,"°","º"))-1)),""))))</f>
        <v>4</v>
      </c>
      <c r="O1696" s="2" t="str">
        <f aca="false">IF(OR(F1696="",G1696=""),"",IF(G1696&lt;='RETRATO 2027'!$K$5,"CONCLUÍDA",IF(F1696&lt;='RETRATO 2027'!$K$5,"EM ANDAMENTO","A INICIAR")))</f>
        <v>CONCLUÍDA</v>
      </c>
    </row>
    <row r="1697" customFormat="false" ht="15" hidden="false" customHeight="false" outlineLevel="0" collapsed="false">
      <c r="B1697" s="4" t="n">
        <v>31722233</v>
      </c>
      <c r="C1697" s="4" t="s">
        <v>2875</v>
      </c>
      <c r="D1697" s="4" t="s">
        <v>2808</v>
      </c>
      <c r="E1697" s="4" t="s">
        <v>3668</v>
      </c>
      <c r="F1697" s="127" t="n">
        <v>46309</v>
      </c>
      <c r="G1697" s="127" t="n">
        <v>46310</v>
      </c>
      <c r="H1697" s="127" t="n">
        <v>46293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/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4</v>
      </c>
      <c r="O1697" s="2" t="str">
        <f aca="false">IF(OR(F1697="",G1697=""),"",IF(G1697&lt;='RETRATO 2027'!$K$5,"CONCLUÍDA",IF(F1697&lt;='RETRATO 2027'!$K$5,"EM ANDAMENTO","A INICIAR")))</f>
        <v>CONCLUÍDA</v>
      </c>
    </row>
    <row r="1698" customFormat="false" ht="15" hidden="false" customHeight="false" outlineLevel="0" collapsed="false">
      <c r="B1698" s="4" t="n">
        <v>31722234</v>
      </c>
      <c r="C1698" s="4" t="s">
        <v>2875</v>
      </c>
      <c r="D1698" s="4" t="s">
        <v>2914</v>
      </c>
      <c r="E1698" s="4" t="s">
        <v>3668</v>
      </c>
      <c r="F1698" s="127" t="n">
        <v>46311</v>
      </c>
      <c r="G1698" s="127" t="n">
        <v>46311</v>
      </c>
      <c r="H1698" s="127" t="n">
        <v>46293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/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4</v>
      </c>
      <c r="O1698" s="2" t="str">
        <f aca="false">IF(OR(F1698="",G1698=""),"",IF(G1698&lt;='RETRATO 2027'!$K$5,"CONCLUÍDA",IF(F1698&lt;='RETRATO 2027'!$K$5,"EM ANDAMENTO","A INICIAR")))</f>
        <v>CONCLUÍDA</v>
      </c>
    </row>
    <row r="1699" customFormat="false" ht="15" hidden="false" customHeight="false" outlineLevel="0" collapsed="false">
      <c r="B1699" s="4" t="n">
        <v>31722235</v>
      </c>
      <c r="C1699" s="4" t="s">
        <v>2875</v>
      </c>
      <c r="D1699" s="4" t="s">
        <v>3732</v>
      </c>
      <c r="E1699" s="4" t="s">
        <v>3668</v>
      </c>
      <c r="F1699" s="127" t="n">
        <v>46314</v>
      </c>
      <c r="G1699" s="127" t="n">
        <v>46314</v>
      </c>
      <c r="H1699" s="127" t="n">
        <v>46293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/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4</v>
      </c>
      <c r="O1699" s="2" t="str">
        <f aca="false">IF(OR(F1699="",G1699=""),"",IF(G1699&lt;='RETRATO 2027'!$K$5,"CONCLUÍDA",IF(F1699&lt;='RETRATO 2027'!$K$5,"EM ANDAMENTO","A INICIAR")))</f>
        <v>CONCLUÍDA</v>
      </c>
    </row>
    <row r="1700" customFormat="false" ht="15" hidden="false" customHeight="false" outlineLevel="0" collapsed="false">
      <c r="B1700" s="4" t="n">
        <v>31722241</v>
      </c>
      <c r="C1700" s="4" t="s">
        <v>2875</v>
      </c>
      <c r="D1700" s="4" t="s">
        <v>3733</v>
      </c>
      <c r="E1700" s="4" t="s">
        <v>3668</v>
      </c>
      <c r="F1700" s="127" t="n">
        <v>46315</v>
      </c>
      <c r="G1700" s="127" t="n">
        <v>46316</v>
      </c>
      <c r="H1700" s="127" t="n">
        <v>46293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/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4</v>
      </c>
      <c r="O1700" s="2" t="str">
        <f aca="false">IF(OR(F1700="",G1700=""),"",IF(G1700&lt;='RETRATO 2027'!$K$5,"CONCLUÍDA",IF(F1700&lt;='RETRATO 2027'!$K$5,"EM ANDAMENTO","A INICIAR")))</f>
        <v>CONCLUÍDA</v>
      </c>
    </row>
    <row r="1701" customFormat="false" ht="15" hidden="false" customHeight="false" outlineLevel="0" collapsed="false">
      <c r="B1701" s="4" t="n">
        <v>31722242</v>
      </c>
      <c r="C1701" s="4" t="s">
        <v>2875</v>
      </c>
      <c r="D1701" s="4" t="s">
        <v>3734</v>
      </c>
      <c r="E1701" s="4" t="s">
        <v>3668</v>
      </c>
      <c r="F1701" s="127" t="n">
        <v>46317</v>
      </c>
      <c r="G1701" s="127" t="n">
        <v>46317</v>
      </c>
      <c r="H1701" s="127" t="n">
        <v>46293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/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4</v>
      </c>
      <c r="O1701" s="2" t="str">
        <f aca="false">IF(OR(F1701="",G1701=""),"",IF(G1701&lt;='RETRATO 2027'!$K$5,"CONCLUÍDA",IF(F1701&lt;='RETRATO 2027'!$K$5,"EM ANDAMENTO","A INICIAR")))</f>
        <v>CONCLUÍDA</v>
      </c>
    </row>
    <row r="1702" customFormat="false" ht="15" hidden="false" customHeight="false" outlineLevel="0" collapsed="false">
      <c r="B1702" s="4" t="n">
        <v>31722243</v>
      </c>
      <c r="C1702" s="4" t="s">
        <v>2875</v>
      </c>
      <c r="D1702" s="4" t="s">
        <v>3748</v>
      </c>
      <c r="E1702" s="4" t="s">
        <v>3668</v>
      </c>
      <c r="F1702" s="127" t="n">
        <v>46318</v>
      </c>
      <c r="G1702" s="127" t="n">
        <v>46318</v>
      </c>
      <c r="H1702" s="127" t="n">
        <v>46293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/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4</v>
      </c>
      <c r="O1702" s="2" t="str">
        <f aca="false">IF(OR(F1702="",G1702=""),"",IF(G1702&lt;='RETRATO 2027'!$K$5,"CONCLUÍDA",IF(F1702&lt;='RETRATO 2027'!$K$5,"EM ANDAMENTO","A INICIAR")))</f>
        <v>CONCLUÍDA</v>
      </c>
    </row>
    <row r="1703" customFormat="false" ht="15" hidden="false" customHeight="false" outlineLevel="0" collapsed="false">
      <c r="B1703" s="4" t="n">
        <v>31722244</v>
      </c>
      <c r="C1703" s="4" t="s">
        <v>2875</v>
      </c>
      <c r="D1703" s="4" t="s">
        <v>3749</v>
      </c>
      <c r="E1703" s="4" t="s">
        <v>3668</v>
      </c>
      <c r="F1703" s="127" t="n">
        <v>46321</v>
      </c>
      <c r="G1703" s="127" t="n">
        <v>46322</v>
      </c>
      <c r="H1703" s="127" t="n">
        <v>46293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/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4</v>
      </c>
      <c r="O1703" s="2" t="str">
        <f aca="false">IF(OR(F1703="",G1703=""),"",IF(G1703&lt;='RETRATO 2027'!$K$5,"CONCLUÍDA",IF(F1703&lt;='RETRATO 2027'!$K$5,"EM ANDAMENTO","A INICIAR")))</f>
        <v>CONCLUÍDA</v>
      </c>
    </row>
    <row r="1704" customFormat="false" ht="15" hidden="false" customHeight="false" outlineLevel="0" collapsed="false">
      <c r="B1704" s="4" t="n">
        <v>31722261</v>
      </c>
      <c r="C1704" s="4" t="s">
        <v>2875</v>
      </c>
      <c r="D1704" s="4" t="s">
        <v>2933</v>
      </c>
      <c r="E1704" s="4" t="s">
        <v>3668</v>
      </c>
      <c r="F1704" s="127" t="n">
        <v>46323</v>
      </c>
      <c r="G1704" s="127" t="n">
        <v>46324</v>
      </c>
      <c r="H1704" s="127" t="n">
        <v>46293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/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4</v>
      </c>
      <c r="O1704" s="2" t="str">
        <f aca="false">IF(OR(F1704="",G1704=""),"",IF(G1704&lt;='RETRATO 2027'!$K$5,"CONCLUÍDA",IF(F1704&lt;='RETRATO 2027'!$K$5,"EM ANDAMENTO","A INICIAR")))</f>
        <v>CONCLUÍDA</v>
      </c>
    </row>
    <row r="1705" customFormat="false" ht="15" hidden="false" customHeight="false" outlineLevel="0" collapsed="false">
      <c r="B1705" s="4" t="n">
        <v>31722262</v>
      </c>
      <c r="C1705" s="4" t="s">
        <v>2875</v>
      </c>
      <c r="D1705" s="4" t="s">
        <v>2924</v>
      </c>
      <c r="E1705" s="4" t="s">
        <v>3668</v>
      </c>
      <c r="F1705" s="127" t="n">
        <v>46325</v>
      </c>
      <c r="G1705" s="127" t="n">
        <v>46329</v>
      </c>
      <c r="H1705" s="127" t="n">
        <v>46293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/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4</v>
      </c>
      <c r="O1705" s="2" t="str">
        <f aca="false">IF(OR(F1705="",G1705=""),"",IF(G1705&lt;='RETRATO 2027'!$K$5,"CONCLUÍDA",IF(F1705&lt;='RETRATO 2027'!$K$5,"EM ANDAMENTO","A INICIAR")))</f>
        <v>CONCLUÍDA</v>
      </c>
    </row>
    <row r="1706" customFormat="false" ht="15" hidden="false" customHeight="false" outlineLevel="0" collapsed="false">
      <c r="B1706" s="4" t="n">
        <v>31722263</v>
      </c>
      <c r="C1706" s="4" t="s">
        <v>2875</v>
      </c>
      <c r="D1706" s="4" t="s">
        <v>2930</v>
      </c>
      <c r="E1706" s="4" t="s">
        <v>3668</v>
      </c>
      <c r="F1706" s="127" t="n">
        <v>46330</v>
      </c>
      <c r="G1706" s="127" t="n">
        <v>46330</v>
      </c>
      <c r="H1706" s="127" t="n">
        <v>46293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/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4</v>
      </c>
      <c r="O1706" s="2" t="str">
        <f aca="false">IF(OR(F1706="",G1706=""),"",IF(G1706&lt;='RETRATO 2027'!$K$5,"CONCLUÍDA",IF(F1706&lt;='RETRATO 2027'!$K$5,"EM ANDAMENTO","A INICIAR")))</f>
        <v>CONCLUÍDA</v>
      </c>
    </row>
    <row r="1707" customFormat="false" ht="15" hidden="false" customHeight="false" outlineLevel="0" collapsed="false">
      <c r="B1707" s="4" t="n">
        <v>31722264</v>
      </c>
      <c r="C1707" s="4" t="s">
        <v>2875</v>
      </c>
      <c r="D1707" s="4" t="s">
        <v>3737</v>
      </c>
      <c r="E1707" s="4" t="s">
        <v>3668</v>
      </c>
      <c r="F1707" s="127" t="n">
        <v>46331</v>
      </c>
      <c r="G1707" s="127" t="n">
        <v>46332</v>
      </c>
      <c r="H1707" s="127" t="n">
        <v>46293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/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4</v>
      </c>
      <c r="O1707" s="2" t="str">
        <f aca="false">IF(OR(F1707="",G1707=""),"",IF(G1707&lt;='RETRATO 2027'!$K$5,"CONCLUÍDA",IF(F1707&lt;='RETRATO 2027'!$K$5,"EM ANDAMENTO","A INICIAR")))</f>
        <v>CONCLUÍDA</v>
      </c>
    </row>
    <row r="1708" customFormat="false" ht="15" hidden="false" customHeight="false" outlineLevel="0" collapsed="false">
      <c r="B1708" s="4" t="n">
        <v>31722265</v>
      </c>
      <c r="C1708" s="4" t="s">
        <v>2875</v>
      </c>
      <c r="D1708" s="4" t="s">
        <v>166</v>
      </c>
      <c r="E1708" s="4" t="s">
        <v>3668</v>
      </c>
      <c r="F1708" s="127" t="n">
        <v>46335</v>
      </c>
      <c r="G1708" s="127" t="n">
        <v>46336</v>
      </c>
      <c r="H1708" s="127" t="n">
        <v>46293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/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4</v>
      </c>
      <c r="O1708" s="2" t="str">
        <f aca="false">IF(OR(F1708="",G1708=""),"",IF(G1708&lt;='RETRATO 2027'!$K$5,"CONCLUÍDA",IF(F1708&lt;='RETRATO 2027'!$K$5,"EM ANDAMENTO","A INICIAR")))</f>
        <v>CONCLUÍDA</v>
      </c>
    </row>
    <row r="1709" customFormat="false" ht="15" hidden="false" customHeight="false" outlineLevel="0" collapsed="false">
      <c r="B1709" s="4" t="n">
        <v>31722266</v>
      </c>
      <c r="C1709" s="4" t="s">
        <v>2875</v>
      </c>
      <c r="D1709" s="4" t="s">
        <v>2938</v>
      </c>
      <c r="E1709" s="4" t="s">
        <v>3668</v>
      </c>
      <c r="F1709" s="127" t="n">
        <v>46337</v>
      </c>
      <c r="G1709" s="127" t="n">
        <v>46342</v>
      </c>
      <c r="H1709" s="127" t="n">
        <v>46293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/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4</v>
      </c>
      <c r="O1709" s="2" t="str">
        <f aca="false">IF(OR(F1709="",G1709=""),"",IF(G1709&lt;='RETRATO 2027'!$K$5,"CONCLUÍDA",IF(F1709&lt;='RETRATO 2027'!$K$5,"EM ANDAMENTO","A INICIAR")))</f>
        <v>CONCLUÍDA</v>
      </c>
    </row>
    <row r="1710" customFormat="false" ht="15" hidden="false" customHeight="false" outlineLevel="0" collapsed="false">
      <c r="B1710" s="4" t="n">
        <v>31722267</v>
      </c>
      <c r="C1710" s="4" t="s">
        <v>2875</v>
      </c>
      <c r="D1710" s="4" t="s">
        <v>3738</v>
      </c>
      <c r="E1710" s="4" t="s">
        <v>3668</v>
      </c>
      <c r="F1710" s="127" t="n">
        <v>46343</v>
      </c>
      <c r="G1710" s="127" t="n">
        <v>46349</v>
      </c>
      <c r="H1710" s="127" t="n">
        <v>46293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/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4</v>
      </c>
      <c r="O1710" s="2" t="str">
        <f aca="false">IF(OR(F1710="",G1710=""),"",IF(G1710&lt;='RETRATO 2027'!$K$5,"CONCLUÍDA",IF(F1710&lt;='RETRATO 2027'!$K$5,"EM ANDAMENTO","A INICIAR")))</f>
        <v>CONCLUÍDA</v>
      </c>
    </row>
    <row r="1711" customFormat="false" ht="15" hidden="false" customHeight="false" outlineLevel="0" collapsed="false">
      <c r="B1711" s="4" t="n">
        <v>31722268</v>
      </c>
      <c r="C1711" s="4" t="s">
        <v>2875</v>
      </c>
      <c r="D1711" s="4" t="s">
        <v>2977</v>
      </c>
      <c r="E1711" s="4" t="s">
        <v>3668</v>
      </c>
      <c r="F1711" s="127" t="n">
        <v>46350</v>
      </c>
      <c r="G1711" s="127" t="n">
        <v>46350</v>
      </c>
      <c r="H1711" s="127" t="n">
        <v>46293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/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4</v>
      </c>
      <c r="O1711" s="2" t="str">
        <f aca="false">IF(OR(F1711="",G1711=""),"",IF(G1711&lt;='RETRATO 2027'!$K$5,"CONCLUÍDA",IF(F1711&lt;='RETRATO 2027'!$K$5,"EM ANDAMENTO","A INICIAR")))</f>
        <v>CONCLUÍDA</v>
      </c>
    </row>
    <row r="1712" customFormat="false" ht="15" hidden="false" customHeight="false" outlineLevel="0" collapsed="false">
      <c r="B1712" s="4" t="n">
        <v>31722269</v>
      </c>
      <c r="C1712" s="4" t="s">
        <v>2875</v>
      </c>
      <c r="D1712" s="4" t="s">
        <v>2983</v>
      </c>
      <c r="E1712" s="4" t="s">
        <v>3668</v>
      </c>
      <c r="F1712" s="127" t="n">
        <v>46351</v>
      </c>
      <c r="G1712" s="127" t="n">
        <v>46351</v>
      </c>
      <c r="H1712" s="127" t="n">
        <v>46293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/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4</v>
      </c>
      <c r="O1712" s="2" t="str">
        <f aca="false">IF(OR(F1712="",G1712=""),"",IF(G1712&lt;='RETRATO 2027'!$K$5,"CONCLUÍDA",IF(F1712&lt;='RETRATO 2027'!$K$5,"EM ANDAMENTO","A INICIAR")))</f>
        <v>CONCLUÍDA</v>
      </c>
    </row>
    <row r="1713" customFormat="false" ht="15" hidden="false" customHeight="false" outlineLevel="0" collapsed="false">
      <c r="B1713" s="4" t="n">
        <v>31722270</v>
      </c>
      <c r="C1713" s="4" t="s">
        <v>2875</v>
      </c>
      <c r="D1713" s="4" t="s">
        <v>3750</v>
      </c>
      <c r="E1713" s="4" t="s">
        <v>3668</v>
      </c>
      <c r="F1713" s="127" t="n">
        <v>46352</v>
      </c>
      <c r="G1713" s="127" t="n">
        <v>46352</v>
      </c>
      <c r="H1713" s="127" t="n">
        <v>46293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/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4</v>
      </c>
      <c r="O1713" s="2" t="str">
        <f aca="false">IF(OR(F1713="",G1713=""),"",IF(G1713&lt;='RETRATO 2027'!$K$5,"CONCLUÍDA",IF(F1713&lt;='RETRATO 2027'!$K$5,"EM ANDAMENTO","A INICIAR")))</f>
        <v>CONCLUÍDA</v>
      </c>
    </row>
    <row r="1714" customFormat="false" ht="15" hidden="false" customHeight="false" outlineLevel="0" collapsed="false">
      <c r="B1714" s="4" t="n">
        <v>31722271</v>
      </c>
      <c r="C1714" s="4" t="s">
        <v>2875</v>
      </c>
      <c r="D1714" s="4" t="s">
        <v>208</v>
      </c>
      <c r="E1714" s="4" t="s">
        <v>3668</v>
      </c>
      <c r="F1714" s="127" t="n">
        <v>46353</v>
      </c>
      <c r="G1714" s="127" t="n">
        <v>46357</v>
      </c>
      <c r="H1714" s="127" t="n">
        <v>46293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/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4</v>
      </c>
      <c r="O1714" s="2" t="str">
        <f aca="false">IF(OR(F1714="",G1714=""),"",IF(G1714&lt;='RETRATO 2027'!$K$5,"CONCLUÍDA",IF(F1714&lt;='RETRATO 2027'!$K$5,"EM ANDAMENTO","A INICIAR")))</f>
        <v>CONCLUÍDA</v>
      </c>
    </row>
    <row r="1715" customFormat="false" ht="15" hidden="false" customHeight="false" outlineLevel="0" collapsed="false">
      <c r="B1715" s="4" t="n">
        <v>31722272</v>
      </c>
      <c r="C1715" s="4" t="s">
        <v>2875</v>
      </c>
      <c r="D1715" s="4" t="s">
        <v>2980</v>
      </c>
      <c r="E1715" s="4" t="s">
        <v>3668</v>
      </c>
      <c r="F1715" s="127" t="n">
        <v>46358</v>
      </c>
      <c r="G1715" s="127" t="n">
        <v>46358</v>
      </c>
      <c r="H1715" s="127" t="n">
        <v>46293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/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4</v>
      </c>
      <c r="O1715" s="2" t="str">
        <f aca="false">IF(OR(F1715="",G1715=""),"",IF(G1715&lt;='RETRATO 2027'!$K$5,"CONCLUÍDA",IF(F1715&lt;='RETRATO 2027'!$K$5,"EM ANDAMENTO","A INICIAR")))</f>
        <v>CONCLUÍDA</v>
      </c>
    </row>
    <row r="1716" customFormat="false" ht="15" hidden="false" customHeight="false" outlineLevel="0" collapsed="false">
      <c r="B1716" s="4" t="n">
        <v>31722273</v>
      </c>
      <c r="C1716" s="4" t="s">
        <v>2875</v>
      </c>
      <c r="D1716" s="4" t="s">
        <v>3739</v>
      </c>
      <c r="E1716" s="4" t="s">
        <v>3668</v>
      </c>
      <c r="F1716" s="127" t="n">
        <v>46359</v>
      </c>
      <c r="G1716" s="127" t="n">
        <v>46360</v>
      </c>
      <c r="H1716" s="127" t="n">
        <v>46293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/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4</v>
      </c>
      <c r="O1716" s="2" t="str">
        <f aca="false">IF(OR(F1716="",G1716=""),"",IF(G1716&lt;='RETRATO 2027'!$K$5,"CONCLUÍDA",IF(F1716&lt;='RETRATO 2027'!$K$5,"EM ANDAMENTO","A INICIAR")))</f>
        <v>CONCLUÍDA</v>
      </c>
    </row>
    <row r="1717" customFormat="false" ht="15" hidden="false" customHeight="false" outlineLevel="0" collapsed="false">
      <c r="B1717" s="4" t="n">
        <v>31724282</v>
      </c>
      <c r="C1717" s="4" t="s">
        <v>2875</v>
      </c>
      <c r="D1717" s="4" t="s">
        <v>3740</v>
      </c>
      <c r="E1717" s="4" t="s">
        <v>3668</v>
      </c>
      <c r="F1717" s="127" t="n">
        <v>46363</v>
      </c>
      <c r="G1717" s="127" t="n">
        <v>46363</v>
      </c>
      <c r="H1717" s="127" t="n">
        <v>46293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/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4</v>
      </c>
      <c r="O1717" s="2" t="str">
        <f aca="false">IF(OR(F1717="",G1717=""),"",IF(G1717&lt;='RETRATO 2027'!$K$5,"CONCLUÍDA",IF(F1717&lt;='RETRATO 2027'!$K$5,"EM ANDAMENTO","A INICIAR")))</f>
        <v>CONCLUÍDA</v>
      </c>
    </row>
    <row r="1718" customFormat="false" ht="15" hidden="false" customHeight="false" outlineLevel="0" collapsed="false">
      <c r="B1718" s="4" t="n">
        <v>31724283</v>
      </c>
      <c r="C1718" s="4" t="s">
        <v>2875</v>
      </c>
      <c r="D1718" s="4" t="s">
        <v>3741</v>
      </c>
      <c r="E1718" s="4" t="s">
        <v>3668</v>
      </c>
      <c r="F1718" s="127" t="n">
        <v>46365</v>
      </c>
      <c r="G1718" s="127" t="n">
        <v>46366</v>
      </c>
      <c r="H1718" s="127" t="n">
        <v>46293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/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4</v>
      </c>
      <c r="O1718" s="2" t="str">
        <f aca="false">IF(OR(F1718="",G1718=""),"",IF(G1718&lt;='RETRATO 2027'!$K$5,"CONCLUÍDA",IF(F1718&lt;='RETRATO 2027'!$K$5,"EM ANDAMENTO","A INICIAR")))</f>
        <v>CONCLUÍDA</v>
      </c>
    </row>
    <row r="1719" customFormat="false" ht="15" hidden="false" customHeight="false" outlineLevel="0" collapsed="false">
      <c r="B1719" s="4" t="n">
        <v>31724284</v>
      </c>
      <c r="C1719" s="4" t="s">
        <v>2875</v>
      </c>
      <c r="D1719" s="4" t="s">
        <v>3742</v>
      </c>
      <c r="E1719" s="4" t="s">
        <v>3668</v>
      </c>
      <c r="F1719" s="127" t="n">
        <v>46367</v>
      </c>
      <c r="G1719" s="127" t="n">
        <v>46367</v>
      </c>
      <c r="H1719" s="127" t="n">
        <v>46293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/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4</v>
      </c>
      <c r="O1719" s="2" t="str">
        <f aca="false">IF(OR(F1719="",G1719=""),"",IF(G1719&lt;='RETRATO 2027'!$K$5,"CONCLUÍDA",IF(F1719&lt;='RETRATO 2027'!$K$5,"EM ANDAMENTO","A INICIAR")))</f>
        <v>CONCLUÍDA</v>
      </c>
    </row>
    <row r="1720" customFormat="false" ht="15" hidden="false" customHeight="false" outlineLevel="0" collapsed="false">
      <c r="B1720" s="4" t="n">
        <v>31724285</v>
      </c>
      <c r="C1720" s="4" t="s">
        <v>2875</v>
      </c>
      <c r="D1720" s="4" t="s">
        <v>3751</v>
      </c>
      <c r="E1720" s="4" t="s">
        <v>3668</v>
      </c>
      <c r="F1720" s="127" t="n">
        <v>46370</v>
      </c>
      <c r="G1720" s="127" t="n">
        <v>46370</v>
      </c>
      <c r="H1720" s="127" t="n">
        <v>46293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/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4</v>
      </c>
      <c r="O1720" s="2" t="str">
        <f aca="false">IF(OR(F1720="",G1720=""),"",IF(G1720&lt;='RETRATO 2027'!$K$5,"CONCLUÍDA",IF(F1720&lt;='RETRATO 2027'!$K$5,"EM ANDAMENTO","A INICIAR")))</f>
        <v>CONCLUÍDA</v>
      </c>
    </row>
    <row r="1721" customFormat="false" ht="15" hidden="false" customHeight="false" outlineLevel="0" collapsed="false">
      <c r="B1721" s="4" t="n">
        <v>31724286</v>
      </c>
      <c r="C1721" s="4" t="s">
        <v>2875</v>
      </c>
      <c r="D1721" s="4" t="s">
        <v>3009</v>
      </c>
      <c r="E1721" s="4" t="s">
        <v>3668</v>
      </c>
      <c r="F1721" s="127" t="n">
        <v>46371</v>
      </c>
      <c r="G1721" s="127" t="n">
        <v>46371</v>
      </c>
      <c r="H1721" s="127" t="n">
        <v>46293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/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4</v>
      </c>
      <c r="O1721" s="2" t="str">
        <f aca="false">IF(OR(F1721="",G1721=""),"",IF(G1721&lt;='RETRATO 2027'!$K$5,"CONCLUÍDA",IF(F1721&lt;='RETRATO 2027'!$K$5,"EM ANDAMENTO","A INICIAR")))</f>
        <v>CONCLUÍDA</v>
      </c>
    </row>
    <row r="1722" customFormat="false" ht="15" hidden="false" customHeight="false" outlineLevel="0" collapsed="false">
      <c r="B1722" s="4" t="n">
        <v>31724287</v>
      </c>
      <c r="C1722" s="4" t="s">
        <v>2875</v>
      </c>
      <c r="D1722" s="4" t="s">
        <v>2962</v>
      </c>
      <c r="E1722" s="4" t="s">
        <v>3668</v>
      </c>
      <c r="F1722" s="127" t="n">
        <v>46372</v>
      </c>
      <c r="G1722" s="127" t="n">
        <v>46372</v>
      </c>
      <c r="H1722" s="127" t="n">
        <v>46293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/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4</v>
      </c>
      <c r="O1722" s="2" t="str">
        <f aca="false">IF(OR(F1722="",G1722=""),"",IF(G1722&lt;='RETRATO 2027'!$K$5,"CONCLUÍDA",IF(F1722&lt;='RETRATO 2027'!$K$5,"EM ANDAMENTO","A INICIAR")))</f>
        <v>CONCLUÍDA</v>
      </c>
    </row>
    <row r="1723" customFormat="false" ht="15" hidden="false" customHeight="false" outlineLevel="0" collapsed="false">
      <c r="B1723" s="4" t="n">
        <v>31724288</v>
      </c>
      <c r="C1723" s="4" t="s">
        <v>2875</v>
      </c>
      <c r="D1723" s="4" t="s">
        <v>3752</v>
      </c>
      <c r="E1723" s="4" t="s">
        <v>3668</v>
      </c>
      <c r="F1723" s="127" t="n">
        <v>46373</v>
      </c>
      <c r="G1723" s="127" t="n">
        <v>46373</v>
      </c>
      <c r="H1723" s="127" t="n">
        <v>46293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/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4</v>
      </c>
      <c r="O1723" s="2" t="str">
        <f aca="false">IF(OR(F1723="",G1723=""),"",IF(G1723&lt;='RETRATO 2027'!$K$5,"CONCLUÍDA",IF(F1723&lt;='RETRATO 2027'!$K$5,"EM ANDAMENTO","A INICIAR")))</f>
        <v>CONCLUÍDA</v>
      </c>
    </row>
    <row r="1724" customFormat="false" ht="15" hidden="false" customHeight="false" outlineLevel="0" collapsed="false">
      <c r="B1724" s="4" t="n">
        <v>31724289</v>
      </c>
      <c r="C1724" s="4" t="s">
        <v>2875</v>
      </c>
      <c r="D1724" s="4" t="s">
        <v>3006</v>
      </c>
      <c r="E1724" s="4" t="s">
        <v>3668</v>
      </c>
      <c r="F1724" s="127" t="n">
        <v>46374</v>
      </c>
      <c r="G1724" s="127" t="n">
        <v>46374</v>
      </c>
      <c r="H1724" s="127" t="n">
        <v>46293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/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4</v>
      </c>
      <c r="O1724" s="2" t="str">
        <f aca="false">IF(OR(F1724="",G1724=""),"",IF(G1724&lt;='RETRATO 2027'!$K$5,"CONCLUÍDA",IF(F1724&lt;='RETRATO 2027'!$K$5,"EM ANDAMENTO","A INICIAR")))</f>
        <v>CONCLUÍDA</v>
      </c>
    </row>
    <row r="1725" customFormat="false" ht="15" hidden="false" customHeight="false" outlineLevel="0" collapsed="false">
      <c r="B1725" s="4" t="n">
        <v>31724290</v>
      </c>
      <c r="C1725" s="4" t="s">
        <v>2875</v>
      </c>
      <c r="D1725" s="4" t="s">
        <v>3753</v>
      </c>
      <c r="E1725" s="4" t="s">
        <v>3668</v>
      </c>
      <c r="F1725" s="127" t="n">
        <v>46391</v>
      </c>
      <c r="G1725" s="127" t="n">
        <v>46392</v>
      </c>
      <c r="H1725" s="127" t="n">
        <v>46293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/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4</v>
      </c>
      <c r="O1725" s="2" t="str">
        <f aca="false">IF(OR(F1725="",G1725=""),"",IF(G1725&lt;='RETRATO 2027'!$K$5,"CONCLUÍDA",IF(F1725&lt;='RETRATO 2027'!$K$5,"EM ANDAMENTO","A INICIAR")))</f>
        <v>CONCLUÍDA</v>
      </c>
    </row>
    <row r="1726" customFormat="false" ht="15" hidden="false" customHeight="false" outlineLevel="0" collapsed="false">
      <c r="B1726" s="4" t="n">
        <v>31724291</v>
      </c>
      <c r="C1726" s="4" t="s">
        <v>2875</v>
      </c>
      <c r="D1726" s="4" t="s">
        <v>3754</v>
      </c>
      <c r="E1726" s="4" t="s">
        <v>3668</v>
      </c>
      <c r="F1726" s="127" t="n">
        <v>46393</v>
      </c>
      <c r="G1726" s="127" t="n">
        <v>46393</v>
      </c>
      <c r="H1726" s="127" t="n">
        <v>46293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/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4</v>
      </c>
      <c r="O1726" s="2" t="str">
        <f aca="false">IF(OR(F1726="",G1726=""),"",IF(G1726&lt;='RETRATO 2027'!$K$5,"CONCLUÍDA",IF(F1726&lt;='RETRATO 2027'!$K$5,"EM ANDAMENTO","A INICIAR")))</f>
        <v>CONCLUÍDA</v>
      </c>
    </row>
    <row r="1727" customFormat="false" ht="15" hidden="false" customHeight="false" outlineLevel="0" collapsed="false">
      <c r="B1727" s="4" t="n">
        <v>31724292</v>
      </c>
      <c r="C1727" s="4" t="s">
        <v>2875</v>
      </c>
      <c r="D1727" s="4" t="s">
        <v>3093</v>
      </c>
      <c r="E1727" s="4" t="s">
        <v>3668</v>
      </c>
      <c r="F1727" s="127" t="n">
        <v>46394</v>
      </c>
      <c r="G1727" s="127" t="n">
        <v>46394</v>
      </c>
      <c r="H1727" s="127" t="n">
        <v>46293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/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4</v>
      </c>
      <c r="O1727" s="2" t="str">
        <f aca="false">IF(OR(F1727="",G1727=""),"",IF(G1727&lt;='RETRATO 2027'!$K$5,"CONCLUÍDA",IF(F1727&lt;='RETRATO 2027'!$K$5,"EM ANDAMENTO","A INICIAR")))</f>
        <v>CONCLUÍDA</v>
      </c>
    </row>
    <row r="1728" customFormat="false" ht="15" hidden="false" customHeight="false" outlineLevel="0" collapsed="false">
      <c r="B1728" s="4" t="n">
        <v>31724299</v>
      </c>
      <c r="C1728" s="4" t="s">
        <v>2875</v>
      </c>
      <c r="D1728" s="4" t="s">
        <v>3746</v>
      </c>
      <c r="E1728" s="4" t="s">
        <v>3668</v>
      </c>
      <c r="F1728" s="127" t="n">
        <v>46395</v>
      </c>
      <c r="G1728" s="127" t="n">
        <v>46398</v>
      </c>
      <c r="H1728" s="127" t="n">
        <v>46293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/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4</v>
      </c>
      <c r="O1728" s="2" t="str">
        <f aca="false">IF(OR(F1728="",G1728=""),"",IF(G1728&lt;='RETRATO 2027'!$K$5,"CONCLUÍDA",IF(F1728&lt;='RETRATO 2027'!$K$5,"EM ANDAMENTO","A INICIAR")))</f>
        <v>CONCLUÍDA</v>
      </c>
    </row>
    <row r="1729" customFormat="false" ht="15" hidden="false" customHeight="false" outlineLevel="0" collapsed="false">
      <c r="B1729" s="4" t="n">
        <v>31724300</v>
      </c>
      <c r="C1729" s="4" t="s">
        <v>2875</v>
      </c>
      <c r="D1729" s="4" t="s">
        <v>2971</v>
      </c>
      <c r="E1729" s="4" t="s">
        <v>3668</v>
      </c>
      <c r="F1729" s="127" t="n">
        <v>46399</v>
      </c>
      <c r="G1729" s="127" t="n">
        <v>46399</v>
      </c>
      <c r="H1729" s="127" t="n">
        <v>46293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/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4</v>
      </c>
      <c r="O1729" s="2" t="str">
        <f aca="false">IF(OR(F1729="",G1729=""),"",IF(G1729&lt;='RETRATO 2027'!$K$5,"CONCLUÍDA",IF(F1729&lt;='RETRATO 2027'!$K$5,"EM ANDAMENTO","A INICIAR")))</f>
        <v>CONCLUÍDA</v>
      </c>
    </row>
    <row r="1730" customFormat="false" ht="15" hidden="false" customHeight="false" outlineLevel="0" collapsed="false">
      <c r="B1730" s="4" t="n">
        <v>31724416</v>
      </c>
      <c r="C1730" s="4" t="s">
        <v>2875</v>
      </c>
      <c r="D1730" s="4" t="s">
        <v>3029</v>
      </c>
      <c r="E1730" s="4" t="s">
        <v>3668</v>
      </c>
      <c r="F1730" s="127" t="n">
        <v>46400</v>
      </c>
      <c r="G1730" s="127" t="n">
        <v>46402</v>
      </c>
      <c r="H1730" s="127" t="n">
        <v>46293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/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4</v>
      </c>
      <c r="O1730" s="2" t="str">
        <f aca="false">IF(OR(F1730="",G1730=""),"",IF(G1730&lt;='RETRATO 2027'!$K$5,"CONCLUÍDA",IF(F1730&lt;='RETRATO 2027'!$K$5,"EM ANDAMENTO","A INICIAR")))</f>
        <v>CONCLUÍDA</v>
      </c>
    </row>
    <row r="1731" customFormat="false" ht="15" hidden="false" customHeight="false" outlineLevel="0" collapsed="false">
      <c r="B1731" s="4" t="n">
        <v>47437382</v>
      </c>
      <c r="C1731" s="4" t="s">
        <v>2878</v>
      </c>
      <c r="D1731" s="4" t="s">
        <v>433</v>
      </c>
      <c r="E1731" s="4" t="s">
        <v>3668</v>
      </c>
      <c r="F1731" s="127" t="n">
        <v>46296</v>
      </c>
      <c r="G1731" s="127" t="n">
        <v>46405</v>
      </c>
      <c r="H1731" s="127" t="n">
        <v>46293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/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4</v>
      </c>
      <c r="O1731" s="2" t="str">
        <f aca="false">IF(OR(F1731="",G1731=""),"",IF(G1731&lt;='RETRATO 2027'!$K$5,"CONCLUÍDA",IF(F1731&lt;='RETRATO 2027'!$K$5,"EM ANDAMENTO","A INICIAR")))</f>
        <v>CONCLUÍDA</v>
      </c>
    </row>
    <row r="1732" customFormat="false" ht="15" hidden="false" customHeight="false" outlineLevel="0" collapsed="false">
      <c r="B1732" s="4" t="n">
        <v>31724307</v>
      </c>
      <c r="C1732" s="4" t="s">
        <v>2878</v>
      </c>
      <c r="D1732" s="4" t="s">
        <v>163</v>
      </c>
      <c r="E1732" s="4" t="s">
        <v>3668</v>
      </c>
      <c r="F1732" s="127" t="n">
        <v>46296</v>
      </c>
      <c r="G1732" s="127" t="n">
        <v>46297</v>
      </c>
      <c r="H1732" s="127" t="n">
        <v>46293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/>
      </c>
      <c r="N1732" s="2" t="n">
        <f aca="false">IF(E1732="","",IF(ISNUMBER(SEARCH("SUBSOLO",E1732)),IFERROR(-VALUE(LEFT(E1732,FIND("º",SUBSTITUTE(E1732,"°","º"))-1)),-1),IF(LEFT(E1732,6)="TÉRREO",0,IFERROR(VALUE(LEFT(E1732,FIND("º",SUBSTITUTE(E1732,"°","º"))-1)),""))))</f>
        <v>4</v>
      </c>
      <c r="O1732" s="2" t="str">
        <f aca="false">IF(OR(F1732="",G1732=""),"",IF(G1732&lt;='RETRATO 2027'!$K$5,"CONCLUÍDA",IF(F1732&lt;='RETRATO 2027'!$K$5,"EM ANDAMENTO","A INICIAR")))</f>
        <v>CONCLUÍDA</v>
      </c>
    </row>
    <row r="1733" customFormat="false" ht="15" hidden="false" customHeight="false" outlineLevel="0" collapsed="false">
      <c r="B1733" s="4" t="n">
        <v>31724308</v>
      </c>
      <c r="C1733" s="4" t="s">
        <v>2878</v>
      </c>
      <c r="D1733" s="4" t="s">
        <v>2869</v>
      </c>
      <c r="E1733" s="4" t="s">
        <v>3668</v>
      </c>
      <c r="F1733" s="127" t="n">
        <v>46300</v>
      </c>
      <c r="G1733" s="127" t="n">
        <v>46300</v>
      </c>
      <c r="H1733" s="127" t="n">
        <v>46293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/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4</v>
      </c>
      <c r="O1733" s="2" t="str">
        <f aca="false">IF(OR(F1733="",G1733=""),"",IF(G1733&lt;='RETRATO 2027'!$K$5,"CONCLUÍDA",IF(F1733&lt;='RETRATO 2027'!$K$5,"EM ANDAMENTO","A INICIAR")))</f>
        <v>CONCLUÍDA</v>
      </c>
    </row>
    <row r="1734" customFormat="false" ht="15" hidden="false" customHeight="false" outlineLevel="0" collapsed="false">
      <c r="B1734" s="4" t="n">
        <v>31724309</v>
      </c>
      <c r="C1734" s="4" t="s">
        <v>2878</v>
      </c>
      <c r="D1734" s="4" t="s">
        <v>2886</v>
      </c>
      <c r="E1734" s="4" t="s">
        <v>3668</v>
      </c>
      <c r="F1734" s="127" t="n">
        <v>46301</v>
      </c>
      <c r="G1734" s="127" t="n">
        <v>46301</v>
      </c>
      <c r="H1734" s="127" t="n">
        <v>46293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/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4</v>
      </c>
      <c r="O1734" s="2" t="str">
        <f aca="false">IF(OR(F1734="",G1734=""),"",IF(G1734&lt;='RETRATO 2027'!$K$5,"CONCLUÍDA",IF(F1734&lt;='RETRATO 2027'!$K$5,"EM ANDAMENTO","A INICIAR")))</f>
        <v>CONCLUÍDA</v>
      </c>
    </row>
    <row r="1735" customFormat="false" ht="15" hidden="false" customHeight="false" outlineLevel="0" collapsed="false">
      <c r="B1735" s="4" t="n">
        <v>31724310</v>
      </c>
      <c r="C1735" s="4" t="s">
        <v>2878</v>
      </c>
      <c r="D1735" s="4" t="s">
        <v>3729</v>
      </c>
      <c r="E1735" s="4" t="s">
        <v>3668</v>
      </c>
      <c r="F1735" s="127" t="n">
        <v>46302</v>
      </c>
      <c r="G1735" s="127" t="n">
        <v>46302</v>
      </c>
      <c r="H1735" s="127" t="n">
        <v>46293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/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4</v>
      </c>
      <c r="O1735" s="2" t="str">
        <f aca="false">IF(OR(F1735="",G1735=""),"",IF(G1735&lt;='RETRATO 2027'!$K$5,"CONCLUÍDA",IF(F1735&lt;='RETRATO 2027'!$K$5,"EM ANDAMENTO","A INICIAR")))</f>
        <v>CONCLUÍDA</v>
      </c>
    </row>
    <row r="1736" customFormat="false" ht="15" hidden="false" customHeight="false" outlineLevel="0" collapsed="false">
      <c r="B1736" s="4" t="n">
        <v>31724311</v>
      </c>
      <c r="C1736" s="4" t="s">
        <v>2878</v>
      </c>
      <c r="D1736" s="4" t="s">
        <v>2890</v>
      </c>
      <c r="E1736" s="4" t="s">
        <v>3668</v>
      </c>
      <c r="F1736" s="127" t="n">
        <v>46303</v>
      </c>
      <c r="G1736" s="127" t="n">
        <v>46303</v>
      </c>
      <c r="H1736" s="127" t="n">
        <v>46293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/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4</v>
      </c>
      <c r="O1736" s="2" t="str">
        <f aca="false">IF(OR(F1736="",G1736=""),"",IF(G1736&lt;='RETRATO 2027'!$K$5,"CONCLUÍDA",IF(F1736&lt;='RETRATO 2027'!$K$5,"EM ANDAMENTO","A INICIAR")))</f>
        <v>CONCLUÍDA</v>
      </c>
    </row>
    <row r="1737" customFormat="false" ht="15" hidden="false" customHeight="false" outlineLevel="0" collapsed="false">
      <c r="B1737" s="4" t="n">
        <v>31724312</v>
      </c>
      <c r="C1737" s="4" t="s">
        <v>2878</v>
      </c>
      <c r="D1737" s="4" t="s">
        <v>2896</v>
      </c>
      <c r="E1737" s="4" t="s">
        <v>3668</v>
      </c>
      <c r="F1737" s="127" t="n">
        <v>46304</v>
      </c>
      <c r="G1737" s="127" t="n">
        <v>46304</v>
      </c>
      <c r="H1737" s="127" t="n">
        <v>46293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/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4</v>
      </c>
      <c r="O1737" s="2" t="str">
        <f aca="false">IF(OR(F1737="",G1737=""),"",IF(G1737&lt;='RETRATO 2027'!$K$5,"CONCLUÍDA",IF(F1737&lt;='RETRATO 2027'!$K$5,"EM ANDAMENTO","A INICIAR")))</f>
        <v>CONCLUÍDA</v>
      </c>
    </row>
    <row r="1738" customFormat="false" ht="15" hidden="false" customHeight="false" outlineLevel="0" collapsed="false">
      <c r="B1738" s="4" t="n">
        <v>31724313</v>
      </c>
      <c r="C1738" s="4" t="s">
        <v>2878</v>
      </c>
      <c r="D1738" s="4" t="s">
        <v>3755</v>
      </c>
      <c r="E1738" s="4" t="s">
        <v>3668</v>
      </c>
      <c r="F1738" s="127" t="n">
        <v>46308</v>
      </c>
      <c r="G1738" s="127" t="n">
        <v>46308</v>
      </c>
      <c r="H1738" s="127" t="n">
        <v>46293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/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4</v>
      </c>
      <c r="O1738" s="2" t="str">
        <f aca="false">IF(OR(F1738="",G1738=""),"",IF(G1738&lt;='RETRATO 2027'!$K$5,"CONCLUÍDA",IF(F1738&lt;='RETRATO 2027'!$K$5,"EM ANDAMENTO","A INICIAR")))</f>
        <v>CONCLUÍDA</v>
      </c>
    </row>
    <row r="1739" customFormat="false" ht="15" hidden="false" customHeight="false" outlineLevel="0" collapsed="false">
      <c r="B1739" s="4" t="n">
        <v>31724316</v>
      </c>
      <c r="C1739" s="4" t="s">
        <v>2878</v>
      </c>
      <c r="D1739" s="4" t="s">
        <v>2808</v>
      </c>
      <c r="E1739" s="4" t="s">
        <v>3668</v>
      </c>
      <c r="F1739" s="127" t="n">
        <v>46309</v>
      </c>
      <c r="G1739" s="127" t="n">
        <v>46310</v>
      </c>
      <c r="H1739" s="127" t="n">
        <v>46293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/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4</v>
      </c>
      <c r="O1739" s="2" t="str">
        <f aca="false">IF(OR(F1739="",G1739=""),"",IF(G1739&lt;='RETRATO 2027'!$K$5,"CONCLUÍDA",IF(F1739&lt;='RETRATO 2027'!$K$5,"EM ANDAMENTO","A INICIAR")))</f>
        <v>CONCLUÍDA</v>
      </c>
    </row>
    <row r="1740" customFormat="false" ht="15" hidden="false" customHeight="false" outlineLevel="0" collapsed="false">
      <c r="B1740" s="4" t="n">
        <v>31724317</v>
      </c>
      <c r="C1740" s="4" t="s">
        <v>2878</v>
      </c>
      <c r="D1740" s="4" t="s">
        <v>2914</v>
      </c>
      <c r="E1740" s="4" t="s">
        <v>3668</v>
      </c>
      <c r="F1740" s="127" t="n">
        <v>46311</v>
      </c>
      <c r="G1740" s="127" t="n">
        <v>46311</v>
      </c>
      <c r="H1740" s="127" t="n">
        <v>46293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/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4</v>
      </c>
      <c r="O1740" s="2" t="str">
        <f aca="false">IF(OR(F1740="",G1740=""),"",IF(G1740&lt;='RETRATO 2027'!$K$5,"CONCLUÍDA",IF(F1740&lt;='RETRATO 2027'!$K$5,"EM ANDAMENTO","A INICIAR")))</f>
        <v>CONCLUÍDA</v>
      </c>
    </row>
    <row r="1741" customFormat="false" ht="15" hidden="false" customHeight="false" outlineLevel="0" collapsed="false">
      <c r="B1741" s="4" t="n">
        <v>31724318</v>
      </c>
      <c r="C1741" s="4" t="s">
        <v>2878</v>
      </c>
      <c r="D1741" s="4" t="s">
        <v>3732</v>
      </c>
      <c r="E1741" s="4" t="s">
        <v>3668</v>
      </c>
      <c r="F1741" s="127" t="n">
        <v>46314</v>
      </c>
      <c r="G1741" s="127" t="n">
        <v>46314</v>
      </c>
      <c r="H1741" s="127" t="n">
        <v>46293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/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4</v>
      </c>
      <c r="O1741" s="2" t="str">
        <f aca="false">IF(OR(F1741="",G1741=""),"",IF(G1741&lt;='RETRATO 2027'!$K$5,"CONCLUÍDA",IF(F1741&lt;='RETRATO 2027'!$K$5,"EM ANDAMENTO","A INICIAR")))</f>
        <v>CONCLUÍDA</v>
      </c>
    </row>
    <row r="1742" customFormat="false" ht="15" hidden="false" customHeight="false" outlineLevel="0" collapsed="false">
      <c r="B1742" s="4" t="n">
        <v>31724319</v>
      </c>
      <c r="C1742" s="4" t="s">
        <v>2878</v>
      </c>
      <c r="D1742" s="4" t="s">
        <v>3756</v>
      </c>
      <c r="E1742" s="4" t="s">
        <v>3668</v>
      </c>
      <c r="F1742" s="127" t="n">
        <v>46315</v>
      </c>
      <c r="G1742" s="127" t="n">
        <v>46316</v>
      </c>
      <c r="H1742" s="127" t="n">
        <v>46293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/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4</v>
      </c>
      <c r="O1742" s="2" t="str">
        <f aca="false">IF(OR(F1742="",G1742=""),"",IF(G1742&lt;='RETRATO 2027'!$K$5,"CONCLUÍDA",IF(F1742&lt;='RETRATO 2027'!$K$5,"EM ANDAMENTO","A INICIAR")))</f>
        <v>CONCLUÍDA</v>
      </c>
    </row>
    <row r="1743" customFormat="false" ht="15" hidden="false" customHeight="false" outlineLevel="0" collapsed="false">
      <c r="B1743" s="4" t="n">
        <v>31724320</v>
      </c>
      <c r="C1743" s="4" t="s">
        <v>2878</v>
      </c>
      <c r="D1743" s="4" t="s">
        <v>3734</v>
      </c>
      <c r="E1743" s="4" t="s">
        <v>3668</v>
      </c>
      <c r="F1743" s="127" t="n">
        <v>46317</v>
      </c>
      <c r="G1743" s="127" t="n">
        <v>46317</v>
      </c>
      <c r="H1743" s="127" t="n">
        <v>46293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/>
      </c>
      <c r="N1743" s="2" t="n">
        <f aca="false">IF(E1743="","",IF(ISNUMBER(SEARCH("SUBSOLO",E1743)),IFERROR(-VALUE(LEFT(E1743,FIND("º",SUBSTITUTE(E1743,"°","º"))-1)),-1),IF(LEFT(E1743,6)="TÉRREO",0,IFERROR(VALUE(LEFT(E1743,FIND("º",SUBSTITUTE(E1743,"°","º"))-1)),""))))</f>
        <v>4</v>
      </c>
      <c r="O1743" s="2" t="str">
        <f aca="false">IF(OR(F1743="",G1743=""),"",IF(G1743&lt;='RETRATO 2027'!$K$5,"CONCLUÍDA",IF(F1743&lt;='RETRATO 2027'!$K$5,"EM ANDAMENTO","A INICIAR")))</f>
        <v>CONCLUÍDA</v>
      </c>
    </row>
    <row r="1744" customFormat="false" ht="15" hidden="false" customHeight="false" outlineLevel="0" collapsed="false">
      <c r="B1744" s="4" t="n">
        <v>31724327</v>
      </c>
      <c r="C1744" s="4" t="s">
        <v>2878</v>
      </c>
      <c r="D1744" s="4" t="s">
        <v>3735</v>
      </c>
      <c r="E1744" s="4" t="s">
        <v>3668</v>
      </c>
      <c r="F1744" s="127" t="n">
        <v>46318</v>
      </c>
      <c r="G1744" s="127" t="n">
        <v>46318</v>
      </c>
      <c r="H1744" s="127" t="n">
        <v>46293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/>
      </c>
      <c r="N1744" s="2" t="n">
        <f aca="false">IF(E1744="","",IF(ISNUMBER(SEARCH("SUBSOLO",E1744)),IFERROR(-VALUE(LEFT(E1744,FIND("º",SUBSTITUTE(E1744,"°","º"))-1)),-1),IF(LEFT(E1744,6)="TÉRREO",0,IFERROR(VALUE(LEFT(E1744,FIND("º",SUBSTITUTE(E1744,"°","º"))-1)),""))))</f>
        <v>4</v>
      </c>
      <c r="O1744" s="2" t="str">
        <f aca="false">IF(OR(F1744="",G1744=""),"",IF(G1744&lt;='RETRATO 2027'!$K$5,"CONCLUÍDA",IF(F1744&lt;='RETRATO 2027'!$K$5,"EM ANDAMENTO","A INICIAR")))</f>
        <v>CONCLUÍDA</v>
      </c>
    </row>
    <row r="1745" customFormat="false" ht="15" hidden="false" customHeight="false" outlineLevel="0" collapsed="false">
      <c r="B1745" s="4" t="n">
        <v>31724328</v>
      </c>
      <c r="C1745" s="4" t="s">
        <v>2878</v>
      </c>
      <c r="D1745" s="4" t="s">
        <v>3757</v>
      </c>
      <c r="E1745" s="4" t="s">
        <v>3668</v>
      </c>
      <c r="F1745" s="127" t="n">
        <v>46321</v>
      </c>
      <c r="G1745" s="127" t="n">
        <v>46321</v>
      </c>
      <c r="H1745" s="127" t="n">
        <v>46293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/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4</v>
      </c>
      <c r="O1745" s="2" t="str">
        <f aca="false">IF(OR(F1745="",G1745=""),"",IF(G1745&lt;='RETRATO 2027'!$K$5,"CONCLUÍDA",IF(F1745&lt;='RETRATO 2027'!$K$5,"EM ANDAMENTO","A INICIAR")))</f>
        <v>CONCLUÍDA</v>
      </c>
    </row>
    <row r="1746" customFormat="false" ht="15" hidden="false" customHeight="false" outlineLevel="0" collapsed="false">
      <c r="B1746" s="4" t="n">
        <v>31724329</v>
      </c>
      <c r="C1746" s="4" t="s">
        <v>2878</v>
      </c>
      <c r="D1746" s="4" t="s">
        <v>2933</v>
      </c>
      <c r="E1746" s="4" t="s">
        <v>3668</v>
      </c>
      <c r="F1746" s="127" t="n">
        <v>46322</v>
      </c>
      <c r="G1746" s="127" t="n">
        <v>46323</v>
      </c>
      <c r="H1746" s="127" t="n">
        <v>46293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/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4</v>
      </c>
      <c r="O1746" s="2" t="str">
        <f aca="false">IF(OR(F1746="",G1746=""),"",IF(G1746&lt;='RETRATO 2027'!$K$5,"CONCLUÍDA",IF(F1746&lt;='RETRATO 2027'!$K$5,"EM ANDAMENTO","A INICIAR")))</f>
        <v>CONCLUÍDA</v>
      </c>
    </row>
    <row r="1747" customFormat="false" ht="15" hidden="false" customHeight="false" outlineLevel="0" collapsed="false">
      <c r="B1747" s="4" t="n">
        <v>31724330</v>
      </c>
      <c r="C1747" s="4" t="s">
        <v>2878</v>
      </c>
      <c r="D1747" s="4" t="s">
        <v>2924</v>
      </c>
      <c r="E1747" s="4" t="s">
        <v>3668</v>
      </c>
      <c r="F1747" s="127" t="n">
        <v>46324</v>
      </c>
      <c r="G1747" s="127" t="n">
        <v>46324</v>
      </c>
      <c r="H1747" s="127" t="n">
        <v>46293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/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4</v>
      </c>
      <c r="O1747" s="2" t="str">
        <f aca="false">IF(OR(F1747="",G1747=""),"",IF(G1747&lt;='RETRATO 2027'!$K$5,"CONCLUÍDA",IF(F1747&lt;='RETRATO 2027'!$K$5,"EM ANDAMENTO","A INICIAR")))</f>
        <v>CONCLUÍDA</v>
      </c>
    </row>
    <row r="1748" customFormat="false" ht="15" hidden="false" customHeight="false" outlineLevel="0" collapsed="false">
      <c r="B1748" s="4" t="n">
        <v>31724331</v>
      </c>
      <c r="C1748" s="4" t="s">
        <v>2878</v>
      </c>
      <c r="D1748" s="4" t="s">
        <v>2930</v>
      </c>
      <c r="E1748" s="4" t="s">
        <v>3668</v>
      </c>
      <c r="F1748" s="127" t="n">
        <v>46325</v>
      </c>
      <c r="G1748" s="127" t="n">
        <v>46325</v>
      </c>
      <c r="H1748" s="127" t="n">
        <v>46293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/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4</v>
      </c>
      <c r="O1748" s="2" t="str">
        <f aca="false">IF(OR(F1748="",G1748=""),"",IF(G1748&lt;='RETRATO 2027'!$K$5,"CONCLUÍDA",IF(F1748&lt;='RETRATO 2027'!$K$5,"EM ANDAMENTO","A INICIAR")))</f>
        <v>CONCLUÍDA</v>
      </c>
    </row>
    <row r="1749" customFormat="false" ht="15" hidden="false" customHeight="false" outlineLevel="0" collapsed="false">
      <c r="B1749" s="4" t="n">
        <v>31724332</v>
      </c>
      <c r="C1749" s="4" t="s">
        <v>2878</v>
      </c>
      <c r="D1749" s="4" t="s">
        <v>3737</v>
      </c>
      <c r="E1749" s="4" t="s">
        <v>3668</v>
      </c>
      <c r="F1749" s="127" t="n">
        <v>46329</v>
      </c>
      <c r="G1749" s="127" t="n">
        <v>46330</v>
      </c>
      <c r="H1749" s="127" t="n">
        <v>46293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/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4</v>
      </c>
      <c r="O1749" s="2" t="str">
        <f aca="false">IF(OR(F1749="",G1749=""),"",IF(G1749&lt;='RETRATO 2027'!$K$5,"CONCLUÍDA",IF(F1749&lt;='RETRATO 2027'!$K$5,"EM ANDAMENTO","A INICIAR")))</f>
        <v>CONCLUÍDA</v>
      </c>
    </row>
    <row r="1750" customFormat="false" ht="15" hidden="false" customHeight="false" outlineLevel="0" collapsed="false">
      <c r="B1750" s="4" t="n">
        <v>31724333</v>
      </c>
      <c r="C1750" s="4" t="s">
        <v>2878</v>
      </c>
      <c r="D1750" s="4" t="s">
        <v>166</v>
      </c>
      <c r="E1750" s="4" t="s">
        <v>3668</v>
      </c>
      <c r="F1750" s="127" t="n">
        <v>46331</v>
      </c>
      <c r="G1750" s="127" t="n">
        <v>46332</v>
      </c>
      <c r="H1750" s="127" t="n">
        <v>46293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/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4</v>
      </c>
      <c r="O1750" s="2" t="str">
        <f aca="false">IF(OR(F1750="",G1750=""),"",IF(G1750&lt;='RETRATO 2027'!$K$5,"CONCLUÍDA",IF(F1750&lt;='RETRATO 2027'!$K$5,"EM ANDAMENTO","A INICIAR")))</f>
        <v>CONCLUÍDA</v>
      </c>
    </row>
    <row r="1751" customFormat="false" ht="15" hidden="false" customHeight="false" outlineLevel="0" collapsed="false">
      <c r="B1751" s="4" t="n">
        <v>31724334</v>
      </c>
      <c r="C1751" s="4" t="s">
        <v>2878</v>
      </c>
      <c r="D1751" s="4" t="s">
        <v>2938</v>
      </c>
      <c r="E1751" s="4" t="s">
        <v>3668</v>
      </c>
      <c r="F1751" s="127" t="n">
        <v>46335</v>
      </c>
      <c r="G1751" s="127" t="n">
        <v>46338</v>
      </c>
      <c r="H1751" s="127" t="n">
        <v>46293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/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4</v>
      </c>
      <c r="O1751" s="2" t="str">
        <f aca="false">IF(OR(F1751="",G1751=""),"",IF(G1751&lt;='RETRATO 2027'!$K$5,"CONCLUÍDA",IF(F1751&lt;='RETRATO 2027'!$K$5,"EM ANDAMENTO","A INICIAR")))</f>
        <v>CONCLUÍDA</v>
      </c>
    </row>
    <row r="1752" customFormat="false" ht="15" hidden="false" customHeight="false" outlineLevel="0" collapsed="false">
      <c r="B1752" s="4" t="n">
        <v>31724335</v>
      </c>
      <c r="C1752" s="4" t="s">
        <v>2878</v>
      </c>
      <c r="D1752" s="4" t="s">
        <v>3738</v>
      </c>
      <c r="E1752" s="4" t="s">
        <v>3668</v>
      </c>
      <c r="F1752" s="127" t="n">
        <v>46339</v>
      </c>
      <c r="G1752" s="127" t="n">
        <v>46344</v>
      </c>
      <c r="H1752" s="127" t="n">
        <v>46293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/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4</v>
      </c>
      <c r="O1752" s="2" t="str">
        <f aca="false">IF(OR(F1752="",G1752=""),"",IF(G1752&lt;='RETRATO 2027'!$K$5,"CONCLUÍDA",IF(F1752&lt;='RETRATO 2027'!$K$5,"EM ANDAMENTO","A INICIAR")))</f>
        <v>CONCLUÍDA</v>
      </c>
    </row>
    <row r="1753" customFormat="false" ht="15" hidden="false" customHeight="false" outlineLevel="0" collapsed="false">
      <c r="B1753" s="4" t="n">
        <v>31724348</v>
      </c>
      <c r="C1753" s="4" t="s">
        <v>2878</v>
      </c>
      <c r="D1753" s="4" t="s">
        <v>2977</v>
      </c>
      <c r="E1753" s="4" t="s">
        <v>3668</v>
      </c>
      <c r="F1753" s="127" t="n">
        <v>46345</v>
      </c>
      <c r="G1753" s="127" t="n">
        <v>46345</v>
      </c>
      <c r="H1753" s="127" t="n">
        <v>46293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/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4</v>
      </c>
      <c r="O1753" s="2" t="str">
        <f aca="false">IF(OR(F1753="",G1753=""),"",IF(G1753&lt;='RETRATO 2027'!$K$5,"CONCLUÍDA",IF(F1753&lt;='RETRATO 2027'!$K$5,"EM ANDAMENTO","A INICIAR")))</f>
        <v>CONCLUÍDA</v>
      </c>
    </row>
    <row r="1754" customFormat="false" ht="15" hidden="false" customHeight="false" outlineLevel="0" collapsed="false">
      <c r="B1754" s="4" t="n">
        <v>31724349</v>
      </c>
      <c r="C1754" s="4" t="s">
        <v>2878</v>
      </c>
      <c r="D1754" s="4" t="s">
        <v>2983</v>
      </c>
      <c r="E1754" s="4" t="s">
        <v>3668</v>
      </c>
      <c r="F1754" s="127" t="n">
        <v>46349</v>
      </c>
      <c r="G1754" s="127" t="n">
        <v>46350</v>
      </c>
      <c r="H1754" s="127" t="n">
        <v>46293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/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4</v>
      </c>
      <c r="O1754" s="2" t="str">
        <f aca="false">IF(OR(F1754="",G1754=""),"",IF(G1754&lt;='RETRATO 2027'!$K$5,"CONCLUÍDA",IF(F1754&lt;='RETRATO 2027'!$K$5,"EM ANDAMENTO","A INICIAR")))</f>
        <v>CONCLUÍDA</v>
      </c>
    </row>
    <row r="1755" customFormat="false" ht="15" hidden="false" customHeight="false" outlineLevel="0" collapsed="false">
      <c r="B1755" s="4" t="n">
        <v>31724350</v>
      </c>
      <c r="C1755" s="4" t="s">
        <v>2878</v>
      </c>
      <c r="D1755" s="4" t="s">
        <v>3758</v>
      </c>
      <c r="E1755" s="4" t="s">
        <v>3668</v>
      </c>
      <c r="F1755" s="127" t="n">
        <v>46351</v>
      </c>
      <c r="G1755" s="127" t="n">
        <v>46351</v>
      </c>
      <c r="H1755" s="127" t="n">
        <v>46293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/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4</v>
      </c>
      <c r="O1755" s="2" t="str">
        <f aca="false">IF(OR(F1755="",G1755=""),"",IF(G1755&lt;='RETRATO 2027'!$K$5,"CONCLUÍDA",IF(F1755&lt;='RETRATO 2027'!$K$5,"EM ANDAMENTO","A INICIAR")))</f>
        <v>CONCLUÍDA</v>
      </c>
    </row>
    <row r="1756" customFormat="false" ht="15" hidden="false" customHeight="false" outlineLevel="0" collapsed="false">
      <c r="B1756" s="4" t="n">
        <v>31724351</v>
      </c>
      <c r="C1756" s="4" t="s">
        <v>2878</v>
      </c>
      <c r="D1756" s="4" t="s">
        <v>208</v>
      </c>
      <c r="E1756" s="4" t="s">
        <v>3668</v>
      </c>
      <c r="F1756" s="127" t="n">
        <v>46352</v>
      </c>
      <c r="G1756" s="127" t="n">
        <v>46356</v>
      </c>
      <c r="H1756" s="127" t="n">
        <v>46293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/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4</v>
      </c>
      <c r="O1756" s="2" t="str">
        <f aca="false">IF(OR(F1756="",G1756=""),"",IF(G1756&lt;='RETRATO 2027'!$K$5,"CONCLUÍDA",IF(F1756&lt;='RETRATO 2027'!$K$5,"EM ANDAMENTO","A INICIAR")))</f>
        <v>CONCLUÍDA</v>
      </c>
    </row>
    <row r="1757" customFormat="false" ht="15" hidden="false" customHeight="false" outlineLevel="0" collapsed="false">
      <c r="B1757" s="4" t="n">
        <v>31724352</v>
      </c>
      <c r="C1757" s="4" t="s">
        <v>2878</v>
      </c>
      <c r="D1757" s="4" t="s">
        <v>2980</v>
      </c>
      <c r="E1757" s="4" t="s">
        <v>3668</v>
      </c>
      <c r="F1757" s="127" t="n">
        <v>46357</v>
      </c>
      <c r="G1757" s="127" t="n">
        <v>46359</v>
      </c>
      <c r="H1757" s="127" t="n">
        <v>46293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/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4</v>
      </c>
      <c r="O1757" s="2" t="str">
        <f aca="false">IF(OR(F1757="",G1757=""),"",IF(G1757&lt;='RETRATO 2027'!$K$5,"CONCLUÍDA",IF(F1757&lt;='RETRATO 2027'!$K$5,"EM ANDAMENTO","A INICIAR")))</f>
        <v>CONCLUÍDA</v>
      </c>
    </row>
    <row r="1758" customFormat="false" ht="15" hidden="false" customHeight="false" outlineLevel="0" collapsed="false">
      <c r="B1758" s="4" t="n">
        <v>31724353</v>
      </c>
      <c r="C1758" s="4" t="s">
        <v>2878</v>
      </c>
      <c r="D1758" s="4" t="s">
        <v>3739</v>
      </c>
      <c r="E1758" s="4" t="s">
        <v>3668</v>
      </c>
      <c r="F1758" s="127" t="n">
        <v>46360</v>
      </c>
      <c r="G1758" s="127" t="n">
        <v>46363</v>
      </c>
      <c r="H1758" s="127" t="n">
        <v>46293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/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4</v>
      </c>
      <c r="O1758" s="2" t="str">
        <f aca="false">IF(OR(F1758="",G1758=""),"",IF(G1758&lt;='RETRATO 2027'!$K$5,"CONCLUÍDA",IF(F1758&lt;='RETRATO 2027'!$K$5,"EM ANDAMENTO","A INICIAR")))</f>
        <v>CONCLUÍDA</v>
      </c>
    </row>
    <row r="1759" customFormat="false" ht="15" hidden="false" customHeight="false" outlineLevel="0" collapsed="false">
      <c r="B1759" s="4" t="n">
        <v>31724354</v>
      </c>
      <c r="C1759" s="4" t="s">
        <v>2878</v>
      </c>
      <c r="D1759" s="4" t="s">
        <v>3055</v>
      </c>
      <c r="E1759" s="4" t="s">
        <v>3668</v>
      </c>
      <c r="F1759" s="127" t="n">
        <v>46365</v>
      </c>
      <c r="G1759" s="127" t="n">
        <v>46365</v>
      </c>
      <c r="H1759" s="127" t="n">
        <v>46293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/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4</v>
      </c>
      <c r="O1759" s="2" t="str">
        <f aca="false">IF(OR(F1759="",G1759=""),"",IF(G1759&lt;='RETRATO 2027'!$K$5,"CONCLUÍDA",IF(F1759&lt;='RETRATO 2027'!$K$5,"EM ANDAMENTO","A INICIAR")))</f>
        <v>CONCLUÍDA</v>
      </c>
    </row>
    <row r="1760" customFormat="false" ht="15" hidden="false" customHeight="false" outlineLevel="0" collapsed="false">
      <c r="B1760" s="4" t="n">
        <v>31724355</v>
      </c>
      <c r="C1760" s="4" t="s">
        <v>2878</v>
      </c>
      <c r="D1760" s="4" t="s">
        <v>3759</v>
      </c>
      <c r="E1760" s="4" t="s">
        <v>3668</v>
      </c>
      <c r="F1760" s="127" t="n">
        <v>46366</v>
      </c>
      <c r="G1760" s="127" t="n">
        <v>46367</v>
      </c>
      <c r="H1760" s="127" t="n">
        <v>46293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/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4</v>
      </c>
      <c r="O1760" s="2" t="str">
        <f aca="false">IF(OR(F1760="",G1760=""),"",IF(G1760&lt;='RETRATO 2027'!$K$5,"CONCLUÍDA",IF(F1760&lt;='RETRATO 2027'!$K$5,"EM ANDAMENTO","A INICIAR")))</f>
        <v>CONCLUÍDA</v>
      </c>
    </row>
    <row r="1761" customFormat="false" ht="15" hidden="false" customHeight="false" outlineLevel="0" collapsed="false">
      <c r="B1761" s="4" t="n">
        <v>31724356</v>
      </c>
      <c r="C1761" s="4" t="s">
        <v>2878</v>
      </c>
      <c r="D1761" s="4" t="s">
        <v>3760</v>
      </c>
      <c r="E1761" s="4" t="s">
        <v>3668</v>
      </c>
      <c r="F1761" s="127" t="n">
        <v>46370</v>
      </c>
      <c r="G1761" s="127" t="n">
        <v>46370</v>
      </c>
      <c r="H1761" s="127" t="n">
        <v>46293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/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4</v>
      </c>
      <c r="O1761" s="2" t="str">
        <f aca="false">IF(OR(F1761="",G1761=""),"",IF(G1761&lt;='RETRATO 2027'!$K$5,"CONCLUÍDA",IF(F1761&lt;='RETRATO 2027'!$K$5,"EM ANDAMENTO","A INICIAR")))</f>
        <v>CONCLUÍDA</v>
      </c>
    </row>
    <row r="1762" customFormat="false" ht="15" hidden="false" customHeight="false" outlineLevel="0" collapsed="false">
      <c r="B1762" s="4" t="n">
        <v>31724357</v>
      </c>
      <c r="C1762" s="4" t="s">
        <v>2878</v>
      </c>
      <c r="D1762" s="4" t="s">
        <v>3751</v>
      </c>
      <c r="E1762" s="4" t="s">
        <v>3668</v>
      </c>
      <c r="F1762" s="127" t="n">
        <v>46371</v>
      </c>
      <c r="G1762" s="127" t="n">
        <v>46371</v>
      </c>
      <c r="H1762" s="127" t="n">
        <v>46293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/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4</v>
      </c>
      <c r="O1762" s="2" t="str">
        <f aca="false">IF(OR(F1762="",G1762=""),"",IF(G1762&lt;='RETRATO 2027'!$K$5,"CONCLUÍDA",IF(F1762&lt;='RETRATO 2027'!$K$5,"EM ANDAMENTO","A INICIAR")))</f>
        <v>CONCLUÍDA</v>
      </c>
    </row>
    <row r="1763" customFormat="false" ht="15" hidden="false" customHeight="false" outlineLevel="0" collapsed="false">
      <c r="B1763" s="4" t="n">
        <v>31724358</v>
      </c>
      <c r="C1763" s="4" t="s">
        <v>2878</v>
      </c>
      <c r="D1763" s="4" t="s">
        <v>3009</v>
      </c>
      <c r="E1763" s="4" t="s">
        <v>3668</v>
      </c>
      <c r="F1763" s="127" t="n">
        <v>46372</v>
      </c>
      <c r="G1763" s="127" t="n">
        <v>46372</v>
      </c>
      <c r="H1763" s="127" t="n">
        <v>46293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/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4</v>
      </c>
      <c r="O1763" s="2" t="str">
        <f aca="false">IF(OR(F1763="",G1763=""),"",IF(G1763&lt;='RETRATO 2027'!$K$5,"CONCLUÍDA",IF(F1763&lt;='RETRATO 2027'!$K$5,"EM ANDAMENTO","A INICIAR")))</f>
        <v>CONCLUÍDA</v>
      </c>
    </row>
    <row r="1764" customFormat="false" ht="15" hidden="false" customHeight="false" outlineLevel="0" collapsed="false">
      <c r="B1764" s="4" t="n">
        <v>31724359</v>
      </c>
      <c r="C1764" s="4" t="s">
        <v>2878</v>
      </c>
      <c r="D1764" s="4" t="s">
        <v>2962</v>
      </c>
      <c r="E1764" s="4" t="s">
        <v>3668</v>
      </c>
      <c r="F1764" s="127" t="n">
        <v>46373</v>
      </c>
      <c r="G1764" s="127" t="n">
        <v>46373</v>
      </c>
      <c r="H1764" s="127" t="n">
        <v>46293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/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4</v>
      </c>
      <c r="O1764" s="2" t="str">
        <f aca="false">IF(OR(F1764="",G1764=""),"",IF(G1764&lt;='RETRATO 2027'!$K$5,"CONCLUÍDA",IF(F1764&lt;='RETRATO 2027'!$K$5,"EM ANDAMENTO","A INICIAR")))</f>
        <v>CONCLUÍDA</v>
      </c>
    </row>
    <row r="1765" customFormat="false" ht="15" hidden="false" customHeight="false" outlineLevel="0" collapsed="false">
      <c r="B1765" s="4" t="n">
        <v>31724360</v>
      </c>
      <c r="C1765" s="4" t="s">
        <v>2878</v>
      </c>
      <c r="D1765" s="4" t="s">
        <v>3744</v>
      </c>
      <c r="E1765" s="4" t="s">
        <v>3668</v>
      </c>
      <c r="F1765" s="127" t="n">
        <v>46374</v>
      </c>
      <c r="G1765" s="127" t="n">
        <v>46374</v>
      </c>
      <c r="H1765" s="127" t="n">
        <v>46293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/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4</v>
      </c>
      <c r="O1765" s="2" t="str">
        <f aca="false">IF(OR(F1765="",G1765=""),"",IF(G1765&lt;='RETRATO 2027'!$K$5,"CONCLUÍDA",IF(F1765&lt;='RETRATO 2027'!$K$5,"EM ANDAMENTO","A INICIAR")))</f>
        <v>CONCLUÍDA</v>
      </c>
    </row>
    <row r="1766" customFormat="false" ht="15" hidden="false" customHeight="false" outlineLevel="0" collapsed="false">
      <c r="B1766" s="4" t="n">
        <v>31724361</v>
      </c>
      <c r="C1766" s="4" t="s">
        <v>2878</v>
      </c>
      <c r="D1766" s="4" t="s">
        <v>3006</v>
      </c>
      <c r="E1766" s="4" t="s">
        <v>3668</v>
      </c>
      <c r="F1766" s="127" t="n">
        <v>46391</v>
      </c>
      <c r="G1766" s="127" t="n">
        <v>46391</v>
      </c>
      <c r="H1766" s="127" t="n">
        <v>46293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/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4</v>
      </c>
      <c r="O1766" s="2" t="str">
        <f aca="false">IF(OR(F1766="",G1766=""),"",IF(G1766&lt;='RETRATO 2027'!$K$5,"CONCLUÍDA",IF(F1766&lt;='RETRATO 2027'!$K$5,"EM ANDAMENTO","A INICIAR")))</f>
        <v>CONCLUÍDA</v>
      </c>
    </row>
    <row r="1767" customFormat="false" ht="15" hidden="false" customHeight="false" outlineLevel="0" collapsed="false">
      <c r="B1767" s="4" t="n">
        <v>31724362</v>
      </c>
      <c r="C1767" s="4" t="s">
        <v>2878</v>
      </c>
      <c r="D1767" s="4" t="s">
        <v>3745</v>
      </c>
      <c r="E1767" s="4" t="s">
        <v>3668</v>
      </c>
      <c r="F1767" s="127" t="n">
        <v>46392</v>
      </c>
      <c r="G1767" s="127" t="n">
        <v>46393</v>
      </c>
      <c r="H1767" s="127" t="n">
        <v>46293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/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4</v>
      </c>
      <c r="O1767" s="2" t="str">
        <f aca="false">IF(OR(F1767="",G1767=""),"",IF(G1767&lt;='RETRATO 2027'!$K$5,"CONCLUÍDA",IF(F1767&lt;='RETRATO 2027'!$K$5,"EM ANDAMENTO","A INICIAR")))</f>
        <v>CONCLUÍDA</v>
      </c>
    </row>
    <row r="1768" customFormat="false" ht="15" hidden="false" customHeight="false" outlineLevel="0" collapsed="false">
      <c r="B1768" s="4" t="n">
        <v>31724363</v>
      </c>
      <c r="C1768" s="4" t="s">
        <v>2878</v>
      </c>
      <c r="D1768" s="4" t="s">
        <v>2965</v>
      </c>
      <c r="E1768" s="4" t="s">
        <v>3668</v>
      </c>
      <c r="F1768" s="127" t="n">
        <v>46394</v>
      </c>
      <c r="G1768" s="127" t="n">
        <v>46394</v>
      </c>
      <c r="H1768" s="127" t="n">
        <v>46293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/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4</v>
      </c>
      <c r="O1768" s="2" t="str">
        <f aca="false">IF(OR(F1768="",G1768=""),"",IF(G1768&lt;='RETRATO 2027'!$K$5,"CONCLUÍDA",IF(F1768&lt;='RETRATO 2027'!$K$5,"EM ANDAMENTO","A INICIAR")))</f>
        <v>CONCLUÍDA</v>
      </c>
    </row>
    <row r="1769" customFormat="false" ht="15" hidden="false" customHeight="false" outlineLevel="0" collapsed="false">
      <c r="B1769" s="4" t="n">
        <v>31724364</v>
      </c>
      <c r="C1769" s="4" t="s">
        <v>2878</v>
      </c>
      <c r="D1769" s="4" t="s">
        <v>3093</v>
      </c>
      <c r="E1769" s="4" t="s">
        <v>3668</v>
      </c>
      <c r="F1769" s="127" t="n">
        <v>46395</v>
      </c>
      <c r="G1769" s="127" t="n">
        <v>46395</v>
      </c>
      <c r="H1769" s="127" t="n">
        <v>46293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/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4</v>
      </c>
      <c r="O1769" s="2" t="str">
        <f aca="false">IF(OR(F1769="",G1769=""),"",IF(G1769&lt;='RETRATO 2027'!$K$5,"CONCLUÍDA",IF(F1769&lt;='RETRATO 2027'!$K$5,"EM ANDAMENTO","A INICIAR")))</f>
        <v>CONCLUÍDA</v>
      </c>
    </row>
    <row r="1770" customFormat="false" ht="15" hidden="false" customHeight="false" outlineLevel="0" collapsed="false">
      <c r="B1770" s="4" t="n">
        <v>31724365</v>
      </c>
      <c r="C1770" s="4" t="s">
        <v>2878</v>
      </c>
      <c r="D1770" s="4" t="s">
        <v>3761</v>
      </c>
      <c r="E1770" s="4" t="s">
        <v>3668</v>
      </c>
      <c r="F1770" s="127" t="n">
        <v>46398</v>
      </c>
      <c r="G1770" s="127" t="n">
        <v>46399</v>
      </c>
      <c r="H1770" s="127" t="n">
        <v>46293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/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4</v>
      </c>
      <c r="O1770" s="2" t="str">
        <f aca="false">IF(OR(F1770="",G1770=""),"",IF(G1770&lt;='RETRATO 2027'!$K$5,"CONCLUÍDA",IF(F1770&lt;='RETRATO 2027'!$K$5,"EM ANDAMENTO","A INICIAR")))</f>
        <v>CONCLUÍDA</v>
      </c>
    </row>
    <row r="1771" customFormat="false" ht="15" hidden="false" customHeight="false" outlineLevel="0" collapsed="false">
      <c r="B1771" s="4" t="n">
        <v>31724366</v>
      </c>
      <c r="C1771" s="4" t="s">
        <v>2878</v>
      </c>
      <c r="D1771" s="4" t="s">
        <v>2971</v>
      </c>
      <c r="E1771" s="4" t="s">
        <v>3668</v>
      </c>
      <c r="F1771" s="127" t="n">
        <v>46400</v>
      </c>
      <c r="G1771" s="127" t="n">
        <v>46400</v>
      </c>
      <c r="H1771" s="127" t="n">
        <v>46293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/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4</v>
      </c>
      <c r="O1771" s="2" t="str">
        <f aca="false">IF(OR(F1771="",G1771=""),"",IF(G1771&lt;='RETRATO 2027'!$K$5,"CONCLUÍDA",IF(F1771&lt;='RETRATO 2027'!$K$5,"EM ANDAMENTO","A INICIAR")))</f>
        <v>CONCLUÍDA</v>
      </c>
    </row>
    <row r="1772" customFormat="false" ht="15" hidden="false" customHeight="false" outlineLevel="0" collapsed="false">
      <c r="B1772" s="4" t="n">
        <v>31724367</v>
      </c>
      <c r="C1772" s="4" t="s">
        <v>2878</v>
      </c>
      <c r="D1772" s="4" t="s">
        <v>3029</v>
      </c>
      <c r="E1772" s="4" t="s">
        <v>3668</v>
      </c>
      <c r="F1772" s="127" t="n">
        <v>46401</v>
      </c>
      <c r="G1772" s="127" t="n">
        <v>46405</v>
      </c>
      <c r="H1772" s="127" t="n">
        <v>46293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/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4</v>
      </c>
      <c r="O1772" s="2" t="str">
        <f aca="false">IF(OR(F1772="",G1772=""),"",IF(G1772&lt;='RETRATO 2027'!$K$5,"CONCLUÍDA",IF(F1772&lt;='RETRATO 2027'!$K$5,"EM ANDAMENTO","A INICIAR")))</f>
        <v>CONCLUÍDA</v>
      </c>
    </row>
    <row r="1773" customFormat="false" ht="15" hidden="false" customHeight="false" outlineLevel="0" collapsed="false">
      <c r="B1773" s="4" t="n">
        <v>26743610</v>
      </c>
      <c r="C1773" s="4" t="s">
        <v>163</v>
      </c>
      <c r="D1773" s="4" t="s">
        <v>433</v>
      </c>
      <c r="E1773" s="4" t="s">
        <v>3678</v>
      </c>
      <c r="F1773" s="127" t="n">
        <v>46296</v>
      </c>
      <c r="G1773" s="127" t="n">
        <v>46308</v>
      </c>
      <c r="H1773" s="127" t="n">
        <v>46293</v>
      </c>
      <c r="I1773" s="4" t="n">
        <v>50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18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5</v>
      </c>
      <c r="O1773" s="2" t="str">
        <f aca="false">IF(OR(F1773="",G1773=""),"",IF(G1773&lt;='RETRATO 2027'!$K$5,"CONCLUÍDA",IF(F1773&lt;='RETRATO 2027'!$K$5,"EM ANDAMENTO","A INICIAR")))</f>
        <v>CONCLUÍDA</v>
      </c>
    </row>
    <row r="1774" customFormat="false" ht="15" hidden="false" customHeight="false" outlineLevel="0" collapsed="false">
      <c r="B1774" s="4" t="n">
        <v>46367794</v>
      </c>
      <c r="C1774" s="4" t="s">
        <v>2829</v>
      </c>
      <c r="D1774" s="4" t="s">
        <v>433</v>
      </c>
      <c r="E1774" s="4" t="s">
        <v>3583</v>
      </c>
      <c r="F1774" s="127" t="n">
        <v>46300</v>
      </c>
      <c r="G1774" s="127" t="n">
        <v>46356</v>
      </c>
      <c r="H1774" s="127" t="n">
        <v>46293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21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-6</v>
      </c>
      <c r="O1774" s="2" t="str">
        <f aca="false">IF(OR(F1774="",G1774=""),"",IF(G1774&lt;='RETRATO 2027'!$K$5,"CONCLUÍDA",IF(F1774&lt;='RETRATO 2027'!$K$5,"EM ANDAMENTO","A INICIAR")))</f>
        <v>CONCLUÍDA</v>
      </c>
    </row>
    <row r="1775" customFormat="false" ht="15" hidden="false" customHeight="false" outlineLevel="0" collapsed="false">
      <c r="B1775" s="4" t="n">
        <v>46444661</v>
      </c>
      <c r="C1775" s="4" t="s">
        <v>2881</v>
      </c>
      <c r="D1775" s="4" t="s">
        <v>433</v>
      </c>
      <c r="E1775" s="4" t="s">
        <v>3243</v>
      </c>
      <c r="F1775" s="127" t="n">
        <v>46300</v>
      </c>
      <c r="G1775" s="127" t="n">
        <v>46335</v>
      </c>
      <c r="H1775" s="127" t="n">
        <v>46293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32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1</v>
      </c>
      <c r="O1775" s="2" t="str">
        <f aca="false">IF(OR(F1775="",G1775=""),"",IF(G1775&lt;='RETRATO 2027'!$K$5,"CONCLUÍDA",IF(F1775&lt;='RETRATO 2027'!$K$5,"EM ANDAMENTO","A INICIAR")))</f>
        <v>CONCLUÍDA</v>
      </c>
    </row>
    <row r="1776" customFormat="false" ht="15" hidden="false" customHeight="false" outlineLevel="0" collapsed="false">
      <c r="B1776" s="4" t="n">
        <v>46489395</v>
      </c>
      <c r="C1776" s="4" t="s">
        <v>2884</v>
      </c>
      <c r="D1776" s="4" t="s">
        <v>433</v>
      </c>
      <c r="E1776" s="4" t="s">
        <v>3655</v>
      </c>
      <c r="F1776" s="127" t="n">
        <v>46300</v>
      </c>
      <c r="G1776" s="127" t="n">
        <v>46321</v>
      </c>
      <c r="H1776" s="127" t="n">
        <v>46293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32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</v>
      </c>
      <c r="O1776" s="2" t="str">
        <f aca="false">IF(OR(F1776="",G1776=""),"",IF(G1776&lt;='RETRATO 2027'!$K$5,"CONCLUÍDA",IF(F1776&lt;='RETRATO 2027'!$K$5,"EM ANDAMENTO","A INICIAR")))</f>
        <v>CONCLUÍDA</v>
      </c>
    </row>
    <row r="1777" customFormat="false" ht="15" hidden="false" customHeight="false" outlineLevel="0" collapsed="false">
      <c r="B1777" s="4" t="n">
        <v>26750534</v>
      </c>
      <c r="C1777" s="4" t="s">
        <v>77</v>
      </c>
      <c r="D1777" s="4" t="s">
        <v>433</v>
      </c>
      <c r="E1777" s="4" t="s">
        <v>3597</v>
      </c>
      <c r="F1777" s="127" t="n">
        <v>46302</v>
      </c>
      <c r="G1777" s="127" t="n">
        <v>46314</v>
      </c>
      <c r="H1777" s="127" t="n">
        <v>46293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20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-2</v>
      </c>
      <c r="O1777" s="2" t="str">
        <f aca="false">IF(OR(F1777="",G1777=""),"",IF(G1777&lt;='RETRATO 2027'!$K$5,"CONCLUÍDA",IF(F1777&lt;='RETRATO 2027'!$K$5,"EM ANDAMENTO","A INICIAR")))</f>
        <v>CONCLUÍDA</v>
      </c>
    </row>
    <row r="1778" customFormat="false" ht="15" hidden="false" customHeight="false" outlineLevel="0" collapsed="false">
      <c r="B1778" s="4" t="n">
        <v>26743648</v>
      </c>
      <c r="C1778" s="4" t="s">
        <v>2886</v>
      </c>
      <c r="D1778" s="4" t="s">
        <v>433</v>
      </c>
      <c r="E1778" s="4" t="s">
        <v>3668</v>
      </c>
      <c r="F1778" s="127" t="n">
        <v>46302</v>
      </c>
      <c r="G1778" s="127" t="n">
        <v>46314</v>
      </c>
      <c r="H1778" s="127" t="n">
        <v>46293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21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4</v>
      </c>
      <c r="O1778" s="2" t="str">
        <f aca="false">IF(OR(F1778="",G1778=""),"",IF(G1778&lt;='RETRATO 2027'!$K$5,"CONCLUÍDA",IF(F1778&lt;='RETRATO 2027'!$K$5,"EM ANDAMENTO","A INICIAR")))</f>
        <v>CONCLUÍDA</v>
      </c>
    </row>
    <row r="1779" customFormat="false" ht="15" hidden="false" customHeight="false" outlineLevel="0" collapsed="false">
      <c r="B1779" s="4" t="n">
        <v>29844633</v>
      </c>
      <c r="C1779" s="4" t="s">
        <v>2888</v>
      </c>
      <c r="D1779" s="4" t="s">
        <v>433</v>
      </c>
      <c r="E1779" s="4" t="s">
        <v>3668</v>
      </c>
      <c r="F1779" s="127" t="n">
        <v>46302</v>
      </c>
      <c r="G1779" s="127" t="n">
        <v>46314</v>
      </c>
      <c r="H1779" s="127" t="n">
        <v>46293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20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4</v>
      </c>
      <c r="O1779" s="2" t="str">
        <f aca="false">IF(OR(F1779="",G1779=""),"",IF(G1779&lt;='RETRATO 2027'!$K$5,"CONCLUÍDA",IF(F1779&lt;='RETRATO 2027'!$K$5,"EM ANDAMENTO","A INICIAR")))</f>
        <v>CONCLUÍDA</v>
      </c>
    </row>
    <row r="1780" customFormat="false" ht="15" hidden="false" customHeight="false" outlineLevel="0" collapsed="false">
      <c r="B1780" s="4" t="n">
        <v>26744984</v>
      </c>
      <c r="C1780" s="4" t="s">
        <v>2814</v>
      </c>
      <c r="D1780" s="4" t="s">
        <v>433</v>
      </c>
      <c r="E1780" s="4" t="s">
        <v>3662</v>
      </c>
      <c r="F1780" s="127" t="n">
        <v>46303</v>
      </c>
      <c r="G1780" s="127" t="n">
        <v>46315</v>
      </c>
      <c r="H1780" s="127" t="n">
        <v>46293</v>
      </c>
      <c r="I1780" s="4" t="n">
        <v>100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28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-5</v>
      </c>
      <c r="O1780" s="2" t="str">
        <f aca="false">IF(OR(F1780="",G1780=""),"",IF(G1780&lt;='RETRATO 2027'!$K$5,"CONCLUÍDA",IF(F1780&lt;='RETRATO 2027'!$K$5,"EM ANDAMENTO","A INICIAR")))</f>
        <v>CONCLUÍDA</v>
      </c>
    </row>
    <row r="1781" customFormat="false" ht="15" hidden="false" customHeight="false" outlineLevel="0" collapsed="false">
      <c r="B1781" s="4" t="n">
        <v>29844372</v>
      </c>
      <c r="C1781" s="4" t="s">
        <v>2890</v>
      </c>
      <c r="D1781" s="4" t="s">
        <v>433</v>
      </c>
      <c r="E1781" s="4" t="s">
        <v>3668</v>
      </c>
      <c r="F1781" s="127" t="n">
        <v>46304</v>
      </c>
      <c r="G1781" s="127" t="n">
        <v>46316</v>
      </c>
      <c r="H1781" s="127" t="n">
        <v>46293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18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4</v>
      </c>
      <c r="O1781" s="2" t="str">
        <f aca="false">IF(OR(F1781="",G1781=""),"",IF(G1781&lt;='RETRATO 2027'!$K$5,"CONCLUÍDA",IF(F1781&lt;='RETRATO 2027'!$K$5,"EM ANDAMENTO","A INICIAR")))</f>
        <v>CONCLUÍDA</v>
      </c>
    </row>
    <row r="1782" customFormat="false" ht="15" hidden="false" customHeight="false" outlineLevel="0" collapsed="false">
      <c r="B1782" s="4" t="n">
        <v>24939463</v>
      </c>
      <c r="C1782" s="4" t="s">
        <v>2705</v>
      </c>
      <c r="D1782" s="4" t="s">
        <v>433</v>
      </c>
      <c r="E1782" s="4" t="s">
        <v>3762</v>
      </c>
      <c r="F1782" s="127" t="n">
        <v>46304</v>
      </c>
      <c r="G1782" s="127" t="n">
        <v>46315</v>
      </c>
      <c r="H1782" s="127" t="n">
        <v>46293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17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11</v>
      </c>
      <c r="O1782" s="2" t="str">
        <f aca="false">IF(OR(F1782="",G1782=""),"",IF(G1782&lt;='RETRATO 2027'!$K$5,"CONCLUÍDA",IF(F1782&lt;='RETRATO 2027'!$K$5,"EM ANDAMENTO","A INICIAR")))</f>
        <v>CONCLUÍDA</v>
      </c>
    </row>
    <row r="1783" customFormat="false" ht="15" hidden="false" customHeight="false" outlineLevel="0" collapsed="false">
      <c r="B1783" s="4" t="n">
        <v>9360122</v>
      </c>
      <c r="C1783" s="4" t="s">
        <v>2705</v>
      </c>
      <c r="D1783" s="4" t="s">
        <v>3244</v>
      </c>
      <c r="E1783" s="4" t="s">
        <v>3762</v>
      </c>
      <c r="F1783" s="127" t="n">
        <v>46304</v>
      </c>
      <c r="G1783" s="127" t="n">
        <v>46308</v>
      </c>
      <c r="H1783" s="127" t="n">
        <v>46293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17</v>
      </c>
      <c r="N1783" s="2" t="n">
        <f aca="false">IF(E1783="","",IF(ISNUMBER(SEARCH("SUBSOLO",E1783)),IFERROR(-VALUE(LEFT(E1783,FIND("º",SUBSTITUTE(E1783,"°","º"))-1)),-1),IF(LEFT(E1783,6)="TÉRREO",0,IFERROR(VALUE(LEFT(E1783,FIND("º",SUBSTITUTE(E1783,"°","º"))-1)),""))))</f>
        <v>11</v>
      </c>
      <c r="O1783" s="2" t="str">
        <f aca="false">IF(OR(F1783="",G1783=""),"",IF(G1783&lt;='RETRATO 2027'!$K$5,"CONCLUÍDA",IF(F1783&lt;='RETRATO 2027'!$K$5,"EM ANDAMENTO","A INICIAR")))</f>
        <v>CONCLUÍDA</v>
      </c>
    </row>
    <row r="1784" customFormat="false" ht="15" hidden="false" customHeight="false" outlineLevel="0" collapsed="false">
      <c r="B1784" s="4" t="n">
        <v>9360123</v>
      </c>
      <c r="C1784" s="4" t="s">
        <v>2705</v>
      </c>
      <c r="D1784" s="4" t="s">
        <v>3245</v>
      </c>
      <c r="E1784" s="4" t="s">
        <v>3762</v>
      </c>
      <c r="F1784" s="127" t="n">
        <v>46304</v>
      </c>
      <c r="G1784" s="127" t="n">
        <v>46308</v>
      </c>
      <c r="H1784" s="127" t="n">
        <v>46293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17</v>
      </c>
      <c r="N1784" s="2" t="n">
        <f aca="false">IF(E1784="","",IF(ISNUMBER(SEARCH("SUBSOLO",E1784)),IFERROR(-VALUE(LEFT(E1784,FIND("º",SUBSTITUTE(E1784,"°","º"))-1)),-1),IF(LEFT(E1784,6)="TÉRREO",0,IFERROR(VALUE(LEFT(E1784,FIND("º",SUBSTITUTE(E1784,"°","º"))-1)),""))))</f>
        <v>11</v>
      </c>
      <c r="O1784" s="2" t="str">
        <f aca="false">IF(OR(F1784="",G1784=""),"",IF(G1784&lt;='RETRATO 2027'!$K$5,"CONCLUÍDA",IF(F1784&lt;='RETRATO 2027'!$K$5,"EM ANDAMENTO","A INICIAR")))</f>
        <v>CONCLUÍDA</v>
      </c>
    </row>
    <row r="1785" customFormat="false" ht="15" hidden="false" customHeight="false" outlineLevel="0" collapsed="false">
      <c r="B1785" s="4" t="n">
        <v>9360124</v>
      </c>
      <c r="C1785" s="4" t="s">
        <v>2705</v>
      </c>
      <c r="D1785" s="4" t="s">
        <v>3246</v>
      </c>
      <c r="E1785" s="4" t="s">
        <v>3762</v>
      </c>
      <c r="F1785" s="127" t="n">
        <v>46308</v>
      </c>
      <c r="G1785" s="127" t="n">
        <v>46308</v>
      </c>
      <c r="H1785" s="127" t="n">
        <v>46293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>17</v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11</v>
      </c>
      <c r="O1785" s="2" t="str">
        <f aca="false">IF(OR(F1785="",G1785=""),"",IF(G1785&lt;='RETRATO 2027'!$K$5,"CONCLUÍDA",IF(F1785&lt;='RETRATO 2027'!$K$5,"EM ANDAMENTO","A INICIAR")))</f>
        <v>CONCLUÍDA</v>
      </c>
    </row>
    <row r="1786" customFormat="false" ht="15" hidden="false" customHeight="false" outlineLevel="0" collapsed="false">
      <c r="B1786" s="4" t="n">
        <v>9360125</v>
      </c>
      <c r="C1786" s="4" t="s">
        <v>2705</v>
      </c>
      <c r="D1786" s="4" t="s">
        <v>3247</v>
      </c>
      <c r="E1786" s="4" t="s">
        <v>3762</v>
      </c>
      <c r="F1786" s="127" t="n">
        <v>46309</v>
      </c>
      <c r="G1786" s="127" t="n">
        <v>46309</v>
      </c>
      <c r="H1786" s="127" t="n">
        <v>46293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17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11</v>
      </c>
      <c r="O1786" s="2" t="str">
        <f aca="false">IF(OR(F1786="",G1786=""),"",IF(G1786&lt;='RETRATO 2027'!$K$5,"CONCLUÍDA",IF(F1786&lt;='RETRATO 2027'!$K$5,"EM ANDAMENTO","A INICIAR")))</f>
        <v>CONCLUÍDA</v>
      </c>
    </row>
    <row r="1787" customFormat="false" ht="15" hidden="false" customHeight="false" outlineLevel="0" collapsed="false">
      <c r="B1787" s="4" t="n">
        <v>9360126</v>
      </c>
      <c r="C1787" s="4" t="s">
        <v>2705</v>
      </c>
      <c r="D1787" s="4" t="s">
        <v>3248</v>
      </c>
      <c r="E1787" s="4" t="s">
        <v>3762</v>
      </c>
      <c r="F1787" s="127" t="n">
        <v>46310</v>
      </c>
      <c r="G1787" s="127" t="n">
        <v>46315</v>
      </c>
      <c r="H1787" s="127" t="n">
        <v>46293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17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11</v>
      </c>
      <c r="O1787" s="2" t="str">
        <f aca="false">IF(OR(F1787="",G1787=""),"",IF(G1787&lt;='RETRATO 2027'!$K$5,"CONCLUÍDA",IF(F1787&lt;='RETRATO 2027'!$K$5,"EM ANDAMENTO","A INICIAR")))</f>
        <v>CONCLUÍDA</v>
      </c>
    </row>
    <row r="1788" customFormat="false" ht="15" hidden="false" customHeight="false" outlineLevel="0" collapsed="false">
      <c r="B1788" s="4" t="n">
        <v>9360127</v>
      </c>
      <c r="C1788" s="4" t="s">
        <v>2705</v>
      </c>
      <c r="D1788" s="4" t="s">
        <v>3249</v>
      </c>
      <c r="E1788" s="4" t="s">
        <v>3762</v>
      </c>
      <c r="F1788" s="127" t="n">
        <v>46311</v>
      </c>
      <c r="G1788" s="127" t="n">
        <v>46311</v>
      </c>
      <c r="H1788" s="127" t="n">
        <v>46293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17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11</v>
      </c>
      <c r="O1788" s="2" t="str">
        <f aca="false">IF(OR(F1788="",G1788=""),"",IF(G1788&lt;='RETRATO 2027'!$K$5,"CONCLUÍDA",IF(F1788&lt;='RETRATO 2027'!$K$5,"EM ANDAMENTO","A INICIAR")))</f>
        <v>CONCLUÍDA</v>
      </c>
    </row>
    <row r="1789" customFormat="false" ht="15" hidden="false" customHeight="false" outlineLevel="0" collapsed="false">
      <c r="B1789" s="4" t="n">
        <v>9360128</v>
      </c>
      <c r="C1789" s="4" t="s">
        <v>2705</v>
      </c>
      <c r="D1789" s="4" t="s">
        <v>3250</v>
      </c>
      <c r="E1789" s="4" t="s">
        <v>3762</v>
      </c>
      <c r="F1789" s="127" t="n">
        <v>46310</v>
      </c>
      <c r="G1789" s="127" t="n">
        <v>46310</v>
      </c>
      <c r="H1789" s="127" t="n">
        <v>46293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17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11</v>
      </c>
      <c r="O1789" s="2" t="str">
        <f aca="false">IF(OR(F1789="",G1789=""),"",IF(G1789&lt;='RETRATO 2027'!$K$5,"CONCLUÍDA",IF(F1789&lt;='RETRATO 2027'!$K$5,"EM ANDAMENTO","A INICIAR")))</f>
        <v>CONCLUÍDA</v>
      </c>
    </row>
    <row r="1790" customFormat="false" ht="15" hidden="false" customHeight="false" outlineLevel="0" collapsed="false">
      <c r="B1790" s="4" t="n">
        <v>9360129</v>
      </c>
      <c r="C1790" s="4" t="s">
        <v>2705</v>
      </c>
      <c r="D1790" s="4" t="s">
        <v>3251</v>
      </c>
      <c r="E1790" s="4" t="s">
        <v>3762</v>
      </c>
      <c r="F1790" s="127" t="n">
        <v>46310</v>
      </c>
      <c r="G1790" s="127" t="n">
        <v>46310</v>
      </c>
      <c r="H1790" s="127" t="n">
        <v>46293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17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11</v>
      </c>
      <c r="O1790" s="2" t="str">
        <f aca="false">IF(OR(F1790="",G1790=""),"",IF(G1790&lt;='RETRATO 2027'!$K$5,"CONCLUÍDA",IF(F1790&lt;='RETRATO 2027'!$K$5,"EM ANDAMENTO","A INICIAR")))</f>
        <v>CONCLUÍDA</v>
      </c>
    </row>
    <row r="1791" customFormat="false" ht="15" hidden="false" customHeight="false" outlineLevel="0" collapsed="false">
      <c r="B1791" s="4" t="n">
        <v>9360130</v>
      </c>
      <c r="C1791" s="4" t="s">
        <v>2705</v>
      </c>
      <c r="D1791" s="4" t="s">
        <v>3252</v>
      </c>
      <c r="E1791" s="4" t="s">
        <v>3762</v>
      </c>
      <c r="F1791" s="127" t="n">
        <v>46311</v>
      </c>
      <c r="G1791" s="127" t="n">
        <v>46311</v>
      </c>
      <c r="H1791" s="127" t="n">
        <v>46293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17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11</v>
      </c>
      <c r="O1791" s="2" t="str">
        <f aca="false">IF(OR(F1791="",G1791=""),"",IF(G1791&lt;='RETRATO 2027'!$K$5,"CONCLUÍDA",IF(F1791&lt;='RETRATO 2027'!$K$5,"EM ANDAMENTO","A INICIAR")))</f>
        <v>CONCLUÍDA</v>
      </c>
    </row>
    <row r="1792" customFormat="false" ht="15" hidden="false" customHeight="false" outlineLevel="0" collapsed="false">
      <c r="B1792" s="4" t="n">
        <v>44914174</v>
      </c>
      <c r="C1792" s="4" t="s">
        <v>2892</v>
      </c>
      <c r="D1792" s="4" t="s">
        <v>433</v>
      </c>
      <c r="E1792" s="4" t="s">
        <v>3243</v>
      </c>
      <c r="F1792" s="127" t="n">
        <v>46308</v>
      </c>
      <c r="G1792" s="127" t="n">
        <v>46339</v>
      </c>
      <c r="H1792" s="127" t="n">
        <v>46293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17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1</v>
      </c>
      <c r="O1792" s="2" t="str">
        <f aca="false">IF(OR(F1792="",G1792=""),"",IF(G1792&lt;='RETRATO 2027'!$K$5,"CONCLUÍDA",IF(F1792&lt;='RETRATO 2027'!$K$5,"EM ANDAMENTO","A INICIAR")))</f>
        <v>CONCLUÍDA</v>
      </c>
    </row>
    <row r="1793" customFormat="false" ht="15" hidden="false" customHeight="false" outlineLevel="0" collapsed="false">
      <c r="B1793" s="4" t="n">
        <v>31451560</v>
      </c>
      <c r="C1793" s="4" t="s">
        <v>2892</v>
      </c>
      <c r="D1793" s="4" t="s">
        <v>3585</v>
      </c>
      <c r="E1793" s="4" t="s">
        <v>3243</v>
      </c>
      <c r="F1793" s="127" t="n">
        <v>46308</v>
      </c>
      <c r="G1793" s="127" t="n">
        <v>46325</v>
      </c>
      <c r="H1793" s="127" t="n">
        <v>46293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17</v>
      </c>
      <c r="N1793" s="2" t="n">
        <f aca="false">IF(E1793="","",IF(ISNUMBER(SEARCH("SUBSOLO",E1793)),IFERROR(-VALUE(LEFT(E1793,FIND("º",SUBSTITUTE(E1793,"°","º"))-1)),-1),IF(LEFT(E1793,6)="TÉRREO",0,IFERROR(VALUE(LEFT(E1793,FIND("º",SUBSTITUTE(E1793,"°","º"))-1)),""))))</f>
        <v>1</v>
      </c>
      <c r="O1793" s="2" t="str">
        <f aca="false">IF(OR(F1793="",G1793=""),"",IF(G1793&lt;='RETRATO 2027'!$K$5,"CONCLUÍDA",IF(F1793&lt;='RETRATO 2027'!$K$5,"EM ANDAMENTO","A INICIAR")))</f>
        <v>CONCLUÍDA</v>
      </c>
    </row>
    <row r="1794" customFormat="false" ht="15" hidden="false" customHeight="false" outlineLevel="0" collapsed="false">
      <c r="B1794" s="4" t="n">
        <v>31451561</v>
      </c>
      <c r="C1794" s="4" t="s">
        <v>2892</v>
      </c>
      <c r="D1794" s="4" t="s">
        <v>3578</v>
      </c>
      <c r="E1794" s="4" t="s">
        <v>3243</v>
      </c>
      <c r="F1794" s="127" t="n">
        <v>46329</v>
      </c>
      <c r="G1794" s="127" t="n">
        <v>46337</v>
      </c>
      <c r="H1794" s="127" t="n">
        <v>46293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17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1</v>
      </c>
      <c r="O1794" s="2" t="str">
        <f aca="false">IF(OR(F1794="",G1794=""),"",IF(G1794&lt;='RETRATO 2027'!$K$5,"CONCLUÍDA",IF(F1794&lt;='RETRATO 2027'!$K$5,"EM ANDAMENTO","A INICIAR")))</f>
        <v>CONCLUÍDA</v>
      </c>
    </row>
    <row r="1795" customFormat="false" ht="15" hidden="false" customHeight="false" outlineLevel="0" collapsed="false">
      <c r="B1795" s="4" t="n">
        <v>31451562</v>
      </c>
      <c r="C1795" s="4" t="s">
        <v>2892</v>
      </c>
      <c r="D1795" s="4" t="s">
        <v>3617</v>
      </c>
      <c r="E1795" s="4" t="s">
        <v>3243</v>
      </c>
      <c r="F1795" s="127" t="n">
        <v>46338</v>
      </c>
      <c r="G1795" s="127" t="n">
        <v>46339</v>
      </c>
      <c r="H1795" s="127" t="n">
        <v>46293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17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1</v>
      </c>
      <c r="O1795" s="2" t="str">
        <f aca="false">IF(OR(F1795="",G1795=""),"",IF(G1795&lt;='RETRATO 2027'!$K$5,"CONCLUÍDA",IF(F1795&lt;='RETRATO 2027'!$K$5,"EM ANDAMENTO","A INICIAR")))</f>
        <v>CONCLUÍDA</v>
      </c>
    </row>
    <row r="1796" customFormat="false" ht="15" hidden="false" customHeight="false" outlineLevel="0" collapsed="false">
      <c r="B1796" s="4" t="n">
        <v>26744950</v>
      </c>
      <c r="C1796" s="4" t="s">
        <v>163</v>
      </c>
      <c r="D1796" s="4" t="s">
        <v>433</v>
      </c>
      <c r="E1796" s="4" t="s">
        <v>3612</v>
      </c>
      <c r="F1796" s="127" t="n">
        <v>46309</v>
      </c>
      <c r="G1796" s="127" t="n">
        <v>46318</v>
      </c>
      <c r="H1796" s="127" t="n">
        <v>46293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18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-1</v>
      </c>
      <c r="O1796" s="2" t="str">
        <f aca="false">IF(OR(F1796="",G1796=""),"",IF(G1796&lt;='RETRATO 2027'!$K$5,"CONCLUÍDA",IF(F1796&lt;='RETRATO 2027'!$K$5,"EM ANDAMENTO","A INICIAR")))</f>
        <v>CONCLUÍDA</v>
      </c>
    </row>
    <row r="1797" customFormat="false" ht="15" hidden="false" customHeight="false" outlineLevel="0" collapsed="false">
      <c r="B1797" s="4" t="n">
        <v>26743710</v>
      </c>
      <c r="C1797" s="4" t="s">
        <v>163</v>
      </c>
      <c r="D1797" s="4" t="s">
        <v>433</v>
      </c>
      <c r="E1797" s="4" t="s">
        <v>3482</v>
      </c>
      <c r="F1797" s="127" t="n">
        <v>46309</v>
      </c>
      <c r="G1797" s="127" t="n">
        <v>46337</v>
      </c>
      <c r="H1797" s="127" t="n">
        <v>46293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>18</v>
      </c>
      <c r="N1797" s="2" t="str">
        <f aca="false"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 t="str">
        <f aca="false">IF(OR(F1797="",G1797=""),"",IF(G1797&lt;='RETRATO 2027'!$K$5,"CONCLUÍDA",IF(F1797&lt;='RETRATO 2027'!$K$5,"EM ANDAMENTO","A INICIAR")))</f>
        <v>CONCLUÍDA</v>
      </c>
    </row>
    <row r="1798" customFormat="false" ht="15" hidden="false" customHeight="false" outlineLevel="0" collapsed="false">
      <c r="B1798" s="4" t="n">
        <v>26743612</v>
      </c>
      <c r="C1798" s="4" t="s">
        <v>2869</v>
      </c>
      <c r="D1798" s="4" t="s">
        <v>433</v>
      </c>
      <c r="E1798" s="4" t="s">
        <v>3678</v>
      </c>
      <c r="F1798" s="127" t="n">
        <v>46309</v>
      </c>
      <c r="G1798" s="127" t="n">
        <v>46318</v>
      </c>
      <c r="H1798" s="127" t="n">
        <v>46293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22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5</v>
      </c>
      <c r="O1798" s="2" t="str">
        <f aca="false">IF(OR(F1798="",G1798=""),"",IF(G1798&lt;='RETRATO 2027'!$K$5,"CONCLUÍDA",IF(F1798&lt;='RETRATO 2027'!$K$5,"EM ANDAMENTO","A INICIAR")))</f>
        <v>CONCLUÍDA</v>
      </c>
    </row>
    <row r="1799" customFormat="false" ht="15" hidden="false" customHeight="false" outlineLevel="0" collapsed="false">
      <c r="B1799" s="4" t="n">
        <v>26743573</v>
      </c>
      <c r="C1799" s="4" t="s">
        <v>163</v>
      </c>
      <c r="D1799" s="4" t="s">
        <v>433</v>
      </c>
      <c r="E1799" s="4" t="s">
        <v>3685</v>
      </c>
      <c r="F1799" s="127" t="n">
        <v>46309</v>
      </c>
      <c r="G1799" s="127" t="n">
        <v>46318</v>
      </c>
      <c r="H1799" s="127" t="n">
        <v>46293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18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6</v>
      </c>
      <c r="O1799" s="2" t="str">
        <f aca="false">IF(OR(F1799="",G1799=""),"",IF(G1799&lt;='RETRATO 2027'!$K$5,"CONCLUÍDA",IF(F1799&lt;='RETRATO 2027'!$K$5,"EM ANDAMENTO","A INICIAR")))</f>
        <v>CONCLUÍDA</v>
      </c>
    </row>
    <row r="1800" customFormat="false" ht="15" hidden="false" customHeight="false" outlineLevel="0" collapsed="false">
      <c r="B1800" s="4" t="n">
        <v>26218313</v>
      </c>
      <c r="C1800" s="4" t="s">
        <v>2711</v>
      </c>
      <c r="D1800" s="4" t="s">
        <v>433</v>
      </c>
      <c r="E1800" s="4" t="s">
        <v>3626</v>
      </c>
      <c r="F1800" s="127" t="n">
        <v>46310</v>
      </c>
      <c r="G1800" s="127" t="n">
        <v>46336</v>
      </c>
      <c r="H1800" s="127" t="n">
        <v>46293</v>
      </c>
      <c r="I1800" s="4" t="n">
        <v>100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17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2</v>
      </c>
      <c r="O1800" s="2" t="str">
        <f aca="false">IF(OR(F1800="",G1800=""),"",IF(G1800&lt;='RETRATO 2027'!$K$5,"CONCLUÍDA",IF(F1800&lt;='RETRATO 2027'!$K$5,"EM ANDAMENTO","A INICIAR")))</f>
        <v>CONCLUÍDA</v>
      </c>
    </row>
    <row r="1801" customFormat="false" ht="15" hidden="false" customHeight="false" outlineLevel="0" collapsed="false">
      <c r="B1801" s="4" t="n">
        <v>9364446</v>
      </c>
      <c r="C1801" s="4" t="s">
        <v>2711</v>
      </c>
      <c r="D1801" s="4" t="s">
        <v>3244</v>
      </c>
      <c r="E1801" s="4" t="s">
        <v>3626</v>
      </c>
      <c r="F1801" s="127" t="n">
        <v>46310</v>
      </c>
      <c r="G1801" s="127" t="n">
        <v>46314</v>
      </c>
      <c r="H1801" s="127" t="n">
        <v>46293</v>
      </c>
      <c r="I1801" s="4" t="n">
        <v>100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17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2</v>
      </c>
      <c r="O1801" s="2" t="str">
        <f aca="false">IF(OR(F1801="",G1801=""),"",IF(G1801&lt;='RETRATO 2027'!$K$5,"CONCLUÍDA",IF(F1801&lt;='RETRATO 2027'!$K$5,"EM ANDAMENTO","A INICIAR")))</f>
        <v>CONCLUÍDA</v>
      </c>
    </row>
    <row r="1802" customFormat="false" ht="15" hidden="false" customHeight="false" outlineLevel="0" collapsed="false">
      <c r="B1802" s="4" t="n">
        <v>9364447</v>
      </c>
      <c r="C1802" s="4" t="s">
        <v>2711</v>
      </c>
      <c r="D1802" s="4" t="s">
        <v>3245</v>
      </c>
      <c r="E1802" s="4" t="s">
        <v>3626</v>
      </c>
      <c r="F1802" s="127" t="n">
        <v>46314</v>
      </c>
      <c r="G1802" s="127" t="n">
        <v>46316</v>
      </c>
      <c r="H1802" s="127" t="n">
        <v>46293</v>
      </c>
      <c r="I1802" s="4" t="n">
        <v>100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17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2</v>
      </c>
      <c r="O1802" s="2" t="str">
        <f aca="false">IF(OR(F1802="",G1802=""),"",IF(G1802&lt;='RETRATO 2027'!$K$5,"CONCLUÍDA",IF(F1802&lt;='RETRATO 2027'!$K$5,"EM ANDAMENTO","A INICIAR")))</f>
        <v>CONCLUÍDA</v>
      </c>
    </row>
    <row r="1803" customFormat="false" ht="15" hidden="false" customHeight="false" outlineLevel="0" collapsed="false">
      <c r="B1803" s="4" t="n">
        <v>9364448</v>
      </c>
      <c r="C1803" s="4" t="s">
        <v>2711</v>
      </c>
      <c r="D1803" s="4" t="s">
        <v>3246</v>
      </c>
      <c r="E1803" s="4" t="s">
        <v>3626</v>
      </c>
      <c r="F1803" s="127" t="n">
        <v>46315</v>
      </c>
      <c r="G1803" s="127" t="n">
        <v>46321</v>
      </c>
      <c r="H1803" s="127" t="n">
        <v>46293</v>
      </c>
      <c r="I1803" s="4" t="n">
        <v>100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>17</v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2</v>
      </c>
      <c r="O1803" s="2" t="str">
        <f aca="false">IF(OR(F1803="",G1803=""),"",IF(G1803&lt;='RETRATO 2027'!$K$5,"CONCLUÍDA",IF(F1803&lt;='RETRATO 2027'!$K$5,"EM ANDAMENTO","A INICIAR")))</f>
        <v>CONCLUÍDA</v>
      </c>
    </row>
    <row r="1804" customFormat="false" ht="15" hidden="false" customHeight="false" outlineLevel="0" collapsed="false">
      <c r="B1804" s="4" t="n">
        <v>9364449</v>
      </c>
      <c r="C1804" s="4" t="s">
        <v>2711</v>
      </c>
      <c r="D1804" s="4" t="s">
        <v>3247</v>
      </c>
      <c r="E1804" s="4" t="s">
        <v>3626</v>
      </c>
      <c r="F1804" s="127" t="n">
        <v>46322</v>
      </c>
      <c r="G1804" s="127" t="n">
        <v>46322</v>
      </c>
      <c r="H1804" s="127" t="n">
        <v>46293</v>
      </c>
      <c r="I1804" s="4" t="n">
        <v>100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17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2</v>
      </c>
      <c r="O1804" s="2" t="str">
        <f aca="false">IF(OR(F1804="",G1804=""),"",IF(G1804&lt;='RETRATO 2027'!$K$5,"CONCLUÍDA",IF(F1804&lt;='RETRATO 2027'!$K$5,"EM ANDAMENTO","A INICIAR")))</f>
        <v>CONCLUÍDA</v>
      </c>
    </row>
    <row r="1805" customFormat="false" ht="15" hidden="false" customHeight="false" outlineLevel="0" collapsed="false">
      <c r="B1805" s="4" t="n">
        <v>9364450</v>
      </c>
      <c r="C1805" s="4" t="s">
        <v>2711</v>
      </c>
      <c r="D1805" s="4" t="s">
        <v>3248</v>
      </c>
      <c r="E1805" s="4" t="s">
        <v>3626</v>
      </c>
      <c r="F1805" s="127" t="n">
        <v>46323</v>
      </c>
      <c r="G1805" s="127" t="n">
        <v>46330</v>
      </c>
      <c r="H1805" s="127" t="n">
        <v>46293</v>
      </c>
      <c r="I1805" s="4" t="n">
        <v>100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17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2</v>
      </c>
      <c r="O1805" s="2" t="str">
        <f aca="false">IF(OR(F1805="",G1805=""),"",IF(G1805&lt;='RETRATO 2027'!$K$5,"CONCLUÍDA",IF(F1805&lt;='RETRATO 2027'!$K$5,"EM ANDAMENTO","A INICIAR")))</f>
        <v>CONCLUÍDA</v>
      </c>
    </row>
    <row r="1806" customFormat="false" ht="15" hidden="false" customHeight="false" outlineLevel="0" collapsed="false">
      <c r="B1806" s="4" t="n">
        <v>9364451</v>
      </c>
      <c r="C1806" s="4" t="s">
        <v>2711</v>
      </c>
      <c r="D1806" s="4" t="s">
        <v>3249</v>
      </c>
      <c r="E1806" s="4" t="s">
        <v>3626</v>
      </c>
      <c r="F1806" s="127" t="n">
        <v>46324</v>
      </c>
      <c r="G1806" s="127" t="n">
        <v>46332</v>
      </c>
      <c r="H1806" s="127" t="n">
        <v>46293</v>
      </c>
      <c r="I1806" s="4" t="n">
        <v>100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17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2</v>
      </c>
      <c r="O1806" s="2" t="str">
        <f aca="false">IF(OR(F1806="",G1806=""),"",IF(G1806&lt;='RETRATO 2027'!$K$5,"CONCLUÍDA",IF(F1806&lt;='RETRATO 2027'!$K$5,"EM ANDAMENTO","A INICIAR")))</f>
        <v>CONCLUÍDA</v>
      </c>
    </row>
    <row r="1807" customFormat="false" ht="15" hidden="false" customHeight="false" outlineLevel="0" collapsed="false">
      <c r="B1807" s="4" t="n">
        <v>9364452</v>
      </c>
      <c r="C1807" s="4" t="s">
        <v>2711</v>
      </c>
      <c r="D1807" s="4" t="s">
        <v>3250</v>
      </c>
      <c r="E1807" s="4" t="s">
        <v>3626</v>
      </c>
      <c r="F1807" s="127" t="n">
        <v>46331</v>
      </c>
      <c r="G1807" s="127" t="n">
        <v>46332</v>
      </c>
      <c r="H1807" s="127" t="n">
        <v>46293</v>
      </c>
      <c r="I1807" s="4" t="n">
        <v>100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17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2</v>
      </c>
      <c r="O1807" s="2" t="str">
        <f aca="false">IF(OR(F1807="",G1807=""),"",IF(G1807&lt;='RETRATO 2027'!$K$5,"CONCLUÍDA",IF(F1807&lt;='RETRATO 2027'!$K$5,"EM ANDAMENTO","A INICIAR")))</f>
        <v>CONCLUÍDA</v>
      </c>
    </row>
    <row r="1808" customFormat="false" ht="15" hidden="false" customHeight="false" outlineLevel="0" collapsed="false">
      <c r="B1808" s="4" t="n">
        <v>9364453</v>
      </c>
      <c r="C1808" s="4" t="s">
        <v>2711</v>
      </c>
      <c r="D1808" s="4" t="s">
        <v>3251</v>
      </c>
      <c r="E1808" s="4" t="s">
        <v>3626</v>
      </c>
      <c r="F1808" s="127" t="n">
        <v>46332</v>
      </c>
      <c r="G1808" s="127" t="n">
        <v>46335</v>
      </c>
      <c r="H1808" s="127" t="n">
        <v>46293</v>
      </c>
      <c r="I1808" s="4" t="n">
        <v>100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17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2</v>
      </c>
      <c r="O1808" s="2" t="str">
        <f aca="false">IF(OR(F1808="",G1808=""),"",IF(G1808&lt;='RETRATO 2027'!$K$5,"CONCLUÍDA",IF(F1808&lt;='RETRATO 2027'!$K$5,"EM ANDAMENTO","A INICIAR")))</f>
        <v>CONCLUÍDA</v>
      </c>
    </row>
    <row r="1809" customFormat="false" ht="15" hidden="false" customHeight="false" outlineLevel="0" collapsed="false">
      <c r="B1809" s="4" t="n">
        <v>9364454</v>
      </c>
      <c r="C1809" s="4" t="s">
        <v>2711</v>
      </c>
      <c r="D1809" s="4" t="s">
        <v>3252</v>
      </c>
      <c r="E1809" s="4" t="s">
        <v>3626</v>
      </c>
      <c r="F1809" s="127" t="n">
        <v>46336</v>
      </c>
      <c r="G1809" s="127" t="n">
        <v>46336</v>
      </c>
      <c r="H1809" s="127" t="n">
        <v>46293</v>
      </c>
      <c r="I1809" s="4" t="n">
        <v>100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17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2</v>
      </c>
      <c r="O1809" s="2" t="str">
        <f aca="false">IF(OR(F1809="",G1809=""),"",IF(G1809&lt;='RETRATO 2027'!$K$5,"CONCLUÍDA",IF(F1809&lt;='RETRATO 2027'!$K$5,"EM ANDAMENTO","A INICIAR")))</f>
        <v>CONCLUÍDA</v>
      </c>
    </row>
    <row r="1810" customFormat="false" ht="15" hidden="false" customHeight="false" outlineLevel="0" collapsed="false">
      <c r="B1810" s="4" t="n">
        <v>39842147</v>
      </c>
      <c r="C1810" s="4" t="s">
        <v>2719</v>
      </c>
      <c r="D1810" s="4" t="s">
        <v>433</v>
      </c>
      <c r="E1810" s="4" t="s">
        <v>3626</v>
      </c>
      <c r="F1810" s="127" t="n">
        <v>46310</v>
      </c>
      <c r="G1810" s="127" t="n">
        <v>46339</v>
      </c>
      <c r="H1810" s="127" t="n">
        <v>46293</v>
      </c>
      <c r="I1810" s="4" t="n">
        <v>100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17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2</v>
      </c>
      <c r="O1810" s="2" t="str">
        <f aca="false">IF(OR(F1810="",G1810=""),"",IF(G1810&lt;='RETRATO 2027'!$K$5,"CONCLUÍDA",IF(F1810&lt;='RETRATO 2027'!$K$5,"EM ANDAMENTO","A INICIAR")))</f>
        <v>CONCLUÍDA</v>
      </c>
    </row>
    <row r="1811" customFormat="false" ht="15" hidden="false" customHeight="false" outlineLevel="0" collapsed="false">
      <c r="B1811" s="4" t="n">
        <v>19473447</v>
      </c>
      <c r="C1811" s="4" t="s">
        <v>2719</v>
      </c>
      <c r="D1811" s="4" t="s">
        <v>3554</v>
      </c>
      <c r="E1811" s="4" t="s">
        <v>3626</v>
      </c>
      <c r="F1811" s="127" t="n">
        <v>46310</v>
      </c>
      <c r="G1811" s="127" t="n">
        <v>46314</v>
      </c>
      <c r="H1811" s="127" t="n">
        <v>46293</v>
      </c>
      <c r="I1811" s="4" t="n">
        <v>100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17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2</v>
      </c>
      <c r="O1811" s="2" t="str">
        <f aca="false">IF(OR(F1811="",G1811=""),"",IF(G1811&lt;='RETRATO 2027'!$K$5,"CONCLUÍDA",IF(F1811&lt;='RETRATO 2027'!$K$5,"EM ANDAMENTO","A INICIAR")))</f>
        <v>CONCLUÍDA</v>
      </c>
    </row>
    <row r="1812" customFormat="false" ht="15" hidden="false" customHeight="false" outlineLevel="0" collapsed="false">
      <c r="B1812" s="4" t="n">
        <v>19473448</v>
      </c>
      <c r="C1812" s="4" t="s">
        <v>2719</v>
      </c>
      <c r="D1812" s="4" t="s">
        <v>3555</v>
      </c>
      <c r="E1812" s="4" t="s">
        <v>3626</v>
      </c>
      <c r="F1812" s="127" t="n">
        <v>46315</v>
      </c>
      <c r="G1812" s="127" t="n">
        <v>46317</v>
      </c>
      <c r="H1812" s="127" t="n">
        <v>46293</v>
      </c>
      <c r="I1812" s="4" t="n">
        <v>100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17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2</v>
      </c>
      <c r="O1812" s="2" t="str">
        <f aca="false">IF(OR(F1812="",G1812=""),"",IF(G1812&lt;='RETRATO 2027'!$K$5,"CONCLUÍDA",IF(F1812&lt;='RETRATO 2027'!$K$5,"EM ANDAMENTO","A INICIAR")))</f>
        <v>CONCLUÍDA</v>
      </c>
    </row>
    <row r="1813" customFormat="false" ht="15" hidden="false" customHeight="false" outlineLevel="0" collapsed="false">
      <c r="B1813" s="4" t="n">
        <v>19473449</v>
      </c>
      <c r="C1813" s="4" t="s">
        <v>2719</v>
      </c>
      <c r="D1813" s="4" t="s">
        <v>3498</v>
      </c>
      <c r="E1813" s="4" t="s">
        <v>3626</v>
      </c>
      <c r="F1813" s="127" t="n">
        <v>46318</v>
      </c>
      <c r="G1813" s="127" t="n">
        <v>46332</v>
      </c>
      <c r="H1813" s="127" t="n">
        <v>46293</v>
      </c>
      <c r="I1813" s="4" t="n">
        <v>100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17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2</v>
      </c>
      <c r="O1813" s="2" t="str">
        <f aca="false">IF(OR(F1813="",G1813=""),"",IF(G1813&lt;='RETRATO 2027'!$K$5,"CONCLUÍDA",IF(F1813&lt;='RETRATO 2027'!$K$5,"EM ANDAMENTO","A INICIAR")))</f>
        <v>CONCLUÍDA</v>
      </c>
    </row>
    <row r="1814" customFormat="false" ht="15" hidden="false" customHeight="false" outlineLevel="0" collapsed="false">
      <c r="B1814" s="4" t="n">
        <v>19473450</v>
      </c>
      <c r="C1814" s="4" t="s">
        <v>2719</v>
      </c>
      <c r="D1814" s="4" t="s">
        <v>3599</v>
      </c>
      <c r="E1814" s="4" t="s">
        <v>3626</v>
      </c>
      <c r="F1814" s="127" t="n">
        <v>46325</v>
      </c>
      <c r="G1814" s="127" t="n">
        <v>46329</v>
      </c>
      <c r="H1814" s="127" t="n">
        <v>46293</v>
      </c>
      <c r="I1814" s="4" t="n">
        <v>100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17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2</v>
      </c>
      <c r="O1814" s="2" t="str">
        <f aca="false">IF(OR(F1814="",G1814=""),"",IF(G1814&lt;='RETRATO 2027'!$K$5,"CONCLUÍDA",IF(F1814&lt;='RETRATO 2027'!$K$5,"EM ANDAMENTO","A INICIAR")))</f>
        <v>CONCLUÍDA</v>
      </c>
    </row>
    <row r="1815" customFormat="false" ht="15" hidden="false" customHeight="false" outlineLevel="0" collapsed="false">
      <c r="B1815" s="4" t="n">
        <v>19473451</v>
      </c>
      <c r="C1815" s="4" t="s">
        <v>2719</v>
      </c>
      <c r="D1815" s="4" t="s">
        <v>3549</v>
      </c>
      <c r="E1815" s="4" t="s">
        <v>3626</v>
      </c>
      <c r="F1815" s="127" t="n">
        <v>46330</v>
      </c>
      <c r="G1815" s="127" t="n">
        <v>46330</v>
      </c>
      <c r="H1815" s="127" t="n">
        <v>46293</v>
      </c>
      <c r="I1815" s="4" t="n">
        <v>100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17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2</v>
      </c>
      <c r="O1815" s="2" t="str">
        <f aca="false">IF(OR(F1815="",G1815=""),"",IF(G1815&lt;='RETRATO 2027'!$K$5,"CONCLUÍDA",IF(F1815&lt;='RETRATO 2027'!$K$5,"EM ANDAMENTO","A INICIAR")))</f>
        <v>CONCLUÍDA</v>
      </c>
    </row>
    <row r="1816" customFormat="false" ht="15" hidden="false" customHeight="false" outlineLevel="0" collapsed="false">
      <c r="B1816" s="4" t="n">
        <v>19473452</v>
      </c>
      <c r="C1816" s="4" t="s">
        <v>2719</v>
      </c>
      <c r="D1816" s="4" t="s">
        <v>3217</v>
      </c>
      <c r="E1816" s="4" t="s">
        <v>3626</v>
      </c>
      <c r="F1816" s="127" t="n">
        <v>46331</v>
      </c>
      <c r="G1816" s="127" t="n">
        <v>46338</v>
      </c>
      <c r="H1816" s="127" t="n">
        <v>46293</v>
      </c>
      <c r="I1816" s="4" t="n">
        <v>100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17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</v>
      </c>
      <c r="O1816" s="2" t="str">
        <f aca="false">IF(OR(F1816="",G1816=""),"",IF(G1816&lt;='RETRATO 2027'!$K$5,"CONCLUÍDA",IF(F1816&lt;='RETRATO 2027'!$K$5,"EM ANDAMENTO","A INICIAR")))</f>
        <v>CONCLUÍDA</v>
      </c>
    </row>
    <row r="1817" customFormat="false" ht="15" hidden="false" customHeight="false" outlineLevel="0" collapsed="false">
      <c r="B1817" s="4" t="n">
        <v>19473453</v>
      </c>
      <c r="C1817" s="4" t="s">
        <v>2719</v>
      </c>
      <c r="D1817" s="4" t="s">
        <v>3563</v>
      </c>
      <c r="E1817" s="4" t="s">
        <v>3626</v>
      </c>
      <c r="F1817" s="127" t="n">
        <v>46339</v>
      </c>
      <c r="G1817" s="127" t="n">
        <v>46339</v>
      </c>
      <c r="H1817" s="127" t="n">
        <v>46293</v>
      </c>
      <c r="I1817" s="4" t="n">
        <v>100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>17</v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2</v>
      </c>
      <c r="O1817" s="2" t="str">
        <f aca="false">IF(OR(F1817="",G1817=""),"",IF(G1817&lt;='RETRATO 2027'!$K$5,"CONCLUÍDA",IF(F1817&lt;='RETRATO 2027'!$K$5,"EM ANDAMENTO","A INICIAR")))</f>
        <v>CONCLUÍDA</v>
      </c>
    </row>
    <row r="1818" customFormat="false" ht="15" hidden="false" customHeight="false" outlineLevel="0" collapsed="false">
      <c r="B1818" s="4" t="n">
        <v>46489398</v>
      </c>
      <c r="C1818" s="4" t="s">
        <v>2894</v>
      </c>
      <c r="D1818" s="4" t="s">
        <v>433</v>
      </c>
      <c r="E1818" s="4" t="s">
        <v>3655</v>
      </c>
      <c r="F1818" s="127" t="n">
        <v>46314</v>
      </c>
      <c r="G1818" s="127" t="n">
        <v>46357</v>
      </c>
      <c r="H1818" s="127" t="n">
        <v>46293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32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3</v>
      </c>
      <c r="O1818" s="2" t="str">
        <f aca="false">IF(OR(F1818="",G1818=""),"",IF(G1818&lt;='RETRATO 2027'!$K$5,"CONCLUÍDA",IF(F1818&lt;='RETRATO 2027'!$K$5,"EM ANDAMENTO","A INICIAR")))</f>
        <v>CONCLUÍDA</v>
      </c>
    </row>
    <row r="1819" customFormat="false" ht="15" hidden="false" customHeight="false" outlineLevel="0" collapsed="false">
      <c r="B1819" s="4" t="n">
        <v>26750530</v>
      </c>
      <c r="C1819" s="4" t="s">
        <v>2814</v>
      </c>
      <c r="D1819" s="4" t="s">
        <v>433</v>
      </c>
      <c r="E1819" s="4" t="s">
        <v>3597</v>
      </c>
      <c r="F1819" s="127" t="n">
        <v>46315</v>
      </c>
      <c r="G1819" s="127" t="n">
        <v>46324</v>
      </c>
      <c r="H1819" s="127" t="n">
        <v>46293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28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-2</v>
      </c>
      <c r="O1819" s="2" t="str">
        <f aca="false">IF(OR(F1819="",G1819=""),"",IF(G1819&lt;='RETRATO 2027'!$K$5,"CONCLUÍDA",IF(F1819&lt;='RETRATO 2027'!$K$5,"EM ANDAMENTO","A INICIAR")))</f>
        <v>CONCLUÍDA</v>
      </c>
    </row>
    <row r="1820" customFormat="false" ht="15" hidden="false" customHeight="false" outlineLevel="0" collapsed="false">
      <c r="B1820" s="4" t="n">
        <v>26743655</v>
      </c>
      <c r="C1820" s="4" t="s">
        <v>2896</v>
      </c>
      <c r="D1820" s="4" t="s">
        <v>433</v>
      </c>
      <c r="E1820" s="4" t="s">
        <v>3668</v>
      </c>
      <c r="F1820" s="127" t="n">
        <v>46315</v>
      </c>
      <c r="G1820" s="127" t="n">
        <v>46324</v>
      </c>
      <c r="H1820" s="127" t="n">
        <v>46293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20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4</v>
      </c>
      <c r="O1820" s="2" t="str">
        <f aca="false">IF(OR(F1820="",G1820=""),"",IF(G1820&lt;='RETRATO 2027'!$K$5,"CONCLUÍDA",IF(F1820&lt;='RETRATO 2027'!$K$5,"EM ANDAMENTO","A INICIAR")))</f>
        <v>CONCLUÍDA</v>
      </c>
    </row>
    <row r="1821" customFormat="false" ht="15" hidden="false" customHeight="false" outlineLevel="0" collapsed="false">
      <c r="B1821" s="4" t="n">
        <v>29844458</v>
      </c>
      <c r="C1821" s="4" t="s">
        <v>2898</v>
      </c>
      <c r="D1821" s="4" t="s">
        <v>433</v>
      </c>
      <c r="E1821" s="4" t="s">
        <v>3668</v>
      </c>
      <c r="F1821" s="127" t="n">
        <v>46315</v>
      </c>
      <c r="G1821" s="127" t="n">
        <v>46323</v>
      </c>
      <c r="H1821" s="127" t="n">
        <v>46293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29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4</v>
      </c>
      <c r="O1821" s="2" t="str">
        <f aca="false">IF(OR(F1821="",G1821=""),"",IF(G1821&lt;='RETRATO 2027'!$K$5,"CONCLUÍDA",IF(F1821&lt;='RETRATO 2027'!$K$5,"EM ANDAMENTO","A INICIAR")))</f>
        <v>CONCLUÍDA</v>
      </c>
    </row>
    <row r="1822" customFormat="false" ht="15" hidden="false" customHeight="false" outlineLevel="0" collapsed="false">
      <c r="B1822" s="4" t="n">
        <v>26743611</v>
      </c>
      <c r="C1822" s="4" t="s">
        <v>2886</v>
      </c>
      <c r="D1822" s="4" t="s">
        <v>433</v>
      </c>
      <c r="E1822" s="4" t="s">
        <v>3678</v>
      </c>
      <c r="F1822" s="127" t="n">
        <v>46315</v>
      </c>
      <c r="G1822" s="127" t="n">
        <v>46324</v>
      </c>
      <c r="H1822" s="127" t="n">
        <v>46293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21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5</v>
      </c>
      <c r="O1822" s="2" t="str">
        <f aca="false">IF(OR(F1822="",G1822=""),"",IF(G1822&lt;='RETRATO 2027'!$K$5,"CONCLUÍDA",IF(F1822&lt;='RETRATO 2027'!$K$5,"EM ANDAMENTO","A INICIAR")))</f>
        <v>CONCLUÍDA</v>
      </c>
    </row>
    <row r="1823" customFormat="false" ht="15" hidden="false" customHeight="false" outlineLevel="0" collapsed="false">
      <c r="B1823" s="4" t="n">
        <v>29844634</v>
      </c>
      <c r="C1823" s="4" t="s">
        <v>2888</v>
      </c>
      <c r="D1823" s="4" t="s">
        <v>433</v>
      </c>
      <c r="E1823" s="4" t="s">
        <v>3678</v>
      </c>
      <c r="F1823" s="127" t="n">
        <v>46315</v>
      </c>
      <c r="G1823" s="127" t="n">
        <v>46324</v>
      </c>
      <c r="H1823" s="127" t="n">
        <v>46293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20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5</v>
      </c>
      <c r="O1823" s="2" t="str">
        <f aca="false">IF(OR(F1823="",G1823=""),"",IF(G1823&lt;='RETRATO 2027'!$K$5,"CONCLUÍDA",IF(F1823&lt;='RETRATO 2027'!$K$5,"EM ANDAMENTO","A INICIAR")))</f>
        <v>CONCLUÍDA</v>
      </c>
    </row>
    <row r="1824" customFormat="false" ht="15" hidden="false" customHeight="false" outlineLevel="0" collapsed="false">
      <c r="B1824" s="4" t="n">
        <v>36118598</v>
      </c>
      <c r="C1824" s="4" t="s">
        <v>2848</v>
      </c>
      <c r="D1824" s="4" t="s">
        <v>433</v>
      </c>
      <c r="E1824" s="4" t="s">
        <v>3375</v>
      </c>
      <c r="F1824" s="127" t="n">
        <v>46316</v>
      </c>
      <c r="G1824" s="127" t="n">
        <v>46337</v>
      </c>
      <c r="H1824" s="127" t="n">
        <v>46293</v>
      </c>
      <c r="I1824" s="4" t="n">
        <v>100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26</v>
      </c>
      <c r="N1824" s="2" t="n">
        <f aca="false">IF(E1824="","",IF(ISNUMBER(SEARCH("SUBSOLO",E1824)),IFERROR(-VALUE(LEFT(E1824,FIND("º",SUBSTITUTE(E1824,"°","º"))-1)),-1),IF(LEFT(E1824,6)="TÉRREO",0,IFERROR(VALUE(LEFT(E1824,FIND("º",SUBSTITUTE(E1824,"°","º"))-1)),""))))</f>
        <v>-3</v>
      </c>
      <c r="O1824" s="2" t="str">
        <f aca="false">IF(OR(F1824="",G1824=""),"",IF(G1824&lt;='RETRATO 2027'!$K$5,"CONCLUÍDA",IF(F1824&lt;='RETRATO 2027'!$K$5,"EM ANDAMENTO","A INICIAR")))</f>
        <v>CONCLUÍDA</v>
      </c>
    </row>
    <row r="1825" customFormat="false" ht="15" hidden="false" customHeight="false" outlineLevel="0" collapsed="false">
      <c r="B1825" s="4" t="n">
        <v>24939424</v>
      </c>
      <c r="C1825" s="4" t="s">
        <v>2705</v>
      </c>
      <c r="D1825" s="4" t="s">
        <v>433</v>
      </c>
      <c r="E1825" s="4" t="s">
        <v>3763</v>
      </c>
      <c r="F1825" s="127" t="n">
        <v>46316</v>
      </c>
      <c r="G1825" s="127" t="n">
        <v>46324</v>
      </c>
      <c r="H1825" s="127" t="n">
        <v>46293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17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12</v>
      </c>
      <c r="O1825" s="2" t="str">
        <f aca="false">IF(OR(F1825="",G1825=""),"",IF(G1825&lt;='RETRATO 2027'!$K$5,"CONCLUÍDA",IF(F1825&lt;='RETRATO 2027'!$K$5,"EM ANDAMENTO","A INICIAR")))</f>
        <v>CONCLUÍDA</v>
      </c>
    </row>
    <row r="1826" customFormat="false" ht="15" hidden="false" customHeight="false" outlineLevel="0" collapsed="false">
      <c r="B1826" s="4" t="n">
        <v>9360113</v>
      </c>
      <c r="C1826" s="4" t="s">
        <v>2705</v>
      </c>
      <c r="D1826" s="4" t="s">
        <v>3244</v>
      </c>
      <c r="E1826" s="4" t="s">
        <v>3763</v>
      </c>
      <c r="F1826" s="127" t="n">
        <v>46316</v>
      </c>
      <c r="G1826" s="127" t="n">
        <v>46318</v>
      </c>
      <c r="H1826" s="127" t="n">
        <v>46293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17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12</v>
      </c>
      <c r="O1826" s="2" t="str">
        <f aca="false">IF(OR(F1826="",G1826=""),"",IF(G1826&lt;='RETRATO 2027'!$K$5,"CONCLUÍDA",IF(F1826&lt;='RETRATO 2027'!$K$5,"EM ANDAMENTO","A INICIAR")))</f>
        <v>CONCLUÍDA</v>
      </c>
    </row>
    <row r="1827" customFormat="false" ht="15" hidden="false" customHeight="false" outlineLevel="0" collapsed="false">
      <c r="B1827" s="4" t="n">
        <v>9360114</v>
      </c>
      <c r="C1827" s="4" t="s">
        <v>2705</v>
      </c>
      <c r="D1827" s="4" t="s">
        <v>3245</v>
      </c>
      <c r="E1827" s="4" t="s">
        <v>3763</v>
      </c>
      <c r="F1827" s="127" t="n">
        <v>46316</v>
      </c>
      <c r="G1827" s="127" t="n">
        <v>46318</v>
      </c>
      <c r="H1827" s="127" t="n">
        <v>46293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17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12</v>
      </c>
      <c r="O1827" s="2" t="str">
        <f aca="false">IF(OR(F1827="",G1827=""),"",IF(G1827&lt;='RETRATO 2027'!$K$5,"CONCLUÍDA",IF(F1827&lt;='RETRATO 2027'!$K$5,"EM ANDAMENTO","A INICIAR")))</f>
        <v>CONCLUÍDA</v>
      </c>
    </row>
    <row r="1828" customFormat="false" ht="15" hidden="false" customHeight="false" outlineLevel="0" collapsed="false">
      <c r="B1828" s="4" t="n">
        <v>9360115</v>
      </c>
      <c r="C1828" s="4" t="s">
        <v>2705</v>
      </c>
      <c r="D1828" s="4" t="s">
        <v>3246</v>
      </c>
      <c r="E1828" s="4" t="s">
        <v>3763</v>
      </c>
      <c r="F1828" s="127" t="n">
        <v>46317</v>
      </c>
      <c r="G1828" s="127" t="n">
        <v>46321</v>
      </c>
      <c r="H1828" s="127" t="n">
        <v>46293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17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12</v>
      </c>
      <c r="O1828" s="2" t="str">
        <f aca="false">IF(OR(F1828="",G1828=""),"",IF(G1828&lt;='RETRATO 2027'!$K$5,"CONCLUÍDA",IF(F1828&lt;='RETRATO 2027'!$K$5,"EM ANDAMENTO","A INICIAR")))</f>
        <v>CONCLUÍDA</v>
      </c>
    </row>
    <row r="1829" customFormat="false" ht="15" hidden="false" customHeight="false" outlineLevel="0" collapsed="false">
      <c r="B1829" s="4" t="n">
        <v>9360116</v>
      </c>
      <c r="C1829" s="4" t="s">
        <v>2705</v>
      </c>
      <c r="D1829" s="4" t="s">
        <v>3247</v>
      </c>
      <c r="E1829" s="4" t="s">
        <v>3763</v>
      </c>
      <c r="F1829" s="127" t="n">
        <v>46322</v>
      </c>
      <c r="G1829" s="127" t="n">
        <v>46322</v>
      </c>
      <c r="H1829" s="127" t="n">
        <v>46293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17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12</v>
      </c>
      <c r="O1829" s="2" t="str">
        <f aca="false">IF(OR(F1829="",G1829=""),"",IF(G1829&lt;='RETRATO 2027'!$K$5,"CONCLUÍDA",IF(F1829&lt;='RETRATO 2027'!$K$5,"EM ANDAMENTO","A INICIAR")))</f>
        <v>CONCLUÍDA</v>
      </c>
    </row>
    <row r="1830" customFormat="false" ht="15" hidden="false" customHeight="false" outlineLevel="0" collapsed="false">
      <c r="B1830" s="4" t="n">
        <v>9360117</v>
      </c>
      <c r="C1830" s="4" t="s">
        <v>2705</v>
      </c>
      <c r="D1830" s="4" t="s">
        <v>3248</v>
      </c>
      <c r="E1830" s="4" t="s">
        <v>3763</v>
      </c>
      <c r="F1830" s="127" t="n">
        <v>46323</v>
      </c>
      <c r="G1830" s="127" t="n">
        <v>46324</v>
      </c>
      <c r="H1830" s="127" t="n">
        <v>46293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17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12</v>
      </c>
      <c r="O1830" s="2" t="str">
        <f aca="false">IF(OR(F1830="",G1830=""),"",IF(G1830&lt;='RETRATO 2027'!$K$5,"CONCLUÍDA",IF(F1830&lt;='RETRATO 2027'!$K$5,"EM ANDAMENTO","A INICIAR")))</f>
        <v>CONCLUÍDA</v>
      </c>
    </row>
    <row r="1831" customFormat="false" ht="15" hidden="false" customHeight="false" outlineLevel="0" collapsed="false">
      <c r="B1831" s="4" t="n">
        <v>9360118</v>
      </c>
      <c r="C1831" s="4" t="s">
        <v>2705</v>
      </c>
      <c r="D1831" s="4" t="s">
        <v>3249</v>
      </c>
      <c r="E1831" s="4" t="s">
        <v>3763</v>
      </c>
      <c r="F1831" s="127" t="n">
        <v>46324</v>
      </c>
      <c r="G1831" s="127" t="n">
        <v>46324</v>
      </c>
      <c r="H1831" s="127" t="n">
        <v>46293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17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12</v>
      </c>
      <c r="O1831" s="2" t="str">
        <f aca="false">IF(OR(F1831="",G1831=""),"",IF(G1831&lt;='RETRATO 2027'!$K$5,"CONCLUÍDA",IF(F1831&lt;='RETRATO 2027'!$K$5,"EM ANDAMENTO","A INICIAR")))</f>
        <v>CONCLUÍDA</v>
      </c>
    </row>
    <row r="1832" customFormat="false" ht="15" hidden="false" customHeight="false" outlineLevel="0" collapsed="false">
      <c r="B1832" s="4" t="n">
        <v>9360119</v>
      </c>
      <c r="C1832" s="4" t="s">
        <v>2705</v>
      </c>
      <c r="D1832" s="4" t="s">
        <v>3250</v>
      </c>
      <c r="E1832" s="4" t="s">
        <v>3763</v>
      </c>
      <c r="F1832" s="127" t="n">
        <v>46323</v>
      </c>
      <c r="G1832" s="127" t="n">
        <v>46323</v>
      </c>
      <c r="H1832" s="127" t="n">
        <v>46293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17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12</v>
      </c>
      <c r="O1832" s="2" t="str">
        <f aca="false">IF(OR(F1832="",G1832=""),"",IF(G1832&lt;='RETRATO 2027'!$K$5,"CONCLUÍDA",IF(F1832&lt;='RETRATO 2027'!$K$5,"EM ANDAMENTO","A INICIAR")))</f>
        <v>CONCLUÍDA</v>
      </c>
    </row>
    <row r="1833" customFormat="false" ht="15" hidden="false" customHeight="false" outlineLevel="0" collapsed="false">
      <c r="B1833" s="4" t="n">
        <v>9360120</v>
      </c>
      <c r="C1833" s="4" t="s">
        <v>2705</v>
      </c>
      <c r="D1833" s="4" t="s">
        <v>3251</v>
      </c>
      <c r="E1833" s="4" t="s">
        <v>3763</v>
      </c>
      <c r="F1833" s="127" t="n">
        <v>46323</v>
      </c>
      <c r="G1833" s="127" t="n">
        <v>46323</v>
      </c>
      <c r="H1833" s="127" t="n">
        <v>46293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17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12</v>
      </c>
      <c r="O1833" s="2" t="str">
        <f aca="false">IF(OR(F1833="",G1833=""),"",IF(G1833&lt;='RETRATO 2027'!$K$5,"CONCLUÍDA",IF(F1833&lt;='RETRATO 2027'!$K$5,"EM ANDAMENTO","A INICIAR")))</f>
        <v>CONCLUÍDA</v>
      </c>
    </row>
    <row r="1834" customFormat="false" ht="15" hidden="false" customHeight="false" outlineLevel="0" collapsed="false">
      <c r="B1834" s="4" t="n">
        <v>9360121</v>
      </c>
      <c r="C1834" s="4" t="s">
        <v>2705</v>
      </c>
      <c r="D1834" s="4" t="s">
        <v>3252</v>
      </c>
      <c r="E1834" s="4" t="s">
        <v>3763</v>
      </c>
      <c r="F1834" s="127" t="n">
        <v>46324</v>
      </c>
      <c r="G1834" s="127" t="n">
        <v>46324</v>
      </c>
      <c r="H1834" s="127" t="n">
        <v>46293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>17</v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12</v>
      </c>
      <c r="O1834" s="2" t="str">
        <f aca="false">IF(OR(F1834="",G1834=""),"",IF(G1834&lt;='RETRATO 2027'!$K$5,"CONCLUÍDA",IF(F1834&lt;='RETRATO 2027'!$K$5,"EM ANDAMENTO","A INICIAR")))</f>
        <v>CONCLUÍDA</v>
      </c>
    </row>
    <row r="1835" customFormat="false" ht="15" hidden="false" customHeight="false" outlineLevel="0" collapsed="false">
      <c r="B1835" s="4" t="n">
        <v>26743781</v>
      </c>
      <c r="C1835" s="4" t="s">
        <v>2900</v>
      </c>
      <c r="D1835" s="4" t="s">
        <v>433</v>
      </c>
      <c r="E1835" s="4" t="s">
        <v>3473</v>
      </c>
      <c r="F1835" s="127" t="n">
        <v>46317</v>
      </c>
      <c r="G1835" s="127" t="n">
        <v>46360</v>
      </c>
      <c r="H1835" s="127" t="n">
        <v>46293</v>
      </c>
      <c r="I1835" s="4" t="n">
        <v>100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22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-5</v>
      </c>
      <c r="O1835" s="2" t="str">
        <f aca="false">IF(OR(F1835="",G1835=""),"",IF(G1835&lt;='RETRATO 2027'!$K$5,"CONCLUÍDA",IF(F1835&lt;='RETRATO 2027'!$K$5,"EM ANDAMENTO","A INICIAR")))</f>
        <v>CONCLUÍDA</v>
      </c>
    </row>
    <row r="1836" customFormat="false" ht="15" hidden="false" customHeight="false" outlineLevel="0" collapsed="false">
      <c r="B1836" s="4" t="n">
        <v>46489393</v>
      </c>
      <c r="C1836" s="4" t="s">
        <v>2902</v>
      </c>
      <c r="D1836" s="4" t="s">
        <v>433</v>
      </c>
      <c r="E1836" s="4" t="s">
        <v>3655</v>
      </c>
      <c r="F1836" s="127" t="n">
        <v>46317</v>
      </c>
      <c r="G1836" s="127" t="n">
        <v>46338</v>
      </c>
      <c r="H1836" s="127" t="n">
        <v>46293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18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3</v>
      </c>
      <c r="O1836" s="2" t="str">
        <f aca="false">IF(OR(F1836="",G1836=""),"",IF(G1836&lt;='RETRATO 2027'!$K$5,"CONCLUÍDA",IF(F1836&lt;='RETRATO 2027'!$K$5,"EM ANDAMENTO","A INICIAR")))</f>
        <v>CONCLUÍDA</v>
      </c>
    </row>
    <row r="1837" customFormat="false" ht="15" hidden="false" customHeight="false" outlineLevel="0" collapsed="false">
      <c r="B1837" s="4" t="n">
        <v>29844373</v>
      </c>
      <c r="C1837" s="4" t="s">
        <v>2890</v>
      </c>
      <c r="D1837" s="4" t="s">
        <v>433</v>
      </c>
      <c r="E1837" s="4" t="s">
        <v>3678</v>
      </c>
      <c r="F1837" s="127" t="n">
        <v>46317</v>
      </c>
      <c r="G1837" s="127" t="n">
        <v>46329</v>
      </c>
      <c r="H1837" s="127" t="n">
        <v>46293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18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5</v>
      </c>
      <c r="O1837" s="2" t="str">
        <f aca="false">IF(OR(F1837="",G1837=""),"",IF(G1837&lt;='RETRATO 2027'!$K$5,"CONCLUÍDA",IF(F1837&lt;='RETRATO 2027'!$K$5,"EM ANDAMENTO","A INICIAR")))</f>
        <v>CONCLUÍDA</v>
      </c>
    </row>
    <row r="1838" customFormat="false" ht="15" hidden="false" customHeight="false" outlineLevel="0" collapsed="false">
      <c r="B1838" s="4" t="n">
        <v>26743759</v>
      </c>
      <c r="C1838" s="4" t="s">
        <v>77</v>
      </c>
      <c r="D1838" s="4" t="s">
        <v>433</v>
      </c>
      <c r="E1838" s="4" t="s">
        <v>3374</v>
      </c>
      <c r="F1838" s="127" t="n">
        <v>46318</v>
      </c>
      <c r="G1838" s="127" t="n">
        <v>46372</v>
      </c>
      <c r="H1838" s="127" t="n">
        <v>46293</v>
      </c>
      <c r="I1838" s="4" t="n">
        <v>86.667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20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-4</v>
      </c>
      <c r="O1838" s="2" t="str">
        <f aca="false">IF(OR(F1838="",G1838=""),"",IF(G1838&lt;='RETRATO 2027'!$K$5,"CONCLUÍDA",IF(F1838&lt;='RETRATO 2027'!$K$5,"EM ANDAMENTO","A INICIAR")))</f>
        <v>CONCLUÍDA</v>
      </c>
    </row>
    <row r="1839" customFormat="false" ht="15" hidden="false" customHeight="false" outlineLevel="0" collapsed="false">
      <c r="B1839" s="4" t="n">
        <v>42652055</v>
      </c>
      <c r="C1839" s="4" t="s">
        <v>77</v>
      </c>
      <c r="D1839" s="4" t="s">
        <v>3693</v>
      </c>
      <c r="E1839" s="4" t="s">
        <v>3374</v>
      </c>
      <c r="F1839" s="127" t="n">
        <v>46318</v>
      </c>
      <c r="G1839" s="127" t="n">
        <v>46339</v>
      </c>
      <c r="H1839" s="127" t="n">
        <v>46293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20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-4</v>
      </c>
      <c r="O1839" s="2" t="str">
        <f aca="false">IF(OR(F1839="",G1839=""),"",IF(G1839&lt;='RETRATO 2027'!$K$5,"CONCLUÍDA",IF(F1839&lt;='RETRATO 2027'!$K$5,"EM ANDAMENTO","A INICIAR")))</f>
        <v>CONCLUÍDA</v>
      </c>
    </row>
    <row r="1840" customFormat="false" ht="15" hidden="false" customHeight="false" outlineLevel="0" collapsed="false">
      <c r="B1840" s="4" t="n">
        <v>42652056</v>
      </c>
      <c r="C1840" s="4" t="s">
        <v>77</v>
      </c>
      <c r="D1840" s="4" t="s">
        <v>3688</v>
      </c>
      <c r="E1840" s="4" t="s">
        <v>3374</v>
      </c>
      <c r="F1840" s="127" t="n">
        <v>46342</v>
      </c>
      <c r="G1840" s="127" t="n">
        <v>46352</v>
      </c>
      <c r="H1840" s="127" t="n">
        <v>46293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20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-4</v>
      </c>
      <c r="O1840" s="2" t="str">
        <f aca="false">IF(OR(F1840="",G1840=""),"",IF(G1840&lt;='RETRATO 2027'!$K$5,"CONCLUÍDA",IF(F1840&lt;='RETRATO 2027'!$K$5,"EM ANDAMENTO","A INICIAR")))</f>
        <v>CONCLUÍDA</v>
      </c>
    </row>
    <row r="1841" customFormat="false" ht="15" hidden="false" customHeight="false" outlineLevel="0" collapsed="false">
      <c r="B1841" s="4" t="n">
        <v>42652057</v>
      </c>
      <c r="C1841" s="4" t="s">
        <v>77</v>
      </c>
      <c r="D1841" s="4" t="s">
        <v>3694</v>
      </c>
      <c r="E1841" s="4" t="s">
        <v>3374</v>
      </c>
      <c r="F1841" s="127" t="n">
        <v>46353</v>
      </c>
      <c r="G1841" s="127" t="n">
        <v>46356</v>
      </c>
      <c r="H1841" s="127" t="n">
        <v>46293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20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-4</v>
      </c>
      <c r="O1841" s="2" t="str">
        <f aca="false">IF(OR(F1841="",G1841=""),"",IF(G1841&lt;='RETRATO 2027'!$K$5,"CONCLUÍDA",IF(F1841&lt;='RETRATO 2027'!$K$5,"EM ANDAMENTO","A INICIAR")))</f>
        <v>CONCLUÍDA</v>
      </c>
    </row>
    <row r="1842" customFormat="false" ht="15" hidden="false" customHeight="false" outlineLevel="0" collapsed="false">
      <c r="B1842" s="4" t="n">
        <v>42652058</v>
      </c>
      <c r="C1842" s="4" t="s">
        <v>77</v>
      </c>
      <c r="D1842" s="4" t="s">
        <v>3690</v>
      </c>
      <c r="E1842" s="4" t="s">
        <v>3374</v>
      </c>
      <c r="F1842" s="127" t="n">
        <v>46357</v>
      </c>
      <c r="G1842" s="127" t="n">
        <v>46367</v>
      </c>
      <c r="H1842" s="127" t="n">
        <v>46293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20</v>
      </c>
      <c r="N1842" s="2" t="n">
        <f aca="false">IF(E1842="","",IF(ISNUMBER(SEARCH("SUBSOLO",E1842)),IFERROR(-VALUE(LEFT(E1842,FIND("º",SUBSTITUTE(E1842,"°","º"))-1)),-1),IF(LEFT(E1842,6)="TÉRREO",0,IFERROR(VALUE(LEFT(E1842,FIND("º",SUBSTITUTE(E1842,"°","º"))-1)),""))))</f>
        <v>-4</v>
      </c>
      <c r="O1842" s="2" t="str">
        <f aca="false">IF(OR(F1842="",G1842=""),"",IF(G1842&lt;='RETRATO 2027'!$K$5,"CONCLUÍDA",IF(F1842&lt;='RETRATO 2027'!$K$5,"EM ANDAMENTO","A INICIAR")))</f>
        <v>CONCLUÍDA</v>
      </c>
    </row>
    <row r="1843" customFormat="false" ht="15" hidden="false" customHeight="false" outlineLevel="0" collapsed="false">
      <c r="B1843" s="4" t="n">
        <v>42652059</v>
      </c>
      <c r="C1843" s="4" t="s">
        <v>77</v>
      </c>
      <c r="D1843" s="4" t="s">
        <v>3692</v>
      </c>
      <c r="E1843" s="4" t="s">
        <v>3374</v>
      </c>
      <c r="F1843" s="127" t="n">
        <v>46370</v>
      </c>
      <c r="G1843" s="127" t="n">
        <v>46371</v>
      </c>
      <c r="H1843" s="127" t="n">
        <v>46293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>20</v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-4</v>
      </c>
      <c r="O1843" s="2" t="str">
        <f aca="false">IF(OR(F1843="",G1843=""),"",IF(G1843&lt;='RETRATO 2027'!$K$5,"CONCLUÍDA",IF(F1843&lt;='RETRATO 2027'!$K$5,"EM ANDAMENTO","A INICIAR")))</f>
        <v>CONCLUÍDA</v>
      </c>
    </row>
    <row r="1844" customFormat="false" ht="15" hidden="false" customHeight="false" outlineLevel="0" collapsed="false">
      <c r="B1844" s="4" t="n">
        <v>42652060</v>
      </c>
      <c r="C1844" s="4" t="s">
        <v>77</v>
      </c>
      <c r="D1844" s="4" t="s">
        <v>3695</v>
      </c>
      <c r="E1844" s="4" t="s">
        <v>3374</v>
      </c>
      <c r="F1844" s="127" t="n">
        <v>46372</v>
      </c>
      <c r="G1844" s="127" t="n">
        <v>46372</v>
      </c>
      <c r="H1844" s="127" t="n">
        <v>46293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20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-4</v>
      </c>
      <c r="O1844" s="2" t="str">
        <f aca="false">IF(OR(F1844="",G1844=""),"",IF(G1844&lt;='RETRATO 2027'!$K$5,"CONCLUÍDA",IF(F1844&lt;='RETRATO 2027'!$K$5,"EM ANDAMENTO","A INICIAR")))</f>
        <v>CONCLUÍDA</v>
      </c>
    </row>
    <row r="1845" customFormat="false" ht="15" hidden="false" customHeight="false" outlineLevel="0" collapsed="false">
      <c r="B1845" s="4" t="n">
        <v>26743766</v>
      </c>
      <c r="C1845" s="4" t="s">
        <v>2900</v>
      </c>
      <c r="D1845" s="4" t="s">
        <v>433</v>
      </c>
      <c r="E1845" s="4" t="s">
        <v>3374</v>
      </c>
      <c r="F1845" s="127" t="n">
        <v>46318</v>
      </c>
      <c r="G1845" s="127" t="n">
        <v>46363</v>
      </c>
      <c r="H1845" s="127" t="n">
        <v>46293</v>
      </c>
      <c r="I1845" s="4" t="n">
        <v>86.667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22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-4</v>
      </c>
      <c r="O1845" s="2" t="str">
        <f aca="false">IF(OR(F1845="",G1845=""),"",IF(G1845&lt;='RETRATO 2027'!$K$5,"CONCLUÍDA",IF(F1845&lt;='RETRATO 2027'!$K$5,"EM ANDAMENTO","A INICIAR")))</f>
        <v>CONCLUÍDA</v>
      </c>
    </row>
    <row r="1846" customFormat="false" ht="15" hidden="false" customHeight="false" outlineLevel="0" collapsed="false">
      <c r="B1846" s="4" t="n">
        <v>26743760</v>
      </c>
      <c r="C1846" s="4" t="s">
        <v>177</v>
      </c>
      <c r="D1846" s="4" t="s">
        <v>433</v>
      </c>
      <c r="E1846" s="4" t="s">
        <v>3374</v>
      </c>
      <c r="F1846" s="127" t="n">
        <v>46318</v>
      </c>
      <c r="G1846" s="127" t="n">
        <v>46365</v>
      </c>
      <c r="H1846" s="127" t="n">
        <v>46293</v>
      </c>
      <c r="I1846" s="4" t="n">
        <v>86.667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23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-4</v>
      </c>
      <c r="O1846" s="2" t="str">
        <f aca="false">IF(OR(F1846="",G1846=""),"",IF(G1846&lt;='RETRATO 2027'!$K$5,"CONCLUÍDA",IF(F1846&lt;='RETRATO 2027'!$K$5,"EM ANDAMENTO","A INICIAR")))</f>
        <v>CONCLUÍDA</v>
      </c>
    </row>
    <row r="1847" customFormat="false" ht="15" hidden="false" customHeight="false" outlineLevel="0" collapsed="false">
      <c r="B1847" s="4" t="n">
        <v>42661061</v>
      </c>
      <c r="C1847" s="4" t="s">
        <v>177</v>
      </c>
      <c r="D1847" s="4" t="s">
        <v>3693</v>
      </c>
      <c r="E1847" s="4" t="s">
        <v>3374</v>
      </c>
      <c r="F1847" s="127" t="n">
        <v>46318</v>
      </c>
      <c r="G1847" s="127" t="n">
        <v>46339</v>
      </c>
      <c r="H1847" s="127" t="n">
        <v>46293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23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-4</v>
      </c>
      <c r="O1847" s="2" t="str">
        <f aca="false">IF(OR(F1847="",G1847=""),"",IF(G1847&lt;='RETRATO 2027'!$K$5,"CONCLUÍDA",IF(F1847&lt;='RETRATO 2027'!$K$5,"EM ANDAMENTO","A INICIAR")))</f>
        <v>CONCLUÍDA</v>
      </c>
    </row>
    <row r="1848" customFormat="false" ht="15" hidden="false" customHeight="false" outlineLevel="0" collapsed="false">
      <c r="B1848" s="4" t="n">
        <v>42661062</v>
      </c>
      <c r="C1848" s="4" t="s">
        <v>177</v>
      </c>
      <c r="D1848" s="4" t="s">
        <v>3688</v>
      </c>
      <c r="E1848" s="4" t="s">
        <v>3374</v>
      </c>
      <c r="F1848" s="127" t="n">
        <v>46342</v>
      </c>
      <c r="G1848" s="127" t="n">
        <v>46344</v>
      </c>
      <c r="H1848" s="127" t="n">
        <v>46293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>23</v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-4</v>
      </c>
      <c r="O1848" s="2" t="str">
        <f aca="false">IF(OR(F1848="",G1848=""),"",IF(G1848&lt;='RETRATO 2027'!$K$5,"CONCLUÍDA",IF(F1848&lt;='RETRATO 2027'!$K$5,"EM ANDAMENTO","A INICIAR")))</f>
        <v>CONCLUÍDA</v>
      </c>
    </row>
    <row r="1849" customFormat="false" ht="15" hidden="false" customHeight="false" outlineLevel="0" collapsed="false">
      <c r="B1849" s="4" t="n">
        <v>42661063</v>
      </c>
      <c r="C1849" s="4" t="s">
        <v>177</v>
      </c>
      <c r="D1849" s="4" t="s">
        <v>3689</v>
      </c>
      <c r="E1849" s="4" t="s">
        <v>3374</v>
      </c>
      <c r="F1849" s="127" t="n">
        <v>46345</v>
      </c>
      <c r="G1849" s="127" t="n">
        <v>46349</v>
      </c>
      <c r="H1849" s="127" t="n">
        <v>46293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>23</v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-4</v>
      </c>
      <c r="O1849" s="2" t="str">
        <f aca="false">IF(OR(F1849="",G1849=""),"",IF(G1849&lt;='RETRATO 2027'!$K$5,"CONCLUÍDA",IF(F1849&lt;='RETRATO 2027'!$K$5,"EM ANDAMENTO","A INICIAR")))</f>
        <v>CONCLUÍDA</v>
      </c>
    </row>
    <row r="1850" customFormat="false" ht="15" hidden="false" customHeight="false" outlineLevel="0" collapsed="false">
      <c r="B1850" s="4" t="n">
        <v>42661064</v>
      </c>
      <c r="C1850" s="4" t="s">
        <v>177</v>
      </c>
      <c r="D1850" s="4" t="s">
        <v>3690</v>
      </c>
      <c r="E1850" s="4" t="s">
        <v>3374</v>
      </c>
      <c r="F1850" s="127" t="n">
        <v>46350</v>
      </c>
      <c r="G1850" s="127" t="n">
        <v>46359</v>
      </c>
      <c r="H1850" s="127" t="n">
        <v>46293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23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-4</v>
      </c>
      <c r="O1850" s="2" t="str">
        <f aca="false">IF(OR(F1850="",G1850=""),"",IF(G1850&lt;='RETRATO 2027'!$K$5,"CONCLUÍDA",IF(F1850&lt;='RETRATO 2027'!$K$5,"EM ANDAMENTO","A INICIAR")))</f>
        <v>CONCLUÍDA</v>
      </c>
    </row>
    <row r="1851" customFormat="false" ht="15" hidden="false" customHeight="false" outlineLevel="0" collapsed="false">
      <c r="B1851" s="4" t="n">
        <v>42661065</v>
      </c>
      <c r="C1851" s="4" t="s">
        <v>177</v>
      </c>
      <c r="D1851" s="4" t="s">
        <v>3691</v>
      </c>
      <c r="E1851" s="4" t="s">
        <v>3374</v>
      </c>
      <c r="F1851" s="127" t="n">
        <v>46360</v>
      </c>
      <c r="G1851" s="127" t="n">
        <v>46363</v>
      </c>
      <c r="H1851" s="127" t="n">
        <v>46293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23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-4</v>
      </c>
      <c r="O1851" s="2" t="str">
        <f aca="false">IF(OR(F1851="",G1851=""),"",IF(G1851&lt;='RETRATO 2027'!$K$5,"CONCLUÍDA",IF(F1851&lt;='RETRATO 2027'!$K$5,"EM ANDAMENTO","A INICIAR")))</f>
        <v>CONCLUÍDA</v>
      </c>
    </row>
    <row r="1852" customFormat="false" ht="15" hidden="false" customHeight="false" outlineLevel="0" collapsed="false">
      <c r="B1852" s="4" t="n">
        <v>42661066</v>
      </c>
      <c r="C1852" s="4" t="s">
        <v>177</v>
      </c>
      <c r="D1852" s="4" t="s">
        <v>3692</v>
      </c>
      <c r="E1852" s="4" t="s">
        <v>3374</v>
      </c>
      <c r="F1852" s="127" t="n">
        <v>46365</v>
      </c>
      <c r="G1852" s="127" t="n">
        <v>46365</v>
      </c>
      <c r="H1852" s="127" t="n">
        <v>46293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23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-4</v>
      </c>
      <c r="O1852" s="2" t="str">
        <f aca="false">IF(OR(F1852="",G1852=""),"",IF(G1852&lt;='RETRATO 2027'!$K$5,"CONCLUÍDA",IF(F1852&lt;='RETRATO 2027'!$K$5,"EM ANDAMENTO","A INICIAR")))</f>
        <v>CONCLUÍDA</v>
      </c>
    </row>
    <row r="1853" customFormat="false" ht="15" hidden="false" customHeight="false" outlineLevel="0" collapsed="false">
      <c r="B1853" s="4" t="n">
        <v>47560347</v>
      </c>
      <c r="C1853" s="4" t="s">
        <v>2904</v>
      </c>
      <c r="D1853" s="4" t="s">
        <v>433</v>
      </c>
      <c r="E1853" s="4" t="s">
        <v>3655</v>
      </c>
      <c r="F1853" s="127" t="n">
        <v>46318</v>
      </c>
      <c r="G1853" s="127" t="n">
        <v>46332</v>
      </c>
      <c r="H1853" s="127" t="n">
        <v>46293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17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3</v>
      </c>
      <c r="O1853" s="2" t="str">
        <f aca="false">IF(OR(F1853="",G1853=""),"",IF(G1853&lt;='RETRATO 2027'!$K$5,"CONCLUÍDA",IF(F1853&lt;='RETRATO 2027'!$K$5,"EM ANDAMENTO","A INICIAR")))</f>
        <v>CONCLUÍDA</v>
      </c>
    </row>
    <row r="1854" customFormat="false" ht="15" hidden="false" customHeight="false" outlineLevel="0" collapsed="false">
      <c r="B1854" s="4" t="n">
        <v>26744938</v>
      </c>
      <c r="C1854" s="4" t="s">
        <v>2808</v>
      </c>
      <c r="D1854" s="4" t="s">
        <v>433</v>
      </c>
      <c r="E1854" s="4" t="s">
        <v>3612</v>
      </c>
      <c r="F1854" s="127" t="n">
        <v>46321</v>
      </c>
      <c r="G1854" s="127" t="n">
        <v>46331</v>
      </c>
      <c r="H1854" s="127" t="n">
        <v>46293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29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-1</v>
      </c>
      <c r="O1854" s="2" t="str">
        <f aca="false">IF(OR(F1854="",G1854=""),"",IF(G1854&lt;='RETRATO 2027'!$K$5,"CONCLUÍDA",IF(F1854&lt;='RETRATO 2027'!$K$5,"EM ANDAMENTO","A INICIAR")))</f>
        <v>CONCLUÍDA</v>
      </c>
    </row>
    <row r="1855" customFormat="false" ht="15" hidden="false" customHeight="false" outlineLevel="0" collapsed="false">
      <c r="B1855" s="4" t="n">
        <v>26744381</v>
      </c>
      <c r="C1855" s="4" t="s">
        <v>2906</v>
      </c>
      <c r="D1855" s="4" t="s">
        <v>433</v>
      </c>
      <c r="E1855" s="4" t="s">
        <v>3243</v>
      </c>
      <c r="F1855" s="127" t="n">
        <v>46321</v>
      </c>
      <c r="G1855" s="127" t="n">
        <v>46518</v>
      </c>
      <c r="H1855" s="127" t="n">
        <v>46293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19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1</v>
      </c>
      <c r="O1855" s="2" t="str">
        <f aca="false">IF(OR(F1855="",G1855=""),"",IF(G1855&lt;='RETRATO 2027'!$K$5,"CONCLUÍDA",IF(F1855&lt;='RETRATO 2027'!$K$5,"EM ANDAMENTO","A INICIAR")))</f>
        <v>CONCLUÍDA</v>
      </c>
    </row>
    <row r="1856" customFormat="false" ht="15" hidden="false" customHeight="false" outlineLevel="0" collapsed="false">
      <c r="B1856" s="4" t="n">
        <v>46492852</v>
      </c>
      <c r="C1856" s="4" t="s">
        <v>2908</v>
      </c>
      <c r="D1856" s="4" t="s">
        <v>433</v>
      </c>
      <c r="E1856" s="4" t="s">
        <v>3655</v>
      </c>
      <c r="F1856" s="127" t="n">
        <v>46321</v>
      </c>
      <c r="G1856" s="127" t="n">
        <v>46350</v>
      </c>
      <c r="H1856" s="127" t="n">
        <v>46293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18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3</v>
      </c>
      <c r="O1856" s="2" t="str">
        <f aca="false">IF(OR(F1856="",G1856=""),"",IF(G1856&lt;='RETRATO 2027'!$K$5,"CONCLUÍDA",IF(F1856&lt;='RETRATO 2027'!$K$5,"EM ANDAMENTO","A INICIAR")))</f>
        <v>CONCLUÍDA</v>
      </c>
    </row>
    <row r="1857" customFormat="false" ht="15" hidden="false" customHeight="false" outlineLevel="0" collapsed="false">
      <c r="B1857" s="4" t="n">
        <v>26743575</v>
      </c>
      <c r="C1857" s="4" t="s">
        <v>2869</v>
      </c>
      <c r="D1857" s="4" t="s">
        <v>433</v>
      </c>
      <c r="E1857" s="4" t="s">
        <v>3685</v>
      </c>
      <c r="F1857" s="127" t="n">
        <v>46321</v>
      </c>
      <c r="G1857" s="127" t="n">
        <v>46331</v>
      </c>
      <c r="H1857" s="127" t="n">
        <v>46293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22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6</v>
      </c>
      <c r="O1857" s="2" t="str">
        <f aca="false">IF(OR(F1857="",G1857=""),"",IF(G1857&lt;='RETRATO 2027'!$K$5,"CONCLUÍDA",IF(F1857&lt;='RETRATO 2027'!$K$5,"EM ANDAMENTO","A INICIAR")))</f>
        <v>CONCLUÍDA</v>
      </c>
    </row>
    <row r="1858" customFormat="false" ht="15" hidden="false" customHeight="false" outlineLevel="0" collapsed="false">
      <c r="B1858" s="4" t="n">
        <v>26743536</v>
      </c>
      <c r="C1858" s="4" t="s">
        <v>163</v>
      </c>
      <c r="D1858" s="4" t="s">
        <v>433</v>
      </c>
      <c r="E1858" s="4" t="s">
        <v>3686</v>
      </c>
      <c r="F1858" s="127" t="n">
        <v>46321</v>
      </c>
      <c r="G1858" s="127" t="n">
        <v>46331</v>
      </c>
      <c r="H1858" s="127" t="n">
        <v>46293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18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7</v>
      </c>
      <c r="O1858" s="2" t="str">
        <f aca="false">IF(OR(F1858="",G1858=""),"",IF(G1858&lt;='RETRATO 2027'!$K$5,"CONCLUÍDA",IF(F1858&lt;='RETRATO 2027'!$K$5,"EM ANDAMENTO","A INICIAR")))</f>
        <v>CONCLUÍDA</v>
      </c>
    </row>
    <row r="1859" customFormat="false" ht="15" hidden="false" customHeight="false" outlineLevel="0" collapsed="false">
      <c r="B1859" s="4" t="n">
        <v>26743634</v>
      </c>
      <c r="C1859" s="4" t="s">
        <v>2910</v>
      </c>
      <c r="D1859" s="4" t="s">
        <v>433</v>
      </c>
      <c r="E1859" s="4" t="s">
        <v>3668</v>
      </c>
      <c r="F1859" s="127" t="n">
        <v>46324</v>
      </c>
      <c r="G1859" s="127" t="n">
        <v>46336</v>
      </c>
      <c r="H1859" s="127" t="n">
        <v>46293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>25</v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4</v>
      </c>
      <c r="O1859" s="2" t="str">
        <f aca="false">IF(OR(F1859="",G1859=""),"",IF(G1859&lt;='RETRATO 2027'!$K$5,"CONCLUÍDA",IF(F1859&lt;='RETRATO 2027'!$K$5,"EM ANDAMENTO","A INICIAR")))</f>
        <v>CONCLUÍDA</v>
      </c>
    </row>
    <row r="1860" customFormat="false" ht="15" hidden="false" customHeight="false" outlineLevel="0" collapsed="false">
      <c r="B1860" s="4" t="n">
        <v>26750529</v>
      </c>
      <c r="C1860" s="4" t="s">
        <v>2910</v>
      </c>
      <c r="D1860" s="4" t="s">
        <v>433</v>
      </c>
      <c r="E1860" s="4" t="s">
        <v>3597</v>
      </c>
      <c r="F1860" s="127" t="n">
        <v>46325</v>
      </c>
      <c r="G1860" s="127" t="n">
        <v>46337</v>
      </c>
      <c r="H1860" s="127" t="n">
        <v>46293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25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-2</v>
      </c>
      <c r="O1860" s="2" t="str">
        <f aca="false">IF(OR(F1860="",G1860=""),"",IF(G1860&lt;='RETRATO 2027'!$K$5,"CONCLUÍDA",IF(F1860&lt;='RETRATO 2027'!$K$5,"EM ANDAMENTO","A INICIAR")))</f>
        <v>CONCLUÍDA</v>
      </c>
    </row>
    <row r="1861" customFormat="false" ht="15" hidden="false" customHeight="false" outlineLevel="0" collapsed="false">
      <c r="B1861" s="4" t="n">
        <v>26743618</v>
      </c>
      <c r="C1861" s="4" t="s">
        <v>2896</v>
      </c>
      <c r="D1861" s="4" t="s">
        <v>433</v>
      </c>
      <c r="E1861" s="4" t="s">
        <v>3678</v>
      </c>
      <c r="F1861" s="127" t="n">
        <v>46325</v>
      </c>
      <c r="G1861" s="127" t="n">
        <v>46337</v>
      </c>
      <c r="H1861" s="127" t="n">
        <v>46293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20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5</v>
      </c>
      <c r="O1861" s="2" t="str">
        <f aca="false">IF(OR(F1861="",G1861=""),"",IF(G1861&lt;='RETRATO 2027'!$K$5,"CONCLUÍDA",IF(F1861&lt;='RETRATO 2027'!$K$5,"EM ANDAMENTO","A INICIAR")))</f>
        <v>CONCLUÍDA</v>
      </c>
    </row>
    <row r="1862" customFormat="false" ht="15" hidden="false" customHeight="false" outlineLevel="0" collapsed="false">
      <c r="B1862" s="4" t="n">
        <v>29844459</v>
      </c>
      <c r="C1862" s="4" t="s">
        <v>2898</v>
      </c>
      <c r="D1862" s="4" t="s">
        <v>433</v>
      </c>
      <c r="E1862" s="4" t="s">
        <v>3678</v>
      </c>
      <c r="F1862" s="127" t="n">
        <v>46325</v>
      </c>
      <c r="G1862" s="127" t="n">
        <v>46336</v>
      </c>
      <c r="H1862" s="127" t="n">
        <v>46293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29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5</v>
      </c>
      <c r="O1862" s="2" t="str">
        <f aca="false">IF(OR(F1862="",G1862=""),"",IF(G1862&lt;='RETRATO 2027'!$K$5,"CONCLUÍDA",IF(F1862&lt;='RETRATO 2027'!$K$5,"EM ANDAMENTO","A INICIAR")))</f>
        <v>CONCLUÍDA</v>
      </c>
    </row>
    <row r="1863" customFormat="false" ht="15" hidden="false" customHeight="false" outlineLevel="0" collapsed="false">
      <c r="B1863" s="4" t="n">
        <v>26743574</v>
      </c>
      <c r="C1863" s="4" t="s">
        <v>2886</v>
      </c>
      <c r="D1863" s="4" t="s">
        <v>433</v>
      </c>
      <c r="E1863" s="4" t="s">
        <v>3685</v>
      </c>
      <c r="F1863" s="127" t="n">
        <v>46325</v>
      </c>
      <c r="G1863" s="127" t="n">
        <v>46337</v>
      </c>
      <c r="H1863" s="127" t="n">
        <v>46293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21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6</v>
      </c>
      <c r="O1863" s="2" t="str">
        <f aca="false">IF(OR(F1863="",G1863=""),"",IF(G1863&lt;='RETRATO 2027'!$K$5,"CONCLUÍDA",IF(F1863&lt;='RETRATO 2027'!$K$5,"EM ANDAMENTO","A INICIAR")))</f>
        <v>CONCLUÍDA</v>
      </c>
    </row>
    <row r="1864" customFormat="false" ht="15" hidden="false" customHeight="false" outlineLevel="0" collapsed="false">
      <c r="B1864" s="4" t="n">
        <v>29844635</v>
      </c>
      <c r="C1864" s="4" t="s">
        <v>2888</v>
      </c>
      <c r="D1864" s="4" t="s">
        <v>433</v>
      </c>
      <c r="E1864" s="4" t="s">
        <v>3685</v>
      </c>
      <c r="F1864" s="127" t="n">
        <v>46325</v>
      </c>
      <c r="G1864" s="127" t="n">
        <v>46337</v>
      </c>
      <c r="H1864" s="127" t="n">
        <v>46293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20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6</v>
      </c>
      <c r="O1864" s="2" t="str">
        <f aca="false">IF(OR(F1864="",G1864=""),"",IF(G1864&lt;='RETRATO 2027'!$K$5,"CONCLUÍDA",IF(F1864&lt;='RETRATO 2027'!$K$5,"EM ANDAMENTO","A INICIAR")))</f>
        <v>CONCLUÍDA</v>
      </c>
    </row>
    <row r="1865" customFormat="false" ht="15" hidden="false" customHeight="false" outlineLevel="0" collapsed="false">
      <c r="B1865" s="4" t="n">
        <v>24939385</v>
      </c>
      <c r="C1865" s="4" t="s">
        <v>2705</v>
      </c>
      <c r="D1865" s="4" t="s">
        <v>433</v>
      </c>
      <c r="E1865" s="4" t="s">
        <v>3764</v>
      </c>
      <c r="F1865" s="127" t="n">
        <v>46325</v>
      </c>
      <c r="G1865" s="127" t="n">
        <v>46336</v>
      </c>
      <c r="H1865" s="127" t="n">
        <v>46293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17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13</v>
      </c>
      <c r="O1865" s="2" t="str">
        <f aca="false">IF(OR(F1865="",G1865=""),"",IF(G1865&lt;='RETRATO 2027'!$K$5,"CONCLUÍDA",IF(F1865&lt;='RETRATO 2027'!$K$5,"EM ANDAMENTO","A INICIAR")))</f>
        <v>CONCLUÍDA</v>
      </c>
    </row>
    <row r="1866" customFormat="false" ht="15" hidden="false" customHeight="false" outlineLevel="0" collapsed="false">
      <c r="B1866" s="4" t="n">
        <v>9360104</v>
      </c>
      <c r="C1866" s="4" t="s">
        <v>2705</v>
      </c>
      <c r="D1866" s="4" t="s">
        <v>3244</v>
      </c>
      <c r="E1866" s="4" t="s">
        <v>3764</v>
      </c>
      <c r="F1866" s="127" t="n">
        <v>46325</v>
      </c>
      <c r="G1866" s="127" t="n">
        <v>46330</v>
      </c>
      <c r="H1866" s="127" t="n">
        <v>46293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17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13</v>
      </c>
      <c r="O1866" s="2" t="str">
        <f aca="false">IF(OR(F1866="",G1866=""),"",IF(G1866&lt;='RETRATO 2027'!$K$5,"CONCLUÍDA",IF(F1866&lt;='RETRATO 2027'!$K$5,"EM ANDAMENTO","A INICIAR")))</f>
        <v>CONCLUÍDA</v>
      </c>
    </row>
    <row r="1867" customFormat="false" ht="15" hidden="false" customHeight="false" outlineLevel="0" collapsed="false">
      <c r="B1867" s="4" t="n">
        <v>9360105</v>
      </c>
      <c r="C1867" s="4" t="s">
        <v>2705</v>
      </c>
      <c r="D1867" s="4" t="s">
        <v>3245</v>
      </c>
      <c r="E1867" s="4" t="s">
        <v>3764</v>
      </c>
      <c r="F1867" s="127" t="n">
        <v>46325</v>
      </c>
      <c r="G1867" s="127" t="n">
        <v>46330</v>
      </c>
      <c r="H1867" s="127" t="n">
        <v>46293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17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13</v>
      </c>
      <c r="O1867" s="2" t="str">
        <f aca="false">IF(OR(F1867="",G1867=""),"",IF(G1867&lt;='RETRATO 2027'!$K$5,"CONCLUÍDA",IF(F1867&lt;='RETRATO 2027'!$K$5,"EM ANDAMENTO","A INICIAR")))</f>
        <v>CONCLUÍDA</v>
      </c>
    </row>
    <row r="1868" customFormat="false" ht="15" hidden="false" customHeight="false" outlineLevel="0" collapsed="false">
      <c r="B1868" s="4" t="n">
        <v>9360106</v>
      </c>
      <c r="C1868" s="4" t="s">
        <v>2705</v>
      </c>
      <c r="D1868" s="4" t="s">
        <v>3246</v>
      </c>
      <c r="E1868" s="4" t="s">
        <v>3764</v>
      </c>
      <c r="F1868" s="127" t="n">
        <v>46329</v>
      </c>
      <c r="G1868" s="127" t="n">
        <v>46331</v>
      </c>
      <c r="H1868" s="127" t="n">
        <v>46293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17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13</v>
      </c>
      <c r="O1868" s="2" t="str">
        <f aca="false">IF(OR(F1868="",G1868=""),"",IF(G1868&lt;='RETRATO 2027'!$K$5,"CONCLUÍDA",IF(F1868&lt;='RETRATO 2027'!$K$5,"EM ANDAMENTO","A INICIAR")))</f>
        <v>CONCLUÍDA</v>
      </c>
    </row>
    <row r="1869" customFormat="false" ht="15" hidden="false" customHeight="false" outlineLevel="0" collapsed="false">
      <c r="B1869" s="4" t="n">
        <v>9360107</v>
      </c>
      <c r="C1869" s="4" t="s">
        <v>2705</v>
      </c>
      <c r="D1869" s="4" t="s">
        <v>3247</v>
      </c>
      <c r="E1869" s="4" t="s">
        <v>3764</v>
      </c>
      <c r="F1869" s="127" t="n">
        <v>46332</v>
      </c>
      <c r="G1869" s="127" t="n">
        <v>46332</v>
      </c>
      <c r="H1869" s="127" t="n">
        <v>46293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17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13</v>
      </c>
      <c r="O1869" s="2" t="str">
        <f aca="false">IF(OR(F1869="",G1869=""),"",IF(G1869&lt;='RETRATO 2027'!$K$5,"CONCLUÍDA",IF(F1869&lt;='RETRATO 2027'!$K$5,"EM ANDAMENTO","A INICIAR")))</f>
        <v>CONCLUÍDA</v>
      </c>
    </row>
    <row r="1870" customFormat="false" ht="15" hidden="false" customHeight="false" outlineLevel="0" collapsed="false">
      <c r="B1870" s="4" t="n">
        <v>9360108</v>
      </c>
      <c r="C1870" s="4" t="s">
        <v>2705</v>
      </c>
      <c r="D1870" s="4" t="s">
        <v>3248</v>
      </c>
      <c r="E1870" s="4" t="s">
        <v>3764</v>
      </c>
      <c r="F1870" s="127" t="n">
        <v>46335</v>
      </c>
      <c r="G1870" s="127" t="n">
        <v>46336</v>
      </c>
      <c r="H1870" s="127" t="n">
        <v>46293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17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13</v>
      </c>
      <c r="O1870" s="2" t="str">
        <f aca="false">IF(OR(F1870="",G1870=""),"",IF(G1870&lt;='RETRATO 2027'!$K$5,"CONCLUÍDA",IF(F1870&lt;='RETRATO 2027'!$K$5,"EM ANDAMENTO","A INICIAR")))</f>
        <v>CONCLUÍDA</v>
      </c>
    </row>
    <row r="1871" customFormat="false" ht="15" hidden="false" customHeight="false" outlineLevel="0" collapsed="false">
      <c r="B1871" s="4" t="n">
        <v>9360109</v>
      </c>
      <c r="C1871" s="4" t="s">
        <v>2705</v>
      </c>
      <c r="D1871" s="4" t="s">
        <v>3249</v>
      </c>
      <c r="E1871" s="4" t="s">
        <v>3764</v>
      </c>
      <c r="F1871" s="127" t="n">
        <v>46336</v>
      </c>
      <c r="G1871" s="127" t="n">
        <v>46336</v>
      </c>
      <c r="H1871" s="127" t="n">
        <v>46293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17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13</v>
      </c>
      <c r="O1871" s="2" t="str">
        <f aca="false">IF(OR(F1871="",G1871=""),"",IF(G1871&lt;='RETRATO 2027'!$K$5,"CONCLUÍDA",IF(F1871&lt;='RETRATO 2027'!$K$5,"EM ANDAMENTO","A INICIAR")))</f>
        <v>CONCLUÍDA</v>
      </c>
    </row>
    <row r="1872" customFormat="false" ht="15" hidden="false" customHeight="false" outlineLevel="0" collapsed="false">
      <c r="B1872" s="4" t="n">
        <v>9360110</v>
      </c>
      <c r="C1872" s="4" t="s">
        <v>2705</v>
      </c>
      <c r="D1872" s="4" t="s">
        <v>3250</v>
      </c>
      <c r="E1872" s="4" t="s">
        <v>3764</v>
      </c>
      <c r="F1872" s="127" t="n">
        <v>46335</v>
      </c>
      <c r="G1872" s="127" t="n">
        <v>46335</v>
      </c>
      <c r="H1872" s="127" t="n">
        <v>46293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17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13</v>
      </c>
      <c r="O1872" s="2" t="str">
        <f aca="false">IF(OR(F1872="",G1872=""),"",IF(G1872&lt;='RETRATO 2027'!$K$5,"CONCLUÍDA",IF(F1872&lt;='RETRATO 2027'!$K$5,"EM ANDAMENTO","A INICIAR")))</f>
        <v>CONCLUÍDA</v>
      </c>
    </row>
    <row r="1873" customFormat="false" ht="15" hidden="false" customHeight="false" outlineLevel="0" collapsed="false">
      <c r="B1873" s="4" t="n">
        <v>9360111</v>
      </c>
      <c r="C1873" s="4" t="s">
        <v>2705</v>
      </c>
      <c r="D1873" s="4" t="s">
        <v>3251</v>
      </c>
      <c r="E1873" s="4" t="s">
        <v>3764</v>
      </c>
      <c r="F1873" s="127" t="n">
        <v>46335</v>
      </c>
      <c r="G1873" s="127" t="n">
        <v>46335</v>
      </c>
      <c r="H1873" s="127" t="n">
        <v>46293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17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13</v>
      </c>
      <c r="O1873" s="2" t="str">
        <f aca="false">IF(OR(F1873="",G1873=""),"",IF(G1873&lt;='RETRATO 2027'!$K$5,"CONCLUÍDA",IF(F1873&lt;='RETRATO 2027'!$K$5,"EM ANDAMENTO","A INICIAR")))</f>
        <v>CONCLUÍDA</v>
      </c>
    </row>
    <row r="1874" customFormat="false" ht="15" hidden="false" customHeight="false" outlineLevel="0" collapsed="false">
      <c r="B1874" s="4" t="n">
        <v>9360112</v>
      </c>
      <c r="C1874" s="4" t="s">
        <v>2705</v>
      </c>
      <c r="D1874" s="4" t="s">
        <v>3252</v>
      </c>
      <c r="E1874" s="4" t="s">
        <v>3764</v>
      </c>
      <c r="F1874" s="127" t="n">
        <v>46336</v>
      </c>
      <c r="G1874" s="127" t="n">
        <v>46336</v>
      </c>
      <c r="H1874" s="127" t="n">
        <v>46293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17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13</v>
      </c>
      <c r="O1874" s="2" t="str">
        <f aca="false">IF(OR(F1874="",G1874=""),"",IF(G1874&lt;='RETRATO 2027'!$K$5,"CONCLUÍDA",IF(F1874&lt;='RETRATO 2027'!$K$5,"EM ANDAMENTO","A INICIAR")))</f>
        <v>CONCLUÍDA</v>
      </c>
    </row>
    <row r="1875" customFormat="false" ht="15" hidden="false" customHeight="false" outlineLevel="0" collapsed="false">
      <c r="B1875" s="4" t="n">
        <v>46492854</v>
      </c>
      <c r="C1875" s="4" t="s">
        <v>2912</v>
      </c>
      <c r="D1875" s="4" t="s">
        <v>433</v>
      </c>
      <c r="E1875" s="4" t="s">
        <v>3655</v>
      </c>
      <c r="F1875" s="127" t="n">
        <v>46329</v>
      </c>
      <c r="G1875" s="127" t="n">
        <v>46357</v>
      </c>
      <c r="H1875" s="127" t="n">
        <v>46293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32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3</v>
      </c>
      <c r="O1875" s="2" t="str">
        <f aca="false">IF(OR(F1875="",G1875=""),"",IF(G1875&lt;='RETRATO 2027'!$K$5,"CONCLUÍDA",IF(F1875&lt;='RETRATO 2027'!$K$5,"EM ANDAMENTO","A INICIAR")))</f>
        <v>CONCLUÍDA</v>
      </c>
    </row>
    <row r="1876" customFormat="false" ht="15" hidden="false" customHeight="false" outlineLevel="0" collapsed="false">
      <c r="B1876" s="4" t="n">
        <v>29844374</v>
      </c>
      <c r="C1876" s="4" t="s">
        <v>2890</v>
      </c>
      <c r="D1876" s="4" t="s">
        <v>433</v>
      </c>
      <c r="E1876" s="4" t="s">
        <v>3685</v>
      </c>
      <c r="F1876" s="127" t="n">
        <v>46330</v>
      </c>
      <c r="G1876" s="127" t="n">
        <v>46339</v>
      </c>
      <c r="H1876" s="127" t="n">
        <v>46293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18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6</v>
      </c>
      <c r="O1876" s="2" t="str">
        <f aca="false">IF(OR(F1876="",G1876=""),"",IF(G1876&lt;='RETRATO 2027'!$K$5,"CONCLUÍDA",IF(F1876&lt;='RETRATO 2027'!$K$5,"EM ANDAMENTO","A INICIAR")))</f>
        <v>CONCLUÍDA</v>
      </c>
    </row>
    <row r="1877" customFormat="false" ht="15" hidden="false" customHeight="false" outlineLevel="0" collapsed="false">
      <c r="B1877" s="4" t="n">
        <v>26743727</v>
      </c>
      <c r="C1877" s="4" t="s">
        <v>2808</v>
      </c>
      <c r="D1877" s="4" t="s">
        <v>433</v>
      </c>
      <c r="E1877" s="4" t="s">
        <v>3449</v>
      </c>
      <c r="F1877" s="127" t="n">
        <v>46331</v>
      </c>
      <c r="G1877" s="127" t="n">
        <v>46374</v>
      </c>
      <c r="H1877" s="127" t="n">
        <v>46293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29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-2</v>
      </c>
      <c r="O1877" s="2" t="str">
        <f aca="false">IF(OR(F1877="",G1877=""),"",IF(G1877&lt;='RETRATO 2027'!$K$5,"CONCLUÍDA",IF(F1877&lt;='RETRATO 2027'!$K$5,"EM ANDAMENTO","A INICIAR")))</f>
        <v>CONCLUÍDA</v>
      </c>
    </row>
    <row r="1878" customFormat="false" ht="15" hidden="false" customHeight="false" outlineLevel="0" collapsed="false">
      <c r="B1878" s="4" t="n">
        <v>26743714</v>
      </c>
      <c r="C1878" s="4" t="s">
        <v>77</v>
      </c>
      <c r="D1878" s="4" t="s">
        <v>433</v>
      </c>
      <c r="E1878" s="4" t="s">
        <v>3466</v>
      </c>
      <c r="F1878" s="127" t="n">
        <v>46332</v>
      </c>
      <c r="G1878" s="127" t="n">
        <v>46412</v>
      </c>
      <c r="H1878" s="127" t="n">
        <v>46293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20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-1</v>
      </c>
      <c r="O1878" s="2" t="str">
        <f aca="false">IF(OR(F1878="",G1878=""),"",IF(G1878&lt;='RETRATO 2027'!$K$5,"CONCLUÍDA",IF(F1878&lt;='RETRATO 2027'!$K$5,"EM ANDAMENTO","A INICIAR")))</f>
        <v>CONCLUÍDA</v>
      </c>
    </row>
    <row r="1879" customFormat="false" ht="15" hidden="false" customHeight="false" outlineLevel="0" collapsed="false">
      <c r="B1879" s="4" t="n">
        <v>26743715</v>
      </c>
      <c r="C1879" s="4" t="s">
        <v>177</v>
      </c>
      <c r="D1879" s="4" t="s">
        <v>433</v>
      </c>
      <c r="E1879" s="4" t="s">
        <v>3466</v>
      </c>
      <c r="F1879" s="127" t="n">
        <v>46332</v>
      </c>
      <c r="G1879" s="127" t="n">
        <v>46412</v>
      </c>
      <c r="H1879" s="127" t="n">
        <v>46293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23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-1</v>
      </c>
      <c r="O1879" s="2" t="str">
        <f aca="false">IF(OR(F1879="",G1879=""),"",IF(G1879&lt;='RETRATO 2027'!$K$5,"CONCLUÍDA",IF(F1879&lt;='RETRATO 2027'!$K$5,"EM ANDAMENTO","A INICIAR")))</f>
        <v>CONCLUÍDA</v>
      </c>
    </row>
    <row r="1880" customFormat="false" ht="15" hidden="false" customHeight="false" outlineLevel="0" collapsed="false">
      <c r="B1880" s="4" t="n">
        <v>26744939</v>
      </c>
      <c r="C1880" s="4" t="s">
        <v>2814</v>
      </c>
      <c r="D1880" s="4" t="s">
        <v>433</v>
      </c>
      <c r="E1880" s="4" t="s">
        <v>3612</v>
      </c>
      <c r="F1880" s="127" t="n">
        <v>46332</v>
      </c>
      <c r="G1880" s="127" t="n">
        <v>46342</v>
      </c>
      <c r="H1880" s="127" t="n">
        <v>46293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28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-1</v>
      </c>
      <c r="O1880" s="2" t="str">
        <f aca="false">IF(OR(F1880="",G1880=""),"",IF(G1880&lt;='RETRATO 2027'!$K$5,"CONCLUÍDA",IF(F1880&lt;='RETRATO 2027'!$K$5,"EM ANDAMENTO","A INICIAR")))</f>
        <v>CONCLUÍDA</v>
      </c>
    </row>
    <row r="1881" customFormat="false" ht="15" hidden="false" customHeight="false" outlineLevel="0" collapsed="false">
      <c r="B1881" s="4" t="n">
        <v>26743538</v>
      </c>
      <c r="C1881" s="4" t="s">
        <v>2869</v>
      </c>
      <c r="D1881" s="4" t="s">
        <v>433</v>
      </c>
      <c r="E1881" s="4" t="s">
        <v>3686</v>
      </c>
      <c r="F1881" s="127" t="n">
        <v>46332</v>
      </c>
      <c r="G1881" s="127" t="n">
        <v>46343</v>
      </c>
      <c r="H1881" s="127" t="n">
        <v>46293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22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7</v>
      </c>
      <c r="O1881" s="2" t="str">
        <f aca="false">IF(OR(F1881="",G1881=""),"",IF(G1881&lt;='RETRATO 2027'!$K$5,"CONCLUÍDA",IF(F1881&lt;='RETRATO 2027'!$K$5,"EM ANDAMENTO","A INICIAR")))</f>
        <v>CONCLUÍDA</v>
      </c>
    </row>
    <row r="1882" customFormat="false" ht="15" hidden="false" customHeight="false" outlineLevel="0" collapsed="false">
      <c r="B1882" s="4" t="n">
        <v>26743499</v>
      </c>
      <c r="C1882" s="4" t="s">
        <v>163</v>
      </c>
      <c r="D1882" s="4" t="s">
        <v>433</v>
      </c>
      <c r="E1882" s="4" t="s">
        <v>3706</v>
      </c>
      <c r="F1882" s="127" t="n">
        <v>46332</v>
      </c>
      <c r="G1882" s="127" t="n">
        <v>46343</v>
      </c>
      <c r="H1882" s="127" t="n">
        <v>46293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>18</v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8</v>
      </c>
      <c r="O1882" s="2" t="str">
        <f aca="false">IF(OR(F1882="",G1882=""),"",IF(G1882&lt;='RETRATO 2027'!$K$5,"CONCLUÍDA",IF(F1882&lt;='RETRATO 2027'!$K$5,"EM ANDAMENTO","A INICIAR")))</f>
        <v>CONCLUÍDA</v>
      </c>
    </row>
    <row r="1883" customFormat="false" ht="15" hidden="false" customHeight="false" outlineLevel="0" collapsed="false">
      <c r="B1883" s="4" t="n">
        <v>29844624</v>
      </c>
      <c r="C1883" s="4" t="s">
        <v>2888</v>
      </c>
      <c r="D1883" s="4" t="s">
        <v>433</v>
      </c>
      <c r="E1883" s="4" t="s">
        <v>3473</v>
      </c>
      <c r="F1883" s="127" t="n">
        <v>46336</v>
      </c>
      <c r="G1883" s="127" t="n">
        <v>46357</v>
      </c>
      <c r="H1883" s="127" t="n">
        <v>46293</v>
      </c>
      <c r="I1883" s="4" t="n">
        <v>60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20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-5</v>
      </c>
      <c r="O1883" s="2" t="str">
        <f aca="false">IF(OR(F1883="",G1883=""),"",IF(G1883&lt;='RETRATO 2027'!$K$5,"CONCLUÍDA",IF(F1883&lt;='RETRATO 2027'!$K$5,"EM ANDAMENTO","A INICIAR")))</f>
        <v>CONCLUÍDA</v>
      </c>
    </row>
    <row r="1884" customFormat="false" ht="15" hidden="false" customHeight="false" outlineLevel="0" collapsed="false">
      <c r="B1884" s="4" t="n">
        <v>26743635</v>
      </c>
      <c r="C1884" s="4" t="s">
        <v>2808</v>
      </c>
      <c r="D1884" s="4" t="s">
        <v>433</v>
      </c>
      <c r="E1884" s="4" t="s">
        <v>3668</v>
      </c>
      <c r="F1884" s="127" t="n">
        <v>46337</v>
      </c>
      <c r="G1884" s="127" t="n">
        <v>46349</v>
      </c>
      <c r="H1884" s="127" t="n">
        <v>46293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29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4</v>
      </c>
      <c r="O1884" s="2" t="str">
        <f aca="false">IF(OR(F1884="",G1884=""),"",IF(G1884&lt;='RETRATO 2027'!$K$5,"CONCLUÍDA",IF(F1884&lt;='RETRATO 2027'!$K$5,"EM ANDAMENTO","A INICIAR")))</f>
        <v>CONCLUÍDA</v>
      </c>
    </row>
    <row r="1885" customFormat="false" ht="15" hidden="false" customHeight="false" outlineLevel="0" collapsed="false">
      <c r="B1885" s="4" t="n">
        <v>26743597</v>
      </c>
      <c r="C1885" s="4" t="s">
        <v>2910</v>
      </c>
      <c r="D1885" s="4" t="s">
        <v>433</v>
      </c>
      <c r="E1885" s="4" t="s">
        <v>3678</v>
      </c>
      <c r="F1885" s="127" t="n">
        <v>46337</v>
      </c>
      <c r="G1885" s="127" t="n">
        <v>46349</v>
      </c>
      <c r="H1885" s="127" t="n">
        <v>46293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>25</v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5</v>
      </c>
      <c r="O1885" s="2" t="str">
        <f aca="false">IF(OR(F1885="",G1885=""),"",IF(G1885&lt;='RETRATO 2027'!$K$5,"CONCLUÍDA",IF(F1885&lt;='RETRATO 2027'!$K$5,"EM ANDAMENTO","A INICIAR")))</f>
        <v>CONCLUÍDA</v>
      </c>
    </row>
    <row r="1886" customFormat="false" ht="15" hidden="false" customHeight="false" outlineLevel="0" collapsed="false">
      <c r="B1886" s="4" t="n">
        <v>24939346</v>
      </c>
      <c r="C1886" s="4" t="s">
        <v>2705</v>
      </c>
      <c r="D1886" s="4" t="s">
        <v>433</v>
      </c>
      <c r="E1886" s="4" t="s">
        <v>3765</v>
      </c>
      <c r="F1886" s="127" t="n">
        <v>46337</v>
      </c>
      <c r="G1886" s="127" t="n">
        <v>46345</v>
      </c>
      <c r="H1886" s="127" t="n">
        <v>46293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17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14</v>
      </c>
      <c r="O1886" s="2" t="str">
        <f aca="false">IF(OR(F1886="",G1886=""),"",IF(G1886&lt;='RETRATO 2027'!$K$5,"CONCLUÍDA",IF(F1886&lt;='RETRATO 2027'!$K$5,"EM ANDAMENTO","A INICIAR")))</f>
        <v>CONCLUÍDA</v>
      </c>
    </row>
    <row r="1887" customFormat="false" ht="15" hidden="false" customHeight="false" outlineLevel="0" collapsed="false">
      <c r="B1887" s="4" t="n">
        <v>9360095</v>
      </c>
      <c r="C1887" s="4" t="s">
        <v>2705</v>
      </c>
      <c r="D1887" s="4" t="s">
        <v>3244</v>
      </c>
      <c r="E1887" s="4" t="s">
        <v>3765</v>
      </c>
      <c r="F1887" s="127" t="n">
        <v>46337</v>
      </c>
      <c r="G1887" s="127" t="n">
        <v>46339</v>
      </c>
      <c r="H1887" s="127" t="n">
        <v>46293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17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14</v>
      </c>
      <c r="O1887" s="2" t="str">
        <f aca="false">IF(OR(F1887="",G1887=""),"",IF(G1887&lt;='RETRATO 2027'!$K$5,"CONCLUÍDA",IF(F1887&lt;='RETRATO 2027'!$K$5,"EM ANDAMENTO","A INICIAR")))</f>
        <v>CONCLUÍDA</v>
      </c>
    </row>
    <row r="1888" customFormat="false" ht="15" hidden="false" customHeight="false" outlineLevel="0" collapsed="false">
      <c r="B1888" s="4" t="n">
        <v>9360096</v>
      </c>
      <c r="C1888" s="4" t="s">
        <v>2705</v>
      </c>
      <c r="D1888" s="4" t="s">
        <v>3245</v>
      </c>
      <c r="E1888" s="4" t="s">
        <v>3765</v>
      </c>
      <c r="F1888" s="127" t="n">
        <v>46337</v>
      </c>
      <c r="G1888" s="127" t="n">
        <v>46339</v>
      </c>
      <c r="H1888" s="127" t="n">
        <v>46293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17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14</v>
      </c>
      <c r="O1888" s="2" t="str">
        <f aca="false">IF(OR(F1888="",G1888=""),"",IF(G1888&lt;='RETRATO 2027'!$K$5,"CONCLUÍDA",IF(F1888&lt;='RETRATO 2027'!$K$5,"EM ANDAMENTO","A INICIAR")))</f>
        <v>CONCLUÍDA</v>
      </c>
    </row>
    <row r="1889" customFormat="false" ht="15" hidden="false" customHeight="false" outlineLevel="0" collapsed="false">
      <c r="B1889" s="4" t="n">
        <v>9360097</v>
      </c>
      <c r="C1889" s="4" t="s">
        <v>2705</v>
      </c>
      <c r="D1889" s="4" t="s">
        <v>3246</v>
      </c>
      <c r="E1889" s="4" t="s">
        <v>3765</v>
      </c>
      <c r="F1889" s="127" t="n">
        <v>46338</v>
      </c>
      <c r="G1889" s="127" t="n">
        <v>46342</v>
      </c>
      <c r="H1889" s="127" t="n">
        <v>46293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17</v>
      </c>
      <c r="N1889" s="2" t="n">
        <f aca="false">IF(E1889="","",IF(ISNUMBER(SEARCH("SUBSOLO",E1889)),IFERROR(-VALUE(LEFT(E1889,FIND("º",SUBSTITUTE(E1889,"°","º"))-1)),-1),IF(LEFT(E1889,6)="TÉRREO",0,IFERROR(VALUE(LEFT(E1889,FIND("º",SUBSTITUTE(E1889,"°","º"))-1)),""))))</f>
        <v>14</v>
      </c>
      <c r="O1889" s="2" t="str">
        <f aca="false">IF(OR(F1889="",G1889=""),"",IF(G1889&lt;='RETRATO 2027'!$K$5,"CONCLUÍDA",IF(F1889&lt;='RETRATO 2027'!$K$5,"EM ANDAMENTO","A INICIAR")))</f>
        <v>CONCLUÍDA</v>
      </c>
    </row>
    <row r="1890" customFormat="false" ht="15" hidden="false" customHeight="false" outlineLevel="0" collapsed="false">
      <c r="B1890" s="4" t="n">
        <v>9360098</v>
      </c>
      <c r="C1890" s="4" t="s">
        <v>2705</v>
      </c>
      <c r="D1890" s="4" t="s">
        <v>3247</v>
      </c>
      <c r="E1890" s="4" t="s">
        <v>3765</v>
      </c>
      <c r="F1890" s="127" t="n">
        <v>46343</v>
      </c>
      <c r="G1890" s="127" t="n">
        <v>46343</v>
      </c>
      <c r="H1890" s="127" t="n">
        <v>46293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17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14</v>
      </c>
      <c r="O1890" s="2" t="str">
        <f aca="false">IF(OR(F1890="",G1890=""),"",IF(G1890&lt;='RETRATO 2027'!$K$5,"CONCLUÍDA",IF(F1890&lt;='RETRATO 2027'!$K$5,"EM ANDAMENTO","A INICIAR")))</f>
        <v>CONCLUÍDA</v>
      </c>
    </row>
    <row r="1891" customFormat="false" ht="15" hidden="false" customHeight="false" outlineLevel="0" collapsed="false">
      <c r="B1891" s="4" t="n">
        <v>9360099</v>
      </c>
      <c r="C1891" s="4" t="s">
        <v>2705</v>
      </c>
      <c r="D1891" s="4" t="s">
        <v>3248</v>
      </c>
      <c r="E1891" s="4" t="s">
        <v>3765</v>
      </c>
      <c r="F1891" s="127" t="n">
        <v>46344</v>
      </c>
      <c r="G1891" s="127" t="n">
        <v>46345</v>
      </c>
      <c r="H1891" s="127" t="n">
        <v>46293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17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14</v>
      </c>
      <c r="O1891" s="2" t="str">
        <f aca="false">IF(OR(F1891="",G1891=""),"",IF(G1891&lt;='RETRATO 2027'!$K$5,"CONCLUÍDA",IF(F1891&lt;='RETRATO 2027'!$K$5,"EM ANDAMENTO","A INICIAR")))</f>
        <v>CONCLUÍDA</v>
      </c>
    </row>
    <row r="1892" customFormat="false" ht="15" hidden="false" customHeight="false" outlineLevel="0" collapsed="false">
      <c r="B1892" s="4" t="n">
        <v>9360100</v>
      </c>
      <c r="C1892" s="4" t="s">
        <v>2705</v>
      </c>
      <c r="D1892" s="4" t="s">
        <v>3249</v>
      </c>
      <c r="E1892" s="4" t="s">
        <v>3765</v>
      </c>
      <c r="F1892" s="127" t="n">
        <v>46345</v>
      </c>
      <c r="G1892" s="127" t="n">
        <v>46345</v>
      </c>
      <c r="H1892" s="127" t="n">
        <v>46293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17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14</v>
      </c>
      <c r="O1892" s="2" t="str">
        <f aca="false">IF(OR(F1892="",G1892=""),"",IF(G1892&lt;='RETRATO 2027'!$K$5,"CONCLUÍDA",IF(F1892&lt;='RETRATO 2027'!$K$5,"EM ANDAMENTO","A INICIAR")))</f>
        <v>CONCLUÍDA</v>
      </c>
    </row>
    <row r="1893" customFormat="false" ht="15" hidden="false" customHeight="false" outlineLevel="0" collapsed="false">
      <c r="B1893" s="4" t="n">
        <v>9360101</v>
      </c>
      <c r="C1893" s="4" t="s">
        <v>2705</v>
      </c>
      <c r="D1893" s="4" t="s">
        <v>3250</v>
      </c>
      <c r="E1893" s="4" t="s">
        <v>3765</v>
      </c>
      <c r="F1893" s="127" t="n">
        <v>46344</v>
      </c>
      <c r="G1893" s="127" t="n">
        <v>46344</v>
      </c>
      <c r="H1893" s="127" t="n">
        <v>46293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17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14</v>
      </c>
      <c r="O1893" s="2" t="str">
        <f aca="false">IF(OR(F1893="",G1893=""),"",IF(G1893&lt;='RETRATO 2027'!$K$5,"CONCLUÍDA",IF(F1893&lt;='RETRATO 2027'!$K$5,"EM ANDAMENTO","A INICIAR")))</f>
        <v>CONCLUÍDA</v>
      </c>
    </row>
    <row r="1894" customFormat="false" ht="15" hidden="false" customHeight="false" outlineLevel="0" collapsed="false">
      <c r="B1894" s="4" t="n">
        <v>9360102</v>
      </c>
      <c r="C1894" s="4" t="s">
        <v>2705</v>
      </c>
      <c r="D1894" s="4" t="s">
        <v>3251</v>
      </c>
      <c r="E1894" s="4" t="s">
        <v>3765</v>
      </c>
      <c r="F1894" s="127" t="n">
        <v>46344</v>
      </c>
      <c r="G1894" s="127" t="n">
        <v>46344</v>
      </c>
      <c r="H1894" s="127" t="n">
        <v>46293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17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14</v>
      </c>
      <c r="O1894" s="2" t="str">
        <f aca="false">IF(OR(F1894="",G1894=""),"",IF(G1894&lt;='RETRATO 2027'!$K$5,"CONCLUÍDA",IF(F1894&lt;='RETRATO 2027'!$K$5,"EM ANDAMENTO","A INICIAR")))</f>
        <v>CONCLUÍDA</v>
      </c>
    </row>
    <row r="1895" customFormat="false" ht="15" hidden="false" customHeight="false" outlineLevel="0" collapsed="false">
      <c r="B1895" s="4" t="n">
        <v>9360103</v>
      </c>
      <c r="C1895" s="4" t="s">
        <v>2705</v>
      </c>
      <c r="D1895" s="4" t="s">
        <v>3252</v>
      </c>
      <c r="E1895" s="4" t="s">
        <v>3765</v>
      </c>
      <c r="F1895" s="127" t="n">
        <v>46345</v>
      </c>
      <c r="G1895" s="127" t="n">
        <v>46345</v>
      </c>
      <c r="H1895" s="127" t="n">
        <v>46293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>17</v>
      </c>
      <c r="N1895" s="2" t="n">
        <f aca="false">IF(E1895="","",IF(ISNUMBER(SEARCH("SUBSOLO",E1895)),IFERROR(-VALUE(LEFT(E1895,FIND("º",SUBSTITUTE(E1895,"°","º"))-1)),-1),IF(LEFT(E1895,6)="TÉRREO",0,IFERROR(VALUE(LEFT(E1895,FIND("º",SUBSTITUTE(E1895,"°","º"))-1)),""))))</f>
        <v>14</v>
      </c>
      <c r="O1895" s="2" t="str">
        <f aca="false">IF(OR(F1895="",G1895=""),"",IF(G1895&lt;='RETRATO 2027'!$K$5,"CONCLUÍDA",IF(F1895&lt;='RETRATO 2027'!$K$5,"EM ANDAMENTO","A INICIAR")))</f>
        <v>CONCLUÍDA</v>
      </c>
    </row>
    <row r="1896" customFormat="false" ht="15" hidden="false" customHeight="false" outlineLevel="0" collapsed="false">
      <c r="B1896" s="4" t="n">
        <v>36118599</v>
      </c>
      <c r="C1896" s="4" t="s">
        <v>2848</v>
      </c>
      <c r="D1896" s="4" t="s">
        <v>433</v>
      </c>
      <c r="E1896" s="4" t="s">
        <v>3449</v>
      </c>
      <c r="F1896" s="127" t="n">
        <v>46338</v>
      </c>
      <c r="G1896" s="127" t="n">
        <v>46359</v>
      </c>
      <c r="H1896" s="127" t="n">
        <v>46293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>26</v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-2</v>
      </c>
      <c r="O1896" s="2" t="str">
        <f aca="false">IF(OR(F1896="",G1896=""),"",IF(G1896&lt;='RETRATO 2027'!$K$5,"CONCLUÍDA",IF(F1896&lt;='RETRATO 2027'!$K$5,"EM ANDAMENTO","A INICIAR")))</f>
        <v>CONCLUÍDA</v>
      </c>
    </row>
    <row r="1897" customFormat="false" ht="15" hidden="false" customHeight="false" outlineLevel="0" collapsed="false">
      <c r="B1897" s="4" t="n">
        <v>26745165</v>
      </c>
      <c r="C1897" s="4" t="s">
        <v>163</v>
      </c>
      <c r="D1897" s="4" t="s">
        <v>433</v>
      </c>
      <c r="E1897" s="4" t="s">
        <v>3652</v>
      </c>
      <c r="F1897" s="127" t="n">
        <v>46338</v>
      </c>
      <c r="G1897" s="127" t="n">
        <v>46350</v>
      </c>
      <c r="H1897" s="127" t="n">
        <v>46293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18</v>
      </c>
      <c r="N1897" s="2" t="str">
        <f aca="false"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 t="str">
        <f aca="false">IF(OR(F1897="",G1897=""),"",IF(G1897&lt;='RETRATO 2027'!$K$5,"CONCLUÍDA",IF(F1897&lt;='RETRATO 2027'!$K$5,"EM ANDAMENTO","A INICIAR")))</f>
        <v>CONCLUÍDA</v>
      </c>
    </row>
    <row r="1898" customFormat="false" ht="15" hidden="false" customHeight="false" outlineLevel="0" collapsed="false">
      <c r="B1898" s="4" t="n">
        <v>26707699</v>
      </c>
      <c r="C1898" s="4" t="s">
        <v>163</v>
      </c>
      <c r="D1898" s="4" t="s">
        <v>433</v>
      </c>
      <c r="E1898" s="4" t="s">
        <v>3766</v>
      </c>
      <c r="F1898" s="127" t="n">
        <v>46338</v>
      </c>
      <c r="G1898" s="127" t="n">
        <v>46359</v>
      </c>
      <c r="H1898" s="127" t="n">
        <v>46293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18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1</v>
      </c>
      <c r="O1898" s="2" t="str">
        <f aca="false">IF(OR(F1898="",G1898=""),"",IF(G1898&lt;='RETRATO 2027'!$K$5,"CONCLUÍDA",IF(F1898&lt;='RETRATO 2027'!$K$5,"EM ANDAMENTO","A INICIAR")))</f>
        <v>CONCLUÍDA</v>
      </c>
    </row>
    <row r="1899" customFormat="false" ht="15" hidden="false" customHeight="false" outlineLevel="0" collapsed="false">
      <c r="B1899" s="4" t="n">
        <v>26743581</v>
      </c>
      <c r="C1899" s="4" t="s">
        <v>2896</v>
      </c>
      <c r="D1899" s="4" t="s">
        <v>433</v>
      </c>
      <c r="E1899" s="4" t="s">
        <v>3685</v>
      </c>
      <c r="F1899" s="127" t="n">
        <v>46338</v>
      </c>
      <c r="G1899" s="127" t="n">
        <v>46350</v>
      </c>
      <c r="H1899" s="127" t="n">
        <v>46293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20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6</v>
      </c>
      <c r="O1899" s="2" t="str">
        <f aca="false">IF(OR(F1899="",G1899=""),"",IF(G1899&lt;='RETRATO 2027'!$K$5,"CONCLUÍDA",IF(F1899&lt;='RETRATO 2027'!$K$5,"EM ANDAMENTO","A INICIAR")))</f>
        <v>CONCLUÍDA</v>
      </c>
    </row>
    <row r="1900" customFormat="false" ht="15" hidden="false" customHeight="false" outlineLevel="0" collapsed="false">
      <c r="B1900" s="4" t="n">
        <v>29844460</v>
      </c>
      <c r="C1900" s="4" t="s">
        <v>2898</v>
      </c>
      <c r="D1900" s="4" t="s">
        <v>433</v>
      </c>
      <c r="E1900" s="4" t="s">
        <v>3685</v>
      </c>
      <c r="F1900" s="127" t="n">
        <v>46338</v>
      </c>
      <c r="G1900" s="127" t="n">
        <v>46349</v>
      </c>
      <c r="H1900" s="127" t="n">
        <v>46293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29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6</v>
      </c>
      <c r="O1900" s="2" t="str">
        <f aca="false">IF(OR(F1900="",G1900=""),"",IF(G1900&lt;='RETRATO 2027'!$K$5,"CONCLUÍDA",IF(F1900&lt;='RETRATO 2027'!$K$5,"EM ANDAMENTO","A INICIAR")))</f>
        <v>CONCLUÍDA</v>
      </c>
    </row>
    <row r="1901" customFormat="false" ht="15" hidden="false" customHeight="false" outlineLevel="0" collapsed="false">
      <c r="B1901" s="4" t="n">
        <v>26743537</v>
      </c>
      <c r="C1901" s="4" t="s">
        <v>2886</v>
      </c>
      <c r="D1901" s="4" t="s">
        <v>433</v>
      </c>
      <c r="E1901" s="4" t="s">
        <v>3686</v>
      </c>
      <c r="F1901" s="127" t="n">
        <v>46338</v>
      </c>
      <c r="G1901" s="127" t="n">
        <v>46350</v>
      </c>
      <c r="H1901" s="127" t="n">
        <v>46293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21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7</v>
      </c>
      <c r="O1901" s="2" t="str">
        <f aca="false">IF(OR(F1901="",G1901=""),"",IF(G1901&lt;='RETRATO 2027'!$K$5,"CONCLUÍDA",IF(F1901&lt;='RETRATO 2027'!$K$5,"EM ANDAMENTO","A INICIAR")))</f>
        <v>CONCLUÍDA</v>
      </c>
    </row>
    <row r="1902" customFormat="false" ht="15" hidden="false" customHeight="false" outlineLevel="0" collapsed="false">
      <c r="B1902" s="4" t="n">
        <v>29844636</v>
      </c>
      <c r="C1902" s="4" t="s">
        <v>2888</v>
      </c>
      <c r="D1902" s="4" t="s">
        <v>433</v>
      </c>
      <c r="E1902" s="4" t="s">
        <v>3686</v>
      </c>
      <c r="F1902" s="127" t="n">
        <v>46338</v>
      </c>
      <c r="G1902" s="127" t="n">
        <v>46350</v>
      </c>
      <c r="H1902" s="127" t="n">
        <v>46293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20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7</v>
      </c>
      <c r="O1902" s="2" t="str">
        <f aca="false">IF(OR(F1902="",G1902=""),"",IF(G1902&lt;='RETRATO 2027'!$K$5,"CONCLUÍDA",IF(F1902&lt;='RETRATO 2027'!$K$5,"EM ANDAMENTO","A INICIAR")))</f>
        <v>CONCLUÍDA</v>
      </c>
    </row>
    <row r="1903" customFormat="false" ht="15" hidden="false" customHeight="false" outlineLevel="0" collapsed="false">
      <c r="B1903" s="4" t="n">
        <v>29844625</v>
      </c>
      <c r="C1903" s="4" t="s">
        <v>2888</v>
      </c>
      <c r="D1903" s="4" t="s">
        <v>433</v>
      </c>
      <c r="E1903" s="4" t="s">
        <v>3374</v>
      </c>
      <c r="F1903" s="127" t="n">
        <v>46339</v>
      </c>
      <c r="G1903" s="127" t="n">
        <v>46351</v>
      </c>
      <c r="H1903" s="127" t="n">
        <v>46293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20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-4</v>
      </c>
      <c r="O1903" s="2" t="str">
        <f aca="false">IF(OR(F1903="",G1903=""),"",IF(G1903&lt;='RETRATO 2027'!$K$5,"CONCLUÍDA",IF(F1903&lt;='RETRATO 2027'!$K$5,"EM ANDAMENTO","A INICIAR")))</f>
        <v>CONCLUÍDA</v>
      </c>
    </row>
    <row r="1904" customFormat="false" ht="15" hidden="false" customHeight="false" outlineLevel="0" collapsed="false">
      <c r="B1904" s="4" t="n">
        <v>26743742</v>
      </c>
      <c r="C1904" s="4" t="s">
        <v>2808</v>
      </c>
      <c r="D1904" s="4" t="s">
        <v>433</v>
      </c>
      <c r="E1904" s="4" t="s">
        <v>3375</v>
      </c>
      <c r="F1904" s="127" t="n">
        <v>46339</v>
      </c>
      <c r="G1904" s="127" t="n">
        <v>46398</v>
      </c>
      <c r="H1904" s="127" t="n">
        <v>46293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29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-3</v>
      </c>
      <c r="O1904" s="2" t="str">
        <f aca="false">IF(OR(F1904="",G1904=""),"",IF(G1904&lt;='RETRATO 2027'!$K$5,"CONCLUÍDA",IF(F1904&lt;='RETRATO 2027'!$K$5,"EM ANDAMENTO","A INICIAR")))</f>
        <v>CONCLUÍDA</v>
      </c>
    </row>
    <row r="1905" customFormat="false" ht="15" hidden="false" customHeight="false" outlineLevel="0" collapsed="false">
      <c r="B1905" s="4" t="n">
        <v>26743718</v>
      </c>
      <c r="C1905" s="4" t="s">
        <v>2829</v>
      </c>
      <c r="D1905" s="4" t="s">
        <v>433</v>
      </c>
      <c r="E1905" s="4" t="s">
        <v>3466</v>
      </c>
      <c r="F1905" s="127" t="n">
        <v>46342</v>
      </c>
      <c r="G1905" s="127" t="n">
        <v>46392</v>
      </c>
      <c r="H1905" s="127" t="n">
        <v>46293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21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-1</v>
      </c>
      <c r="O1905" s="2" t="str">
        <f aca="false">IF(OR(F1905="",G1905=""),"",IF(G1905&lt;='RETRATO 2027'!$K$5,"CONCLUÍDA",IF(F1905&lt;='RETRATO 2027'!$K$5,"EM ANDAMENTO","A INICIAR")))</f>
        <v>CONCLUÍDA</v>
      </c>
    </row>
    <row r="1906" customFormat="false" ht="15" hidden="false" customHeight="false" outlineLevel="0" collapsed="false">
      <c r="B1906" s="4" t="n">
        <v>26743698</v>
      </c>
      <c r="C1906" s="4" t="s">
        <v>2751</v>
      </c>
      <c r="D1906" s="4" t="s">
        <v>433</v>
      </c>
      <c r="E1906" s="4" t="s">
        <v>3482</v>
      </c>
      <c r="F1906" s="127" t="n">
        <v>46342</v>
      </c>
      <c r="G1906" s="127" t="n">
        <v>46399</v>
      </c>
      <c r="H1906" s="127" t="n">
        <v>46293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35</v>
      </c>
      <c r="N1906" s="2" t="str">
        <f aca="false"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 t="str">
        <f aca="false">IF(OR(F1906="",G1906=""),"",IF(G1906&lt;='RETRATO 2027'!$K$5,"CONCLUÍDA",IF(F1906&lt;='RETRATO 2027'!$K$5,"EM ANDAMENTO","A INICIAR")))</f>
        <v>CONCLUÍDA</v>
      </c>
    </row>
    <row r="1907" customFormat="false" ht="15" hidden="false" customHeight="false" outlineLevel="0" collapsed="false">
      <c r="B1907" s="4" t="n">
        <v>26218319</v>
      </c>
      <c r="C1907" s="4" t="s">
        <v>2711</v>
      </c>
      <c r="D1907" s="4" t="s">
        <v>433</v>
      </c>
      <c r="E1907" s="4" t="s">
        <v>3655</v>
      </c>
      <c r="F1907" s="127" t="n">
        <v>46342</v>
      </c>
      <c r="G1907" s="127" t="n">
        <v>46367</v>
      </c>
      <c r="H1907" s="127" t="n">
        <v>46293</v>
      </c>
      <c r="I1907" s="4" t="n">
        <v>100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17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3</v>
      </c>
      <c r="O1907" s="2" t="str">
        <f aca="false">IF(OR(F1907="",G1907=""),"",IF(G1907&lt;='RETRATO 2027'!$K$5,"CONCLUÍDA",IF(F1907&lt;='RETRATO 2027'!$K$5,"EM ANDAMENTO","A INICIAR")))</f>
        <v>CONCLUÍDA</v>
      </c>
    </row>
    <row r="1908" customFormat="false" ht="15" hidden="false" customHeight="false" outlineLevel="0" collapsed="false">
      <c r="B1908" s="4" t="n">
        <v>9364455</v>
      </c>
      <c r="C1908" s="4" t="s">
        <v>2711</v>
      </c>
      <c r="D1908" s="4" t="s">
        <v>3244</v>
      </c>
      <c r="E1908" s="4" t="s">
        <v>3655</v>
      </c>
      <c r="F1908" s="127" t="n">
        <v>46342</v>
      </c>
      <c r="G1908" s="127" t="n">
        <v>46345</v>
      </c>
      <c r="H1908" s="127" t="n">
        <v>46293</v>
      </c>
      <c r="I1908" s="4" t="n">
        <v>100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17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3</v>
      </c>
      <c r="O1908" s="2" t="str">
        <f aca="false">IF(OR(F1908="",G1908=""),"",IF(G1908&lt;='RETRATO 2027'!$K$5,"CONCLUÍDA",IF(F1908&lt;='RETRATO 2027'!$K$5,"EM ANDAMENTO","A INICIAR")))</f>
        <v>CONCLUÍDA</v>
      </c>
    </row>
    <row r="1909" customFormat="false" ht="15" hidden="false" customHeight="false" outlineLevel="0" collapsed="false">
      <c r="B1909" s="4" t="n">
        <v>9364456</v>
      </c>
      <c r="C1909" s="4" t="s">
        <v>2711</v>
      </c>
      <c r="D1909" s="4" t="s">
        <v>3245</v>
      </c>
      <c r="E1909" s="4" t="s">
        <v>3655</v>
      </c>
      <c r="F1909" s="127" t="n">
        <v>46345</v>
      </c>
      <c r="G1909" s="127" t="n">
        <v>46350</v>
      </c>
      <c r="H1909" s="127" t="n">
        <v>46293</v>
      </c>
      <c r="I1909" s="4" t="n">
        <v>100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17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3</v>
      </c>
      <c r="O1909" s="2" t="str">
        <f aca="false">IF(OR(F1909="",G1909=""),"",IF(G1909&lt;='RETRATO 2027'!$K$5,"CONCLUÍDA",IF(F1909&lt;='RETRATO 2027'!$K$5,"EM ANDAMENTO","A INICIAR")))</f>
        <v>CONCLUÍDA</v>
      </c>
    </row>
    <row r="1910" customFormat="false" ht="15" hidden="false" customHeight="false" outlineLevel="0" collapsed="false">
      <c r="B1910" s="4" t="n">
        <v>9364457</v>
      </c>
      <c r="C1910" s="4" t="s">
        <v>2711</v>
      </c>
      <c r="D1910" s="4" t="s">
        <v>3246</v>
      </c>
      <c r="E1910" s="4" t="s">
        <v>3655</v>
      </c>
      <c r="F1910" s="127" t="n">
        <v>46349</v>
      </c>
      <c r="G1910" s="127" t="n">
        <v>46353</v>
      </c>
      <c r="H1910" s="127" t="n">
        <v>46293</v>
      </c>
      <c r="I1910" s="4" t="n">
        <v>100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17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3</v>
      </c>
      <c r="O1910" s="2" t="str">
        <f aca="false">IF(OR(F1910="",G1910=""),"",IF(G1910&lt;='RETRATO 2027'!$K$5,"CONCLUÍDA",IF(F1910&lt;='RETRATO 2027'!$K$5,"EM ANDAMENTO","A INICIAR")))</f>
        <v>CONCLUÍDA</v>
      </c>
    </row>
    <row r="1911" customFormat="false" ht="15" hidden="false" customHeight="false" outlineLevel="0" collapsed="false">
      <c r="B1911" s="4" t="n">
        <v>9364458</v>
      </c>
      <c r="C1911" s="4" t="s">
        <v>2711</v>
      </c>
      <c r="D1911" s="4" t="s">
        <v>3247</v>
      </c>
      <c r="E1911" s="4" t="s">
        <v>3655</v>
      </c>
      <c r="F1911" s="127" t="n">
        <v>46356</v>
      </c>
      <c r="G1911" s="127" t="n">
        <v>46356</v>
      </c>
      <c r="H1911" s="127" t="n">
        <v>46293</v>
      </c>
      <c r="I1911" s="4" t="n">
        <v>100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17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3</v>
      </c>
      <c r="O1911" s="2" t="str">
        <f aca="false">IF(OR(F1911="",G1911=""),"",IF(G1911&lt;='RETRATO 2027'!$K$5,"CONCLUÍDA",IF(F1911&lt;='RETRATO 2027'!$K$5,"EM ANDAMENTO","A INICIAR")))</f>
        <v>CONCLUÍDA</v>
      </c>
    </row>
    <row r="1912" customFormat="false" ht="15" hidden="false" customHeight="false" outlineLevel="0" collapsed="false">
      <c r="B1912" s="4" t="n">
        <v>9364459</v>
      </c>
      <c r="C1912" s="4" t="s">
        <v>2711</v>
      </c>
      <c r="D1912" s="4" t="s">
        <v>3248</v>
      </c>
      <c r="E1912" s="4" t="s">
        <v>3655</v>
      </c>
      <c r="F1912" s="127" t="n">
        <v>46357</v>
      </c>
      <c r="G1912" s="127" t="n">
        <v>46365</v>
      </c>
      <c r="H1912" s="127" t="n">
        <v>46293</v>
      </c>
      <c r="I1912" s="4" t="n">
        <v>100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17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3</v>
      </c>
      <c r="O1912" s="2" t="str">
        <f aca="false">IF(OR(F1912="",G1912=""),"",IF(G1912&lt;='RETRATO 2027'!$K$5,"CONCLUÍDA",IF(F1912&lt;='RETRATO 2027'!$K$5,"EM ANDAMENTO","A INICIAR")))</f>
        <v>CONCLUÍDA</v>
      </c>
    </row>
    <row r="1913" customFormat="false" ht="15" hidden="false" customHeight="false" outlineLevel="0" collapsed="false">
      <c r="B1913" s="4" t="n">
        <v>9364460</v>
      </c>
      <c r="C1913" s="4" t="s">
        <v>2711</v>
      </c>
      <c r="D1913" s="4" t="s">
        <v>3249</v>
      </c>
      <c r="E1913" s="4" t="s">
        <v>3655</v>
      </c>
      <c r="F1913" s="127" t="n">
        <v>46358</v>
      </c>
      <c r="G1913" s="127" t="n">
        <v>46367</v>
      </c>
      <c r="H1913" s="127" t="n">
        <v>46293</v>
      </c>
      <c r="I1913" s="4" t="n">
        <v>100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17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3</v>
      </c>
      <c r="O1913" s="2" t="str">
        <f aca="false">IF(OR(F1913="",G1913=""),"",IF(G1913&lt;='RETRATO 2027'!$K$5,"CONCLUÍDA",IF(F1913&lt;='RETRATO 2027'!$K$5,"EM ANDAMENTO","A INICIAR")))</f>
        <v>CONCLUÍDA</v>
      </c>
    </row>
    <row r="1914" customFormat="false" ht="15" hidden="false" customHeight="false" outlineLevel="0" collapsed="false">
      <c r="B1914" s="4" t="n">
        <v>9364461</v>
      </c>
      <c r="C1914" s="4" t="s">
        <v>2711</v>
      </c>
      <c r="D1914" s="4" t="s">
        <v>3250</v>
      </c>
      <c r="E1914" s="4" t="s">
        <v>3655</v>
      </c>
      <c r="F1914" s="127" t="n">
        <v>46366</v>
      </c>
      <c r="G1914" s="127" t="n">
        <v>46366</v>
      </c>
      <c r="H1914" s="127" t="n">
        <v>46293</v>
      </c>
      <c r="I1914" s="4" t="n">
        <v>100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17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3</v>
      </c>
      <c r="O1914" s="2" t="str">
        <f aca="false">IF(OR(F1914="",G1914=""),"",IF(G1914&lt;='RETRATO 2027'!$K$5,"CONCLUÍDA",IF(F1914&lt;='RETRATO 2027'!$K$5,"EM ANDAMENTO","A INICIAR")))</f>
        <v>CONCLUÍDA</v>
      </c>
    </row>
    <row r="1915" customFormat="false" ht="15" hidden="false" customHeight="false" outlineLevel="0" collapsed="false">
      <c r="B1915" s="4" t="n">
        <v>9364462</v>
      </c>
      <c r="C1915" s="4" t="s">
        <v>2711</v>
      </c>
      <c r="D1915" s="4" t="s">
        <v>3251</v>
      </c>
      <c r="E1915" s="4" t="s">
        <v>3655</v>
      </c>
      <c r="F1915" s="127" t="n">
        <v>46366</v>
      </c>
      <c r="G1915" s="127" t="n">
        <v>46366</v>
      </c>
      <c r="H1915" s="127" t="n">
        <v>46293</v>
      </c>
      <c r="I1915" s="4" t="n">
        <v>100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17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3</v>
      </c>
      <c r="O1915" s="2" t="str">
        <f aca="false">IF(OR(F1915="",G1915=""),"",IF(G1915&lt;='RETRATO 2027'!$K$5,"CONCLUÍDA",IF(F1915&lt;='RETRATO 2027'!$K$5,"EM ANDAMENTO","A INICIAR")))</f>
        <v>CONCLUÍDA</v>
      </c>
    </row>
    <row r="1916" customFormat="false" ht="15" hidden="false" customHeight="false" outlineLevel="0" collapsed="false">
      <c r="B1916" s="4" t="n">
        <v>9364463</v>
      </c>
      <c r="C1916" s="4" t="s">
        <v>2711</v>
      </c>
      <c r="D1916" s="4" t="s">
        <v>3252</v>
      </c>
      <c r="E1916" s="4" t="s">
        <v>3655</v>
      </c>
      <c r="F1916" s="127" t="n">
        <v>46367</v>
      </c>
      <c r="G1916" s="127" t="n">
        <v>46367</v>
      </c>
      <c r="H1916" s="127" t="n">
        <v>46293</v>
      </c>
      <c r="I1916" s="4" t="n">
        <v>100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17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3</v>
      </c>
      <c r="O1916" s="2" t="str">
        <f aca="false">IF(OR(F1916="",G1916=""),"",IF(G1916&lt;='RETRATO 2027'!$K$5,"CONCLUÍDA",IF(F1916&lt;='RETRATO 2027'!$K$5,"EM ANDAMENTO","A INICIAR")))</f>
        <v>CONCLUÍDA</v>
      </c>
    </row>
    <row r="1917" customFormat="false" ht="15" hidden="false" customHeight="false" outlineLevel="0" collapsed="false">
      <c r="B1917" s="4" t="n">
        <v>44890079</v>
      </c>
      <c r="C1917" s="4" t="s">
        <v>2719</v>
      </c>
      <c r="D1917" s="4" t="s">
        <v>433</v>
      </c>
      <c r="E1917" s="4" t="s">
        <v>3655</v>
      </c>
      <c r="F1917" s="127" t="n">
        <v>46342</v>
      </c>
      <c r="G1917" s="127" t="n">
        <v>46372</v>
      </c>
      <c r="H1917" s="127" t="n">
        <v>46293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>17</v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3</v>
      </c>
      <c r="O1917" s="2" t="str">
        <f aca="false">IF(OR(F1917="",G1917=""),"",IF(G1917&lt;='RETRATO 2027'!$K$5,"CONCLUÍDA",IF(F1917&lt;='RETRATO 2027'!$K$5,"EM ANDAMENTO","A INICIAR")))</f>
        <v>CONCLUÍDA</v>
      </c>
    </row>
    <row r="1918" customFormat="false" ht="15" hidden="false" customHeight="false" outlineLevel="0" collapsed="false">
      <c r="B1918" s="4" t="n">
        <v>28967798</v>
      </c>
      <c r="C1918" s="4" t="s">
        <v>2719</v>
      </c>
      <c r="D1918" s="4" t="s">
        <v>3548</v>
      </c>
      <c r="E1918" s="4" t="s">
        <v>3655</v>
      </c>
      <c r="F1918" s="127" t="n">
        <v>46342</v>
      </c>
      <c r="G1918" s="127" t="n">
        <v>46343</v>
      </c>
      <c r="H1918" s="127" t="n">
        <v>46293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>17</v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3</v>
      </c>
      <c r="O1918" s="2" t="str">
        <f aca="false">IF(OR(F1918="",G1918=""),"",IF(G1918&lt;='RETRATO 2027'!$K$5,"CONCLUÍDA",IF(F1918&lt;='RETRATO 2027'!$K$5,"EM ANDAMENTO","A INICIAR")))</f>
        <v>CONCLUÍDA</v>
      </c>
    </row>
    <row r="1919" customFormat="false" ht="15" hidden="false" customHeight="false" outlineLevel="0" collapsed="false">
      <c r="B1919" s="4" t="n">
        <v>28967799</v>
      </c>
      <c r="C1919" s="4" t="s">
        <v>2719</v>
      </c>
      <c r="D1919" s="4" t="s">
        <v>3543</v>
      </c>
      <c r="E1919" s="4" t="s">
        <v>3655</v>
      </c>
      <c r="F1919" s="127" t="n">
        <v>46344</v>
      </c>
      <c r="G1919" s="127" t="n">
        <v>46345</v>
      </c>
      <c r="H1919" s="127" t="n">
        <v>46293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17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3</v>
      </c>
      <c r="O1919" s="2" t="str">
        <f aca="false">IF(OR(F1919="",G1919=""),"",IF(G1919&lt;='RETRATO 2027'!$K$5,"CONCLUÍDA",IF(F1919&lt;='RETRATO 2027'!$K$5,"EM ANDAMENTO","A INICIAR")))</f>
        <v>CONCLUÍDA</v>
      </c>
    </row>
    <row r="1920" customFormat="false" ht="15" hidden="false" customHeight="false" outlineLevel="0" collapsed="false">
      <c r="B1920" s="4" t="n">
        <v>28967800</v>
      </c>
      <c r="C1920" s="4" t="s">
        <v>2719</v>
      </c>
      <c r="D1920" s="4" t="s">
        <v>3498</v>
      </c>
      <c r="E1920" s="4" t="s">
        <v>3655</v>
      </c>
      <c r="F1920" s="127" t="n">
        <v>46349</v>
      </c>
      <c r="G1920" s="127" t="n">
        <v>46360</v>
      </c>
      <c r="H1920" s="127" t="n">
        <v>46293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17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3</v>
      </c>
      <c r="O1920" s="2" t="str">
        <f aca="false">IF(OR(F1920="",G1920=""),"",IF(G1920&lt;='RETRATO 2027'!$K$5,"CONCLUÍDA",IF(F1920&lt;='RETRATO 2027'!$K$5,"EM ANDAMENTO","A INICIAR")))</f>
        <v>CONCLUÍDA</v>
      </c>
    </row>
    <row r="1921" customFormat="false" ht="15" hidden="false" customHeight="false" outlineLevel="0" collapsed="false">
      <c r="B1921" s="4" t="n">
        <v>28967801</v>
      </c>
      <c r="C1921" s="4" t="s">
        <v>2719</v>
      </c>
      <c r="D1921" s="4" t="s">
        <v>3572</v>
      </c>
      <c r="E1921" s="4" t="s">
        <v>3655</v>
      </c>
      <c r="F1921" s="127" t="n">
        <v>46363</v>
      </c>
      <c r="G1921" s="127" t="n">
        <v>46365</v>
      </c>
      <c r="H1921" s="127" t="n">
        <v>46293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17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3</v>
      </c>
      <c r="O1921" s="2" t="str">
        <f aca="false">IF(OR(F1921="",G1921=""),"",IF(G1921&lt;='RETRATO 2027'!$K$5,"CONCLUÍDA",IF(F1921&lt;='RETRATO 2027'!$K$5,"EM ANDAMENTO","A INICIAR")))</f>
        <v>CONCLUÍDA</v>
      </c>
    </row>
    <row r="1922" customFormat="false" ht="15" hidden="false" customHeight="false" outlineLevel="0" collapsed="false">
      <c r="B1922" s="4" t="n">
        <v>28967802</v>
      </c>
      <c r="C1922" s="4" t="s">
        <v>2719</v>
      </c>
      <c r="D1922" s="4" t="s">
        <v>3573</v>
      </c>
      <c r="E1922" s="4" t="s">
        <v>3655</v>
      </c>
      <c r="F1922" s="127" t="n">
        <v>46366</v>
      </c>
      <c r="G1922" s="127" t="n">
        <v>46366</v>
      </c>
      <c r="H1922" s="127" t="n">
        <v>46293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>17</v>
      </c>
      <c r="N1922" s="2" t="n">
        <f aca="false">IF(E1922="","",IF(ISNUMBER(SEARCH("SUBSOLO",E1922)),IFERROR(-VALUE(LEFT(E1922,FIND("º",SUBSTITUTE(E1922,"°","º"))-1)),-1),IF(LEFT(E1922,6)="TÉRREO",0,IFERROR(VALUE(LEFT(E1922,FIND("º",SUBSTITUTE(E1922,"°","º"))-1)),""))))</f>
        <v>3</v>
      </c>
      <c r="O1922" s="2" t="str">
        <f aca="false">IF(OR(F1922="",G1922=""),"",IF(G1922&lt;='RETRATO 2027'!$K$5,"CONCLUÍDA",IF(F1922&lt;='RETRATO 2027'!$K$5,"EM ANDAMENTO","A INICIAR")))</f>
        <v>CONCLUÍDA</v>
      </c>
    </row>
    <row r="1923" customFormat="false" ht="15" hidden="false" customHeight="false" outlineLevel="0" collapsed="false">
      <c r="B1923" s="4" t="n">
        <v>28967803</v>
      </c>
      <c r="C1923" s="4" t="s">
        <v>2719</v>
      </c>
      <c r="D1923" s="4" t="s">
        <v>3536</v>
      </c>
      <c r="E1923" s="4" t="s">
        <v>3655</v>
      </c>
      <c r="F1923" s="127" t="n">
        <v>46365</v>
      </c>
      <c r="G1923" s="127" t="n">
        <v>46371</v>
      </c>
      <c r="H1923" s="127" t="n">
        <v>46293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17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3</v>
      </c>
      <c r="O1923" s="2" t="str">
        <f aca="false">IF(OR(F1923="",G1923=""),"",IF(G1923&lt;='RETRATO 2027'!$K$5,"CONCLUÍDA",IF(F1923&lt;='RETRATO 2027'!$K$5,"EM ANDAMENTO","A INICIAR")))</f>
        <v>CONCLUÍDA</v>
      </c>
    </row>
    <row r="1924" customFormat="false" ht="15" hidden="false" customHeight="false" outlineLevel="0" collapsed="false">
      <c r="B1924" s="4" t="n">
        <v>28967804</v>
      </c>
      <c r="C1924" s="4" t="s">
        <v>2719</v>
      </c>
      <c r="D1924" s="4" t="s">
        <v>3617</v>
      </c>
      <c r="E1924" s="4" t="s">
        <v>3655</v>
      </c>
      <c r="F1924" s="127" t="n">
        <v>46372</v>
      </c>
      <c r="G1924" s="127" t="n">
        <v>46372</v>
      </c>
      <c r="H1924" s="127" t="n">
        <v>46293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17</v>
      </c>
      <c r="N1924" s="2" t="n">
        <f aca="false">IF(E1924="","",IF(ISNUMBER(SEARCH("SUBSOLO",E1924)),IFERROR(-VALUE(LEFT(E1924,FIND("º",SUBSTITUTE(E1924,"°","º"))-1)),-1),IF(LEFT(E1924,6)="TÉRREO",0,IFERROR(VALUE(LEFT(E1924,FIND("º",SUBSTITUTE(E1924,"°","º"))-1)),""))))</f>
        <v>3</v>
      </c>
      <c r="O1924" s="2" t="str">
        <f aca="false">IF(OR(F1924="",G1924=""),"",IF(G1924&lt;='RETRATO 2027'!$K$5,"CONCLUÍDA",IF(F1924&lt;='RETRATO 2027'!$K$5,"EM ANDAMENTO","A INICIAR")))</f>
        <v>CONCLUÍDA</v>
      </c>
    </row>
    <row r="1925" customFormat="false" ht="15" hidden="false" customHeight="false" outlineLevel="0" collapsed="false">
      <c r="B1925" s="4" t="n">
        <v>29844375</v>
      </c>
      <c r="C1925" s="4" t="s">
        <v>2890</v>
      </c>
      <c r="D1925" s="4" t="s">
        <v>433</v>
      </c>
      <c r="E1925" s="4" t="s">
        <v>3686</v>
      </c>
      <c r="F1925" s="127" t="n">
        <v>46342</v>
      </c>
      <c r="G1925" s="127" t="n">
        <v>46352</v>
      </c>
      <c r="H1925" s="127" t="n">
        <v>46293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18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7</v>
      </c>
      <c r="O1925" s="2" t="str">
        <f aca="false">IF(OR(F1925="",G1925=""),"",IF(G1925&lt;='RETRATO 2027'!$K$5,"CONCLUÍDA",IF(F1925&lt;='RETRATO 2027'!$K$5,"EM ANDAMENTO","A INICIAR")))</f>
        <v>CONCLUÍDA</v>
      </c>
    </row>
    <row r="1926" customFormat="false" ht="15" hidden="false" customHeight="false" outlineLevel="0" collapsed="false">
      <c r="B1926" s="4" t="n">
        <v>26750514</v>
      </c>
      <c r="C1926" s="4" t="s">
        <v>2814</v>
      </c>
      <c r="D1926" s="4" t="s">
        <v>433</v>
      </c>
      <c r="E1926" s="4" t="s">
        <v>3767</v>
      </c>
      <c r="F1926" s="127" t="n">
        <v>46343</v>
      </c>
      <c r="G1926" s="127" t="n">
        <v>46350</v>
      </c>
      <c r="H1926" s="127" t="n">
        <v>46293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28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-1</v>
      </c>
      <c r="O1926" s="2" t="str">
        <f aca="false">IF(OR(F1926="",G1926=""),"",IF(G1926&lt;='RETRATO 2027'!$K$5,"CONCLUÍDA",IF(F1926&lt;='RETRATO 2027'!$K$5,"EM ANDAMENTO","A INICIAR")))</f>
        <v>CONCLUÍDA</v>
      </c>
    </row>
    <row r="1927" customFormat="false" ht="15" hidden="false" customHeight="false" outlineLevel="0" collapsed="false">
      <c r="B1927" s="4" t="n">
        <v>26743501</v>
      </c>
      <c r="C1927" s="4" t="s">
        <v>2869</v>
      </c>
      <c r="D1927" s="4" t="s">
        <v>433</v>
      </c>
      <c r="E1927" s="4" t="s">
        <v>3706</v>
      </c>
      <c r="F1927" s="127" t="n">
        <v>46344</v>
      </c>
      <c r="G1927" s="127" t="n">
        <v>46356</v>
      </c>
      <c r="H1927" s="127" t="n">
        <v>46293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22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8</v>
      </c>
      <c r="O1927" s="2" t="str">
        <f aca="false">IF(OR(F1927="",G1927=""),"",IF(G1927&lt;='RETRATO 2027'!$K$5,"CONCLUÍDA",IF(F1927&lt;='RETRATO 2027'!$K$5,"EM ANDAMENTO","A INICIAR")))</f>
        <v>CONCLUÍDA</v>
      </c>
    </row>
    <row r="1928" customFormat="false" ht="15" hidden="false" customHeight="false" outlineLevel="0" collapsed="false">
      <c r="B1928" s="4" t="n">
        <v>26743462</v>
      </c>
      <c r="C1928" s="4" t="s">
        <v>163</v>
      </c>
      <c r="D1928" s="4" t="s">
        <v>433</v>
      </c>
      <c r="E1928" s="4" t="s">
        <v>3716</v>
      </c>
      <c r="F1928" s="127" t="n">
        <v>46344</v>
      </c>
      <c r="G1928" s="127" t="n">
        <v>46356</v>
      </c>
      <c r="H1928" s="127" t="n">
        <v>46293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18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9</v>
      </c>
      <c r="O1928" s="2" t="str">
        <f aca="false">IF(OR(F1928="",G1928=""),"",IF(G1928&lt;='RETRATO 2027'!$K$5,"CONCLUÍDA",IF(F1928&lt;='RETRATO 2027'!$K$5,"EM ANDAMENTO","A INICIAR")))</f>
        <v>CONCLUÍDA</v>
      </c>
    </row>
    <row r="1929" customFormat="false" ht="15" hidden="false" customHeight="false" outlineLevel="0" collapsed="false">
      <c r="B1929" s="4" t="n">
        <v>24939307</v>
      </c>
      <c r="C1929" s="4" t="s">
        <v>2705</v>
      </c>
      <c r="D1929" s="4" t="s">
        <v>433</v>
      </c>
      <c r="E1929" s="4" t="s">
        <v>3768</v>
      </c>
      <c r="F1929" s="127" t="n">
        <v>46349</v>
      </c>
      <c r="G1929" s="127" t="n">
        <v>46357</v>
      </c>
      <c r="H1929" s="127" t="n">
        <v>46293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17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15</v>
      </c>
      <c r="O1929" s="2" t="str">
        <f aca="false">IF(OR(F1929="",G1929=""),"",IF(G1929&lt;='RETRATO 2027'!$K$5,"CONCLUÍDA",IF(F1929&lt;='RETRATO 2027'!$K$5,"EM ANDAMENTO","A INICIAR")))</f>
        <v>CONCLUÍDA</v>
      </c>
    </row>
    <row r="1930" customFormat="false" ht="15" hidden="false" customHeight="false" outlineLevel="0" collapsed="false">
      <c r="B1930" s="4" t="n">
        <v>9360086</v>
      </c>
      <c r="C1930" s="4" t="s">
        <v>2705</v>
      </c>
      <c r="D1930" s="4" t="s">
        <v>3244</v>
      </c>
      <c r="E1930" s="4" t="s">
        <v>3768</v>
      </c>
      <c r="F1930" s="127" t="n">
        <v>46349</v>
      </c>
      <c r="G1930" s="127" t="n">
        <v>46351</v>
      </c>
      <c r="H1930" s="127" t="n">
        <v>46293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17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15</v>
      </c>
      <c r="O1930" s="2" t="str">
        <f aca="false">IF(OR(F1930="",G1930=""),"",IF(G1930&lt;='RETRATO 2027'!$K$5,"CONCLUÍDA",IF(F1930&lt;='RETRATO 2027'!$K$5,"EM ANDAMENTO","A INICIAR")))</f>
        <v>CONCLUÍDA</v>
      </c>
    </row>
    <row r="1931" customFormat="false" ht="15" hidden="false" customHeight="false" outlineLevel="0" collapsed="false">
      <c r="B1931" s="4" t="n">
        <v>9360087</v>
      </c>
      <c r="C1931" s="4" t="s">
        <v>2705</v>
      </c>
      <c r="D1931" s="4" t="s">
        <v>3245</v>
      </c>
      <c r="E1931" s="4" t="s">
        <v>3768</v>
      </c>
      <c r="F1931" s="127" t="n">
        <v>46349</v>
      </c>
      <c r="G1931" s="127" t="n">
        <v>46351</v>
      </c>
      <c r="H1931" s="127" t="n">
        <v>46293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17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15</v>
      </c>
      <c r="O1931" s="2" t="str">
        <f aca="false">IF(OR(F1931="",G1931=""),"",IF(G1931&lt;='RETRATO 2027'!$K$5,"CONCLUÍDA",IF(F1931&lt;='RETRATO 2027'!$K$5,"EM ANDAMENTO","A INICIAR")))</f>
        <v>CONCLUÍDA</v>
      </c>
    </row>
    <row r="1932" customFormat="false" ht="15" hidden="false" customHeight="false" outlineLevel="0" collapsed="false">
      <c r="B1932" s="4" t="n">
        <v>9360088</v>
      </c>
      <c r="C1932" s="4" t="s">
        <v>2705</v>
      </c>
      <c r="D1932" s="4" t="s">
        <v>3246</v>
      </c>
      <c r="E1932" s="4" t="s">
        <v>3768</v>
      </c>
      <c r="F1932" s="127" t="n">
        <v>46350</v>
      </c>
      <c r="G1932" s="127" t="n">
        <v>46352</v>
      </c>
      <c r="H1932" s="127" t="n">
        <v>46293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17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15</v>
      </c>
      <c r="O1932" s="2" t="str">
        <f aca="false">IF(OR(F1932="",G1932=""),"",IF(G1932&lt;='RETRATO 2027'!$K$5,"CONCLUÍDA",IF(F1932&lt;='RETRATO 2027'!$K$5,"EM ANDAMENTO","A INICIAR")))</f>
        <v>CONCLUÍDA</v>
      </c>
    </row>
    <row r="1933" customFormat="false" ht="15" hidden="false" customHeight="false" outlineLevel="0" collapsed="false">
      <c r="B1933" s="4" t="n">
        <v>9360089</v>
      </c>
      <c r="C1933" s="4" t="s">
        <v>2705</v>
      </c>
      <c r="D1933" s="4" t="s">
        <v>3247</v>
      </c>
      <c r="E1933" s="4" t="s">
        <v>3768</v>
      </c>
      <c r="F1933" s="127" t="n">
        <v>46353</v>
      </c>
      <c r="G1933" s="127" t="n">
        <v>46353</v>
      </c>
      <c r="H1933" s="127" t="n">
        <v>46293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17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15</v>
      </c>
      <c r="O1933" s="2" t="str">
        <f aca="false">IF(OR(F1933="",G1933=""),"",IF(G1933&lt;='RETRATO 2027'!$K$5,"CONCLUÍDA",IF(F1933&lt;='RETRATO 2027'!$K$5,"EM ANDAMENTO","A INICIAR")))</f>
        <v>CONCLUÍDA</v>
      </c>
    </row>
    <row r="1934" customFormat="false" ht="15" hidden="false" customHeight="false" outlineLevel="0" collapsed="false">
      <c r="B1934" s="4" t="n">
        <v>9360090</v>
      </c>
      <c r="C1934" s="4" t="s">
        <v>2705</v>
      </c>
      <c r="D1934" s="4" t="s">
        <v>3248</v>
      </c>
      <c r="E1934" s="4" t="s">
        <v>3768</v>
      </c>
      <c r="F1934" s="127" t="n">
        <v>46356</v>
      </c>
      <c r="G1934" s="127" t="n">
        <v>46357</v>
      </c>
      <c r="H1934" s="127" t="n">
        <v>46293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>17</v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15</v>
      </c>
      <c r="O1934" s="2" t="str">
        <f aca="false">IF(OR(F1934="",G1934=""),"",IF(G1934&lt;='RETRATO 2027'!$K$5,"CONCLUÍDA",IF(F1934&lt;='RETRATO 2027'!$K$5,"EM ANDAMENTO","A INICIAR")))</f>
        <v>CONCLUÍDA</v>
      </c>
    </row>
    <row r="1935" customFormat="false" ht="15" hidden="false" customHeight="false" outlineLevel="0" collapsed="false">
      <c r="B1935" s="4" t="n">
        <v>9360091</v>
      </c>
      <c r="C1935" s="4" t="s">
        <v>2705</v>
      </c>
      <c r="D1935" s="4" t="s">
        <v>3249</v>
      </c>
      <c r="E1935" s="4" t="s">
        <v>3768</v>
      </c>
      <c r="F1935" s="127" t="n">
        <v>46357</v>
      </c>
      <c r="G1935" s="127" t="n">
        <v>46357</v>
      </c>
      <c r="H1935" s="127" t="n">
        <v>46293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>17</v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15</v>
      </c>
      <c r="O1935" s="2" t="str">
        <f aca="false">IF(OR(F1935="",G1935=""),"",IF(G1935&lt;='RETRATO 2027'!$K$5,"CONCLUÍDA",IF(F1935&lt;='RETRATO 2027'!$K$5,"EM ANDAMENTO","A INICIAR")))</f>
        <v>CONCLUÍDA</v>
      </c>
    </row>
    <row r="1936" customFormat="false" ht="15" hidden="false" customHeight="false" outlineLevel="0" collapsed="false">
      <c r="B1936" s="4" t="n">
        <v>9360092</v>
      </c>
      <c r="C1936" s="4" t="s">
        <v>2705</v>
      </c>
      <c r="D1936" s="4" t="s">
        <v>3250</v>
      </c>
      <c r="E1936" s="4" t="s">
        <v>3768</v>
      </c>
      <c r="F1936" s="127" t="n">
        <v>46356</v>
      </c>
      <c r="G1936" s="127" t="n">
        <v>46356</v>
      </c>
      <c r="H1936" s="127" t="n">
        <v>46293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17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15</v>
      </c>
      <c r="O1936" s="2" t="str">
        <f aca="false">IF(OR(F1936="",G1936=""),"",IF(G1936&lt;='RETRATO 2027'!$K$5,"CONCLUÍDA",IF(F1936&lt;='RETRATO 2027'!$K$5,"EM ANDAMENTO","A INICIAR")))</f>
        <v>CONCLUÍDA</v>
      </c>
    </row>
    <row r="1937" customFormat="false" ht="15" hidden="false" customHeight="false" outlineLevel="0" collapsed="false">
      <c r="B1937" s="4" t="n">
        <v>9360093</v>
      </c>
      <c r="C1937" s="4" t="s">
        <v>2705</v>
      </c>
      <c r="D1937" s="4" t="s">
        <v>3251</v>
      </c>
      <c r="E1937" s="4" t="s">
        <v>3768</v>
      </c>
      <c r="F1937" s="127" t="n">
        <v>46356</v>
      </c>
      <c r="G1937" s="127" t="n">
        <v>46356</v>
      </c>
      <c r="H1937" s="127" t="n">
        <v>46293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17</v>
      </c>
      <c r="N1937" s="2" t="n">
        <f aca="false">IF(E1937="","",IF(ISNUMBER(SEARCH("SUBSOLO",E1937)),IFERROR(-VALUE(LEFT(E1937,FIND("º",SUBSTITUTE(E1937,"°","º"))-1)),-1),IF(LEFT(E1937,6)="TÉRREO",0,IFERROR(VALUE(LEFT(E1937,FIND("º",SUBSTITUTE(E1937,"°","º"))-1)),""))))</f>
        <v>15</v>
      </c>
      <c r="O1937" s="2" t="str">
        <f aca="false">IF(OR(F1937="",G1937=""),"",IF(G1937&lt;='RETRATO 2027'!$K$5,"CONCLUÍDA",IF(F1937&lt;='RETRATO 2027'!$K$5,"EM ANDAMENTO","A INICIAR")))</f>
        <v>CONCLUÍDA</v>
      </c>
    </row>
    <row r="1938" customFormat="false" ht="15" hidden="false" customHeight="false" outlineLevel="0" collapsed="false">
      <c r="B1938" s="4" t="n">
        <v>9360094</v>
      </c>
      <c r="C1938" s="4" t="s">
        <v>2705</v>
      </c>
      <c r="D1938" s="4" t="s">
        <v>3252</v>
      </c>
      <c r="E1938" s="4" t="s">
        <v>3768</v>
      </c>
      <c r="F1938" s="127" t="n">
        <v>46357</v>
      </c>
      <c r="G1938" s="127" t="n">
        <v>46357</v>
      </c>
      <c r="H1938" s="127" t="n">
        <v>46293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17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15</v>
      </c>
      <c r="O1938" s="2" t="str">
        <f aca="false">IF(OR(F1938="",G1938=""),"",IF(G1938&lt;='RETRATO 2027'!$K$5,"CONCLUÍDA",IF(F1938&lt;='RETRATO 2027'!$K$5,"EM ANDAMENTO","A INICIAR")))</f>
        <v>CONCLUÍDA</v>
      </c>
    </row>
    <row r="1939" customFormat="false" ht="15" hidden="false" customHeight="false" outlineLevel="0" collapsed="false">
      <c r="B1939" s="4" t="n">
        <v>26744789</v>
      </c>
      <c r="C1939" s="4" t="s">
        <v>163</v>
      </c>
      <c r="D1939" s="4" t="s">
        <v>433</v>
      </c>
      <c r="E1939" s="4" t="s">
        <v>3769</v>
      </c>
      <c r="F1939" s="127" t="n">
        <v>46350</v>
      </c>
      <c r="G1939" s="127" t="n">
        <v>46426</v>
      </c>
      <c r="H1939" s="127" t="n">
        <v>46293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18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3</v>
      </c>
      <c r="O1939" s="2" t="str">
        <f aca="false">IF(OR(F1939="",G1939=""),"",IF(G1939&lt;='RETRATO 2027'!$K$5,"CONCLUÍDA",IF(F1939&lt;='RETRATO 2027'!$K$5,"EM ANDAMENTO","A INICIAR")))</f>
        <v>CONCLUÍDA</v>
      </c>
    </row>
    <row r="1940" customFormat="false" ht="15" hidden="false" customHeight="false" outlineLevel="0" collapsed="false">
      <c r="B1940" s="4" t="n">
        <v>26743642</v>
      </c>
      <c r="C1940" s="4" t="s">
        <v>2914</v>
      </c>
      <c r="D1940" s="4" t="s">
        <v>433</v>
      </c>
      <c r="E1940" s="4" t="s">
        <v>3668</v>
      </c>
      <c r="F1940" s="127" t="n">
        <v>46350</v>
      </c>
      <c r="G1940" s="127" t="n">
        <v>46359</v>
      </c>
      <c r="H1940" s="127" t="n">
        <v>46293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21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4</v>
      </c>
      <c r="O1940" s="2" t="str">
        <f aca="false">IF(OR(F1940="",G1940=""),"",IF(G1940&lt;='RETRATO 2027'!$K$5,"CONCLUÍDA",IF(F1940&lt;='RETRATO 2027'!$K$5,"EM ANDAMENTO","A INICIAR")))</f>
        <v>CONCLUÍDA</v>
      </c>
    </row>
    <row r="1941" customFormat="false" ht="15" hidden="false" customHeight="false" outlineLevel="0" collapsed="false">
      <c r="B1941" s="4" t="n">
        <v>26743598</v>
      </c>
      <c r="C1941" s="4" t="s">
        <v>2808</v>
      </c>
      <c r="D1941" s="4" t="s">
        <v>433</v>
      </c>
      <c r="E1941" s="4" t="s">
        <v>3678</v>
      </c>
      <c r="F1941" s="127" t="n">
        <v>46350</v>
      </c>
      <c r="G1941" s="127" t="n">
        <v>46359</v>
      </c>
      <c r="H1941" s="127" t="n">
        <v>46293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>29</v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5</v>
      </c>
      <c r="O1941" s="2" t="str">
        <f aca="false">IF(OR(F1941="",G1941=""),"",IF(G1941&lt;='RETRATO 2027'!$K$5,"CONCLUÍDA",IF(F1941&lt;='RETRATO 2027'!$K$5,"EM ANDAMENTO","A INICIAR")))</f>
        <v>CONCLUÍDA</v>
      </c>
    </row>
    <row r="1942" customFormat="false" ht="15" hidden="false" customHeight="false" outlineLevel="0" collapsed="false">
      <c r="B1942" s="4" t="n">
        <v>26743560</v>
      </c>
      <c r="C1942" s="4" t="s">
        <v>2910</v>
      </c>
      <c r="D1942" s="4" t="s">
        <v>433</v>
      </c>
      <c r="E1942" s="4" t="s">
        <v>3685</v>
      </c>
      <c r="F1942" s="127" t="n">
        <v>46350</v>
      </c>
      <c r="G1942" s="127" t="n">
        <v>46359</v>
      </c>
      <c r="H1942" s="127" t="n">
        <v>46293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>25</v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6</v>
      </c>
      <c r="O1942" s="2" t="str">
        <f aca="false">IF(OR(F1942="",G1942=""),"",IF(G1942&lt;='RETRATO 2027'!$K$5,"CONCLUÍDA",IF(F1942&lt;='RETRATO 2027'!$K$5,"EM ANDAMENTO","A INICIAR")))</f>
        <v>CONCLUÍDA</v>
      </c>
    </row>
    <row r="1943" customFormat="false" ht="15" hidden="false" customHeight="false" outlineLevel="0" collapsed="false">
      <c r="B1943" s="4" t="n">
        <v>26745181</v>
      </c>
      <c r="C1943" s="4" t="s">
        <v>163</v>
      </c>
      <c r="D1943" s="4" t="s">
        <v>433</v>
      </c>
      <c r="E1943" s="4" t="s">
        <v>3770</v>
      </c>
      <c r="F1943" s="127" t="n">
        <v>46351</v>
      </c>
      <c r="G1943" s="127" t="n">
        <v>46360</v>
      </c>
      <c r="H1943" s="127" t="n">
        <v>46293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18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-1</v>
      </c>
      <c r="O1943" s="2" t="str">
        <f aca="false">IF(OR(F1943="",G1943=""),"",IF(G1943&lt;='RETRATO 2027'!$K$5,"CONCLUÍDA",IF(F1943&lt;='RETRATO 2027'!$K$5,"EM ANDAMENTO","A INICIAR")))</f>
        <v>CONCLUÍDA</v>
      </c>
    </row>
    <row r="1944" customFormat="false" ht="15" hidden="false" customHeight="false" outlineLevel="0" collapsed="false">
      <c r="B1944" s="4" t="n">
        <v>26745152</v>
      </c>
      <c r="C1944" s="4" t="s">
        <v>2808</v>
      </c>
      <c r="D1944" s="4" t="s">
        <v>433</v>
      </c>
      <c r="E1944" s="4" t="s">
        <v>3652</v>
      </c>
      <c r="F1944" s="127" t="n">
        <v>46351</v>
      </c>
      <c r="G1944" s="127" t="n">
        <v>46360</v>
      </c>
      <c r="H1944" s="127" t="n">
        <v>46293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29</v>
      </c>
      <c r="N1944" s="2" t="str">
        <f aca="false"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 t="str">
        <f aca="false">IF(OR(F1944="",G1944=""),"",IF(G1944&lt;='RETRATO 2027'!$K$5,"CONCLUÍDA",IF(F1944&lt;='RETRATO 2027'!$K$5,"EM ANDAMENTO","A INICIAR")))</f>
        <v>CONCLUÍDA</v>
      </c>
    </row>
    <row r="1945" customFormat="false" ht="15" hidden="false" customHeight="false" outlineLevel="0" collapsed="false">
      <c r="B1945" s="4" t="n">
        <v>26743544</v>
      </c>
      <c r="C1945" s="4" t="s">
        <v>2896</v>
      </c>
      <c r="D1945" s="4" t="s">
        <v>433</v>
      </c>
      <c r="E1945" s="4" t="s">
        <v>3686</v>
      </c>
      <c r="F1945" s="127" t="n">
        <v>46351</v>
      </c>
      <c r="G1945" s="127" t="n">
        <v>46360</v>
      </c>
      <c r="H1945" s="127" t="n">
        <v>46293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20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7</v>
      </c>
      <c r="O1945" s="2" t="str">
        <f aca="false">IF(OR(F1945="",G1945=""),"",IF(G1945&lt;='RETRATO 2027'!$K$5,"CONCLUÍDA",IF(F1945&lt;='RETRATO 2027'!$K$5,"EM ANDAMENTO","A INICIAR")))</f>
        <v>CONCLUÍDA</v>
      </c>
    </row>
    <row r="1946" customFormat="false" ht="15" hidden="false" customHeight="false" outlineLevel="0" collapsed="false">
      <c r="B1946" s="4" t="n">
        <v>29844461</v>
      </c>
      <c r="C1946" s="4" t="s">
        <v>2898</v>
      </c>
      <c r="D1946" s="4" t="s">
        <v>433</v>
      </c>
      <c r="E1946" s="4" t="s">
        <v>3686</v>
      </c>
      <c r="F1946" s="127" t="n">
        <v>46351</v>
      </c>
      <c r="G1946" s="127" t="n">
        <v>46359</v>
      </c>
      <c r="H1946" s="127" t="n">
        <v>46293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29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7</v>
      </c>
      <c r="O1946" s="2" t="str">
        <f aca="false">IF(OR(F1946="",G1946=""),"",IF(G1946&lt;='RETRATO 2027'!$K$5,"CONCLUÍDA",IF(F1946&lt;='RETRATO 2027'!$K$5,"EM ANDAMENTO","A INICIAR")))</f>
        <v>CONCLUÍDA</v>
      </c>
    </row>
    <row r="1947" customFormat="false" ht="15" hidden="false" customHeight="false" outlineLevel="0" collapsed="false">
      <c r="B1947" s="4" t="n">
        <v>26743500</v>
      </c>
      <c r="C1947" s="4" t="s">
        <v>2886</v>
      </c>
      <c r="D1947" s="4" t="s">
        <v>433</v>
      </c>
      <c r="E1947" s="4" t="s">
        <v>3706</v>
      </c>
      <c r="F1947" s="127" t="n">
        <v>46351</v>
      </c>
      <c r="G1947" s="127" t="n">
        <v>46360</v>
      </c>
      <c r="H1947" s="127" t="n">
        <v>46293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21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8</v>
      </c>
      <c r="O1947" s="2" t="str">
        <f aca="false">IF(OR(F1947="",G1947=""),"",IF(G1947&lt;='RETRATO 2027'!$K$5,"CONCLUÍDA",IF(F1947&lt;='RETRATO 2027'!$K$5,"EM ANDAMENTO","A INICIAR")))</f>
        <v>CONCLUÍDA</v>
      </c>
    </row>
    <row r="1948" customFormat="false" ht="15" hidden="false" customHeight="false" outlineLevel="0" collapsed="false">
      <c r="B1948" s="4" t="n">
        <v>29844637</v>
      </c>
      <c r="C1948" s="4" t="s">
        <v>2888</v>
      </c>
      <c r="D1948" s="4" t="s">
        <v>433</v>
      </c>
      <c r="E1948" s="4" t="s">
        <v>3706</v>
      </c>
      <c r="F1948" s="127" t="n">
        <v>46351</v>
      </c>
      <c r="G1948" s="127" t="n">
        <v>46360</v>
      </c>
      <c r="H1948" s="127" t="n">
        <v>46293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20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8</v>
      </c>
      <c r="O1948" s="2" t="str">
        <f aca="false">IF(OR(F1948="",G1948=""),"",IF(G1948&lt;='RETRATO 2027'!$K$5,"CONCLUÍDA",IF(F1948&lt;='RETRATO 2027'!$K$5,"EM ANDAMENTO","A INICIAR")))</f>
        <v>CONCLUÍDA</v>
      </c>
    </row>
    <row r="1949" customFormat="false" ht="15" hidden="false" customHeight="false" outlineLevel="0" collapsed="false">
      <c r="B1949" s="4" t="n">
        <v>29844376</v>
      </c>
      <c r="C1949" s="4" t="s">
        <v>2890</v>
      </c>
      <c r="D1949" s="4" t="s">
        <v>433</v>
      </c>
      <c r="E1949" s="4" t="s">
        <v>3706</v>
      </c>
      <c r="F1949" s="127" t="n">
        <v>46353</v>
      </c>
      <c r="G1949" s="127" t="n">
        <v>46365</v>
      </c>
      <c r="H1949" s="127" t="n">
        <v>46293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18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8</v>
      </c>
      <c r="O1949" s="2" t="str">
        <f aca="false">IF(OR(F1949="",G1949=""),"",IF(G1949&lt;='RETRATO 2027'!$K$5,"CONCLUÍDA",IF(F1949&lt;='RETRATO 2027'!$K$5,"EM ANDAMENTO","A INICIAR")))</f>
        <v>CONCLUÍDA</v>
      </c>
    </row>
    <row r="1950" customFormat="false" ht="15" hidden="false" customHeight="false" outlineLevel="0" collapsed="false">
      <c r="B1950" s="4" t="n">
        <v>26743464</v>
      </c>
      <c r="C1950" s="4" t="s">
        <v>2869</v>
      </c>
      <c r="D1950" s="4" t="s">
        <v>433</v>
      </c>
      <c r="E1950" s="4" t="s">
        <v>3716</v>
      </c>
      <c r="F1950" s="127" t="n">
        <v>46357</v>
      </c>
      <c r="G1950" s="127" t="n">
        <v>46367</v>
      </c>
      <c r="H1950" s="127" t="n">
        <v>46293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22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9</v>
      </c>
      <c r="O1950" s="2" t="str">
        <f aca="false">IF(OR(F1950="",G1950=""),"",IF(G1950&lt;='RETRATO 2027'!$K$5,"CONCLUÍDA",IF(F1950&lt;='RETRATO 2027'!$K$5,"EM ANDAMENTO","A INICIAR")))</f>
        <v>CONCLUÍDA</v>
      </c>
    </row>
    <row r="1951" customFormat="false" ht="15" hidden="false" customHeight="false" outlineLevel="0" collapsed="false">
      <c r="B1951" s="4" t="n">
        <v>26743425</v>
      </c>
      <c r="C1951" s="4" t="s">
        <v>163</v>
      </c>
      <c r="D1951" s="4" t="s">
        <v>433</v>
      </c>
      <c r="E1951" s="4" t="s">
        <v>3722</v>
      </c>
      <c r="F1951" s="127" t="n">
        <v>46357</v>
      </c>
      <c r="G1951" s="127" t="n">
        <v>46367</v>
      </c>
      <c r="H1951" s="127" t="n">
        <v>46293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18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10</v>
      </c>
      <c r="O1951" s="2" t="str">
        <f aca="false">IF(OR(F1951="",G1951=""),"",IF(G1951&lt;='RETRATO 2027'!$K$5,"CONCLUÍDA",IF(F1951&lt;='RETRATO 2027'!$K$5,"EM ANDAMENTO","A INICIAR")))</f>
        <v>CONCLUÍDA</v>
      </c>
    </row>
    <row r="1952" customFormat="false" ht="15" hidden="false" customHeight="false" outlineLevel="0" collapsed="false">
      <c r="B1952" s="4" t="n">
        <v>24939268</v>
      </c>
      <c r="C1952" s="4" t="s">
        <v>2705</v>
      </c>
      <c r="D1952" s="4" t="s">
        <v>433</v>
      </c>
      <c r="E1952" s="4" t="s">
        <v>3771</v>
      </c>
      <c r="F1952" s="127" t="n">
        <v>46358</v>
      </c>
      <c r="G1952" s="127" t="n">
        <v>46367</v>
      </c>
      <c r="H1952" s="127" t="n">
        <v>46293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>17</v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16</v>
      </c>
      <c r="O1952" s="2" t="str">
        <f aca="false">IF(OR(F1952="",G1952=""),"",IF(G1952&lt;='RETRATO 2027'!$K$5,"CONCLUÍDA",IF(F1952&lt;='RETRATO 2027'!$K$5,"EM ANDAMENTO","A INICIAR")))</f>
        <v>CONCLUÍDA</v>
      </c>
    </row>
    <row r="1953" customFormat="false" ht="15" hidden="false" customHeight="false" outlineLevel="0" collapsed="false">
      <c r="B1953" s="4" t="n">
        <v>9360077</v>
      </c>
      <c r="C1953" s="4" t="s">
        <v>2705</v>
      </c>
      <c r="D1953" s="4" t="s">
        <v>3244</v>
      </c>
      <c r="E1953" s="4" t="s">
        <v>3771</v>
      </c>
      <c r="F1953" s="127" t="n">
        <v>46358</v>
      </c>
      <c r="G1953" s="127" t="n">
        <v>46360</v>
      </c>
      <c r="H1953" s="127" t="n">
        <v>46293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17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16</v>
      </c>
      <c r="O1953" s="2" t="str">
        <f aca="false">IF(OR(F1953="",G1953=""),"",IF(G1953&lt;='RETRATO 2027'!$K$5,"CONCLUÍDA",IF(F1953&lt;='RETRATO 2027'!$K$5,"EM ANDAMENTO","A INICIAR")))</f>
        <v>CONCLUÍDA</v>
      </c>
    </row>
    <row r="1954" customFormat="false" ht="15" hidden="false" customHeight="false" outlineLevel="0" collapsed="false">
      <c r="B1954" s="4" t="n">
        <v>9360078</v>
      </c>
      <c r="C1954" s="4" t="s">
        <v>2705</v>
      </c>
      <c r="D1954" s="4" t="s">
        <v>3245</v>
      </c>
      <c r="E1954" s="4" t="s">
        <v>3771</v>
      </c>
      <c r="F1954" s="127" t="n">
        <v>46358</v>
      </c>
      <c r="G1954" s="127" t="n">
        <v>46360</v>
      </c>
      <c r="H1954" s="127" t="n">
        <v>46293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17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16</v>
      </c>
      <c r="O1954" s="2" t="str">
        <f aca="false">IF(OR(F1954="",G1954=""),"",IF(G1954&lt;='RETRATO 2027'!$K$5,"CONCLUÍDA",IF(F1954&lt;='RETRATO 2027'!$K$5,"EM ANDAMENTO","A INICIAR")))</f>
        <v>CONCLUÍDA</v>
      </c>
    </row>
    <row r="1955" customFormat="false" ht="15" hidden="false" customHeight="false" outlineLevel="0" collapsed="false">
      <c r="B1955" s="4" t="n">
        <v>9360079</v>
      </c>
      <c r="C1955" s="4" t="s">
        <v>2705</v>
      </c>
      <c r="D1955" s="4" t="s">
        <v>3246</v>
      </c>
      <c r="E1955" s="4" t="s">
        <v>3771</v>
      </c>
      <c r="F1955" s="127" t="n">
        <v>46359</v>
      </c>
      <c r="G1955" s="127" t="n">
        <v>46363</v>
      </c>
      <c r="H1955" s="127" t="n">
        <v>46293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17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16</v>
      </c>
      <c r="O1955" s="2" t="str">
        <f aca="false">IF(OR(F1955="",G1955=""),"",IF(G1955&lt;='RETRATO 2027'!$K$5,"CONCLUÍDA",IF(F1955&lt;='RETRATO 2027'!$K$5,"EM ANDAMENTO","A INICIAR")))</f>
        <v>CONCLUÍDA</v>
      </c>
    </row>
    <row r="1956" customFormat="false" ht="15" hidden="false" customHeight="false" outlineLevel="0" collapsed="false">
      <c r="B1956" s="4" t="n">
        <v>9360080</v>
      </c>
      <c r="C1956" s="4" t="s">
        <v>2705</v>
      </c>
      <c r="D1956" s="4" t="s">
        <v>3247</v>
      </c>
      <c r="E1956" s="4" t="s">
        <v>3771</v>
      </c>
      <c r="F1956" s="127" t="n">
        <v>46365</v>
      </c>
      <c r="G1956" s="127" t="n">
        <v>46365</v>
      </c>
      <c r="H1956" s="127" t="n">
        <v>46293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17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16</v>
      </c>
      <c r="O1956" s="2" t="str">
        <f aca="false">IF(OR(F1956="",G1956=""),"",IF(G1956&lt;='RETRATO 2027'!$K$5,"CONCLUÍDA",IF(F1956&lt;='RETRATO 2027'!$K$5,"EM ANDAMENTO","A INICIAR")))</f>
        <v>CONCLUÍDA</v>
      </c>
    </row>
    <row r="1957" customFormat="false" ht="15" hidden="false" customHeight="false" outlineLevel="0" collapsed="false">
      <c r="B1957" s="4" t="n">
        <v>9360081</v>
      </c>
      <c r="C1957" s="4" t="s">
        <v>2705</v>
      </c>
      <c r="D1957" s="4" t="s">
        <v>3248</v>
      </c>
      <c r="E1957" s="4" t="s">
        <v>3771</v>
      </c>
      <c r="F1957" s="127" t="n">
        <v>46366</v>
      </c>
      <c r="G1957" s="127" t="n">
        <v>46367</v>
      </c>
      <c r="H1957" s="127" t="n">
        <v>46293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17</v>
      </c>
      <c r="N1957" s="2" t="n">
        <f aca="false">IF(E1957="","",IF(ISNUMBER(SEARCH("SUBSOLO",E1957)),IFERROR(-VALUE(LEFT(E1957,FIND("º",SUBSTITUTE(E1957,"°","º"))-1)),-1),IF(LEFT(E1957,6)="TÉRREO",0,IFERROR(VALUE(LEFT(E1957,FIND("º",SUBSTITUTE(E1957,"°","º"))-1)),""))))</f>
        <v>16</v>
      </c>
      <c r="O1957" s="2" t="str">
        <f aca="false">IF(OR(F1957="",G1957=""),"",IF(G1957&lt;='RETRATO 2027'!$K$5,"CONCLUÍDA",IF(F1957&lt;='RETRATO 2027'!$K$5,"EM ANDAMENTO","A INICIAR")))</f>
        <v>CONCLUÍDA</v>
      </c>
    </row>
    <row r="1958" customFormat="false" ht="15" hidden="false" customHeight="false" outlineLevel="0" collapsed="false">
      <c r="B1958" s="4" t="n">
        <v>9360082</v>
      </c>
      <c r="C1958" s="4" t="s">
        <v>2705</v>
      </c>
      <c r="D1958" s="4" t="s">
        <v>3249</v>
      </c>
      <c r="E1958" s="4" t="s">
        <v>3771</v>
      </c>
      <c r="F1958" s="127" t="n">
        <v>46367</v>
      </c>
      <c r="G1958" s="127" t="n">
        <v>46367</v>
      </c>
      <c r="H1958" s="127" t="n">
        <v>46293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>17</v>
      </c>
      <c r="N1958" s="2" t="n">
        <f aca="false">IF(E1958="","",IF(ISNUMBER(SEARCH("SUBSOLO",E1958)),IFERROR(-VALUE(LEFT(E1958,FIND("º",SUBSTITUTE(E1958,"°","º"))-1)),-1),IF(LEFT(E1958,6)="TÉRREO",0,IFERROR(VALUE(LEFT(E1958,FIND("º",SUBSTITUTE(E1958,"°","º"))-1)),""))))</f>
        <v>16</v>
      </c>
      <c r="O1958" s="2" t="str">
        <f aca="false">IF(OR(F1958="",G1958=""),"",IF(G1958&lt;='RETRATO 2027'!$K$5,"CONCLUÍDA",IF(F1958&lt;='RETRATO 2027'!$K$5,"EM ANDAMENTO","A INICIAR")))</f>
        <v>CONCLUÍDA</v>
      </c>
    </row>
    <row r="1959" customFormat="false" ht="15" hidden="false" customHeight="false" outlineLevel="0" collapsed="false">
      <c r="B1959" s="4" t="n">
        <v>9360083</v>
      </c>
      <c r="C1959" s="4" t="s">
        <v>2705</v>
      </c>
      <c r="D1959" s="4" t="s">
        <v>3250</v>
      </c>
      <c r="E1959" s="4" t="s">
        <v>3771</v>
      </c>
      <c r="F1959" s="127" t="n">
        <v>46366</v>
      </c>
      <c r="G1959" s="127" t="n">
        <v>46366</v>
      </c>
      <c r="H1959" s="127" t="n">
        <v>46293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>17</v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16</v>
      </c>
      <c r="O1959" s="2" t="str">
        <f aca="false">IF(OR(F1959="",G1959=""),"",IF(G1959&lt;='RETRATO 2027'!$K$5,"CONCLUÍDA",IF(F1959&lt;='RETRATO 2027'!$K$5,"EM ANDAMENTO","A INICIAR")))</f>
        <v>CONCLUÍDA</v>
      </c>
    </row>
    <row r="1960" customFormat="false" ht="15" hidden="false" customHeight="false" outlineLevel="0" collapsed="false">
      <c r="B1960" s="4" t="n">
        <v>9360084</v>
      </c>
      <c r="C1960" s="4" t="s">
        <v>2705</v>
      </c>
      <c r="D1960" s="4" t="s">
        <v>3251</v>
      </c>
      <c r="E1960" s="4" t="s">
        <v>3771</v>
      </c>
      <c r="F1960" s="127" t="n">
        <v>46366</v>
      </c>
      <c r="G1960" s="127" t="n">
        <v>46366</v>
      </c>
      <c r="H1960" s="127" t="n">
        <v>46293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17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16</v>
      </c>
      <c r="O1960" s="2" t="str">
        <f aca="false">IF(OR(F1960="",G1960=""),"",IF(G1960&lt;='RETRATO 2027'!$K$5,"CONCLUÍDA",IF(F1960&lt;='RETRATO 2027'!$K$5,"EM ANDAMENTO","A INICIAR")))</f>
        <v>CONCLUÍDA</v>
      </c>
    </row>
    <row r="1961" customFormat="false" ht="15" hidden="false" customHeight="false" outlineLevel="0" collapsed="false">
      <c r="B1961" s="4" t="n">
        <v>9360085</v>
      </c>
      <c r="C1961" s="4" t="s">
        <v>2705</v>
      </c>
      <c r="D1961" s="4" t="s">
        <v>3252</v>
      </c>
      <c r="E1961" s="4" t="s">
        <v>3771</v>
      </c>
      <c r="F1961" s="127" t="n">
        <v>46367</v>
      </c>
      <c r="G1961" s="127" t="n">
        <v>46367</v>
      </c>
      <c r="H1961" s="127" t="n">
        <v>46293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17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16</v>
      </c>
      <c r="O1961" s="2" t="str">
        <f aca="false">IF(OR(F1961="",G1961=""),"",IF(G1961&lt;='RETRATO 2027'!$K$5,"CONCLUÍDA",IF(F1961&lt;='RETRATO 2027'!$K$5,"EM ANDAMENTO","A INICIAR")))</f>
        <v>CONCLUÍDA</v>
      </c>
    </row>
    <row r="1962" customFormat="false" ht="15" hidden="false" customHeight="false" outlineLevel="0" collapsed="false">
      <c r="B1962" s="4" t="n">
        <v>36118600</v>
      </c>
      <c r="C1962" s="4" t="s">
        <v>2848</v>
      </c>
      <c r="D1962" s="4" t="s">
        <v>433</v>
      </c>
      <c r="E1962" s="4" t="s">
        <v>3466</v>
      </c>
      <c r="F1962" s="127" t="n">
        <v>46360</v>
      </c>
      <c r="G1962" s="127" t="n">
        <v>46395</v>
      </c>
      <c r="H1962" s="127" t="n">
        <v>46293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26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-1</v>
      </c>
      <c r="O1962" s="2" t="str">
        <f aca="false">IF(OR(F1962="",G1962=""),"",IF(G1962&lt;='RETRATO 2027'!$K$5,"CONCLUÍDA",IF(F1962&lt;='RETRATO 2027'!$K$5,"EM ANDAMENTO","A INICIAR")))</f>
        <v>CONCLUÍDA</v>
      </c>
    </row>
    <row r="1963" customFormat="false" ht="15" hidden="false" customHeight="false" outlineLevel="0" collapsed="false">
      <c r="B1963" s="4" t="n">
        <v>26707701</v>
      </c>
      <c r="C1963" s="4" t="s">
        <v>2869</v>
      </c>
      <c r="D1963" s="4" t="s">
        <v>433</v>
      </c>
      <c r="E1963" s="4" t="s">
        <v>3766</v>
      </c>
      <c r="F1963" s="127" t="n">
        <v>46360</v>
      </c>
      <c r="G1963" s="127" t="n">
        <v>46395</v>
      </c>
      <c r="H1963" s="127" t="n">
        <v>46293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22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1</v>
      </c>
      <c r="O1963" s="2" t="str">
        <f aca="false">IF(OR(F1963="",G1963=""),"",IF(G1963&lt;='RETRATO 2027'!$K$5,"CONCLUÍDA",IF(F1963&lt;='RETRATO 2027'!$K$5,"EM ANDAMENTO","A INICIAR")))</f>
        <v>CONCLUÍDA</v>
      </c>
    </row>
    <row r="1964" customFormat="false" ht="15" hidden="false" customHeight="false" outlineLevel="0" collapsed="false">
      <c r="B1964" s="4" t="n">
        <v>26707681</v>
      </c>
      <c r="C1964" s="4" t="s">
        <v>163</v>
      </c>
      <c r="D1964" s="4" t="s">
        <v>433</v>
      </c>
      <c r="E1964" s="4" t="s">
        <v>3772</v>
      </c>
      <c r="F1964" s="127" t="n">
        <v>46360</v>
      </c>
      <c r="G1964" s="127" t="n">
        <v>46395</v>
      </c>
      <c r="H1964" s="127" t="n">
        <v>46293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18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1</v>
      </c>
      <c r="O1964" s="2" t="str">
        <f aca="false">IF(OR(F1964="",G1964=""),"",IF(G1964&lt;='RETRATO 2027'!$K$5,"CONCLUÍDA",IF(F1964&lt;='RETRATO 2027'!$K$5,"EM ANDAMENTO","A INICIAR")))</f>
        <v>CONCLUÍDA</v>
      </c>
    </row>
    <row r="1965" customFormat="false" ht="15" hidden="false" customHeight="false" outlineLevel="0" collapsed="false">
      <c r="B1965" s="4" t="n">
        <v>26743636</v>
      </c>
      <c r="C1965" s="4" t="s">
        <v>2814</v>
      </c>
      <c r="D1965" s="4" t="s">
        <v>433</v>
      </c>
      <c r="E1965" s="4" t="s">
        <v>3668</v>
      </c>
      <c r="F1965" s="127" t="n">
        <v>46360</v>
      </c>
      <c r="G1965" s="127" t="n">
        <v>46370</v>
      </c>
      <c r="H1965" s="127" t="n">
        <v>46293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28</v>
      </c>
      <c r="N1965" s="2" t="n">
        <f aca="false">IF(E1965="","",IF(ISNUMBER(SEARCH("SUBSOLO",E1965)),IFERROR(-VALUE(LEFT(E1965,FIND("º",SUBSTITUTE(E1965,"°","º"))-1)),-1),IF(LEFT(E1965,6)="TÉRREO",0,IFERROR(VALUE(LEFT(E1965,FIND("º",SUBSTITUTE(E1965,"°","º"))-1)),""))))</f>
        <v>4</v>
      </c>
      <c r="O1965" s="2" t="str">
        <f aca="false">IF(OR(F1965="",G1965=""),"",IF(G1965&lt;='RETRATO 2027'!$K$5,"CONCLUÍDA",IF(F1965&lt;='RETRATO 2027'!$K$5,"EM ANDAMENTO","A INICIAR")))</f>
        <v>CONCLUÍDA</v>
      </c>
    </row>
    <row r="1966" customFormat="false" ht="15" hidden="false" customHeight="false" outlineLevel="0" collapsed="false">
      <c r="B1966" s="4" t="n">
        <v>26743605</v>
      </c>
      <c r="C1966" s="4" t="s">
        <v>2914</v>
      </c>
      <c r="D1966" s="4" t="s">
        <v>433</v>
      </c>
      <c r="E1966" s="4" t="s">
        <v>3678</v>
      </c>
      <c r="F1966" s="127" t="n">
        <v>46360</v>
      </c>
      <c r="G1966" s="127" t="n">
        <v>46372</v>
      </c>
      <c r="H1966" s="127" t="n">
        <v>46293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21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5</v>
      </c>
      <c r="O1966" s="2" t="str">
        <f aca="false">IF(OR(F1966="",G1966=""),"",IF(G1966&lt;='RETRATO 2027'!$K$5,"CONCLUÍDA",IF(F1966&lt;='RETRATO 2027'!$K$5,"EM ANDAMENTO","A INICIAR")))</f>
        <v>CONCLUÍDA</v>
      </c>
    </row>
    <row r="1967" customFormat="false" ht="15" hidden="false" customHeight="false" outlineLevel="0" collapsed="false">
      <c r="B1967" s="4" t="n">
        <v>26743561</v>
      </c>
      <c r="C1967" s="4" t="s">
        <v>2808</v>
      </c>
      <c r="D1967" s="4" t="s">
        <v>433</v>
      </c>
      <c r="E1967" s="4" t="s">
        <v>3685</v>
      </c>
      <c r="F1967" s="127" t="n">
        <v>46360</v>
      </c>
      <c r="G1967" s="127" t="n">
        <v>46372</v>
      </c>
      <c r="H1967" s="127" t="n">
        <v>46293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29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6</v>
      </c>
      <c r="O1967" s="2" t="str">
        <f aca="false">IF(OR(F1967="",G1967=""),"",IF(G1967&lt;='RETRATO 2027'!$K$5,"CONCLUÍDA",IF(F1967&lt;='RETRATO 2027'!$K$5,"EM ANDAMENTO","A INICIAR")))</f>
        <v>CONCLUÍDA</v>
      </c>
    </row>
    <row r="1968" customFormat="false" ht="15" hidden="false" customHeight="false" outlineLevel="0" collapsed="false">
      <c r="B1968" s="4" t="n">
        <v>26743523</v>
      </c>
      <c r="C1968" s="4" t="s">
        <v>2910</v>
      </c>
      <c r="D1968" s="4" t="s">
        <v>433</v>
      </c>
      <c r="E1968" s="4" t="s">
        <v>3686</v>
      </c>
      <c r="F1968" s="127" t="n">
        <v>46360</v>
      </c>
      <c r="G1968" s="127" t="n">
        <v>46372</v>
      </c>
      <c r="H1968" s="127" t="n">
        <v>46293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25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7</v>
      </c>
      <c r="O1968" s="2" t="str">
        <f aca="false">IF(OR(F1968="",G1968=""),"",IF(G1968&lt;='RETRATO 2027'!$K$5,"CONCLUÍDA",IF(F1968&lt;='RETRATO 2027'!$K$5,"EM ANDAMENTO","A INICIAR")))</f>
        <v>CONCLUÍDA</v>
      </c>
    </row>
    <row r="1969" customFormat="false" ht="15" hidden="false" customHeight="false" outlineLevel="0" collapsed="false">
      <c r="B1969" s="4" t="n">
        <v>26745168</v>
      </c>
      <c r="C1969" s="4" t="s">
        <v>2808</v>
      </c>
      <c r="D1969" s="4" t="s">
        <v>433</v>
      </c>
      <c r="E1969" s="4" t="s">
        <v>3770</v>
      </c>
      <c r="F1969" s="127" t="n">
        <v>46363</v>
      </c>
      <c r="G1969" s="127" t="n">
        <v>46373</v>
      </c>
      <c r="H1969" s="127" t="n">
        <v>46293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29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-1</v>
      </c>
      <c r="O1969" s="2" t="str">
        <f aca="false">IF(OR(F1969="",G1969=""),"",IF(G1969&lt;='RETRATO 2027'!$K$5,"CONCLUÍDA",IF(F1969&lt;='RETRATO 2027'!$K$5,"EM ANDAMENTO","A INICIAR")))</f>
        <v>CONCLUÍDA</v>
      </c>
    </row>
    <row r="1970" customFormat="false" ht="15" hidden="false" customHeight="false" outlineLevel="0" collapsed="false">
      <c r="B1970" s="4" t="n">
        <v>26745153</v>
      </c>
      <c r="C1970" s="4" t="s">
        <v>2814</v>
      </c>
      <c r="D1970" s="4" t="s">
        <v>433</v>
      </c>
      <c r="E1970" s="4" t="s">
        <v>3652</v>
      </c>
      <c r="F1970" s="127" t="n">
        <v>46363</v>
      </c>
      <c r="G1970" s="127" t="n">
        <v>46373</v>
      </c>
      <c r="H1970" s="127" t="n">
        <v>46293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28</v>
      </c>
      <c r="N1970" s="2" t="str">
        <f aca="false"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 t="str">
        <f aca="false">IF(OR(F1970="",G1970=""),"",IF(G1970&lt;='RETRATO 2027'!$K$5,"CONCLUÍDA",IF(F1970&lt;='RETRATO 2027'!$K$5,"EM ANDAMENTO","A INICIAR")))</f>
        <v>CONCLUÍDA</v>
      </c>
    </row>
    <row r="1971" customFormat="false" ht="15" hidden="false" customHeight="false" outlineLevel="0" collapsed="false">
      <c r="B1971" s="4" t="n">
        <v>26743507</v>
      </c>
      <c r="C1971" s="4" t="s">
        <v>2896</v>
      </c>
      <c r="D1971" s="4" t="s">
        <v>433</v>
      </c>
      <c r="E1971" s="4" t="s">
        <v>3706</v>
      </c>
      <c r="F1971" s="127" t="n">
        <v>46363</v>
      </c>
      <c r="G1971" s="127" t="n">
        <v>46373</v>
      </c>
      <c r="H1971" s="127" t="n">
        <v>46293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20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8</v>
      </c>
      <c r="O1971" s="2" t="str">
        <f aca="false">IF(OR(F1971="",G1971=""),"",IF(G1971&lt;='RETRATO 2027'!$K$5,"CONCLUÍDA",IF(F1971&lt;='RETRATO 2027'!$K$5,"EM ANDAMENTO","A INICIAR")))</f>
        <v>CONCLUÍDA</v>
      </c>
    </row>
    <row r="1972" customFormat="false" ht="15" hidden="false" customHeight="false" outlineLevel="0" collapsed="false">
      <c r="B1972" s="4" t="n">
        <v>29844462</v>
      </c>
      <c r="C1972" s="4" t="s">
        <v>2898</v>
      </c>
      <c r="D1972" s="4" t="s">
        <v>433</v>
      </c>
      <c r="E1972" s="4" t="s">
        <v>3706</v>
      </c>
      <c r="F1972" s="127" t="n">
        <v>46363</v>
      </c>
      <c r="G1972" s="127" t="n">
        <v>46372</v>
      </c>
      <c r="H1972" s="127" t="n">
        <v>46293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29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8</v>
      </c>
      <c r="O1972" s="2" t="str">
        <f aca="false">IF(OR(F1972="",G1972=""),"",IF(G1972&lt;='RETRATO 2027'!$K$5,"CONCLUÍDA",IF(F1972&lt;='RETRATO 2027'!$K$5,"EM ANDAMENTO","A INICIAR")))</f>
        <v>CONCLUÍDA</v>
      </c>
    </row>
    <row r="1973" customFormat="false" ht="15" hidden="false" customHeight="false" outlineLevel="0" collapsed="false">
      <c r="B1973" s="4" t="n">
        <v>26743463</v>
      </c>
      <c r="C1973" s="4" t="s">
        <v>2886</v>
      </c>
      <c r="D1973" s="4" t="s">
        <v>433</v>
      </c>
      <c r="E1973" s="4" t="s">
        <v>3716</v>
      </c>
      <c r="F1973" s="127" t="n">
        <v>46363</v>
      </c>
      <c r="G1973" s="127" t="n">
        <v>46373</v>
      </c>
      <c r="H1973" s="127" t="n">
        <v>46293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21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9</v>
      </c>
      <c r="O1973" s="2" t="str">
        <f aca="false">IF(OR(F1973="",G1973=""),"",IF(G1973&lt;='RETRATO 2027'!$K$5,"CONCLUÍDA",IF(F1973&lt;='RETRATO 2027'!$K$5,"EM ANDAMENTO","A INICIAR")))</f>
        <v>CONCLUÍDA</v>
      </c>
    </row>
    <row r="1974" customFormat="false" ht="15" hidden="false" customHeight="false" outlineLevel="0" collapsed="false">
      <c r="B1974" s="4" t="n">
        <v>29844638</v>
      </c>
      <c r="C1974" s="4" t="s">
        <v>2888</v>
      </c>
      <c r="D1974" s="4" t="s">
        <v>433</v>
      </c>
      <c r="E1974" s="4" t="s">
        <v>3716</v>
      </c>
      <c r="F1974" s="127" t="n">
        <v>46363</v>
      </c>
      <c r="G1974" s="127" t="n">
        <v>46373</v>
      </c>
      <c r="H1974" s="127" t="n">
        <v>46293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20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9</v>
      </c>
      <c r="O1974" s="2" t="str">
        <f aca="false">IF(OR(F1974="",G1974=""),"",IF(G1974&lt;='RETRATO 2027'!$K$5,"CONCLUÍDA",IF(F1974&lt;='RETRATO 2027'!$K$5,"EM ANDAMENTO","A INICIAR")))</f>
        <v>CONCLUÍDA</v>
      </c>
    </row>
    <row r="1975" customFormat="false" ht="15" hidden="false" customHeight="false" outlineLevel="0" collapsed="false">
      <c r="B1975" s="4" t="n">
        <v>26743751</v>
      </c>
      <c r="C1975" s="4" t="s">
        <v>2900</v>
      </c>
      <c r="D1975" s="4" t="s">
        <v>433</v>
      </c>
      <c r="E1975" s="4" t="s">
        <v>3375</v>
      </c>
      <c r="F1975" s="127" t="n">
        <v>46365</v>
      </c>
      <c r="G1975" s="127" t="n">
        <v>46441</v>
      </c>
      <c r="H1975" s="127" t="n">
        <v>46293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22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-3</v>
      </c>
      <c r="O1975" s="2" t="str">
        <f aca="false">IF(OR(F1975="",G1975=""),"",IF(G1975&lt;='RETRATO 2027'!$K$5,"CONCLUÍDA",IF(F1975&lt;='RETRATO 2027'!$K$5,"EM ANDAMENTO","A INICIAR")))</f>
        <v>CONCLUÍDA</v>
      </c>
    </row>
    <row r="1976" customFormat="false" ht="15" hidden="false" customHeight="false" outlineLevel="0" collapsed="false">
      <c r="B1976" s="4" t="n">
        <v>29844377</v>
      </c>
      <c r="C1976" s="4" t="s">
        <v>2890</v>
      </c>
      <c r="D1976" s="4" t="s">
        <v>433</v>
      </c>
      <c r="E1976" s="4" t="s">
        <v>3716</v>
      </c>
      <c r="F1976" s="127" t="n">
        <v>46366</v>
      </c>
      <c r="G1976" s="127" t="n">
        <v>46391</v>
      </c>
      <c r="H1976" s="127" t="n">
        <v>46293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18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9</v>
      </c>
      <c r="O1976" s="2" t="str">
        <f aca="false">IF(OR(F1976="",G1976=""),"",IF(G1976&lt;='RETRATO 2027'!$K$5,"CONCLUÍDA",IF(F1976&lt;='RETRATO 2027'!$K$5,"EM ANDAMENTO","A INICIAR")))</f>
        <v>CONCLUÍDA</v>
      </c>
    </row>
    <row r="1977" customFormat="false" ht="15" hidden="false" customHeight="false" outlineLevel="0" collapsed="false">
      <c r="B1977" s="4" t="n">
        <v>26707700</v>
      </c>
      <c r="C1977" s="4" t="s">
        <v>2886</v>
      </c>
      <c r="D1977" s="4" t="s">
        <v>433</v>
      </c>
      <c r="E1977" s="4" t="s">
        <v>3766</v>
      </c>
      <c r="F1977" s="127" t="n">
        <v>46367</v>
      </c>
      <c r="G1977" s="127" t="n">
        <v>46401</v>
      </c>
      <c r="H1977" s="127" t="n">
        <v>46293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21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1</v>
      </c>
      <c r="O1977" s="2" t="str">
        <f aca="false">IF(OR(F1977="",G1977=""),"",IF(G1977&lt;='RETRATO 2027'!$K$5,"CONCLUÍDA",IF(F1977&lt;='RETRATO 2027'!$K$5,"EM ANDAMENTO","A INICIAR")))</f>
        <v>CONCLUÍDA</v>
      </c>
    </row>
    <row r="1978" customFormat="false" ht="15" hidden="false" customHeight="false" outlineLevel="0" collapsed="false">
      <c r="B1978" s="4" t="n">
        <v>26743427</v>
      </c>
      <c r="C1978" s="4" t="s">
        <v>2869</v>
      </c>
      <c r="D1978" s="4" t="s">
        <v>433</v>
      </c>
      <c r="E1978" s="4" t="s">
        <v>3722</v>
      </c>
      <c r="F1978" s="127" t="n">
        <v>46370</v>
      </c>
      <c r="G1978" s="127" t="n">
        <v>46393</v>
      </c>
      <c r="H1978" s="127" t="n">
        <v>46293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>22</v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10</v>
      </c>
      <c r="O1978" s="2" t="str">
        <f aca="false">IF(OR(F1978="",G1978=""),"",IF(G1978&lt;='RETRATO 2027'!$K$5,"CONCLUÍDA",IF(F1978&lt;='RETRATO 2027'!$K$5,"EM ANDAMENTO","A INICIAR")))</f>
        <v>CONCLUÍDA</v>
      </c>
    </row>
    <row r="1979" customFormat="false" ht="15" hidden="false" customHeight="false" outlineLevel="0" collapsed="false">
      <c r="B1979" s="4" t="n">
        <v>26743388</v>
      </c>
      <c r="C1979" s="4" t="s">
        <v>163</v>
      </c>
      <c r="D1979" s="4" t="s">
        <v>433</v>
      </c>
      <c r="E1979" s="4" t="s">
        <v>3762</v>
      </c>
      <c r="F1979" s="127" t="n">
        <v>46370</v>
      </c>
      <c r="G1979" s="127" t="n">
        <v>46393</v>
      </c>
      <c r="H1979" s="127" t="n">
        <v>46293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18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11</v>
      </c>
      <c r="O1979" s="2" t="str">
        <f aca="false">IF(OR(F1979="",G1979=""),"",IF(G1979&lt;='RETRATO 2027'!$K$5,"CONCLUÍDA",IF(F1979&lt;='RETRATO 2027'!$K$5,"EM ANDAMENTO","A INICIAR")))</f>
        <v>CONCLUÍDA</v>
      </c>
    </row>
    <row r="1980" customFormat="false" ht="15" hidden="false" customHeight="false" outlineLevel="0" collapsed="false">
      <c r="B1980" s="4" t="n">
        <v>24939229</v>
      </c>
      <c r="C1980" s="4" t="s">
        <v>2705</v>
      </c>
      <c r="D1980" s="4" t="s">
        <v>433</v>
      </c>
      <c r="E1980" s="4" t="s">
        <v>3773</v>
      </c>
      <c r="F1980" s="127" t="n">
        <v>46370</v>
      </c>
      <c r="G1980" s="127" t="n">
        <v>46392</v>
      </c>
      <c r="H1980" s="127" t="n">
        <v>46293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>17</v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17</v>
      </c>
      <c r="O1980" s="2" t="str">
        <f aca="false">IF(OR(F1980="",G1980=""),"",IF(G1980&lt;='RETRATO 2027'!$K$5,"CONCLUÍDA",IF(F1980&lt;='RETRATO 2027'!$K$5,"EM ANDAMENTO","A INICIAR")))</f>
        <v>CONCLUÍDA</v>
      </c>
    </row>
    <row r="1981" customFormat="false" ht="15" hidden="false" customHeight="false" outlineLevel="0" collapsed="false">
      <c r="B1981" s="4" t="n">
        <v>9360068</v>
      </c>
      <c r="C1981" s="4" t="s">
        <v>2705</v>
      </c>
      <c r="D1981" s="4" t="s">
        <v>3244</v>
      </c>
      <c r="E1981" s="4" t="s">
        <v>3773</v>
      </c>
      <c r="F1981" s="127" t="n">
        <v>46370</v>
      </c>
      <c r="G1981" s="127" t="n">
        <v>46372</v>
      </c>
      <c r="H1981" s="127" t="n">
        <v>46293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17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17</v>
      </c>
      <c r="O1981" s="2" t="str">
        <f aca="false">IF(OR(F1981="",G1981=""),"",IF(G1981&lt;='RETRATO 2027'!$K$5,"CONCLUÍDA",IF(F1981&lt;='RETRATO 2027'!$K$5,"EM ANDAMENTO","A INICIAR")))</f>
        <v>CONCLUÍDA</v>
      </c>
    </row>
    <row r="1982" customFormat="false" ht="15" hidden="false" customHeight="false" outlineLevel="0" collapsed="false">
      <c r="B1982" s="4" t="n">
        <v>9360069</v>
      </c>
      <c r="C1982" s="4" t="s">
        <v>2705</v>
      </c>
      <c r="D1982" s="4" t="s">
        <v>3245</v>
      </c>
      <c r="E1982" s="4" t="s">
        <v>3773</v>
      </c>
      <c r="F1982" s="127" t="n">
        <v>46370</v>
      </c>
      <c r="G1982" s="127" t="n">
        <v>46372</v>
      </c>
      <c r="H1982" s="127" t="n">
        <v>46293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17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17</v>
      </c>
      <c r="O1982" s="2" t="str">
        <f aca="false">IF(OR(F1982="",G1982=""),"",IF(G1982&lt;='RETRATO 2027'!$K$5,"CONCLUÍDA",IF(F1982&lt;='RETRATO 2027'!$K$5,"EM ANDAMENTO","A INICIAR")))</f>
        <v>CONCLUÍDA</v>
      </c>
    </row>
    <row r="1983" customFormat="false" ht="15" hidden="false" customHeight="false" outlineLevel="0" collapsed="false">
      <c r="B1983" s="4" t="n">
        <v>9360070</v>
      </c>
      <c r="C1983" s="4" t="s">
        <v>2705</v>
      </c>
      <c r="D1983" s="4" t="s">
        <v>3246</v>
      </c>
      <c r="E1983" s="4" t="s">
        <v>3773</v>
      </c>
      <c r="F1983" s="127" t="n">
        <v>46371</v>
      </c>
      <c r="G1983" s="127" t="n">
        <v>46373</v>
      </c>
      <c r="H1983" s="127" t="n">
        <v>46293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17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17</v>
      </c>
      <c r="O1983" s="2" t="str">
        <f aca="false">IF(OR(F1983="",G1983=""),"",IF(G1983&lt;='RETRATO 2027'!$K$5,"CONCLUÍDA",IF(F1983&lt;='RETRATO 2027'!$K$5,"EM ANDAMENTO","A INICIAR")))</f>
        <v>CONCLUÍDA</v>
      </c>
    </row>
    <row r="1984" customFormat="false" ht="15" hidden="false" customHeight="false" outlineLevel="0" collapsed="false">
      <c r="B1984" s="4" t="n">
        <v>9360071</v>
      </c>
      <c r="C1984" s="4" t="s">
        <v>2705</v>
      </c>
      <c r="D1984" s="4" t="s">
        <v>3247</v>
      </c>
      <c r="E1984" s="4" t="s">
        <v>3773</v>
      </c>
      <c r="F1984" s="127" t="n">
        <v>46374</v>
      </c>
      <c r="G1984" s="127" t="n">
        <v>46374</v>
      </c>
      <c r="H1984" s="127" t="n">
        <v>46293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17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17</v>
      </c>
      <c r="O1984" s="2" t="str">
        <f aca="false">IF(OR(F1984="",G1984=""),"",IF(G1984&lt;='RETRATO 2027'!$K$5,"CONCLUÍDA",IF(F1984&lt;='RETRATO 2027'!$K$5,"EM ANDAMENTO","A INICIAR")))</f>
        <v>CONCLUÍDA</v>
      </c>
    </row>
    <row r="1985" customFormat="false" ht="15" hidden="false" customHeight="false" outlineLevel="0" collapsed="false">
      <c r="B1985" s="4" t="n">
        <v>9360072</v>
      </c>
      <c r="C1985" s="4" t="s">
        <v>2705</v>
      </c>
      <c r="D1985" s="4" t="s">
        <v>3248</v>
      </c>
      <c r="E1985" s="4" t="s">
        <v>3773</v>
      </c>
      <c r="F1985" s="127" t="n">
        <v>46391</v>
      </c>
      <c r="G1985" s="127" t="n">
        <v>46392</v>
      </c>
      <c r="H1985" s="127" t="n">
        <v>46293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17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17</v>
      </c>
      <c r="O1985" s="2" t="str">
        <f aca="false">IF(OR(F1985="",G1985=""),"",IF(G1985&lt;='RETRATO 2027'!$K$5,"CONCLUÍDA",IF(F1985&lt;='RETRATO 2027'!$K$5,"EM ANDAMENTO","A INICIAR")))</f>
        <v>CONCLUÍDA</v>
      </c>
    </row>
    <row r="1986" customFormat="false" ht="15" hidden="false" customHeight="false" outlineLevel="0" collapsed="false">
      <c r="B1986" s="4" t="n">
        <v>9360073</v>
      </c>
      <c r="C1986" s="4" t="s">
        <v>2705</v>
      </c>
      <c r="D1986" s="4" t="s">
        <v>3249</v>
      </c>
      <c r="E1986" s="4" t="s">
        <v>3773</v>
      </c>
      <c r="F1986" s="127" t="n">
        <v>46392</v>
      </c>
      <c r="G1986" s="127" t="n">
        <v>46392</v>
      </c>
      <c r="H1986" s="127" t="n">
        <v>46293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17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17</v>
      </c>
      <c r="O1986" s="2" t="str">
        <f aca="false">IF(OR(F1986="",G1986=""),"",IF(G1986&lt;='RETRATO 2027'!$K$5,"CONCLUÍDA",IF(F1986&lt;='RETRATO 2027'!$K$5,"EM ANDAMENTO","A INICIAR")))</f>
        <v>CONCLUÍDA</v>
      </c>
    </row>
    <row r="1987" customFormat="false" ht="15" hidden="false" customHeight="false" outlineLevel="0" collapsed="false">
      <c r="B1987" s="4" t="n">
        <v>9360074</v>
      </c>
      <c r="C1987" s="4" t="s">
        <v>2705</v>
      </c>
      <c r="D1987" s="4" t="s">
        <v>3250</v>
      </c>
      <c r="E1987" s="4" t="s">
        <v>3773</v>
      </c>
      <c r="F1987" s="127" t="n">
        <v>46391</v>
      </c>
      <c r="G1987" s="127" t="n">
        <v>46391</v>
      </c>
      <c r="H1987" s="127" t="n">
        <v>46293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17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17</v>
      </c>
      <c r="O1987" s="2" t="str">
        <f aca="false">IF(OR(F1987="",G1987=""),"",IF(G1987&lt;='RETRATO 2027'!$K$5,"CONCLUÍDA",IF(F1987&lt;='RETRATO 2027'!$K$5,"EM ANDAMENTO","A INICIAR")))</f>
        <v>CONCLUÍDA</v>
      </c>
    </row>
    <row r="1988" customFormat="false" ht="15" hidden="false" customHeight="false" outlineLevel="0" collapsed="false">
      <c r="B1988" s="4" t="n">
        <v>9360075</v>
      </c>
      <c r="C1988" s="4" t="s">
        <v>2705</v>
      </c>
      <c r="D1988" s="4" t="s">
        <v>3251</v>
      </c>
      <c r="E1988" s="4" t="s">
        <v>3773</v>
      </c>
      <c r="F1988" s="127" t="n">
        <v>46391</v>
      </c>
      <c r="G1988" s="127" t="n">
        <v>46391</v>
      </c>
      <c r="H1988" s="127" t="n">
        <v>46293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>17</v>
      </c>
      <c r="N1988" s="2" t="n">
        <f aca="false">IF(E1988="","",IF(ISNUMBER(SEARCH("SUBSOLO",E1988)),IFERROR(-VALUE(LEFT(E1988,FIND("º",SUBSTITUTE(E1988,"°","º"))-1)),-1),IF(LEFT(E1988,6)="TÉRREO",0,IFERROR(VALUE(LEFT(E1988,FIND("º",SUBSTITUTE(E1988,"°","º"))-1)),""))))</f>
        <v>17</v>
      </c>
      <c r="O1988" s="2" t="str">
        <f aca="false">IF(OR(F1988="",G1988=""),"",IF(G1988&lt;='RETRATO 2027'!$K$5,"CONCLUÍDA",IF(F1988&lt;='RETRATO 2027'!$K$5,"EM ANDAMENTO","A INICIAR")))</f>
        <v>CONCLUÍDA</v>
      </c>
    </row>
    <row r="1989" customFormat="false" ht="15" hidden="false" customHeight="false" outlineLevel="0" collapsed="false">
      <c r="B1989" s="4" t="n">
        <v>9360076</v>
      </c>
      <c r="C1989" s="4" t="s">
        <v>2705</v>
      </c>
      <c r="D1989" s="4" t="s">
        <v>3252</v>
      </c>
      <c r="E1989" s="4" t="s">
        <v>3773</v>
      </c>
      <c r="F1989" s="127" t="n">
        <v>46392</v>
      </c>
      <c r="G1989" s="127" t="n">
        <v>46392</v>
      </c>
      <c r="H1989" s="127" t="n">
        <v>46293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17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17</v>
      </c>
      <c r="O1989" s="2" t="str">
        <f aca="false">IF(OR(F1989="",G1989=""),"",IF(G1989&lt;='RETRATO 2027'!$K$5,"CONCLUÍDA",IF(F1989&lt;='RETRATO 2027'!$K$5,"EM ANDAMENTO","A INICIAR")))</f>
        <v>CONCLUÍDA</v>
      </c>
    </row>
    <row r="1990" customFormat="false" ht="15" hidden="false" customHeight="false" outlineLevel="0" collapsed="false">
      <c r="B1990" s="4" t="n">
        <v>26743637</v>
      </c>
      <c r="C1990" s="4" t="s">
        <v>2916</v>
      </c>
      <c r="D1990" s="4" t="s">
        <v>433</v>
      </c>
      <c r="E1990" s="4" t="s">
        <v>3668</v>
      </c>
      <c r="F1990" s="127" t="n">
        <v>46371</v>
      </c>
      <c r="G1990" s="127" t="n">
        <v>46392</v>
      </c>
      <c r="H1990" s="127" t="n">
        <v>46293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18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4</v>
      </c>
      <c r="O1990" s="2" t="str">
        <f aca="false">IF(OR(F1990="",G1990=""),"",IF(G1990&lt;='RETRATO 2027'!$K$5,"CONCLUÍDA",IF(F1990&lt;='RETRATO 2027'!$K$5,"EM ANDAMENTO","A INICIAR")))</f>
        <v>CONCLUÍDA</v>
      </c>
    </row>
    <row r="1991" customFormat="false" ht="15" hidden="false" customHeight="false" outlineLevel="0" collapsed="false">
      <c r="B1991" s="4" t="n">
        <v>46323775</v>
      </c>
      <c r="C1991" s="4" t="s">
        <v>2918</v>
      </c>
      <c r="D1991" s="4" t="s">
        <v>433</v>
      </c>
      <c r="E1991" s="4" t="s">
        <v>3774</v>
      </c>
      <c r="F1991" s="127" t="n">
        <v>46373</v>
      </c>
      <c r="G1991" s="127" t="n">
        <v>46407</v>
      </c>
      <c r="H1991" s="127" t="n">
        <v>46293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17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3</v>
      </c>
      <c r="O1991" s="2" t="str">
        <f aca="false">IF(OR(F1991="",G1991=""),"",IF(G1991&lt;='RETRATO 2027'!$K$5,"CONCLUÍDA",IF(F1991&lt;='RETRATO 2027'!$K$5,"EM ANDAMENTO","A INICIAR")))</f>
        <v>CONCLUÍDA</v>
      </c>
    </row>
    <row r="1992" customFormat="false" ht="15" hidden="false" customHeight="false" outlineLevel="0" collapsed="false">
      <c r="B1992" s="4" t="n">
        <v>46323788</v>
      </c>
      <c r="C1992" s="4" t="s">
        <v>2920</v>
      </c>
      <c r="D1992" s="4" t="s">
        <v>433</v>
      </c>
      <c r="E1992" s="4" t="s">
        <v>3774</v>
      </c>
      <c r="F1992" s="127" t="n">
        <v>46373</v>
      </c>
      <c r="G1992" s="127" t="n">
        <v>46407</v>
      </c>
      <c r="H1992" s="127" t="n">
        <v>46293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17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3</v>
      </c>
      <c r="O1992" s="2" t="str">
        <f aca="false">IF(OR(F1992="",G1992=""),"",IF(G1992&lt;='RETRATO 2027'!$K$5,"CONCLUÍDA",IF(F1992&lt;='RETRATO 2027'!$K$5,"EM ANDAMENTO","A INICIAR")))</f>
        <v>CONCLUÍDA</v>
      </c>
    </row>
    <row r="1993" customFormat="false" ht="15" hidden="false" customHeight="false" outlineLevel="0" collapsed="false">
      <c r="B1993" s="4" t="n">
        <v>26743599</v>
      </c>
      <c r="C1993" s="4" t="s">
        <v>2814</v>
      </c>
      <c r="D1993" s="4" t="s">
        <v>433</v>
      </c>
      <c r="E1993" s="4" t="s">
        <v>3678</v>
      </c>
      <c r="F1993" s="127" t="n">
        <v>46373</v>
      </c>
      <c r="G1993" s="127" t="n">
        <v>46394</v>
      </c>
      <c r="H1993" s="127" t="n">
        <v>46293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28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5</v>
      </c>
      <c r="O1993" s="2" t="str">
        <f aca="false">IF(OR(F1993="",G1993=""),"",IF(G1993&lt;='RETRATO 2027'!$K$5,"CONCLUÍDA",IF(F1993&lt;='RETRATO 2027'!$K$5,"EM ANDAMENTO","A INICIAR")))</f>
        <v>CONCLUÍDA</v>
      </c>
    </row>
    <row r="1994" customFormat="false" ht="15" hidden="false" customHeight="false" outlineLevel="0" collapsed="false">
      <c r="B1994" s="4" t="n">
        <v>26743568</v>
      </c>
      <c r="C1994" s="4" t="s">
        <v>2914</v>
      </c>
      <c r="D1994" s="4" t="s">
        <v>433</v>
      </c>
      <c r="E1994" s="4" t="s">
        <v>3685</v>
      </c>
      <c r="F1994" s="127" t="n">
        <v>46373</v>
      </c>
      <c r="G1994" s="127" t="n">
        <v>46398</v>
      </c>
      <c r="H1994" s="127" t="n">
        <v>46293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>21</v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6</v>
      </c>
      <c r="O1994" s="2" t="str">
        <f aca="false">IF(OR(F1994="",G1994=""),"",IF(G1994&lt;='RETRATO 2027'!$K$5,"CONCLUÍDA",IF(F1994&lt;='RETRATO 2027'!$K$5,"EM ANDAMENTO","A INICIAR")))</f>
        <v>CONCLUÍDA</v>
      </c>
    </row>
    <row r="1995" customFormat="false" ht="15" hidden="false" customHeight="false" outlineLevel="0" collapsed="false">
      <c r="B1995" s="4" t="n">
        <v>26743524</v>
      </c>
      <c r="C1995" s="4" t="s">
        <v>2808</v>
      </c>
      <c r="D1995" s="4" t="s">
        <v>433</v>
      </c>
      <c r="E1995" s="4" t="s">
        <v>3686</v>
      </c>
      <c r="F1995" s="127" t="n">
        <v>46373</v>
      </c>
      <c r="G1995" s="127" t="n">
        <v>46398</v>
      </c>
      <c r="H1995" s="127" t="n">
        <v>46293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29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7</v>
      </c>
      <c r="O1995" s="2" t="str">
        <f aca="false">IF(OR(F1995="",G1995=""),"",IF(G1995&lt;='RETRATO 2027'!$K$5,"CONCLUÍDA",IF(F1995&lt;='RETRATO 2027'!$K$5,"EM ANDAMENTO","A INICIAR")))</f>
        <v>CONCLUÍDA</v>
      </c>
    </row>
    <row r="1996" customFormat="false" ht="15" hidden="false" customHeight="false" outlineLevel="0" collapsed="false">
      <c r="B1996" s="4" t="n">
        <v>26743486</v>
      </c>
      <c r="C1996" s="4" t="s">
        <v>2910</v>
      </c>
      <c r="D1996" s="4" t="s">
        <v>433</v>
      </c>
      <c r="E1996" s="4" t="s">
        <v>3706</v>
      </c>
      <c r="F1996" s="127" t="n">
        <v>46373</v>
      </c>
      <c r="G1996" s="127" t="n">
        <v>46398</v>
      </c>
      <c r="H1996" s="127" t="n">
        <v>46293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25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8</v>
      </c>
      <c r="O1996" s="2" t="str">
        <f aca="false">IF(OR(F1996="",G1996=""),"",IF(G1996&lt;='RETRATO 2027'!$K$5,"CONCLUÍDA",IF(F1996&lt;='RETRATO 2027'!$K$5,"EM ANDAMENTO","A INICIAR")))</f>
        <v>CONCLUÍDA</v>
      </c>
    </row>
    <row r="1997" customFormat="false" ht="15" hidden="false" customHeight="false" outlineLevel="0" collapsed="false">
      <c r="B1997" s="4" t="n">
        <v>26745169</v>
      </c>
      <c r="C1997" s="4" t="s">
        <v>2814</v>
      </c>
      <c r="D1997" s="4" t="s">
        <v>433</v>
      </c>
      <c r="E1997" s="4" t="s">
        <v>3770</v>
      </c>
      <c r="F1997" s="127" t="n">
        <v>46374</v>
      </c>
      <c r="G1997" s="127" t="n">
        <v>46399</v>
      </c>
      <c r="H1997" s="127" t="n">
        <v>46293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28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-1</v>
      </c>
      <c r="O1997" s="2" t="str">
        <f aca="false">IF(OR(F1997="",G1997=""),"",IF(G1997&lt;='RETRATO 2027'!$K$5,"CONCLUÍDA",IF(F1997&lt;='RETRATO 2027'!$K$5,"EM ANDAMENTO","A INICIAR")))</f>
        <v>CONCLUÍDA</v>
      </c>
    </row>
    <row r="1998" customFormat="false" ht="15" hidden="false" customHeight="false" outlineLevel="0" collapsed="false">
      <c r="B1998" s="4" t="n">
        <v>26750504</v>
      </c>
      <c r="C1998" s="4" t="s">
        <v>2814</v>
      </c>
      <c r="D1998" s="4" t="s">
        <v>433</v>
      </c>
      <c r="E1998" s="4" t="s">
        <v>3775</v>
      </c>
      <c r="F1998" s="127" t="n">
        <v>46374</v>
      </c>
      <c r="G1998" s="127" t="n">
        <v>46394</v>
      </c>
      <c r="H1998" s="127" t="n">
        <v>46293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28</v>
      </c>
      <c r="N1998" s="2" t="str">
        <f aca="false"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 t="str">
        <f aca="false">IF(OR(F1998="",G1998=""),"",IF(G1998&lt;='RETRATO 2027'!$K$5,"CONCLUÍDA",IF(F1998&lt;='RETRATO 2027'!$K$5,"EM ANDAMENTO","A INICIAR")))</f>
        <v>CONCLUÍDA</v>
      </c>
    </row>
    <row r="1999" customFormat="false" ht="15" hidden="false" customHeight="false" outlineLevel="0" collapsed="false">
      <c r="B1999" s="4" t="n">
        <v>26743470</v>
      </c>
      <c r="C1999" s="4" t="s">
        <v>2896</v>
      </c>
      <c r="D1999" s="4" t="s">
        <v>433</v>
      </c>
      <c r="E1999" s="4" t="s">
        <v>3716</v>
      </c>
      <c r="F1999" s="127" t="n">
        <v>46374</v>
      </c>
      <c r="G1999" s="127" t="n">
        <v>46399</v>
      </c>
      <c r="H1999" s="127" t="n">
        <v>46293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20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9</v>
      </c>
      <c r="O1999" s="2" t="str">
        <f aca="false">IF(OR(F1999="",G1999=""),"",IF(G1999&lt;='RETRATO 2027'!$K$5,"CONCLUÍDA",IF(F1999&lt;='RETRATO 2027'!$K$5,"EM ANDAMENTO","A INICIAR")))</f>
        <v>CONCLUÍDA</v>
      </c>
    </row>
    <row r="2000" customFormat="false" ht="15" hidden="false" customHeight="false" outlineLevel="0" collapsed="false">
      <c r="B2000" s="4" t="n">
        <v>29844463</v>
      </c>
      <c r="C2000" s="4" t="s">
        <v>2898</v>
      </c>
      <c r="D2000" s="4" t="s">
        <v>433</v>
      </c>
      <c r="E2000" s="4" t="s">
        <v>3716</v>
      </c>
      <c r="F2000" s="127" t="n">
        <v>46374</v>
      </c>
      <c r="G2000" s="127" t="n">
        <v>46398</v>
      </c>
      <c r="H2000" s="127" t="n">
        <v>46293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29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9</v>
      </c>
      <c r="O2000" s="2" t="str">
        <f aca="false">IF(OR(F2000="",G2000=""),"",IF(G2000&lt;='RETRATO 2027'!$K$5,"CONCLUÍDA",IF(F2000&lt;='RETRATO 2027'!$K$5,"EM ANDAMENTO","A INICIAR")))</f>
        <v>CONCLUÍDA</v>
      </c>
    </row>
    <row r="2001" customFormat="false" ht="15" hidden="false" customHeight="false" outlineLevel="0" collapsed="false">
      <c r="B2001" s="4" t="n">
        <v>26743426</v>
      </c>
      <c r="C2001" s="4" t="s">
        <v>2886</v>
      </c>
      <c r="D2001" s="4" t="s">
        <v>433</v>
      </c>
      <c r="E2001" s="4" t="s">
        <v>3722</v>
      </c>
      <c r="F2001" s="127" t="n">
        <v>46374</v>
      </c>
      <c r="G2001" s="127" t="n">
        <v>46399</v>
      </c>
      <c r="H2001" s="127" t="n">
        <v>46293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21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10</v>
      </c>
      <c r="O2001" s="2" t="str">
        <f aca="false">IF(OR(F2001="",G2001=""),"",IF(G2001&lt;='RETRATO 2027'!$K$5,"CONCLUÍDA",IF(F2001&lt;='RETRATO 2027'!$K$5,"EM ANDAMENTO","A INICIAR")))</f>
        <v>CONCLUÍDA</v>
      </c>
    </row>
    <row r="2002" customFormat="false" ht="15" hidden="false" customHeight="false" outlineLevel="0" collapsed="false">
      <c r="B2002" s="4" t="n">
        <v>29844639</v>
      </c>
      <c r="C2002" s="4" t="s">
        <v>2888</v>
      </c>
      <c r="D2002" s="4" t="s">
        <v>433</v>
      </c>
      <c r="E2002" s="4" t="s">
        <v>3722</v>
      </c>
      <c r="F2002" s="127" t="n">
        <v>46374</v>
      </c>
      <c r="G2002" s="127" t="n">
        <v>46399</v>
      </c>
      <c r="H2002" s="127" t="n">
        <v>46293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20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10</v>
      </c>
      <c r="O2002" s="2" t="str">
        <f aca="false">IF(OR(F2002="",G2002=""),"",IF(G2002&lt;='RETRATO 2027'!$K$5,"CONCLUÍDA",IF(F2002&lt;='RETRATO 2027'!$K$5,"EM ANDAMENTO","A INICIAR")))</f>
        <v>CONCLUÍDA</v>
      </c>
    </row>
    <row r="2003" customFormat="false" ht="15" hidden="false" customHeight="false" outlineLevel="0" collapsed="false">
      <c r="B2003" s="4" t="n">
        <v>29844378</v>
      </c>
      <c r="C2003" s="4" t="s">
        <v>2890</v>
      </c>
      <c r="D2003" s="4" t="s">
        <v>433</v>
      </c>
      <c r="E2003" s="4" t="s">
        <v>3722</v>
      </c>
      <c r="F2003" s="127" t="n">
        <v>46392</v>
      </c>
      <c r="G2003" s="127" t="n">
        <v>46401</v>
      </c>
      <c r="H2003" s="127" t="n">
        <v>46293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18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10</v>
      </c>
      <c r="O2003" s="2" t="str">
        <f aca="false">IF(OR(F2003="",G2003=""),"",IF(G2003&lt;='RETRATO 2027'!$K$5,"CONCLUÍDA",IF(F2003&lt;='RETRATO 2027'!$K$5,"EM ANDAMENTO","A INICIAR")))</f>
        <v>CONCLUÍDA</v>
      </c>
    </row>
    <row r="2004" customFormat="false" ht="15" hidden="false" customHeight="false" outlineLevel="0" collapsed="false">
      <c r="B2004" s="4" t="n">
        <v>26743620</v>
      </c>
      <c r="C2004" s="4" t="s">
        <v>2922</v>
      </c>
      <c r="D2004" s="4" t="s">
        <v>433</v>
      </c>
      <c r="E2004" s="4" t="s">
        <v>3668</v>
      </c>
      <c r="F2004" s="127" t="n">
        <v>46393</v>
      </c>
      <c r="G2004" s="127" t="n">
        <v>46402</v>
      </c>
      <c r="H2004" s="127" t="n">
        <v>46293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18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4</v>
      </c>
      <c r="O2004" s="2" t="str">
        <f aca="false">IF(OR(F2004="",G2004=""),"",IF(G2004&lt;='RETRATO 2027'!$K$5,"CONCLUÍDA",IF(F2004&lt;='RETRATO 2027'!$K$5,"EM ANDAMENTO","A INICIAR")))</f>
        <v>CONCLUÍDA</v>
      </c>
    </row>
    <row r="2005" customFormat="false" ht="15" hidden="false" customHeight="false" outlineLevel="0" collapsed="false">
      <c r="B2005" s="4" t="n">
        <v>24939190</v>
      </c>
      <c r="C2005" s="4" t="s">
        <v>2705</v>
      </c>
      <c r="D2005" s="4" t="s">
        <v>433</v>
      </c>
      <c r="E2005" s="4" t="s">
        <v>3776</v>
      </c>
      <c r="F2005" s="127" t="n">
        <v>46393</v>
      </c>
      <c r="G2005" s="127" t="n">
        <v>46401</v>
      </c>
      <c r="H2005" s="127" t="n">
        <v>46293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17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18</v>
      </c>
      <c r="O2005" s="2" t="str">
        <f aca="false">IF(OR(F2005="",G2005=""),"",IF(G2005&lt;='RETRATO 2027'!$K$5,"CONCLUÍDA",IF(F2005&lt;='RETRATO 2027'!$K$5,"EM ANDAMENTO","A INICIAR")))</f>
        <v>CONCLUÍDA</v>
      </c>
    </row>
    <row r="2006" customFormat="false" ht="15" hidden="false" customHeight="false" outlineLevel="0" collapsed="false">
      <c r="B2006" s="4" t="n">
        <v>9360059</v>
      </c>
      <c r="C2006" s="4" t="s">
        <v>2705</v>
      </c>
      <c r="D2006" s="4" t="s">
        <v>3244</v>
      </c>
      <c r="E2006" s="4" t="s">
        <v>3776</v>
      </c>
      <c r="F2006" s="127" t="n">
        <v>46393</v>
      </c>
      <c r="G2006" s="127" t="n">
        <v>46395</v>
      </c>
      <c r="H2006" s="127" t="n">
        <v>46293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17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18</v>
      </c>
      <c r="O2006" s="2" t="str">
        <f aca="false">IF(OR(F2006="",G2006=""),"",IF(G2006&lt;='RETRATO 2027'!$K$5,"CONCLUÍDA",IF(F2006&lt;='RETRATO 2027'!$K$5,"EM ANDAMENTO","A INICIAR")))</f>
        <v>CONCLUÍDA</v>
      </c>
    </row>
    <row r="2007" customFormat="false" ht="15" hidden="false" customHeight="false" outlineLevel="0" collapsed="false">
      <c r="B2007" s="4" t="n">
        <v>9360060</v>
      </c>
      <c r="C2007" s="4" t="s">
        <v>2705</v>
      </c>
      <c r="D2007" s="4" t="s">
        <v>3245</v>
      </c>
      <c r="E2007" s="4" t="s">
        <v>3776</v>
      </c>
      <c r="F2007" s="127" t="n">
        <v>46393</v>
      </c>
      <c r="G2007" s="127" t="n">
        <v>46395</v>
      </c>
      <c r="H2007" s="127" t="n">
        <v>46293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17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18</v>
      </c>
      <c r="O2007" s="2" t="str">
        <f aca="false">IF(OR(F2007="",G2007=""),"",IF(G2007&lt;='RETRATO 2027'!$K$5,"CONCLUÍDA",IF(F2007&lt;='RETRATO 2027'!$K$5,"EM ANDAMENTO","A INICIAR")))</f>
        <v>CONCLUÍDA</v>
      </c>
    </row>
    <row r="2008" customFormat="false" ht="15" hidden="false" customHeight="false" outlineLevel="0" collapsed="false">
      <c r="B2008" s="4" t="n">
        <v>9360061</v>
      </c>
      <c r="C2008" s="4" t="s">
        <v>2705</v>
      </c>
      <c r="D2008" s="4" t="s">
        <v>3246</v>
      </c>
      <c r="E2008" s="4" t="s">
        <v>3776</v>
      </c>
      <c r="F2008" s="127" t="n">
        <v>46394</v>
      </c>
      <c r="G2008" s="127" t="n">
        <v>46398</v>
      </c>
      <c r="H2008" s="127" t="n">
        <v>46293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17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18</v>
      </c>
      <c r="O2008" s="2" t="str">
        <f aca="false">IF(OR(F2008="",G2008=""),"",IF(G2008&lt;='RETRATO 2027'!$K$5,"CONCLUÍDA",IF(F2008&lt;='RETRATO 2027'!$K$5,"EM ANDAMENTO","A INICIAR")))</f>
        <v>CONCLUÍDA</v>
      </c>
    </row>
    <row r="2009" customFormat="false" ht="15" hidden="false" customHeight="false" outlineLevel="0" collapsed="false">
      <c r="B2009" s="4" t="n">
        <v>9360062</v>
      </c>
      <c r="C2009" s="4" t="s">
        <v>2705</v>
      </c>
      <c r="D2009" s="4" t="s">
        <v>3247</v>
      </c>
      <c r="E2009" s="4" t="s">
        <v>3776</v>
      </c>
      <c r="F2009" s="127" t="n">
        <v>46399</v>
      </c>
      <c r="G2009" s="127" t="n">
        <v>46399</v>
      </c>
      <c r="H2009" s="127" t="n">
        <v>46293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17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18</v>
      </c>
      <c r="O2009" s="2" t="str">
        <f aca="false">IF(OR(F2009="",G2009=""),"",IF(G2009&lt;='RETRATO 2027'!$K$5,"CONCLUÍDA",IF(F2009&lt;='RETRATO 2027'!$K$5,"EM ANDAMENTO","A INICIAR")))</f>
        <v>CONCLUÍDA</v>
      </c>
    </row>
    <row r="2010" customFormat="false" ht="15" hidden="false" customHeight="false" outlineLevel="0" collapsed="false">
      <c r="B2010" s="4" t="n">
        <v>9360063</v>
      </c>
      <c r="C2010" s="4" t="s">
        <v>2705</v>
      </c>
      <c r="D2010" s="4" t="s">
        <v>3248</v>
      </c>
      <c r="E2010" s="4" t="s">
        <v>3776</v>
      </c>
      <c r="F2010" s="127" t="n">
        <v>46400</v>
      </c>
      <c r="G2010" s="127" t="n">
        <v>46401</v>
      </c>
      <c r="H2010" s="127" t="n">
        <v>46293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17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18</v>
      </c>
      <c r="O2010" s="2" t="str">
        <f aca="false">IF(OR(F2010="",G2010=""),"",IF(G2010&lt;='RETRATO 2027'!$K$5,"CONCLUÍDA",IF(F2010&lt;='RETRATO 2027'!$K$5,"EM ANDAMENTO","A INICIAR")))</f>
        <v>CONCLUÍDA</v>
      </c>
    </row>
    <row r="2011" customFormat="false" ht="15" hidden="false" customHeight="false" outlineLevel="0" collapsed="false">
      <c r="B2011" s="4" t="n">
        <v>9360064</v>
      </c>
      <c r="C2011" s="4" t="s">
        <v>2705</v>
      </c>
      <c r="D2011" s="4" t="s">
        <v>3249</v>
      </c>
      <c r="E2011" s="4" t="s">
        <v>3776</v>
      </c>
      <c r="F2011" s="127" t="n">
        <v>46401</v>
      </c>
      <c r="G2011" s="127" t="n">
        <v>46401</v>
      </c>
      <c r="H2011" s="127" t="n">
        <v>46293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17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18</v>
      </c>
      <c r="O2011" s="2" t="str">
        <f aca="false">IF(OR(F2011="",G2011=""),"",IF(G2011&lt;='RETRATO 2027'!$K$5,"CONCLUÍDA",IF(F2011&lt;='RETRATO 2027'!$K$5,"EM ANDAMENTO","A INICIAR")))</f>
        <v>CONCLUÍDA</v>
      </c>
    </row>
    <row r="2012" customFormat="false" ht="15" hidden="false" customHeight="false" outlineLevel="0" collapsed="false">
      <c r="B2012" s="4" t="n">
        <v>9360065</v>
      </c>
      <c r="C2012" s="4" t="s">
        <v>2705</v>
      </c>
      <c r="D2012" s="4" t="s">
        <v>3250</v>
      </c>
      <c r="E2012" s="4" t="s">
        <v>3776</v>
      </c>
      <c r="F2012" s="127" t="n">
        <v>46400</v>
      </c>
      <c r="G2012" s="127" t="n">
        <v>46400</v>
      </c>
      <c r="H2012" s="127" t="n">
        <v>46293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17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18</v>
      </c>
      <c r="O2012" s="2" t="str">
        <f aca="false">IF(OR(F2012="",G2012=""),"",IF(G2012&lt;='RETRATO 2027'!$K$5,"CONCLUÍDA",IF(F2012&lt;='RETRATO 2027'!$K$5,"EM ANDAMENTO","A INICIAR")))</f>
        <v>CONCLUÍDA</v>
      </c>
    </row>
    <row r="2013" customFormat="false" ht="15" hidden="false" customHeight="false" outlineLevel="0" collapsed="false">
      <c r="B2013" s="4" t="n">
        <v>9360066</v>
      </c>
      <c r="C2013" s="4" t="s">
        <v>2705</v>
      </c>
      <c r="D2013" s="4" t="s">
        <v>3251</v>
      </c>
      <c r="E2013" s="4" t="s">
        <v>3776</v>
      </c>
      <c r="F2013" s="127" t="n">
        <v>46400</v>
      </c>
      <c r="G2013" s="127" t="n">
        <v>46400</v>
      </c>
      <c r="H2013" s="127" t="n">
        <v>46293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17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18</v>
      </c>
      <c r="O2013" s="2" t="str">
        <f aca="false">IF(OR(F2013="",G2013=""),"",IF(G2013&lt;='RETRATO 2027'!$K$5,"CONCLUÍDA",IF(F2013&lt;='RETRATO 2027'!$K$5,"EM ANDAMENTO","A INICIAR")))</f>
        <v>CONCLUÍDA</v>
      </c>
    </row>
    <row r="2014" customFormat="false" ht="15" hidden="false" customHeight="false" outlineLevel="0" collapsed="false">
      <c r="B2014" s="4" t="n">
        <v>9360067</v>
      </c>
      <c r="C2014" s="4" t="s">
        <v>2705</v>
      </c>
      <c r="D2014" s="4" t="s">
        <v>3252</v>
      </c>
      <c r="E2014" s="4" t="s">
        <v>3776</v>
      </c>
      <c r="F2014" s="127" t="n">
        <v>46401</v>
      </c>
      <c r="G2014" s="127" t="n">
        <v>46401</v>
      </c>
      <c r="H2014" s="127" t="n">
        <v>46293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>17</v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18</v>
      </c>
      <c r="O2014" s="2" t="str">
        <f aca="false">IF(OR(F2014="",G2014=""),"",IF(G2014&lt;='RETRATO 2027'!$K$5,"CONCLUÍDA",IF(F2014&lt;='RETRATO 2027'!$K$5,"EM ANDAMENTO","A INICIAR")))</f>
        <v>CONCLUÍDA</v>
      </c>
    </row>
    <row r="2015" customFormat="false" ht="15" hidden="false" customHeight="false" outlineLevel="0" collapsed="false">
      <c r="B2015" s="4" t="n">
        <v>26743390</v>
      </c>
      <c r="C2015" s="4" t="s">
        <v>2869</v>
      </c>
      <c r="D2015" s="4" t="s">
        <v>433</v>
      </c>
      <c r="E2015" s="4" t="s">
        <v>3762</v>
      </c>
      <c r="F2015" s="127" t="n">
        <v>46394</v>
      </c>
      <c r="G2015" s="127" t="n">
        <v>46405</v>
      </c>
      <c r="H2015" s="127" t="n">
        <v>46293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>22</v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11</v>
      </c>
      <c r="O2015" s="2" t="str">
        <f aca="false">IF(OR(F2015="",G2015=""),"",IF(G2015&lt;='RETRATO 2027'!$K$5,"CONCLUÍDA",IF(F2015&lt;='RETRATO 2027'!$K$5,"EM ANDAMENTO","A INICIAR")))</f>
        <v>CONCLUÍDA</v>
      </c>
    </row>
    <row r="2016" customFormat="false" ht="15" hidden="false" customHeight="false" outlineLevel="0" collapsed="false">
      <c r="B2016" s="4" t="n">
        <v>26743351</v>
      </c>
      <c r="C2016" s="4" t="s">
        <v>163</v>
      </c>
      <c r="D2016" s="4" t="s">
        <v>433</v>
      </c>
      <c r="E2016" s="4" t="s">
        <v>3763</v>
      </c>
      <c r="F2016" s="127" t="n">
        <v>46394</v>
      </c>
      <c r="G2016" s="127" t="n">
        <v>46405</v>
      </c>
      <c r="H2016" s="127" t="n">
        <v>46293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18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12</v>
      </c>
      <c r="O2016" s="2" t="str">
        <f aca="false">IF(OR(F2016="",G2016=""),"",IF(G2016&lt;='RETRATO 2027'!$K$5,"CONCLUÍDA",IF(F2016&lt;='RETRATO 2027'!$K$5,"EM ANDAMENTO","A INICIAR")))</f>
        <v>CONCLUÍDA</v>
      </c>
    </row>
    <row r="2017" customFormat="false" ht="15" hidden="false" customHeight="false" outlineLevel="0" collapsed="false">
      <c r="B2017" s="4" t="n">
        <v>26743600</v>
      </c>
      <c r="C2017" s="4" t="s">
        <v>2916</v>
      </c>
      <c r="D2017" s="4" t="s">
        <v>433</v>
      </c>
      <c r="E2017" s="4" t="s">
        <v>3678</v>
      </c>
      <c r="F2017" s="127" t="n">
        <v>46395</v>
      </c>
      <c r="G2017" s="127" t="n">
        <v>46402</v>
      </c>
      <c r="H2017" s="127" t="n">
        <v>46293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>18</v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5</v>
      </c>
      <c r="O2017" s="2" t="str">
        <f aca="false">IF(OR(F2017="",G2017=""),"",IF(G2017&lt;='RETRATO 2027'!$K$5,"CONCLUÍDA",IF(F2017&lt;='RETRATO 2027'!$K$5,"EM ANDAMENTO","A INICIAR")))</f>
        <v>CONCLUÍDA</v>
      </c>
    </row>
    <row r="2018" customFormat="false" ht="15" hidden="false" customHeight="false" outlineLevel="0" collapsed="false">
      <c r="B2018" s="4" t="n">
        <v>36118601</v>
      </c>
      <c r="C2018" s="4" t="s">
        <v>2848</v>
      </c>
      <c r="D2018" s="4" t="s">
        <v>433</v>
      </c>
      <c r="E2018" s="4" t="s">
        <v>3482</v>
      </c>
      <c r="F2018" s="127" t="n">
        <v>46398</v>
      </c>
      <c r="G2018" s="127" t="n">
        <v>46416</v>
      </c>
      <c r="H2018" s="127" t="n">
        <v>46293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26</v>
      </c>
      <c r="N2018" s="2" t="str">
        <f aca="false"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 t="str">
        <f aca="false">IF(OR(F2018="",G2018=""),"",IF(G2018&lt;='RETRATO 2027'!$K$5,"CONCLUÍDA",IF(F2018&lt;='RETRATO 2027'!$K$5,"EM ANDAMENTO","A INICIAR")))</f>
        <v>CONCLUÍDA</v>
      </c>
    </row>
    <row r="2019" customFormat="false" ht="15" hidden="false" customHeight="false" outlineLevel="0" collapsed="false">
      <c r="B2019" s="4" t="n">
        <v>26707683</v>
      </c>
      <c r="C2019" s="4" t="s">
        <v>2869</v>
      </c>
      <c r="D2019" s="4" t="s">
        <v>433</v>
      </c>
      <c r="E2019" s="4" t="s">
        <v>3772</v>
      </c>
      <c r="F2019" s="127" t="n">
        <v>46398</v>
      </c>
      <c r="G2019" s="127" t="n">
        <v>46416</v>
      </c>
      <c r="H2019" s="127" t="n">
        <v>46293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22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1</v>
      </c>
      <c r="O2019" s="2" t="str">
        <f aca="false">IF(OR(F2019="",G2019=""),"",IF(G2019&lt;='RETRATO 2027'!$K$5,"CONCLUÍDA",IF(F2019&lt;='RETRATO 2027'!$K$5,"EM ANDAMENTO","A INICIAR")))</f>
        <v>CONCLUÍDA</v>
      </c>
    </row>
    <row r="2020" customFormat="false" ht="15" hidden="false" customHeight="false" outlineLevel="0" collapsed="false">
      <c r="B2020" s="4" t="n">
        <v>26707663</v>
      </c>
      <c r="C2020" s="4" t="s">
        <v>163</v>
      </c>
      <c r="D2020" s="4" t="s">
        <v>433</v>
      </c>
      <c r="E2020" s="4" t="s">
        <v>3777</v>
      </c>
      <c r="F2020" s="127" t="n">
        <v>46398</v>
      </c>
      <c r="G2020" s="127" t="n">
        <v>46427</v>
      </c>
      <c r="H2020" s="127" t="n">
        <v>46293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18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1</v>
      </c>
      <c r="O2020" s="2" t="str">
        <f aca="false">IF(OR(F2020="",G2020=""),"",IF(G2020&lt;='RETRATO 2027'!$K$5,"CONCLUÍDA",IF(F2020&lt;='RETRATO 2027'!$K$5,"EM ANDAMENTO","A INICIAR")))</f>
        <v>CONCLUÍDA</v>
      </c>
    </row>
    <row r="2021" customFormat="false" ht="15" hidden="false" customHeight="false" outlineLevel="0" collapsed="false">
      <c r="B2021" s="4" t="n">
        <v>29844626</v>
      </c>
      <c r="C2021" s="4" t="s">
        <v>2888</v>
      </c>
      <c r="D2021" s="4" t="s">
        <v>433</v>
      </c>
      <c r="E2021" s="4" t="s">
        <v>3375</v>
      </c>
      <c r="F2021" s="127" t="n">
        <v>46399</v>
      </c>
      <c r="G2021" s="127" t="n">
        <v>46408</v>
      </c>
      <c r="H2021" s="127" t="n">
        <v>46293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20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-3</v>
      </c>
      <c r="O2021" s="2" t="str">
        <f aca="false">IF(OR(F2021="",G2021=""),"",IF(G2021&lt;='RETRATO 2027'!$K$5,"CONCLUÍDA",IF(F2021&lt;='RETRATO 2027'!$K$5,"EM ANDAMENTO","A INICIAR")))</f>
        <v>CONCLUÍDA</v>
      </c>
    </row>
    <row r="2022" customFormat="false" ht="15" hidden="false" customHeight="false" outlineLevel="0" collapsed="false">
      <c r="B2022" s="4" t="n">
        <v>26743562</v>
      </c>
      <c r="C2022" s="4" t="s">
        <v>2814</v>
      </c>
      <c r="D2022" s="4" t="s">
        <v>433</v>
      </c>
      <c r="E2022" s="4" t="s">
        <v>3685</v>
      </c>
      <c r="F2022" s="127" t="n">
        <v>46399</v>
      </c>
      <c r="G2022" s="127" t="n">
        <v>46406</v>
      </c>
      <c r="H2022" s="127" t="n">
        <v>46293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28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6</v>
      </c>
      <c r="O2022" s="2" t="str">
        <f aca="false">IF(OR(F2022="",G2022=""),"",IF(G2022&lt;='RETRATO 2027'!$K$5,"CONCLUÍDA",IF(F2022&lt;='RETRATO 2027'!$K$5,"EM ANDAMENTO","A INICIAR")))</f>
        <v>CONCLUÍDA</v>
      </c>
    </row>
    <row r="2023" customFormat="false" ht="15" hidden="false" customHeight="false" outlineLevel="0" collapsed="false">
      <c r="B2023" s="4" t="n">
        <v>26743531</v>
      </c>
      <c r="C2023" s="4" t="s">
        <v>2914</v>
      </c>
      <c r="D2023" s="4" t="s">
        <v>433</v>
      </c>
      <c r="E2023" s="4" t="s">
        <v>3686</v>
      </c>
      <c r="F2023" s="127" t="n">
        <v>46399</v>
      </c>
      <c r="G2023" s="127" t="n">
        <v>46408</v>
      </c>
      <c r="H2023" s="127" t="n">
        <v>46293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21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7</v>
      </c>
      <c r="O2023" s="2" t="str">
        <f aca="false">IF(OR(F2023="",G2023=""),"",IF(G2023&lt;='RETRATO 2027'!$K$5,"CONCLUÍDA",IF(F2023&lt;='RETRATO 2027'!$K$5,"EM ANDAMENTO","A INICIAR")))</f>
        <v>CONCLUÍDA</v>
      </c>
    </row>
    <row r="2024" customFormat="false" ht="15" hidden="false" customHeight="false" outlineLevel="0" collapsed="false">
      <c r="B2024" s="4" t="n">
        <v>26743487</v>
      </c>
      <c r="C2024" s="4" t="s">
        <v>2808</v>
      </c>
      <c r="D2024" s="4" t="s">
        <v>433</v>
      </c>
      <c r="E2024" s="4" t="s">
        <v>3706</v>
      </c>
      <c r="F2024" s="127" t="n">
        <v>46399</v>
      </c>
      <c r="G2024" s="127" t="n">
        <v>46408</v>
      </c>
      <c r="H2024" s="127" t="n">
        <v>46293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29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8</v>
      </c>
      <c r="O2024" s="2" t="str">
        <f aca="false">IF(OR(F2024="",G2024=""),"",IF(G2024&lt;='RETRATO 2027'!$K$5,"CONCLUÍDA",IF(F2024&lt;='RETRATO 2027'!$K$5,"EM ANDAMENTO","A INICIAR")))</f>
        <v>CONCLUÍDA</v>
      </c>
    </row>
    <row r="2025" customFormat="false" ht="15" hidden="false" customHeight="false" outlineLevel="0" collapsed="false">
      <c r="B2025" s="4" t="n">
        <v>26743449</v>
      </c>
      <c r="C2025" s="4" t="s">
        <v>2910</v>
      </c>
      <c r="D2025" s="4" t="s">
        <v>433</v>
      </c>
      <c r="E2025" s="4" t="s">
        <v>3716</v>
      </c>
      <c r="F2025" s="127" t="n">
        <v>46399</v>
      </c>
      <c r="G2025" s="127" t="n">
        <v>46408</v>
      </c>
      <c r="H2025" s="127" t="n">
        <v>46293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25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9</v>
      </c>
      <c r="O2025" s="2" t="str">
        <f aca="false">IF(OR(F2025="",G2025=""),"",IF(G2025&lt;='RETRATO 2027'!$K$5,"CONCLUÍDA",IF(F2025&lt;='RETRATO 2027'!$K$5,"EM ANDAMENTO","A INICIAR")))</f>
        <v>CONCLUÍDA</v>
      </c>
    </row>
    <row r="2026" customFormat="false" ht="15" hidden="false" customHeight="false" outlineLevel="0" collapsed="false">
      <c r="B2026" s="4" t="n">
        <v>26750537</v>
      </c>
      <c r="C2026" s="4" t="s">
        <v>2814</v>
      </c>
      <c r="D2026" s="4" t="s">
        <v>433</v>
      </c>
      <c r="E2026" s="4" t="s">
        <v>3778</v>
      </c>
      <c r="F2026" s="127" t="n">
        <v>46400</v>
      </c>
      <c r="G2026" s="127" t="n">
        <v>46406</v>
      </c>
      <c r="H2026" s="127" t="n">
        <v>46293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>28</v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-2</v>
      </c>
      <c r="O2026" s="2" t="str">
        <f aca="false">IF(OR(F2026="",G2026=""),"",IF(G2026&lt;='RETRATO 2027'!$K$5,"CONCLUÍDA",IF(F2026&lt;='RETRATO 2027'!$K$5,"EM ANDAMENTO","A INICIAR")))</f>
        <v>CONCLUÍDA</v>
      </c>
    </row>
    <row r="2027" customFormat="false" ht="15" hidden="false" customHeight="false" outlineLevel="0" collapsed="false">
      <c r="B2027" s="4" t="n">
        <v>26743699</v>
      </c>
      <c r="C2027" s="4" t="s">
        <v>77</v>
      </c>
      <c r="D2027" s="4" t="s">
        <v>433</v>
      </c>
      <c r="E2027" s="4" t="s">
        <v>3482</v>
      </c>
      <c r="F2027" s="127" t="n">
        <v>46400</v>
      </c>
      <c r="G2027" s="127" t="n">
        <v>46464</v>
      </c>
      <c r="H2027" s="127" t="n">
        <v>46293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20</v>
      </c>
      <c r="N2027" s="2" t="str">
        <f aca="false"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 t="str">
        <f aca="false">IF(OR(F2027="",G2027=""),"",IF(G2027&lt;='RETRATO 2027'!$K$5,"CONCLUÍDA",IF(F2027&lt;='RETRATO 2027'!$K$5,"EM ANDAMENTO","A INICIAR")))</f>
        <v>CONCLUÍDA</v>
      </c>
    </row>
    <row r="2028" customFormat="false" ht="15" hidden="false" customHeight="false" outlineLevel="0" collapsed="false">
      <c r="B2028" s="4" t="n">
        <v>26743703</v>
      </c>
      <c r="C2028" s="4" t="s">
        <v>2829</v>
      </c>
      <c r="D2028" s="4" t="s">
        <v>433</v>
      </c>
      <c r="E2028" s="4" t="s">
        <v>3482</v>
      </c>
      <c r="F2028" s="127" t="n">
        <v>46400</v>
      </c>
      <c r="G2028" s="127" t="n">
        <v>46434</v>
      </c>
      <c r="H2028" s="127" t="n">
        <v>46293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21</v>
      </c>
      <c r="N2028" s="2" t="str">
        <f aca="false"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 t="str">
        <f aca="false">IF(OR(F2028="",G2028=""),"",IF(G2028&lt;='RETRATO 2027'!$K$5,"CONCLUÍDA",IF(F2028&lt;='RETRATO 2027'!$K$5,"EM ANDAMENTO","A INICIAR")))</f>
        <v>CONCLUÍDA</v>
      </c>
    </row>
    <row r="2029" customFormat="false" ht="15" hidden="false" customHeight="false" outlineLevel="0" collapsed="false">
      <c r="B2029" s="4" t="n">
        <v>26743700</v>
      </c>
      <c r="C2029" s="4" t="s">
        <v>177</v>
      </c>
      <c r="D2029" s="4" t="s">
        <v>433</v>
      </c>
      <c r="E2029" s="4" t="s">
        <v>3482</v>
      </c>
      <c r="F2029" s="127" t="n">
        <v>46400</v>
      </c>
      <c r="G2029" s="127" t="n">
        <v>46464</v>
      </c>
      <c r="H2029" s="127" t="n">
        <v>46293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23</v>
      </c>
      <c r="N2029" s="2" t="str">
        <f aca="false"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 t="str">
        <f aca="false">IF(OR(F2029="",G2029=""),"",IF(G2029&lt;='RETRATO 2027'!$K$5,"CONCLUÍDA",IF(F2029&lt;='RETRATO 2027'!$K$5,"EM ANDAMENTO","A INICIAR")))</f>
        <v>CONCLUÍDA</v>
      </c>
    </row>
    <row r="2030" customFormat="false" ht="15" hidden="false" customHeight="false" outlineLevel="0" collapsed="false">
      <c r="B2030" s="4" t="n">
        <v>26743433</v>
      </c>
      <c r="C2030" s="4" t="s">
        <v>2896</v>
      </c>
      <c r="D2030" s="4" t="s">
        <v>433</v>
      </c>
      <c r="E2030" s="4" t="s">
        <v>3722</v>
      </c>
      <c r="F2030" s="127" t="n">
        <v>46400</v>
      </c>
      <c r="G2030" s="127" t="n">
        <v>46409</v>
      </c>
      <c r="H2030" s="127" t="n">
        <v>46293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20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10</v>
      </c>
      <c r="O2030" s="2" t="str">
        <f aca="false">IF(OR(F2030="",G2030=""),"",IF(G2030&lt;='RETRATO 2027'!$K$5,"CONCLUÍDA",IF(F2030&lt;='RETRATO 2027'!$K$5,"EM ANDAMENTO","A INICIAR")))</f>
        <v>CONCLUÍDA</v>
      </c>
    </row>
    <row r="2031" customFormat="false" ht="15" hidden="false" customHeight="false" outlineLevel="0" collapsed="false">
      <c r="B2031" s="4" t="n">
        <v>29844464</v>
      </c>
      <c r="C2031" s="4" t="s">
        <v>2898</v>
      </c>
      <c r="D2031" s="4" t="s">
        <v>433</v>
      </c>
      <c r="E2031" s="4" t="s">
        <v>3722</v>
      </c>
      <c r="F2031" s="127" t="n">
        <v>46400</v>
      </c>
      <c r="G2031" s="127" t="n">
        <v>46408</v>
      </c>
      <c r="H2031" s="127" t="n">
        <v>46293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29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10</v>
      </c>
      <c r="O2031" s="2" t="str">
        <f aca="false">IF(OR(F2031="",G2031=""),"",IF(G2031&lt;='RETRATO 2027'!$K$5,"CONCLUÍDA",IF(F2031&lt;='RETRATO 2027'!$K$5,"EM ANDAMENTO","A INICIAR")))</f>
        <v>CONCLUÍDA</v>
      </c>
    </row>
    <row r="2032" customFormat="false" ht="15" hidden="false" customHeight="false" outlineLevel="0" collapsed="false">
      <c r="B2032" s="4" t="n">
        <v>26743389</v>
      </c>
      <c r="C2032" s="4" t="s">
        <v>2886</v>
      </c>
      <c r="D2032" s="4" t="s">
        <v>433</v>
      </c>
      <c r="E2032" s="4" t="s">
        <v>3762</v>
      </c>
      <c r="F2032" s="127" t="n">
        <v>46400</v>
      </c>
      <c r="G2032" s="127" t="n">
        <v>46409</v>
      </c>
      <c r="H2032" s="127" t="n">
        <v>46293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21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11</v>
      </c>
      <c r="O2032" s="2" t="str">
        <f aca="false">IF(OR(F2032="",G2032=""),"",IF(G2032&lt;='RETRATO 2027'!$K$5,"CONCLUÍDA",IF(F2032&lt;='RETRATO 2027'!$K$5,"EM ANDAMENTO","A INICIAR")))</f>
        <v>CONCLUÍDA</v>
      </c>
    </row>
    <row r="2033" customFormat="false" ht="15" hidden="false" customHeight="false" outlineLevel="0" collapsed="false">
      <c r="B2033" s="4" t="n">
        <v>29844640</v>
      </c>
      <c r="C2033" s="4" t="s">
        <v>2888</v>
      </c>
      <c r="D2033" s="4" t="s">
        <v>433</v>
      </c>
      <c r="E2033" s="4" t="s">
        <v>3762</v>
      </c>
      <c r="F2033" s="127" t="n">
        <v>46400</v>
      </c>
      <c r="G2033" s="127" t="n">
        <v>46409</v>
      </c>
      <c r="H2033" s="127" t="n">
        <v>46293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20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11</v>
      </c>
      <c r="O2033" s="2" t="str">
        <f aca="false">IF(OR(F2033="",G2033=""),"",IF(G2033&lt;='RETRATO 2027'!$K$5,"CONCLUÍDA",IF(F2033&lt;='RETRATO 2027'!$K$5,"EM ANDAMENTO","A INICIAR")))</f>
        <v>CONCLUÍDA</v>
      </c>
    </row>
    <row r="2034" customFormat="false" ht="15" hidden="false" customHeight="false" outlineLevel="0" collapsed="false">
      <c r="B2034" s="4" t="n">
        <v>26707705</v>
      </c>
      <c r="C2034" s="4" t="s">
        <v>2808</v>
      </c>
      <c r="D2034" s="4" t="s">
        <v>433</v>
      </c>
      <c r="E2034" s="4" t="s">
        <v>3766</v>
      </c>
      <c r="F2034" s="127" t="n">
        <v>46402</v>
      </c>
      <c r="G2034" s="127" t="n">
        <v>46422</v>
      </c>
      <c r="H2034" s="127" t="n">
        <v>46293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29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</v>
      </c>
      <c r="O2034" s="2" t="str">
        <f aca="false">IF(OR(F2034="",G2034=""),"",IF(G2034&lt;='RETRATO 2027'!$K$5,"CONCLUÍDA",IF(F2034&lt;='RETRATO 2027'!$K$5,"EM ANDAMENTO","A INICIAR")))</f>
        <v>CONCLUÍDA</v>
      </c>
    </row>
    <row r="2035" customFormat="false" ht="15" hidden="false" customHeight="false" outlineLevel="0" collapsed="false">
      <c r="B2035" s="4" t="n">
        <v>26707682</v>
      </c>
      <c r="C2035" s="4" t="s">
        <v>2886</v>
      </c>
      <c r="D2035" s="4" t="s">
        <v>433</v>
      </c>
      <c r="E2035" s="4" t="s">
        <v>3772</v>
      </c>
      <c r="F2035" s="127" t="n">
        <v>46402</v>
      </c>
      <c r="G2035" s="127" t="n">
        <v>46422</v>
      </c>
      <c r="H2035" s="127" t="n">
        <v>46293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>21</v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1</v>
      </c>
      <c r="O2035" s="2" t="str">
        <f aca="false">IF(OR(F2035="",G2035=""),"",IF(G2035&lt;='RETRATO 2027'!$K$5,"CONCLUÍDA",IF(F2035&lt;='RETRATO 2027'!$K$5,"EM ANDAMENTO","A INICIAR")))</f>
        <v>CONCLUÍDA</v>
      </c>
    </row>
    <row r="2036" customFormat="false" ht="15" hidden="false" customHeight="false" outlineLevel="0" collapsed="false">
      <c r="B2036" s="4" t="n">
        <v>29844379</v>
      </c>
      <c r="C2036" s="4" t="s">
        <v>2890</v>
      </c>
      <c r="D2036" s="4" t="s">
        <v>433</v>
      </c>
      <c r="E2036" s="4" t="s">
        <v>3762</v>
      </c>
      <c r="F2036" s="127" t="n">
        <v>46402</v>
      </c>
      <c r="G2036" s="127" t="n">
        <v>46413</v>
      </c>
      <c r="H2036" s="127" t="n">
        <v>46293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18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11</v>
      </c>
      <c r="O2036" s="2" t="str">
        <f aca="false">IF(OR(F2036="",G2036=""),"",IF(G2036&lt;='RETRATO 2027'!$K$5,"CONCLUÍDA",IF(F2036&lt;='RETRATO 2027'!$K$5,"EM ANDAMENTO","A INICIAR")))</f>
        <v>CONCLUÍDA</v>
      </c>
    </row>
    <row r="2037" customFormat="false" ht="15" hidden="false" customHeight="false" outlineLevel="0" collapsed="false">
      <c r="B2037" s="4" t="n">
        <v>24939151</v>
      </c>
      <c r="C2037" s="4" t="s">
        <v>2705</v>
      </c>
      <c r="D2037" s="4" t="s">
        <v>433</v>
      </c>
      <c r="E2037" s="4" t="s">
        <v>3779</v>
      </c>
      <c r="F2037" s="127" t="n">
        <v>46402</v>
      </c>
      <c r="G2037" s="127" t="n">
        <v>46412</v>
      </c>
      <c r="H2037" s="127" t="n">
        <v>46293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17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19</v>
      </c>
      <c r="O2037" s="2" t="str">
        <f aca="false">IF(OR(F2037="",G2037=""),"",IF(G2037&lt;='RETRATO 2027'!$K$5,"CONCLUÍDA",IF(F2037&lt;='RETRATO 2027'!$K$5,"EM ANDAMENTO","A INICIAR")))</f>
        <v>CONCLUÍDA</v>
      </c>
    </row>
    <row r="2038" customFormat="false" ht="15" hidden="false" customHeight="false" outlineLevel="0" collapsed="false">
      <c r="B2038" s="4" t="n">
        <v>9360050</v>
      </c>
      <c r="C2038" s="4" t="s">
        <v>2705</v>
      </c>
      <c r="D2038" s="4" t="s">
        <v>3244</v>
      </c>
      <c r="E2038" s="4" t="s">
        <v>3779</v>
      </c>
      <c r="F2038" s="127" t="n">
        <v>46402</v>
      </c>
      <c r="G2038" s="127" t="n">
        <v>46406</v>
      </c>
      <c r="H2038" s="127" t="n">
        <v>46293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>17</v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19</v>
      </c>
      <c r="O2038" s="2" t="str">
        <f aca="false">IF(OR(F2038="",G2038=""),"",IF(G2038&lt;='RETRATO 2027'!$K$5,"CONCLUÍDA",IF(F2038&lt;='RETRATO 2027'!$K$5,"EM ANDAMENTO","A INICIAR")))</f>
        <v>CONCLUÍDA</v>
      </c>
    </row>
    <row r="2039" customFormat="false" ht="15" hidden="false" customHeight="false" outlineLevel="0" collapsed="false">
      <c r="B2039" s="4" t="n">
        <v>9360051</v>
      </c>
      <c r="C2039" s="4" t="s">
        <v>2705</v>
      </c>
      <c r="D2039" s="4" t="s">
        <v>3245</v>
      </c>
      <c r="E2039" s="4" t="s">
        <v>3779</v>
      </c>
      <c r="F2039" s="127" t="n">
        <v>46402</v>
      </c>
      <c r="G2039" s="127" t="n">
        <v>46406</v>
      </c>
      <c r="H2039" s="127" t="n">
        <v>46293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17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19</v>
      </c>
      <c r="O2039" s="2" t="str">
        <f aca="false">IF(OR(F2039="",G2039=""),"",IF(G2039&lt;='RETRATO 2027'!$K$5,"CONCLUÍDA",IF(F2039&lt;='RETRATO 2027'!$K$5,"EM ANDAMENTO","A INICIAR")))</f>
        <v>CONCLUÍDA</v>
      </c>
    </row>
    <row r="2040" customFormat="false" ht="15" hidden="false" customHeight="false" outlineLevel="0" collapsed="false">
      <c r="B2040" s="4" t="n">
        <v>9360052</v>
      </c>
      <c r="C2040" s="4" t="s">
        <v>2705</v>
      </c>
      <c r="D2040" s="4" t="s">
        <v>3246</v>
      </c>
      <c r="E2040" s="4" t="s">
        <v>3779</v>
      </c>
      <c r="F2040" s="127" t="n">
        <v>46405</v>
      </c>
      <c r="G2040" s="127" t="n">
        <v>46407</v>
      </c>
      <c r="H2040" s="127" t="n">
        <v>46293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17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19</v>
      </c>
      <c r="O2040" s="2" t="str">
        <f aca="false">IF(OR(F2040="",G2040=""),"",IF(G2040&lt;='RETRATO 2027'!$K$5,"CONCLUÍDA",IF(F2040&lt;='RETRATO 2027'!$K$5,"EM ANDAMENTO","A INICIAR")))</f>
        <v>CONCLUÍDA</v>
      </c>
    </row>
    <row r="2041" customFormat="false" ht="15" hidden="false" customHeight="false" outlineLevel="0" collapsed="false">
      <c r="B2041" s="4" t="n">
        <v>9360053</v>
      </c>
      <c r="C2041" s="4" t="s">
        <v>2705</v>
      </c>
      <c r="D2041" s="4" t="s">
        <v>3247</v>
      </c>
      <c r="E2041" s="4" t="s">
        <v>3779</v>
      </c>
      <c r="F2041" s="127" t="n">
        <v>46408</v>
      </c>
      <c r="G2041" s="127" t="n">
        <v>46408</v>
      </c>
      <c r="H2041" s="127" t="n">
        <v>46293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17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19</v>
      </c>
      <c r="O2041" s="2" t="str">
        <f aca="false">IF(OR(F2041="",G2041=""),"",IF(G2041&lt;='RETRATO 2027'!$K$5,"CONCLUÍDA",IF(F2041&lt;='RETRATO 2027'!$K$5,"EM ANDAMENTO","A INICIAR")))</f>
        <v>CONCLUÍDA</v>
      </c>
    </row>
    <row r="2042" customFormat="false" ht="15" hidden="false" customHeight="false" outlineLevel="0" collapsed="false">
      <c r="B2042" s="4" t="n">
        <v>9360054</v>
      </c>
      <c r="C2042" s="4" t="s">
        <v>2705</v>
      </c>
      <c r="D2042" s="4" t="s">
        <v>3248</v>
      </c>
      <c r="E2042" s="4" t="s">
        <v>3779</v>
      </c>
      <c r="F2042" s="127" t="n">
        <v>46409</v>
      </c>
      <c r="G2042" s="127" t="n">
        <v>46412</v>
      </c>
      <c r="H2042" s="127" t="n">
        <v>46293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>17</v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19</v>
      </c>
      <c r="O2042" s="2" t="str">
        <f aca="false">IF(OR(F2042="",G2042=""),"",IF(G2042&lt;='RETRATO 2027'!$K$5,"CONCLUÍDA",IF(F2042&lt;='RETRATO 2027'!$K$5,"EM ANDAMENTO","A INICIAR")))</f>
        <v>CONCLUÍDA</v>
      </c>
    </row>
    <row r="2043" customFormat="false" ht="15" hidden="false" customHeight="false" outlineLevel="0" collapsed="false">
      <c r="B2043" s="4" t="n">
        <v>9360055</v>
      </c>
      <c r="C2043" s="4" t="s">
        <v>2705</v>
      </c>
      <c r="D2043" s="4" t="s">
        <v>3249</v>
      </c>
      <c r="E2043" s="4" t="s">
        <v>3779</v>
      </c>
      <c r="F2043" s="127" t="n">
        <v>46412</v>
      </c>
      <c r="G2043" s="127" t="n">
        <v>46412</v>
      </c>
      <c r="H2043" s="127" t="n">
        <v>46293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17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19</v>
      </c>
      <c r="O2043" s="2" t="str">
        <f aca="false">IF(OR(F2043="",G2043=""),"",IF(G2043&lt;='RETRATO 2027'!$K$5,"CONCLUÍDA",IF(F2043&lt;='RETRATO 2027'!$K$5,"EM ANDAMENTO","A INICIAR")))</f>
        <v>CONCLUÍDA</v>
      </c>
    </row>
    <row r="2044" customFormat="false" ht="15" hidden="false" customHeight="false" outlineLevel="0" collapsed="false">
      <c r="B2044" s="4" t="n">
        <v>9360056</v>
      </c>
      <c r="C2044" s="4" t="s">
        <v>2705</v>
      </c>
      <c r="D2044" s="4" t="s">
        <v>3250</v>
      </c>
      <c r="E2044" s="4" t="s">
        <v>3779</v>
      </c>
      <c r="F2044" s="127" t="n">
        <v>46409</v>
      </c>
      <c r="G2044" s="127" t="n">
        <v>46409</v>
      </c>
      <c r="H2044" s="127" t="n">
        <v>46293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17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19</v>
      </c>
      <c r="O2044" s="2" t="str">
        <f aca="false">IF(OR(F2044="",G2044=""),"",IF(G2044&lt;='RETRATO 2027'!$K$5,"CONCLUÍDA",IF(F2044&lt;='RETRATO 2027'!$K$5,"EM ANDAMENTO","A INICIAR")))</f>
        <v>CONCLUÍDA</v>
      </c>
    </row>
    <row r="2045" customFormat="false" ht="15" hidden="false" customHeight="false" outlineLevel="0" collapsed="false">
      <c r="B2045" s="4" t="n">
        <v>9360057</v>
      </c>
      <c r="C2045" s="4" t="s">
        <v>2705</v>
      </c>
      <c r="D2045" s="4" t="s">
        <v>3251</v>
      </c>
      <c r="E2045" s="4" t="s">
        <v>3779</v>
      </c>
      <c r="F2045" s="127" t="n">
        <v>46409</v>
      </c>
      <c r="G2045" s="127" t="n">
        <v>46409</v>
      </c>
      <c r="H2045" s="127" t="n">
        <v>46293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17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19</v>
      </c>
      <c r="O2045" s="2" t="str">
        <f aca="false">IF(OR(F2045="",G2045=""),"",IF(G2045&lt;='RETRATO 2027'!$K$5,"CONCLUÍDA",IF(F2045&lt;='RETRATO 2027'!$K$5,"EM ANDAMENTO","A INICIAR")))</f>
        <v>CONCLUÍDA</v>
      </c>
    </row>
    <row r="2046" customFormat="false" ht="15" hidden="false" customHeight="false" outlineLevel="0" collapsed="false">
      <c r="B2046" s="4" t="n">
        <v>9360058</v>
      </c>
      <c r="C2046" s="4" t="s">
        <v>2705</v>
      </c>
      <c r="D2046" s="4" t="s">
        <v>3252</v>
      </c>
      <c r="E2046" s="4" t="s">
        <v>3779</v>
      </c>
      <c r="F2046" s="127" t="n">
        <v>46412</v>
      </c>
      <c r="G2046" s="127" t="n">
        <v>46412</v>
      </c>
      <c r="H2046" s="127" t="n">
        <v>46293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>17</v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19</v>
      </c>
      <c r="O2046" s="2" t="str">
        <f aca="false">IF(OR(F2046="",G2046=""),"",IF(G2046&lt;='RETRATO 2027'!$K$5,"CONCLUÍDA",IF(F2046&lt;='RETRATO 2027'!$K$5,"EM ANDAMENTO","A INICIAR")))</f>
        <v>CONCLUÍDA</v>
      </c>
    </row>
    <row r="2047" customFormat="false" ht="15" hidden="false" customHeight="false" outlineLevel="0" collapsed="false">
      <c r="B2047" s="4" t="n">
        <v>26743639</v>
      </c>
      <c r="C2047" s="4" t="s">
        <v>2924</v>
      </c>
      <c r="D2047" s="4" t="s">
        <v>433</v>
      </c>
      <c r="E2047" s="4" t="s">
        <v>3668</v>
      </c>
      <c r="F2047" s="127" t="n">
        <v>46405</v>
      </c>
      <c r="G2047" s="127" t="n">
        <v>46414</v>
      </c>
      <c r="H2047" s="127" t="n">
        <v>46293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21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4</v>
      </c>
      <c r="O2047" s="2" t="str">
        <f aca="false">IF(OR(F2047="",G2047=""),"",IF(G2047&lt;='RETRATO 2027'!$K$5,"CONCLUÍDA",IF(F2047&lt;='RETRATO 2027'!$K$5,"EM ANDAMENTO","A INICIAR")))</f>
        <v>CONCLUÍDA</v>
      </c>
    </row>
    <row r="2048" customFormat="false" ht="15" hidden="false" customHeight="false" outlineLevel="0" collapsed="false">
      <c r="B2048" s="4" t="n">
        <v>26743622</v>
      </c>
      <c r="C2048" s="4" t="s">
        <v>2926</v>
      </c>
      <c r="D2048" s="4" t="s">
        <v>433</v>
      </c>
      <c r="E2048" s="4" t="s">
        <v>3668</v>
      </c>
      <c r="F2048" s="127" t="n">
        <v>46405</v>
      </c>
      <c r="G2048" s="127" t="n">
        <v>46414</v>
      </c>
      <c r="H2048" s="127" t="n">
        <v>46293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20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4</v>
      </c>
      <c r="O2048" s="2" t="str">
        <f aca="false">IF(OR(F2048="",G2048=""),"",IF(G2048&lt;='RETRATO 2027'!$K$5,"CONCLUÍDA",IF(F2048&lt;='RETRATO 2027'!$K$5,"EM ANDAMENTO","A INICIAR")))</f>
        <v>CONCLUÍDA</v>
      </c>
    </row>
    <row r="2049" customFormat="false" ht="15" hidden="false" customHeight="false" outlineLevel="0" collapsed="false">
      <c r="B2049" s="4" t="n">
        <v>26743621</v>
      </c>
      <c r="C2049" s="4" t="s">
        <v>2928</v>
      </c>
      <c r="D2049" s="4" t="s">
        <v>433</v>
      </c>
      <c r="E2049" s="4" t="s">
        <v>3668</v>
      </c>
      <c r="F2049" s="127" t="n">
        <v>46405</v>
      </c>
      <c r="G2049" s="127" t="n">
        <v>46414</v>
      </c>
      <c r="H2049" s="127" t="n">
        <v>46293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>23</v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4</v>
      </c>
      <c r="O2049" s="2" t="str">
        <f aca="false">IF(OR(F2049="",G2049=""),"",IF(G2049&lt;='RETRATO 2027'!$K$5,"CONCLUÍDA",IF(F2049&lt;='RETRATO 2027'!$K$5,"EM ANDAMENTO","A INICIAR")))</f>
        <v>CONCLUÍDA</v>
      </c>
    </row>
    <row r="2050" customFormat="false" ht="15" hidden="false" customHeight="false" outlineLevel="0" collapsed="false">
      <c r="B2050" s="4" t="n">
        <v>26743640</v>
      </c>
      <c r="C2050" s="4" t="s">
        <v>2930</v>
      </c>
      <c r="D2050" s="4" t="s">
        <v>433</v>
      </c>
      <c r="E2050" s="4" t="s">
        <v>3668</v>
      </c>
      <c r="F2050" s="127" t="n">
        <v>46405</v>
      </c>
      <c r="G2050" s="127" t="n">
        <v>46414</v>
      </c>
      <c r="H2050" s="127" t="n">
        <v>46293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21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4</v>
      </c>
      <c r="O2050" s="2" t="str">
        <f aca="false">IF(OR(F2050="",G2050=""),"",IF(G2050&lt;='RETRATO 2027'!$K$5,"CONCLUÍDA",IF(F2050&lt;='RETRATO 2027'!$K$5,"EM ANDAMENTO","A INICIAR")))</f>
        <v>CONCLUÍDA</v>
      </c>
    </row>
    <row r="2051" customFormat="false" ht="15" hidden="false" customHeight="false" outlineLevel="0" collapsed="false">
      <c r="B2051" s="4" t="n">
        <v>26743641</v>
      </c>
      <c r="C2051" s="4" t="s">
        <v>2933</v>
      </c>
      <c r="D2051" s="4" t="s">
        <v>433</v>
      </c>
      <c r="E2051" s="4" t="s">
        <v>3668</v>
      </c>
      <c r="F2051" s="127" t="n">
        <v>46405</v>
      </c>
      <c r="G2051" s="127" t="n">
        <v>46414</v>
      </c>
      <c r="H2051" s="127" t="n">
        <v>46293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21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4</v>
      </c>
      <c r="O2051" s="2" t="str">
        <f aca="false">IF(OR(F2051="",G2051=""),"",IF(G2051&lt;='RETRATO 2027'!$K$5,"CONCLUÍDA",IF(F2051&lt;='RETRATO 2027'!$K$5,"EM ANDAMENTO","A INICIAR")))</f>
        <v>CONCLUÍDA</v>
      </c>
    </row>
    <row r="2052" customFormat="false" ht="15" hidden="false" customHeight="false" outlineLevel="0" collapsed="false">
      <c r="B2052" s="4" t="n">
        <v>26743583</v>
      </c>
      <c r="C2052" s="4" t="s">
        <v>2922</v>
      </c>
      <c r="D2052" s="4" t="s">
        <v>433</v>
      </c>
      <c r="E2052" s="4" t="s">
        <v>3678</v>
      </c>
      <c r="F2052" s="127" t="n">
        <v>46405</v>
      </c>
      <c r="G2052" s="127" t="n">
        <v>46414</v>
      </c>
      <c r="H2052" s="127" t="n">
        <v>46293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18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5</v>
      </c>
      <c r="O2052" s="2" t="str">
        <f aca="false">IF(OR(F2052="",G2052=""),"",IF(G2052&lt;='RETRATO 2027'!$K$5,"CONCLUÍDA",IF(F2052&lt;='RETRATO 2027'!$K$5,"EM ANDAMENTO","A INICIAR")))</f>
        <v>CONCLUÍDA</v>
      </c>
    </row>
    <row r="2053" customFormat="false" ht="15" hidden="false" customHeight="false" outlineLevel="0" collapsed="false">
      <c r="B2053" s="4" t="n">
        <v>26743353</v>
      </c>
      <c r="C2053" s="4" t="s">
        <v>2869</v>
      </c>
      <c r="D2053" s="4" t="s">
        <v>433</v>
      </c>
      <c r="E2053" s="4" t="s">
        <v>3763</v>
      </c>
      <c r="F2053" s="127" t="n">
        <v>46406</v>
      </c>
      <c r="G2053" s="127" t="n">
        <v>46415</v>
      </c>
      <c r="H2053" s="127" t="n">
        <v>46293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22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12</v>
      </c>
      <c r="O2053" s="2" t="str">
        <f aca="false">IF(OR(F2053="",G2053=""),"",IF(G2053&lt;='RETRATO 2027'!$K$5,"CONCLUÍDA",IF(F2053&lt;='RETRATO 2027'!$K$5,"EM ANDAMENTO","A INICIAR")))</f>
        <v>CONCLUÍDA</v>
      </c>
    </row>
    <row r="2054" customFormat="false" ht="15" hidden="false" customHeight="false" outlineLevel="0" collapsed="false">
      <c r="B2054" s="4" t="n">
        <v>26743314</v>
      </c>
      <c r="C2054" s="4" t="s">
        <v>163</v>
      </c>
      <c r="D2054" s="4" t="s">
        <v>433</v>
      </c>
      <c r="E2054" s="4" t="s">
        <v>3764</v>
      </c>
      <c r="F2054" s="127" t="n">
        <v>46406</v>
      </c>
      <c r="G2054" s="127" t="n">
        <v>46415</v>
      </c>
      <c r="H2054" s="127" t="n">
        <v>46293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18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13</v>
      </c>
      <c r="O2054" s="2" t="str">
        <f aca="false">IF(OR(F2054="",G2054=""),"",IF(G2054&lt;='RETRATO 2027'!$K$5,"CONCLUÍDA",IF(F2054&lt;='RETRATO 2027'!$K$5,"EM ANDAMENTO","A INICIAR")))</f>
        <v>CONCLUÍDA</v>
      </c>
    </row>
    <row r="2055" customFormat="false" ht="15" hidden="false" customHeight="false" outlineLevel="0" collapsed="false">
      <c r="B2055" s="4" t="n">
        <v>26750547</v>
      </c>
      <c r="C2055" s="4" t="s">
        <v>2814</v>
      </c>
      <c r="D2055" s="4" t="s">
        <v>433</v>
      </c>
      <c r="E2055" s="4" t="s">
        <v>3676</v>
      </c>
      <c r="F2055" s="127" t="n">
        <v>46407</v>
      </c>
      <c r="G2055" s="127" t="n">
        <v>46413</v>
      </c>
      <c r="H2055" s="127" t="n">
        <v>46293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28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-3</v>
      </c>
      <c r="O2055" s="2" t="str">
        <f aca="false">IF(OR(F2055="",G2055=""),"",IF(G2055&lt;='RETRATO 2027'!$K$5,"CONCLUÍDA",IF(F2055&lt;='RETRATO 2027'!$K$5,"EM ANDAMENTO","A INICIAR")))</f>
        <v>CONCLUÍDA</v>
      </c>
    </row>
    <row r="2056" customFormat="false" ht="15" hidden="false" customHeight="false" outlineLevel="0" collapsed="false">
      <c r="B2056" s="4" t="n">
        <v>26750538</v>
      </c>
      <c r="C2056" s="4" t="s">
        <v>2935</v>
      </c>
      <c r="D2056" s="4" t="s">
        <v>433</v>
      </c>
      <c r="E2056" s="4" t="s">
        <v>3778</v>
      </c>
      <c r="F2056" s="127" t="n">
        <v>46407</v>
      </c>
      <c r="G2056" s="127" t="n">
        <v>46413</v>
      </c>
      <c r="H2056" s="127" t="n">
        <v>46293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30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-2</v>
      </c>
      <c r="O2056" s="2" t="str">
        <f aca="false">IF(OR(F2056="",G2056=""),"",IF(G2056&lt;='RETRATO 2027'!$K$5,"CONCLUÍDA",IF(F2056&lt;='RETRATO 2027'!$K$5,"EM ANDAMENTO","A INICIAR")))</f>
        <v>CONCLUÍDA</v>
      </c>
    </row>
    <row r="2057" customFormat="false" ht="15" hidden="false" customHeight="false" outlineLevel="0" collapsed="false">
      <c r="B2057" s="4" t="n">
        <v>26743563</v>
      </c>
      <c r="C2057" s="4" t="s">
        <v>2916</v>
      </c>
      <c r="D2057" s="4" t="s">
        <v>433</v>
      </c>
      <c r="E2057" s="4" t="s">
        <v>3685</v>
      </c>
      <c r="F2057" s="127" t="n">
        <v>46407</v>
      </c>
      <c r="G2057" s="127" t="n">
        <v>46414</v>
      </c>
      <c r="H2057" s="127" t="n">
        <v>46293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18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6</v>
      </c>
      <c r="O2057" s="2" t="str">
        <f aca="false">IF(OR(F2057="",G2057=""),"",IF(G2057&lt;='RETRATO 2027'!$K$5,"CONCLUÍDA",IF(F2057&lt;='RETRATO 2027'!$K$5,"EM ANDAMENTO","A INICIAR")))</f>
        <v>CONCLUÍDA</v>
      </c>
    </row>
    <row r="2058" customFormat="false" ht="15" hidden="false" customHeight="false" outlineLevel="0" collapsed="false">
      <c r="B2058" s="4" t="n">
        <v>26744427</v>
      </c>
      <c r="C2058" s="4" t="s">
        <v>163</v>
      </c>
      <c r="D2058" s="4" t="s">
        <v>433</v>
      </c>
      <c r="E2058" s="4" t="s">
        <v>3780</v>
      </c>
      <c r="F2058" s="127" t="n">
        <v>46409</v>
      </c>
      <c r="G2058" s="127" t="n">
        <v>46440</v>
      </c>
      <c r="H2058" s="127" t="n">
        <v>46293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18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3</v>
      </c>
      <c r="O2058" s="2" t="str">
        <f aca="false">IF(OR(F2058="",G2058=""),"",IF(G2058&lt;='RETRATO 2027'!$K$5,"CONCLUÍDA",IF(F2058&lt;='RETRATO 2027'!$K$5,"EM ANDAMENTO","A INICIAR")))</f>
        <v>CONCLUÍDA</v>
      </c>
    </row>
    <row r="2059" customFormat="false" ht="15" hidden="false" customHeight="false" outlineLevel="0" collapsed="false">
      <c r="B2059" s="4" t="n">
        <v>26743525</v>
      </c>
      <c r="C2059" s="4" t="s">
        <v>2814</v>
      </c>
      <c r="D2059" s="4" t="s">
        <v>433</v>
      </c>
      <c r="E2059" s="4" t="s">
        <v>3686</v>
      </c>
      <c r="F2059" s="127" t="n">
        <v>46409</v>
      </c>
      <c r="G2059" s="127" t="n">
        <v>46416</v>
      </c>
      <c r="H2059" s="127" t="n">
        <v>46293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28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7</v>
      </c>
      <c r="O2059" s="2" t="str">
        <f aca="false">IF(OR(F2059="",G2059=""),"",IF(G2059&lt;='RETRATO 2027'!$K$5,"CONCLUÍDA",IF(F2059&lt;='RETRATO 2027'!$K$5,"EM ANDAMENTO","A INICIAR")))</f>
        <v>CONCLUÍDA</v>
      </c>
    </row>
    <row r="2060" customFormat="false" ht="15" hidden="false" customHeight="false" outlineLevel="0" collapsed="false">
      <c r="B2060" s="4" t="n">
        <v>26743494</v>
      </c>
      <c r="C2060" s="4" t="s">
        <v>2914</v>
      </c>
      <c r="D2060" s="4" t="s">
        <v>433</v>
      </c>
      <c r="E2060" s="4" t="s">
        <v>3706</v>
      </c>
      <c r="F2060" s="127" t="n">
        <v>46409</v>
      </c>
      <c r="G2060" s="127" t="n">
        <v>46420</v>
      </c>
      <c r="H2060" s="127" t="n">
        <v>46293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21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8</v>
      </c>
      <c r="O2060" s="2" t="str">
        <f aca="false">IF(OR(F2060="",G2060=""),"",IF(G2060&lt;='RETRATO 2027'!$K$5,"CONCLUÍDA",IF(F2060&lt;='RETRATO 2027'!$K$5,"EM ANDAMENTO","A INICIAR")))</f>
        <v>CONCLUÍDA</v>
      </c>
    </row>
    <row r="2061" customFormat="false" ht="15" hidden="false" customHeight="false" outlineLevel="0" collapsed="false">
      <c r="B2061" s="4" t="n">
        <v>26743450</v>
      </c>
      <c r="C2061" s="4" t="s">
        <v>2808</v>
      </c>
      <c r="D2061" s="4" t="s">
        <v>433</v>
      </c>
      <c r="E2061" s="4" t="s">
        <v>3716</v>
      </c>
      <c r="F2061" s="127" t="n">
        <v>46409</v>
      </c>
      <c r="G2061" s="127" t="n">
        <v>46420</v>
      </c>
      <c r="H2061" s="127" t="n">
        <v>46293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29</v>
      </c>
      <c r="N2061" s="2" t="n">
        <f aca="false">IF(E2061="","",IF(ISNUMBER(SEARCH("SUBSOLO",E2061)),IFERROR(-VALUE(LEFT(E2061,FIND("º",SUBSTITUTE(E2061,"°","º"))-1)),-1),IF(LEFT(E2061,6)="TÉRREO",0,IFERROR(VALUE(LEFT(E2061,FIND("º",SUBSTITUTE(E2061,"°","º"))-1)),""))))</f>
        <v>9</v>
      </c>
      <c r="O2061" s="2" t="str">
        <f aca="false">IF(OR(F2061="",G2061=""),"",IF(G2061&lt;='RETRATO 2027'!$K$5,"CONCLUÍDA",IF(F2061&lt;='RETRATO 2027'!$K$5,"EM ANDAMENTO","A INICIAR")))</f>
        <v>CONCLUÍDA</v>
      </c>
    </row>
    <row r="2062" customFormat="false" ht="15" hidden="false" customHeight="false" outlineLevel="0" collapsed="false">
      <c r="B2062" s="4" t="n">
        <v>26743412</v>
      </c>
      <c r="C2062" s="4" t="s">
        <v>2910</v>
      </c>
      <c r="D2062" s="4" t="s">
        <v>433</v>
      </c>
      <c r="E2062" s="4" t="s">
        <v>3722</v>
      </c>
      <c r="F2062" s="127" t="n">
        <v>46409</v>
      </c>
      <c r="G2062" s="127" t="n">
        <v>46420</v>
      </c>
      <c r="H2062" s="127" t="n">
        <v>46293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25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10</v>
      </c>
      <c r="O2062" s="2" t="str">
        <f aca="false">IF(OR(F2062="",G2062=""),"",IF(G2062&lt;='RETRATO 2027'!$K$5,"CONCLUÍDA",IF(F2062&lt;='RETRATO 2027'!$K$5,"EM ANDAMENTO","A INICIAR")))</f>
        <v>CONCLUÍDA</v>
      </c>
    </row>
    <row r="2063" customFormat="false" ht="15" hidden="false" customHeight="false" outlineLevel="0" collapsed="false">
      <c r="B2063" s="4" t="n">
        <v>26743396</v>
      </c>
      <c r="C2063" s="4" t="s">
        <v>2896</v>
      </c>
      <c r="D2063" s="4" t="s">
        <v>433</v>
      </c>
      <c r="E2063" s="4" t="s">
        <v>3762</v>
      </c>
      <c r="F2063" s="127" t="n">
        <v>46412</v>
      </c>
      <c r="G2063" s="127" t="n">
        <v>46421</v>
      </c>
      <c r="H2063" s="127" t="n">
        <v>46293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>20</v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11</v>
      </c>
      <c r="O2063" s="2" t="str">
        <f aca="false">IF(OR(F2063="",G2063=""),"",IF(G2063&lt;='RETRATO 2027'!$K$5,"CONCLUÍDA",IF(F2063&lt;='RETRATO 2027'!$K$5,"EM ANDAMENTO","A INICIAR")))</f>
        <v>CONCLUÍDA</v>
      </c>
    </row>
    <row r="2064" customFormat="false" ht="15" hidden="false" customHeight="false" outlineLevel="0" collapsed="false">
      <c r="B2064" s="4" t="n">
        <v>29844465</v>
      </c>
      <c r="C2064" s="4" t="s">
        <v>2898</v>
      </c>
      <c r="D2064" s="4" t="s">
        <v>433</v>
      </c>
      <c r="E2064" s="4" t="s">
        <v>3762</v>
      </c>
      <c r="F2064" s="127" t="n">
        <v>46412</v>
      </c>
      <c r="G2064" s="127" t="n">
        <v>46420</v>
      </c>
      <c r="H2064" s="127" t="n">
        <v>46293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29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11</v>
      </c>
      <c r="O2064" s="2" t="str">
        <f aca="false">IF(OR(F2064="",G2064=""),"",IF(G2064&lt;='RETRATO 2027'!$K$5,"CONCLUÍDA",IF(F2064&lt;='RETRATO 2027'!$K$5,"EM ANDAMENTO","A INICIAR")))</f>
        <v>CONCLUÍDA</v>
      </c>
    </row>
    <row r="2065" customFormat="false" ht="15" hidden="false" customHeight="false" outlineLevel="0" collapsed="false">
      <c r="B2065" s="4" t="n">
        <v>26743352</v>
      </c>
      <c r="C2065" s="4" t="s">
        <v>2886</v>
      </c>
      <c r="D2065" s="4" t="s">
        <v>433</v>
      </c>
      <c r="E2065" s="4" t="s">
        <v>3763</v>
      </c>
      <c r="F2065" s="127" t="n">
        <v>46412</v>
      </c>
      <c r="G2065" s="127" t="n">
        <v>46421</v>
      </c>
      <c r="H2065" s="127" t="n">
        <v>46293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>21</v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12</v>
      </c>
      <c r="O2065" s="2" t="str">
        <f aca="false">IF(OR(F2065="",G2065=""),"",IF(G2065&lt;='RETRATO 2027'!$K$5,"CONCLUÍDA",IF(F2065&lt;='RETRATO 2027'!$K$5,"EM ANDAMENTO","A INICIAR")))</f>
        <v>CONCLUÍDA</v>
      </c>
    </row>
    <row r="2066" customFormat="false" ht="15" hidden="false" customHeight="false" outlineLevel="0" collapsed="false">
      <c r="B2066" s="4" t="n">
        <v>29844641</v>
      </c>
      <c r="C2066" s="4" t="s">
        <v>2888</v>
      </c>
      <c r="D2066" s="4" t="s">
        <v>433</v>
      </c>
      <c r="E2066" s="4" t="s">
        <v>3763</v>
      </c>
      <c r="F2066" s="127" t="n">
        <v>46412</v>
      </c>
      <c r="G2066" s="127" t="n">
        <v>46421</v>
      </c>
      <c r="H2066" s="127" t="n">
        <v>46293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>20</v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12</v>
      </c>
      <c r="O2066" s="2" t="str">
        <f aca="false">IF(OR(F2066="",G2066=""),"",IF(G2066&lt;='RETRATO 2027'!$K$5,"CONCLUÍDA",IF(F2066&lt;='RETRATO 2027'!$K$5,"EM ANDAMENTO","A INICIAR")))</f>
        <v>CONCLUÍDA</v>
      </c>
    </row>
    <row r="2067" customFormat="false" ht="15" hidden="false" customHeight="false" outlineLevel="0" collapsed="false">
      <c r="B2067" s="4" t="n">
        <v>24939112</v>
      </c>
      <c r="C2067" s="4" t="s">
        <v>2705</v>
      </c>
      <c r="D2067" s="4" t="s">
        <v>433</v>
      </c>
      <c r="E2067" s="4" t="s">
        <v>3781</v>
      </c>
      <c r="F2067" s="127" t="n">
        <v>46413</v>
      </c>
      <c r="G2067" s="127" t="n">
        <v>46421</v>
      </c>
      <c r="H2067" s="127" t="n">
        <v>46293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17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20</v>
      </c>
      <c r="O2067" s="2" t="str">
        <f aca="false">IF(OR(F2067="",G2067=""),"",IF(G2067&lt;='RETRATO 2027'!$K$5,"CONCLUÍDA",IF(F2067&lt;='RETRATO 2027'!$K$5,"EM ANDAMENTO","A INICIAR")))</f>
        <v>CONCLUÍDA</v>
      </c>
    </row>
    <row r="2068" customFormat="false" ht="15" hidden="false" customHeight="false" outlineLevel="0" collapsed="false">
      <c r="B2068" s="4" t="n">
        <v>9360041</v>
      </c>
      <c r="C2068" s="4" t="s">
        <v>2705</v>
      </c>
      <c r="D2068" s="4" t="s">
        <v>3244</v>
      </c>
      <c r="E2068" s="4" t="s">
        <v>3781</v>
      </c>
      <c r="F2068" s="127" t="n">
        <v>46413</v>
      </c>
      <c r="G2068" s="127" t="n">
        <v>46415</v>
      </c>
      <c r="H2068" s="127" t="n">
        <v>46293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17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20</v>
      </c>
      <c r="O2068" s="2" t="str">
        <f aca="false">IF(OR(F2068="",G2068=""),"",IF(G2068&lt;='RETRATO 2027'!$K$5,"CONCLUÍDA",IF(F2068&lt;='RETRATO 2027'!$K$5,"EM ANDAMENTO","A INICIAR")))</f>
        <v>CONCLUÍDA</v>
      </c>
    </row>
    <row r="2069" customFormat="false" ht="15" hidden="false" customHeight="false" outlineLevel="0" collapsed="false">
      <c r="B2069" s="4" t="n">
        <v>9360042</v>
      </c>
      <c r="C2069" s="4" t="s">
        <v>2705</v>
      </c>
      <c r="D2069" s="4" t="s">
        <v>3245</v>
      </c>
      <c r="E2069" s="4" t="s">
        <v>3781</v>
      </c>
      <c r="F2069" s="127" t="n">
        <v>46413</v>
      </c>
      <c r="G2069" s="127" t="n">
        <v>46415</v>
      </c>
      <c r="H2069" s="127" t="n">
        <v>46293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17</v>
      </c>
      <c r="N2069" s="2" t="n">
        <f aca="false">IF(E2069="","",IF(ISNUMBER(SEARCH("SUBSOLO",E2069)),IFERROR(-VALUE(LEFT(E2069,FIND("º",SUBSTITUTE(E2069,"°","º"))-1)),-1),IF(LEFT(E2069,6)="TÉRREO",0,IFERROR(VALUE(LEFT(E2069,FIND("º",SUBSTITUTE(E2069,"°","º"))-1)),""))))</f>
        <v>20</v>
      </c>
      <c r="O2069" s="2" t="str">
        <f aca="false">IF(OR(F2069="",G2069=""),"",IF(G2069&lt;='RETRATO 2027'!$K$5,"CONCLUÍDA",IF(F2069&lt;='RETRATO 2027'!$K$5,"EM ANDAMENTO","A INICIAR")))</f>
        <v>CONCLUÍDA</v>
      </c>
    </row>
    <row r="2070" customFormat="false" ht="15" hidden="false" customHeight="false" outlineLevel="0" collapsed="false">
      <c r="B2070" s="4" t="n">
        <v>9360043</v>
      </c>
      <c r="C2070" s="4" t="s">
        <v>2705</v>
      </c>
      <c r="D2070" s="4" t="s">
        <v>3246</v>
      </c>
      <c r="E2070" s="4" t="s">
        <v>3781</v>
      </c>
      <c r="F2070" s="127" t="n">
        <v>46414</v>
      </c>
      <c r="G2070" s="127" t="n">
        <v>46416</v>
      </c>
      <c r="H2070" s="127" t="n">
        <v>46293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17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20</v>
      </c>
      <c r="O2070" s="2" t="str">
        <f aca="false">IF(OR(F2070="",G2070=""),"",IF(G2070&lt;='RETRATO 2027'!$K$5,"CONCLUÍDA",IF(F2070&lt;='RETRATO 2027'!$K$5,"EM ANDAMENTO","A INICIAR")))</f>
        <v>CONCLUÍDA</v>
      </c>
    </row>
    <row r="2071" customFormat="false" ht="15" hidden="false" customHeight="false" outlineLevel="0" collapsed="false">
      <c r="B2071" s="4" t="n">
        <v>9360044</v>
      </c>
      <c r="C2071" s="4" t="s">
        <v>2705</v>
      </c>
      <c r="D2071" s="4" t="s">
        <v>3247</v>
      </c>
      <c r="E2071" s="4" t="s">
        <v>3781</v>
      </c>
      <c r="F2071" s="127" t="n">
        <v>46419</v>
      </c>
      <c r="G2071" s="127" t="n">
        <v>46419</v>
      </c>
      <c r="H2071" s="127" t="n">
        <v>46293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17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20</v>
      </c>
      <c r="O2071" s="2" t="str">
        <f aca="false">IF(OR(F2071="",G2071=""),"",IF(G2071&lt;='RETRATO 2027'!$K$5,"CONCLUÍDA",IF(F2071&lt;='RETRATO 2027'!$K$5,"EM ANDAMENTO","A INICIAR")))</f>
        <v>CONCLUÍDA</v>
      </c>
    </row>
    <row r="2072" customFormat="false" ht="15" hidden="false" customHeight="false" outlineLevel="0" collapsed="false">
      <c r="B2072" s="4" t="n">
        <v>9360045</v>
      </c>
      <c r="C2072" s="4" t="s">
        <v>2705</v>
      </c>
      <c r="D2072" s="4" t="s">
        <v>3248</v>
      </c>
      <c r="E2072" s="4" t="s">
        <v>3781</v>
      </c>
      <c r="F2072" s="127" t="n">
        <v>46420</v>
      </c>
      <c r="G2072" s="127" t="n">
        <v>46421</v>
      </c>
      <c r="H2072" s="127" t="n">
        <v>46293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17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20</v>
      </c>
      <c r="O2072" s="2" t="str">
        <f aca="false">IF(OR(F2072="",G2072=""),"",IF(G2072&lt;='RETRATO 2027'!$K$5,"CONCLUÍDA",IF(F2072&lt;='RETRATO 2027'!$K$5,"EM ANDAMENTO","A INICIAR")))</f>
        <v>CONCLUÍDA</v>
      </c>
    </row>
    <row r="2073" customFormat="false" ht="15" hidden="false" customHeight="false" outlineLevel="0" collapsed="false">
      <c r="B2073" s="4" t="n">
        <v>9360046</v>
      </c>
      <c r="C2073" s="4" t="s">
        <v>2705</v>
      </c>
      <c r="D2073" s="4" t="s">
        <v>3249</v>
      </c>
      <c r="E2073" s="4" t="s">
        <v>3781</v>
      </c>
      <c r="F2073" s="127" t="n">
        <v>46421</v>
      </c>
      <c r="G2073" s="127" t="n">
        <v>46421</v>
      </c>
      <c r="H2073" s="127" t="n">
        <v>46293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17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20</v>
      </c>
      <c r="O2073" s="2" t="str">
        <f aca="false">IF(OR(F2073="",G2073=""),"",IF(G2073&lt;='RETRATO 2027'!$K$5,"CONCLUÍDA",IF(F2073&lt;='RETRATO 2027'!$K$5,"EM ANDAMENTO","A INICIAR")))</f>
        <v>CONCLUÍDA</v>
      </c>
    </row>
    <row r="2074" customFormat="false" ht="15" hidden="false" customHeight="false" outlineLevel="0" collapsed="false">
      <c r="B2074" s="4" t="n">
        <v>9360047</v>
      </c>
      <c r="C2074" s="4" t="s">
        <v>2705</v>
      </c>
      <c r="D2074" s="4" t="s">
        <v>3250</v>
      </c>
      <c r="E2074" s="4" t="s">
        <v>3781</v>
      </c>
      <c r="F2074" s="127" t="n">
        <v>46420</v>
      </c>
      <c r="G2074" s="127" t="n">
        <v>46420</v>
      </c>
      <c r="H2074" s="127" t="n">
        <v>46293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17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20</v>
      </c>
      <c r="O2074" s="2" t="str">
        <f aca="false">IF(OR(F2074="",G2074=""),"",IF(G2074&lt;='RETRATO 2027'!$K$5,"CONCLUÍDA",IF(F2074&lt;='RETRATO 2027'!$K$5,"EM ANDAMENTO","A INICIAR")))</f>
        <v>CONCLUÍDA</v>
      </c>
    </row>
    <row r="2075" customFormat="false" ht="15" hidden="false" customHeight="false" outlineLevel="0" collapsed="false">
      <c r="B2075" s="4" t="n">
        <v>9360048</v>
      </c>
      <c r="C2075" s="4" t="s">
        <v>2705</v>
      </c>
      <c r="D2075" s="4" t="s">
        <v>3251</v>
      </c>
      <c r="E2075" s="4" t="s">
        <v>3781</v>
      </c>
      <c r="F2075" s="127" t="n">
        <v>46420</v>
      </c>
      <c r="G2075" s="127" t="n">
        <v>46420</v>
      </c>
      <c r="H2075" s="127" t="n">
        <v>46293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17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20</v>
      </c>
      <c r="O2075" s="2" t="str">
        <f aca="false">IF(OR(F2075="",G2075=""),"",IF(G2075&lt;='RETRATO 2027'!$K$5,"CONCLUÍDA",IF(F2075&lt;='RETRATO 2027'!$K$5,"EM ANDAMENTO","A INICIAR")))</f>
        <v>CONCLUÍDA</v>
      </c>
    </row>
    <row r="2076" customFormat="false" ht="15" hidden="false" customHeight="false" outlineLevel="0" collapsed="false">
      <c r="B2076" s="4" t="n">
        <v>9360049</v>
      </c>
      <c r="C2076" s="4" t="s">
        <v>2705</v>
      </c>
      <c r="D2076" s="4" t="s">
        <v>3252</v>
      </c>
      <c r="E2076" s="4" t="s">
        <v>3781</v>
      </c>
      <c r="F2076" s="127" t="n">
        <v>46421</v>
      </c>
      <c r="G2076" s="127" t="n">
        <v>46421</v>
      </c>
      <c r="H2076" s="127" t="n">
        <v>46293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17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20</v>
      </c>
      <c r="O2076" s="2" t="str">
        <f aca="false">IF(OR(F2076="",G2076=""),"",IF(G2076&lt;='RETRATO 2027'!$K$5,"CONCLUÍDA",IF(F2076&lt;='RETRATO 2027'!$K$5,"EM ANDAMENTO","A INICIAR")))</f>
        <v>CONCLUÍDA</v>
      </c>
    </row>
    <row r="2077" customFormat="false" ht="15" hidden="false" customHeight="false" outlineLevel="0" collapsed="false">
      <c r="B2077" s="4" t="n">
        <v>26750556</v>
      </c>
      <c r="C2077" s="4" t="s">
        <v>2814</v>
      </c>
      <c r="D2077" s="4" t="s">
        <v>433</v>
      </c>
      <c r="E2077" s="4" t="s">
        <v>3782</v>
      </c>
      <c r="F2077" s="127" t="n">
        <v>46414</v>
      </c>
      <c r="G2077" s="127" t="n">
        <v>46420</v>
      </c>
      <c r="H2077" s="127" t="n">
        <v>46293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28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-4</v>
      </c>
      <c r="O2077" s="2" t="str">
        <f aca="false">IF(OR(F2077="",G2077=""),"",IF(G2077&lt;='RETRATO 2027'!$K$5,"CONCLUÍDA",IF(F2077&lt;='RETRATO 2027'!$K$5,"EM ANDAMENTO","A INICIAR")))</f>
        <v>CONCLUÍDA</v>
      </c>
    </row>
    <row r="2078" customFormat="false" ht="15" hidden="false" customHeight="false" outlineLevel="0" collapsed="false">
      <c r="B2078" s="4" t="n">
        <v>26750539</v>
      </c>
      <c r="C2078" s="4" t="s">
        <v>2938</v>
      </c>
      <c r="D2078" s="4" t="s">
        <v>433</v>
      </c>
      <c r="E2078" s="4" t="s">
        <v>3778</v>
      </c>
      <c r="F2078" s="127" t="n">
        <v>46414</v>
      </c>
      <c r="G2078" s="127" t="n">
        <v>46420</v>
      </c>
      <c r="H2078" s="127" t="n">
        <v>46293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30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-2</v>
      </c>
      <c r="O2078" s="2" t="str">
        <f aca="false">IF(OR(F2078="",G2078=""),"",IF(G2078&lt;='RETRATO 2027'!$K$5,"CONCLUÍDA",IF(F2078&lt;='RETRATO 2027'!$K$5,"EM ANDAMENTO","A INICIAR")))</f>
        <v>CONCLUÍDA</v>
      </c>
    </row>
    <row r="2079" customFormat="false" ht="15" hidden="false" customHeight="false" outlineLevel="0" collapsed="false">
      <c r="B2079" s="4" t="n">
        <v>29844380</v>
      </c>
      <c r="C2079" s="4" t="s">
        <v>2890</v>
      </c>
      <c r="D2079" s="4" t="s">
        <v>433</v>
      </c>
      <c r="E2079" s="4" t="s">
        <v>3763</v>
      </c>
      <c r="F2079" s="127" t="n">
        <v>46414</v>
      </c>
      <c r="G2079" s="127" t="n">
        <v>46423</v>
      </c>
      <c r="H2079" s="127" t="n">
        <v>46293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>18</v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12</v>
      </c>
      <c r="O2079" s="2" t="str">
        <f aca="false">IF(OR(F2079="",G2079=""),"",IF(G2079&lt;='RETRATO 2027'!$K$5,"CONCLUÍDA",IF(F2079&lt;='RETRATO 2027'!$K$5,"EM ANDAMENTO","A INICIAR")))</f>
        <v>CONCLUÍDA</v>
      </c>
    </row>
    <row r="2080" customFormat="false" ht="15" hidden="false" customHeight="false" outlineLevel="0" collapsed="false">
      <c r="B2080" s="4" t="n">
        <v>26743638</v>
      </c>
      <c r="C2080" s="4" t="s">
        <v>2941</v>
      </c>
      <c r="D2080" s="4" t="s">
        <v>433</v>
      </c>
      <c r="E2080" s="4" t="s">
        <v>3668</v>
      </c>
      <c r="F2080" s="127" t="n">
        <v>46415</v>
      </c>
      <c r="G2080" s="127" t="n">
        <v>46426</v>
      </c>
      <c r="H2080" s="127" t="n">
        <v>46293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18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4</v>
      </c>
      <c r="O2080" s="2" t="str">
        <f aca="false">IF(OR(F2080="",G2080=""),"",IF(G2080&lt;='RETRATO 2027'!$K$5,"CONCLUÍDA",IF(F2080&lt;='RETRATO 2027'!$K$5,"EM ANDAMENTO","A INICIAR")))</f>
        <v>CONCLUÍDA</v>
      </c>
    </row>
    <row r="2081" customFormat="false" ht="15" hidden="false" customHeight="false" outlineLevel="0" collapsed="false">
      <c r="B2081" s="4" t="n">
        <v>26743602</v>
      </c>
      <c r="C2081" s="4" t="s">
        <v>2924</v>
      </c>
      <c r="D2081" s="4" t="s">
        <v>433</v>
      </c>
      <c r="E2081" s="4" t="s">
        <v>3678</v>
      </c>
      <c r="F2081" s="127" t="n">
        <v>46415</v>
      </c>
      <c r="G2081" s="127" t="n">
        <v>46426</v>
      </c>
      <c r="H2081" s="127" t="n">
        <v>46293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21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5</v>
      </c>
      <c r="O2081" s="2" t="str">
        <f aca="false">IF(OR(F2081="",G2081=""),"",IF(G2081&lt;='RETRATO 2027'!$K$5,"CONCLUÍDA",IF(F2081&lt;='RETRATO 2027'!$K$5,"EM ANDAMENTO","A INICIAR")))</f>
        <v>CONCLUÍDA</v>
      </c>
    </row>
    <row r="2082" customFormat="false" ht="15" hidden="false" customHeight="false" outlineLevel="0" collapsed="false">
      <c r="B2082" s="4" t="n">
        <v>26743585</v>
      </c>
      <c r="C2082" s="4" t="s">
        <v>2926</v>
      </c>
      <c r="D2082" s="4" t="s">
        <v>433</v>
      </c>
      <c r="E2082" s="4" t="s">
        <v>3678</v>
      </c>
      <c r="F2082" s="127" t="n">
        <v>46415</v>
      </c>
      <c r="G2082" s="127" t="n">
        <v>46426</v>
      </c>
      <c r="H2082" s="127" t="n">
        <v>46293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20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5</v>
      </c>
      <c r="O2082" s="2" t="str">
        <f aca="false">IF(OR(F2082="",G2082=""),"",IF(G2082&lt;='RETRATO 2027'!$K$5,"CONCLUÍDA",IF(F2082&lt;='RETRATO 2027'!$K$5,"EM ANDAMENTO","A INICIAR")))</f>
        <v>CONCLUÍDA</v>
      </c>
    </row>
    <row r="2083" customFormat="false" ht="15" hidden="false" customHeight="false" outlineLevel="0" collapsed="false">
      <c r="B2083" s="4" t="n">
        <v>26743584</v>
      </c>
      <c r="C2083" s="4" t="s">
        <v>2928</v>
      </c>
      <c r="D2083" s="4" t="s">
        <v>433</v>
      </c>
      <c r="E2083" s="4" t="s">
        <v>3678</v>
      </c>
      <c r="F2083" s="127" t="n">
        <v>46415</v>
      </c>
      <c r="G2083" s="127" t="n">
        <v>46426</v>
      </c>
      <c r="H2083" s="127" t="n">
        <v>46293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23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5</v>
      </c>
      <c r="O2083" s="2" t="str">
        <f aca="false">IF(OR(F2083="",G2083=""),"",IF(G2083&lt;='RETRATO 2027'!$K$5,"CONCLUÍDA",IF(F2083&lt;='RETRATO 2027'!$K$5,"EM ANDAMENTO","A INICIAR")))</f>
        <v>CONCLUÍDA</v>
      </c>
    </row>
    <row r="2084" customFormat="false" ht="15" hidden="false" customHeight="false" outlineLevel="0" collapsed="false">
      <c r="B2084" s="4" t="n">
        <v>26743603</v>
      </c>
      <c r="C2084" s="4" t="s">
        <v>2930</v>
      </c>
      <c r="D2084" s="4" t="s">
        <v>433</v>
      </c>
      <c r="E2084" s="4" t="s">
        <v>3678</v>
      </c>
      <c r="F2084" s="127" t="n">
        <v>46415</v>
      </c>
      <c r="G2084" s="127" t="n">
        <v>46426</v>
      </c>
      <c r="H2084" s="127" t="n">
        <v>46293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21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5</v>
      </c>
      <c r="O2084" s="2" t="str">
        <f aca="false">IF(OR(F2084="",G2084=""),"",IF(G2084&lt;='RETRATO 2027'!$K$5,"CONCLUÍDA",IF(F2084&lt;='RETRATO 2027'!$K$5,"EM ANDAMENTO","A INICIAR")))</f>
        <v>CONCLUÍDA</v>
      </c>
    </row>
    <row r="2085" customFormat="false" ht="15" hidden="false" customHeight="false" outlineLevel="0" collapsed="false">
      <c r="B2085" s="4" t="n">
        <v>26743604</v>
      </c>
      <c r="C2085" s="4" t="s">
        <v>2933</v>
      </c>
      <c r="D2085" s="4" t="s">
        <v>433</v>
      </c>
      <c r="E2085" s="4" t="s">
        <v>3678</v>
      </c>
      <c r="F2085" s="127" t="n">
        <v>46415</v>
      </c>
      <c r="G2085" s="127" t="n">
        <v>46426</v>
      </c>
      <c r="H2085" s="127" t="n">
        <v>46293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21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5</v>
      </c>
      <c r="O2085" s="2" t="str">
        <f aca="false">IF(OR(F2085="",G2085=""),"",IF(G2085&lt;='RETRATO 2027'!$K$5,"CONCLUÍDA",IF(F2085&lt;='RETRATO 2027'!$K$5,"EM ANDAMENTO","A INICIAR")))</f>
        <v>CONCLUÍDA</v>
      </c>
    </row>
    <row r="2086" customFormat="false" ht="15" hidden="false" customHeight="false" outlineLevel="0" collapsed="false">
      <c r="B2086" s="4" t="n">
        <v>26743546</v>
      </c>
      <c r="C2086" s="4" t="s">
        <v>2922</v>
      </c>
      <c r="D2086" s="4" t="s">
        <v>433</v>
      </c>
      <c r="E2086" s="4" t="s">
        <v>3685</v>
      </c>
      <c r="F2086" s="127" t="n">
        <v>46415</v>
      </c>
      <c r="G2086" s="127" t="n">
        <v>46426</v>
      </c>
      <c r="H2086" s="127" t="n">
        <v>46293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18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6</v>
      </c>
      <c r="O2086" s="2" t="str">
        <f aca="false">IF(OR(F2086="",G2086=""),"",IF(G2086&lt;='RETRATO 2027'!$K$5,"CONCLUÍDA",IF(F2086&lt;='RETRATO 2027'!$K$5,"EM ANDAMENTO","A INICIAR")))</f>
        <v>CONCLUÍDA</v>
      </c>
    </row>
    <row r="2087" customFormat="false" ht="15" hidden="false" customHeight="false" outlineLevel="0" collapsed="false">
      <c r="B2087" s="4" t="n">
        <v>26743712</v>
      </c>
      <c r="C2087" s="4" t="s">
        <v>2808</v>
      </c>
      <c r="D2087" s="4" t="s">
        <v>433</v>
      </c>
      <c r="E2087" s="4" t="s">
        <v>3466</v>
      </c>
      <c r="F2087" s="127" t="n">
        <v>46416</v>
      </c>
      <c r="G2087" s="127" t="n">
        <v>46461</v>
      </c>
      <c r="H2087" s="127" t="n">
        <v>46293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>29</v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-1</v>
      </c>
      <c r="O2087" s="2" t="str">
        <f aca="false">IF(OR(F2087="",G2087=""),"",IF(G2087&lt;='RETRATO 2027'!$K$5,"CONCLUÍDA",IF(F2087&lt;='RETRATO 2027'!$K$5,"EM ANDAMENTO","A INICIAR")))</f>
        <v>CONCLUÍDA</v>
      </c>
    </row>
    <row r="2088" customFormat="false" ht="15" hidden="false" customHeight="false" outlineLevel="0" collapsed="false">
      <c r="B2088" s="4" t="n">
        <v>26743316</v>
      </c>
      <c r="C2088" s="4" t="s">
        <v>2869</v>
      </c>
      <c r="D2088" s="4" t="s">
        <v>433</v>
      </c>
      <c r="E2088" s="4" t="s">
        <v>3764</v>
      </c>
      <c r="F2088" s="127" t="n">
        <v>46416</v>
      </c>
      <c r="G2088" s="127" t="n">
        <v>46427</v>
      </c>
      <c r="H2088" s="127" t="n">
        <v>46293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22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13</v>
      </c>
      <c r="O2088" s="2" t="str">
        <f aca="false">IF(OR(F2088="",G2088=""),"",IF(G2088&lt;='RETRATO 2027'!$K$5,"CONCLUÍDA",IF(F2088&lt;='RETRATO 2027'!$K$5,"EM ANDAMENTO","A INICIAR")))</f>
        <v>CONCLUÍDA</v>
      </c>
    </row>
    <row r="2089" customFormat="false" ht="15" hidden="false" customHeight="false" outlineLevel="0" collapsed="false">
      <c r="B2089" s="4" t="n">
        <v>26743277</v>
      </c>
      <c r="C2089" s="4" t="s">
        <v>163</v>
      </c>
      <c r="D2089" s="4" t="s">
        <v>433</v>
      </c>
      <c r="E2089" s="4" t="s">
        <v>3765</v>
      </c>
      <c r="F2089" s="127" t="n">
        <v>46416</v>
      </c>
      <c r="G2089" s="127" t="n">
        <v>46427</v>
      </c>
      <c r="H2089" s="127" t="n">
        <v>46293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18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14</v>
      </c>
      <c r="O2089" s="2" t="str">
        <f aca="false">IF(OR(F2089="",G2089=""),"",IF(G2089&lt;='RETRATO 2027'!$K$5,"CONCLUÍDA",IF(F2089&lt;='RETRATO 2027'!$K$5,"EM ANDAMENTO","A INICIAR")))</f>
        <v>CONCLUÍDA</v>
      </c>
    </row>
    <row r="2090" customFormat="false" ht="15" hidden="false" customHeight="false" outlineLevel="0" collapsed="false">
      <c r="B2090" s="4" t="n">
        <v>26743526</v>
      </c>
      <c r="C2090" s="4" t="s">
        <v>2916</v>
      </c>
      <c r="D2090" s="4" t="s">
        <v>433</v>
      </c>
      <c r="E2090" s="4" t="s">
        <v>3686</v>
      </c>
      <c r="F2090" s="127" t="n">
        <v>46419</v>
      </c>
      <c r="G2090" s="127" t="n">
        <v>46426</v>
      </c>
      <c r="H2090" s="127" t="n">
        <v>46293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18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7</v>
      </c>
      <c r="O2090" s="2" t="str">
        <f aca="false">IF(OR(F2090="",G2090=""),"",IF(G2090&lt;='RETRATO 2027'!$K$5,"CONCLUÍDA",IF(F2090&lt;='RETRATO 2027'!$K$5,"EM ANDAMENTO","A INICIAR")))</f>
        <v>CONCLUÍDA</v>
      </c>
    </row>
    <row r="2091" customFormat="false" ht="15" hidden="false" customHeight="false" outlineLevel="0" collapsed="false">
      <c r="B2091" s="4" t="n">
        <v>26750557</v>
      </c>
      <c r="C2091" s="4" t="s">
        <v>2935</v>
      </c>
      <c r="D2091" s="4" t="s">
        <v>433</v>
      </c>
      <c r="E2091" s="4" t="s">
        <v>3782</v>
      </c>
      <c r="F2091" s="127" t="n">
        <v>46421</v>
      </c>
      <c r="G2091" s="127" t="n">
        <v>46427</v>
      </c>
      <c r="H2091" s="127" t="n">
        <v>46293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30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-4</v>
      </c>
      <c r="O2091" s="2" t="str">
        <f aca="false">IF(OR(F2091="",G2091=""),"",IF(G2091&lt;='RETRATO 2027'!$K$5,"CONCLUÍDA",IF(F2091&lt;='RETRATO 2027'!$K$5,"EM ANDAMENTO","A INICIAR")))</f>
        <v>CONCLUÍDA</v>
      </c>
    </row>
    <row r="2092" customFormat="false" ht="15" hidden="false" customHeight="false" outlineLevel="0" collapsed="false">
      <c r="B2092" s="4" t="n">
        <v>26750535</v>
      </c>
      <c r="C2092" s="4" t="s">
        <v>208</v>
      </c>
      <c r="D2092" s="4" t="s">
        <v>433</v>
      </c>
      <c r="E2092" s="4" t="s">
        <v>3778</v>
      </c>
      <c r="F2092" s="127" t="n">
        <v>46421</v>
      </c>
      <c r="G2092" s="127" t="n">
        <v>46427</v>
      </c>
      <c r="H2092" s="127" t="n">
        <v>46293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33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-2</v>
      </c>
      <c r="O2092" s="2" t="str">
        <f aca="false">IF(OR(F2092="",G2092=""),"",IF(G2092&lt;='RETRATO 2027'!$K$5,"CONCLUÍDA",IF(F2092&lt;='RETRATO 2027'!$K$5,"EM ANDAMENTO","A INICIAR")))</f>
        <v>CONCLUÍDA</v>
      </c>
    </row>
    <row r="2093" customFormat="false" ht="15" hidden="false" customHeight="false" outlineLevel="0" collapsed="false">
      <c r="B2093" s="4" t="n">
        <v>26743488</v>
      </c>
      <c r="C2093" s="4" t="s">
        <v>2814</v>
      </c>
      <c r="D2093" s="4" t="s">
        <v>433</v>
      </c>
      <c r="E2093" s="4" t="s">
        <v>3706</v>
      </c>
      <c r="F2093" s="127" t="n">
        <v>46421</v>
      </c>
      <c r="G2093" s="127" t="n">
        <v>46428</v>
      </c>
      <c r="H2093" s="127" t="n">
        <v>46293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28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8</v>
      </c>
      <c r="O2093" s="2" t="str">
        <f aca="false">IF(OR(F2093="",G2093=""),"",IF(G2093&lt;='RETRATO 2027'!$K$5,"CONCLUÍDA",IF(F2093&lt;='RETRATO 2027'!$K$5,"EM ANDAMENTO","A INICIAR")))</f>
        <v>CONCLUÍDA</v>
      </c>
    </row>
    <row r="2094" customFormat="false" ht="15" hidden="false" customHeight="false" outlineLevel="0" collapsed="false">
      <c r="B2094" s="4" t="n">
        <v>26743457</v>
      </c>
      <c r="C2094" s="4" t="s">
        <v>2914</v>
      </c>
      <c r="D2094" s="4" t="s">
        <v>433</v>
      </c>
      <c r="E2094" s="4" t="s">
        <v>3716</v>
      </c>
      <c r="F2094" s="127" t="n">
        <v>46421</v>
      </c>
      <c r="G2094" s="127" t="n">
        <v>46430</v>
      </c>
      <c r="H2094" s="127" t="n">
        <v>46293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21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9</v>
      </c>
      <c r="O2094" s="2" t="str">
        <f aca="false">IF(OR(F2094="",G2094=""),"",IF(G2094&lt;='RETRATO 2027'!$K$5,"CONCLUÍDA",IF(F2094&lt;='RETRATO 2027'!$K$5,"EM ANDAMENTO","A INICIAR")))</f>
        <v>CONCLUÍDA</v>
      </c>
    </row>
    <row r="2095" customFormat="false" ht="15" hidden="false" customHeight="false" outlineLevel="0" collapsed="false">
      <c r="B2095" s="4" t="n">
        <v>26743413</v>
      </c>
      <c r="C2095" s="4" t="s">
        <v>2808</v>
      </c>
      <c r="D2095" s="4" t="s">
        <v>433</v>
      </c>
      <c r="E2095" s="4" t="s">
        <v>3722</v>
      </c>
      <c r="F2095" s="127" t="n">
        <v>46421</v>
      </c>
      <c r="G2095" s="127" t="n">
        <v>46430</v>
      </c>
      <c r="H2095" s="127" t="n">
        <v>46293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29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10</v>
      </c>
      <c r="O2095" s="2" t="str">
        <f aca="false">IF(OR(F2095="",G2095=""),"",IF(G2095&lt;='RETRATO 2027'!$K$5,"CONCLUÍDA",IF(F2095&lt;='RETRATO 2027'!$K$5,"EM ANDAMENTO","A INICIAR")))</f>
        <v>CONCLUÍDA</v>
      </c>
    </row>
    <row r="2096" customFormat="false" ht="15" hidden="false" customHeight="false" outlineLevel="0" collapsed="false">
      <c r="B2096" s="4" t="n">
        <v>26743375</v>
      </c>
      <c r="C2096" s="4" t="s">
        <v>2910</v>
      </c>
      <c r="D2096" s="4" t="s">
        <v>433</v>
      </c>
      <c r="E2096" s="4" t="s">
        <v>3762</v>
      </c>
      <c r="F2096" s="127" t="n">
        <v>46421</v>
      </c>
      <c r="G2096" s="127" t="n">
        <v>46430</v>
      </c>
      <c r="H2096" s="127" t="n">
        <v>46293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25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11</v>
      </c>
      <c r="O2096" s="2" t="str">
        <f aca="false">IF(OR(F2096="",G2096=""),"",IF(G2096&lt;='RETRATO 2027'!$K$5,"CONCLUÍDA",IF(F2096&lt;='RETRATO 2027'!$K$5,"EM ANDAMENTO","A INICIAR")))</f>
        <v>CONCLUÍDA</v>
      </c>
    </row>
    <row r="2097" customFormat="false" ht="15" hidden="false" customHeight="false" outlineLevel="0" collapsed="false">
      <c r="B2097" s="4" t="n">
        <v>26743359</v>
      </c>
      <c r="C2097" s="4" t="s">
        <v>2896</v>
      </c>
      <c r="D2097" s="4" t="s">
        <v>433</v>
      </c>
      <c r="E2097" s="4" t="s">
        <v>3763</v>
      </c>
      <c r="F2097" s="127" t="n">
        <v>46422</v>
      </c>
      <c r="G2097" s="127" t="n">
        <v>46433</v>
      </c>
      <c r="H2097" s="127" t="n">
        <v>46293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20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12</v>
      </c>
      <c r="O2097" s="2" t="str">
        <f aca="false">IF(OR(F2097="",G2097=""),"",IF(G2097&lt;='RETRATO 2027'!$K$5,"CONCLUÍDA",IF(F2097&lt;='RETRATO 2027'!$K$5,"EM ANDAMENTO","A INICIAR")))</f>
        <v>CONCLUÍDA</v>
      </c>
    </row>
    <row r="2098" customFormat="false" ht="15" hidden="false" customHeight="false" outlineLevel="0" collapsed="false">
      <c r="B2098" s="4" t="n">
        <v>29844466</v>
      </c>
      <c r="C2098" s="4" t="s">
        <v>2898</v>
      </c>
      <c r="D2098" s="4" t="s">
        <v>433</v>
      </c>
      <c r="E2098" s="4" t="s">
        <v>3763</v>
      </c>
      <c r="F2098" s="127" t="n">
        <v>46422</v>
      </c>
      <c r="G2098" s="127" t="n">
        <v>46430</v>
      </c>
      <c r="H2098" s="127" t="n">
        <v>46293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29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12</v>
      </c>
      <c r="O2098" s="2" t="str">
        <f aca="false">IF(OR(F2098="",G2098=""),"",IF(G2098&lt;='RETRATO 2027'!$K$5,"CONCLUÍDA",IF(F2098&lt;='RETRATO 2027'!$K$5,"EM ANDAMENTO","A INICIAR")))</f>
        <v>CONCLUÍDA</v>
      </c>
    </row>
    <row r="2099" customFormat="false" ht="15" hidden="false" customHeight="false" outlineLevel="0" collapsed="false">
      <c r="B2099" s="4" t="n">
        <v>26743315</v>
      </c>
      <c r="C2099" s="4" t="s">
        <v>2886</v>
      </c>
      <c r="D2099" s="4" t="s">
        <v>433</v>
      </c>
      <c r="E2099" s="4" t="s">
        <v>3764</v>
      </c>
      <c r="F2099" s="127" t="n">
        <v>46422</v>
      </c>
      <c r="G2099" s="127" t="n">
        <v>46433</v>
      </c>
      <c r="H2099" s="127" t="n">
        <v>46293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21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13</v>
      </c>
      <c r="O2099" s="2" t="str">
        <f aca="false">IF(OR(F2099="",G2099=""),"",IF(G2099&lt;='RETRATO 2027'!$K$5,"CONCLUÍDA",IF(F2099&lt;='RETRATO 2027'!$K$5,"EM ANDAMENTO","A INICIAR")))</f>
        <v>CONCLUÍDA</v>
      </c>
    </row>
    <row r="2100" customFormat="false" ht="15" hidden="false" customHeight="false" outlineLevel="0" collapsed="false">
      <c r="B2100" s="4" t="n">
        <v>29844642</v>
      </c>
      <c r="C2100" s="4" t="s">
        <v>2888</v>
      </c>
      <c r="D2100" s="4" t="s">
        <v>433</v>
      </c>
      <c r="E2100" s="4" t="s">
        <v>3764</v>
      </c>
      <c r="F2100" s="127" t="n">
        <v>46422</v>
      </c>
      <c r="G2100" s="127" t="n">
        <v>46433</v>
      </c>
      <c r="H2100" s="127" t="n">
        <v>46293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20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13</v>
      </c>
      <c r="O2100" s="2" t="str">
        <f aca="false">IF(OR(F2100="",G2100=""),"",IF(G2100&lt;='RETRATO 2027'!$K$5,"CONCLUÍDA",IF(F2100&lt;='RETRATO 2027'!$K$5,"EM ANDAMENTO","A INICIAR")))</f>
        <v>CONCLUÍDA</v>
      </c>
    </row>
    <row r="2101" customFormat="false" ht="15" hidden="false" customHeight="false" outlineLevel="0" collapsed="false">
      <c r="B2101" s="4" t="n">
        <v>24939073</v>
      </c>
      <c r="C2101" s="4" t="s">
        <v>2705</v>
      </c>
      <c r="D2101" s="4" t="s">
        <v>433</v>
      </c>
      <c r="E2101" s="4" t="s">
        <v>3783</v>
      </c>
      <c r="F2101" s="127" t="n">
        <v>46422</v>
      </c>
      <c r="G2101" s="127" t="n">
        <v>46430</v>
      </c>
      <c r="H2101" s="127" t="n">
        <v>46293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>17</v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21</v>
      </c>
      <c r="O2101" s="2" t="str">
        <f aca="false">IF(OR(F2101="",G2101=""),"",IF(G2101&lt;='RETRATO 2027'!$K$5,"CONCLUÍDA",IF(F2101&lt;='RETRATO 2027'!$K$5,"EM ANDAMENTO","A INICIAR")))</f>
        <v>CONCLUÍDA</v>
      </c>
    </row>
    <row r="2102" customFormat="false" ht="15" hidden="false" customHeight="false" outlineLevel="0" collapsed="false">
      <c r="B2102" s="4" t="n">
        <v>9360032</v>
      </c>
      <c r="C2102" s="4" t="s">
        <v>2705</v>
      </c>
      <c r="D2102" s="4" t="s">
        <v>3244</v>
      </c>
      <c r="E2102" s="4" t="s">
        <v>3783</v>
      </c>
      <c r="F2102" s="127" t="n">
        <v>46422</v>
      </c>
      <c r="G2102" s="127" t="n">
        <v>46426</v>
      </c>
      <c r="H2102" s="127" t="n">
        <v>46293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17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21</v>
      </c>
      <c r="O2102" s="2" t="str">
        <f aca="false">IF(OR(F2102="",G2102=""),"",IF(G2102&lt;='RETRATO 2027'!$K$5,"CONCLUÍDA",IF(F2102&lt;='RETRATO 2027'!$K$5,"EM ANDAMENTO","A INICIAR")))</f>
        <v>CONCLUÍDA</v>
      </c>
    </row>
    <row r="2103" customFormat="false" ht="15" hidden="false" customHeight="false" outlineLevel="0" collapsed="false">
      <c r="B2103" s="4" t="n">
        <v>9360033</v>
      </c>
      <c r="C2103" s="4" t="s">
        <v>2705</v>
      </c>
      <c r="D2103" s="4" t="s">
        <v>3245</v>
      </c>
      <c r="E2103" s="4" t="s">
        <v>3783</v>
      </c>
      <c r="F2103" s="127" t="n">
        <v>46422</v>
      </c>
      <c r="G2103" s="127" t="n">
        <v>46426</v>
      </c>
      <c r="H2103" s="127" t="n">
        <v>46293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17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21</v>
      </c>
      <c r="O2103" s="2" t="str">
        <f aca="false">IF(OR(F2103="",G2103=""),"",IF(G2103&lt;='RETRATO 2027'!$K$5,"CONCLUÍDA",IF(F2103&lt;='RETRATO 2027'!$K$5,"EM ANDAMENTO","A INICIAR")))</f>
        <v>CONCLUÍDA</v>
      </c>
    </row>
    <row r="2104" customFormat="false" ht="15" hidden="false" customHeight="false" outlineLevel="0" collapsed="false">
      <c r="B2104" s="4" t="n">
        <v>9360034</v>
      </c>
      <c r="C2104" s="4" t="s">
        <v>2705</v>
      </c>
      <c r="D2104" s="4" t="s">
        <v>3246</v>
      </c>
      <c r="E2104" s="4" t="s">
        <v>3783</v>
      </c>
      <c r="F2104" s="127" t="n">
        <v>46423</v>
      </c>
      <c r="G2104" s="127" t="n">
        <v>46427</v>
      </c>
      <c r="H2104" s="127" t="n">
        <v>46293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17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21</v>
      </c>
      <c r="O2104" s="2" t="str">
        <f aca="false">IF(OR(F2104="",G2104=""),"",IF(G2104&lt;='RETRATO 2027'!$K$5,"CONCLUÍDA",IF(F2104&lt;='RETRATO 2027'!$K$5,"EM ANDAMENTO","A INICIAR")))</f>
        <v>CONCLUÍDA</v>
      </c>
    </row>
    <row r="2105" customFormat="false" ht="15" hidden="false" customHeight="false" outlineLevel="0" collapsed="false">
      <c r="B2105" s="4" t="n">
        <v>9360035</v>
      </c>
      <c r="C2105" s="4" t="s">
        <v>2705</v>
      </c>
      <c r="D2105" s="4" t="s">
        <v>3247</v>
      </c>
      <c r="E2105" s="4" t="s">
        <v>3783</v>
      </c>
      <c r="F2105" s="127" t="n">
        <v>46428</v>
      </c>
      <c r="G2105" s="127" t="n">
        <v>46428</v>
      </c>
      <c r="H2105" s="127" t="n">
        <v>46293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>17</v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21</v>
      </c>
      <c r="O2105" s="2" t="str">
        <f aca="false">IF(OR(F2105="",G2105=""),"",IF(G2105&lt;='RETRATO 2027'!$K$5,"CONCLUÍDA",IF(F2105&lt;='RETRATO 2027'!$K$5,"EM ANDAMENTO","A INICIAR")))</f>
        <v>CONCLUÍDA</v>
      </c>
    </row>
    <row r="2106" customFormat="false" ht="15" hidden="false" customHeight="false" outlineLevel="0" collapsed="false">
      <c r="B2106" s="4" t="n">
        <v>9360036</v>
      </c>
      <c r="C2106" s="4" t="s">
        <v>2705</v>
      </c>
      <c r="D2106" s="4" t="s">
        <v>3248</v>
      </c>
      <c r="E2106" s="4" t="s">
        <v>3783</v>
      </c>
      <c r="F2106" s="127" t="n">
        <v>46429</v>
      </c>
      <c r="G2106" s="127" t="n">
        <v>46430</v>
      </c>
      <c r="H2106" s="127" t="n">
        <v>46293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17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21</v>
      </c>
      <c r="O2106" s="2" t="str">
        <f aca="false">IF(OR(F2106="",G2106=""),"",IF(G2106&lt;='RETRATO 2027'!$K$5,"CONCLUÍDA",IF(F2106&lt;='RETRATO 2027'!$K$5,"EM ANDAMENTO","A INICIAR")))</f>
        <v>CONCLUÍDA</v>
      </c>
    </row>
    <row r="2107" customFormat="false" ht="15" hidden="false" customHeight="false" outlineLevel="0" collapsed="false">
      <c r="B2107" s="4" t="n">
        <v>9360037</v>
      </c>
      <c r="C2107" s="4" t="s">
        <v>2705</v>
      </c>
      <c r="D2107" s="4" t="s">
        <v>3249</v>
      </c>
      <c r="E2107" s="4" t="s">
        <v>3783</v>
      </c>
      <c r="F2107" s="127" t="n">
        <v>46430</v>
      </c>
      <c r="G2107" s="127" t="n">
        <v>46430</v>
      </c>
      <c r="H2107" s="127" t="n">
        <v>46293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17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21</v>
      </c>
      <c r="O2107" s="2" t="str">
        <f aca="false">IF(OR(F2107="",G2107=""),"",IF(G2107&lt;='RETRATO 2027'!$K$5,"CONCLUÍDA",IF(F2107&lt;='RETRATO 2027'!$K$5,"EM ANDAMENTO","A INICIAR")))</f>
        <v>CONCLUÍDA</v>
      </c>
    </row>
    <row r="2108" customFormat="false" ht="15" hidden="false" customHeight="false" outlineLevel="0" collapsed="false">
      <c r="B2108" s="4" t="n">
        <v>9360038</v>
      </c>
      <c r="C2108" s="4" t="s">
        <v>2705</v>
      </c>
      <c r="D2108" s="4" t="s">
        <v>3250</v>
      </c>
      <c r="E2108" s="4" t="s">
        <v>3783</v>
      </c>
      <c r="F2108" s="127" t="n">
        <v>46429</v>
      </c>
      <c r="G2108" s="127" t="n">
        <v>46429</v>
      </c>
      <c r="H2108" s="127" t="n">
        <v>46293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17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21</v>
      </c>
      <c r="O2108" s="2" t="str">
        <f aca="false">IF(OR(F2108="",G2108=""),"",IF(G2108&lt;='RETRATO 2027'!$K$5,"CONCLUÍDA",IF(F2108&lt;='RETRATO 2027'!$K$5,"EM ANDAMENTO","A INICIAR")))</f>
        <v>CONCLUÍDA</v>
      </c>
    </row>
    <row r="2109" customFormat="false" ht="15" hidden="false" customHeight="false" outlineLevel="0" collapsed="false">
      <c r="B2109" s="4" t="n">
        <v>9360039</v>
      </c>
      <c r="C2109" s="4" t="s">
        <v>2705</v>
      </c>
      <c r="D2109" s="4" t="s">
        <v>3251</v>
      </c>
      <c r="E2109" s="4" t="s">
        <v>3783</v>
      </c>
      <c r="F2109" s="127" t="n">
        <v>46429</v>
      </c>
      <c r="G2109" s="127" t="n">
        <v>46429</v>
      </c>
      <c r="H2109" s="127" t="n">
        <v>46293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>17</v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21</v>
      </c>
      <c r="O2109" s="2" t="str">
        <f aca="false">IF(OR(F2109="",G2109=""),"",IF(G2109&lt;='RETRATO 2027'!$K$5,"CONCLUÍDA",IF(F2109&lt;='RETRATO 2027'!$K$5,"EM ANDAMENTO","A INICIAR")))</f>
        <v>CONCLUÍDA</v>
      </c>
    </row>
    <row r="2110" customFormat="false" ht="15" hidden="false" customHeight="false" outlineLevel="0" collapsed="false">
      <c r="B2110" s="4" t="n">
        <v>9360040</v>
      </c>
      <c r="C2110" s="4" t="s">
        <v>2705</v>
      </c>
      <c r="D2110" s="4" t="s">
        <v>3252</v>
      </c>
      <c r="E2110" s="4" t="s">
        <v>3783</v>
      </c>
      <c r="F2110" s="127" t="n">
        <v>46430</v>
      </c>
      <c r="G2110" s="127" t="n">
        <v>46430</v>
      </c>
      <c r="H2110" s="127" t="n">
        <v>46293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>17</v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21</v>
      </c>
      <c r="O2110" s="2" t="str">
        <f aca="false">IF(OR(F2110="",G2110=""),"",IF(G2110&lt;='RETRATO 2027'!$K$5,"CONCLUÍDA",IF(F2110&lt;='RETRATO 2027'!$K$5,"EM ANDAMENTO","A INICIAR")))</f>
        <v>CONCLUÍDA</v>
      </c>
    </row>
    <row r="2111" customFormat="false" ht="15" hidden="false" customHeight="false" outlineLevel="0" collapsed="false">
      <c r="B2111" s="4" t="n">
        <v>26707706</v>
      </c>
      <c r="C2111" s="4" t="s">
        <v>2916</v>
      </c>
      <c r="D2111" s="4" t="s">
        <v>433</v>
      </c>
      <c r="E2111" s="4" t="s">
        <v>3766</v>
      </c>
      <c r="F2111" s="127" t="n">
        <v>46423</v>
      </c>
      <c r="G2111" s="127" t="n">
        <v>46443</v>
      </c>
      <c r="H2111" s="127" t="n">
        <v>46293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>18</v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1</v>
      </c>
      <c r="O2111" s="2" t="str">
        <f aca="false">IF(OR(F2111="",G2111=""),"",IF(G2111&lt;='RETRATO 2027'!$K$5,"CONCLUÍDA",IF(F2111&lt;='RETRATO 2027'!$K$5,"EM ANDAMENTO","A INICIAR")))</f>
        <v>CONCLUÍDA</v>
      </c>
    </row>
    <row r="2112" customFormat="false" ht="15" hidden="false" customHeight="false" outlineLevel="0" collapsed="false">
      <c r="B2112" s="4" t="n">
        <v>26707687</v>
      </c>
      <c r="C2112" s="4" t="s">
        <v>2808</v>
      </c>
      <c r="D2112" s="4" t="s">
        <v>433</v>
      </c>
      <c r="E2112" s="4" t="s">
        <v>3772</v>
      </c>
      <c r="F2112" s="127" t="n">
        <v>46423</v>
      </c>
      <c r="G2112" s="127" t="n">
        <v>46443</v>
      </c>
      <c r="H2112" s="127" t="n">
        <v>46293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29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1</v>
      </c>
      <c r="O2112" s="2" t="str">
        <f aca="false">IF(OR(F2112="",G2112=""),"",IF(G2112&lt;='RETRATO 2027'!$K$5,"CONCLUÍDA",IF(F2112&lt;='RETRATO 2027'!$K$5,"EM ANDAMENTO","A INICIAR")))</f>
        <v>CONCLUÍDA</v>
      </c>
    </row>
    <row r="2113" customFormat="false" ht="15" hidden="false" customHeight="false" outlineLevel="0" collapsed="false">
      <c r="B2113" s="4" t="n">
        <v>29844381</v>
      </c>
      <c r="C2113" s="4" t="s">
        <v>2890</v>
      </c>
      <c r="D2113" s="4" t="s">
        <v>433</v>
      </c>
      <c r="E2113" s="4" t="s">
        <v>3764</v>
      </c>
      <c r="F2113" s="127" t="n">
        <v>46426</v>
      </c>
      <c r="G2113" s="127" t="n">
        <v>46435</v>
      </c>
      <c r="H2113" s="127" t="n">
        <v>46293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18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13</v>
      </c>
      <c r="O2113" s="2" t="str">
        <f aca="false">IF(OR(F2113="",G2113=""),"",IF(G2113&lt;='RETRATO 2027'!$K$5,"CONCLUÍDA",IF(F2113&lt;='RETRATO 2027'!$K$5,"EM ANDAMENTO","A INICIAR")))</f>
        <v>CONCLUÍDA</v>
      </c>
    </row>
    <row r="2114" customFormat="false" ht="15" hidden="false" customHeight="false" outlineLevel="0" collapsed="false">
      <c r="B2114" s="4" t="n">
        <v>26744791</v>
      </c>
      <c r="C2114" s="4" t="s">
        <v>2869</v>
      </c>
      <c r="D2114" s="4" t="s">
        <v>433</v>
      </c>
      <c r="E2114" s="4" t="s">
        <v>3769</v>
      </c>
      <c r="F2114" s="127" t="n">
        <v>46427</v>
      </c>
      <c r="G2114" s="127" t="n">
        <v>46440</v>
      </c>
      <c r="H2114" s="127" t="n">
        <v>46293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22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3</v>
      </c>
      <c r="O2114" s="2" t="str">
        <f aca="false">IF(OR(F2114="",G2114=""),"",IF(G2114&lt;='RETRATO 2027'!$K$5,"CONCLUÍDA",IF(F2114&lt;='RETRATO 2027'!$K$5,"EM ANDAMENTO","A INICIAR")))</f>
        <v>CONCLUÍDA</v>
      </c>
    </row>
    <row r="2115" customFormat="false" ht="15" hidden="false" customHeight="false" outlineLevel="0" collapsed="false">
      <c r="B2115" s="4" t="n">
        <v>26744757</v>
      </c>
      <c r="C2115" s="4" t="s">
        <v>163</v>
      </c>
      <c r="D2115" s="4" t="s">
        <v>433</v>
      </c>
      <c r="E2115" s="4" t="s">
        <v>3784</v>
      </c>
      <c r="F2115" s="127" t="n">
        <v>46427</v>
      </c>
      <c r="G2115" s="127" t="n">
        <v>46491</v>
      </c>
      <c r="H2115" s="127" t="n">
        <v>46293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18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3</v>
      </c>
      <c r="O2115" s="2" t="str">
        <f aca="false">IF(OR(F2115="",G2115=""),"",IF(G2115&lt;='RETRATO 2027'!$K$5,"CONCLUÍDA",IF(F2115&lt;='RETRATO 2027'!$K$5,"EM ANDAMENTO","A INICIAR")))</f>
        <v>CONCLUÍDA</v>
      </c>
    </row>
    <row r="2116" customFormat="false" ht="15" hidden="false" customHeight="false" outlineLevel="0" collapsed="false">
      <c r="B2116" s="4" t="n">
        <v>26743628</v>
      </c>
      <c r="C2116" s="4" t="s">
        <v>166</v>
      </c>
      <c r="D2116" s="4" t="s">
        <v>433</v>
      </c>
      <c r="E2116" s="4" t="s">
        <v>3668</v>
      </c>
      <c r="F2116" s="127" t="n">
        <v>46427</v>
      </c>
      <c r="G2116" s="127" t="n">
        <v>46436</v>
      </c>
      <c r="H2116" s="127" t="n">
        <v>46293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19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4</v>
      </c>
      <c r="O2116" s="2" t="str">
        <f aca="false">IF(OR(F2116="",G2116=""),"",IF(G2116&lt;='RETRATO 2027'!$K$5,"CONCLUÍDA",IF(F2116&lt;='RETRATO 2027'!$K$5,"EM ANDAMENTO","A INICIAR")))</f>
        <v>CONCLUÍDA</v>
      </c>
    </row>
    <row r="2117" customFormat="false" ht="15" hidden="false" customHeight="false" outlineLevel="0" collapsed="false">
      <c r="B2117" s="4" t="n">
        <v>26743601</v>
      </c>
      <c r="C2117" s="4" t="s">
        <v>2941</v>
      </c>
      <c r="D2117" s="4" t="s">
        <v>433</v>
      </c>
      <c r="E2117" s="4" t="s">
        <v>3678</v>
      </c>
      <c r="F2117" s="127" t="n">
        <v>46427</v>
      </c>
      <c r="G2117" s="127" t="n">
        <v>46436</v>
      </c>
      <c r="H2117" s="127" t="n">
        <v>46293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>18</v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5</v>
      </c>
      <c r="O2117" s="2" t="str">
        <f aca="false">IF(OR(F2117="",G2117=""),"",IF(G2117&lt;='RETRATO 2027'!$K$5,"CONCLUÍDA",IF(F2117&lt;='RETRATO 2027'!$K$5,"EM ANDAMENTO","A INICIAR")))</f>
        <v>CONCLUÍDA</v>
      </c>
    </row>
    <row r="2118" customFormat="false" ht="15" hidden="false" customHeight="false" outlineLevel="0" collapsed="false">
      <c r="B2118" s="4" t="n">
        <v>26743565</v>
      </c>
      <c r="C2118" s="4" t="s">
        <v>2924</v>
      </c>
      <c r="D2118" s="4" t="s">
        <v>433</v>
      </c>
      <c r="E2118" s="4" t="s">
        <v>3685</v>
      </c>
      <c r="F2118" s="127" t="n">
        <v>46427</v>
      </c>
      <c r="G2118" s="127" t="n">
        <v>46436</v>
      </c>
      <c r="H2118" s="127" t="n">
        <v>46293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>21</v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6</v>
      </c>
      <c r="O2118" s="2" t="str">
        <f aca="false">IF(OR(F2118="",G2118=""),"",IF(G2118&lt;='RETRATO 2027'!$K$5,"CONCLUÍDA",IF(F2118&lt;='RETRATO 2027'!$K$5,"EM ANDAMENTO","A INICIAR")))</f>
        <v>CONCLUÍDA</v>
      </c>
    </row>
    <row r="2119" customFormat="false" ht="15" hidden="false" customHeight="false" outlineLevel="0" collapsed="false">
      <c r="B2119" s="4" t="n">
        <v>26743548</v>
      </c>
      <c r="C2119" s="4" t="s">
        <v>2926</v>
      </c>
      <c r="D2119" s="4" t="s">
        <v>433</v>
      </c>
      <c r="E2119" s="4" t="s">
        <v>3685</v>
      </c>
      <c r="F2119" s="127" t="n">
        <v>46427</v>
      </c>
      <c r="G2119" s="127" t="n">
        <v>46436</v>
      </c>
      <c r="H2119" s="127" t="n">
        <v>46293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20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6</v>
      </c>
      <c r="O2119" s="2" t="str">
        <f aca="false">IF(OR(F2119="",G2119=""),"",IF(G2119&lt;='RETRATO 2027'!$K$5,"CONCLUÍDA",IF(F2119&lt;='RETRATO 2027'!$K$5,"EM ANDAMENTO","A INICIAR")))</f>
        <v>CONCLUÍDA</v>
      </c>
    </row>
    <row r="2120" customFormat="false" ht="15" hidden="false" customHeight="false" outlineLevel="0" collapsed="false">
      <c r="B2120" s="4" t="n">
        <v>26743547</v>
      </c>
      <c r="C2120" s="4" t="s">
        <v>2928</v>
      </c>
      <c r="D2120" s="4" t="s">
        <v>433</v>
      </c>
      <c r="E2120" s="4" t="s">
        <v>3685</v>
      </c>
      <c r="F2120" s="127" t="n">
        <v>46427</v>
      </c>
      <c r="G2120" s="127" t="n">
        <v>46436</v>
      </c>
      <c r="H2120" s="127" t="n">
        <v>46293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23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6</v>
      </c>
      <c r="O2120" s="2" t="str">
        <f aca="false">IF(OR(F2120="",G2120=""),"",IF(G2120&lt;='RETRATO 2027'!$K$5,"CONCLUÍDA",IF(F2120&lt;='RETRATO 2027'!$K$5,"EM ANDAMENTO","A INICIAR")))</f>
        <v>CONCLUÍDA</v>
      </c>
    </row>
    <row r="2121" customFormat="false" ht="15" hidden="false" customHeight="false" outlineLevel="0" collapsed="false">
      <c r="B2121" s="4" t="n">
        <v>26743566</v>
      </c>
      <c r="C2121" s="4" t="s">
        <v>2930</v>
      </c>
      <c r="D2121" s="4" t="s">
        <v>433</v>
      </c>
      <c r="E2121" s="4" t="s">
        <v>3685</v>
      </c>
      <c r="F2121" s="127" t="n">
        <v>46427</v>
      </c>
      <c r="G2121" s="127" t="n">
        <v>46436</v>
      </c>
      <c r="H2121" s="127" t="n">
        <v>46293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21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6</v>
      </c>
      <c r="O2121" s="2" t="str">
        <f aca="false">IF(OR(F2121="",G2121=""),"",IF(G2121&lt;='RETRATO 2027'!$K$5,"CONCLUÍDA",IF(F2121&lt;='RETRATO 2027'!$K$5,"EM ANDAMENTO","A INICIAR")))</f>
        <v>CONCLUÍDA</v>
      </c>
    </row>
    <row r="2122" customFormat="false" ht="15" hidden="false" customHeight="false" outlineLevel="0" collapsed="false">
      <c r="B2122" s="4" t="n">
        <v>26743567</v>
      </c>
      <c r="C2122" s="4" t="s">
        <v>2933</v>
      </c>
      <c r="D2122" s="4" t="s">
        <v>433</v>
      </c>
      <c r="E2122" s="4" t="s">
        <v>3685</v>
      </c>
      <c r="F2122" s="127" t="n">
        <v>46427</v>
      </c>
      <c r="G2122" s="127" t="n">
        <v>46436</v>
      </c>
      <c r="H2122" s="127" t="n">
        <v>46293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21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6</v>
      </c>
      <c r="O2122" s="2" t="str">
        <f aca="false">IF(OR(F2122="",G2122=""),"",IF(G2122&lt;='RETRATO 2027'!$K$5,"CONCLUÍDA",IF(F2122&lt;='RETRATO 2027'!$K$5,"EM ANDAMENTO","A INICIAR")))</f>
        <v>CONCLUÍDA</v>
      </c>
    </row>
    <row r="2123" customFormat="false" ht="15" hidden="false" customHeight="false" outlineLevel="0" collapsed="false">
      <c r="B2123" s="4" t="n">
        <v>26743509</v>
      </c>
      <c r="C2123" s="4" t="s">
        <v>2922</v>
      </c>
      <c r="D2123" s="4" t="s">
        <v>433</v>
      </c>
      <c r="E2123" s="4" t="s">
        <v>3686</v>
      </c>
      <c r="F2123" s="127" t="n">
        <v>46427</v>
      </c>
      <c r="G2123" s="127" t="n">
        <v>46436</v>
      </c>
      <c r="H2123" s="127" t="n">
        <v>46293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18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7</v>
      </c>
      <c r="O2123" s="2" t="str">
        <f aca="false">IF(OR(F2123="",G2123=""),"",IF(G2123&lt;='RETRATO 2027'!$K$5,"CONCLUÍDA",IF(F2123&lt;='RETRATO 2027'!$K$5,"EM ANDAMENTO","A INICIAR")))</f>
        <v>CONCLUÍDA</v>
      </c>
    </row>
    <row r="2124" customFormat="false" ht="15" hidden="false" customHeight="false" outlineLevel="0" collapsed="false">
      <c r="B2124" s="4" t="n">
        <v>26750558</v>
      </c>
      <c r="C2124" s="4" t="s">
        <v>2938</v>
      </c>
      <c r="D2124" s="4" t="s">
        <v>433</v>
      </c>
      <c r="E2124" s="4" t="s">
        <v>3782</v>
      </c>
      <c r="F2124" s="127" t="n">
        <v>46428</v>
      </c>
      <c r="G2124" s="127" t="n">
        <v>46434</v>
      </c>
      <c r="H2124" s="127" t="n">
        <v>46293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30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-4</v>
      </c>
      <c r="O2124" s="2" t="str">
        <f aca="false">IF(OR(F2124="",G2124=""),"",IF(G2124&lt;='RETRATO 2027'!$K$5,"CONCLUÍDA",IF(F2124&lt;='RETRATO 2027'!$K$5,"EM ANDAMENTO","A INICIAR")))</f>
        <v>CONCLUÍDA</v>
      </c>
    </row>
    <row r="2125" customFormat="false" ht="15" hidden="false" customHeight="false" outlineLevel="0" collapsed="false">
      <c r="B2125" s="4" t="n">
        <v>26750536</v>
      </c>
      <c r="C2125" s="4" t="s">
        <v>2948</v>
      </c>
      <c r="D2125" s="4" t="s">
        <v>433</v>
      </c>
      <c r="E2125" s="4" t="s">
        <v>3778</v>
      </c>
      <c r="F2125" s="127" t="n">
        <v>46428</v>
      </c>
      <c r="G2125" s="127" t="n">
        <v>46434</v>
      </c>
      <c r="H2125" s="127" t="n">
        <v>46293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25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-2</v>
      </c>
      <c r="O2125" s="2" t="str">
        <f aca="false">IF(OR(F2125="",G2125=""),"",IF(G2125&lt;='RETRATO 2027'!$K$5,"CONCLUÍDA",IF(F2125&lt;='RETRATO 2027'!$K$5,"EM ANDAMENTO","A INICIAR")))</f>
        <v>CONCLUÍDA</v>
      </c>
    </row>
    <row r="2126" customFormat="false" ht="15" hidden="false" customHeight="false" outlineLevel="0" collapsed="false">
      <c r="B2126" s="4" t="n">
        <v>26707665</v>
      </c>
      <c r="C2126" s="4" t="s">
        <v>2869</v>
      </c>
      <c r="D2126" s="4" t="s">
        <v>433</v>
      </c>
      <c r="E2126" s="4" t="s">
        <v>3777</v>
      </c>
      <c r="F2126" s="127" t="n">
        <v>46428</v>
      </c>
      <c r="G2126" s="127" t="n">
        <v>46448</v>
      </c>
      <c r="H2126" s="127" t="n">
        <v>46293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22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1</v>
      </c>
      <c r="O2126" s="2" t="str">
        <f aca="false">IF(OR(F2126="",G2126=""),"",IF(G2126&lt;='RETRATO 2027'!$K$5,"CONCLUÍDA",IF(F2126&lt;='RETRATO 2027'!$K$5,"EM ANDAMENTO","A INICIAR")))</f>
        <v>CONCLUÍDA</v>
      </c>
    </row>
    <row r="2127" customFormat="false" ht="15" hidden="false" customHeight="false" outlineLevel="0" collapsed="false">
      <c r="B2127" s="4" t="n">
        <v>26707645</v>
      </c>
      <c r="C2127" s="4" t="s">
        <v>163</v>
      </c>
      <c r="D2127" s="4" t="s">
        <v>433</v>
      </c>
      <c r="E2127" s="4" t="s">
        <v>3785</v>
      </c>
      <c r="F2127" s="127" t="n">
        <v>46428</v>
      </c>
      <c r="G2127" s="127" t="n">
        <v>46461</v>
      </c>
      <c r="H2127" s="127" t="n">
        <v>46293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18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1</v>
      </c>
      <c r="O2127" s="2" t="str">
        <f aca="false">IF(OR(F2127="",G2127=""),"",IF(G2127&lt;='RETRATO 2027'!$K$5,"CONCLUÍDA",IF(F2127&lt;='RETRATO 2027'!$K$5,"EM ANDAMENTO","A INICIAR")))</f>
        <v>CONCLUÍDA</v>
      </c>
    </row>
    <row r="2128" customFormat="false" ht="15" hidden="false" customHeight="false" outlineLevel="0" collapsed="false">
      <c r="B2128" s="4" t="n">
        <v>26743279</v>
      </c>
      <c r="C2128" s="4" t="s">
        <v>2869</v>
      </c>
      <c r="D2128" s="4" t="s">
        <v>433</v>
      </c>
      <c r="E2128" s="4" t="s">
        <v>3765</v>
      </c>
      <c r="F2128" s="127" t="n">
        <v>46428</v>
      </c>
      <c r="G2128" s="127" t="n">
        <v>46437</v>
      </c>
      <c r="H2128" s="127" t="n">
        <v>46293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22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14</v>
      </c>
      <c r="O2128" s="2" t="str">
        <f aca="false">IF(OR(F2128="",G2128=""),"",IF(G2128&lt;='RETRATO 2027'!$K$5,"CONCLUÍDA",IF(F2128&lt;='RETRATO 2027'!$K$5,"EM ANDAMENTO","A INICIAR")))</f>
        <v>CONCLUÍDA</v>
      </c>
    </row>
    <row r="2129" customFormat="false" ht="15" hidden="false" customHeight="false" outlineLevel="0" collapsed="false">
      <c r="B2129" s="4" t="n">
        <v>26743240</v>
      </c>
      <c r="C2129" s="4" t="s">
        <v>163</v>
      </c>
      <c r="D2129" s="4" t="s">
        <v>433</v>
      </c>
      <c r="E2129" s="4" t="s">
        <v>3768</v>
      </c>
      <c r="F2129" s="127" t="n">
        <v>46428</v>
      </c>
      <c r="G2129" s="127" t="n">
        <v>46437</v>
      </c>
      <c r="H2129" s="127" t="n">
        <v>46293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18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15</v>
      </c>
      <c r="O2129" s="2" t="str">
        <f aca="false">IF(OR(F2129="",G2129=""),"",IF(G2129&lt;='RETRATO 2027'!$K$5,"CONCLUÍDA",IF(F2129&lt;='RETRATO 2027'!$K$5,"EM ANDAMENTO","A INICIAR")))</f>
        <v>CONCLUÍDA</v>
      </c>
    </row>
    <row r="2130" customFormat="false" ht="15" hidden="false" customHeight="false" outlineLevel="0" collapsed="false">
      <c r="B2130" s="4" t="n">
        <v>26743489</v>
      </c>
      <c r="C2130" s="4" t="s">
        <v>2916</v>
      </c>
      <c r="D2130" s="4" t="s">
        <v>433</v>
      </c>
      <c r="E2130" s="4" t="s">
        <v>3706</v>
      </c>
      <c r="F2130" s="127" t="n">
        <v>46429</v>
      </c>
      <c r="G2130" s="127" t="n">
        <v>46436</v>
      </c>
      <c r="H2130" s="127" t="n">
        <v>46293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18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8</v>
      </c>
      <c r="O2130" s="2" t="str">
        <f aca="false">IF(OR(F2130="",G2130=""),"",IF(G2130&lt;='RETRATO 2027'!$K$5,"CONCLUÍDA",IF(F2130&lt;='RETRATO 2027'!$K$5,"EM ANDAMENTO","A INICIAR")))</f>
        <v>CONCLUÍDA</v>
      </c>
    </row>
    <row r="2131" customFormat="false" ht="15" hidden="false" customHeight="false" outlineLevel="0" collapsed="false">
      <c r="B2131" s="4" t="n">
        <v>26744790</v>
      </c>
      <c r="C2131" s="4" t="s">
        <v>2886</v>
      </c>
      <c r="D2131" s="4" t="s">
        <v>433</v>
      </c>
      <c r="E2131" s="4" t="s">
        <v>3769</v>
      </c>
      <c r="F2131" s="127" t="n">
        <v>46433</v>
      </c>
      <c r="G2131" s="127" t="n">
        <v>46444</v>
      </c>
      <c r="H2131" s="127" t="n">
        <v>46293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21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3</v>
      </c>
      <c r="O2131" s="2" t="str">
        <f aca="false">IF(OR(F2131="",G2131=""),"",IF(G2131&lt;='RETRATO 2027'!$K$5,"CONCLUÍDA",IF(F2131&lt;='RETRATO 2027'!$K$5,"EM ANDAMENTO","A INICIAR")))</f>
        <v>CONCLUÍDA</v>
      </c>
    </row>
    <row r="2132" customFormat="false" ht="15" hidden="false" customHeight="false" outlineLevel="0" collapsed="false">
      <c r="B2132" s="4" t="n">
        <v>26743451</v>
      </c>
      <c r="C2132" s="4" t="s">
        <v>2814</v>
      </c>
      <c r="D2132" s="4" t="s">
        <v>433</v>
      </c>
      <c r="E2132" s="4" t="s">
        <v>3716</v>
      </c>
      <c r="F2132" s="127" t="n">
        <v>46433</v>
      </c>
      <c r="G2132" s="127" t="n">
        <v>46440</v>
      </c>
      <c r="H2132" s="127" t="n">
        <v>46293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>28</v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9</v>
      </c>
      <c r="O2132" s="2" t="str">
        <f aca="false">IF(OR(F2132="",G2132=""),"",IF(G2132&lt;='RETRATO 2027'!$K$5,"CONCLUÍDA",IF(F2132&lt;='RETRATO 2027'!$K$5,"EM ANDAMENTO","A INICIAR")))</f>
        <v>CONCLUÍDA</v>
      </c>
    </row>
    <row r="2133" customFormat="false" ht="15" hidden="false" customHeight="false" outlineLevel="0" collapsed="false">
      <c r="B2133" s="4" t="n">
        <v>26743420</v>
      </c>
      <c r="C2133" s="4" t="s">
        <v>2914</v>
      </c>
      <c r="D2133" s="4" t="s">
        <v>433</v>
      </c>
      <c r="E2133" s="4" t="s">
        <v>3722</v>
      </c>
      <c r="F2133" s="127" t="n">
        <v>46433</v>
      </c>
      <c r="G2133" s="127" t="n">
        <v>46442</v>
      </c>
      <c r="H2133" s="127" t="n">
        <v>46293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21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10</v>
      </c>
      <c r="O2133" s="2" t="str">
        <f aca="false">IF(OR(F2133="",G2133=""),"",IF(G2133&lt;='RETRATO 2027'!$K$5,"CONCLUÍDA",IF(F2133&lt;='RETRATO 2027'!$K$5,"EM ANDAMENTO","A INICIAR")))</f>
        <v>CONCLUÍDA</v>
      </c>
    </row>
    <row r="2134" customFormat="false" ht="15" hidden="false" customHeight="false" outlineLevel="0" collapsed="false">
      <c r="B2134" s="4" t="n">
        <v>26743376</v>
      </c>
      <c r="C2134" s="4" t="s">
        <v>2808</v>
      </c>
      <c r="D2134" s="4" t="s">
        <v>433</v>
      </c>
      <c r="E2134" s="4" t="s">
        <v>3762</v>
      </c>
      <c r="F2134" s="127" t="n">
        <v>46433</v>
      </c>
      <c r="G2134" s="127" t="n">
        <v>46442</v>
      </c>
      <c r="H2134" s="127" t="n">
        <v>46293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29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11</v>
      </c>
      <c r="O2134" s="2" t="str">
        <f aca="false">IF(OR(F2134="",G2134=""),"",IF(G2134&lt;='RETRATO 2027'!$K$5,"CONCLUÍDA",IF(F2134&lt;='RETRATO 2027'!$K$5,"EM ANDAMENTO","A INICIAR")))</f>
        <v>CONCLUÍDA</v>
      </c>
    </row>
    <row r="2135" customFormat="false" ht="15" hidden="false" customHeight="false" outlineLevel="0" collapsed="false">
      <c r="B2135" s="4" t="n">
        <v>26743338</v>
      </c>
      <c r="C2135" s="4" t="s">
        <v>2910</v>
      </c>
      <c r="D2135" s="4" t="s">
        <v>433</v>
      </c>
      <c r="E2135" s="4" t="s">
        <v>3763</v>
      </c>
      <c r="F2135" s="127" t="n">
        <v>46433</v>
      </c>
      <c r="G2135" s="127" t="n">
        <v>46442</v>
      </c>
      <c r="H2135" s="127" t="n">
        <v>46293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>25</v>
      </c>
      <c r="N2135" s="2" t="n">
        <f aca="false">IF(E2135="","",IF(ISNUMBER(SEARCH("SUBSOLO",E2135)),IFERROR(-VALUE(LEFT(E2135,FIND("º",SUBSTITUTE(E2135,"°","º"))-1)),-1),IF(LEFT(E2135,6)="TÉRREO",0,IFERROR(VALUE(LEFT(E2135,FIND("º",SUBSTITUTE(E2135,"°","º"))-1)),""))))</f>
        <v>12</v>
      </c>
      <c r="O2135" s="2" t="str">
        <f aca="false">IF(OR(F2135="",G2135=""),"",IF(G2135&lt;='RETRATO 2027'!$K$5,"CONCLUÍDA",IF(F2135&lt;='RETRATO 2027'!$K$5,"EM ANDAMENTO","A INICIAR")))</f>
        <v>CONCLUÍDA</v>
      </c>
    </row>
    <row r="2136" customFormat="false" ht="15" hidden="false" customHeight="false" outlineLevel="0" collapsed="false">
      <c r="B2136" s="4" t="n">
        <v>24939034</v>
      </c>
      <c r="C2136" s="4" t="s">
        <v>2705</v>
      </c>
      <c r="D2136" s="4" t="s">
        <v>433</v>
      </c>
      <c r="E2136" s="4" t="s">
        <v>3786</v>
      </c>
      <c r="F2136" s="127" t="n">
        <v>46433</v>
      </c>
      <c r="G2136" s="127" t="n">
        <v>46441</v>
      </c>
      <c r="H2136" s="127" t="n">
        <v>46293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>17</v>
      </c>
      <c r="N2136" s="2" t="n">
        <f aca="false">IF(E2136="","",IF(ISNUMBER(SEARCH("SUBSOLO",E2136)),IFERROR(-VALUE(LEFT(E2136,FIND("º",SUBSTITUTE(E2136,"°","º"))-1)),-1),IF(LEFT(E2136,6)="TÉRREO",0,IFERROR(VALUE(LEFT(E2136,FIND("º",SUBSTITUTE(E2136,"°","º"))-1)),""))))</f>
        <v>22</v>
      </c>
      <c r="O2136" s="2" t="str">
        <f aca="false">IF(OR(F2136="",G2136=""),"",IF(G2136&lt;='RETRATO 2027'!$K$5,"CONCLUÍDA",IF(F2136&lt;='RETRATO 2027'!$K$5,"EM ANDAMENTO","A INICIAR")))</f>
        <v>CONCLUÍDA</v>
      </c>
    </row>
    <row r="2137" customFormat="false" ht="15" hidden="false" customHeight="false" outlineLevel="0" collapsed="false">
      <c r="B2137" s="4" t="n">
        <v>9360023</v>
      </c>
      <c r="C2137" s="4" t="s">
        <v>2705</v>
      </c>
      <c r="D2137" s="4" t="s">
        <v>3244</v>
      </c>
      <c r="E2137" s="4" t="s">
        <v>3786</v>
      </c>
      <c r="F2137" s="127" t="n">
        <v>46433</v>
      </c>
      <c r="G2137" s="127" t="n">
        <v>46435</v>
      </c>
      <c r="H2137" s="127" t="n">
        <v>46293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>17</v>
      </c>
      <c r="N2137" s="2" t="n">
        <f aca="false">IF(E2137="","",IF(ISNUMBER(SEARCH("SUBSOLO",E2137)),IFERROR(-VALUE(LEFT(E2137,FIND("º",SUBSTITUTE(E2137,"°","º"))-1)),-1),IF(LEFT(E2137,6)="TÉRREO",0,IFERROR(VALUE(LEFT(E2137,FIND("º",SUBSTITUTE(E2137,"°","º"))-1)),""))))</f>
        <v>22</v>
      </c>
      <c r="O2137" s="2" t="str">
        <f aca="false">IF(OR(F2137="",G2137=""),"",IF(G2137&lt;='RETRATO 2027'!$K$5,"CONCLUÍDA",IF(F2137&lt;='RETRATO 2027'!$K$5,"EM ANDAMENTO","A INICIAR")))</f>
        <v>CONCLUÍDA</v>
      </c>
    </row>
    <row r="2138" customFormat="false" ht="15" hidden="false" customHeight="false" outlineLevel="0" collapsed="false">
      <c r="B2138" s="4" t="n">
        <v>9360024</v>
      </c>
      <c r="C2138" s="4" t="s">
        <v>2705</v>
      </c>
      <c r="D2138" s="4" t="s">
        <v>3245</v>
      </c>
      <c r="E2138" s="4" t="s">
        <v>3786</v>
      </c>
      <c r="F2138" s="127" t="n">
        <v>46433</v>
      </c>
      <c r="G2138" s="127" t="n">
        <v>46435</v>
      </c>
      <c r="H2138" s="127" t="n">
        <v>46293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17</v>
      </c>
      <c r="N2138" s="2" t="n">
        <f aca="false">IF(E2138="","",IF(ISNUMBER(SEARCH("SUBSOLO",E2138)),IFERROR(-VALUE(LEFT(E2138,FIND("º",SUBSTITUTE(E2138,"°","º"))-1)),-1),IF(LEFT(E2138,6)="TÉRREO",0,IFERROR(VALUE(LEFT(E2138,FIND("º",SUBSTITUTE(E2138,"°","º"))-1)),""))))</f>
        <v>22</v>
      </c>
      <c r="O2138" s="2" t="str">
        <f aca="false">IF(OR(F2138="",G2138=""),"",IF(G2138&lt;='RETRATO 2027'!$K$5,"CONCLUÍDA",IF(F2138&lt;='RETRATO 2027'!$K$5,"EM ANDAMENTO","A INICIAR")))</f>
        <v>CONCLUÍDA</v>
      </c>
    </row>
    <row r="2139" customFormat="false" ht="15" hidden="false" customHeight="false" outlineLevel="0" collapsed="false">
      <c r="B2139" s="4" t="n">
        <v>9360025</v>
      </c>
      <c r="C2139" s="4" t="s">
        <v>2705</v>
      </c>
      <c r="D2139" s="4" t="s">
        <v>3246</v>
      </c>
      <c r="E2139" s="4" t="s">
        <v>3786</v>
      </c>
      <c r="F2139" s="127" t="n">
        <v>46434</v>
      </c>
      <c r="G2139" s="127" t="n">
        <v>46436</v>
      </c>
      <c r="H2139" s="127" t="n">
        <v>46293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17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22</v>
      </c>
      <c r="O2139" s="2" t="str">
        <f aca="false">IF(OR(F2139="",G2139=""),"",IF(G2139&lt;='RETRATO 2027'!$K$5,"CONCLUÍDA",IF(F2139&lt;='RETRATO 2027'!$K$5,"EM ANDAMENTO","A INICIAR")))</f>
        <v>CONCLUÍDA</v>
      </c>
    </row>
    <row r="2140" customFormat="false" ht="15" hidden="false" customHeight="false" outlineLevel="0" collapsed="false">
      <c r="B2140" s="4" t="n">
        <v>9360026</v>
      </c>
      <c r="C2140" s="4" t="s">
        <v>2705</v>
      </c>
      <c r="D2140" s="4" t="s">
        <v>3247</v>
      </c>
      <c r="E2140" s="4" t="s">
        <v>3786</v>
      </c>
      <c r="F2140" s="127" t="n">
        <v>46437</v>
      </c>
      <c r="G2140" s="127" t="n">
        <v>46437</v>
      </c>
      <c r="H2140" s="127" t="n">
        <v>46293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17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22</v>
      </c>
      <c r="O2140" s="2" t="str">
        <f aca="false">IF(OR(F2140="",G2140=""),"",IF(G2140&lt;='RETRATO 2027'!$K$5,"CONCLUÍDA",IF(F2140&lt;='RETRATO 2027'!$K$5,"EM ANDAMENTO","A INICIAR")))</f>
        <v>CONCLUÍDA</v>
      </c>
    </row>
    <row r="2141" customFormat="false" ht="15" hidden="false" customHeight="false" outlineLevel="0" collapsed="false">
      <c r="B2141" s="4" t="n">
        <v>9360027</v>
      </c>
      <c r="C2141" s="4" t="s">
        <v>2705</v>
      </c>
      <c r="D2141" s="4" t="s">
        <v>3248</v>
      </c>
      <c r="E2141" s="4" t="s">
        <v>3786</v>
      </c>
      <c r="F2141" s="127" t="n">
        <v>46440</v>
      </c>
      <c r="G2141" s="127" t="n">
        <v>46441</v>
      </c>
      <c r="H2141" s="127" t="n">
        <v>46293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17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22</v>
      </c>
      <c r="O2141" s="2" t="str">
        <f aca="false">IF(OR(F2141="",G2141=""),"",IF(G2141&lt;='RETRATO 2027'!$K$5,"CONCLUÍDA",IF(F2141&lt;='RETRATO 2027'!$K$5,"EM ANDAMENTO","A INICIAR")))</f>
        <v>CONCLUÍDA</v>
      </c>
    </row>
    <row r="2142" customFormat="false" ht="15" hidden="false" customHeight="false" outlineLevel="0" collapsed="false">
      <c r="B2142" s="4" t="n">
        <v>9360028</v>
      </c>
      <c r="C2142" s="4" t="s">
        <v>2705</v>
      </c>
      <c r="D2142" s="4" t="s">
        <v>3249</v>
      </c>
      <c r="E2142" s="4" t="s">
        <v>3786</v>
      </c>
      <c r="F2142" s="127" t="n">
        <v>46441</v>
      </c>
      <c r="G2142" s="127" t="n">
        <v>46441</v>
      </c>
      <c r="H2142" s="127" t="n">
        <v>46293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>17</v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22</v>
      </c>
      <c r="O2142" s="2" t="str">
        <f aca="false">IF(OR(F2142="",G2142=""),"",IF(G2142&lt;='RETRATO 2027'!$K$5,"CONCLUÍDA",IF(F2142&lt;='RETRATO 2027'!$K$5,"EM ANDAMENTO","A INICIAR")))</f>
        <v>CONCLUÍDA</v>
      </c>
    </row>
    <row r="2143" customFormat="false" ht="15" hidden="false" customHeight="false" outlineLevel="0" collapsed="false">
      <c r="B2143" s="4" t="n">
        <v>9360029</v>
      </c>
      <c r="C2143" s="4" t="s">
        <v>2705</v>
      </c>
      <c r="D2143" s="4" t="s">
        <v>3250</v>
      </c>
      <c r="E2143" s="4" t="s">
        <v>3786</v>
      </c>
      <c r="F2143" s="127" t="n">
        <v>46440</v>
      </c>
      <c r="G2143" s="127" t="n">
        <v>46440</v>
      </c>
      <c r="H2143" s="127" t="n">
        <v>46293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>17</v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22</v>
      </c>
      <c r="O2143" s="2" t="str">
        <f aca="false">IF(OR(F2143="",G2143=""),"",IF(G2143&lt;='RETRATO 2027'!$K$5,"CONCLUÍDA",IF(F2143&lt;='RETRATO 2027'!$K$5,"EM ANDAMENTO","A INICIAR")))</f>
        <v>CONCLUÍDA</v>
      </c>
    </row>
    <row r="2144" customFormat="false" ht="15" hidden="false" customHeight="false" outlineLevel="0" collapsed="false">
      <c r="B2144" s="4" t="n">
        <v>9360030</v>
      </c>
      <c r="C2144" s="4" t="s">
        <v>2705</v>
      </c>
      <c r="D2144" s="4" t="s">
        <v>3251</v>
      </c>
      <c r="E2144" s="4" t="s">
        <v>3786</v>
      </c>
      <c r="F2144" s="127" t="n">
        <v>46440</v>
      </c>
      <c r="G2144" s="127" t="n">
        <v>46440</v>
      </c>
      <c r="H2144" s="127" t="n">
        <v>46293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>17</v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22</v>
      </c>
      <c r="O2144" s="2" t="str">
        <f aca="false">IF(OR(F2144="",G2144=""),"",IF(G2144&lt;='RETRATO 2027'!$K$5,"CONCLUÍDA",IF(F2144&lt;='RETRATO 2027'!$K$5,"EM ANDAMENTO","A INICIAR")))</f>
        <v>CONCLUÍDA</v>
      </c>
    </row>
    <row r="2145" customFormat="false" ht="15" hidden="false" customHeight="false" outlineLevel="0" collapsed="false">
      <c r="B2145" s="4" t="n">
        <v>9360031</v>
      </c>
      <c r="C2145" s="4" t="s">
        <v>2705</v>
      </c>
      <c r="D2145" s="4" t="s">
        <v>3252</v>
      </c>
      <c r="E2145" s="4" t="s">
        <v>3786</v>
      </c>
      <c r="F2145" s="127" t="n">
        <v>46441</v>
      </c>
      <c r="G2145" s="127" t="n">
        <v>46441</v>
      </c>
      <c r="H2145" s="127" t="n">
        <v>46293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17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22</v>
      </c>
      <c r="O2145" s="2" t="str">
        <f aca="false">IF(OR(F2145="",G2145=""),"",IF(G2145&lt;='RETRATO 2027'!$K$5,"CONCLUÍDA",IF(F2145&lt;='RETRATO 2027'!$K$5,"EM ANDAMENTO","A INICIAR")))</f>
        <v>CONCLUÍDA</v>
      </c>
    </row>
    <row r="2146" customFormat="false" ht="15" hidden="false" customHeight="false" outlineLevel="0" collapsed="false">
      <c r="B2146" s="4" t="n">
        <v>26707664</v>
      </c>
      <c r="C2146" s="4" t="s">
        <v>2886</v>
      </c>
      <c r="D2146" s="4" t="s">
        <v>433</v>
      </c>
      <c r="E2146" s="4" t="s">
        <v>3777</v>
      </c>
      <c r="F2146" s="127" t="n">
        <v>46434</v>
      </c>
      <c r="G2146" s="127" t="n">
        <v>46456</v>
      </c>
      <c r="H2146" s="127" t="n">
        <v>46293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21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1</v>
      </c>
      <c r="O2146" s="2" t="str">
        <f aca="false">IF(OR(F2146="",G2146=""),"",IF(G2146&lt;='RETRATO 2027'!$K$5,"CONCLUÍDA",IF(F2146&lt;='RETRATO 2027'!$K$5,"EM ANDAMENTO","A INICIAR")))</f>
        <v>CONCLUÍDA</v>
      </c>
    </row>
    <row r="2147" customFormat="false" ht="15" hidden="false" customHeight="false" outlineLevel="0" collapsed="false">
      <c r="B2147" s="4" t="n">
        <v>26743322</v>
      </c>
      <c r="C2147" s="4" t="s">
        <v>2896</v>
      </c>
      <c r="D2147" s="4" t="s">
        <v>433</v>
      </c>
      <c r="E2147" s="4" t="s">
        <v>3764</v>
      </c>
      <c r="F2147" s="127" t="n">
        <v>46434</v>
      </c>
      <c r="G2147" s="127" t="n">
        <v>46443</v>
      </c>
      <c r="H2147" s="127" t="n">
        <v>46293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20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13</v>
      </c>
      <c r="O2147" s="2" t="str">
        <f aca="false">IF(OR(F2147="",G2147=""),"",IF(G2147&lt;='RETRATO 2027'!$K$5,"CONCLUÍDA",IF(F2147&lt;='RETRATO 2027'!$K$5,"EM ANDAMENTO","A INICIAR")))</f>
        <v>CONCLUÍDA</v>
      </c>
    </row>
    <row r="2148" customFormat="false" ht="15" hidden="false" customHeight="false" outlineLevel="0" collapsed="false">
      <c r="B2148" s="4" t="n">
        <v>29844467</v>
      </c>
      <c r="C2148" s="4" t="s">
        <v>2898</v>
      </c>
      <c r="D2148" s="4" t="s">
        <v>433</v>
      </c>
      <c r="E2148" s="4" t="s">
        <v>3764</v>
      </c>
      <c r="F2148" s="127" t="n">
        <v>46434</v>
      </c>
      <c r="G2148" s="127" t="n">
        <v>46442</v>
      </c>
      <c r="H2148" s="127" t="n">
        <v>46293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29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13</v>
      </c>
      <c r="O2148" s="2" t="str">
        <f aca="false">IF(OR(F2148="",G2148=""),"",IF(G2148&lt;='RETRATO 2027'!$K$5,"CONCLUÍDA",IF(F2148&lt;='RETRATO 2027'!$K$5,"EM ANDAMENTO","A INICIAR")))</f>
        <v>CONCLUÍDA</v>
      </c>
    </row>
    <row r="2149" customFormat="false" ht="15" hidden="false" customHeight="false" outlineLevel="0" collapsed="false">
      <c r="B2149" s="4" t="n">
        <v>26743278</v>
      </c>
      <c r="C2149" s="4" t="s">
        <v>2886</v>
      </c>
      <c r="D2149" s="4" t="s">
        <v>433</v>
      </c>
      <c r="E2149" s="4" t="s">
        <v>3765</v>
      </c>
      <c r="F2149" s="127" t="n">
        <v>46434</v>
      </c>
      <c r="G2149" s="127" t="n">
        <v>46443</v>
      </c>
      <c r="H2149" s="127" t="n">
        <v>46293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21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14</v>
      </c>
      <c r="O2149" s="2" t="str">
        <f aca="false">IF(OR(F2149="",G2149=""),"",IF(G2149&lt;='RETRATO 2027'!$K$5,"CONCLUÍDA",IF(F2149&lt;='RETRATO 2027'!$K$5,"EM ANDAMENTO","A INICIAR")))</f>
        <v>CONCLUÍDA</v>
      </c>
    </row>
    <row r="2150" customFormat="false" ht="15" hidden="false" customHeight="false" outlineLevel="0" collapsed="false">
      <c r="B2150" s="4" t="n">
        <v>29844643</v>
      </c>
      <c r="C2150" s="4" t="s">
        <v>2888</v>
      </c>
      <c r="D2150" s="4" t="s">
        <v>433</v>
      </c>
      <c r="E2150" s="4" t="s">
        <v>3765</v>
      </c>
      <c r="F2150" s="127" t="n">
        <v>46434</v>
      </c>
      <c r="G2150" s="127" t="n">
        <v>46443</v>
      </c>
      <c r="H2150" s="127" t="n">
        <v>46293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20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14</v>
      </c>
      <c r="O2150" s="2" t="str">
        <f aca="false">IF(OR(F2150="",G2150=""),"",IF(G2150&lt;='RETRATO 2027'!$K$5,"CONCLUÍDA",IF(F2150&lt;='RETRATO 2027'!$K$5,"EM ANDAMENTO","A INICIAR")))</f>
        <v>CONCLUÍDA</v>
      </c>
    </row>
    <row r="2151" customFormat="false" ht="15" hidden="false" customHeight="false" outlineLevel="0" collapsed="false">
      <c r="B2151" s="4" t="n">
        <v>26750554</v>
      </c>
      <c r="C2151" s="4" t="s">
        <v>208</v>
      </c>
      <c r="D2151" s="4" t="s">
        <v>433</v>
      </c>
      <c r="E2151" s="4" t="s">
        <v>3782</v>
      </c>
      <c r="F2151" s="127" t="n">
        <v>46435</v>
      </c>
      <c r="G2151" s="127" t="n">
        <v>46441</v>
      </c>
      <c r="H2151" s="127" t="n">
        <v>46293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33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-4</v>
      </c>
      <c r="O2151" s="2" t="str">
        <f aca="false">IF(OR(F2151="",G2151=""),"",IF(G2151&lt;='RETRATO 2027'!$K$5,"CONCLUÍDA",IF(F2151&lt;='RETRATO 2027'!$K$5,"EM ANDAMENTO","A INICIAR")))</f>
        <v>CONCLUÍDA</v>
      </c>
    </row>
    <row r="2152" customFormat="false" ht="15" hidden="false" customHeight="false" outlineLevel="0" collapsed="false">
      <c r="B2152" s="4" t="n">
        <v>26750540</v>
      </c>
      <c r="C2152" s="4" t="s">
        <v>2951</v>
      </c>
      <c r="D2152" s="4" t="s">
        <v>433</v>
      </c>
      <c r="E2152" s="4" t="s">
        <v>3778</v>
      </c>
      <c r="F2152" s="127" t="n">
        <v>46435</v>
      </c>
      <c r="G2152" s="127" t="n">
        <v>46441</v>
      </c>
      <c r="H2152" s="127" t="n">
        <v>46293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32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-2</v>
      </c>
      <c r="O2152" s="2" t="str">
        <f aca="false">IF(OR(F2152="",G2152=""),"",IF(G2152&lt;='RETRATO 2027'!$K$5,"CONCLUÍDA",IF(F2152&lt;='RETRATO 2027'!$K$5,"EM ANDAMENTO","A INICIAR")))</f>
        <v>CONCLUÍDA</v>
      </c>
    </row>
    <row r="2153" customFormat="false" ht="15" hidden="false" customHeight="false" outlineLevel="0" collapsed="false">
      <c r="B2153" s="4" t="n">
        <v>29844382</v>
      </c>
      <c r="C2153" s="4" t="s">
        <v>2890</v>
      </c>
      <c r="D2153" s="4" t="s">
        <v>433</v>
      </c>
      <c r="E2153" s="4" t="s">
        <v>3765</v>
      </c>
      <c r="F2153" s="127" t="n">
        <v>46436</v>
      </c>
      <c r="G2153" s="127" t="n">
        <v>46447</v>
      </c>
      <c r="H2153" s="127" t="n">
        <v>46293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18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14</v>
      </c>
      <c r="O2153" s="2" t="str">
        <f aca="false">IF(OR(F2153="",G2153=""),"",IF(G2153&lt;='RETRATO 2027'!$K$5,"CONCLUÍDA",IF(F2153&lt;='RETRATO 2027'!$K$5,"EM ANDAMENTO","A INICIAR")))</f>
        <v>CONCLUÍDA</v>
      </c>
    </row>
    <row r="2154" customFormat="false" ht="15" hidden="false" customHeight="false" outlineLevel="0" collapsed="false">
      <c r="B2154" s="4" t="n">
        <v>26743629</v>
      </c>
      <c r="C2154" s="4" t="s">
        <v>2938</v>
      </c>
      <c r="D2154" s="4" t="s">
        <v>433</v>
      </c>
      <c r="E2154" s="4" t="s">
        <v>3668</v>
      </c>
      <c r="F2154" s="127" t="n">
        <v>46437</v>
      </c>
      <c r="G2154" s="127" t="n">
        <v>46448</v>
      </c>
      <c r="H2154" s="127" t="n">
        <v>46293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30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4</v>
      </c>
      <c r="O2154" s="2" t="str">
        <f aca="false">IF(OR(F2154="",G2154=""),"",IF(G2154&lt;='RETRATO 2027'!$K$5,"CONCLUÍDA",IF(F2154&lt;='RETRATO 2027'!$K$5,"EM ANDAMENTO","A INICIAR")))</f>
        <v>CONCLUÍDA</v>
      </c>
    </row>
    <row r="2155" customFormat="false" ht="15" hidden="false" customHeight="false" outlineLevel="0" collapsed="false">
      <c r="B2155" s="4" t="n">
        <v>26743591</v>
      </c>
      <c r="C2155" s="4" t="s">
        <v>166</v>
      </c>
      <c r="D2155" s="4" t="s">
        <v>433</v>
      </c>
      <c r="E2155" s="4" t="s">
        <v>3678</v>
      </c>
      <c r="F2155" s="127" t="n">
        <v>46437</v>
      </c>
      <c r="G2155" s="127" t="n">
        <v>46448</v>
      </c>
      <c r="H2155" s="127" t="n">
        <v>46293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19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5</v>
      </c>
      <c r="O2155" s="2" t="str">
        <f aca="false">IF(OR(F2155="",G2155=""),"",IF(G2155&lt;='RETRATO 2027'!$K$5,"CONCLUÍDA",IF(F2155&lt;='RETRATO 2027'!$K$5,"EM ANDAMENTO","A INICIAR")))</f>
        <v>CONCLUÍDA</v>
      </c>
    </row>
    <row r="2156" customFormat="false" ht="15" hidden="false" customHeight="false" outlineLevel="0" collapsed="false">
      <c r="B2156" s="4" t="n">
        <v>26743564</v>
      </c>
      <c r="C2156" s="4" t="s">
        <v>2941</v>
      </c>
      <c r="D2156" s="4" t="s">
        <v>433</v>
      </c>
      <c r="E2156" s="4" t="s">
        <v>3685</v>
      </c>
      <c r="F2156" s="127" t="n">
        <v>46437</v>
      </c>
      <c r="G2156" s="127" t="n">
        <v>46448</v>
      </c>
      <c r="H2156" s="127" t="n">
        <v>46293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>18</v>
      </c>
      <c r="N2156" s="2" t="n">
        <f aca="false">IF(E2156="","",IF(ISNUMBER(SEARCH("SUBSOLO",E2156)),IFERROR(-VALUE(LEFT(E2156,FIND("º",SUBSTITUTE(E2156,"°","º"))-1)),-1),IF(LEFT(E2156,6)="TÉRREO",0,IFERROR(VALUE(LEFT(E2156,FIND("º",SUBSTITUTE(E2156,"°","º"))-1)),""))))</f>
        <v>6</v>
      </c>
      <c r="O2156" s="2" t="str">
        <f aca="false">IF(OR(F2156="",G2156=""),"",IF(G2156&lt;='RETRATO 2027'!$K$5,"CONCLUÍDA",IF(F2156&lt;='RETRATO 2027'!$K$5,"EM ANDAMENTO","A INICIAR")))</f>
        <v>CONCLUÍDA</v>
      </c>
    </row>
    <row r="2157" customFormat="false" ht="15" hidden="false" customHeight="false" outlineLevel="0" collapsed="false">
      <c r="B2157" s="4" t="n">
        <v>26743528</v>
      </c>
      <c r="C2157" s="4" t="s">
        <v>2924</v>
      </c>
      <c r="D2157" s="4" t="s">
        <v>433</v>
      </c>
      <c r="E2157" s="4" t="s">
        <v>3686</v>
      </c>
      <c r="F2157" s="127" t="n">
        <v>46437</v>
      </c>
      <c r="G2157" s="127" t="n">
        <v>46448</v>
      </c>
      <c r="H2157" s="127" t="n">
        <v>46293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21</v>
      </c>
      <c r="N2157" s="2" t="n">
        <f aca="false">IF(E2157="","",IF(ISNUMBER(SEARCH("SUBSOLO",E2157)),IFERROR(-VALUE(LEFT(E2157,FIND("º",SUBSTITUTE(E2157,"°","º"))-1)),-1),IF(LEFT(E2157,6)="TÉRREO",0,IFERROR(VALUE(LEFT(E2157,FIND("º",SUBSTITUTE(E2157,"°","º"))-1)),""))))</f>
        <v>7</v>
      </c>
      <c r="O2157" s="2" t="str">
        <f aca="false">IF(OR(F2157="",G2157=""),"",IF(G2157&lt;='RETRATO 2027'!$K$5,"CONCLUÍDA",IF(F2157&lt;='RETRATO 2027'!$K$5,"EM ANDAMENTO","A INICIAR")))</f>
        <v>CONCLUÍDA</v>
      </c>
    </row>
    <row r="2158" customFormat="false" ht="15" hidden="false" customHeight="false" outlineLevel="0" collapsed="false">
      <c r="B2158" s="4" t="n">
        <v>26743511</v>
      </c>
      <c r="C2158" s="4" t="s">
        <v>2926</v>
      </c>
      <c r="D2158" s="4" t="s">
        <v>433</v>
      </c>
      <c r="E2158" s="4" t="s">
        <v>3686</v>
      </c>
      <c r="F2158" s="127" t="n">
        <v>46437</v>
      </c>
      <c r="G2158" s="127" t="n">
        <v>46448</v>
      </c>
      <c r="H2158" s="127" t="n">
        <v>46293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20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7</v>
      </c>
      <c r="O2158" s="2" t="str">
        <f aca="false">IF(OR(F2158="",G2158=""),"",IF(G2158&lt;='RETRATO 2027'!$K$5,"CONCLUÍDA",IF(F2158&lt;='RETRATO 2027'!$K$5,"EM ANDAMENTO","A INICIAR")))</f>
        <v>CONCLUÍDA</v>
      </c>
    </row>
    <row r="2159" customFormat="false" ht="15" hidden="false" customHeight="false" outlineLevel="0" collapsed="false">
      <c r="B2159" s="4" t="n">
        <v>26743510</v>
      </c>
      <c r="C2159" s="4" t="s">
        <v>2928</v>
      </c>
      <c r="D2159" s="4" t="s">
        <v>433</v>
      </c>
      <c r="E2159" s="4" t="s">
        <v>3686</v>
      </c>
      <c r="F2159" s="127" t="n">
        <v>46437</v>
      </c>
      <c r="G2159" s="127" t="n">
        <v>46448</v>
      </c>
      <c r="H2159" s="127" t="n">
        <v>46293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23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7</v>
      </c>
      <c r="O2159" s="2" t="str">
        <f aca="false">IF(OR(F2159="",G2159=""),"",IF(G2159&lt;='RETRATO 2027'!$K$5,"CONCLUÍDA",IF(F2159&lt;='RETRATO 2027'!$K$5,"EM ANDAMENTO","A INICIAR")))</f>
        <v>CONCLUÍDA</v>
      </c>
    </row>
    <row r="2160" customFormat="false" ht="15" hidden="false" customHeight="false" outlineLevel="0" collapsed="false">
      <c r="B2160" s="4" t="n">
        <v>26743529</v>
      </c>
      <c r="C2160" s="4" t="s">
        <v>2930</v>
      </c>
      <c r="D2160" s="4" t="s">
        <v>433</v>
      </c>
      <c r="E2160" s="4" t="s">
        <v>3686</v>
      </c>
      <c r="F2160" s="127" t="n">
        <v>46437</v>
      </c>
      <c r="G2160" s="127" t="n">
        <v>46448</v>
      </c>
      <c r="H2160" s="127" t="n">
        <v>46293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21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7</v>
      </c>
      <c r="O2160" s="2" t="str">
        <f aca="false">IF(OR(F2160="",G2160=""),"",IF(G2160&lt;='RETRATO 2027'!$K$5,"CONCLUÍDA",IF(F2160&lt;='RETRATO 2027'!$K$5,"EM ANDAMENTO","A INICIAR")))</f>
        <v>CONCLUÍDA</v>
      </c>
    </row>
    <row r="2161" customFormat="false" ht="15" hidden="false" customHeight="false" outlineLevel="0" collapsed="false">
      <c r="B2161" s="4" t="n">
        <v>26743530</v>
      </c>
      <c r="C2161" s="4" t="s">
        <v>2933</v>
      </c>
      <c r="D2161" s="4" t="s">
        <v>433</v>
      </c>
      <c r="E2161" s="4" t="s">
        <v>3686</v>
      </c>
      <c r="F2161" s="127" t="n">
        <v>46437</v>
      </c>
      <c r="G2161" s="127" t="n">
        <v>46448</v>
      </c>
      <c r="H2161" s="127" t="n">
        <v>46293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>21</v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7</v>
      </c>
      <c r="O2161" s="2" t="str">
        <f aca="false">IF(OR(F2161="",G2161=""),"",IF(G2161&lt;='RETRATO 2027'!$K$5,"CONCLUÍDA",IF(F2161&lt;='RETRATO 2027'!$K$5,"EM ANDAMENTO","A INICIAR")))</f>
        <v>CONCLUÍDA</v>
      </c>
    </row>
    <row r="2162" customFormat="false" ht="15" hidden="false" customHeight="false" outlineLevel="0" collapsed="false">
      <c r="B2162" s="4" t="n">
        <v>26743472</v>
      </c>
      <c r="C2162" s="4" t="s">
        <v>2922</v>
      </c>
      <c r="D2162" s="4" t="s">
        <v>433</v>
      </c>
      <c r="E2162" s="4" t="s">
        <v>3706</v>
      </c>
      <c r="F2162" s="127" t="n">
        <v>46437</v>
      </c>
      <c r="G2162" s="127" t="n">
        <v>46448</v>
      </c>
      <c r="H2162" s="127" t="n">
        <v>46293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>18</v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8</v>
      </c>
      <c r="O2162" s="2" t="str">
        <f aca="false">IF(OR(F2162="",G2162=""),"",IF(G2162&lt;='RETRATO 2027'!$K$5,"CONCLUÍDA",IF(F2162&lt;='RETRATO 2027'!$K$5,"EM ANDAMENTO","A INICIAR")))</f>
        <v>CONCLUÍDA</v>
      </c>
    </row>
    <row r="2163" customFormat="false" ht="15" hidden="false" customHeight="false" outlineLevel="0" collapsed="false">
      <c r="B2163" s="4" t="n">
        <v>26743242</v>
      </c>
      <c r="C2163" s="4" t="s">
        <v>2869</v>
      </c>
      <c r="D2163" s="4" t="s">
        <v>433</v>
      </c>
      <c r="E2163" s="4" t="s">
        <v>3768</v>
      </c>
      <c r="F2163" s="127" t="n">
        <v>46440</v>
      </c>
      <c r="G2163" s="127" t="n">
        <v>46449</v>
      </c>
      <c r="H2163" s="127" t="n">
        <v>46293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22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15</v>
      </c>
      <c r="O2163" s="2" t="str">
        <f aca="false">IF(OR(F2163="",G2163=""),"",IF(G2163&lt;='RETRATO 2027'!$K$5,"CONCLUÍDA",IF(F2163&lt;='RETRATO 2027'!$K$5,"EM ANDAMENTO","A INICIAR")))</f>
        <v>CONCLUÍDA</v>
      </c>
    </row>
    <row r="2164" customFormat="false" ht="15" hidden="false" customHeight="false" outlineLevel="0" collapsed="false">
      <c r="B2164" s="4" t="n">
        <v>26743203</v>
      </c>
      <c r="C2164" s="4" t="s">
        <v>163</v>
      </c>
      <c r="D2164" s="4" t="s">
        <v>433</v>
      </c>
      <c r="E2164" s="4" t="s">
        <v>3771</v>
      </c>
      <c r="F2164" s="127" t="n">
        <v>46440</v>
      </c>
      <c r="G2164" s="127" t="n">
        <v>46449</v>
      </c>
      <c r="H2164" s="127" t="n">
        <v>46293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18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16</v>
      </c>
      <c r="O2164" s="2" t="str">
        <f aca="false">IF(OR(F2164="",G2164=""),"",IF(G2164&lt;='RETRATO 2027'!$K$5,"CONCLUÍDA",IF(F2164&lt;='RETRATO 2027'!$K$5,"EM ANDAMENTO","A INICIAR")))</f>
        <v>CONCLUÍDA</v>
      </c>
    </row>
    <row r="2165" customFormat="false" ht="15" hidden="false" customHeight="false" outlineLevel="0" collapsed="false">
      <c r="B2165" s="4" t="n">
        <v>29844627</v>
      </c>
      <c r="C2165" s="4" t="s">
        <v>2888</v>
      </c>
      <c r="D2165" s="4" t="s">
        <v>433</v>
      </c>
      <c r="E2165" s="4" t="s">
        <v>3449</v>
      </c>
      <c r="F2165" s="127" t="n">
        <v>46441</v>
      </c>
      <c r="G2165" s="127" t="n">
        <v>46450</v>
      </c>
      <c r="H2165" s="127" t="n">
        <v>46293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20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-2</v>
      </c>
      <c r="O2165" s="2" t="str">
        <f aca="false">IF(OR(F2165="",G2165=""),"",IF(G2165&lt;='RETRATO 2027'!$K$5,"CONCLUÍDA",IF(F2165&lt;='RETRATO 2027'!$K$5,"EM ANDAMENTO","A INICIAR")))</f>
        <v>CONCLUÍDA</v>
      </c>
    </row>
    <row r="2166" customFormat="false" ht="15" hidden="false" customHeight="false" outlineLevel="0" collapsed="false">
      <c r="B2166" s="4" t="n">
        <v>26744328</v>
      </c>
      <c r="C2166" s="4" t="s">
        <v>2906</v>
      </c>
      <c r="D2166" s="4" t="s">
        <v>433</v>
      </c>
      <c r="E2166" s="4" t="s">
        <v>3780</v>
      </c>
      <c r="F2166" s="127" t="n">
        <v>46441</v>
      </c>
      <c r="G2166" s="127" t="n">
        <v>46506</v>
      </c>
      <c r="H2166" s="127" t="n">
        <v>46293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19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3</v>
      </c>
      <c r="O2166" s="2" t="str">
        <f aca="false">IF(OR(F2166="",G2166=""),"",IF(G2166&lt;='RETRATO 2027'!$K$5,"CONCLUÍDA",IF(F2166&lt;='RETRATO 2027'!$K$5,"EM ANDAMENTO","A INICIAR")))</f>
        <v>CONCLUÍDA</v>
      </c>
    </row>
    <row r="2167" customFormat="false" ht="15" hidden="false" customHeight="false" outlineLevel="0" collapsed="false">
      <c r="B2167" s="4" t="n">
        <v>26743452</v>
      </c>
      <c r="C2167" s="4" t="s">
        <v>2916</v>
      </c>
      <c r="D2167" s="4" t="s">
        <v>433</v>
      </c>
      <c r="E2167" s="4" t="s">
        <v>3716</v>
      </c>
      <c r="F2167" s="127" t="n">
        <v>46441</v>
      </c>
      <c r="G2167" s="127" t="n">
        <v>46448</v>
      </c>
      <c r="H2167" s="127" t="n">
        <v>46293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>18</v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9</v>
      </c>
      <c r="O2167" s="2" t="str">
        <f aca="false">IF(OR(F2167="",G2167=""),"",IF(G2167&lt;='RETRATO 2027'!$K$5,"CONCLUÍDA",IF(F2167&lt;='RETRATO 2027'!$K$5,"EM ANDAMENTO","A INICIAR")))</f>
        <v>CONCLUÍDA</v>
      </c>
    </row>
    <row r="2168" customFormat="false" ht="15" hidden="false" customHeight="false" outlineLevel="0" collapsed="false">
      <c r="B2168" s="4" t="n">
        <v>26750555</v>
      </c>
      <c r="C2168" s="4" t="s">
        <v>2948</v>
      </c>
      <c r="D2168" s="4" t="s">
        <v>433</v>
      </c>
      <c r="E2168" s="4" t="s">
        <v>3782</v>
      </c>
      <c r="F2168" s="127" t="n">
        <v>46442</v>
      </c>
      <c r="G2168" s="127" t="n">
        <v>46448</v>
      </c>
      <c r="H2168" s="127" t="n">
        <v>46293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>25</v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-4</v>
      </c>
      <c r="O2168" s="2" t="str">
        <f aca="false">IF(OR(F2168="",G2168=""),"",IF(G2168&lt;='RETRATO 2027'!$K$5,"CONCLUÍDA",IF(F2168&lt;='RETRATO 2027'!$K$5,"EM ANDAMENTO","A INICIAR")))</f>
        <v>CONCLUÍDA</v>
      </c>
    </row>
    <row r="2169" customFormat="false" ht="15" hidden="false" customHeight="false" outlineLevel="0" collapsed="false">
      <c r="B2169" s="4" t="n">
        <v>26743736</v>
      </c>
      <c r="C2169" s="4" t="s">
        <v>2900</v>
      </c>
      <c r="D2169" s="4" t="s">
        <v>433</v>
      </c>
      <c r="E2169" s="4" t="s">
        <v>3449</v>
      </c>
      <c r="F2169" s="127" t="n">
        <v>46442</v>
      </c>
      <c r="G2169" s="127" t="n">
        <v>46510</v>
      </c>
      <c r="H2169" s="127" t="n">
        <v>46293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22</v>
      </c>
      <c r="N2169" s="2" t="n">
        <f aca="false">IF(E2169="","",IF(ISNUMBER(SEARCH("SUBSOLO",E2169)),IFERROR(-VALUE(LEFT(E2169,FIND("º",SUBSTITUTE(E2169,"°","º"))-1)),-1),IF(LEFT(E2169,6)="TÉRREO",0,IFERROR(VALUE(LEFT(E2169,FIND("º",SUBSTITUTE(E2169,"°","º"))-1)),""))))</f>
        <v>-2</v>
      </c>
      <c r="O2169" s="2" t="str">
        <f aca="false">IF(OR(F2169="",G2169=""),"",IF(G2169&lt;='RETRATO 2027'!$K$5,"CONCLUÍDA",IF(F2169&lt;='RETRATO 2027'!$K$5,"EM ANDAMENTO","A INICIAR")))</f>
        <v>CONCLUÍDA</v>
      </c>
    </row>
    <row r="2170" customFormat="false" ht="15" hidden="false" customHeight="false" outlineLevel="0" collapsed="false">
      <c r="B2170" s="4" t="n">
        <v>26750541</v>
      </c>
      <c r="C2170" s="4" t="s">
        <v>214</v>
      </c>
      <c r="D2170" s="4" t="s">
        <v>433</v>
      </c>
      <c r="E2170" s="4" t="s">
        <v>3778</v>
      </c>
      <c r="F2170" s="127" t="n">
        <v>46442</v>
      </c>
      <c r="G2170" s="127" t="n">
        <v>46448</v>
      </c>
      <c r="H2170" s="127" t="n">
        <v>46293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35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-2</v>
      </c>
      <c r="O2170" s="2" t="str">
        <f aca="false">IF(OR(F2170="",G2170=""),"",IF(G2170&lt;='RETRATO 2027'!$K$5,"CONCLUÍDA",IF(F2170&lt;='RETRATO 2027'!$K$5,"EM ANDAMENTO","A INICIAR")))</f>
        <v>CONCLUÍDA</v>
      </c>
    </row>
    <row r="2171" customFormat="false" ht="15" hidden="false" customHeight="false" outlineLevel="0" collapsed="false">
      <c r="B2171" s="4" t="n">
        <v>24938995</v>
      </c>
      <c r="C2171" s="4" t="s">
        <v>2705</v>
      </c>
      <c r="D2171" s="4" t="s">
        <v>433</v>
      </c>
      <c r="E2171" s="4" t="s">
        <v>3787</v>
      </c>
      <c r="F2171" s="127" t="n">
        <v>46442</v>
      </c>
      <c r="G2171" s="127" t="n">
        <v>46450</v>
      </c>
      <c r="H2171" s="127" t="n">
        <v>46293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17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23</v>
      </c>
      <c r="O2171" s="2" t="str">
        <f aca="false">IF(OR(F2171="",G2171=""),"",IF(G2171&lt;='RETRATO 2027'!$K$5,"CONCLUÍDA",IF(F2171&lt;='RETRATO 2027'!$K$5,"EM ANDAMENTO","A INICIAR")))</f>
        <v>CONCLUÍDA</v>
      </c>
    </row>
    <row r="2172" customFormat="false" ht="15" hidden="false" customHeight="false" outlineLevel="0" collapsed="false">
      <c r="B2172" s="4" t="n">
        <v>9360014</v>
      </c>
      <c r="C2172" s="4" t="s">
        <v>2705</v>
      </c>
      <c r="D2172" s="4" t="s">
        <v>3244</v>
      </c>
      <c r="E2172" s="4" t="s">
        <v>3787</v>
      </c>
      <c r="F2172" s="127" t="n">
        <v>46442</v>
      </c>
      <c r="G2172" s="127" t="n">
        <v>46444</v>
      </c>
      <c r="H2172" s="127" t="n">
        <v>46293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17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23</v>
      </c>
      <c r="O2172" s="2" t="str">
        <f aca="false">IF(OR(F2172="",G2172=""),"",IF(G2172&lt;='RETRATO 2027'!$K$5,"CONCLUÍDA",IF(F2172&lt;='RETRATO 2027'!$K$5,"EM ANDAMENTO","A INICIAR")))</f>
        <v>CONCLUÍDA</v>
      </c>
    </row>
    <row r="2173" customFormat="false" ht="15" hidden="false" customHeight="false" outlineLevel="0" collapsed="false">
      <c r="B2173" s="4" t="n">
        <v>9360015</v>
      </c>
      <c r="C2173" s="4" t="s">
        <v>2705</v>
      </c>
      <c r="D2173" s="4" t="s">
        <v>3245</v>
      </c>
      <c r="E2173" s="4" t="s">
        <v>3787</v>
      </c>
      <c r="F2173" s="127" t="n">
        <v>46442</v>
      </c>
      <c r="G2173" s="127" t="n">
        <v>46444</v>
      </c>
      <c r="H2173" s="127" t="n">
        <v>46293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17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23</v>
      </c>
      <c r="O2173" s="2" t="str">
        <f aca="false">IF(OR(F2173="",G2173=""),"",IF(G2173&lt;='RETRATO 2027'!$K$5,"CONCLUÍDA",IF(F2173&lt;='RETRATO 2027'!$K$5,"EM ANDAMENTO","A INICIAR")))</f>
        <v>CONCLUÍDA</v>
      </c>
    </row>
    <row r="2174" customFormat="false" ht="15" hidden="false" customHeight="false" outlineLevel="0" collapsed="false">
      <c r="B2174" s="4" t="n">
        <v>9360016</v>
      </c>
      <c r="C2174" s="4" t="s">
        <v>2705</v>
      </c>
      <c r="D2174" s="4" t="s">
        <v>3246</v>
      </c>
      <c r="E2174" s="4" t="s">
        <v>3787</v>
      </c>
      <c r="F2174" s="127" t="n">
        <v>46443</v>
      </c>
      <c r="G2174" s="127" t="n">
        <v>46447</v>
      </c>
      <c r="H2174" s="127" t="n">
        <v>46293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17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23</v>
      </c>
      <c r="O2174" s="2" t="str">
        <f aca="false">IF(OR(F2174="",G2174=""),"",IF(G2174&lt;='RETRATO 2027'!$K$5,"CONCLUÍDA",IF(F2174&lt;='RETRATO 2027'!$K$5,"EM ANDAMENTO","A INICIAR")))</f>
        <v>CONCLUÍDA</v>
      </c>
    </row>
    <row r="2175" customFormat="false" ht="15" hidden="false" customHeight="false" outlineLevel="0" collapsed="false">
      <c r="B2175" s="4" t="n">
        <v>9360017</v>
      </c>
      <c r="C2175" s="4" t="s">
        <v>2705</v>
      </c>
      <c r="D2175" s="4" t="s">
        <v>3247</v>
      </c>
      <c r="E2175" s="4" t="s">
        <v>3787</v>
      </c>
      <c r="F2175" s="127" t="n">
        <v>46448</v>
      </c>
      <c r="G2175" s="127" t="n">
        <v>46448</v>
      </c>
      <c r="H2175" s="127" t="n">
        <v>46293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>17</v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23</v>
      </c>
      <c r="O2175" s="2" t="str">
        <f aca="false">IF(OR(F2175="",G2175=""),"",IF(G2175&lt;='RETRATO 2027'!$K$5,"CONCLUÍDA",IF(F2175&lt;='RETRATO 2027'!$K$5,"EM ANDAMENTO","A INICIAR")))</f>
        <v>CONCLUÍDA</v>
      </c>
    </row>
    <row r="2176" customFormat="false" ht="15" hidden="false" customHeight="false" outlineLevel="0" collapsed="false">
      <c r="B2176" s="4" t="n">
        <v>9360018</v>
      </c>
      <c r="C2176" s="4" t="s">
        <v>2705</v>
      </c>
      <c r="D2176" s="4" t="s">
        <v>3248</v>
      </c>
      <c r="E2176" s="4" t="s">
        <v>3787</v>
      </c>
      <c r="F2176" s="127" t="n">
        <v>46449</v>
      </c>
      <c r="G2176" s="127" t="n">
        <v>46450</v>
      </c>
      <c r="H2176" s="127" t="n">
        <v>46293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17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23</v>
      </c>
      <c r="O2176" s="2" t="str">
        <f aca="false">IF(OR(F2176="",G2176=""),"",IF(G2176&lt;='RETRATO 2027'!$K$5,"CONCLUÍDA",IF(F2176&lt;='RETRATO 2027'!$K$5,"EM ANDAMENTO","A INICIAR")))</f>
        <v>CONCLUÍDA</v>
      </c>
    </row>
    <row r="2177" customFormat="false" ht="15" hidden="false" customHeight="false" outlineLevel="0" collapsed="false">
      <c r="B2177" s="4" t="n">
        <v>9360019</v>
      </c>
      <c r="C2177" s="4" t="s">
        <v>2705</v>
      </c>
      <c r="D2177" s="4" t="s">
        <v>3249</v>
      </c>
      <c r="E2177" s="4" t="s">
        <v>3787</v>
      </c>
      <c r="F2177" s="127" t="n">
        <v>46450</v>
      </c>
      <c r="G2177" s="127" t="n">
        <v>46450</v>
      </c>
      <c r="H2177" s="127" t="n">
        <v>46293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17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23</v>
      </c>
      <c r="O2177" s="2" t="str">
        <f aca="false">IF(OR(F2177="",G2177=""),"",IF(G2177&lt;='RETRATO 2027'!$K$5,"CONCLUÍDA",IF(F2177&lt;='RETRATO 2027'!$K$5,"EM ANDAMENTO","A INICIAR")))</f>
        <v>CONCLUÍDA</v>
      </c>
    </row>
    <row r="2178" customFormat="false" ht="15" hidden="false" customHeight="false" outlineLevel="0" collapsed="false">
      <c r="B2178" s="4" t="n">
        <v>9360020</v>
      </c>
      <c r="C2178" s="4" t="s">
        <v>2705</v>
      </c>
      <c r="D2178" s="4" t="s">
        <v>3250</v>
      </c>
      <c r="E2178" s="4" t="s">
        <v>3787</v>
      </c>
      <c r="F2178" s="127" t="n">
        <v>46449</v>
      </c>
      <c r="G2178" s="127" t="n">
        <v>46449</v>
      </c>
      <c r="H2178" s="127" t="n">
        <v>46293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17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23</v>
      </c>
      <c r="O2178" s="2" t="str">
        <f aca="false">IF(OR(F2178="",G2178=""),"",IF(G2178&lt;='RETRATO 2027'!$K$5,"CONCLUÍDA",IF(F2178&lt;='RETRATO 2027'!$K$5,"EM ANDAMENTO","A INICIAR")))</f>
        <v>CONCLUÍDA</v>
      </c>
    </row>
    <row r="2179" customFormat="false" ht="15" hidden="false" customHeight="false" outlineLevel="0" collapsed="false">
      <c r="B2179" s="4" t="n">
        <v>9360021</v>
      </c>
      <c r="C2179" s="4" t="s">
        <v>2705</v>
      </c>
      <c r="D2179" s="4" t="s">
        <v>3251</v>
      </c>
      <c r="E2179" s="4" t="s">
        <v>3787</v>
      </c>
      <c r="F2179" s="127" t="n">
        <v>46449</v>
      </c>
      <c r="G2179" s="127" t="n">
        <v>46449</v>
      </c>
      <c r="H2179" s="127" t="n">
        <v>46293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17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23</v>
      </c>
      <c r="O2179" s="2" t="str">
        <f aca="false">IF(OR(F2179="",G2179=""),"",IF(G2179&lt;='RETRATO 2027'!$K$5,"CONCLUÍDA",IF(F2179&lt;='RETRATO 2027'!$K$5,"EM ANDAMENTO","A INICIAR")))</f>
        <v>CONCLUÍDA</v>
      </c>
    </row>
    <row r="2180" customFormat="false" ht="15" hidden="false" customHeight="false" outlineLevel="0" collapsed="false">
      <c r="B2180" s="4" t="n">
        <v>9360022</v>
      </c>
      <c r="C2180" s="4" t="s">
        <v>2705</v>
      </c>
      <c r="D2180" s="4" t="s">
        <v>3252</v>
      </c>
      <c r="E2180" s="4" t="s">
        <v>3787</v>
      </c>
      <c r="F2180" s="127" t="n">
        <v>46450</v>
      </c>
      <c r="G2180" s="127" t="n">
        <v>46450</v>
      </c>
      <c r="H2180" s="127" t="n">
        <v>46293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>17</v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23</v>
      </c>
      <c r="O2180" s="2" t="str">
        <f aca="false">IF(OR(F2180="",G2180=""),"",IF(G2180&lt;='RETRATO 2027'!$K$5,"CONCLUÍDA",IF(F2180&lt;='RETRATO 2027'!$K$5,"EM ANDAMENTO","A INICIAR")))</f>
        <v>CONCLUÍDA</v>
      </c>
    </row>
    <row r="2181" customFormat="false" ht="15" hidden="false" customHeight="false" outlineLevel="0" collapsed="false">
      <c r="B2181" s="4" t="n">
        <v>26743414</v>
      </c>
      <c r="C2181" s="4" t="s">
        <v>2814</v>
      </c>
      <c r="D2181" s="4" t="s">
        <v>433</v>
      </c>
      <c r="E2181" s="4" t="s">
        <v>3722</v>
      </c>
      <c r="F2181" s="127" t="n">
        <v>46443</v>
      </c>
      <c r="G2181" s="127" t="n">
        <v>46450</v>
      </c>
      <c r="H2181" s="127" t="n">
        <v>46293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28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10</v>
      </c>
      <c r="O2181" s="2" t="str">
        <f aca="false">IF(OR(F2181="",G2181=""),"",IF(G2181&lt;='RETRATO 2027'!$K$5,"CONCLUÍDA",IF(F2181&lt;='RETRATO 2027'!$K$5,"EM ANDAMENTO","A INICIAR")))</f>
        <v>CONCLUÍDA</v>
      </c>
    </row>
    <row r="2182" customFormat="false" ht="15" hidden="false" customHeight="false" outlineLevel="0" collapsed="false">
      <c r="B2182" s="4" t="n">
        <v>26743383</v>
      </c>
      <c r="C2182" s="4" t="s">
        <v>2914</v>
      </c>
      <c r="D2182" s="4" t="s">
        <v>433</v>
      </c>
      <c r="E2182" s="4" t="s">
        <v>3762</v>
      </c>
      <c r="F2182" s="127" t="n">
        <v>46443</v>
      </c>
      <c r="G2182" s="127" t="n">
        <v>46456</v>
      </c>
      <c r="H2182" s="127" t="n">
        <v>46293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21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11</v>
      </c>
      <c r="O2182" s="2" t="str">
        <f aca="false">IF(OR(F2182="",G2182=""),"",IF(G2182&lt;='RETRATO 2027'!$K$5,"CONCLUÍDA",IF(F2182&lt;='RETRATO 2027'!$K$5,"EM ANDAMENTO","A INICIAR")))</f>
        <v>CONCLUÍDA</v>
      </c>
    </row>
    <row r="2183" customFormat="false" ht="15" hidden="false" customHeight="false" outlineLevel="0" collapsed="false">
      <c r="B2183" s="4" t="n">
        <v>26743339</v>
      </c>
      <c r="C2183" s="4" t="s">
        <v>2808</v>
      </c>
      <c r="D2183" s="4" t="s">
        <v>433</v>
      </c>
      <c r="E2183" s="4" t="s">
        <v>3763</v>
      </c>
      <c r="F2183" s="127" t="n">
        <v>46443</v>
      </c>
      <c r="G2183" s="127" t="n">
        <v>46456</v>
      </c>
      <c r="H2183" s="127" t="n">
        <v>46293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29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12</v>
      </c>
      <c r="O2183" s="2" t="str">
        <f aca="false">IF(OR(F2183="",G2183=""),"",IF(G2183&lt;='RETRATO 2027'!$K$5,"CONCLUÍDA",IF(F2183&lt;='RETRATO 2027'!$K$5,"EM ANDAMENTO","A INICIAR")))</f>
        <v>CONCLUÍDA</v>
      </c>
    </row>
    <row r="2184" customFormat="false" ht="15" hidden="false" customHeight="false" outlineLevel="0" collapsed="false">
      <c r="B2184" s="4" t="n">
        <v>26743301</v>
      </c>
      <c r="C2184" s="4" t="s">
        <v>2910</v>
      </c>
      <c r="D2184" s="4" t="s">
        <v>433</v>
      </c>
      <c r="E2184" s="4" t="s">
        <v>3764</v>
      </c>
      <c r="F2184" s="127" t="n">
        <v>46443</v>
      </c>
      <c r="G2184" s="127" t="n">
        <v>46456</v>
      </c>
      <c r="H2184" s="127" t="n">
        <v>46293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25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13</v>
      </c>
      <c r="O2184" s="2" t="str">
        <f aca="false">IF(OR(F2184="",G2184=""),"",IF(G2184&lt;='RETRATO 2027'!$K$5,"CONCLUÍDA",IF(F2184&lt;='RETRATO 2027'!$K$5,"EM ANDAMENTO","A INICIAR")))</f>
        <v>CONCLUÍDA</v>
      </c>
    </row>
    <row r="2185" customFormat="false" ht="15" hidden="false" customHeight="false" outlineLevel="0" collapsed="false">
      <c r="B2185" s="4" t="n">
        <v>26707702</v>
      </c>
      <c r="C2185" s="4" t="s">
        <v>2956</v>
      </c>
      <c r="D2185" s="4" t="s">
        <v>433</v>
      </c>
      <c r="E2185" s="4" t="s">
        <v>3766</v>
      </c>
      <c r="F2185" s="127" t="n">
        <v>46444</v>
      </c>
      <c r="G2185" s="127" t="n">
        <v>46468</v>
      </c>
      <c r="H2185" s="127" t="n">
        <v>46293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>18</v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1</v>
      </c>
      <c r="O2185" s="2" t="str">
        <f aca="false">IF(OR(F2185="",G2185=""),"",IF(G2185&lt;='RETRATO 2027'!$K$5,"CONCLUÍDA",IF(F2185&lt;='RETRATO 2027'!$K$5,"EM ANDAMENTO","A INICIAR")))</f>
        <v>CONCLUÍDA</v>
      </c>
    </row>
    <row r="2186" customFormat="false" ht="15" hidden="false" customHeight="false" outlineLevel="0" collapsed="false">
      <c r="B2186" s="4" t="n">
        <v>26707688</v>
      </c>
      <c r="C2186" s="4" t="s">
        <v>2916</v>
      </c>
      <c r="D2186" s="4" t="s">
        <v>433</v>
      </c>
      <c r="E2186" s="4" t="s">
        <v>3772</v>
      </c>
      <c r="F2186" s="127" t="n">
        <v>46444</v>
      </c>
      <c r="G2186" s="127" t="n">
        <v>46468</v>
      </c>
      <c r="H2186" s="127" t="n">
        <v>46293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18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1</v>
      </c>
      <c r="O2186" s="2" t="str">
        <f aca="false">IF(OR(F2186="",G2186=""),"",IF(G2186&lt;='RETRATO 2027'!$K$5,"CONCLUÍDA",IF(F2186&lt;='RETRATO 2027'!$K$5,"EM ANDAMENTO","A INICIAR")))</f>
        <v>CONCLUÍDA</v>
      </c>
    </row>
    <row r="2187" customFormat="false" ht="15" hidden="false" customHeight="false" outlineLevel="0" collapsed="false">
      <c r="B2187" s="4" t="n">
        <v>26743285</v>
      </c>
      <c r="C2187" s="4" t="s">
        <v>2896</v>
      </c>
      <c r="D2187" s="4" t="s">
        <v>433</v>
      </c>
      <c r="E2187" s="4" t="s">
        <v>3765</v>
      </c>
      <c r="F2187" s="127" t="n">
        <v>46444</v>
      </c>
      <c r="G2187" s="127" t="n">
        <v>46457</v>
      </c>
      <c r="H2187" s="127" t="n">
        <v>46293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20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14</v>
      </c>
      <c r="O2187" s="2" t="str">
        <f aca="false">IF(OR(F2187="",G2187=""),"",IF(G2187&lt;='RETRATO 2027'!$K$5,"CONCLUÍDA",IF(F2187&lt;='RETRATO 2027'!$K$5,"EM ANDAMENTO","A INICIAR")))</f>
        <v>CONCLUÍDA</v>
      </c>
    </row>
    <row r="2188" customFormat="false" ht="15" hidden="false" customHeight="false" outlineLevel="0" collapsed="false">
      <c r="B2188" s="4" t="n">
        <v>29844468</v>
      </c>
      <c r="C2188" s="4" t="s">
        <v>2898</v>
      </c>
      <c r="D2188" s="4" t="s">
        <v>433</v>
      </c>
      <c r="E2188" s="4" t="s">
        <v>3765</v>
      </c>
      <c r="F2188" s="127" t="n">
        <v>46444</v>
      </c>
      <c r="G2188" s="127" t="n">
        <v>46456</v>
      </c>
      <c r="H2188" s="127" t="n">
        <v>46293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29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14</v>
      </c>
      <c r="O2188" s="2" t="str">
        <f aca="false">IF(OR(F2188="",G2188=""),"",IF(G2188&lt;='RETRATO 2027'!$K$5,"CONCLUÍDA",IF(F2188&lt;='RETRATO 2027'!$K$5,"EM ANDAMENTO","A INICIAR")))</f>
        <v>CONCLUÍDA</v>
      </c>
    </row>
    <row r="2189" customFormat="false" ht="15" hidden="false" customHeight="false" outlineLevel="0" collapsed="false">
      <c r="B2189" s="4" t="n">
        <v>26743241</v>
      </c>
      <c r="C2189" s="4" t="s">
        <v>2886</v>
      </c>
      <c r="D2189" s="4" t="s">
        <v>433</v>
      </c>
      <c r="E2189" s="4" t="s">
        <v>3768</v>
      </c>
      <c r="F2189" s="127" t="n">
        <v>46444</v>
      </c>
      <c r="G2189" s="127" t="n">
        <v>46457</v>
      </c>
      <c r="H2189" s="127" t="n">
        <v>46293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21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15</v>
      </c>
      <c r="O2189" s="2" t="str">
        <f aca="false">IF(OR(F2189="",G2189=""),"",IF(G2189&lt;='RETRATO 2027'!$K$5,"CONCLUÍDA",IF(F2189&lt;='RETRATO 2027'!$K$5,"EM ANDAMENTO","A INICIAR")))</f>
        <v>CONCLUÍDA</v>
      </c>
    </row>
    <row r="2190" customFormat="false" ht="15" hidden="false" customHeight="false" outlineLevel="0" collapsed="false">
      <c r="B2190" s="4" t="n">
        <v>29844644</v>
      </c>
      <c r="C2190" s="4" t="s">
        <v>2888</v>
      </c>
      <c r="D2190" s="4" t="s">
        <v>433</v>
      </c>
      <c r="E2190" s="4" t="s">
        <v>3768</v>
      </c>
      <c r="F2190" s="127" t="n">
        <v>46444</v>
      </c>
      <c r="G2190" s="127" t="n">
        <v>46457</v>
      </c>
      <c r="H2190" s="127" t="n">
        <v>46293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20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15</v>
      </c>
      <c r="O2190" s="2" t="str">
        <f aca="false">IF(OR(F2190="",G2190=""),"",IF(G2190&lt;='RETRATO 2027'!$K$5,"CONCLUÍDA",IF(F2190&lt;='RETRATO 2027'!$K$5,"EM ANDAMENTO","A INICIAR")))</f>
        <v>CONCLUÍDA</v>
      </c>
    </row>
    <row r="2191" customFormat="false" ht="15" hidden="false" customHeight="false" outlineLevel="0" collapsed="false">
      <c r="B2191" s="4" t="n">
        <v>26744801</v>
      </c>
      <c r="C2191" s="4" t="s">
        <v>2924</v>
      </c>
      <c r="D2191" s="4" t="s">
        <v>433</v>
      </c>
      <c r="E2191" s="4" t="s">
        <v>3769</v>
      </c>
      <c r="F2191" s="127" t="n">
        <v>46447</v>
      </c>
      <c r="G2191" s="127" t="n">
        <v>46462</v>
      </c>
      <c r="H2191" s="127" t="n">
        <v>46293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21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3</v>
      </c>
      <c r="O2191" s="2" t="str">
        <f aca="false">IF(OR(F2191="",G2191=""),"",IF(G2191&lt;='RETRATO 2027'!$K$5,"CONCLUÍDA",IF(F2191&lt;='RETRATO 2027'!$K$5,"EM ANDAMENTO","A INICIAR")))</f>
        <v>CONCLUÍDA</v>
      </c>
    </row>
    <row r="2192" customFormat="false" ht="15" hidden="false" customHeight="false" outlineLevel="0" collapsed="false">
      <c r="B2192" s="4" t="n">
        <v>26744804</v>
      </c>
      <c r="C2192" s="4" t="s">
        <v>2926</v>
      </c>
      <c r="D2192" s="4" t="s">
        <v>433</v>
      </c>
      <c r="E2192" s="4" t="s">
        <v>3769</v>
      </c>
      <c r="F2192" s="127" t="n">
        <v>46447</v>
      </c>
      <c r="G2192" s="127" t="n">
        <v>46462</v>
      </c>
      <c r="H2192" s="127" t="n">
        <v>46293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>20</v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3</v>
      </c>
      <c r="O2192" s="2" t="str">
        <f aca="false">IF(OR(F2192="",G2192=""),"",IF(G2192&lt;='RETRATO 2027'!$K$5,"CONCLUÍDA",IF(F2192&lt;='RETRATO 2027'!$K$5,"EM ANDAMENTO","A INICIAR")))</f>
        <v>CONCLUÍDA</v>
      </c>
    </row>
    <row r="2193" customFormat="false" ht="15" hidden="false" customHeight="false" outlineLevel="0" collapsed="false">
      <c r="B2193" s="4" t="n">
        <v>26744803</v>
      </c>
      <c r="C2193" s="4" t="s">
        <v>2959</v>
      </c>
      <c r="D2193" s="4" t="s">
        <v>433</v>
      </c>
      <c r="E2193" s="4" t="s">
        <v>3769</v>
      </c>
      <c r="F2193" s="127" t="n">
        <v>46447</v>
      </c>
      <c r="G2193" s="127" t="n">
        <v>46462</v>
      </c>
      <c r="H2193" s="127" t="n">
        <v>46293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21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3</v>
      </c>
      <c r="O2193" s="2" t="str">
        <f aca="false">IF(OR(F2193="",G2193=""),"",IF(G2193&lt;='RETRATO 2027'!$K$5,"CONCLUÍDA",IF(F2193&lt;='RETRATO 2027'!$K$5,"EM ANDAMENTO","A INICIAR")))</f>
        <v>CONCLUÍDA</v>
      </c>
    </row>
    <row r="2194" customFormat="false" ht="15" hidden="false" customHeight="false" outlineLevel="0" collapsed="false">
      <c r="B2194" s="4" t="n">
        <v>29844383</v>
      </c>
      <c r="C2194" s="4" t="s">
        <v>2890</v>
      </c>
      <c r="D2194" s="4" t="s">
        <v>433</v>
      </c>
      <c r="E2194" s="4" t="s">
        <v>3768</v>
      </c>
      <c r="F2194" s="127" t="n">
        <v>46448</v>
      </c>
      <c r="G2194" s="127" t="n">
        <v>46461</v>
      </c>
      <c r="H2194" s="127" t="n">
        <v>46293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>18</v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15</v>
      </c>
      <c r="O2194" s="2" t="str">
        <f aca="false">IF(OR(F2194="",G2194=""),"",IF(G2194&lt;='RETRATO 2027'!$K$5,"CONCLUÍDA",IF(F2194&lt;='RETRATO 2027'!$K$5,"EM ANDAMENTO","A INICIAR")))</f>
        <v>CONCLUÍDA</v>
      </c>
    </row>
    <row r="2195" customFormat="false" ht="15" hidden="false" customHeight="false" outlineLevel="0" collapsed="false">
      <c r="B2195" s="4" t="n">
        <v>26750559</v>
      </c>
      <c r="C2195" s="4" t="s">
        <v>2951</v>
      </c>
      <c r="D2195" s="4" t="s">
        <v>433</v>
      </c>
      <c r="E2195" s="4" t="s">
        <v>3782</v>
      </c>
      <c r="F2195" s="127" t="n">
        <v>46449</v>
      </c>
      <c r="G2195" s="127" t="n">
        <v>46457</v>
      </c>
      <c r="H2195" s="127" t="n">
        <v>46293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32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-4</v>
      </c>
      <c r="O2195" s="2" t="str">
        <f aca="false">IF(OR(F2195="",G2195=""),"",IF(G2195&lt;='RETRATO 2027'!$K$5,"CONCLUÍDA",IF(F2195&lt;='RETRATO 2027'!$K$5,"EM ANDAMENTO","A INICIAR")))</f>
        <v>CONCLUÍDA</v>
      </c>
    </row>
    <row r="2196" customFormat="false" ht="15" hidden="false" customHeight="false" outlineLevel="0" collapsed="false">
      <c r="B2196" s="4" t="n">
        <v>26750544</v>
      </c>
      <c r="C2196" s="4" t="s">
        <v>2962</v>
      </c>
      <c r="D2196" s="4" t="s">
        <v>433</v>
      </c>
      <c r="E2196" s="4" t="s">
        <v>3778</v>
      </c>
      <c r="F2196" s="127" t="n">
        <v>46449</v>
      </c>
      <c r="G2196" s="127" t="n">
        <v>46457</v>
      </c>
      <c r="H2196" s="127" t="n">
        <v>46293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34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-2</v>
      </c>
      <c r="O2196" s="2" t="str">
        <f aca="false">IF(OR(F2196="",G2196=""),"",IF(G2196&lt;='RETRATO 2027'!$K$5,"CONCLUÍDA",IF(F2196&lt;='RETRATO 2027'!$K$5,"EM ANDAMENTO","A INICIAR")))</f>
        <v>CONCLUÍDA</v>
      </c>
    </row>
    <row r="2197" customFormat="false" ht="15" hidden="false" customHeight="false" outlineLevel="0" collapsed="false">
      <c r="B2197" s="4" t="n">
        <v>26750542</v>
      </c>
      <c r="C2197" s="4" t="s">
        <v>2965</v>
      </c>
      <c r="D2197" s="4" t="s">
        <v>433</v>
      </c>
      <c r="E2197" s="4" t="s">
        <v>3778</v>
      </c>
      <c r="F2197" s="127" t="n">
        <v>46449</v>
      </c>
      <c r="G2197" s="127" t="n">
        <v>46457</v>
      </c>
      <c r="H2197" s="127" t="n">
        <v>46293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>20</v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-2</v>
      </c>
      <c r="O2197" s="2" t="str">
        <f aca="false">IF(OR(F2197="",G2197=""),"",IF(G2197&lt;='RETRATO 2027'!$K$5,"CONCLUÍDA",IF(F2197&lt;='RETRATO 2027'!$K$5,"EM ANDAMENTO","A INICIAR")))</f>
        <v>CONCLUÍDA</v>
      </c>
    </row>
    <row r="2198" customFormat="false" ht="15" hidden="false" customHeight="false" outlineLevel="0" collapsed="false">
      <c r="B2198" s="4" t="n">
        <v>26743645</v>
      </c>
      <c r="C2198" s="4" t="s">
        <v>2935</v>
      </c>
      <c r="D2198" s="4" t="s">
        <v>433</v>
      </c>
      <c r="E2198" s="4" t="s">
        <v>3668</v>
      </c>
      <c r="F2198" s="127" t="n">
        <v>46449</v>
      </c>
      <c r="G2198" s="127" t="n">
        <v>46462</v>
      </c>
      <c r="H2198" s="127" t="n">
        <v>46293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30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4</v>
      </c>
      <c r="O2198" s="2" t="str">
        <f aca="false">IF(OR(F2198="",G2198=""),"",IF(G2198&lt;='RETRATO 2027'!$K$5,"CONCLUÍDA",IF(F2198&lt;='RETRATO 2027'!$K$5,"EM ANDAMENTO","A INICIAR")))</f>
        <v>CONCLUÍDA</v>
      </c>
    </row>
    <row r="2199" customFormat="false" ht="15" hidden="false" customHeight="false" outlineLevel="0" collapsed="false">
      <c r="B2199" s="4" t="n">
        <v>26743592</v>
      </c>
      <c r="C2199" s="4" t="s">
        <v>2938</v>
      </c>
      <c r="D2199" s="4" t="s">
        <v>433</v>
      </c>
      <c r="E2199" s="4" t="s">
        <v>3678</v>
      </c>
      <c r="F2199" s="127" t="n">
        <v>46449</v>
      </c>
      <c r="G2199" s="127" t="n">
        <v>46462</v>
      </c>
      <c r="H2199" s="127" t="n">
        <v>46293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30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5</v>
      </c>
      <c r="O2199" s="2" t="str">
        <f aca="false">IF(OR(F2199="",G2199=""),"",IF(G2199&lt;='RETRATO 2027'!$K$5,"CONCLUÍDA",IF(F2199&lt;='RETRATO 2027'!$K$5,"EM ANDAMENTO","A INICIAR")))</f>
        <v>CONCLUÍDA</v>
      </c>
    </row>
    <row r="2200" customFormat="false" ht="15" hidden="false" customHeight="false" outlineLevel="0" collapsed="false">
      <c r="B2200" s="4" t="n">
        <v>26743554</v>
      </c>
      <c r="C2200" s="4" t="s">
        <v>166</v>
      </c>
      <c r="D2200" s="4" t="s">
        <v>433</v>
      </c>
      <c r="E2200" s="4" t="s">
        <v>3685</v>
      </c>
      <c r="F2200" s="127" t="n">
        <v>46449</v>
      </c>
      <c r="G2200" s="127" t="n">
        <v>46462</v>
      </c>
      <c r="H2200" s="127" t="n">
        <v>46293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19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6</v>
      </c>
      <c r="O2200" s="2" t="str">
        <f aca="false">IF(OR(F2200="",G2200=""),"",IF(G2200&lt;='RETRATO 2027'!$K$5,"CONCLUÍDA",IF(F2200&lt;='RETRATO 2027'!$K$5,"EM ANDAMENTO","A INICIAR")))</f>
        <v>CONCLUÍDA</v>
      </c>
    </row>
    <row r="2201" customFormat="false" ht="15" hidden="false" customHeight="false" outlineLevel="0" collapsed="false">
      <c r="B2201" s="4" t="n">
        <v>26743527</v>
      </c>
      <c r="C2201" s="4" t="s">
        <v>2941</v>
      </c>
      <c r="D2201" s="4" t="s">
        <v>433</v>
      </c>
      <c r="E2201" s="4" t="s">
        <v>3686</v>
      </c>
      <c r="F2201" s="127" t="n">
        <v>46449</v>
      </c>
      <c r="G2201" s="127" t="n">
        <v>46462</v>
      </c>
      <c r="H2201" s="127" t="n">
        <v>46293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>18</v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7</v>
      </c>
      <c r="O2201" s="2" t="str">
        <f aca="false">IF(OR(F2201="",G2201=""),"",IF(G2201&lt;='RETRATO 2027'!$K$5,"CONCLUÍDA",IF(F2201&lt;='RETRATO 2027'!$K$5,"EM ANDAMENTO","A INICIAR")))</f>
        <v>CONCLUÍDA</v>
      </c>
    </row>
    <row r="2202" customFormat="false" ht="15" hidden="false" customHeight="false" outlineLevel="0" collapsed="false">
      <c r="B2202" s="4" t="n">
        <v>26743491</v>
      </c>
      <c r="C2202" s="4" t="s">
        <v>2924</v>
      </c>
      <c r="D2202" s="4" t="s">
        <v>433</v>
      </c>
      <c r="E2202" s="4" t="s">
        <v>3706</v>
      </c>
      <c r="F2202" s="127" t="n">
        <v>46449</v>
      </c>
      <c r="G2202" s="127" t="n">
        <v>46462</v>
      </c>
      <c r="H2202" s="127" t="n">
        <v>46293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21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8</v>
      </c>
      <c r="O2202" s="2" t="str">
        <f aca="false">IF(OR(F2202="",G2202=""),"",IF(G2202&lt;='RETRATO 2027'!$K$5,"CONCLUÍDA",IF(F2202&lt;='RETRATO 2027'!$K$5,"EM ANDAMENTO","A INICIAR")))</f>
        <v>CONCLUÍDA</v>
      </c>
    </row>
    <row r="2203" customFormat="false" ht="15" hidden="false" customHeight="false" outlineLevel="0" collapsed="false">
      <c r="B2203" s="4" t="n">
        <v>26743474</v>
      </c>
      <c r="C2203" s="4" t="s">
        <v>2926</v>
      </c>
      <c r="D2203" s="4" t="s">
        <v>433</v>
      </c>
      <c r="E2203" s="4" t="s">
        <v>3706</v>
      </c>
      <c r="F2203" s="127" t="n">
        <v>46449</v>
      </c>
      <c r="G2203" s="127" t="n">
        <v>46462</v>
      </c>
      <c r="H2203" s="127" t="n">
        <v>46293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20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8</v>
      </c>
      <c r="O2203" s="2" t="str">
        <f aca="false">IF(OR(F2203="",G2203=""),"",IF(G2203&lt;='RETRATO 2027'!$K$5,"CONCLUÍDA",IF(F2203&lt;='RETRATO 2027'!$K$5,"EM ANDAMENTO","A INICIAR")))</f>
        <v>CONCLUÍDA</v>
      </c>
    </row>
    <row r="2204" customFormat="false" ht="15" hidden="false" customHeight="false" outlineLevel="0" collapsed="false">
      <c r="B2204" s="4" t="n">
        <v>26743473</v>
      </c>
      <c r="C2204" s="4" t="s">
        <v>2928</v>
      </c>
      <c r="D2204" s="4" t="s">
        <v>433</v>
      </c>
      <c r="E2204" s="4" t="s">
        <v>3706</v>
      </c>
      <c r="F2204" s="127" t="n">
        <v>46449</v>
      </c>
      <c r="G2204" s="127" t="n">
        <v>46462</v>
      </c>
      <c r="H2204" s="127" t="n">
        <v>46293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23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8</v>
      </c>
      <c r="O2204" s="2" t="str">
        <f aca="false">IF(OR(F2204="",G2204=""),"",IF(G2204&lt;='RETRATO 2027'!$K$5,"CONCLUÍDA",IF(F2204&lt;='RETRATO 2027'!$K$5,"EM ANDAMENTO","A INICIAR")))</f>
        <v>CONCLUÍDA</v>
      </c>
    </row>
    <row r="2205" customFormat="false" ht="15" hidden="false" customHeight="false" outlineLevel="0" collapsed="false">
      <c r="B2205" s="4" t="n">
        <v>26743492</v>
      </c>
      <c r="C2205" s="4" t="s">
        <v>2930</v>
      </c>
      <c r="D2205" s="4" t="s">
        <v>433</v>
      </c>
      <c r="E2205" s="4" t="s">
        <v>3706</v>
      </c>
      <c r="F2205" s="127" t="n">
        <v>46449</v>
      </c>
      <c r="G2205" s="127" t="n">
        <v>46462</v>
      </c>
      <c r="H2205" s="127" t="n">
        <v>46293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>21</v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8</v>
      </c>
      <c r="O2205" s="2" t="str">
        <f aca="false">IF(OR(F2205="",G2205=""),"",IF(G2205&lt;='RETRATO 2027'!$K$5,"CONCLUÍDA",IF(F2205&lt;='RETRATO 2027'!$K$5,"EM ANDAMENTO","A INICIAR")))</f>
        <v>CONCLUÍDA</v>
      </c>
    </row>
    <row r="2206" customFormat="false" ht="15" hidden="false" customHeight="false" outlineLevel="0" collapsed="false">
      <c r="B2206" s="4" t="n">
        <v>26743493</v>
      </c>
      <c r="C2206" s="4" t="s">
        <v>2933</v>
      </c>
      <c r="D2206" s="4" t="s">
        <v>433</v>
      </c>
      <c r="E2206" s="4" t="s">
        <v>3706</v>
      </c>
      <c r="F2206" s="127" t="n">
        <v>46449</v>
      </c>
      <c r="G2206" s="127" t="n">
        <v>46462</v>
      </c>
      <c r="H2206" s="127" t="n">
        <v>46293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21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8</v>
      </c>
      <c r="O2206" s="2" t="str">
        <f aca="false">IF(OR(F2206="",G2206=""),"",IF(G2206&lt;='RETRATO 2027'!$K$5,"CONCLUÍDA",IF(F2206&lt;='RETRATO 2027'!$K$5,"EM ANDAMENTO","A INICIAR")))</f>
        <v>CONCLUÍDA</v>
      </c>
    </row>
    <row r="2207" customFormat="false" ht="15" hidden="false" customHeight="false" outlineLevel="0" collapsed="false">
      <c r="B2207" s="4" t="n">
        <v>26743435</v>
      </c>
      <c r="C2207" s="4" t="s">
        <v>2922</v>
      </c>
      <c r="D2207" s="4" t="s">
        <v>433</v>
      </c>
      <c r="E2207" s="4" t="s">
        <v>3716</v>
      </c>
      <c r="F2207" s="127" t="n">
        <v>46449</v>
      </c>
      <c r="G2207" s="127" t="n">
        <v>46462</v>
      </c>
      <c r="H2207" s="127" t="n">
        <v>46293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18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9</v>
      </c>
      <c r="O2207" s="2" t="str">
        <f aca="false">IF(OR(F2207="",G2207=""),"",IF(G2207&lt;='RETRATO 2027'!$K$5,"CONCLUÍDA",IF(F2207&lt;='RETRATO 2027'!$K$5,"EM ANDAMENTO","A INICIAR")))</f>
        <v>CONCLUÍDA</v>
      </c>
    </row>
    <row r="2208" customFormat="false" ht="15" hidden="false" customHeight="false" outlineLevel="0" collapsed="false">
      <c r="B2208" s="4" t="n">
        <v>26743205</v>
      </c>
      <c r="C2208" s="4" t="s">
        <v>2869</v>
      </c>
      <c r="D2208" s="4" t="s">
        <v>433</v>
      </c>
      <c r="E2208" s="4" t="s">
        <v>3771</v>
      </c>
      <c r="F2208" s="127" t="n">
        <v>46450</v>
      </c>
      <c r="G2208" s="127" t="n">
        <v>46463</v>
      </c>
      <c r="H2208" s="127" t="n">
        <v>46293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22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16</v>
      </c>
      <c r="O2208" s="2" t="str">
        <f aca="false">IF(OR(F2208="",G2208=""),"",IF(G2208&lt;='RETRATO 2027'!$K$5,"CONCLUÍDA",IF(F2208&lt;='RETRATO 2027'!$K$5,"EM ANDAMENTO","A INICIAR")))</f>
        <v>CONCLUÍDA</v>
      </c>
    </row>
    <row r="2209" customFormat="false" ht="15" hidden="false" customHeight="false" outlineLevel="0" collapsed="false">
      <c r="B2209" s="4" t="n">
        <v>26743166</v>
      </c>
      <c r="C2209" s="4" t="s">
        <v>163</v>
      </c>
      <c r="D2209" s="4" t="s">
        <v>433</v>
      </c>
      <c r="E2209" s="4" t="s">
        <v>3773</v>
      </c>
      <c r="F2209" s="127" t="n">
        <v>46450</v>
      </c>
      <c r="G2209" s="127" t="n">
        <v>46463</v>
      </c>
      <c r="H2209" s="127" t="n">
        <v>46293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18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17</v>
      </c>
      <c r="O2209" s="2" t="str">
        <f aca="false">IF(OR(F2209="",G2209=""),"",IF(G2209&lt;='RETRATO 2027'!$K$5,"CONCLUÍDA",IF(F2209&lt;='RETRATO 2027'!$K$5,"EM ANDAMENTO","A INICIAR")))</f>
        <v>CONCLUÍDA</v>
      </c>
    </row>
    <row r="2210" customFormat="false" ht="15" hidden="false" customHeight="false" outlineLevel="0" collapsed="false">
      <c r="B2210" s="4" t="n">
        <v>26743415</v>
      </c>
      <c r="C2210" s="4" t="s">
        <v>2916</v>
      </c>
      <c r="D2210" s="4" t="s">
        <v>433</v>
      </c>
      <c r="E2210" s="4" t="s">
        <v>3722</v>
      </c>
      <c r="F2210" s="127" t="n">
        <v>46451</v>
      </c>
      <c r="G2210" s="127" t="n">
        <v>46462</v>
      </c>
      <c r="H2210" s="127" t="n">
        <v>46293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18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10</v>
      </c>
      <c r="O2210" s="2" t="str">
        <f aca="false">IF(OR(F2210="",G2210=""),"",IF(G2210&lt;='RETRATO 2027'!$K$5,"CONCLUÍDA",IF(F2210&lt;='RETRATO 2027'!$K$5,"EM ANDAMENTO","A INICIAR")))</f>
        <v>CONCLUÍDA</v>
      </c>
    </row>
    <row r="2211" customFormat="false" ht="15" hidden="false" customHeight="false" outlineLevel="0" collapsed="false">
      <c r="B2211" s="4" t="n">
        <v>24938956</v>
      </c>
      <c r="C2211" s="4" t="s">
        <v>2705</v>
      </c>
      <c r="D2211" s="4" t="s">
        <v>433</v>
      </c>
      <c r="E2211" s="4" t="s">
        <v>3788</v>
      </c>
      <c r="F2211" s="127" t="n">
        <v>46451</v>
      </c>
      <c r="G2211" s="127" t="n">
        <v>46463</v>
      </c>
      <c r="H2211" s="127" t="n">
        <v>46293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>17</v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24</v>
      </c>
      <c r="O2211" s="2" t="str">
        <f aca="false">IF(OR(F2211="",G2211=""),"",IF(G2211&lt;='RETRATO 2027'!$K$5,"CONCLUÍDA",IF(F2211&lt;='RETRATO 2027'!$K$5,"EM ANDAMENTO","A INICIAR")))</f>
        <v>CONCLUÍDA</v>
      </c>
    </row>
    <row r="2212" customFormat="false" ht="15" hidden="false" customHeight="false" outlineLevel="0" collapsed="false">
      <c r="B2212" s="4" t="n">
        <v>9360005</v>
      </c>
      <c r="C2212" s="4" t="s">
        <v>2705</v>
      </c>
      <c r="D2212" s="4" t="s">
        <v>3244</v>
      </c>
      <c r="E2212" s="4" t="s">
        <v>3788</v>
      </c>
      <c r="F2212" s="127" t="n">
        <v>46451</v>
      </c>
      <c r="G2212" s="127" t="n">
        <v>46457</v>
      </c>
      <c r="H2212" s="127" t="n">
        <v>46293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17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24</v>
      </c>
      <c r="O2212" s="2" t="str">
        <f aca="false">IF(OR(F2212="",G2212=""),"",IF(G2212&lt;='RETRATO 2027'!$K$5,"CONCLUÍDA",IF(F2212&lt;='RETRATO 2027'!$K$5,"EM ANDAMENTO","A INICIAR")))</f>
        <v>CONCLUÍDA</v>
      </c>
    </row>
    <row r="2213" customFormat="false" ht="15" hidden="false" customHeight="false" outlineLevel="0" collapsed="false">
      <c r="B2213" s="4" t="n">
        <v>9360006</v>
      </c>
      <c r="C2213" s="4" t="s">
        <v>2705</v>
      </c>
      <c r="D2213" s="4" t="s">
        <v>3245</v>
      </c>
      <c r="E2213" s="4" t="s">
        <v>3788</v>
      </c>
      <c r="F2213" s="127" t="n">
        <v>46451</v>
      </c>
      <c r="G2213" s="127" t="n">
        <v>46457</v>
      </c>
      <c r="H2213" s="127" t="n">
        <v>46293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17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24</v>
      </c>
      <c r="O2213" s="2" t="str">
        <f aca="false">IF(OR(F2213="",G2213=""),"",IF(G2213&lt;='RETRATO 2027'!$K$5,"CONCLUÍDA",IF(F2213&lt;='RETRATO 2027'!$K$5,"EM ANDAMENTO","A INICIAR")))</f>
        <v>CONCLUÍDA</v>
      </c>
    </row>
    <row r="2214" customFormat="false" ht="15" hidden="false" customHeight="false" outlineLevel="0" collapsed="false">
      <c r="B2214" s="4" t="n">
        <v>9360007</v>
      </c>
      <c r="C2214" s="4" t="s">
        <v>2705</v>
      </c>
      <c r="D2214" s="4" t="s">
        <v>3246</v>
      </c>
      <c r="E2214" s="4" t="s">
        <v>3788</v>
      </c>
      <c r="F2214" s="127" t="n">
        <v>46456</v>
      </c>
      <c r="G2214" s="127" t="n">
        <v>46458</v>
      </c>
      <c r="H2214" s="127" t="n">
        <v>46293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17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24</v>
      </c>
      <c r="O2214" s="2" t="str">
        <f aca="false">IF(OR(F2214="",G2214=""),"",IF(G2214&lt;='RETRATO 2027'!$K$5,"CONCLUÍDA",IF(F2214&lt;='RETRATO 2027'!$K$5,"EM ANDAMENTO","A INICIAR")))</f>
        <v>CONCLUÍDA</v>
      </c>
    </row>
    <row r="2215" customFormat="false" ht="15" hidden="false" customHeight="false" outlineLevel="0" collapsed="false">
      <c r="B2215" s="4" t="n">
        <v>9360008</v>
      </c>
      <c r="C2215" s="4" t="s">
        <v>2705</v>
      </c>
      <c r="D2215" s="4" t="s">
        <v>3247</v>
      </c>
      <c r="E2215" s="4" t="s">
        <v>3788</v>
      </c>
      <c r="F2215" s="127" t="n">
        <v>46461</v>
      </c>
      <c r="G2215" s="127" t="n">
        <v>46461</v>
      </c>
      <c r="H2215" s="127" t="n">
        <v>46293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17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24</v>
      </c>
      <c r="O2215" s="2" t="str">
        <f aca="false">IF(OR(F2215="",G2215=""),"",IF(G2215&lt;='RETRATO 2027'!$K$5,"CONCLUÍDA",IF(F2215&lt;='RETRATO 2027'!$K$5,"EM ANDAMENTO","A INICIAR")))</f>
        <v>CONCLUÍDA</v>
      </c>
    </row>
    <row r="2216" customFormat="false" ht="15" hidden="false" customHeight="false" outlineLevel="0" collapsed="false">
      <c r="B2216" s="4" t="n">
        <v>9360009</v>
      </c>
      <c r="C2216" s="4" t="s">
        <v>2705</v>
      </c>
      <c r="D2216" s="4" t="s">
        <v>3248</v>
      </c>
      <c r="E2216" s="4" t="s">
        <v>3788</v>
      </c>
      <c r="F2216" s="127" t="n">
        <v>46462</v>
      </c>
      <c r="G2216" s="127" t="n">
        <v>46463</v>
      </c>
      <c r="H2216" s="127" t="n">
        <v>46293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>17</v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24</v>
      </c>
      <c r="O2216" s="2" t="str">
        <f aca="false">IF(OR(F2216="",G2216=""),"",IF(G2216&lt;='RETRATO 2027'!$K$5,"CONCLUÍDA",IF(F2216&lt;='RETRATO 2027'!$K$5,"EM ANDAMENTO","A INICIAR")))</f>
        <v>CONCLUÍDA</v>
      </c>
    </row>
    <row r="2217" customFormat="false" ht="15" hidden="false" customHeight="false" outlineLevel="0" collapsed="false">
      <c r="B2217" s="4" t="n">
        <v>9360010</v>
      </c>
      <c r="C2217" s="4" t="s">
        <v>2705</v>
      </c>
      <c r="D2217" s="4" t="s">
        <v>3249</v>
      </c>
      <c r="E2217" s="4" t="s">
        <v>3788</v>
      </c>
      <c r="F2217" s="127" t="n">
        <v>46463</v>
      </c>
      <c r="G2217" s="127" t="n">
        <v>46463</v>
      </c>
      <c r="H2217" s="127" t="n">
        <v>46293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17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24</v>
      </c>
      <c r="O2217" s="2" t="str">
        <f aca="false">IF(OR(F2217="",G2217=""),"",IF(G2217&lt;='RETRATO 2027'!$K$5,"CONCLUÍDA",IF(F2217&lt;='RETRATO 2027'!$K$5,"EM ANDAMENTO","A INICIAR")))</f>
        <v>CONCLUÍDA</v>
      </c>
    </row>
    <row r="2218" customFormat="false" ht="15" hidden="false" customHeight="false" outlineLevel="0" collapsed="false">
      <c r="B2218" s="4" t="n">
        <v>9360011</v>
      </c>
      <c r="C2218" s="4" t="s">
        <v>2705</v>
      </c>
      <c r="D2218" s="4" t="s">
        <v>3250</v>
      </c>
      <c r="E2218" s="4" t="s">
        <v>3788</v>
      </c>
      <c r="F2218" s="127" t="n">
        <v>46462</v>
      </c>
      <c r="G2218" s="127" t="n">
        <v>46462</v>
      </c>
      <c r="H2218" s="127" t="n">
        <v>46293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17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24</v>
      </c>
      <c r="O2218" s="2" t="str">
        <f aca="false">IF(OR(F2218="",G2218=""),"",IF(G2218&lt;='RETRATO 2027'!$K$5,"CONCLUÍDA",IF(F2218&lt;='RETRATO 2027'!$K$5,"EM ANDAMENTO","A INICIAR")))</f>
        <v>CONCLUÍDA</v>
      </c>
    </row>
    <row r="2219" customFormat="false" ht="15" hidden="false" customHeight="false" outlineLevel="0" collapsed="false">
      <c r="B2219" s="4" t="n">
        <v>9360012</v>
      </c>
      <c r="C2219" s="4" t="s">
        <v>2705</v>
      </c>
      <c r="D2219" s="4" t="s">
        <v>3251</v>
      </c>
      <c r="E2219" s="4" t="s">
        <v>3788</v>
      </c>
      <c r="F2219" s="127" t="n">
        <v>46462</v>
      </c>
      <c r="G2219" s="127" t="n">
        <v>46462</v>
      </c>
      <c r="H2219" s="127" t="n">
        <v>46293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>17</v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24</v>
      </c>
      <c r="O2219" s="2" t="str">
        <f aca="false">IF(OR(F2219="",G2219=""),"",IF(G2219&lt;='RETRATO 2027'!$K$5,"CONCLUÍDA",IF(F2219&lt;='RETRATO 2027'!$K$5,"EM ANDAMENTO","A INICIAR")))</f>
        <v>CONCLUÍDA</v>
      </c>
    </row>
    <row r="2220" customFormat="false" ht="15" hidden="false" customHeight="false" outlineLevel="0" collapsed="false">
      <c r="B2220" s="4" t="n">
        <v>9360013</v>
      </c>
      <c r="C2220" s="4" t="s">
        <v>2705</v>
      </c>
      <c r="D2220" s="4" t="s">
        <v>3252</v>
      </c>
      <c r="E2220" s="4" t="s">
        <v>3788</v>
      </c>
      <c r="F2220" s="127" t="n">
        <v>46463</v>
      </c>
      <c r="G2220" s="127" t="n">
        <v>46463</v>
      </c>
      <c r="H2220" s="127" t="n">
        <v>46293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17</v>
      </c>
      <c r="N2220" s="2" t="n">
        <f aca="false">IF(E2220="","",IF(ISNUMBER(SEARCH("SUBSOLO",E2220)),IFERROR(-VALUE(LEFT(E2220,FIND("º",SUBSTITUTE(E2220,"°","º"))-1)),-1),IF(LEFT(E2220,6)="TÉRREO",0,IFERROR(VALUE(LEFT(E2220,FIND("º",SUBSTITUTE(E2220,"°","º"))-1)),""))))</f>
        <v>24</v>
      </c>
      <c r="O2220" s="2" t="str">
        <f aca="false">IF(OR(F2220="",G2220=""),"",IF(G2220&lt;='RETRATO 2027'!$K$5,"CONCLUÍDA",IF(F2220&lt;='RETRATO 2027'!$K$5,"EM ANDAMENTO","A INICIAR")))</f>
        <v>CONCLUÍDA</v>
      </c>
    </row>
    <row r="2221" customFormat="false" ht="15" hidden="false" customHeight="false" outlineLevel="0" collapsed="false">
      <c r="B2221" s="4" t="n">
        <v>26249671</v>
      </c>
      <c r="C2221" s="4" t="s">
        <v>2968</v>
      </c>
      <c r="D2221" s="4" t="s">
        <v>433</v>
      </c>
      <c r="E2221" s="4" t="s">
        <v>3789</v>
      </c>
      <c r="F2221" s="127" t="n">
        <v>46451</v>
      </c>
      <c r="G2221" s="127" t="n">
        <v>46556</v>
      </c>
      <c r="H2221" s="127" t="n">
        <v>46293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32</v>
      </c>
      <c r="N2221" s="2" t="str">
        <f aca="false"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 t="str">
        <f aca="false">IF(OR(F2221="",G2221=""),"",IF(G2221&lt;='RETRATO 2027'!$K$5,"CONCLUÍDA",IF(F2221&lt;='RETRATO 2027'!$K$5,"EM ANDAMENTO","A INICIAR")))</f>
        <v>CONCLUÍDA</v>
      </c>
    </row>
    <row r="2222" customFormat="false" ht="15" hidden="false" customHeight="false" outlineLevel="0" collapsed="false">
      <c r="B2222" s="4" t="n">
        <v>9370048</v>
      </c>
      <c r="C2222" s="4" t="s">
        <v>2968</v>
      </c>
      <c r="D2222" s="4" t="s">
        <v>3790</v>
      </c>
      <c r="E2222" s="4" t="s">
        <v>3789</v>
      </c>
      <c r="F2222" s="127" t="n">
        <v>46451</v>
      </c>
      <c r="G2222" s="127" t="n">
        <v>46511</v>
      </c>
      <c r="H2222" s="127" t="n">
        <v>46293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32</v>
      </c>
      <c r="N2222" s="2" t="str">
        <f aca="false"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 t="str">
        <f aca="false">IF(OR(F2222="",G2222=""),"",IF(G2222&lt;='RETRATO 2027'!$K$5,"CONCLUÍDA",IF(F2222&lt;='RETRATO 2027'!$K$5,"EM ANDAMENTO","A INICIAR")))</f>
        <v>CONCLUÍDA</v>
      </c>
    </row>
    <row r="2223" customFormat="false" ht="15" hidden="false" customHeight="false" outlineLevel="0" collapsed="false">
      <c r="B2223" s="4" t="n">
        <v>9370049</v>
      </c>
      <c r="C2223" s="4" t="s">
        <v>2968</v>
      </c>
      <c r="D2223" s="4" t="s">
        <v>3791</v>
      </c>
      <c r="E2223" s="4" t="s">
        <v>3789</v>
      </c>
      <c r="F2223" s="127" t="n">
        <v>46456</v>
      </c>
      <c r="G2223" s="127" t="n">
        <v>46555</v>
      </c>
      <c r="H2223" s="127" t="n">
        <v>46293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32</v>
      </c>
      <c r="N2223" s="2" t="str">
        <f aca="false"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 t="str">
        <f aca="false">IF(OR(F2223="",G2223=""),"",IF(G2223&lt;='RETRATO 2027'!$K$5,"CONCLUÍDA",IF(F2223&lt;='RETRATO 2027'!$K$5,"EM ANDAMENTO","A INICIAR")))</f>
        <v>CONCLUÍDA</v>
      </c>
    </row>
    <row r="2224" customFormat="false" ht="15" hidden="false" customHeight="false" outlineLevel="0" collapsed="false">
      <c r="B2224" s="4" t="n">
        <v>9370050</v>
      </c>
      <c r="C2224" s="4" t="s">
        <v>2968</v>
      </c>
      <c r="D2224" s="4" t="s">
        <v>3792</v>
      </c>
      <c r="E2224" s="4" t="s">
        <v>3789</v>
      </c>
      <c r="F2224" s="127" t="n">
        <v>46457</v>
      </c>
      <c r="G2224" s="127" t="n">
        <v>46556</v>
      </c>
      <c r="H2224" s="127" t="n">
        <v>46293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32</v>
      </c>
      <c r="N2224" s="2" t="str">
        <f aca="false"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 t="str">
        <f aca="false">IF(OR(F2224="",G2224=""),"",IF(G2224&lt;='RETRATO 2027'!$K$5,"CONCLUÍDA",IF(F2224&lt;='RETRATO 2027'!$K$5,"EM ANDAMENTO","A INICIAR")))</f>
        <v>CONCLUÍDA</v>
      </c>
    </row>
    <row r="2225" customFormat="false" ht="15" hidden="false" customHeight="false" outlineLevel="0" collapsed="false">
      <c r="B2225" s="4" t="n">
        <v>9370051</v>
      </c>
      <c r="C2225" s="4" t="s">
        <v>2968</v>
      </c>
      <c r="D2225" s="4" t="s">
        <v>3793</v>
      </c>
      <c r="E2225" s="4" t="s">
        <v>3789</v>
      </c>
      <c r="F2225" s="127" t="n">
        <v>46458</v>
      </c>
      <c r="G2225" s="127" t="n">
        <v>46512</v>
      </c>
      <c r="H2225" s="127" t="n">
        <v>46293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>32</v>
      </c>
      <c r="N2225" s="2" t="str">
        <f aca="false"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 t="str">
        <f aca="false">IF(OR(F2225="",G2225=""),"",IF(G2225&lt;='RETRATO 2027'!$K$5,"CONCLUÍDA",IF(F2225&lt;='RETRATO 2027'!$K$5,"EM ANDAMENTO","A INICIAR")))</f>
        <v>CONCLUÍDA</v>
      </c>
    </row>
    <row r="2226" customFormat="false" ht="15" hidden="false" customHeight="false" outlineLevel="0" collapsed="false">
      <c r="B2226" s="4" t="n">
        <v>26707669</v>
      </c>
      <c r="C2226" s="4" t="s">
        <v>2808</v>
      </c>
      <c r="D2226" s="4" t="s">
        <v>433</v>
      </c>
      <c r="E2226" s="4" t="s">
        <v>3777</v>
      </c>
      <c r="F2226" s="127" t="n">
        <v>46457</v>
      </c>
      <c r="G2226" s="127" t="n">
        <v>46478</v>
      </c>
      <c r="H2226" s="127" t="n">
        <v>46293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>29</v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1</v>
      </c>
      <c r="O2226" s="2" t="str">
        <f aca="false">IF(OR(F2226="",G2226=""),"",IF(G2226&lt;='RETRATO 2027'!$K$5,"CONCLUÍDA",IF(F2226&lt;='RETRATO 2027'!$K$5,"EM ANDAMENTO","A INICIAR")))</f>
        <v>CONCLUÍDA</v>
      </c>
    </row>
    <row r="2227" customFormat="false" ht="15" hidden="false" customHeight="false" outlineLevel="0" collapsed="false">
      <c r="B2227" s="4" t="n">
        <v>26743377</v>
      </c>
      <c r="C2227" s="4" t="s">
        <v>2814</v>
      </c>
      <c r="D2227" s="4" t="s">
        <v>433</v>
      </c>
      <c r="E2227" s="4" t="s">
        <v>3762</v>
      </c>
      <c r="F2227" s="127" t="n">
        <v>46457</v>
      </c>
      <c r="G2227" s="127" t="n">
        <v>46464</v>
      </c>
      <c r="H2227" s="127" t="n">
        <v>46293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28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11</v>
      </c>
      <c r="O2227" s="2" t="str">
        <f aca="false">IF(OR(F2227="",G2227=""),"",IF(G2227&lt;='RETRATO 2027'!$K$5,"CONCLUÍDA",IF(F2227&lt;='RETRATO 2027'!$K$5,"EM ANDAMENTO","A INICIAR")))</f>
        <v>CONCLUÍDA</v>
      </c>
    </row>
    <row r="2228" customFormat="false" ht="15" hidden="false" customHeight="false" outlineLevel="0" collapsed="false">
      <c r="B2228" s="4" t="n">
        <v>26743346</v>
      </c>
      <c r="C2228" s="4" t="s">
        <v>2914</v>
      </c>
      <c r="D2228" s="4" t="s">
        <v>433</v>
      </c>
      <c r="E2228" s="4" t="s">
        <v>3763</v>
      </c>
      <c r="F2228" s="127" t="n">
        <v>46457</v>
      </c>
      <c r="G2228" s="127" t="n">
        <v>46468</v>
      </c>
      <c r="H2228" s="127" t="n">
        <v>46293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21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12</v>
      </c>
      <c r="O2228" s="2" t="str">
        <f aca="false">IF(OR(F2228="",G2228=""),"",IF(G2228&lt;='RETRATO 2027'!$K$5,"CONCLUÍDA",IF(F2228&lt;='RETRATO 2027'!$K$5,"EM ANDAMENTO","A INICIAR")))</f>
        <v>CONCLUÍDA</v>
      </c>
    </row>
    <row r="2229" customFormat="false" ht="15" hidden="false" customHeight="false" outlineLevel="0" collapsed="false">
      <c r="B2229" s="4" t="n">
        <v>26743302</v>
      </c>
      <c r="C2229" s="4" t="s">
        <v>2808</v>
      </c>
      <c r="D2229" s="4" t="s">
        <v>433</v>
      </c>
      <c r="E2229" s="4" t="s">
        <v>3764</v>
      </c>
      <c r="F2229" s="127" t="n">
        <v>46457</v>
      </c>
      <c r="G2229" s="127" t="n">
        <v>46468</v>
      </c>
      <c r="H2229" s="127" t="n">
        <v>46293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>29</v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13</v>
      </c>
      <c r="O2229" s="2" t="str">
        <f aca="false">IF(OR(F2229="",G2229=""),"",IF(G2229&lt;='RETRATO 2027'!$K$5,"CONCLUÍDA",IF(F2229&lt;='RETRATO 2027'!$K$5,"EM ANDAMENTO","A INICIAR")))</f>
        <v>CONCLUÍDA</v>
      </c>
    </row>
    <row r="2230" customFormat="false" ht="15" hidden="false" customHeight="false" outlineLevel="0" collapsed="false">
      <c r="B2230" s="4" t="n">
        <v>26743264</v>
      </c>
      <c r="C2230" s="4" t="s">
        <v>2910</v>
      </c>
      <c r="D2230" s="4" t="s">
        <v>433</v>
      </c>
      <c r="E2230" s="4" t="s">
        <v>3765</v>
      </c>
      <c r="F2230" s="127" t="n">
        <v>46457</v>
      </c>
      <c r="G2230" s="127" t="n">
        <v>46468</v>
      </c>
      <c r="H2230" s="127" t="n">
        <v>46293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25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14</v>
      </c>
      <c r="O2230" s="2" t="str">
        <f aca="false">IF(OR(F2230="",G2230=""),"",IF(G2230&lt;='RETRATO 2027'!$K$5,"CONCLUÍDA",IF(F2230&lt;='RETRATO 2027'!$K$5,"EM ANDAMENTO","A INICIAR")))</f>
        <v>CONCLUÍDA</v>
      </c>
    </row>
    <row r="2231" customFormat="false" ht="15" hidden="false" customHeight="false" outlineLevel="0" collapsed="false">
      <c r="B2231" s="4" t="n">
        <v>26750560</v>
      </c>
      <c r="C2231" s="4" t="s">
        <v>214</v>
      </c>
      <c r="D2231" s="4" t="s">
        <v>433</v>
      </c>
      <c r="E2231" s="4" t="s">
        <v>3782</v>
      </c>
      <c r="F2231" s="127" t="n">
        <v>46458</v>
      </c>
      <c r="G2231" s="127" t="n">
        <v>46464</v>
      </c>
      <c r="H2231" s="127" t="n">
        <v>46293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35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-4</v>
      </c>
      <c r="O2231" s="2" t="str">
        <f aca="false">IF(OR(F2231="",G2231=""),"",IF(G2231&lt;='RETRATO 2027'!$K$5,"CONCLUÍDA",IF(F2231&lt;='RETRATO 2027'!$K$5,"EM ANDAMENTO","A INICIAR")))</f>
        <v>CONCLUÍDA</v>
      </c>
    </row>
    <row r="2232" customFormat="false" ht="15" hidden="false" customHeight="false" outlineLevel="0" collapsed="false">
      <c r="B2232" s="4" t="n">
        <v>26750543</v>
      </c>
      <c r="C2232" s="4" t="s">
        <v>2971</v>
      </c>
      <c r="D2232" s="4" t="s">
        <v>433</v>
      </c>
      <c r="E2232" s="4" t="s">
        <v>3778</v>
      </c>
      <c r="F2232" s="127" t="n">
        <v>46458</v>
      </c>
      <c r="G2232" s="127" t="n">
        <v>46464</v>
      </c>
      <c r="H2232" s="127" t="n">
        <v>46293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>37</v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-2</v>
      </c>
      <c r="O2232" s="2" t="str">
        <f aca="false">IF(OR(F2232="",G2232=""),"",IF(G2232&lt;='RETRATO 2027'!$K$5,"CONCLUÍDA",IF(F2232&lt;='RETRATO 2027'!$K$5,"EM ANDAMENTO","A INICIAR")))</f>
        <v>CONCLUÍDA</v>
      </c>
    </row>
    <row r="2233" customFormat="false" ht="15" hidden="false" customHeight="false" outlineLevel="0" collapsed="false">
      <c r="B2233" s="4" t="n">
        <v>26743248</v>
      </c>
      <c r="C2233" s="4" t="s">
        <v>2896</v>
      </c>
      <c r="D2233" s="4" t="s">
        <v>433</v>
      </c>
      <c r="E2233" s="4" t="s">
        <v>3768</v>
      </c>
      <c r="F2233" s="127" t="n">
        <v>46458</v>
      </c>
      <c r="G2233" s="127" t="n">
        <v>46469</v>
      </c>
      <c r="H2233" s="127" t="n">
        <v>46293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15</v>
      </c>
      <c r="O2233" s="2" t="str">
        <f aca="false">IF(OR(F2233="",G2233=""),"",IF(G2233&lt;='RETRATO 2027'!$K$5,"CONCLUÍDA",IF(F2233&lt;='RETRATO 2027'!$K$5,"EM ANDAMENTO","A INICIAR")))</f>
        <v>CONCLUÍDA</v>
      </c>
    </row>
    <row r="2234" customFormat="false" ht="15" hidden="false" customHeight="false" outlineLevel="0" collapsed="false">
      <c r="B2234" s="4" t="n">
        <v>29844469</v>
      </c>
      <c r="C2234" s="4" t="s">
        <v>2898</v>
      </c>
      <c r="D2234" s="4" t="s">
        <v>433</v>
      </c>
      <c r="E2234" s="4" t="s">
        <v>3768</v>
      </c>
      <c r="F2234" s="127" t="n">
        <v>46458</v>
      </c>
      <c r="G2234" s="127" t="n">
        <v>46468</v>
      </c>
      <c r="H2234" s="127" t="n">
        <v>46293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29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15</v>
      </c>
      <c r="O2234" s="2" t="str">
        <f aca="false">IF(OR(F2234="",G2234=""),"",IF(G2234&lt;='RETRATO 2027'!$K$5,"CONCLUÍDA",IF(F2234&lt;='RETRATO 2027'!$K$5,"EM ANDAMENTO","A INICIAR")))</f>
        <v>CONCLUÍDA</v>
      </c>
    </row>
    <row r="2235" customFormat="false" ht="15" hidden="false" customHeight="false" outlineLevel="0" collapsed="false">
      <c r="B2235" s="4" t="n">
        <v>26743204</v>
      </c>
      <c r="C2235" s="4" t="s">
        <v>2886</v>
      </c>
      <c r="D2235" s="4" t="s">
        <v>433</v>
      </c>
      <c r="E2235" s="4" t="s">
        <v>3771</v>
      </c>
      <c r="F2235" s="127" t="n">
        <v>46458</v>
      </c>
      <c r="G2235" s="127" t="n">
        <v>46469</v>
      </c>
      <c r="H2235" s="127" t="n">
        <v>46293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21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16</v>
      </c>
      <c r="O2235" s="2" t="str">
        <f aca="false">IF(OR(F2235="",G2235=""),"",IF(G2235&lt;='RETRATO 2027'!$K$5,"CONCLUÍDA",IF(F2235&lt;='RETRATO 2027'!$K$5,"EM ANDAMENTO","A INICIAR")))</f>
        <v>CONCLUÍDA</v>
      </c>
    </row>
    <row r="2236" customFormat="false" ht="15" hidden="false" customHeight="false" outlineLevel="0" collapsed="false">
      <c r="B2236" s="4" t="n">
        <v>29844645</v>
      </c>
      <c r="C2236" s="4" t="s">
        <v>2888</v>
      </c>
      <c r="D2236" s="4" t="s">
        <v>433</v>
      </c>
      <c r="E2236" s="4" t="s">
        <v>3771</v>
      </c>
      <c r="F2236" s="127" t="n">
        <v>46458</v>
      </c>
      <c r="G2236" s="127" t="n">
        <v>46469</v>
      </c>
      <c r="H2236" s="127" t="n">
        <v>46293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20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16</v>
      </c>
      <c r="O2236" s="2" t="str">
        <f aca="false">IF(OR(F2236="",G2236=""),"",IF(G2236&lt;='RETRATO 2027'!$K$5,"CONCLUÍDA",IF(F2236&lt;='RETRATO 2027'!$K$5,"EM ANDAMENTO","A INICIAR")))</f>
        <v>CONCLUÍDA</v>
      </c>
    </row>
    <row r="2237" customFormat="false" ht="15" hidden="false" customHeight="false" outlineLevel="0" collapsed="false">
      <c r="B2237" s="4" t="n">
        <v>29844628</v>
      </c>
      <c r="C2237" s="4" t="s">
        <v>2888</v>
      </c>
      <c r="D2237" s="4" t="s">
        <v>433</v>
      </c>
      <c r="E2237" s="4" t="s">
        <v>3466</v>
      </c>
      <c r="F2237" s="127" t="n">
        <v>46462</v>
      </c>
      <c r="G2237" s="127" t="n">
        <v>46471</v>
      </c>
      <c r="H2237" s="127" t="n">
        <v>46293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>20</v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-1</v>
      </c>
      <c r="O2237" s="2" t="str">
        <f aca="false">IF(OR(F2237="",G2237=""),"",IF(G2237&lt;='RETRATO 2027'!$K$5,"CONCLUÍDA",IF(F2237&lt;='RETRATO 2027'!$K$5,"EM ANDAMENTO","A INICIAR")))</f>
        <v>CONCLUÍDA</v>
      </c>
    </row>
    <row r="2238" customFormat="false" ht="15" hidden="false" customHeight="false" outlineLevel="0" collapsed="false">
      <c r="B2238" s="4" t="n">
        <v>26707647</v>
      </c>
      <c r="C2238" s="4" t="s">
        <v>2869</v>
      </c>
      <c r="D2238" s="4" t="s">
        <v>433</v>
      </c>
      <c r="E2238" s="4" t="s">
        <v>3785</v>
      </c>
      <c r="F2238" s="127" t="n">
        <v>46462</v>
      </c>
      <c r="G2238" s="127" t="n">
        <v>46483</v>
      </c>
      <c r="H2238" s="127" t="n">
        <v>46293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22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1</v>
      </c>
      <c r="O2238" s="2" t="str">
        <f aca="false">IF(OR(F2238="",G2238=""),"",IF(G2238&lt;='RETRATO 2027'!$K$5,"CONCLUÍDA",IF(F2238&lt;='RETRATO 2027'!$K$5,"EM ANDAMENTO","A INICIAR")))</f>
        <v>CONCLUÍDA</v>
      </c>
    </row>
    <row r="2239" customFormat="false" ht="15" hidden="false" customHeight="false" outlineLevel="0" collapsed="false">
      <c r="B2239" s="4" t="n">
        <v>26745055</v>
      </c>
      <c r="C2239" s="4" t="s">
        <v>163</v>
      </c>
      <c r="D2239" s="4" t="s">
        <v>433</v>
      </c>
      <c r="E2239" s="4" t="s">
        <v>3659</v>
      </c>
      <c r="F2239" s="127" t="n">
        <v>46462</v>
      </c>
      <c r="G2239" s="127" t="n">
        <v>46492</v>
      </c>
      <c r="H2239" s="127" t="n">
        <v>46293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18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1</v>
      </c>
      <c r="O2239" s="2" t="str">
        <f aca="false">IF(OR(F2239="",G2239=""),"",IF(G2239&lt;='RETRATO 2027'!$K$5,"CONCLUÍDA",IF(F2239&lt;='RETRATO 2027'!$K$5,"EM ANDAMENTO","A INICIAR")))</f>
        <v>CONCLUÍDA</v>
      </c>
    </row>
    <row r="2240" customFormat="false" ht="15" hidden="false" customHeight="false" outlineLevel="0" collapsed="false">
      <c r="B2240" s="4" t="n">
        <v>29844384</v>
      </c>
      <c r="C2240" s="4" t="s">
        <v>2890</v>
      </c>
      <c r="D2240" s="4" t="s">
        <v>433</v>
      </c>
      <c r="E2240" s="4" t="s">
        <v>3771</v>
      </c>
      <c r="F2240" s="127" t="n">
        <v>46462</v>
      </c>
      <c r="G2240" s="127" t="n">
        <v>46471</v>
      </c>
      <c r="H2240" s="127" t="n">
        <v>46293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>18</v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16</v>
      </c>
      <c r="O2240" s="2" t="str">
        <f aca="false">IF(OR(F2240="",G2240=""),"",IF(G2240&lt;='RETRATO 2027'!$K$5,"CONCLUÍDA",IF(F2240&lt;='RETRATO 2027'!$K$5,"EM ANDAMENTO","A INICIAR")))</f>
        <v>CONCLUÍDA</v>
      </c>
    </row>
    <row r="2241" customFormat="false" ht="15" hidden="false" customHeight="false" outlineLevel="0" collapsed="false">
      <c r="B2241" s="4" t="n">
        <v>26744802</v>
      </c>
      <c r="C2241" s="4" t="s">
        <v>2974</v>
      </c>
      <c r="D2241" s="4" t="s">
        <v>433</v>
      </c>
      <c r="E2241" s="4" t="s">
        <v>3769</v>
      </c>
      <c r="F2241" s="127" t="n">
        <v>46463</v>
      </c>
      <c r="G2241" s="127" t="n">
        <v>46477</v>
      </c>
      <c r="H2241" s="127" t="n">
        <v>46293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21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3</v>
      </c>
      <c r="O2241" s="2" t="str">
        <f aca="false">IF(OR(F2241="",G2241=""),"",IF(G2241&lt;='RETRATO 2027'!$K$5,"CONCLUÍDA",IF(F2241&lt;='RETRATO 2027'!$K$5,"EM ANDAMENTO","A INICIAR")))</f>
        <v>CONCLUÍDA</v>
      </c>
    </row>
    <row r="2242" customFormat="false" ht="15" hidden="false" customHeight="false" outlineLevel="0" collapsed="false">
      <c r="B2242" s="4" t="n">
        <v>26743652</v>
      </c>
      <c r="C2242" s="4" t="s">
        <v>2977</v>
      </c>
      <c r="D2242" s="4" t="s">
        <v>433</v>
      </c>
      <c r="E2242" s="4" t="s">
        <v>3668</v>
      </c>
      <c r="F2242" s="127" t="n">
        <v>46463</v>
      </c>
      <c r="G2242" s="127" t="n">
        <v>46475</v>
      </c>
      <c r="H2242" s="127" t="n">
        <v>46293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30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4</v>
      </c>
      <c r="O2242" s="2" t="str">
        <f aca="false">IF(OR(F2242="",G2242=""),"",IF(G2242&lt;='RETRATO 2027'!$K$5,"CONCLUÍDA",IF(F2242&lt;='RETRATO 2027'!$K$5,"EM ANDAMENTO","A INICIAR")))</f>
        <v>CONCLUÍDA</v>
      </c>
    </row>
    <row r="2243" customFormat="false" ht="15" hidden="false" customHeight="false" outlineLevel="0" collapsed="false">
      <c r="B2243" s="4" t="n">
        <v>26743608</v>
      </c>
      <c r="C2243" s="4" t="s">
        <v>2935</v>
      </c>
      <c r="D2243" s="4" t="s">
        <v>433</v>
      </c>
      <c r="E2243" s="4" t="s">
        <v>3678</v>
      </c>
      <c r="F2243" s="127" t="n">
        <v>46463</v>
      </c>
      <c r="G2243" s="127" t="n">
        <v>46475</v>
      </c>
      <c r="H2243" s="127" t="n">
        <v>46293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30</v>
      </c>
      <c r="N2243" s="2" t="n">
        <f aca="false">IF(E2243="","",IF(ISNUMBER(SEARCH("SUBSOLO",E2243)),IFERROR(-VALUE(LEFT(E2243,FIND("º",SUBSTITUTE(E2243,"°","º"))-1)),-1),IF(LEFT(E2243,6)="TÉRREO",0,IFERROR(VALUE(LEFT(E2243,FIND("º",SUBSTITUTE(E2243,"°","º"))-1)),""))))</f>
        <v>5</v>
      </c>
      <c r="O2243" s="2" t="str">
        <f aca="false">IF(OR(F2243="",G2243=""),"",IF(G2243&lt;='RETRATO 2027'!$K$5,"CONCLUÍDA",IF(F2243&lt;='RETRATO 2027'!$K$5,"EM ANDAMENTO","A INICIAR")))</f>
        <v>CONCLUÍDA</v>
      </c>
    </row>
    <row r="2244" customFormat="false" ht="15" hidden="false" customHeight="false" outlineLevel="0" collapsed="false">
      <c r="B2244" s="4" t="n">
        <v>26743555</v>
      </c>
      <c r="C2244" s="4" t="s">
        <v>2938</v>
      </c>
      <c r="D2244" s="4" t="s">
        <v>433</v>
      </c>
      <c r="E2244" s="4" t="s">
        <v>3685</v>
      </c>
      <c r="F2244" s="127" t="n">
        <v>46463</v>
      </c>
      <c r="G2244" s="127" t="n">
        <v>46475</v>
      </c>
      <c r="H2244" s="127" t="n">
        <v>46293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>30</v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6</v>
      </c>
      <c r="O2244" s="2" t="str">
        <f aca="false">IF(OR(F2244="",G2244=""),"",IF(G2244&lt;='RETRATO 2027'!$K$5,"CONCLUÍDA",IF(F2244&lt;='RETRATO 2027'!$K$5,"EM ANDAMENTO","A INICIAR")))</f>
        <v>CONCLUÍDA</v>
      </c>
    </row>
    <row r="2245" customFormat="false" ht="15" hidden="false" customHeight="false" outlineLevel="0" collapsed="false">
      <c r="B2245" s="4" t="n">
        <v>26743517</v>
      </c>
      <c r="C2245" s="4" t="s">
        <v>166</v>
      </c>
      <c r="D2245" s="4" t="s">
        <v>433</v>
      </c>
      <c r="E2245" s="4" t="s">
        <v>3686</v>
      </c>
      <c r="F2245" s="127" t="n">
        <v>46463</v>
      </c>
      <c r="G2245" s="127" t="n">
        <v>46475</v>
      </c>
      <c r="H2245" s="127" t="n">
        <v>46293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19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7</v>
      </c>
      <c r="O2245" s="2" t="str">
        <f aca="false">IF(OR(F2245="",G2245=""),"",IF(G2245&lt;='RETRATO 2027'!$K$5,"CONCLUÍDA",IF(F2245&lt;='RETRATO 2027'!$K$5,"EM ANDAMENTO","A INICIAR")))</f>
        <v>CONCLUÍDA</v>
      </c>
    </row>
    <row r="2246" customFormat="false" ht="15" hidden="false" customHeight="false" outlineLevel="0" collapsed="false">
      <c r="B2246" s="4" t="n">
        <v>26743490</v>
      </c>
      <c r="C2246" s="4" t="s">
        <v>2941</v>
      </c>
      <c r="D2246" s="4" t="s">
        <v>433</v>
      </c>
      <c r="E2246" s="4" t="s">
        <v>3706</v>
      </c>
      <c r="F2246" s="127" t="n">
        <v>46463</v>
      </c>
      <c r="G2246" s="127" t="n">
        <v>46475</v>
      </c>
      <c r="H2246" s="127" t="n">
        <v>46293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18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8</v>
      </c>
      <c r="O2246" s="2" t="str">
        <f aca="false">IF(OR(F2246="",G2246=""),"",IF(G2246&lt;='RETRATO 2027'!$K$5,"CONCLUÍDA",IF(F2246&lt;='RETRATO 2027'!$K$5,"EM ANDAMENTO","A INICIAR")))</f>
        <v>CONCLUÍDA</v>
      </c>
    </row>
    <row r="2247" customFormat="false" ht="15" hidden="false" customHeight="false" outlineLevel="0" collapsed="false">
      <c r="B2247" s="4" t="n">
        <v>26743454</v>
      </c>
      <c r="C2247" s="4" t="s">
        <v>2924</v>
      </c>
      <c r="D2247" s="4" t="s">
        <v>433</v>
      </c>
      <c r="E2247" s="4" t="s">
        <v>3716</v>
      </c>
      <c r="F2247" s="127" t="n">
        <v>46463</v>
      </c>
      <c r="G2247" s="127" t="n">
        <v>46475</v>
      </c>
      <c r="H2247" s="127" t="n">
        <v>46293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>21</v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9</v>
      </c>
      <c r="O2247" s="2" t="str">
        <f aca="false">IF(OR(F2247="",G2247=""),"",IF(G2247&lt;='RETRATO 2027'!$K$5,"CONCLUÍDA",IF(F2247&lt;='RETRATO 2027'!$K$5,"EM ANDAMENTO","A INICIAR")))</f>
        <v>CONCLUÍDA</v>
      </c>
    </row>
    <row r="2248" customFormat="false" ht="15" hidden="false" customHeight="false" outlineLevel="0" collapsed="false">
      <c r="B2248" s="4" t="n">
        <v>26743437</v>
      </c>
      <c r="C2248" s="4" t="s">
        <v>2926</v>
      </c>
      <c r="D2248" s="4" t="s">
        <v>433</v>
      </c>
      <c r="E2248" s="4" t="s">
        <v>3716</v>
      </c>
      <c r="F2248" s="127" t="n">
        <v>46463</v>
      </c>
      <c r="G2248" s="127" t="n">
        <v>46475</v>
      </c>
      <c r="H2248" s="127" t="n">
        <v>46293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20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9</v>
      </c>
      <c r="O2248" s="2" t="str">
        <f aca="false">IF(OR(F2248="",G2248=""),"",IF(G2248&lt;='RETRATO 2027'!$K$5,"CONCLUÍDA",IF(F2248&lt;='RETRATO 2027'!$K$5,"EM ANDAMENTO","A INICIAR")))</f>
        <v>CONCLUÍDA</v>
      </c>
    </row>
    <row r="2249" customFormat="false" ht="15" hidden="false" customHeight="false" outlineLevel="0" collapsed="false">
      <c r="B2249" s="4" t="n">
        <v>26743436</v>
      </c>
      <c r="C2249" s="4" t="s">
        <v>2928</v>
      </c>
      <c r="D2249" s="4" t="s">
        <v>433</v>
      </c>
      <c r="E2249" s="4" t="s">
        <v>3716</v>
      </c>
      <c r="F2249" s="127" t="n">
        <v>46463</v>
      </c>
      <c r="G2249" s="127" t="n">
        <v>46475</v>
      </c>
      <c r="H2249" s="127" t="n">
        <v>46293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23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9</v>
      </c>
      <c r="O2249" s="2" t="str">
        <f aca="false">IF(OR(F2249="",G2249=""),"",IF(G2249&lt;='RETRATO 2027'!$K$5,"CONCLUÍDA",IF(F2249&lt;='RETRATO 2027'!$K$5,"EM ANDAMENTO","A INICIAR")))</f>
        <v>CONCLUÍDA</v>
      </c>
    </row>
    <row r="2250" customFormat="false" ht="15" hidden="false" customHeight="false" outlineLevel="0" collapsed="false">
      <c r="B2250" s="4" t="n">
        <v>26743455</v>
      </c>
      <c r="C2250" s="4" t="s">
        <v>2930</v>
      </c>
      <c r="D2250" s="4" t="s">
        <v>433</v>
      </c>
      <c r="E2250" s="4" t="s">
        <v>3716</v>
      </c>
      <c r="F2250" s="127" t="n">
        <v>46463</v>
      </c>
      <c r="G2250" s="127" t="n">
        <v>46475</v>
      </c>
      <c r="H2250" s="127" t="n">
        <v>46293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>21</v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9</v>
      </c>
      <c r="O2250" s="2" t="str">
        <f aca="false">IF(OR(F2250="",G2250=""),"",IF(G2250&lt;='RETRATO 2027'!$K$5,"CONCLUÍDA",IF(F2250&lt;='RETRATO 2027'!$K$5,"EM ANDAMENTO","A INICIAR")))</f>
        <v>CONCLUÍDA</v>
      </c>
    </row>
    <row r="2251" customFormat="false" ht="15" hidden="false" customHeight="false" outlineLevel="0" collapsed="false">
      <c r="B2251" s="4" t="n">
        <v>26743456</v>
      </c>
      <c r="C2251" s="4" t="s">
        <v>2933</v>
      </c>
      <c r="D2251" s="4" t="s">
        <v>433</v>
      </c>
      <c r="E2251" s="4" t="s">
        <v>3716</v>
      </c>
      <c r="F2251" s="127" t="n">
        <v>46463</v>
      </c>
      <c r="G2251" s="127" t="n">
        <v>46475</v>
      </c>
      <c r="H2251" s="127" t="n">
        <v>46293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>21</v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9</v>
      </c>
      <c r="O2251" s="2" t="str">
        <f aca="false">IF(OR(F2251="",G2251=""),"",IF(G2251&lt;='RETRATO 2027'!$K$5,"CONCLUÍDA",IF(F2251&lt;='RETRATO 2027'!$K$5,"EM ANDAMENTO","A INICIAR")))</f>
        <v>CONCLUÍDA</v>
      </c>
    </row>
    <row r="2252" customFormat="false" ht="15" hidden="false" customHeight="false" outlineLevel="0" collapsed="false">
      <c r="B2252" s="4" t="n">
        <v>26743398</v>
      </c>
      <c r="C2252" s="4" t="s">
        <v>2922</v>
      </c>
      <c r="D2252" s="4" t="s">
        <v>433</v>
      </c>
      <c r="E2252" s="4" t="s">
        <v>3722</v>
      </c>
      <c r="F2252" s="127" t="n">
        <v>46463</v>
      </c>
      <c r="G2252" s="127" t="n">
        <v>46475</v>
      </c>
      <c r="H2252" s="127" t="n">
        <v>46293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>18</v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10</v>
      </c>
      <c r="O2252" s="2" t="str">
        <f aca="false">IF(OR(F2252="",G2252=""),"",IF(G2252&lt;='RETRATO 2027'!$K$5,"CONCLUÍDA",IF(F2252&lt;='RETRATO 2027'!$K$5,"EM ANDAMENTO","A INICIAR")))</f>
        <v>CONCLUÍDA</v>
      </c>
    </row>
    <row r="2253" customFormat="false" ht="15" hidden="false" customHeight="false" outlineLevel="0" collapsed="false">
      <c r="B2253" s="4" t="n">
        <v>26743168</v>
      </c>
      <c r="C2253" s="4" t="s">
        <v>2869</v>
      </c>
      <c r="D2253" s="4" t="s">
        <v>433</v>
      </c>
      <c r="E2253" s="4" t="s">
        <v>3773</v>
      </c>
      <c r="F2253" s="127" t="n">
        <v>46464</v>
      </c>
      <c r="G2253" s="127" t="n">
        <v>46476</v>
      </c>
      <c r="H2253" s="127" t="n">
        <v>46293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>22</v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17</v>
      </c>
      <c r="O2253" s="2" t="str">
        <f aca="false">IF(OR(F2253="",G2253=""),"",IF(G2253&lt;='RETRATO 2027'!$K$5,"CONCLUÍDA",IF(F2253&lt;='RETRATO 2027'!$K$5,"EM ANDAMENTO","A INICIAR")))</f>
        <v>CONCLUÍDA</v>
      </c>
    </row>
    <row r="2254" customFormat="false" ht="15" hidden="false" customHeight="false" outlineLevel="0" collapsed="false">
      <c r="B2254" s="4" t="n">
        <v>26743129</v>
      </c>
      <c r="C2254" s="4" t="s">
        <v>163</v>
      </c>
      <c r="D2254" s="4" t="s">
        <v>433</v>
      </c>
      <c r="E2254" s="4" t="s">
        <v>3776</v>
      </c>
      <c r="F2254" s="127" t="n">
        <v>46464</v>
      </c>
      <c r="G2254" s="127" t="n">
        <v>46476</v>
      </c>
      <c r="H2254" s="127" t="n">
        <v>46293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18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18</v>
      </c>
      <c r="O2254" s="2" t="str">
        <f aca="false">IF(OR(F2254="",G2254=""),"",IF(G2254&lt;='RETRATO 2027'!$K$5,"CONCLUÍDA",IF(F2254&lt;='RETRATO 2027'!$K$5,"EM ANDAMENTO","A INICIAR")))</f>
        <v>CONCLUÍDA</v>
      </c>
    </row>
    <row r="2255" customFormat="false" ht="15" hidden="false" customHeight="false" outlineLevel="0" collapsed="false">
      <c r="B2255" s="4" t="n">
        <v>24938917</v>
      </c>
      <c r="C2255" s="4" t="s">
        <v>2705</v>
      </c>
      <c r="D2255" s="4" t="s">
        <v>433</v>
      </c>
      <c r="E2255" s="4" t="s">
        <v>3794</v>
      </c>
      <c r="F2255" s="127" t="n">
        <v>46464</v>
      </c>
      <c r="G2255" s="127" t="n">
        <v>46475</v>
      </c>
      <c r="H2255" s="127" t="n">
        <v>46293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>17</v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25</v>
      </c>
      <c r="O2255" s="2" t="str">
        <f aca="false">IF(OR(F2255="",G2255=""),"",IF(G2255&lt;='RETRATO 2027'!$K$5,"CONCLUÍDA",IF(F2255&lt;='RETRATO 2027'!$K$5,"EM ANDAMENTO","A INICIAR")))</f>
        <v>CONCLUÍDA</v>
      </c>
    </row>
    <row r="2256" customFormat="false" ht="15" hidden="false" customHeight="false" outlineLevel="0" collapsed="false">
      <c r="B2256" s="4" t="n">
        <v>9359996</v>
      </c>
      <c r="C2256" s="4" t="s">
        <v>2705</v>
      </c>
      <c r="D2256" s="4" t="s">
        <v>3244</v>
      </c>
      <c r="E2256" s="4" t="s">
        <v>3794</v>
      </c>
      <c r="F2256" s="127" t="n">
        <v>46464</v>
      </c>
      <c r="G2256" s="127" t="n">
        <v>46468</v>
      </c>
      <c r="H2256" s="127" t="n">
        <v>46293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>17</v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25</v>
      </c>
      <c r="O2256" s="2" t="str">
        <f aca="false">IF(OR(F2256="",G2256=""),"",IF(G2256&lt;='RETRATO 2027'!$K$5,"CONCLUÍDA",IF(F2256&lt;='RETRATO 2027'!$K$5,"EM ANDAMENTO","A INICIAR")))</f>
        <v>CONCLUÍDA</v>
      </c>
    </row>
    <row r="2257" customFormat="false" ht="15" hidden="false" customHeight="false" outlineLevel="0" collapsed="false">
      <c r="B2257" s="4" t="n">
        <v>9359997</v>
      </c>
      <c r="C2257" s="4" t="s">
        <v>2705</v>
      </c>
      <c r="D2257" s="4" t="s">
        <v>3245</v>
      </c>
      <c r="E2257" s="4" t="s">
        <v>3794</v>
      </c>
      <c r="F2257" s="127" t="n">
        <v>46464</v>
      </c>
      <c r="G2257" s="127" t="n">
        <v>46468</v>
      </c>
      <c r="H2257" s="127" t="n">
        <v>46293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>17</v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25</v>
      </c>
      <c r="O2257" s="2" t="str">
        <f aca="false">IF(OR(F2257="",G2257=""),"",IF(G2257&lt;='RETRATO 2027'!$K$5,"CONCLUÍDA",IF(F2257&lt;='RETRATO 2027'!$K$5,"EM ANDAMENTO","A INICIAR")))</f>
        <v>CONCLUÍDA</v>
      </c>
    </row>
    <row r="2258" customFormat="false" ht="15" hidden="false" customHeight="false" outlineLevel="0" collapsed="false">
      <c r="B2258" s="4" t="n">
        <v>9359998</v>
      </c>
      <c r="C2258" s="4" t="s">
        <v>2705</v>
      </c>
      <c r="D2258" s="4" t="s">
        <v>3246</v>
      </c>
      <c r="E2258" s="4" t="s">
        <v>3794</v>
      </c>
      <c r="F2258" s="127" t="n">
        <v>46465</v>
      </c>
      <c r="G2258" s="127" t="n">
        <v>46469</v>
      </c>
      <c r="H2258" s="127" t="n">
        <v>46293</v>
      </c>
      <c r="I2258" s="4" t="n">
        <v>0</v>
      </c>
      <c r="J2258" s="4" t="n">
        <v>0</v>
      </c>
      <c r="K2258" s="4" t="n">
        <v>0</v>
      </c>
      <c r="M2258" s="2" t="str">
        <f aca="false">IF(C2258="","",IFERROR(INDEX($S$5:$S$304,MATCH(C2258,$R$5:$R$304,0))&amp;"","?"))</f>
        <v>17</v>
      </c>
      <c r="N2258" s="2" t="n">
        <f aca="false">IF(E2258="","",IF(ISNUMBER(SEARCH("SUBSOLO",E2258)),IFERROR(-VALUE(LEFT(E2258,FIND("º",SUBSTITUTE(E2258,"°","º"))-1)),-1),IF(LEFT(E2258,6)="TÉRREO",0,IFERROR(VALUE(LEFT(E2258,FIND("º",SUBSTITUTE(E2258,"°","º"))-1)),""))))</f>
        <v>25</v>
      </c>
      <c r="O2258" s="2" t="str">
        <f aca="false">IF(OR(F2258="",G2258=""),"",IF(G2258&lt;='RETRATO 2027'!$K$5,"CONCLUÍDA",IF(F2258&lt;='RETRATO 2027'!$K$5,"EM ANDAMENTO","A INICIAR")))</f>
        <v>CONCLUÍDA</v>
      </c>
    </row>
    <row r="2259" customFormat="false" ht="15" hidden="false" customHeight="false" outlineLevel="0" collapsed="false">
      <c r="B2259" s="4" t="n">
        <v>9359999</v>
      </c>
      <c r="C2259" s="4" t="s">
        <v>2705</v>
      </c>
      <c r="D2259" s="4" t="s">
        <v>3247</v>
      </c>
      <c r="E2259" s="4" t="s">
        <v>3794</v>
      </c>
      <c r="F2259" s="127" t="n">
        <v>46470</v>
      </c>
      <c r="G2259" s="127" t="n">
        <v>46470</v>
      </c>
      <c r="H2259" s="127" t="n">
        <v>46293</v>
      </c>
      <c r="I2259" s="4" t="n">
        <v>0</v>
      </c>
      <c r="J2259" s="4" t="n">
        <v>0</v>
      </c>
      <c r="K2259" s="4" t="n">
        <v>0</v>
      </c>
      <c r="M2259" s="2" t="str">
        <f aca="false">IF(C2259="","",IFERROR(INDEX($S$5:$S$304,MATCH(C2259,$R$5:$R$304,0))&amp;"","?"))</f>
        <v>17</v>
      </c>
      <c r="N2259" s="2" t="n">
        <f aca="false">IF(E2259="","",IF(ISNUMBER(SEARCH("SUBSOLO",E2259)),IFERROR(-VALUE(LEFT(E2259,FIND("º",SUBSTITUTE(E2259,"°","º"))-1)),-1),IF(LEFT(E2259,6)="TÉRREO",0,IFERROR(VALUE(LEFT(E2259,FIND("º",SUBSTITUTE(E2259,"°","º"))-1)),""))))</f>
        <v>25</v>
      </c>
      <c r="O2259" s="2" t="str">
        <f aca="false">IF(OR(F2259="",G2259=""),"",IF(G2259&lt;='RETRATO 2027'!$K$5,"CONCLUÍDA",IF(F2259&lt;='RETRATO 2027'!$K$5,"EM ANDAMENTO","A INICIAR")))</f>
        <v>CONCLUÍDA</v>
      </c>
    </row>
    <row r="2260" customFormat="false" ht="15" hidden="false" customHeight="false" outlineLevel="0" collapsed="false">
      <c r="B2260" s="4" t="n">
        <v>9360000</v>
      </c>
      <c r="C2260" s="4" t="s">
        <v>2705</v>
      </c>
      <c r="D2260" s="4" t="s">
        <v>3248</v>
      </c>
      <c r="E2260" s="4" t="s">
        <v>3794</v>
      </c>
      <c r="F2260" s="127" t="n">
        <v>46471</v>
      </c>
      <c r="G2260" s="127" t="n">
        <v>46475</v>
      </c>
      <c r="H2260" s="127" t="n">
        <v>46293</v>
      </c>
      <c r="I2260" s="4" t="n">
        <v>0</v>
      </c>
      <c r="J2260" s="4" t="n">
        <v>0</v>
      </c>
      <c r="K2260" s="4" t="n">
        <v>0</v>
      </c>
      <c r="M2260" s="2" t="str">
        <f aca="false">IF(C2260="","",IFERROR(INDEX($S$5:$S$304,MATCH(C2260,$R$5:$R$304,0))&amp;"","?"))</f>
        <v>17</v>
      </c>
      <c r="N2260" s="2" t="n">
        <f aca="false">IF(E2260="","",IF(ISNUMBER(SEARCH("SUBSOLO",E2260)),IFERROR(-VALUE(LEFT(E2260,FIND("º",SUBSTITUTE(E2260,"°","º"))-1)),-1),IF(LEFT(E2260,6)="TÉRREO",0,IFERROR(VALUE(LEFT(E2260,FIND("º",SUBSTITUTE(E2260,"°","º"))-1)),""))))</f>
        <v>25</v>
      </c>
      <c r="O2260" s="2" t="str">
        <f aca="false">IF(OR(F2260="",G2260=""),"",IF(G2260&lt;='RETRATO 2027'!$K$5,"CONCLUÍDA",IF(F2260&lt;='RETRATO 2027'!$K$5,"EM ANDAMENTO","A INICIAR")))</f>
        <v>CONCLUÍDA</v>
      </c>
    </row>
    <row r="2261" customFormat="false" ht="15" hidden="false" customHeight="false" outlineLevel="0" collapsed="false">
      <c r="B2261" s="4" t="n">
        <v>9360001</v>
      </c>
      <c r="C2261" s="4" t="s">
        <v>2705</v>
      </c>
      <c r="D2261" s="4" t="s">
        <v>3249</v>
      </c>
      <c r="E2261" s="4" t="s">
        <v>3794</v>
      </c>
      <c r="F2261" s="127" t="n">
        <v>46475</v>
      </c>
      <c r="G2261" s="127" t="n">
        <v>46475</v>
      </c>
      <c r="H2261" s="127" t="n">
        <v>46293</v>
      </c>
      <c r="I2261" s="4" t="n">
        <v>0</v>
      </c>
      <c r="J2261" s="4" t="n">
        <v>0</v>
      </c>
      <c r="K2261" s="4" t="n">
        <v>0</v>
      </c>
      <c r="M2261" s="2" t="str">
        <f aca="false">IF(C2261="","",IFERROR(INDEX($S$5:$S$304,MATCH(C2261,$R$5:$R$304,0))&amp;"","?"))</f>
        <v>17</v>
      </c>
      <c r="N2261" s="2" t="n">
        <f aca="false">IF(E2261="","",IF(ISNUMBER(SEARCH("SUBSOLO",E2261)),IFERROR(-VALUE(LEFT(E2261,FIND("º",SUBSTITUTE(E2261,"°","º"))-1)),-1),IF(LEFT(E2261,6)="TÉRREO",0,IFERROR(VALUE(LEFT(E2261,FIND("º",SUBSTITUTE(E2261,"°","º"))-1)),""))))</f>
        <v>25</v>
      </c>
      <c r="O2261" s="2" t="str">
        <f aca="false">IF(OR(F2261="",G2261=""),"",IF(G2261&lt;='RETRATO 2027'!$K$5,"CONCLUÍDA",IF(F2261&lt;='RETRATO 2027'!$K$5,"EM ANDAMENTO","A INICIAR")))</f>
        <v>CONCLUÍDA</v>
      </c>
    </row>
    <row r="2262" customFormat="false" ht="15" hidden="false" customHeight="false" outlineLevel="0" collapsed="false">
      <c r="B2262" s="4" t="n">
        <v>9360002</v>
      </c>
      <c r="C2262" s="4" t="s">
        <v>2705</v>
      </c>
      <c r="D2262" s="4" t="s">
        <v>3250</v>
      </c>
      <c r="E2262" s="4" t="s">
        <v>3794</v>
      </c>
      <c r="F2262" s="127" t="n">
        <v>46471</v>
      </c>
      <c r="G2262" s="127" t="n">
        <v>46471</v>
      </c>
      <c r="H2262" s="127" t="n">
        <v>46293</v>
      </c>
      <c r="I2262" s="4" t="n">
        <v>0</v>
      </c>
      <c r="J2262" s="4" t="n">
        <v>0</v>
      </c>
      <c r="K2262" s="4" t="n">
        <v>0</v>
      </c>
      <c r="M2262" s="2" t="str">
        <f aca="false">IF(C2262="","",IFERROR(INDEX($S$5:$S$304,MATCH(C2262,$R$5:$R$304,0))&amp;"","?"))</f>
        <v>17</v>
      </c>
      <c r="N2262" s="2" t="n">
        <f aca="false">IF(E2262="","",IF(ISNUMBER(SEARCH("SUBSOLO",E2262)),IFERROR(-VALUE(LEFT(E2262,FIND("º",SUBSTITUTE(E2262,"°","º"))-1)),-1),IF(LEFT(E2262,6)="TÉRREO",0,IFERROR(VALUE(LEFT(E2262,FIND("º",SUBSTITUTE(E2262,"°","º"))-1)),""))))</f>
        <v>25</v>
      </c>
      <c r="O2262" s="2" t="str">
        <f aca="false">IF(OR(F2262="",G2262=""),"",IF(G2262&lt;='RETRATO 2027'!$K$5,"CONCLUÍDA",IF(F2262&lt;='RETRATO 2027'!$K$5,"EM ANDAMENTO","A INICIAR")))</f>
        <v>CONCLUÍDA</v>
      </c>
    </row>
    <row r="2263" customFormat="false" ht="15" hidden="false" customHeight="false" outlineLevel="0" collapsed="false">
      <c r="B2263" s="4" t="n">
        <v>9360003</v>
      </c>
      <c r="C2263" s="4" t="s">
        <v>2705</v>
      </c>
      <c r="D2263" s="4" t="s">
        <v>3251</v>
      </c>
      <c r="E2263" s="4" t="s">
        <v>3794</v>
      </c>
      <c r="F2263" s="127" t="n">
        <v>46471</v>
      </c>
      <c r="G2263" s="127" t="n">
        <v>46471</v>
      </c>
      <c r="H2263" s="127" t="n">
        <v>46293</v>
      </c>
      <c r="I2263" s="4" t="n">
        <v>0</v>
      </c>
      <c r="J2263" s="4" t="n">
        <v>0</v>
      </c>
      <c r="K2263" s="4" t="n">
        <v>0</v>
      </c>
      <c r="M2263" s="2" t="str">
        <f aca="false">IF(C2263="","",IFERROR(INDEX($S$5:$S$304,MATCH(C2263,$R$5:$R$304,0))&amp;"","?"))</f>
        <v>17</v>
      </c>
      <c r="N2263" s="2" t="n">
        <f aca="false">IF(E2263="","",IF(ISNUMBER(SEARCH("SUBSOLO",E2263)),IFERROR(-VALUE(LEFT(E2263,FIND("º",SUBSTITUTE(E2263,"°","º"))-1)),-1),IF(LEFT(E2263,6)="TÉRREO",0,IFERROR(VALUE(LEFT(E2263,FIND("º",SUBSTITUTE(E2263,"°","º"))-1)),""))))</f>
        <v>25</v>
      </c>
      <c r="O2263" s="2" t="str">
        <f aca="false">IF(OR(F2263="",G2263=""),"",IF(G2263&lt;='RETRATO 2027'!$K$5,"CONCLUÍDA",IF(F2263&lt;='RETRATO 2027'!$K$5,"EM ANDAMENTO","A INICIAR")))</f>
        <v>CONCLUÍDA</v>
      </c>
    </row>
    <row r="2264" customFormat="false" ht="15" hidden="false" customHeight="false" outlineLevel="0" collapsed="false">
      <c r="B2264" s="4" t="n">
        <v>9360004</v>
      </c>
      <c r="C2264" s="4" t="s">
        <v>2705</v>
      </c>
      <c r="D2264" s="4" t="s">
        <v>3252</v>
      </c>
      <c r="E2264" s="4" t="s">
        <v>3794</v>
      </c>
      <c r="F2264" s="127" t="n">
        <v>46475</v>
      </c>
      <c r="G2264" s="127" t="n">
        <v>46475</v>
      </c>
      <c r="H2264" s="127" t="n">
        <v>46293</v>
      </c>
      <c r="I2264" s="4" t="n">
        <v>0</v>
      </c>
      <c r="J2264" s="4" t="n">
        <v>0</v>
      </c>
      <c r="K2264" s="4" t="n">
        <v>0</v>
      </c>
      <c r="M2264" s="2" t="str">
        <f aca="false">IF(C2264="","",IFERROR(INDEX($S$5:$S$304,MATCH(C2264,$R$5:$R$304,0))&amp;"","?"))</f>
        <v>17</v>
      </c>
      <c r="N2264" s="2" t="n">
        <f aca="false">IF(E2264="","",IF(ISNUMBER(SEARCH("SUBSOLO",E2264)),IFERROR(-VALUE(LEFT(E2264,FIND("º",SUBSTITUTE(E2264,"°","º"))-1)),-1),IF(LEFT(E2264,6)="TÉRREO",0,IFERROR(VALUE(LEFT(E2264,FIND("º",SUBSTITUTE(E2264,"°","º"))-1)),""))))</f>
        <v>25</v>
      </c>
      <c r="O2264" s="2" t="str">
        <f aca="false">IF(OR(F2264="",G2264=""),"",IF(G2264&lt;='RETRATO 2027'!$K$5,"CONCLUÍDA",IF(F2264&lt;='RETRATO 2027'!$K$5,"EM ANDAMENTO","A INICIAR")))</f>
        <v>CONCLUÍDA</v>
      </c>
    </row>
    <row r="2265" customFormat="false" ht="15" hidden="false" customHeight="false" outlineLevel="0" collapsed="false">
      <c r="B2265" s="4" t="n">
        <v>26750561</v>
      </c>
      <c r="C2265" s="4" t="s">
        <v>2965</v>
      </c>
      <c r="D2265" s="4" t="s">
        <v>433</v>
      </c>
      <c r="E2265" s="4" t="s">
        <v>3782</v>
      </c>
      <c r="F2265" s="127" t="n">
        <v>46465</v>
      </c>
      <c r="G2265" s="127" t="n">
        <v>46471</v>
      </c>
      <c r="H2265" s="127" t="n">
        <v>46293</v>
      </c>
      <c r="I2265" s="4" t="n">
        <v>0</v>
      </c>
      <c r="J2265" s="4" t="n">
        <v>0</v>
      </c>
      <c r="K2265" s="4" t="n">
        <v>0</v>
      </c>
      <c r="M2265" s="2" t="str">
        <f aca="false">IF(C2265="","",IFERROR(INDEX($S$5:$S$304,MATCH(C2265,$R$5:$R$304,0))&amp;"","?"))</f>
        <v>20</v>
      </c>
      <c r="N2265" s="2" t="n">
        <f aca="false">IF(E2265="","",IF(ISNUMBER(SEARCH("SUBSOLO",E2265)),IFERROR(-VALUE(LEFT(E2265,FIND("º",SUBSTITUTE(E2265,"°","º"))-1)),-1),IF(LEFT(E2265,6)="TÉRREO",0,IFERROR(VALUE(LEFT(E2265,FIND("º",SUBSTITUTE(E2265,"°","º"))-1)),""))))</f>
        <v>-4</v>
      </c>
      <c r="O2265" s="2" t="str">
        <f aca="false">IF(OR(F2265="",G2265=""),"",IF(G2265&lt;='RETRATO 2027'!$K$5,"CONCLUÍDA",IF(F2265&lt;='RETRATO 2027'!$K$5,"EM ANDAMENTO","A INICIAR")))</f>
        <v>CONCLUÍDA</v>
      </c>
    </row>
    <row r="2266" customFormat="false" ht="15" hidden="false" customHeight="false" outlineLevel="0" collapsed="false">
      <c r="B2266" s="4" t="n">
        <v>26743697</v>
      </c>
      <c r="C2266" s="4" t="s">
        <v>2808</v>
      </c>
      <c r="D2266" s="4" t="s">
        <v>433</v>
      </c>
      <c r="E2266" s="4" t="s">
        <v>3482</v>
      </c>
      <c r="F2266" s="127" t="n">
        <v>46465</v>
      </c>
      <c r="G2266" s="127" t="n">
        <v>46510</v>
      </c>
      <c r="H2266" s="127" t="n">
        <v>46293</v>
      </c>
      <c r="I2266" s="4" t="n">
        <v>0</v>
      </c>
      <c r="J2266" s="4" t="n">
        <v>0</v>
      </c>
      <c r="K2266" s="4" t="n">
        <v>0</v>
      </c>
      <c r="M2266" s="2" t="str">
        <f aca="false">IF(C2266="","",IFERROR(INDEX($S$5:$S$304,MATCH(C2266,$R$5:$R$304,0))&amp;"","?"))</f>
        <v>29</v>
      </c>
      <c r="N2266" s="2" t="str">
        <f aca="false"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 t="str">
        <f aca="false">IF(OR(F2266="",G2266=""),"",IF(G2266&lt;='RETRATO 2027'!$K$5,"CONCLUÍDA",IF(F2266&lt;='RETRATO 2027'!$K$5,"EM ANDAMENTO","A INICIAR")))</f>
        <v>CONCLUÍDA</v>
      </c>
    </row>
    <row r="2267" customFormat="false" ht="15" hidden="false" customHeight="false" outlineLevel="0" collapsed="false">
      <c r="B2267" s="4" t="n">
        <v>26743378</v>
      </c>
      <c r="C2267" s="4" t="s">
        <v>2916</v>
      </c>
      <c r="D2267" s="4" t="s">
        <v>433</v>
      </c>
      <c r="E2267" s="4" t="s">
        <v>3762</v>
      </c>
      <c r="F2267" s="127" t="n">
        <v>46465</v>
      </c>
      <c r="G2267" s="127" t="n">
        <v>46475</v>
      </c>
      <c r="H2267" s="127" t="n">
        <v>46293</v>
      </c>
      <c r="I2267" s="4" t="n">
        <v>0</v>
      </c>
      <c r="J2267" s="4" t="n">
        <v>0</v>
      </c>
      <c r="K2267" s="4" t="n">
        <v>0</v>
      </c>
      <c r="M2267" s="2" t="str">
        <f aca="false">IF(C2267="","",IFERROR(INDEX($S$5:$S$304,MATCH(C2267,$R$5:$R$304,0))&amp;"","?"))</f>
        <v>18</v>
      </c>
      <c r="N2267" s="2" t="n">
        <f aca="false">IF(E2267="","",IF(ISNUMBER(SEARCH("SUBSOLO",E2267)),IFERROR(-VALUE(LEFT(E2267,FIND("º",SUBSTITUTE(E2267,"°","º"))-1)),-1),IF(LEFT(E2267,6)="TÉRREO",0,IFERROR(VALUE(LEFT(E2267,FIND("º",SUBSTITUTE(E2267,"°","º"))-1)),""))))</f>
        <v>11</v>
      </c>
      <c r="O2267" s="2" t="str">
        <f aca="false">IF(OR(F2267="",G2267=""),"",IF(G2267&lt;='RETRATO 2027'!$K$5,"CONCLUÍDA",IF(F2267&lt;='RETRATO 2027'!$K$5,"EM ANDAMENTO","A INICIAR")))</f>
        <v>CONCLUÍDA</v>
      </c>
    </row>
    <row r="2268" customFormat="false" ht="15" hidden="false" customHeight="false" outlineLevel="0" collapsed="false">
      <c r="B2268" s="4" t="n">
        <v>26707646</v>
      </c>
      <c r="C2268" s="4" t="s">
        <v>2886</v>
      </c>
      <c r="D2268" s="4" t="s">
        <v>433</v>
      </c>
      <c r="E2268" s="4" t="s">
        <v>3785</v>
      </c>
      <c r="F2268" s="127" t="n">
        <v>46468</v>
      </c>
      <c r="G2268" s="127" t="n">
        <v>46489</v>
      </c>
      <c r="H2268" s="127" t="n">
        <v>46293</v>
      </c>
      <c r="I2268" s="4" t="n">
        <v>0</v>
      </c>
      <c r="J2268" s="4" t="n">
        <v>0</v>
      </c>
      <c r="K2268" s="4" t="n">
        <v>0</v>
      </c>
      <c r="M2268" s="2" t="str">
        <f aca="false">IF(C2268="","",IFERROR(INDEX($S$5:$S$304,MATCH(C2268,$R$5:$R$304,0))&amp;"","?"))</f>
        <v>21</v>
      </c>
      <c r="N2268" s="2" t="n">
        <f aca="false">IF(E2268="","",IF(ISNUMBER(SEARCH("SUBSOLO",E2268)),IFERROR(-VALUE(LEFT(E2268,FIND("º",SUBSTITUTE(E2268,"°","º"))-1)),-1),IF(LEFT(E2268,6)="TÉRREO",0,IFERROR(VALUE(LEFT(E2268,FIND("º",SUBSTITUTE(E2268,"°","º"))-1)),""))))</f>
        <v>1</v>
      </c>
      <c r="O2268" s="2" t="str">
        <f aca="false">IF(OR(F2268="",G2268=""),"",IF(G2268&lt;='RETRATO 2027'!$K$5,"CONCLUÍDA",IF(F2268&lt;='RETRATO 2027'!$K$5,"EM ANDAMENTO","A INICIAR")))</f>
        <v>CONCLUÍDA</v>
      </c>
    </row>
    <row r="2269" customFormat="false" ht="15" hidden="false" customHeight="false" outlineLevel="0" collapsed="false">
      <c r="B2269" s="4" t="n">
        <v>26707695</v>
      </c>
      <c r="C2269" s="4" t="s">
        <v>2980</v>
      </c>
      <c r="D2269" s="4" t="s">
        <v>433</v>
      </c>
      <c r="E2269" s="4" t="s">
        <v>3766</v>
      </c>
      <c r="F2269" s="127" t="n">
        <v>46469</v>
      </c>
      <c r="G2269" s="127" t="n">
        <v>46490</v>
      </c>
      <c r="H2269" s="127" t="n">
        <v>46293</v>
      </c>
      <c r="I2269" s="4" t="n">
        <v>0</v>
      </c>
      <c r="J2269" s="4" t="n">
        <v>0</v>
      </c>
      <c r="K2269" s="4" t="n">
        <v>0</v>
      </c>
      <c r="M2269" s="2" t="str">
        <f aca="false">IF(C2269="","",IFERROR(INDEX($S$5:$S$304,MATCH(C2269,$R$5:$R$304,0))&amp;"","?"))</f>
        <v>35</v>
      </c>
      <c r="N2269" s="2" t="n">
        <f aca="false">IF(E2269="","",IF(ISNUMBER(SEARCH("SUBSOLO",E2269)),IFERROR(-VALUE(LEFT(E2269,FIND("º",SUBSTITUTE(E2269,"°","º"))-1)),-1),IF(LEFT(E2269,6)="TÉRREO",0,IFERROR(VALUE(LEFT(E2269,FIND("º",SUBSTITUTE(E2269,"°","º"))-1)),""))))</f>
        <v>1</v>
      </c>
      <c r="O2269" s="2" t="str">
        <f aca="false">IF(OR(F2269="",G2269=""),"",IF(G2269&lt;='RETRATO 2027'!$K$5,"CONCLUÍDA",IF(F2269&lt;='RETRATO 2027'!$K$5,"EM ANDAMENTO","A INICIAR")))</f>
        <v>CONCLUÍDA</v>
      </c>
    </row>
    <row r="2270" customFormat="false" ht="15" hidden="false" customHeight="false" outlineLevel="0" collapsed="false">
      <c r="B2270" s="4" t="n">
        <v>26707684</v>
      </c>
      <c r="C2270" s="4" t="s">
        <v>2956</v>
      </c>
      <c r="D2270" s="4" t="s">
        <v>433</v>
      </c>
      <c r="E2270" s="4" t="s">
        <v>3772</v>
      </c>
      <c r="F2270" s="127" t="n">
        <v>46469</v>
      </c>
      <c r="G2270" s="127" t="n">
        <v>46490</v>
      </c>
      <c r="H2270" s="127" t="n">
        <v>46293</v>
      </c>
      <c r="I2270" s="4" t="n">
        <v>0</v>
      </c>
      <c r="J2270" s="4" t="n">
        <v>0</v>
      </c>
      <c r="K2270" s="4" t="n">
        <v>0</v>
      </c>
      <c r="M2270" s="2" t="str">
        <f aca="false">IF(C2270="","",IFERROR(INDEX($S$5:$S$304,MATCH(C2270,$R$5:$R$304,0))&amp;"","?"))</f>
        <v>18</v>
      </c>
      <c r="N2270" s="2" t="n">
        <f aca="false">IF(E2270="","",IF(ISNUMBER(SEARCH("SUBSOLO",E2270)),IFERROR(-VALUE(LEFT(E2270,FIND("º",SUBSTITUTE(E2270,"°","º"))-1)),-1),IF(LEFT(E2270,6)="TÉRREO",0,IFERROR(VALUE(LEFT(E2270,FIND("º",SUBSTITUTE(E2270,"°","º"))-1)),""))))</f>
        <v>1</v>
      </c>
      <c r="O2270" s="2" t="str">
        <f aca="false">IF(OR(F2270="",G2270=""),"",IF(G2270&lt;='RETRATO 2027'!$K$5,"CONCLUÍDA",IF(F2270&lt;='RETRATO 2027'!$K$5,"EM ANDAMENTO","A INICIAR")))</f>
        <v>CONCLUÍDA</v>
      </c>
    </row>
    <row r="2271" customFormat="false" ht="15" hidden="false" customHeight="false" outlineLevel="0" collapsed="false">
      <c r="B2271" s="4" t="n">
        <v>26743340</v>
      </c>
      <c r="C2271" s="4" t="s">
        <v>2814</v>
      </c>
      <c r="D2271" s="4" t="s">
        <v>433</v>
      </c>
      <c r="E2271" s="4" t="s">
        <v>3763</v>
      </c>
      <c r="F2271" s="127" t="n">
        <v>46469</v>
      </c>
      <c r="G2271" s="127" t="n">
        <v>46477</v>
      </c>
      <c r="H2271" s="127" t="n">
        <v>46293</v>
      </c>
      <c r="I2271" s="4" t="n">
        <v>0</v>
      </c>
      <c r="J2271" s="4" t="n">
        <v>0</v>
      </c>
      <c r="K2271" s="4" t="n">
        <v>0</v>
      </c>
      <c r="M2271" s="2" t="str">
        <f aca="false">IF(C2271="","",IFERROR(INDEX($S$5:$S$304,MATCH(C2271,$R$5:$R$304,0))&amp;"","?"))</f>
        <v>28</v>
      </c>
      <c r="N2271" s="2" t="n">
        <f aca="false">IF(E2271="","",IF(ISNUMBER(SEARCH("SUBSOLO",E2271)),IFERROR(-VALUE(LEFT(E2271,FIND("º",SUBSTITUTE(E2271,"°","º"))-1)),-1),IF(LEFT(E2271,6)="TÉRREO",0,IFERROR(VALUE(LEFT(E2271,FIND("º",SUBSTITUTE(E2271,"°","º"))-1)),""))))</f>
        <v>12</v>
      </c>
      <c r="O2271" s="2" t="str">
        <f aca="false">IF(OR(F2271="",G2271=""),"",IF(G2271&lt;='RETRATO 2027'!$K$5,"CONCLUÍDA",IF(F2271&lt;='RETRATO 2027'!$K$5,"EM ANDAMENTO","A INICIAR")))</f>
        <v>CONCLUÍDA</v>
      </c>
    </row>
    <row r="2272" customFormat="false" ht="15" hidden="false" customHeight="false" outlineLevel="0" collapsed="false">
      <c r="B2272" s="4" t="n">
        <v>26743309</v>
      </c>
      <c r="C2272" s="4" t="s">
        <v>2914</v>
      </c>
      <c r="D2272" s="4" t="s">
        <v>433</v>
      </c>
      <c r="E2272" s="4" t="s">
        <v>3764</v>
      </c>
      <c r="F2272" s="127" t="n">
        <v>46469</v>
      </c>
      <c r="G2272" s="127" t="n">
        <v>46479</v>
      </c>
      <c r="H2272" s="127" t="n">
        <v>46293</v>
      </c>
      <c r="I2272" s="4" t="n">
        <v>0</v>
      </c>
      <c r="J2272" s="4" t="n">
        <v>0</v>
      </c>
      <c r="K2272" s="4" t="n">
        <v>0</v>
      </c>
      <c r="M2272" s="2" t="str">
        <f aca="false">IF(C2272="","",IFERROR(INDEX($S$5:$S$304,MATCH(C2272,$R$5:$R$304,0))&amp;"","?"))</f>
        <v>21</v>
      </c>
      <c r="N2272" s="2" t="n">
        <f aca="false">IF(E2272="","",IF(ISNUMBER(SEARCH("SUBSOLO",E2272)),IFERROR(-VALUE(LEFT(E2272,FIND("º",SUBSTITUTE(E2272,"°","º"))-1)),-1),IF(LEFT(E2272,6)="TÉRREO",0,IFERROR(VALUE(LEFT(E2272,FIND("º",SUBSTITUTE(E2272,"°","º"))-1)),""))))</f>
        <v>13</v>
      </c>
      <c r="O2272" s="2" t="str">
        <f aca="false">IF(OR(F2272="",G2272=""),"",IF(G2272&lt;='RETRATO 2027'!$K$5,"CONCLUÍDA",IF(F2272&lt;='RETRATO 2027'!$K$5,"EM ANDAMENTO","A INICIAR")))</f>
        <v>CONCLUÍDA</v>
      </c>
    </row>
    <row r="2273" customFormat="false" ht="15" hidden="false" customHeight="false" outlineLevel="0" collapsed="false">
      <c r="B2273" s="4" t="n">
        <v>26743265</v>
      </c>
      <c r="C2273" s="4" t="s">
        <v>2808</v>
      </c>
      <c r="D2273" s="4" t="s">
        <v>433</v>
      </c>
      <c r="E2273" s="4" t="s">
        <v>3765</v>
      </c>
      <c r="F2273" s="127" t="n">
        <v>46469</v>
      </c>
      <c r="G2273" s="127" t="n">
        <v>46479</v>
      </c>
      <c r="H2273" s="127" t="n">
        <v>46293</v>
      </c>
      <c r="I2273" s="4" t="n">
        <v>0</v>
      </c>
      <c r="J2273" s="4" t="n">
        <v>0</v>
      </c>
      <c r="K2273" s="4" t="n">
        <v>0</v>
      </c>
      <c r="M2273" s="2" t="str">
        <f aca="false">IF(C2273="","",IFERROR(INDEX($S$5:$S$304,MATCH(C2273,$R$5:$R$304,0))&amp;"","?"))</f>
        <v>29</v>
      </c>
      <c r="N2273" s="2" t="n">
        <f aca="false">IF(E2273="","",IF(ISNUMBER(SEARCH("SUBSOLO",E2273)),IFERROR(-VALUE(LEFT(E2273,FIND("º",SUBSTITUTE(E2273,"°","º"))-1)),-1),IF(LEFT(E2273,6)="TÉRREO",0,IFERROR(VALUE(LEFT(E2273,FIND("º",SUBSTITUTE(E2273,"°","º"))-1)),""))))</f>
        <v>14</v>
      </c>
      <c r="O2273" s="2" t="str">
        <f aca="false">IF(OR(F2273="",G2273=""),"",IF(G2273&lt;='RETRATO 2027'!$K$5,"CONCLUÍDA",IF(F2273&lt;='RETRATO 2027'!$K$5,"EM ANDAMENTO","A INICIAR")))</f>
        <v>CONCLUÍDA</v>
      </c>
    </row>
    <row r="2274" customFormat="false" ht="15" hidden="false" customHeight="false" outlineLevel="0" collapsed="false">
      <c r="B2274" s="4" t="n">
        <v>26743227</v>
      </c>
      <c r="C2274" s="4" t="s">
        <v>2910</v>
      </c>
      <c r="D2274" s="4" t="s">
        <v>433</v>
      </c>
      <c r="E2274" s="4" t="s">
        <v>3768</v>
      </c>
      <c r="F2274" s="127" t="n">
        <v>46469</v>
      </c>
      <c r="G2274" s="127" t="n">
        <v>46479</v>
      </c>
      <c r="H2274" s="127" t="n">
        <v>46293</v>
      </c>
      <c r="I2274" s="4" t="n">
        <v>0</v>
      </c>
      <c r="J2274" s="4" t="n">
        <v>0</v>
      </c>
      <c r="K2274" s="4" t="n">
        <v>0</v>
      </c>
      <c r="M2274" s="2" t="str">
        <f aca="false">IF(C2274="","",IFERROR(INDEX($S$5:$S$304,MATCH(C2274,$R$5:$R$304,0))&amp;"","?"))</f>
        <v>25</v>
      </c>
      <c r="N2274" s="2" t="n">
        <f aca="false">IF(E2274="","",IF(ISNUMBER(SEARCH("SUBSOLO",E2274)),IFERROR(-VALUE(LEFT(E2274,FIND("º",SUBSTITUTE(E2274,"°","º"))-1)),-1),IF(LEFT(E2274,6)="TÉRREO",0,IFERROR(VALUE(LEFT(E2274,FIND("º",SUBSTITUTE(E2274,"°","º"))-1)),""))))</f>
        <v>15</v>
      </c>
      <c r="O2274" s="2" t="str">
        <f aca="false">IF(OR(F2274="",G2274=""),"",IF(G2274&lt;='RETRATO 2027'!$K$5,"CONCLUÍDA",IF(F2274&lt;='RETRATO 2027'!$K$5,"EM ANDAMENTO","A INICIAR")))</f>
        <v>CONCLUÍDA</v>
      </c>
    </row>
    <row r="2275" customFormat="false" ht="15" hidden="false" customHeight="false" outlineLevel="0" collapsed="false">
      <c r="B2275" s="4" t="n">
        <v>26250184</v>
      </c>
      <c r="C2275" s="4" t="s">
        <v>2968</v>
      </c>
      <c r="D2275" s="4" t="s">
        <v>433</v>
      </c>
      <c r="E2275" s="4" t="s">
        <v>3795</v>
      </c>
      <c r="F2275" s="127" t="n">
        <v>46469</v>
      </c>
      <c r="G2275" s="127" t="n">
        <v>46625</v>
      </c>
      <c r="H2275" s="127" t="n">
        <v>46293</v>
      </c>
      <c r="I2275" s="4" t="n">
        <v>0</v>
      </c>
      <c r="J2275" s="4" t="n">
        <v>0</v>
      </c>
      <c r="K2275" s="4" t="n">
        <v>0</v>
      </c>
      <c r="M2275" s="2" t="str">
        <f aca="false">IF(C2275="","",IFERROR(INDEX($S$5:$S$304,MATCH(C2275,$R$5:$R$304,0))&amp;"","?"))</f>
        <v>32</v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>CONCLUÍDA</v>
      </c>
    </row>
    <row r="2276" customFormat="false" ht="15" hidden="false" customHeight="false" outlineLevel="0" collapsed="false">
      <c r="B2276" s="4" t="n">
        <v>11132045</v>
      </c>
      <c r="C2276" s="4" t="s">
        <v>2968</v>
      </c>
      <c r="D2276" s="4" t="s">
        <v>3790</v>
      </c>
      <c r="E2276" s="4" t="s">
        <v>3795</v>
      </c>
      <c r="F2276" s="127" t="n">
        <v>46469</v>
      </c>
      <c r="G2276" s="127" t="n">
        <v>46525</v>
      </c>
      <c r="H2276" s="127" t="n">
        <v>46293</v>
      </c>
      <c r="I2276" s="4" t="n">
        <v>0</v>
      </c>
      <c r="J2276" s="4" t="n">
        <v>0</v>
      </c>
      <c r="K2276" s="4" t="n">
        <v>0</v>
      </c>
      <c r="M2276" s="2" t="str">
        <f aca="false">IF(C2276="","",IFERROR(INDEX($S$5:$S$304,MATCH(C2276,$R$5:$R$304,0))&amp;"","?"))</f>
        <v>32</v>
      </c>
      <c r="N2276" s="2" t="str">
        <f aca="false"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 t="str">
        <f aca="false">IF(OR(F2276="",G2276=""),"",IF(G2276&lt;='RETRATO 2027'!$K$5,"CONCLUÍDA",IF(F2276&lt;='RETRATO 2027'!$K$5,"EM ANDAMENTO","A INICIAR")))</f>
        <v>CONCLUÍDA</v>
      </c>
    </row>
    <row r="2277" customFormat="false" ht="15" hidden="false" customHeight="false" outlineLevel="0" collapsed="false">
      <c r="B2277" s="4" t="n">
        <v>11132046</v>
      </c>
      <c r="C2277" s="4" t="s">
        <v>2968</v>
      </c>
      <c r="D2277" s="4" t="s">
        <v>3791</v>
      </c>
      <c r="E2277" s="4" t="s">
        <v>3795</v>
      </c>
      <c r="F2277" s="127" t="n">
        <v>46470</v>
      </c>
      <c r="G2277" s="127" t="n">
        <v>46569</v>
      </c>
      <c r="H2277" s="127" t="n">
        <v>46293</v>
      </c>
      <c r="I2277" s="4" t="n">
        <v>0</v>
      </c>
      <c r="J2277" s="4" t="n">
        <v>0</v>
      </c>
      <c r="K2277" s="4" t="n">
        <v>0</v>
      </c>
      <c r="M2277" s="2" t="str">
        <f aca="false">IF(C2277="","",IFERROR(INDEX($S$5:$S$304,MATCH(C2277,$R$5:$R$304,0))&amp;"","?"))</f>
        <v>32</v>
      </c>
      <c r="N2277" s="2" t="str">
        <f aca="false"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 t="str">
        <f aca="false">IF(OR(F2277="",G2277=""),"",IF(G2277&lt;='RETRATO 2027'!$K$5,"CONCLUÍDA",IF(F2277&lt;='RETRATO 2027'!$K$5,"EM ANDAMENTO","A INICIAR")))</f>
        <v>CONCLUÍDA</v>
      </c>
    </row>
    <row r="2278" customFormat="false" ht="15" hidden="false" customHeight="false" outlineLevel="0" collapsed="false">
      <c r="B2278" s="4" t="n">
        <v>11132047</v>
      </c>
      <c r="C2278" s="4" t="s">
        <v>2968</v>
      </c>
      <c r="D2278" s="4" t="s">
        <v>3792</v>
      </c>
      <c r="E2278" s="4" t="s">
        <v>3795</v>
      </c>
      <c r="F2278" s="127" t="n">
        <v>46471</v>
      </c>
      <c r="G2278" s="127" t="n">
        <v>46625</v>
      </c>
      <c r="H2278" s="127" t="n">
        <v>46293</v>
      </c>
      <c r="I2278" s="4" t="n">
        <v>0</v>
      </c>
      <c r="J2278" s="4" t="n">
        <v>0</v>
      </c>
      <c r="K2278" s="4" t="n">
        <v>0</v>
      </c>
      <c r="M2278" s="2" t="str">
        <f aca="false">IF(C2278="","",IFERROR(INDEX($S$5:$S$304,MATCH(C2278,$R$5:$R$304,0))&amp;"","?"))</f>
        <v>32</v>
      </c>
      <c r="N2278" s="2" t="str">
        <f aca="false"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 t="str">
        <f aca="false">IF(OR(F2278="",G2278=""),"",IF(G2278&lt;='RETRATO 2027'!$K$5,"CONCLUÍDA",IF(F2278&lt;='RETRATO 2027'!$K$5,"EM ANDAMENTO","A INICIAR")))</f>
        <v>CONCLUÍDA</v>
      </c>
    </row>
    <row r="2279" customFormat="false" ht="15" hidden="false" customHeight="false" outlineLevel="0" collapsed="false">
      <c r="B2279" s="4" t="n">
        <v>11132048</v>
      </c>
      <c r="C2279" s="4" t="s">
        <v>2968</v>
      </c>
      <c r="D2279" s="4" t="s">
        <v>3793</v>
      </c>
      <c r="E2279" s="4" t="s">
        <v>3795</v>
      </c>
      <c r="F2279" s="127" t="n">
        <v>46475</v>
      </c>
      <c r="G2279" s="127" t="n">
        <v>46582</v>
      </c>
      <c r="H2279" s="127" t="n">
        <v>46293</v>
      </c>
      <c r="I2279" s="4" t="n">
        <v>0</v>
      </c>
      <c r="J2279" s="4" t="n">
        <v>0</v>
      </c>
      <c r="K2279" s="4" t="n">
        <v>0</v>
      </c>
      <c r="M2279" s="2" t="str">
        <f aca="false">IF(C2279="","",IFERROR(INDEX($S$5:$S$304,MATCH(C2279,$R$5:$R$304,0))&amp;"","?"))</f>
        <v>32</v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>CONCLUÍDA</v>
      </c>
    </row>
    <row r="2280" customFormat="false" ht="15" hidden="false" customHeight="false" outlineLevel="0" collapsed="false">
      <c r="B2280" s="4" t="n">
        <v>26743211</v>
      </c>
      <c r="C2280" s="4" t="s">
        <v>2896</v>
      </c>
      <c r="D2280" s="4" t="s">
        <v>433</v>
      </c>
      <c r="E2280" s="4" t="s">
        <v>3771</v>
      </c>
      <c r="F2280" s="127" t="n">
        <v>46470</v>
      </c>
      <c r="G2280" s="127" t="n">
        <v>46482</v>
      </c>
      <c r="H2280" s="127" t="n">
        <v>46293</v>
      </c>
      <c r="I2280" s="4" t="n">
        <v>0</v>
      </c>
      <c r="J2280" s="4" t="n">
        <v>0</v>
      </c>
      <c r="K2280" s="4" t="n">
        <v>0</v>
      </c>
      <c r="M2280" s="2" t="str">
        <f aca="false">IF(C2280="","",IFERROR(INDEX($S$5:$S$304,MATCH(C2280,$R$5:$R$304,0))&amp;"","?"))</f>
        <v>20</v>
      </c>
      <c r="N2280" s="2" t="n">
        <f aca="false">IF(E2280="","",IF(ISNUMBER(SEARCH("SUBSOLO",E2280)),IFERROR(-VALUE(LEFT(E2280,FIND("º",SUBSTITUTE(E2280,"°","º"))-1)),-1),IF(LEFT(E2280,6)="TÉRREO",0,IFERROR(VALUE(LEFT(E2280,FIND("º",SUBSTITUTE(E2280,"°","º"))-1)),""))))</f>
        <v>16</v>
      </c>
      <c r="O2280" s="2" t="str">
        <f aca="false">IF(OR(F2280="",G2280=""),"",IF(G2280&lt;='RETRATO 2027'!$K$5,"CONCLUÍDA",IF(F2280&lt;='RETRATO 2027'!$K$5,"EM ANDAMENTO","A INICIAR")))</f>
        <v>CONCLUÍDA</v>
      </c>
    </row>
    <row r="2281" customFormat="false" ht="15" hidden="false" customHeight="false" outlineLevel="0" collapsed="false">
      <c r="B2281" s="4" t="n">
        <v>29844470</v>
      </c>
      <c r="C2281" s="4" t="s">
        <v>2898</v>
      </c>
      <c r="D2281" s="4" t="s">
        <v>433</v>
      </c>
      <c r="E2281" s="4" t="s">
        <v>3771</v>
      </c>
      <c r="F2281" s="127" t="n">
        <v>46470</v>
      </c>
      <c r="G2281" s="127" t="n">
        <v>46479</v>
      </c>
      <c r="H2281" s="127" t="n">
        <v>46293</v>
      </c>
      <c r="I2281" s="4" t="n">
        <v>0</v>
      </c>
      <c r="J2281" s="4" t="n">
        <v>0</v>
      </c>
      <c r="K2281" s="4" t="n">
        <v>0</v>
      </c>
      <c r="M2281" s="2" t="str">
        <f aca="false">IF(C2281="","",IFERROR(INDEX($S$5:$S$304,MATCH(C2281,$R$5:$R$304,0))&amp;"","?"))</f>
        <v>29</v>
      </c>
      <c r="N2281" s="2" t="n">
        <f aca="false">IF(E2281="","",IF(ISNUMBER(SEARCH("SUBSOLO",E2281)),IFERROR(-VALUE(LEFT(E2281,FIND("º",SUBSTITUTE(E2281,"°","º"))-1)),-1),IF(LEFT(E2281,6)="TÉRREO",0,IFERROR(VALUE(LEFT(E2281,FIND("º",SUBSTITUTE(E2281,"°","º"))-1)),""))))</f>
        <v>16</v>
      </c>
      <c r="O2281" s="2" t="str">
        <f aca="false">IF(OR(F2281="",G2281=""),"",IF(G2281&lt;='RETRATO 2027'!$K$5,"CONCLUÍDA",IF(F2281&lt;='RETRATO 2027'!$K$5,"EM ANDAMENTO","A INICIAR")))</f>
        <v>CONCLUÍDA</v>
      </c>
    </row>
    <row r="2282" customFormat="false" ht="15" hidden="false" customHeight="false" outlineLevel="0" collapsed="false">
      <c r="B2282" s="4" t="n">
        <v>26743167</v>
      </c>
      <c r="C2282" s="4" t="s">
        <v>2886</v>
      </c>
      <c r="D2282" s="4" t="s">
        <v>433</v>
      </c>
      <c r="E2282" s="4" t="s">
        <v>3773</v>
      </c>
      <c r="F2282" s="127" t="n">
        <v>46470</v>
      </c>
      <c r="G2282" s="127" t="n">
        <v>46482</v>
      </c>
      <c r="H2282" s="127" t="n">
        <v>46293</v>
      </c>
      <c r="I2282" s="4" t="n">
        <v>0</v>
      </c>
      <c r="J2282" s="4" t="n">
        <v>0</v>
      </c>
      <c r="K2282" s="4" t="n">
        <v>0</v>
      </c>
      <c r="M2282" s="2" t="str">
        <f aca="false">IF(C2282="","",IFERROR(INDEX($S$5:$S$304,MATCH(C2282,$R$5:$R$304,0))&amp;"","?"))</f>
        <v>21</v>
      </c>
      <c r="N2282" s="2" t="n">
        <f aca="false">IF(E2282="","",IF(ISNUMBER(SEARCH("SUBSOLO",E2282)),IFERROR(-VALUE(LEFT(E2282,FIND("º",SUBSTITUTE(E2282,"°","º"))-1)),-1),IF(LEFT(E2282,6)="TÉRREO",0,IFERROR(VALUE(LEFT(E2282,FIND("º",SUBSTITUTE(E2282,"°","º"))-1)),""))))</f>
        <v>17</v>
      </c>
      <c r="O2282" s="2" t="str">
        <f aca="false">IF(OR(F2282="",G2282=""),"",IF(G2282&lt;='RETRATO 2027'!$K$5,"CONCLUÍDA",IF(F2282&lt;='RETRATO 2027'!$K$5,"EM ANDAMENTO","A INICIAR")))</f>
        <v>CONCLUÍDA</v>
      </c>
    </row>
    <row r="2283" customFormat="false" ht="15" hidden="false" customHeight="false" outlineLevel="0" collapsed="false">
      <c r="B2283" s="4" t="n">
        <v>29844646</v>
      </c>
      <c r="C2283" s="4" t="s">
        <v>2888</v>
      </c>
      <c r="D2283" s="4" t="s">
        <v>433</v>
      </c>
      <c r="E2283" s="4" t="s">
        <v>3773</v>
      </c>
      <c r="F2283" s="127" t="n">
        <v>46470</v>
      </c>
      <c r="G2283" s="127" t="n">
        <v>46482</v>
      </c>
      <c r="H2283" s="127" t="n">
        <v>46293</v>
      </c>
      <c r="I2283" s="4" t="n">
        <v>0</v>
      </c>
      <c r="J2283" s="4" t="n">
        <v>0</v>
      </c>
      <c r="K2283" s="4" t="n">
        <v>0</v>
      </c>
      <c r="M2283" s="2" t="str">
        <f aca="false">IF(C2283="","",IFERROR(INDEX($S$5:$S$304,MATCH(C2283,$R$5:$R$304,0))&amp;"","?"))</f>
        <v>20</v>
      </c>
      <c r="N2283" s="2" t="n">
        <f aca="false">IF(E2283="","",IF(ISNUMBER(SEARCH("SUBSOLO",E2283)),IFERROR(-VALUE(LEFT(E2283,FIND("º",SUBSTITUTE(E2283,"°","º"))-1)),-1),IF(LEFT(E2283,6)="TÉRREO",0,IFERROR(VALUE(LEFT(E2283,FIND("º",SUBSTITUTE(E2283,"°","º"))-1)),""))))</f>
        <v>17</v>
      </c>
      <c r="O2283" s="2" t="str">
        <f aca="false">IF(OR(F2283="",G2283=""),"",IF(G2283&lt;='RETRATO 2027'!$K$5,"CONCLUÍDA",IF(F2283&lt;='RETRATO 2027'!$K$5,"EM ANDAMENTO","A INICIAR")))</f>
        <v>CONCLUÍDA</v>
      </c>
    </row>
    <row r="2284" customFormat="false" ht="15" hidden="false" customHeight="false" outlineLevel="0" collapsed="false">
      <c r="B2284" s="4" t="n">
        <v>26750562</v>
      </c>
      <c r="C2284" s="4" t="s">
        <v>2971</v>
      </c>
      <c r="D2284" s="4" t="s">
        <v>433</v>
      </c>
      <c r="E2284" s="4" t="s">
        <v>3782</v>
      </c>
      <c r="F2284" s="127" t="n">
        <v>46475</v>
      </c>
      <c r="G2284" s="127" t="n">
        <v>46479</v>
      </c>
      <c r="H2284" s="127" t="n">
        <v>46293</v>
      </c>
      <c r="I2284" s="4" t="n">
        <v>0</v>
      </c>
      <c r="J2284" s="4" t="n">
        <v>0</v>
      </c>
      <c r="K2284" s="4" t="n">
        <v>0</v>
      </c>
      <c r="M2284" s="2" t="str">
        <f aca="false">IF(C2284="","",IFERROR(INDEX($S$5:$S$304,MATCH(C2284,$R$5:$R$304,0))&amp;"","?"))</f>
        <v>37</v>
      </c>
      <c r="N2284" s="2" t="n">
        <f aca="false">IF(E2284="","",IF(ISNUMBER(SEARCH("SUBSOLO",E2284)),IFERROR(-VALUE(LEFT(E2284,FIND("º",SUBSTITUTE(E2284,"°","º"))-1)),-1),IF(LEFT(E2284,6)="TÉRREO",0,IFERROR(VALUE(LEFT(E2284,FIND("º",SUBSTITUTE(E2284,"°","º"))-1)),""))))</f>
        <v>-4</v>
      </c>
      <c r="O2284" s="2" t="str">
        <f aca="false">IF(OR(F2284="",G2284=""),"",IF(G2284&lt;='RETRATO 2027'!$K$5,"CONCLUÍDA",IF(F2284&lt;='RETRATO 2027'!$K$5,"EM ANDAMENTO","A INICIAR")))</f>
        <v>CONCLUÍDA</v>
      </c>
    </row>
    <row r="2285" customFormat="false" ht="15" hidden="false" customHeight="false" outlineLevel="0" collapsed="false">
      <c r="B2285" s="4" t="n">
        <v>29844385</v>
      </c>
      <c r="C2285" s="4" t="s">
        <v>2890</v>
      </c>
      <c r="D2285" s="4" t="s">
        <v>433</v>
      </c>
      <c r="E2285" s="4" t="s">
        <v>3773</v>
      </c>
      <c r="F2285" s="127" t="n">
        <v>46475</v>
      </c>
      <c r="G2285" s="127" t="n">
        <v>46484</v>
      </c>
      <c r="H2285" s="127" t="n">
        <v>46293</v>
      </c>
      <c r="I2285" s="4" t="n">
        <v>0</v>
      </c>
      <c r="J2285" s="4" t="n">
        <v>0</v>
      </c>
      <c r="K2285" s="4" t="n">
        <v>0</v>
      </c>
      <c r="M2285" s="2" t="str">
        <f aca="false">IF(C2285="","",IFERROR(INDEX($S$5:$S$304,MATCH(C2285,$R$5:$R$304,0))&amp;"","?"))</f>
        <v>18</v>
      </c>
      <c r="N2285" s="2" t="n">
        <f aca="false">IF(E2285="","",IF(ISNUMBER(SEARCH("SUBSOLO",E2285)),IFERROR(-VALUE(LEFT(E2285,FIND("º",SUBSTITUTE(E2285,"°","º"))-1)),-1),IF(LEFT(E2285,6)="TÉRREO",0,IFERROR(VALUE(LEFT(E2285,FIND("º",SUBSTITUTE(E2285,"°","º"))-1)),""))))</f>
        <v>17</v>
      </c>
      <c r="O2285" s="2" t="str">
        <f aca="false">IF(OR(F2285="",G2285=""),"",IF(G2285&lt;='RETRATO 2027'!$K$5,"CONCLUÍDA",IF(F2285&lt;='RETRATO 2027'!$K$5,"EM ANDAMENTO","A INICIAR")))</f>
        <v>CONCLUÍDA</v>
      </c>
    </row>
    <row r="2286" customFormat="false" ht="15" hidden="false" customHeight="false" outlineLevel="0" collapsed="false">
      <c r="B2286" s="4" t="n">
        <v>26744455</v>
      </c>
      <c r="C2286" s="4" t="s">
        <v>163</v>
      </c>
      <c r="D2286" s="4" t="s">
        <v>433</v>
      </c>
      <c r="E2286" s="4" t="s">
        <v>3796</v>
      </c>
      <c r="F2286" s="127" t="n">
        <v>46476</v>
      </c>
      <c r="G2286" s="127" t="n">
        <v>46506</v>
      </c>
      <c r="H2286" s="127" t="n">
        <v>46293</v>
      </c>
      <c r="I2286" s="4" t="n">
        <v>0</v>
      </c>
      <c r="J2286" s="4" t="n">
        <v>0</v>
      </c>
      <c r="K2286" s="4" t="n">
        <v>0</v>
      </c>
      <c r="M2286" s="2" t="str">
        <f aca="false">IF(C2286="","",IFERROR(INDEX($S$5:$S$304,MATCH(C2286,$R$5:$R$304,0))&amp;"","?"))</f>
        <v>18</v>
      </c>
      <c r="N2286" s="2" t="n">
        <f aca="false">IF(E2286="","",IF(ISNUMBER(SEARCH("SUBSOLO",E2286)),IFERROR(-VALUE(LEFT(E2286,FIND("º",SUBSTITUTE(E2286,"°","º"))-1)),-1),IF(LEFT(E2286,6)="TÉRREO",0,IFERROR(VALUE(LEFT(E2286,FIND("º",SUBSTITUTE(E2286,"°","º"))-1)),""))))</f>
        <v>3</v>
      </c>
      <c r="O2286" s="2" t="str">
        <f aca="false">IF(OR(F2286="",G2286=""),"",IF(G2286&lt;='RETRATO 2027'!$K$5,"CONCLUÍDA",IF(F2286&lt;='RETRATO 2027'!$K$5,"EM ANDAMENTO","A INICIAR")))</f>
        <v>CONCLUÍDA</v>
      </c>
    </row>
    <row r="2287" customFormat="false" ht="15" hidden="false" customHeight="false" outlineLevel="0" collapsed="false">
      <c r="B2287" s="4" t="n">
        <v>29845951</v>
      </c>
      <c r="C2287" s="4" t="s">
        <v>2983</v>
      </c>
      <c r="D2287" s="4" t="s">
        <v>433</v>
      </c>
      <c r="E2287" s="4" t="s">
        <v>3668</v>
      </c>
      <c r="F2287" s="127" t="n">
        <v>46476</v>
      </c>
      <c r="G2287" s="127" t="n">
        <v>46484</v>
      </c>
      <c r="H2287" s="127" t="n">
        <v>46293</v>
      </c>
      <c r="I2287" s="4" t="n">
        <v>0</v>
      </c>
      <c r="J2287" s="4" t="n">
        <v>0</v>
      </c>
      <c r="K2287" s="4" t="n">
        <v>0</v>
      </c>
      <c r="M2287" s="2" t="str">
        <f aca="false">IF(C2287="","",IFERROR(INDEX($S$5:$S$304,MATCH(C2287,$R$5:$R$304,0))&amp;"","?"))</f>
        <v>20</v>
      </c>
      <c r="N2287" s="2" t="n">
        <f aca="false">IF(E2287="","",IF(ISNUMBER(SEARCH("SUBSOLO",E2287)),IFERROR(-VALUE(LEFT(E2287,FIND("º",SUBSTITUTE(E2287,"°","º"))-1)),-1),IF(LEFT(E2287,6)="TÉRREO",0,IFERROR(VALUE(LEFT(E2287,FIND("º",SUBSTITUTE(E2287,"°","º"))-1)),""))))</f>
        <v>4</v>
      </c>
      <c r="O2287" s="2" t="str">
        <f aca="false">IF(OR(F2287="",G2287=""),"",IF(G2287&lt;='RETRATO 2027'!$K$5,"CONCLUÍDA",IF(F2287&lt;='RETRATO 2027'!$K$5,"EM ANDAMENTO","A INICIAR")))</f>
        <v>CONCLUÍDA</v>
      </c>
    </row>
    <row r="2288" customFormat="false" ht="15" hidden="false" customHeight="false" outlineLevel="0" collapsed="false">
      <c r="B2288" s="4" t="n">
        <v>29845890</v>
      </c>
      <c r="C2288" s="4" t="s">
        <v>2986</v>
      </c>
      <c r="D2288" s="4" t="s">
        <v>433</v>
      </c>
      <c r="E2288" s="4" t="s">
        <v>3668</v>
      </c>
      <c r="F2288" s="127" t="n">
        <v>46476</v>
      </c>
      <c r="G2288" s="127" t="n">
        <v>46485</v>
      </c>
      <c r="H2288" s="127" t="n">
        <v>46293</v>
      </c>
      <c r="I2288" s="4" t="n">
        <v>0</v>
      </c>
      <c r="J2288" s="4" t="n">
        <v>0</v>
      </c>
      <c r="K2288" s="4" t="n">
        <v>0</v>
      </c>
      <c r="M2288" s="2" t="str">
        <f aca="false">IF(C2288="","",IFERROR(INDEX($S$5:$S$304,MATCH(C2288,$R$5:$R$304,0))&amp;"","?"))</f>
        <v>20</v>
      </c>
      <c r="N2288" s="2" t="n">
        <f aca="false">IF(E2288="","",IF(ISNUMBER(SEARCH("SUBSOLO",E2288)),IFERROR(-VALUE(LEFT(E2288,FIND("º",SUBSTITUTE(E2288,"°","º"))-1)),-1),IF(LEFT(E2288,6)="TÉRREO",0,IFERROR(VALUE(LEFT(E2288,FIND("º",SUBSTITUTE(E2288,"°","º"))-1)),""))))</f>
        <v>4</v>
      </c>
      <c r="O2288" s="2" t="str">
        <f aca="false">IF(OR(F2288="",G2288=""),"",IF(G2288&lt;='RETRATO 2027'!$K$5,"CONCLUÍDA",IF(F2288&lt;='RETRATO 2027'!$K$5,"EM ANDAMENTO","A INICIAR")))</f>
        <v>CONCLUÍDA</v>
      </c>
    </row>
    <row r="2289" customFormat="false" ht="15" hidden="false" customHeight="false" outlineLevel="0" collapsed="false">
      <c r="B2289" s="4" t="n">
        <v>26743615</v>
      </c>
      <c r="C2289" s="4" t="s">
        <v>2977</v>
      </c>
      <c r="D2289" s="4" t="s">
        <v>433</v>
      </c>
      <c r="E2289" s="4" t="s">
        <v>3678</v>
      </c>
      <c r="F2289" s="127" t="n">
        <v>46476</v>
      </c>
      <c r="G2289" s="127" t="n">
        <v>46485</v>
      </c>
      <c r="H2289" s="127" t="n">
        <v>46293</v>
      </c>
      <c r="I2289" s="4" t="n">
        <v>0</v>
      </c>
      <c r="J2289" s="4" t="n">
        <v>0</v>
      </c>
      <c r="K2289" s="4" t="n">
        <v>0</v>
      </c>
      <c r="M2289" s="2" t="str">
        <f aca="false">IF(C2289="","",IFERROR(INDEX($S$5:$S$304,MATCH(C2289,$R$5:$R$304,0))&amp;"","?"))</f>
        <v>30</v>
      </c>
      <c r="N2289" s="2" t="n">
        <f aca="false">IF(E2289="","",IF(ISNUMBER(SEARCH("SUBSOLO",E2289)),IFERROR(-VALUE(LEFT(E2289,FIND("º",SUBSTITUTE(E2289,"°","º"))-1)),-1),IF(LEFT(E2289,6)="TÉRREO",0,IFERROR(VALUE(LEFT(E2289,FIND("º",SUBSTITUTE(E2289,"°","º"))-1)),""))))</f>
        <v>5</v>
      </c>
      <c r="O2289" s="2" t="str">
        <f aca="false">IF(OR(F2289="",G2289=""),"",IF(G2289&lt;='RETRATO 2027'!$K$5,"CONCLUÍDA",IF(F2289&lt;='RETRATO 2027'!$K$5,"EM ANDAMENTO","A INICIAR")))</f>
        <v>CONCLUÍDA</v>
      </c>
    </row>
    <row r="2290" customFormat="false" ht="15" hidden="false" customHeight="false" outlineLevel="0" collapsed="false">
      <c r="B2290" s="4" t="n">
        <v>26743571</v>
      </c>
      <c r="C2290" s="4" t="s">
        <v>2935</v>
      </c>
      <c r="D2290" s="4" t="s">
        <v>433</v>
      </c>
      <c r="E2290" s="4" t="s">
        <v>3685</v>
      </c>
      <c r="F2290" s="127" t="n">
        <v>46476</v>
      </c>
      <c r="G2290" s="127" t="n">
        <v>46485</v>
      </c>
      <c r="H2290" s="127" t="n">
        <v>46293</v>
      </c>
      <c r="I2290" s="4" t="n">
        <v>0</v>
      </c>
      <c r="J2290" s="4" t="n">
        <v>0</v>
      </c>
      <c r="K2290" s="4" t="n">
        <v>0</v>
      </c>
      <c r="M2290" s="2" t="str">
        <f aca="false">IF(C2290="","",IFERROR(INDEX($S$5:$S$304,MATCH(C2290,$R$5:$R$304,0))&amp;"","?"))</f>
        <v>30</v>
      </c>
      <c r="N2290" s="2" t="n">
        <f aca="false">IF(E2290="","",IF(ISNUMBER(SEARCH("SUBSOLO",E2290)),IFERROR(-VALUE(LEFT(E2290,FIND("º",SUBSTITUTE(E2290,"°","º"))-1)),-1),IF(LEFT(E2290,6)="TÉRREO",0,IFERROR(VALUE(LEFT(E2290,FIND("º",SUBSTITUTE(E2290,"°","º"))-1)),""))))</f>
        <v>6</v>
      </c>
      <c r="O2290" s="2" t="str">
        <f aca="false">IF(OR(F2290="",G2290=""),"",IF(G2290&lt;='RETRATO 2027'!$K$5,"CONCLUÍDA",IF(F2290&lt;='RETRATO 2027'!$K$5,"EM ANDAMENTO","A INICIAR")))</f>
        <v>CONCLUÍDA</v>
      </c>
    </row>
    <row r="2291" customFormat="false" ht="15" hidden="false" customHeight="false" outlineLevel="0" collapsed="false">
      <c r="B2291" s="4" t="n">
        <v>26743518</v>
      </c>
      <c r="C2291" s="4" t="s">
        <v>2938</v>
      </c>
      <c r="D2291" s="4" t="s">
        <v>433</v>
      </c>
      <c r="E2291" s="4" t="s">
        <v>3686</v>
      </c>
      <c r="F2291" s="127" t="n">
        <v>46476</v>
      </c>
      <c r="G2291" s="127" t="n">
        <v>46485</v>
      </c>
      <c r="H2291" s="127" t="n">
        <v>46293</v>
      </c>
      <c r="I2291" s="4" t="n">
        <v>0</v>
      </c>
      <c r="J2291" s="4" t="n">
        <v>0</v>
      </c>
      <c r="K2291" s="4" t="n">
        <v>0</v>
      </c>
      <c r="M2291" s="2" t="str">
        <f aca="false">IF(C2291="","",IFERROR(INDEX($S$5:$S$304,MATCH(C2291,$R$5:$R$304,0))&amp;"","?"))</f>
        <v>30</v>
      </c>
      <c r="N2291" s="2" t="n">
        <f aca="false">IF(E2291="","",IF(ISNUMBER(SEARCH("SUBSOLO",E2291)),IFERROR(-VALUE(LEFT(E2291,FIND("º",SUBSTITUTE(E2291,"°","º"))-1)),-1),IF(LEFT(E2291,6)="TÉRREO",0,IFERROR(VALUE(LEFT(E2291,FIND("º",SUBSTITUTE(E2291,"°","º"))-1)),""))))</f>
        <v>7</v>
      </c>
      <c r="O2291" s="2" t="str">
        <f aca="false">IF(OR(F2291="",G2291=""),"",IF(G2291&lt;='RETRATO 2027'!$K$5,"CONCLUÍDA",IF(F2291&lt;='RETRATO 2027'!$K$5,"EM ANDAMENTO","A INICIAR")))</f>
        <v>CONCLUÍDA</v>
      </c>
    </row>
    <row r="2292" customFormat="false" ht="15" hidden="false" customHeight="false" outlineLevel="0" collapsed="false">
      <c r="B2292" s="4" t="n">
        <v>26743480</v>
      </c>
      <c r="C2292" s="4" t="s">
        <v>166</v>
      </c>
      <c r="D2292" s="4" t="s">
        <v>433</v>
      </c>
      <c r="E2292" s="4" t="s">
        <v>3706</v>
      </c>
      <c r="F2292" s="127" t="n">
        <v>46476</v>
      </c>
      <c r="G2292" s="127" t="n">
        <v>46485</v>
      </c>
      <c r="H2292" s="127" t="n">
        <v>46293</v>
      </c>
      <c r="I2292" s="4" t="n">
        <v>0</v>
      </c>
      <c r="J2292" s="4" t="n">
        <v>0</v>
      </c>
      <c r="K2292" s="4" t="n">
        <v>0</v>
      </c>
      <c r="M2292" s="2" t="str">
        <f aca="false">IF(C2292="","",IFERROR(INDEX($S$5:$S$304,MATCH(C2292,$R$5:$R$304,0))&amp;"","?"))</f>
        <v>19</v>
      </c>
      <c r="N2292" s="2" t="n">
        <f aca="false">IF(E2292="","",IF(ISNUMBER(SEARCH("SUBSOLO",E2292)),IFERROR(-VALUE(LEFT(E2292,FIND("º",SUBSTITUTE(E2292,"°","º"))-1)),-1),IF(LEFT(E2292,6)="TÉRREO",0,IFERROR(VALUE(LEFT(E2292,FIND("º",SUBSTITUTE(E2292,"°","º"))-1)),""))))</f>
        <v>8</v>
      </c>
      <c r="O2292" s="2" t="str">
        <f aca="false">IF(OR(F2292="",G2292=""),"",IF(G2292&lt;='RETRATO 2027'!$K$5,"CONCLUÍDA",IF(F2292&lt;='RETRATO 2027'!$K$5,"EM ANDAMENTO","A INICIAR")))</f>
        <v>CONCLUÍDA</v>
      </c>
    </row>
    <row r="2293" customFormat="false" ht="15" hidden="false" customHeight="false" outlineLevel="0" collapsed="false">
      <c r="B2293" s="4" t="n">
        <v>26743453</v>
      </c>
      <c r="C2293" s="4" t="s">
        <v>2941</v>
      </c>
      <c r="D2293" s="4" t="s">
        <v>433</v>
      </c>
      <c r="E2293" s="4" t="s">
        <v>3716</v>
      </c>
      <c r="F2293" s="127" t="n">
        <v>46476</v>
      </c>
      <c r="G2293" s="127" t="n">
        <v>46485</v>
      </c>
      <c r="H2293" s="127" t="n">
        <v>46293</v>
      </c>
      <c r="I2293" s="4" t="n">
        <v>0</v>
      </c>
      <c r="J2293" s="4" t="n">
        <v>0</v>
      </c>
      <c r="K2293" s="4" t="n">
        <v>0</v>
      </c>
      <c r="M2293" s="2" t="str">
        <f aca="false">IF(C2293="","",IFERROR(INDEX($S$5:$S$304,MATCH(C2293,$R$5:$R$304,0))&amp;"","?"))</f>
        <v>18</v>
      </c>
      <c r="N2293" s="2" t="n">
        <f aca="false">IF(E2293="","",IF(ISNUMBER(SEARCH("SUBSOLO",E2293)),IFERROR(-VALUE(LEFT(E2293,FIND("º",SUBSTITUTE(E2293,"°","º"))-1)),-1),IF(LEFT(E2293,6)="TÉRREO",0,IFERROR(VALUE(LEFT(E2293,FIND("º",SUBSTITUTE(E2293,"°","º"))-1)),""))))</f>
        <v>9</v>
      </c>
      <c r="O2293" s="2" t="str">
        <f aca="false">IF(OR(F2293="",G2293=""),"",IF(G2293&lt;='RETRATO 2027'!$K$5,"CONCLUÍDA",IF(F2293&lt;='RETRATO 2027'!$K$5,"EM ANDAMENTO","A INICIAR")))</f>
        <v>CONCLUÍDA</v>
      </c>
    </row>
    <row r="2294" customFormat="false" ht="15" hidden="false" customHeight="false" outlineLevel="0" collapsed="false">
      <c r="B2294" s="4" t="n">
        <v>26743417</v>
      </c>
      <c r="C2294" s="4" t="s">
        <v>2924</v>
      </c>
      <c r="D2294" s="4" t="s">
        <v>433</v>
      </c>
      <c r="E2294" s="4" t="s">
        <v>3722</v>
      </c>
      <c r="F2294" s="127" t="n">
        <v>46476</v>
      </c>
      <c r="G2294" s="127" t="n">
        <v>46485</v>
      </c>
      <c r="H2294" s="127" t="n">
        <v>46293</v>
      </c>
      <c r="I2294" s="4" t="n">
        <v>0</v>
      </c>
      <c r="J2294" s="4" t="n">
        <v>0</v>
      </c>
      <c r="K2294" s="4" t="n">
        <v>0</v>
      </c>
      <c r="M2294" s="2" t="str">
        <f aca="false">IF(C2294="","",IFERROR(INDEX($S$5:$S$304,MATCH(C2294,$R$5:$R$304,0))&amp;"","?"))</f>
        <v>21</v>
      </c>
      <c r="N2294" s="2" t="n">
        <f aca="false">IF(E2294="","",IF(ISNUMBER(SEARCH("SUBSOLO",E2294)),IFERROR(-VALUE(LEFT(E2294,FIND("º",SUBSTITUTE(E2294,"°","º"))-1)),-1),IF(LEFT(E2294,6)="TÉRREO",0,IFERROR(VALUE(LEFT(E2294,FIND("º",SUBSTITUTE(E2294,"°","º"))-1)),""))))</f>
        <v>10</v>
      </c>
      <c r="O2294" s="2" t="str">
        <f aca="false">IF(OR(F2294="",G2294=""),"",IF(G2294&lt;='RETRATO 2027'!$K$5,"CONCLUÍDA",IF(F2294&lt;='RETRATO 2027'!$K$5,"EM ANDAMENTO","A INICIAR")))</f>
        <v>CONCLUÍDA</v>
      </c>
    </row>
    <row r="2295" customFormat="false" ht="15" hidden="false" customHeight="false" outlineLevel="0" collapsed="false">
      <c r="B2295" s="4" t="n">
        <v>26743400</v>
      </c>
      <c r="C2295" s="4" t="s">
        <v>2926</v>
      </c>
      <c r="D2295" s="4" t="s">
        <v>433</v>
      </c>
      <c r="E2295" s="4" t="s">
        <v>3722</v>
      </c>
      <c r="F2295" s="127" t="n">
        <v>46476</v>
      </c>
      <c r="G2295" s="127" t="n">
        <v>46485</v>
      </c>
      <c r="H2295" s="127" t="n">
        <v>46293</v>
      </c>
      <c r="I2295" s="4" t="n">
        <v>0</v>
      </c>
      <c r="J2295" s="4" t="n">
        <v>0</v>
      </c>
      <c r="K2295" s="4" t="n">
        <v>0</v>
      </c>
      <c r="M2295" s="2" t="str">
        <f aca="false">IF(C2295="","",IFERROR(INDEX($S$5:$S$304,MATCH(C2295,$R$5:$R$304,0))&amp;"","?"))</f>
        <v>20</v>
      </c>
      <c r="N2295" s="2" t="n">
        <f aca="false">IF(E2295="","",IF(ISNUMBER(SEARCH("SUBSOLO",E2295)),IFERROR(-VALUE(LEFT(E2295,FIND("º",SUBSTITUTE(E2295,"°","º"))-1)),-1),IF(LEFT(E2295,6)="TÉRREO",0,IFERROR(VALUE(LEFT(E2295,FIND("º",SUBSTITUTE(E2295,"°","º"))-1)),""))))</f>
        <v>10</v>
      </c>
      <c r="O2295" s="2" t="str">
        <f aca="false">IF(OR(F2295="",G2295=""),"",IF(G2295&lt;='RETRATO 2027'!$K$5,"CONCLUÍDA",IF(F2295&lt;='RETRATO 2027'!$K$5,"EM ANDAMENTO","A INICIAR")))</f>
        <v>CONCLUÍDA</v>
      </c>
    </row>
    <row r="2296" customFormat="false" ht="15" hidden="false" customHeight="false" outlineLevel="0" collapsed="false">
      <c r="B2296" s="4" t="n">
        <v>26743399</v>
      </c>
      <c r="C2296" s="4" t="s">
        <v>2928</v>
      </c>
      <c r="D2296" s="4" t="s">
        <v>433</v>
      </c>
      <c r="E2296" s="4" t="s">
        <v>3722</v>
      </c>
      <c r="F2296" s="127" t="n">
        <v>46476</v>
      </c>
      <c r="G2296" s="127" t="n">
        <v>46485</v>
      </c>
      <c r="H2296" s="127" t="n">
        <v>46293</v>
      </c>
      <c r="I2296" s="4" t="n">
        <v>0</v>
      </c>
      <c r="J2296" s="4" t="n">
        <v>0</v>
      </c>
      <c r="K2296" s="4" t="n">
        <v>0</v>
      </c>
      <c r="M2296" s="2" t="str">
        <f aca="false">IF(C2296="","",IFERROR(INDEX($S$5:$S$304,MATCH(C2296,$R$5:$R$304,0))&amp;"","?"))</f>
        <v>23</v>
      </c>
      <c r="N2296" s="2" t="n">
        <f aca="false">IF(E2296="","",IF(ISNUMBER(SEARCH("SUBSOLO",E2296)),IFERROR(-VALUE(LEFT(E2296,FIND("º",SUBSTITUTE(E2296,"°","º"))-1)),-1),IF(LEFT(E2296,6)="TÉRREO",0,IFERROR(VALUE(LEFT(E2296,FIND("º",SUBSTITUTE(E2296,"°","º"))-1)),""))))</f>
        <v>10</v>
      </c>
      <c r="O2296" s="2" t="str">
        <f aca="false">IF(OR(F2296="",G2296=""),"",IF(G2296&lt;='RETRATO 2027'!$K$5,"CONCLUÍDA",IF(F2296&lt;='RETRATO 2027'!$K$5,"EM ANDAMENTO","A INICIAR")))</f>
        <v>CONCLUÍDA</v>
      </c>
    </row>
    <row r="2297" customFormat="false" ht="15" hidden="false" customHeight="false" outlineLevel="0" collapsed="false">
      <c r="B2297" s="4" t="n">
        <v>26743418</v>
      </c>
      <c r="C2297" s="4" t="s">
        <v>2930</v>
      </c>
      <c r="D2297" s="4" t="s">
        <v>433</v>
      </c>
      <c r="E2297" s="4" t="s">
        <v>3722</v>
      </c>
      <c r="F2297" s="127" t="n">
        <v>46476</v>
      </c>
      <c r="G2297" s="127" t="n">
        <v>46485</v>
      </c>
      <c r="H2297" s="127" t="n">
        <v>46293</v>
      </c>
      <c r="I2297" s="4" t="n">
        <v>0</v>
      </c>
      <c r="J2297" s="4" t="n">
        <v>0</v>
      </c>
      <c r="K2297" s="4" t="n">
        <v>0</v>
      </c>
      <c r="M2297" s="2" t="str">
        <f aca="false">IF(C2297="","",IFERROR(INDEX($S$5:$S$304,MATCH(C2297,$R$5:$R$304,0))&amp;"","?"))</f>
        <v>21</v>
      </c>
      <c r="N2297" s="2" t="n">
        <f aca="false">IF(E2297="","",IF(ISNUMBER(SEARCH("SUBSOLO",E2297)),IFERROR(-VALUE(LEFT(E2297,FIND("º",SUBSTITUTE(E2297,"°","º"))-1)),-1),IF(LEFT(E2297,6)="TÉRREO",0,IFERROR(VALUE(LEFT(E2297,FIND("º",SUBSTITUTE(E2297,"°","º"))-1)),""))))</f>
        <v>10</v>
      </c>
      <c r="O2297" s="2" t="str">
        <f aca="false">IF(OR(F2297="",G2297=""),"",IF(G2297&lt;='RETRATO 2027'!$K$5,"CONCLUÍDA",IF(F2297&lt;='RETRATO 2027'!$K$5,"EM ANDAMENTO","A INICIAR")))</f>
        <v>CONCLUÍDA</v>
      </c>
    </row>
    <row r="2298" customFormat="false" ht="15" hidden="false" customHeight="false" outlineLevel="0" collapsed="false">
      <c r="B2298" s="4" t="n">
        <v>26743419</v>
      </c>
      <c r="C2298" s="4" t="s">
        <v>2933</v>
      </c>
      <c r="D2298" s="4" t="s">
        <v>433</v>
      </c>
      <c r="E2298" s="4" t="s">
        <v>3722</v>
      </c>
      <c r="F2298" s="127" t="n">
        <v>46476</v>
      </c>
      <c r="G2298" s="127" t="n">
        <v>46485</v>
      </c>
      <c r="H2298" s="127" t="n">
        <v>46293</v>
      </c>
      <c r="I2298" s="4" t="n">
        <v>0</v>
      </c>
      <c r="J2298" s="4" t="n">
        <v>0</v>
      </c>
      <c r="K2298" s="4" t="n">
        <v>0</v>
      </c>
      <c r="M2298" s="2" t="str">
        <f aca="false">IF(C2298="","",IFERROR(INDEX($S$5:$S$304,MATCH(C2298,$R$5:$R$304,0))&amp;"","?"))</f>
        <v>21</v>
      </c>
      <c r="N2298" s="2" t="n">
        <f aca="false">IF(E2298="","",IF(ISNUMBER(SEARCH("SUBSOLO",E2298)),IFERROR(-VALUE(LEFT(E2298,FIND("º",SUBSTITUTE(E2298,"°","º"))-1)),-1),IF(LEFT(E2298,6)="TÉRREO",0,IFERROR(VALUE(LEFT(E2298,FIND("º",SUBSTITUTE(E2298,"°","º"))-1)),""))))</f>
        <v>10</v>
      </c>
      <c r="O2298" s="2" t="str">
        <f aca="false">IF(OR(F2298="",G2298=""),"",IF(G2298&lt;='RETRATO 2027'!$K$5,"CONCLUÍDA",IF(F2298&lt;='RETRATO 2027'!$K$5,"EM ANDAMENTO","A INICIAR")))</f>
        <v>CONCLUÍDA</v>
      </c>
    </row>
    <row r="2299" customFormat="false" ht="15" hidden="false" customHeight="false" outlineLevel="0" collapsed="false">
      <c r="B2299" s="4" t="n">
        <v>26743361</v>
      </c>
      <c r="C2299" s="4" t="s">
        <v>2922</v>
      </c>
      <c r="D2299" s="4" t="s">
        <v>433</v>
      </c>
      <c r="E2299" s="4" t="s">
        <v>3762</v>
      </c>
      <c r="F2299" s="127" t="n">
        <v>46476</v>
      </c>
      <c r="G2299" s="127" t="n">
        <v>46485</v>
      </c>
      <c r="H2299" s="127" t="n">
        <v>46293</v>
      </c>
      <c r="I2299" s="4" t="n">
        <v>0</v>
      </c>
      <c r="J2299" s="4" t="n">
        <v>0</v>
      </c>
      <c r="K2299" s="4" t="n">
        <v>0</v>
      </c>
      <c r="M2299" s="2" t="str">
        <f aca="false">IF(C2299="","",IFERROR(INDEX($S$5:$S$304,MATCH(C2299,$R$5:$R$304,0))&amp;"","?"))</f>
        <v>18</v>
      </c>
      <c r="N2299" s="2" t="n">
        <f aca="false">IF(E2299="","",IF(ISNUMBER(SEARCH("SUBSOLO",E2299)),IFERROR(-VALUE(LEFT(E2299,FIND("º",SUBSTITUTE(E2299,"°","º"))-1)),-1),IF(LEFT(E2299,6)="TÉRREO",0,IFERROR(VALUE(LEFT(E2299,FIND("º",SUBSTITUTE(E2299,"°","º"))-1)),""))))</f>
        <v>11</v>
      </c>
      <c r="O2299" s="2" t="str">
        <f aca="false">IF(OR(F2299="",G2299=""),"",IF(G2299&lt;='RETRATO 2027'!$K$5,"CONCLUÍDA",IF(F2299&lt;='RETRATO 2027'!$K$5,"EM ANDAMENTO","A INICIAR")))</f>
        <v>CONCLUÍDA</v>
      </c>
    </row>
    <row r="2300" customFormat="false" ht="15" hidden="false" customHeight="false" outlineLevel="0" collapsed="false">
      <c r="B2300" s="4" t="n">
        <v>24938878</v>
      </c>
      <c r="C2300" s="4" t="s">
        <v>2705</v>
      </c>
      <c r="D2300" s="4" t="s">
        <v>433</v>
      </c>
      <c r="E2300" s="4" t="s">
        <v>3797</v>
      </c>
      <c r="F2300" s="127" t="n">
        <v>46476</v>
      </c>
      <c r="G2300" s="127" t="n">
        <v>46484</v>
      </c>
      <c r="H2300" s="127" t="n">
        <v>46293</v>
      </c>
      <c r="I2300" s="4" t="n">
        <v>0</v>
      </c>
      <c r="J2300" s="4" t="n">
        <v>0</v>
      </c>
      <c r="K2300" s="4" t="n">
        <v>0</v>
      </c>
      <c r="M2300" s="2" t="str">
        <f aca="false">IF(C2300="","",IFERROR(INDEX($S$5:$S$304,MATCH(C2300,$R$5:$R$304,0))&amp;"","?"))</f>
        <v>17</v>
      </c>
      <c r="N2300" s="2" t="n">
        <f aca="false">IF(E2300="","",IF(ISNUMBER(SEARCH("SUBSOLO",E2300)),IFERROR(-VALUE(LEFT(E2300,FIND("º",SUBSTITUTE(E2300,"°","º"))-1)),-1),IF(LEFT(E2300,6)="TÉRREO",0,IFERROR(VALUE(LEFT(E2300,FIND("º",SUBSTITUTE(E2300,"°","º"))-1)),""))))</f>
        <v>26</v>
      </c>
      <c r="O2300" s="2" t="str">
        <f aca="false">IF(OR(F2300="",G2300=""),"",IF(G2300&lt;='RETRATO 2027'!$K$5,"CONCLUÍDA",IF(F2300&lt;='RETRATO 2027'!$K$5,"EM ANDAMENTO","A INICIAR")))</f>
        <v>CONCLUÍDA</v>
      </c>
    </row>
    <row r="2301" customFormat="false" ht="15" hidden="false" customHeight="false" outlineLevel="0" collapsed="false">
      <c r="B2301" s="4" t="n">
        <v>9359987</v>
      </c>
      <c r="C2301" s="4" t="s">
        <v>2705</v>
      </c>
      <c r="D2301" s="4" t="s">
        <v>3244</v>
      </c>
      <c r="E2301" s="4" t="s">
        <v>3797</v>
      </c>
      <c r="F2301" s="127" t="n">
        <v>46476</v>
      </c>
      <c r="G2301" s="127" t="n">
        <v>46478</v>
      </c>
      <c r="H2301" s="127" t="n">
        <v>46293</v>
      </c>
      <c r="I2301" s="4" t="n">
        <v>0</v>
      </c>
      <c r="J2301" s="4" t="n">
        <v>0</v>
      </c>
      <c r="K2301" s="4" t="n">
        <v>0</v>
      </c>
      <c r="M2301" s="2" t="str">
        <f aca="false">IF(C2301="","",IFERROR(INDEX($S$5:$S$304,MATCH(C2301,$R$5:$R$304,0))&amp;"","?"))</f>
        <v>17</v>
      </c>
      <c r="N2301" s="2" t="n">
        <f aca="false">IF(E2301="","",IF(ISNUMBER(SEARCH("SUBSOLO",E2301)),IFERROR(-VALUE(LEFT(E2301,FIND("º",SUBSTITUTE(E2301,"°","º"))-1)),-1),IF(LEFT(E2301,6)="TÉRREO",0,IFERROR(VALUE(LEFT(E2301,FIND("º",SUBSTITUTE(E2301,"°","º"))-1)),""))))</f>
        <v>26</v>
      </c>
      <c r="O2301" s="2" t="str">
        <f aca="false">IF(OR(F2301="",G2301=""),"",IF(G2301&lt;='RETRATO 2027'!$K$5,"CONCLUÍDA",IF(F2301&lt;='RETRATO 2027'!$K$5,"EM ANDAMENTO","A INICIAR")))</f>
        <v>CONCLUÍDA</v>
      </c>
    </row>
    <row r="2302" customFormat="false" ht="15" hidden="false" customHeight="false" outlineLevel="0" collapsed="false">
      <c r="B2302" s="4" t="n">
        <v>9359988</v>
      </c>
      <c r="C2302" s="4" t="s">
        <v>2705</v>
      </c>
      <c r="D2302" s="4" t="s">
        <v>3245</v>
      </c>
      <c r="E2302" s="4" t="s">
        <v>3797</v>
      </c>
      <c r="F2302" s="127" t="n">
        <v>46476</v>
      </c>
      <c r="G2302" s="127" t="n">
        <v>46478</v>
      </c>
      <c r="H2302" s="127" t="n">
        <v>46293</v>
      </c>
      <c r="I2302" s="4" t="n">
        <v>0</v>
      </c>
      <c r="J2302" s="4" t="n">
        <v>0</v>
      </c>
      <c r="K2302" s="4" t="n">
        <v>0</v>
      </c>
      <c r="M2302" s="2" t="str">
        <f aca="false">IF(C2302="","",IFERROR(INDEX($S$5:$S$304,MATCH(C2302,$R$5:$R$304,0))&amp;"","?"))</f>
        <v>17</v>
      </c>
      <c r="N2302" s="2" t="n">
        <f aca="false">IF(E2302="","",IF(ISNUMBER(SEARCH("SUBSOLO",E2302)),IFERROR(-VALUE(LEFT(E2302,FIND("º",SUBSTITUTE(E2302,"°","º"))-1)),-1),IF(LEFT(E2302,6)="TÉRREO",0,IFERROR(VALUE(LEFT(E2302,FIND("º",SUBSTITUTE(E2302,"°","º"))-1)),""))))</f>
        <v>26</v>
      </c>
      <c r="O2302" s="2" t="str">
        <f aca="false">IF(OR(F2302="",G2302=""),"",IF(G2302&lt;='RETRATO 2027'!$K$5,"CONCLUÍDA",IF(F2302&lt;='RETRATO 2027'!$K$5,"EM ANDAMENTO","A INICIAR")))</f>
        <v>CONCLUÍDA</v>
      </c>
    </row>
    <row r="2303" customFormat="false" ht="15" hidden="false" customHeight="false" outlineLevel="0" collapsed="false">
      <c r="B2303" s="4" t="n">
        <v>9359989</v>
      </c>
      <c r="C2303" s="4" t="s">
        <v>2705</v>
      </c>
      <c r="D2303" s="4" t="s">
        <v>3246</v>
      </c>
      <c r="E2303" s="4" t="s">
        <v>3797</v>
      </c>
      <c r="F2303" s="127" t="n">
        <v>46477</v>
      </c>
      <c r="G2303" s="127" t="n">
        <v>46479</v>
      </c>
      <c r="H2303" s="127" t="n">
        <v>46293</v>
      </c>
      <c r="I2303" s="4" t="n">
        <v>0</v>
      </c>
      <c r="J2303" s="4" t="n">
        <v>0</v>
      </c>
      <c r="K2303" s="4" t="n">
        <v>0</v>
      </c>
      <c r="M2303" s="2" t="str">
        <f aca="false">IF(C2303="","",IFERROR(INDEX($S$5:$S$304,MATCH(C2303,$R$5:$R$304,0))&amp;"","?"))</f>
        <v>17</v>
      </c>
      <c r="N2303" s="2" t="n">
        <f aca="false">IF(E2303="","",IF(ISNUMBER(SEARCH("SUBSOLO",E2303)),IFERROR(-VALUE(LEFT(E2303,FIND("º",SUBSTITUTE(E2303,"°","º"))-1)),-1),IF(LEFT(E2303,6)="TÉRREO",0,IFERROR(VALUE(LEFT(E2303,FIND("º",SUBSTITUTE(E2303,"°","º"))-1)),""))))</f>
        <v>26</v>
      </c>
      <c r="O2303" s="2" t="str">
        <f aca="false">IF(OR(F2303="",G2303=""),"",IF(G2303&lt;='RETRATO 2027'!$K$5,"CONCLUÍDA",IF(F2303&lt;='RETRATO 2027'!$K$5,"EM ANDAMENTO","A INICIAR")))</f>
        <v>CONCLUÍDA</v>
      </c>
    </row>
    <row r="2304" customFormat="false" ht="15" hidden="false" customHeight="false" outlineLevel="0" collapsed="false">
      <c r="B2304" s="4" t="n">
        <v>9359990</v>
      </c>
      <c r="C2304" s="4" t="s">
        <v>2705</v>
      </c>
      <c r="D2304" s="4" t="s">
        <v>3247</v>
      </c>
      <c r="E2304" s="4" t="s">
        <v>3797</v>
      </c>
      <c r="F2304" s="127" t="n">
        <v>46482</v>
      </c>
      <c r="G2304" s="127" t="n">
        <v>46482</v>
      </c>
      <c r="H2304" s="127" t="n">
        <v>46293</v>
      </c>
      <c r="I2304" s="4" t="n">
        <v>0</v>
      </c>
      <c r="J2304" s="4" t="n">
        <v>0</v>
      </c>
      <c r="K2304" s="4" t="n">
        <v>0</v>
      </c>
      <c r="M2304" s="2" t="str">
        <f aca="false">IF(C2304="","",IFERROR(INDEX($S$5:$S$304,MATCH(C2304,$R$5:$R$304,0))&amp;"","?"))</f>
        <v>17</v>
      </c>
      <c r="N2304" s="2" t="n">
        <f aca="false">IF(E2304="","",IF(ISNUMBER(SEARCH("SUBSOLO",E2304)),IFERROR(-VALUE(LEFT(E2304,FIND("º",SUBSTITUTE(E2304,"°","º"))-1)),-1),IF(LEFT(E2304,6)="TÉRREO",0,IFERROR(VALUE(LEFT(E2304,FIND("º",SUBSTITUTE(E2304,"°","º"))-1)),""))))</f>
        <v>26</v>
      </c>
      <c r="O2304" s="2" t="str">
        <f aca="false">IF(OR(F2304="",G2304=""),"",IF(G2304&lt;='RETRATO 2027'!$K$5,"CONCLUÍDA",IF(F2304&lt;='RETRATO 2027'!$K$5,"EM ANDAMENTO","A INICIAR")))</f>
        <v>CONCLUÍDA</v>
      </c>
    </row>
    <row r="2305" customFormat="false" ht="15" hidden="false" customHeight="false" outlineLevel="0" collapsed="false">
      <c r="B2305" s="4" t="n">
        <v>9359991</v>
      </c>
      <c r="C2305" s="4" t="s">
        <v>2705</v>
      </c>
      <c r="D2305" s="4" t="s">
        <v>3248</v>
      </c>
      <c r="E2305" s="4" t="s">
        <v>3797</v>
      </c>
      <c r="F2305" s="127" t="n">
        <v>46483</v>
      </c>
      <c r="G2305" s="127" t="n">
        <v>46484</v>
      </c>
      <c r="H2305" s="127" t="n">
        <v>46293</v>
      </c>
      <c r="I2305" s="4" t="n">
        <v>0</v>
      </c>
      <c r="J2305" s="4" t="n">
        <v>0</v>
      </c>
      <c r="K2305" s="4" t="n">
        <v>0</v>
      </c>
      <c r="M2305" s="2" t="str">
        <f aca="false">IF(C2305="","",IFERROR(INDEX($S$5:$S$304,MATCH(C2305,$R$5:$R$304,0))&amp;"","?"))</f>
        <v>17</v>
      </c>
      <c r="N2305" s="2" t="n">
        <f aca="false">IF(E2305="","",IF(ISNUMBER(SEARCH("SUBSOLO",E2305)),IFERROR(-VALUE(LEFT(E2305,FIND("º",SUBSTITUTE(E2305,"°","º"))-1)),-1),IF(LEFT(E2305,6)="TÉRREO",0,IFERROR(VALUE(LEFT(E2305,FIND("º",SUBSTITUTE(E2305,"°","º"))-1)),""))))</f>
        <v>26</v>
      </c>
      <c r="O2305" s="2" t="str">
        <f aca="false">IF(OR(F2305="",G2305=""),"",IF(G2305&lt;='RETRATO 2027'!$K$5,"CONCLUÍDA",IF(F2305&lt;='RETRATO 2027'!$K$5,"EM ANDAMENTO","A INICIAR")))</f>
        <v>CONCLUÍDA</v>
      </c>
    </row>
    <row r="2306" customFormat="false" ht="15" hidden="false" customHeight="false" outlineLevel="0" collapsed="false">
      <c r="B2306" s="4" t="n">
        <v>9359992</v>
      </c>
      <c r="C2306" s="4" t="s">
        <v>2705</v>
      </c>
      <c r="D2306" s="4" t="s">
        <v>3249</v>
      </c>
      <c r="E2306" s="4" t="s">
        <v>3797</v>
      </c>
      <c r="F2306" s="127" t="n">
        <v>46484</v>
      </c>
      <c r="G2306" s="127" t="n">
        <v>46484</v>
      </c>
      <c r="H2306" s="127" t="n">
        <v>46293</v>
      </c>
      <c r="I2306" s="4" t="n">
        <v>0</v>
      </c>
      <c r="J2306" s="4" t="n">
        <v>0</v>
      </c>
      <c r="K2306" s="4" t="n">
        <v>0</v>
      </c>
      <c r="M2306" s="2" t="str">
        <f aca="false">IF(C2306="","",IFERROR(INDEX($S$5:$S$304,MATCH(C2306,$R$5:$R$304,0))&amp;"","?"))</f>
        <v>17</v>
      </c>
      <c r="N2306" s="2" t="n">
        <f aca="false">IF(E2306="","",IF(ISNUMBER(SEARCH("SUBSOLO",E2306)),IFERROR(-VALUE(LEFT(E2306,FIND("º",SUBSTITUTE(E2306,"°","º"))-1)),-1),IF(LEFT(E2306,6)="TÉRREO",0,IFERROR(VALUE(LEFT(E2306,FIND("º",SUBSTITUTE(E2306,"°","º"))-1)),""))))</f>
        <v>26</v>
      </c>
      <c r="O2306" s="2" t="str">
        <f aca="false">IF(OR(F2306="",G2306=""),"",IF(G2306&lt;='RETRATO 2027'!$K$5,"CONCLUÍDA",IF(F2306&lt;='RETRATO 2027'!$K$5,"EM ANDAMENTO","A INICIAR")))</f>
        <v>CONCLUÍDA</v>
      </c>
    </row>
    <row r="2307" customFormat="false" ht="15" hidden="false" customHeight="false" outlineLevel="0" collapsed="false">
      <c r="B2307" s="4" t="n">
        <v>9359993</v>
      </c>
      <c r="C2307" s="4" t="s">
        <v>2705</v>
      </c>
      <c r="D2307" s="4" t="s">
        <v>3250</v>
      </c>
      <c r="E2307" s="4" t="s">
        <v>3797</v>
      </c>
      <c r="F2307" s="127" t="n">
        <v>46483</v>
      </c>
      <c r="G2307" s="127" t="n">
        <v>46483</v>
      </c>
      <c r="H2307" s="127" t="n">
        <v>46293</v>
      </c>
      <c r="I2307" s="4" t="n">
        <v>0</v>
      </c>
      <c r="J2307" s="4" t="n">
        <v>0</v>
      </c>
      <c r="K2307" s="4" t="n">
        <v>0</v>
      </c>
      <c r="M2307" s="2" t="str">
        <f aca="false">IF(C2307="","",IFERROR(INDEX($S$5:$S$304,MATCH(C2307,$R$5:$R$304,0))&amp;"","?"))</f>
        <v>17</v>
      </c>
      <c r="N2307" s="2" t="n">
        <f aca="false">IF(E2307="","",IF(ISNUMBER(SEARCH("SUBSOLO",E2307)),IFERROR(-VALUE(LEFT(E2307,FIND("º",SUBSTITUTE(E2307,"°","º"))-1)),-1),IF(LEFT(E2307,6)="TÉRREO",0,IFERROR(VALUE(LEFT(E2307,FIND("º",SUBSTITUTE(E2307,"°","º"))-1)),""))))</f>
        <v>26</v>
      </c>
      <c r="O2307" s="2" t="str">
        <f aca="false">IF(OR(F2307="",G2307=""),"",IF(G2307&lt;='RETRATO 2027'!$K$5,"CONCLUÍDA",IF(F2307&lt;='RETRATO 2027'!$K$5,"EM ANDAMENTO","A INICIAR")))</f>
        <v>CONCLUÍDA</v>
      </c>
    </row>
    <row r="2308" customFormat="false" ht="15" hidden="false" customHeight="false" outlineLevel="0" collapsed="false">
      <c r="B2308" s="4" t="n">
        <v>9359994</v>
      </c>
      <c r="C2308" s="4" t="s">
        <v>2705</v>
      </c>
      <c r="D2308" s="4" t="s">
        <v>3251</v>
      </c>
      <c r="E2308" s="4" t="s">
        <v>3797</v>
      </c>
      <c r="F2308" s="127" t="n">
        <v>46483</v>
      </c>
      <c r="G2308" s="127" t="n">
        <v>46483</v>
      </c>
      <c r="H2308" s="127" t="n">
        <v>46293</v>
      </c>
      <c r="I2308" s="4" t="n">
        <v>0</v>
      </c>
      <c r="J2308" s="4" t="n">
        <v>0</v>
      </c>
      <c r="K2308" s="4" t="n">
        <v>0</v>
      </c>
      <c r="M2308" s="2" t="str">
        <f aca="false">IF(C2308="","",IFERROR(INDEX($S$5:$S$304,MATCH(C2308,$R$5:$R$304,0))&amp;"","?"))</f>
        <v>17</v>
      </c>
      <c r="N2308" s="2" t="n">
        <f aca="false">IF(E2308="","",IF(ISNUMBER(SEARCH("SUBSOLO",E2308)),IFERROR(-VALUE(LEFT(E2308,FIND("º",SUBSTITUTE(E2308,"°","º"))-1)),-1),IF(LEFT(E2308,6)="TÉRREO",0,IFERROR(VALUE(LEFT(E2308,FIND("º",SUBSTITUTE(E2308,"°","º"))-1)),""))))</f>
        <v>26</v>
      </c>
      <c r="O2308" s="2" t="str">
        <f aca="false">IF(OR(F2308="",G2308=""),"",IF(G2308&lt;='RETRATO 2027'!$K$5,"CONCLUÍDA",IF(F2308&lt;='RETRATO 2027'!$K$5,"EM ANDAMENTO","A INICIAR")))</f>
        <v>CONCLUÍDA</v>
      </c>
    </row>
    <row r="2309" customFormat="false" ht="15" hidden="false" customHeight="false" outlineLevel="0" collapsed="false">
      <c r="B2309" s="4" t="n">
        <v>9359995</v>
      </c>
      <c r="C2309" s="4" t="s">
        <v>2705</v>
      </c>
      <c r="D2309" s="4" t="s">
        <v>3252</v>
      </c>
      <c r="E2309" s="4" t="s">
        <v>3797</v>
      </c>
      <c r="F2309" s="127" t="n">
        <v>46484</v>
      </c>
      <c r="G2309" s="127" t="n">
        <v>46484</v>
      </c>
      <c r="H2309" s="127" t="n">
        <v>46293</v>
      </c>
      <c r="I2309" s="4" t="n">
        <v>0</v>
      </c>
      <c r="J2309" s="4" t="n">
        <v>0</v>
      </c>
      <c r="K2309" s="4" t="n">
        <v>0</v>
      </c>
      <c r="M2309" s="2" t="str">
        <f aca="false">IF(C2309="","",IFERROR(INDEX($S$5:$S$304,MATCH(C2309,$R$5:$R$304,0))&amp;"","?"))</f>
        <v>17</v>
      </c>
      <c r="N2309" s="2" t="n">
        <f aca="false">IF(E2309="","",IF(ISNUMBER(SEARCH("SUBSOLO",E2309)),IFERROR(-VALUE(LEFT(E2309,FIND("º",SUBSTITUTE(E2309,"°","º"))-1)),-1),IF(LEFT(E2309,6)="TÉRREO",0,IFERROR(VALUE(LEFT(E2309,FIND("º",SUBSTITUTE(E2309,"°","º"))-1)),""))))</f>
        <v>26</v>
      </c>
      <c r="O2309" s="2" t="str">
        <f aca="false">IF(OR(F2309="",G2309=""),"",IF(G2309&lt;='RETRATO 2027'!$K$5,"CONCLUÍDA",IF(F2309&lt;='RETRATO 2027'!$K$5,"EM ANDAMENTO","A INICIAR")))</f>
        <v>CONCLUÍDA</v>
      </c>
    </row>
    <row r="2310" customFormat="false" ht="15" hidden="false" customHeight="false" outlineLevel="0" collapsed="false">
      <c r="B2310" s="4" t="n">
        <v>26250674</v>
      </c>
      <c r="C2310" s="4" t="s">
        <v>2968</v>
      </c>
      <c r="D2310" s="4" t="s">
        <v>433</v>
      </c>
      <c r="E2310" s="4" t="s">
        <v>3798</v>
      </c>
      <c r="F2310" s="127" t="n">
        <v>46476</v>
      </c>
      <c r="G2310" s="127" t="n">
        <v>46667</v>
      </c>
      <c r="H2310" s="127" t="n">
        <v>46293</v>
      </c>
      <c r="I2310" s="4" t="n">
        <v>0</v>
      </c>
      <c r="J2310" s="4" t="n">
        <v>0</v>
      </c>
      <c r="K2310" s="4" t="n">
        <v>0</v>
      </c>
      <c r="M2310" s="2" t="str">
        <f aca="false">IF(C2310="","",IFERROR(INDEX($S$5:$S$304,MATCH(C2310,$R$5:$R$304,0))&amp;"","?"))</f>
        <v>32</v>
      </c>
      <c r="N2310" s="2" t="str">
        <f aca="false"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 t="str">
        <f aca="false">IF(OR(F2310="",G2310=""),"",IF(G2310&lt;='RETRATO 2027'!$K$5,"CONCLUÍDA",IF(F2310&lt;='RETRATO 2027'!$K$5,"EM ANDAMENTO","A INICIAR")))</f>
        <v>CONCLUÍDA</v>
      </c>
    </row>
    <row r="2311" customFormat="false" ht="15" hidden="false" customHeight="false" outlineLevel="0" collapsed="false">
      <c r="B2311" s="4" t="n">
        <v>11132049</v>
      </c>
      <c r="C2311" s="4" t="s">
        <v>2968</v>
      </c>
      <c r="D2311" s="4" t="s">
        <v>3790</v>
      </c>
      <c r="E2311" s="4" t="s">
        <v>3798</v>
      </c>
      <c r="F2311" s="127" t="n">
        <v>46476</v>
      </c>
      <c r="G2311" s="127" t="n">
        <v>46531</v>
      </c>
      <c r="H2311" s="127" t="n">
        <v>46293</v>
      </c>
      <c r="I2311" s="4" t="n">
        <v>0</v>
      </c>
      <c r="J2311" s="4" t="n">
        <v>0</v>
      </c>
      <c r="K2311" s="4" t="n">
        <v>0</v>
      </c>
      <c r="M2311" s="2" t="str">
        <f aca="false">IF(C2311="","",IFERROR(INDEX($S$5:$S$304,MATCH(C2311,$R$5:$R$304,0))&amp;"","?"))</f>
        <v>32</v>
      </c>
      <c r="N2311" s="2" t="str">
        <f aca="false"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 t="str">
        <f aca="false">IF(OR(F2311="",G2311=""),"",IF(G2311&lt;='RETRATO 2027'!$K$5,"CONCLUÍDA",IF(F2311&lt;='RETRATO 2027'!$K$5,"EM ANDAMENTO","A INICIAR")))</f>
        <v>CONCLUÍDA</v>
      </c>
    </row>
    <row r="2312" customFormat="false" ht="15" hidden="false" customHeight="false" outlineLevel="0" collapsed="false">
      <c r="B2312" s="4" t="n">
        <v>11132050</v>
      </c>
      <c r="C2312" s="4" t="s">
        <v>2968</v>
      </c>
      <c r="D2312" s="4" t="s">
        <v>3791</v>
      </c>
      <c r="E2312" s="4" t="s">
        <v>3798</v>
      </c>
      <c r="F2312" s="127" t="n">
        <v>46477</v>
      </c>
      <c r="G2312" s="127" t="n">
        <v>46590</v>
      </c>
      <c r="H2312" s="127" t="n">
        <v>46293</v>
      </c>
      <c r="I2312" s="4" t="n">
        <v>0</v>
      </c>
      <c r="J2312" s="4" t="n">
        <v>0</v>
      </c>
      <c r="K2312" s="4" t="n">
        <v>0</v>
      </c>
      <c r="M2312" s="2" t="str">
        <f aca="false">IF(C2312="","",IFERROR(INDEX($S$5:$S$304,MATCH(C2312,$R$5:$R$304,0))&amp;"","?"))</f>
        <v>32</v>
      </c>
      <c r="N2312" s="2" t="str">
        <f aca="false"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 t="str">
        <f aca="false">IF(OR(F2312="",G2312=""),"",IF(G2312&lt;='RETRATO 2027'!$K$5,"CONCLUÍDA",IF(F2312&lt;='RETRATO 2027'!$K$5,"EM ANDAMENTO","A INICIAR")))</f>
        <v>CONCLUÍDA</v>
      </c>
    </row>
    <row r="2313" customFormat="false" ht="15" hidden="false" customHeight="false" outlineLevel="0" collapsed="false">
      <c r="B2313" s="4" t="n">
        <v>11132051</v>
      </c>
      <c r="C2313" s="4" t="s">
        <v>2968</v>
      </c>
      <c r="D2313" s="4" t="s">
        <v>3792</v>
      </c>
      <c r="E2313" s="4" t="s">
        <v>3798</v>
      </c>
      <c r="F2313" s="127" t="n">
        <v>46478</v>
      </c>
      <c r="G2313" s="127" t="n">
        <v>46619</v>
      </c>
      <c r="H2313" s="127" t="n">
        <v>46293</v>
      </c>
      <c r="I2313" s="4" t="n">
        <v>0</v>
      </c>
      <c r="J2313" s="4" t="n">
        <v>0</v>
      </c>
      <c r="K2313" s="4" t="n">
        <v>0</v>
      </c>
      <c r="M2313" s="2" t="str">
        <f aca="false">IF(C2313="","",IFERROR(INDEX($S$5:$S$304,MATCH(C2313,$R$5:$R$304,0))&amp;"","?"))</f>
        <v>32</v>
      </c>
      <c r="N2313" s="2" t="str">
        <f aca="false"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 t="str">
        <f aca="false">IF(OR(F2313="",G2313=""),"",IF(G2313&lt;='RETRATO 2027'!$K$5,"CONCLUÍDA",IF(F2313&lt;='RETRATO 2027'!$K$5,"EM ANDAMENTO","A INICIAR")))</f>
        <v>CONCLUÍDA</v>
      </c>
    </row>
    <row r="2314" customFormat="false" ht="15" hidden="false" customHeight="false" outlineLevel="0" collapsed="false">
      <c r="B2314" s="4" t="n">
        <v>11132052</v>
      </c>
      <c r="C2314" s="4" t="s">
        <v>2968</v>
      </c>
      <c r="D2314" s="4" t="s">
        <v>3793</v>
      </c>
      <c r="E2314" s="4" t="s">
        <v>3798</v>
      </c>
      <c r="F2314" s="127" t="n">
        <v>46479</v>
      </c>
      <c r="G2314" s="127" t="n">
        <v>46667</v>
      </c>
      <c r="H2314" s="127" t="n">
        <v>46293</v>
      </c>
      <c r="I2314" s="4" t="n">
        <v>0</v>
      </c>
      <c r="J2314" s="4" t="n">
        <v>0</v>
      </c>
      <c r="K2314" s="4" t="n">
        <v>0</v>
      </c>
      <c r="M2314" s="2" t="str">
        <f aca="false">IF(C2314="","",IFERROR(INDEX($S$5:$S$304,MATCH(C2314,$R$5:$R$304,0))&amp;"","?"))</f>
        <v>32</v>
      </c>
      <c r="N2314" s="2" t="str">
        <f aca="false"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 t="str">
        <f aca="false">IF(OR(F2314="",G2314=""),"",IF(G2314&lt;='RETRATO 2027'!$K$5,"CONCLUÍDA",IF(F2314&lt;='RETRATO 2027'!$K$5,"EM ANDAMENTO","A INICIAR")))</f>
        <v>CONCLUÍDA</v>
      </c>
    </row>
    <row r="2315" customFormat="false" ht="15" hidden="false" customHeight="false" outlineLevel="0" collapsed="false">
      <c r="B2315" s="4" t="n">
        <v>26743131</v>
      </c>
      <c r="C2315" s="4" t="s">
        <v>2869</v>
      </c>
      <c r="D2315" s="4" t="s">
        <v>433</v>
      </c>
      <c r="E2315" s="4" t="s">
        <v>3776</v>
      </c>
      <c r="F2315" s="127" t="n">
        <v>46477</v>
      </c>
      <c r="G2315" s="127" t="n">
        <v>46486</v>
      </c>
      <c r="H2315" s="127" t="n">
        <v>46293</v>
      </c>
      <c r="I2315" s="4" t="n">
        <v>0</v>
      </c>
      <c r="J2315" s="4" t="n">
        <v>0</v>
      </c>
      <c r="K2315" s="4" t="n">
        <v>0</v>
      </c>
      <c r="M2315" s="2" t="str">
        <f aca="false">IF(C2315="","",IFERROR(INDEX($S$5:$S$304,MATCH(C2315,$R$5:$R$304,0))&amp;"","?"))</f>
        <v>22</v>
      </c>
      <c r="N2315" s="2" t="n">
        <f aca="false">IF(E2315="","",IF(ISNUMBER(SEARCH("SUBSOLO",E2315)),IFERROR(-VALUE(LEFT(E2315,FIND("º",SUBSTITUTE(E2315,"°","º"))-1)),-1),IF(LEFT(E2315,6)="TÉRREO",0,IFERROR(VALUE(LEFT(E2315,FIND("º",SUBSTITUTE(E2315,"°","º"))-1)),""))))</f>
        <v>18</v>
      </c>
      <c r="O2315" s="2" t="str">
        <f aca="false">IF(OR(F2315="",G2315=""),"",IF(G2315&lt;='RETRATO 2027'!$K$5,"CONCLUÍDA",IF(F2315&lt;='RETRATO 2027'!$K$5,"EM ANDAMENTO","A INICIAR")))</f>
        <v>CONCLUÍDA</v>
      </c>
    </row>
    <row r="2316" customFormat="false" ht="15" hidden="false" customHeight="false" outlineLevel="0" collapsed="false">
      <c r="B2316" s="4" t="n">
        <v>26743092</v>
      </c>
      <c r="C2316" s="4" t="s">
        <v>163</v>
      </c>
      <c r="D2316" s="4" t="s">
        <v>433</v>
      </c>
      <c r="E2316" s="4" t="s">
        <v>3779</v>
      </c>
      <c r="F2316" s="127" t="n">
        <v>46477</v>
      </c>
      <c r="G2316" s="127" t="n">
        <v>46486</v>
      </c>
      <c r="H2316" s="127" t="n">
        <v>46293</v>
      </c>
      <c r="I2316" s="4" t="n">
        <v>0</v>
      </c>
      <c r="J2316" s="4" t="n">
        <v>0</v>
      </c>
      <c r="K2316" s="4" t="n">
        <v>0</v>
      </c>
      <c r="M2316" s="2" t="str">
        <f aca="false">IF(C2316="","",IFERROR(INDEX($S$5:$S$304,MATCH(C2316,$R$5:$R$304,0))&amp;"","?"))</f>
        <v>18</v>
      </c>
      <c r="N2316" s="2" t="n">
        <f aca="false">IF(E2316="","",IF(ISNUMBER(SEARCH("SUBSOLO",E2316)),IFERROR(-VALUE(LEFT(E2316,FIND("º",SUBSTITUTE(E2316,"°","º"))-1)),-1),IF(LEFT(E2316,6)="TÉRREO",0,IFERROR(VALUE(LEFT(E2316,FIND("º",SUBSTITUTE(E2316,"°","º"))-1)),""))))</f>
        <v>19</v>
      </c>
      <c r="O2316" s="2" t="str">
        <f aca="false">IF(OR(F2316="",G2316=""),"",IF(G2316&lt;='RETRATO 2027'!$K$5,"CONCLUÍDA",IF(F2316&lt;='RETRATO 2027'!$K$5,"EM ANDAMENTO","A INICIAR")))</f>
        <v>CONCLUÍDA</v>
      </c>
    </row>
    <row r="2317" customFormat="false" ht="15" hidden="false" customHeight="false" outlineLevel="0" collapsed="false">
      <c r="B2317" s="4" t="n">
        <v>26744805</v>
      </c>
      <c r="C2317" s="4" t="s">
        <v>2910</v>
      </c>
      <c r="D2317" s="4" t="s">
        <v>433</v>
      </c>
      <c r="E2317" s="4" t="s">
        <v>3769</v>
      </c>
      <c r="F2317" s="127" t="n">
        <v>46478</v>
      </c>
      <c r="G2317" s="127" t="n">
        <v>46499</v>
      </c>
      <c r="H2317" s="127" t="n">
        <v>46293</v>
      </c>
      <c r="I2317" s="4" t="n">
        <v>0</v>
      </c>
      <c r="J2317" s="4" t="n">
        <v>0</v>
      </c>
      <c r="K2317" s="4" t="n">
        <v>0</v>
      </c>
      <c r="M2317" s="2" t="str">
        <f aca="false">IF(C2317="","",IFERROR(INDEX($S$5:$S$304,MATCH(C2317,$R$5:$R$304,0))&amp;"","?"))</f>
        <v>25</v>
      </c>
      <c r="N2317" s="2" t="n">
        <f aca="false">IF(E2317="","",IF(ISNUMBER(SEARCH("SUBSOLO",E2317)),IFERROR(-VALUE(LEFT(E2317,FIND("º",SUBSTITUTE(E2317,"°","º"))-1)),-1),IF(LEFT(E2317,6)="TÉRREO",0,IFERROR(VALUE(LEFT(E2317,FIND("º",SUBSTITUTE(E2317,"°","º"))-1)),""))))</f>
        <v>3</v>
      </c>
      <c r="O2317" s="2" t="str">
        <f aca="false">IF(OR(F2317="",G2317=""),"",IF(G2317&lt;='RETRATO 2027'!$K$5,"CONCLUÍDA",IF(F2317&lt;='RETRATO 2027'!$K$5,"EM ANDAMENTO","A INICIAR")))</f>
        <v>CONCLUÍDA</v>
      </c>
    </row>
    <row r="2318" customFormat="false" ht="15" hidden="false" customHeight="false" outlineLevel="0" collapsed="false">
      <c r="B2318" s="4" t="n">
        <v>26743341</v>
      </c>
      <c r="C2318" s="4" t="s">
        <v>2916</v>
      </c>
      <c r="D2318" s="4" t="s">
        <v>433</v>
      </c>
      <c r="E2318" s="4" t="s">
        <v>3763</v>
      </c>
      <c r="F2318" s="127" t="n">
        <v>46478</v>
      </c>
      <c r="G2318" s="127" t="n">
        <v>46485</v>
      </c>
      <c r="H2318" s="127" t="n">
        <v>46293</v>
      </c>
      <c r="I2318" s="4" t="n">
        <v>0</v>
      </c>
      <c r="J2318" s="4" t="n">
        <v>0</v>
      </c>
      <c r="K2318" s="4" t="n">
        <v>0</v>
      </c>
      <c r="M2318" s="2" t="str">
        <f aca="false">IF(C2318="","",IFERROR(INDEX($S$5:$S$304,MATCH(C2318,$R$5:$R$304,0))&amp;"","?"))</f>
        <v>18</v>
      </c>
      <c r="N2318" s="2" t="n">
        <f aca="false">IF(E2318="","",IF(ISNUMBER(SEARCH("SUBSOLO",E2318)),IFERROR(-VALUE(LEFT(E2318,FIND("º",SUBSTITUTE(E2318,"°","º"))-1)),-1),IF(LEFT(E2318,6)="TÉRREO",0,IFERROR(VALUE(LEFT(E2318,FIND("º",SUBSTITUTE(E2318,"°","º"))-1)),""))))</f>
        <v>12</v>
      </c>
      <c r="O2318" s="2" t="str">
        <f aca="false">IF(OR(F2318="",G2318=""),"",IF(G2318&lt;='RETRATO 2027'!$K$5,"CONCLUÍDA",IF(F2318&lt;='RETRATO 2027'!$K$5,"EM ANDAMENTO","A INICIAR")))</f>
        <v>CONCLUÍDA</v>
      </c>
    </row>
    <row r="2319" customFormat="false" ht="15" hidden="false" customHeight="false" outlineLevel="0" collapsed="false">
      <c r="B2319" s="4" t="n">
        <v>26707670</v>
      </c>
      <c r="C2319" s="4" t="s">
        <v>2916</v>
      </c>
      <c r="D2319" s="4" t="s">
        <v>433</v>
      </c>
      <c r="E2319" s="4" t="s">
        <v>3777</v>
      </c>
      <c r="F2319" s="127" t="n">
        <v>46479</v>
      </c>
      <c r="G2319" s="127" t="n">
        <v>46500</v>
      </c>
      <c r="H2319" s="127" t="n">
        <v>46293</v>
      </c>
      <c r="I2319" s="4" t="n">
        <v>0</v>
      </c>
      <c r="J2319" s="4" t="n">
        <v>0</v>
      </c>
      <c r="K2319" s="4" t="n">
        <v>0</v>
      </c>
      <c r="M2319" s="2" t="str">
        <f aca="false">IF(C2319="","",IFERROR(INDEX($S$5:$S$304,MATCH(C2319,$R$5:$R$304,0))&amp;"","?"))</f>
        <v>18</v>
      </c>
      <c r="N2319" s="2" t="n">
        <f aca="false">IF(E2319="","",IF(ISNUMBER(SEARCH("SUBSOLO",E2319)),IFERROR(-VALUE(LEFT(E2319,FIND("º",SUBSTITUTE(E2319,"°","º"))-1)),-1),IF(LEFT(E2319,6)="TÉRREO",0,IFERROR(VALUE(LEFT(E2319,FIND("º",SUBSTITUTE(E2319,"°","º"))-1)),""))))</f>
        <v>1</v>
      </c>
      <c r="O2319" s="2" t="str">
        <f aca="false">IF(OR(F2319="",G2319=""),"",IF(G2319&lt;='RETRATO 2027'!$K$5,"CONCLUÍDA",IF(F2319&lt;='RETRATO 2027'!$K$5,"EM ANDAMENTO","A INICIAR")))</f>
        <v>CONCLUÍDA</v>
      </c>
    </row>
    <row r="2320" customFormat="false" ht="15" hidden="false" customHeight="false" outlineLevel="0" collapsed="false">
      <c r="B2320" s="4" t="n">
        <v>26743303</v>
      </c>
      <c r="C2320" s="4" t="s">
        <v>2814</v>
      </c>
      <c r="D2320" s="4" t="s">
        <v>433</v>
      </c>
      <c r="E2320" s="4" t="s">
        <v>3764</v>
      </c>
      <c r="F2320" s="127" t="n">
        <v>46482</v>
      </c>
      <c r="G2320" s="127" t="n">
        <v>46489</v>
      </c>
      <c r="H2320" s="127" t="n">
        <v>46293</v>
      </c>
      <c r="I2320" s="4" t="n">
        <v>0</v>
      </c>
      <c r="J2320" s="4" t="n">
        <v>0</v>
      </c>
      <c r="K2320" s="4" t="n">
        <v>0</v>
      </c>
      <c r="M2320" s="2" t="str">
        <f aca="false">IF(C2320="","",IFERROR(INDEX($S$5:$S$304,MATCH(C2320,$R$5:$R$304,0))&amp;"","?"))</f>
        <v>28</v>
      </c>
      <c r="N2320" s="2" t="n">
        <f aca="false">IF(E2320="","",IF(ISNUMBER(SEARCH("SUBSOLO",E2320)),IFERROR(-VALUE(LEFT(E2320,FIND("º",SUBSTITUTE(E2320,"°","º"))-1)),-1),IF(LEFT(E2320,6)="TÉRREO",0,IFERROR(VALUE(LEFT(E2320,FIND("º",SUBSTITUTE(E2320,"°","º"))-1)),""))))</f>
        <v>13</v>
      </c>
      <c r="O2320" s="2" t="str">
        <f aca="false">IF(OR(F2320="",G2320=""),"",IF(G2320&lt;='RETRATO 2027'!$K$5,"CONCLUÍDA",IF(F2320&lt;='RETRATO 2027'!$K$5,"EM ANDAMENTO","A INICIAR")))</f>
        <v>CONCLUÍDA</v>
      </c>
    </row>
    <row r="2321" customFormat="false" ht="15" hidden="false" customHeight="false" outlineLevel="0" collapsed="false">
      <c r="B2321" s="4" t="n">
        <v>26743272</v>
      </c>
      <c r="C2321" s="4" t="s">
        <v>2914</v>
      </c>
      <c r="D2321" s="4" t="s">
        <v>433</v>
      </c>
      <c r="E2321" s="4" t="s">
        <v>3765</v>
      </c>
      <c r="F2321" s="127" t="n">
        <v>46482</v>
      </c>
      <c r="G2321" s="127" t="n">
        <v>46491</v>
      </c>
      <c r="H2321" s="127" t="n">
        <v>46293</v>
      </c>
      <c r="I2321" s="4" t="n">
        <v>0</v>
      </c>
      <c r="J2321" s="4" t="n">
        <v>0</v>
      </c>
      <c r="K2321" s="4" t="n">
        <v>0</v>
      </c>
      <c r="M2321" s="2" t="str">
        <f aca="false">IF(C2321="","",IFERROR(INDEX($S$5:$S$304,MATCH(C2321,$R$5:$R$304,0))&amp;"","?"))</f>
        <v>21</v>
      </c>
      <c r="N2321" s="2" t="n">
        <f aca="false">IF(E2321="","",IF(ISNUMBER(SEARCH("SUBSOLO",E2321)),IFERROR(-VALUE(LEFT(E2321,FIND("º",SUBSTITUTE(E2321,"°","º"))-1)),-1),IF(LEFT(E2321,6)="TÉRREO",0,IFERROR(VALUE(LEFT(E2321,FIND("º",SUBSTITUTE(E2321,"°","º"))-1)),""))))</f>
        <v>14</v>
      </c>
      <c r="O2321" s="2" t="str">
        <f aca="false">IF(OR(F2321="",G2321=""),"",IF(G2321&lt;='RETRATO 2027'!$K$5,"CONCLUÍDA",IF(F2321&lt;='RETRATO 2027'!$K$5,"EM ANDAMENTO","A INICIAR")))</f>
        <v>CONCLUÍDA</v>
      </c>
    </row>
    <row r="2322" customFormat="false" ht="15" hidden="false" customHeight="false" outlineLevel="0" collapsed="false">
      <c r="B2322" s="4" t="n">
        <v>26743228</v>
      </c>
      <c r="C2322" s="4" t="s">
        <v>2808</v>
      </c>
      <c r="D2322" s="4" t="s">
        <v>433</v>
      </c>
      <c r="E2322" s="4" t="s">
        <v>3768</v>
      </c>
      <c r="F2322" s="127" t="n">
        <v>46482</v>
      </c>
      <c r="G2322" s="127" t="n">
        <v>46491</v>
      </c>
      <c r="H2322" s="127" t="n">
        <v>46293</v>
      </c>
      <c r="I2322" s="4" t="n">
        <v>0</v>
      </c>
      <c r="J2322" s="4" t="n">
        <v>0</v>
      </c>
      <c r="K2322" s="4" t="n">
        <v>0</v>
      </c>
      <c r="M2322" s="2" t="str">
        <f aca="false">IF(C2322="","",IFERROR(INDEX($S$5:$S$304,MATCH(C2322,$R$5:$R$304,0))&amp;"","?"))</f>
        <v>29</v>
      </c>
      <c r="N2322" s="2" t="n">
        <f aca="false">IF(E2322="","",IF(ISNUMBER(SEARCH("SUBSOLO",E2322)),IFERROR(-VALUE(LEFT(E2322,FIND("º",SUBSTITUTE(E2322,"°","º"))-1)),-1),IF(LEFT(E2322,6)="TÉRREO",0,IFERROR(VALUE(LEFT(E2322,FIND("º",SUBSTITUTE(E2322,"°","º"))-1)),""))))</f>
        <v>15</v>
      </c>
      <c r="O2322" s="2" t="str">
        <f aca="false">IF(OR(F2322="",G2322=""),"",IF(G2322&lt;='RETRATO 2027'!$K$5,"CONCLUÍDA",IF(F2322&lt;='RETRATO 2027'!$K$5,"EM ANDAMENTO","A INICIAR")))</f>
        <v>CONCLUÍDA</v>
      </c>
    </row>
    <row r="2323" customFormat="false" ht="15" hidden="false" customHeight="false" outlineLevel="0" collapsed="false">
      <c r="B2323" s="4" t="n">
        <v>26743190</v>
      </c>
      <c r="C2323" s="4" t="s">
        <v>2910</v>
      </c>
      <c r="D2323" s="4" t="s">
        <v>433</v>
      </c>
      <c r="E2323" s="4" t="s">
        <v>3771</v>
      </c>
      <c r="F2323" s="127" t="n">
        <v>46482</v>
      </c>
      <c r="G2323" s="127" t="n">
        <v>46491</v>
      </c>
      <c r="H2323" s="127" t="n">
        <v>46293</v>
      </c>
      <c r="I2323" s="4" t="n">
        <v>0</v>
      </c>
      <c r="J2323" s="4" t="n">
        <v>0</v>
      </c>
      <c r="K2323" s="4" t="n">
        <v>0</v>
      </c>
      <c r="M2323" s="2" t="str">
        <f aca="false">IF(C2323="","",IFERROR(INDEX($S$5:$S$304,MATCH(C2323,$R$5:$R$304,0))&amp;"","?"))</f>
        <v>25</v>
      </c>
      <c r="N2323" s="2" t="n">
        <f aca="false">IF(E2323="","",IF(ISNUMBER(SEARCH("SUBSOLO",E2323)),IFERROR(-VALUE(LEFT(E2323,FIND("º",SUBSTITUTE(E2323,"°","º"))-1)),-1),IF(LEFT(E2323,6)="TÉRREO",0,IFERROR(VALUE(LEFT(E2323,FIND("º",SUBSTITUTE(E2323,"°","º"))-1)),""))))</f>
        <v>16</v>
      </c>
      <c r="O2323" s="2" t="str">
        <f aca="false">IF(OR(F2323="",G2323=""),"",IF(G2323&lt;='RETRATO 2027'!$K$5,"CONCLUÍDA",IF(F2323&lt;='RETRATO 2027'!$K$5,"EM ANDAMENTO","A INICIAR")))</f>
        <v>CONCLUÍDA</v>
      </c>
    </row>
    <row r="2324" customFormat="false" ht="15" hidden="false" customHeight="false" outlineLevel="0" collapsed="false">
      <c r="B2324" s="4" t="n">
        <v>26743174</v>
      </c>
      <c r="C2324" s="4" t="s">
        <v>2896</v>
      </c>
      <c r="D2324" s="4" t="s">
        <v>433</v>
      </c>
      <c r="E2324" s="4" t="s">
        <v>3773</v>
      </c>
      <c r="F2324" s="127" t="n">
        <v>46483</v>
      </c>
      <c r="G2324" s="127" t="n">
        <v>46492</v>
      </c>
      <c r="H2324" s="127" t="n">
        <v>46293</v>
      </c>
      <c r="I2324" s="4" t="n">
        <v>0</v>
      </c>
      <c r="J2324" s="4" t="n">
        <v>0</v>
      </c>
      <c r="K2324" s="4" t="n">
        <v>0</v>
      </c>
      <c r="M2324" s="2" t="str">
        <f aca="false">IF(C2324="","",IFERROR(INDEX($S$5:$S$304,MATCH(C2324,$R$5:$R$304,0))&amp;"","?"))</f>
        <v>20</v>
      </c>
      <c r="N2324" s="2" t="n">
        <f aca="false">IF(E2324="","",IF(ISNUMBER(SEARCH("SUBSOLO",E2324)),IFERROR(-VALUE(LEFT(E2324,FIND("º",SUBSTITUTE(E2324,"°","º"))-1)),-1),IF(LEFT(E2324,6)="TÉRREO",0,IFERROR(VALUE(LEFT(E2324,FIND("º",SUBSTITUTE(E2324,"°","º"))-1)),""))))</f>
        <v>17</v>
      </c>
      <c r="O2324" s="2" t="str">
        <f aca="false">IF(OR(F2324="",G2324=""),"",IF(G2324&lt;='RETRATO 2027'!$K$5,"CONCLUÍDA",IF(F2324&lt;='RETRATO 2027'!$K$5,"EM ANDAMENTO","A INICIAR")))</f>
        <v>CONCLUÍDA</v>
      </c>
    </row>
    <row r="2325" customFormat="false" ht="15" hidden="false" customHeight="false" outlineLevel="0" collapsed="false">
      <c r="B2325" s="4" t="n">
        <v>29844471</v>
      </c>
      <c r="C2325" s="4" t="s">
        <v>2898</v>
      </c>
      <c r="D2325" s="4" t="s">
        <v>433</v>
      </c>
      <c r="E2325" s="4" t="s">
        <v>3773</v>
      </c>
      <c r="F2325" s="127" t="n">
        <v>46483</v>
      </c>
      <c r="G2325" s="127" t="n">
        <v>46491</v>
      </c>
      <c r="H2325" s="127" t="n">
        <v>46293</v>
      </c>
      <c r="I2325" s="4" t="n">
        <v>0</v>
      </c>
      <c r="J2325" s="4" t="n">
        <v>0</v>
      </c>
      <c r="K2325" s="4" t="n">
        <v>0</v>
      </c>
      <c r="M2325" s="2" t="str">
        <f aca="false">IF(C2325="","",IFERROR(INDEX($S$5:$S$304,MATCH(C2325,$R$5:$R$304,0))&amp;"","?"))</f>
        <v>29</v>
      </c>
      <c r="N2325" s="2" t="n">
        <f aca="false">IF(E2325="","",IF(ISNUMBER(SEARCH("SUBSOLO",E2325)),IFERROR(-VALUE(LEFT(E2325,FIND("º",SUBSTITUTE(E2325,"°","º"))-1)),-1),IF(LEFT(E2325,6)="TÉRREO",0,IFERROR(VALUE(LEFT(E2325,FIND("º",SUBSTITUTE(E2325,"°","º"))-1)),""))))</f>
        <v>17</v>
      </c>
      <c r="O2325" s="2" t="str">
        <f aca="false">IF(OR(F2325="",G2325=""),"",IF(G2325&lt;='RETRATO 2027'!$K$5,"CONCLUÍDA",IF(F2325&lt;='RETRATO 2027'!$K$5,"EM ANDAMENTO","A INICIAR")))</f>
        <v>CONCLUÍDA</v>
      </c>
    </row>
    <row r="2326" customFormat="false" ht="15" hidden="false" customHeight="false" outlineLevel="0" collapsed="false">
      <c r="B2326" s="4" t="n">
        <v>26743130</v>
      </c>
      <c r="C2326" s="4" t="s">
        <v>2886</v>
      </c>
      <c r="D2326" s="4" t="s">
        <v>433</v>
      </c>
      <c r="E2326" s="4" t="s">
        <v>3776</v>
      </c>
      <c r="F2326" s="127" t="n">
        <v>46483</v>
      </c>
      <c r="G2326" s="127" t="n">
        <v>46492</v>
      </c>
      <c r="H2326" s="127" t="n">
        <v>46293</v>
      </c>
      <c r="I2326" s="4" t="n">
        <v>0</v>
      </c>
      <c r="J2326" s="4" t="n">
        <v>0</v>
      </c>
      <c r="K2326" s="4" t="n">
        <v>0</v>
      </c>
      <c r="M2326" s="2" t="str">
        <f aca="false">IF(C2326="","",IFERROR(INDEX($S$5:$S$304,MATCH(C2326,$R$5:$R$304,0))&amp;"","?"))</f>
        <v>21</v>
      </c>
      <c r="N2326" s="2" t="n">
        <f aca="false">IF(E2326="","",IF(ISNUMBER(SEARCH("SUBSOLO",E2326)),IFERROR(-VALUE(LEFT(E2326,FIND("º",SUBSTITUTE(E2326,"°","º"))-1)),-1),IF(LEFT(E2326,6)="TÉRREO",0,IFERROR(VALUE(LEFT(E2326,FIND("º",SUBSTITUTE(E2326,"°","º"))-1)),""))))</f>
        <v>18</v>
      </c>
      <c r="O2326" s="2" t="str">
        <f aca="false">IF(OR(F2326="",G2326=""),"",IF(G2326&lt;='RETRATO 2027'!$K$5,"CONCLUÍDA",IF(F2326&lt;='RETRATO 2027'!$K$5,"EM ANDAMENTO","A INICIAR")))</f>
        <v>CONCLUÍDA</v>
      </c>
    </row>
    <row r="2327" customFormat="false" ht="15" hidden="false" customHeight="false" outlineLevel="0" collapsed="false">
      <c r="B2327" s="4" t="n">
        <v>29844647</v>
      </c>
      <c r="C2327" s="4" t="s">
        <v>2888</v>
      </c>
      <c r="D2327" s="4" t="s">
        <v>433</v>
      </c>
      <c r="E2327" s="4" t="s">
        <v>3776</v>
      </c>
      <c r="F2327" s="127" t="n">
        <v>46483</v>
      </c>
      <c r="G2327" s="127" t="n">
        <v>46492</v>
      </c>
      <c r="H2327" s="127" t="n">
        <v>46293</v>
      </c>
      <c r="I2327" s="4" t="n">
        <v>0</v>
      </c>
      <c r="J2327" s="4" t="n">
        <v>0</v>
      </c>
      <c r="K2327" s="4" t="n">
        <v>0</v>
      </c>
      <c r="M2327" s="2" t="str">
        <f aca="false">IF(C2327="","",IFERROR(INDEX($S$5:$S$304,MATCH(C2327,$R$5:$R$304,0))&amp;"","?"))</f>
        <v>20</v>
      </c>
      <c r="N2327" s="2" t="n">
        <f aca="false">IF(E2327="","",IF(ISNUMBER(SEARCH("SUBSOLO",E2327)),IFERROR(-VALUE(LEFT(E2327,FIND("º",SUBSTITUTE(E2327,"°","º"))-1)),-1),IF(LEFT(E2327,6)="TÉRREO",0,IFERROR(VALUE(LEFT(E2327,FIND("º",SUBSTITUTE(E2327,"°","º"))-1)),""))))</f>
        <v>18</v>
      </c>
      <c r="O2327" s="2" t="str">
        <f aca="false">IF(OR(F2327="",G2327=""),"",IF(G2327&lt;='RETRATO 2027'!$K$5,"CONCLUÍDA",IF(F2327&lt;='RETRATO 2027'!$K$5,"EM ANDAMENTO","A INICIAR")))</f>
        <v>CONCLUÍDA</v>
      </c>
    </row>
    <row r="2328" customFormat="false" ht="15" hidden="false" customHeight="false" outlineLevel="0" collapsed="false">
      <c r="B2328" s="4" t="n">
        <v>26743650</v>
      </c>
      <c r="C2328" s="4" t="s">
        <v>208</v>
      </c>
      <c r="D2328" s="4" t="s">
        <v>433</v>
      </c>
      <c r="E2328" s="4" t="s">
        <v>3668</v>
      </c>
      <c r="F2328" s="127" t="n">
        <v>46485</v>
      </c>
      <c r="G2328" s="127" t="n">
        <v>46496</v>
      </c>
      <c r="H2328" s="127" t="n">
        <v>46293</v>
      </c>
      <c r="I2328" s="4" t="n">
        <v>0</v>
      </c>
      <c r="J2328" s="4" t="n">
        <v>0</v>
      </c>
      <c r="K2328" s="4" t="n">
        <v>0</v>
      </c>
      <c r="M2328" s="2" t="str">
        <f aca="false">IF(C2328="","",IFERROR(INDEX($S$5:$S$304,MATCH(C2328,$R$5:$R$304,0))&amp;"","?"))</f>
        <v>33</v>
      </c>
      <c r="N2328" s="2" t="n">
        <f aca="false">IF(E2328="","",IF(ISNUMBER(SEARCH("SUBSOLO",E2328)),IFERROR(-VALUE(LEFT(E2328,FIND("º",SUBSTITUTE(E2328,"°","º"))-1)),-1),IF(LEFT(E2328,6)="TÉRREO",0,IFERROR(VALUE(LEFT(E2328,FIND("º",SUBSTITUTE(E2328,"°","º"))-1)),""))))</f>
        <v>4</v>
      </c>
      <c r="O2328" s="2" t="str">
        <f aca="false">IF(OR(F2328="",G2328=""),"",IF(G2328&lt;='RETRATO 2027'!$K$5,"CONCLUÍDA",IF(F2328&lt;='RETRATO 2027'!$K$5,"EM ANDAMENTO","A INICIAR")))</f>
        <v>CONCLUÍDA</v>
      </c>
    </row>
    <row r="2329" customFormat="false" ht="15" hidden="false" customHeight="false" outlineLevel="0" collapsed="false">
      <c r="B2329" s="4" t="n">
        <v>29844386</v>
      </c>
      <c r="C2329" s="4" t="s">
        <v>2890</v>
      </c>
      <c r="D2329" s="4" t="s">
        <v>433</v>
      </c>
      <c r="E2329" s="4" t="s">
        <v>3776</v>
      </c>
      <c r="F2329" s="127" t="n">
        <v>46485</v>
      </c>
      <c r="G2329" s="127" t="n">
        <v>46496</v>
      </c>
      <c r="H2329" s="127" t="n">
        <v>46293</v>
      </c>
      <c r="I2329" s="4" t="n">
        <v>0</v>
      </c>
      <c r="J2329" s="4" t="n">
        <v>0</v>
      </c>
      <c r="K2329" s="4" t="n">
        <v>0</v>
      </c>
      <c r="M2329" s="2" t="str">
        <f aca="false">IF(C2329="","",IFERROR(INDEX($S$5:$S$304,MATCH(C2329,$R$5:$R$304,0))&amp;"","?"))</f>
        <v>18</v>
      </c>
      <c r="N2329" s="2" t="n">
        <f aca="false">IF(E2329="","",IF(ISNUMBER(SEARCH("SUBSOLO",E2329)),IFERROR(-VALUE(LEFT(E2329,FIND("º",SUBSTITUTE(E2329,"°","º"))-1)),-1),IF(LEFT(E2329,6)="TÉRREO",0,IFERROR(VALUE(LEFT(E2329,FIND("º",SUBSTITUTE(E2329,"°","º"))-1)),""))))</f>
        <v>18</v>
      </c>
      <c r="O2329" s="2" t="str">
        <f aca="false">IF(OR(F2329="",G2329=""),"",IF(G2329&lt;='RETRATO 2027'!$K$5,"CONCLUÍDA",IF(F2329&lt;='RETRATO 2027'!$K$5,"EM ANDAMENTO","A INICIAR")))</f>
        <v>CONCLUÍDA</v>
      </c>
    </row>
    <row r="2330" customFormat="false" ht="15" hidden="false" customHeight="false" outlineLevel="0" collapsed="false">
      <c r="B2330" s="4" t="n">
        <v>24938839</v>
      </c>
      <c r="C2330" s="4" t="s">
        <v>2705</v>
      </c>
      <c r="D2330" s="4" t="s">
        <v>433</v>
      </c>
      <c r="E2330" s="4" t="s">
        <v>3799</v>
      </c>
      <c r="F2330" s="127" t="n">
        <v>46485</v>
      </c>
      <c r="G2330" s="127" t="n">
        <v>46493</v>
      </c>
      <c r="H2330" s="127" t="n">
        <v>46293</v>
      </c>
      <c r="I2330" s="4" t="n">
        <v>0</v>
      </c>
      <c r="J2330" s="4" t="n">
        <v>0</v>
      </c>
      <c r="K2330" s="4" t="n">
        <v>0</v>
      </c>
      <c r="M2330" s="2" t="str">
        <f aca="false">IF(C2330="","",IFERROR(INDEX($S$5:$S$304,MATCH(C2330,$R$5:$R$304,0))&amp;"","?"))</f>
        <v>17</v>
      </c>
      <c r="N2330" s="2" t="n">
        <f aca="false">IF(E2330="","",IF(ISNUMBER(SEARCH("SUBSOLO",E2330)),IFERROR(-VALUE(LEFT(E2330,FIND("º",SUBSTITUTE(E2330,"°","º"))-1)),-1),IF(LEFT(E2330,6)="TÉRREO",0,IFERROR(VALUE(LEFT(E2330,FIND("º",SUBSTITUTE(E2330,"°","º"))-1)),""))))</f>
        <v>27</v>
      </c>
      <c r="O2330" s="2" t="str">
        <f aca="false">IF(OR(F2330="",G2330=""),"",IF(G2330&lt;='RETRATO 2027'!$K$5,"CONCLUÍDA",IF(F2330&lt;='RETRATO 2027'!$K$5,"EM ANDAMENTO","A INICIAR")))</f>
        <v>CONCLUÍDA</v>
      </c>
    </row>
    <row r="2331" customFormat="false" ht="15" hidden="false" customHeight="false" outlineLevel="0" collapsed="false">
      <c r="B2331" s="4" t="n">
        <v>9359978</v>
      </c>
      <c r="C2331" s="4" t="s">
        <v>2705</v>
      </c>
      <c r="D2331" s="4" t="s">
        <v>3244</v>
      </c>
      <c r="E2331" s="4" t="s">
        <v>3799</v>
      </c>
      <c r="F2331" s="127" t="n">
        <v>46485</v>
      </c>
      <c r="G2331" s="127" t="n">
        <v>46489</v>
      </c>
      <c r="H2331" s="127" t="n">
        <v>46293</v>
      </c>
      <c r="I2331" s="4" t="n">
        <v>0</v>
      </c>
      <c r="J2331" s="4" t="n">
        <v>0</v>
      </c>
      <c r="K2331" s="4" t="n">
        <v>0</v>
      </c>
      <c r="M2331" s="2" t="str">
        <f aca="false">IF(C2331="","",IFERROR(INDEX($S$5:$S$304,MATCH(C2331,$R$5:$R$304,0))&amp;"","?"))</f>
        <v>17</v>
      </c>
      <c r="N2331" s="2" t="n">
        <f aca="false">IF(E2331="","",IF(ISNUMBER(SEARCH("SUBSOLO",E2331)),IFERROR(-VALUE(LEFT(E2331,FIND("º",SUBSTITUTE(E2331,"°","º"))-1)),-1),IF(LEFT(E2331,6)="TÉRREO",0,IFERROR(VALUE(LEFT(E2331,FIND("º",SUBSTITUTE(E2331,"°","º"))-1)),""))))</f>
        <v>27</v>
      </c>
      <c r="O2331" s="2" t="str">
        <f aca="false">IF(OR(F2331="",G2331=""),"",IF(G2331&lt;='RETRATO 2027'!$K$5,"CONCLUÍDA",IF(F2331&lt;='RETRATO 2027'!$K$5,"EM ANDAMENTO","A INICIAR")))</f>
        <v>CONCLUÍDA</v>
      </c>
    </row>
    <row r="2332" customFormat="false" ht="15" hidden="false" customHeight="false" outlineLevel="0" collapsed="false">
      <c r="B2332" s="4" t="n">
        <v>9359979</v>
      </c>
      <c r="C2332" s="4" t="s">
        <v>2705</v>
      </c>
      <c r="D2332" s="4" t="s">
        <v>3245</v>
      </c>
      <c r="E2332" s="4" t="s">
        <v>3799</v>
      </c>
      <c r="F2332" s="127" t="n">
        <v>46485</v>
      </c>
      <c r="G2332" s="127" t="n">
        <v>46489</v>
      </c>
      <c r="H2332" s="127" t="n">
        <v>46293</v>
      </c>
      <c r="I2332" s="4" t="n">
        <v>0</v>
      </c>
      <c r="J2332" s="4" t="n">
        <v>0</v>
      </c>
      <c r="K2332" s="4" t="n">
        <v>0</v>
      </c>
      <c r="M2332" s="2" t="str">
        <f aca="false">IF(C2332="","",IFERROR(INDEX($S$5:$S$304,MATCH(C2332,$R$5:$R$304,0))&amp;"","?"))</f>
        <v>17</v>
      </c>
      <c r="N2332" s="2" t="n">
        <f aca="false">IF(E2332="","",IF(ISNUMBER(SEARCH("SUBSOLO",E2332)),IFERROR(-VALUE(LEFT(E2332,FIND("º",SUBSTITUTE(E2332,"°","º"))-1)),-1),IF(LEFT(E2332,6)="TÉRREO",0,IFERROR(VALUE(LEFT(E2332,FIND("º",SUBSTITUTE(E2332,"°","º"))-1)),""))))</f>
        <v>27</v>
      </c>
      <c r="O2332" s="2" t="str">
        <f aca="false">IF(OR(F2332="",G2332=""),"",IF(G2332&lt;='RETRATO 2027'!$K$5,"CONCLUÍDA",IF(F2332&lt;='RETRATO 2027'!$K$5,"EM ANDAMENTO","A INICIAR")))</f>
        <v>CONCLUÍDA</v>
      </c>
    </row>
    <row r="2333" customFormat="false" ht="15" hidden="false" customHeight="false" outlineLevel="0" collapsed="false">
      <c r="B2333" s="4" t="n">
        <v>9359980</v>
      </c>
      <c r="C2333" s="4" t="s">
        <v>2705</v>
      </c>
      <c r="D2333" s="4" t="s">
        <v>3246</v>
      </c>
      <c r="E2333" s="4" t="s">
        <v>3799</v>
      </c>
      <c r="F2333" s="127" t="n">
        <v>46486</v>
      </c>
      <c r="G2333" s="127" t="n">
        <v>46490</v>
      </c>
      <c r="H2333" s="127" t="n">
        <v>46293</v>
      </c>
      <c r="I2333" s="4" t="n">
        <v>0</v>
      </c>
      <c r="J2333" s="4" t="n">
        <v>0</v>
      </c>
      <c r="K2333" s="4" t="n">
        <v>0</v>
      </c>
      <c r="M2333" s="2" t="str">
        <f aca="false">IF(C2333="","",IFERROR(INDEX($S$5:$S$304,MATCH(C2333,$R$5:$R$304,0))&amp;"","?"))</f>
        <v>17</v>
      </c>
      <c r="N2333" s="2" t="n">
        <f aca="false">IF(E2333="","",IF(ISNUMBER(SEARCH("SUBSOLO",E2333)),IFERROR(-VALUE(LEFT(E2333,FIND("º",SUBSTITUTE(E2333,"°","º"))-1)),-1),IF(LEFT(E2333,6)="TÉRREO",0,IFERROR(VALUE(LEFT(E2333,FIND("º",SUBSTITUTE(E2333,"°","º"))-1)),""))))</f>
        <v>27</v>
      </c>
      <c r="O2333" s="2" t="str">
        <f aca="false">IF(OR(F2333="",G2333=""),"",IF(G2333&lt;='RETRATO 2027'!$K$5,"CONCLUÍDA",IF(F2333&lt;='RETRATO 2027'!$K$5,"EM ANDAMENTO","A INICIAR")))</f>
        <v>CONCLUÍDA</v>
      </c>
    </row>
    <row r="2334" customFormat="false" ht="15" hidden="false" customHeight="false" outlineLevel="0" collapsed="false">
      <c r="B2334" s="4" t="n">
        <v>9359981</v>
      </c>
      <c r="C2334" s="4" t="s">
        <v>2705</v>
      </c>
      <c r="D2334" s="4" t="s">
        <v>3247</v>
      </c>
      <c r="E2334" s="4" t="s">
        <v>3799</v>
      </c>
      <c r="F2334" s="127" t="n">
        <v>46491</v>
      </c>
      <c r="G2334" s="127" t="n">
        <v>46491</v>
      </c>
      <c r="H2334" s="127" t="n">
        <v>46293</v>
      </c>
      <c r="I2334" s="4" t="n">
        <v>0</v>
      </c>
      <c r="J2334" s="4" t="n">
        <v>0</v>
      </c>
      <c r="K2334" s="4" t="n">
        <v>0</v>
      </c>
      <c r="M2334" s="2" t="str">
        <f aca="false">IF(C2334="","",IFERROR(INDEX($S$5:$S$304,MATCH(C2334,$R$5:$R$304,0))&amp;"","?"))</f>
        <v>17</v>
      </c>
      <c r="N2334" s="2" t="n">
        <f aca="false">IF(E2334="","",IF(ISNUMBER(SEARCH("SUBSOLO",E2334)),IFERROR(-VALUE(LEFT(E2334,FIND("º",SUBSTITUTE(E2334,"°","º"))-1)),-1),IF(LEFT(E2334,6)="TÉRREO",0,IFERROR(VALUE(LEFT(E2334,FIND("º",SUBSTITUTE(E2334,"°","º"))-1)),""))))</f>
        <v>27</v>
      </c>
      <c r="O2334" s="2" t="str">
        <f aca="false">IF(OR(F2334="",G2334=""),"",IF(G2334&lt;='RETRATO 2027'!$K$5,"CONCLUÍDA",IF(F2334&lt;='RETRATO 2027'!$K$5,"EM ANDAMENTO","A INICIAR")))</f>
        <v>CONCLUÍDA</v>
      </c>
    </row>
    <row r="2335" customFormat="false" ht="15" hidden="false" customHeight="false" outlineLevel="0" collapsed="false">
      <c r="B2335" s="4" t="n">
        <v>9359982</v>
      </c>
      <c r="C2335" s="4" t="s">
        <v>2705</v>
      </c>
      <c r="D2335" s="4" t="s">
        <v>3248</v>
      </c>
      <c r="E2335" s="4" t="s">
        <v>3799</v>
      </c>
      <c r="F2335" s="127" t="n">
        <v>46492</v>
      </c>
      <c r="G2335" s="127" t="n">
        <v>46493</v>
      </c>
      <c r="H2335" s="127" t="n">
        <v>46293</v>
      </c>
      <c r="I2335" s="4" t="n">
        <v>0</v>
      </c>
      <c r="J2335" s="4" t="n">
        <v>0</v>
      </c>
      <c r="K2335" s="4" t="n">
        <v>0</v>
      </c>
      <c r="M2335" s="2" t="str">
        <f aca="false">IF(C2335="","",IFERROR(INDEX($S$5:$S$304,MATCH(C2335,$R$5:$R$304,0))&amp;"","?"))</f>
        <v>17</v>
      </c>
      <c r="N2335" s="2" t="n">
        <f aca="false">IF(E2335="","",IF(ISNUMBER(SEARCH("SUBSOLO",E2335)),IFERROR(-VALUE(LEFT(E2335,FIND("º",SUBSTITUTE(E2335,"°","º"))-1)),-1),IF(LEFT(E2335,6)="TÉRREO",0,IFERROR(VALUE(LEFT(E2335,FIND("º",SUBSTITUTE(E2335,"°","º"))-1)),""))))</f>
        <v>27</v>
      </c>
      <c r="O2335" s="2" t="str">
        <f aca="false">IF(OR(F2335="",G2335=""),"",IF(G2335&lt;='RETRATO 2027'!$K$5,"CONCLUÍDA",IF(F2335&lt;='RETRATO 2027'!$K$5,"EM ANDAMENTO","A INICIAR")))</f>
        <v>CONCLUÍDA</v>
      </c>
    </row>
    <row r="2336" customFormat="false" ht="15" hidden="false" customHeight="false" outlineLevel="0" collapsed="false">
      <c r="B2336" s="4" t="n">
        <v>9359983</v>
      </c>
      <c r="C2336" s="4" t="s">
        <v>2705</v>
      </c>
      <c r="D2336" s="4" t="s">
        <v>3249</v>
      </c>
      <c r="E2336" s="4" t="s">
        <v>3799</v>
      </c>
      <c r="F2336" s="127" t="n">
        <v>46493</v>
      </c>
      <c r="G2336" s="127" t="n">
        <v>46493</v>
      </c>
      <c r="H2336" s="127" t="n">
        <v>46293</v>
      </c>
      <c r="I2336" s="4" t="n">
        <v>0</v>
      </c>
      <c r="J2336" s="4" t="n">
        <v>0</v>
      </c>
      <c r="K2336" s="4" t="n">
        <v>0</v>
      </c>
      <c r="M2336" s="2" t="str">
        <f aca="false">IF(C2336="","",IFERROR(INDEX($S$5:$S$304,MATCH(C2336,$R$5:$R$304,0))&amp;"","?"))</f>
        <v>17</v>
      </c>
      <c r="N2336" s="2" t="n">
        <f aca="false">IF(E2336="","",IF(ISNUMBER(SEARCH("SUBSOLO",E2336)),IFERROR(-VALUE(LEFT(E2336,FIND("º",SUBSTITUTE(E2336,"°","º"))-1)),-1),IF(LEFT(E2336,6)="TÉRREO",0,IFERROR(VALUE(LEFT(E2336,FIND("º",SUBSTITUTE(E2336,"°","º"))-1)),""))))</f>
        <v>27</v>
      </c>
      <c r="O2336" s="2" t="str">
        <f aca="false">IF(OR(F2336="",G2336=""),"",IF(G2336&lt;='RETRATO 2027'!$K$5,"CONCLUÍDA",IF(F2336&lt;='RETRATO 2027'!$K$5,"EM ANDAMENTO","A INICIAR")))</f>
        <v>CONCLUÍDA</v>
      </c>
    </row>
    <row r="2337" customFormat="false" ht="15" hidden="false" customHeight="false" outlineLevel="0" collapsed="false">
      <c r="B2337" s="4" t="n">
        <v>9359984</v>
      </c>
      <c r="C2337" s="4" t="s">
        <v>2705</v>
      </c>
      <c r="D2337" s="4" t="s">
        <v>3250</v>
      </c>
      <c r="E2337" s="4" t="s">
        <v>3799</v>
      </c>
      <c r="F2337" s="127" t="n">
        <v>46492</v>
      </c>
      <c r="G2337" s="127" t="n">
        <v>46492</v>
      </c>
      <c r="H2337" s="127" t="n">
        <v>46293</v>
      </c>
      <c r="I2337" s="4" t="n">
        <v>0</v>
      </c>
      <c r="J2337" s="4" t="n">
        <v>0</v>
      </c>
      <c r="K2337" s="4" t="n">
        <v>0</v>
      </c>
      <c r="M2337" s="2" t="str">
        <f aca="false">IF(C2337="","",IFERROR(INDEX($S$5:$S$304,MATCH(C2337,$R$5:$R$304,0))&amp;"","?"))</f>
        <v>17</v>
      </c>
      <c r="N2337" s="2" t="n">
        <f aca="false">IF(E2337="","",IF(ISNUMBER(SEARCH("SUBSOLO",E2337)),IFERROR(-VALUE(LEFT(E2337,FIND("º",SUBSTITUTE(E2337,"°","º"))-1)),-1),IF(LEFT(E2337,6)="TÉRREO",0,IFERROR(VALUE(LEFT(E2337,FIND("º",SUBSTITUTE(E2337,"°","º"))-1)),""))))</f>
        <v>27</v>
      </c>
      <c r="O2337" s="2" t="str">
        <f aca="false">IF(OR(F2337="",G2337=""),"",IF(G2337&lt;='RETRATO 2027'!$K$5,"CONCLUÍDA",IF(F2337&lt;='RETRATO 2027'!$K$5,"EM ANDAMENTO","A INICIAR")))</f>
        <v>CONCLUÍDA</v>
      </c>
    </row>
    <row r="2338" customFormat="false" ht="15" hidden="false" customHeight="false" outlineLevel="0" collapsed="false">
      <c r="B2338" s="4" t="n">
        <v>9359985</v>
      </c>
      <c r="C2338" s="4" t="s">
        <v>2705</v>
      </c>
      <c r="D2338" s="4" t="s">
        <v>3251</v>
      </c>
      <c r="E2338" s="4" t="s">
        <v>3799</v>
      </c>
      <c r="F2338" s="127" t="n">
        <v>46492</v>
      </c>
      <c r="G2338" s="127" t="n">
        <v>46492</v>
      </c>
      <c r="H2338" s="127" t="n">
        <v>46293</v>
      </c>
      <c r="I2338" s="4" t="n">
        <v>0</v>
      </c>
      <c r="J2338" s="4" t="n">
        <v>0</v>
      </c>
      <c r="K2338" s="4" t="n">
        <v>0</v>
      </c>
      <c r="M2338" s="2" t="str">
        <f aca="false">IF(C2338="","",IFERROR(INDEX($S$5:$S$304,MATCH(C2338,$R$5:$R$304,0))&amp;"","?"))</f>
        <v>17</v>
      </c>
      <c r="N2338" s="2" t="n">
        <f aca="false">IF(E2338="","",IF(ISNUMBER(SEARCH("SUBSOLO",E2338)),IFERROR(-VALUE(LEFT(E2338,FIND("º",SUBSTITUTE(E2338,"°","º"))-1)),-1),IF(LEFT(E2338,6)="TÉRREO",0,IFERROR(VALUE(LEFT(E2338,FIND("º",SUBSTITUTE(E2338,"°","º"))-1)),""))))</f>
        <v>27</v>
      </c>
      <c r="O2338" s="2" t="str">
        <f aca="false">IF(OR(F2338="",G2338=""),"",IF(G2338&lt;='RETRATO 2027'!$K$5,"CONCLUÍDA",IF(F2338&lt;='RETRATO 2027'!$K$5,"EM ANDAMENTO","A INICIAR")))</f>
        <v>CONCLUÍDA</v>
      </c>
    </row>
    <row r="2339" customFormat="false" ht="15" hidden="false" customHeight="false" outlineLevel="0" collapsed="false">
      <c r="B2339" s="4" t="n">
        <v>9359986</v>
      </c>
      <c r="C2339" s="4" t="s">
        <v>2705</v>
      </c>
      <c r="D2339" s="4" t="s">
        <v>3252</v>
      </c>
      <c r="E2339" s="4" t="s">
        <v>3799</v>
      </c>
      <c r="F2339" s="127" t="n">
        <v>46493</v>
      </c>
      <c r="G2339" s="127" t="n">
        <v>46493</v>
      </c>
      <c r="H2339" s="127" t="n">
        <v>46293</v>
      </c>
      <c r="I2339" s="4" t="n">
        <v>0</v>
      </c>
      <c r="J2339" s="4" t="n">
        <v>0</v>
      </c>
      <c r="K2339" s="4" t="n">
        <v>0</v>
      </c>
      <c r="M2339" s="2" t="str">
        <f aca="false">IF(C2339="","",IFERROR(INDEX($S$5:$S$304,MATCH(C2339,$R$5:$R$304,0))&amp;"","?"))</f>
        <v>17</v>
      </c>
      <c r="N2339" s="2" t="n">
        <f aca="false">IF(E2339="","",IF(ISNUMBER(SEARCH("SUBSOLO",E2339)),IFERROR(-VALUE(LEFT(E2339,FIND("º",SUBSTITUTE(E2339,"°","º"))-1)),-1),IF(LEFT(E2339,6)="TÉRREO",0,IFERROR(VALUE(LEFT(E2339,FIND("º",SUBSTITUTE(E2339,"°","º"))-1)),""))))</f>
        <v>27</v>
      </c>
      <c r="O2339" s="2" t="str">
        <f aca="false">IF(OR(F2339="",G2339=""),"",IF(G2339&lt;='RETRATO 2027'!$K$5,"CONCLUÍDA",IF(F2339&lt;='RETRATO 2027'!$K$5,"EM ANDAMENTO","A INICIAR")))</f>
        <v>CONCLUÍDA</v>
      </c>
    </row>
    <row r="2340" customFormat="false" ht="15" hidden="false" customHeight="false" outlineLevel="0" collapsed="false">
      <c r="B2340" s="4" t="n">
        <v>29845952</v>
      </c>
      <c r="C2340" s="4" t="s">
        <v>2983</v>
      </c>
      <c r="D2340" s="4" t="s">
        <v>433</v>
      </c>
      <c r="E2340" s="4" t="s">
        <v>3678</v>
      </c>
      <c r="F2340" s="127" t="n">
        <v>46486</v>
      </c>
      <c r="G2340" s="127" t="n">
        <v>46496</v>
      </c>
      <c r="H2340" s="127" t="n">
        <v>46293</v>
      </c>
      <c r="I2340" s="4" t="n">
        <v>0</v>
      </c>
      <c r="J2340" s="4" t="n">
        <v>0</v>
      </c>
      <c r="K2340" s="4" t="n">
        <v>0</v>
      </c>
      <c r="M2340" s="2" t="str">
        <f aca="false">IF(C2340="","",IFERROR(INDEX($S$5:$S$304,MATCH(C2340,$R$5:$R$304,0))&amp;"","?"))</f>
        <v>20</v>
      </c>
      <c r="N2340" s="2" t="n">
        <f aca="false">IF(E2340="","",IF(ISNUMBER(SEARCH("SUBSOLO",E2340)),IFERROR(-VALUE(LEFT(E2340,FIND("º",SUBSTITUTE(E2340,"°","º"))-1)),-1),IF(LEFT(E2340,6)="TÉRREO",0,IFERROR(VALUE(LEFT(E2340,FIND("º",SUBSTITUTE(E2340,"°","º"))-1)),""))))</f>
        <v>5</v>
      </c>
      <c r="O2340" s="2" t="str">
        <f aca="false">IF(OR(F2340="",G2340=""),"",IF(G2340&lt;='RETRATO 2027'!$K$5,"CONCLUÍDA",IF(F2340&lt;='RETRATO 2027'!$K$5,"EM ANDAMENTO","A INICIAR")))</f>
        <v>CONCLUÍDA</v>
      </c>
    </row>
    <row r="2341" customFormat="false" ht="15" hidden="false" customHeight="false" outlineLevel="0" collapsed="false">
      <c r="B2341" s="4" t="n">
        <v>29845891</v>
      </c>
      <c r="C2341" s="4" t="s">
        <v>2986</v>
      </c>
      <c r="D2341" s="4" t="s">
        <v>433</v>
      </c>
      <c r="E2341" s="4" t="s">
        <v>3678</v>
      </c>
      <c r="F2341" s="127" t="n">
        <v>46486</v>
      </c>
      <c r="G2341" s="127" t="n">
        <v>46497</v>
      </c>
      <c r="H2341" s="127" t="n">
        <v>46293</v>
      </c>
      <c r="I2341" s="4" t="n">
        <v>0</v>
      </c>
      <c r="J2341" s="4" t="n">
        <v>0</v>
      </c>
      <c r="K2341" s="4" t="n">
        <v>0</v>
      </c>
      <c r="M2341" s="2" t="str">
        <f aca="false">IF(C2341="","",IFERROR(INDEX($S$5:$S$304,MATCH(C2341,$R$5:$R$304,0))&amp;"","?"))</f>
        <v>20</v>
      </c>
      <c r="N2341" s="2" t="n">
        <f aca="false">IF(E2341="","",IF(ISNUMBER(SEARCH("SUBSOLO",E2341)),IFERROR(-VALUE(LEFT(E2341,FIND("º",SUBSTITUTE(E2341,"°","º"))-1)),-1),IF(LEFT(E2341,6)="TÉRREO",0,IFERROR(VALUE(LEFT(E2341,FIND("º",SUBSTITUTE(E2341,"°","º"))-1)),""))))</f>
        <v>5</v>
      </c>
      <c r="O2341" s="2" t="str">
        <f aca="false">IF(OR(F2341="",G2341=""),"",IF(G2341&lt;='RETRATO 2027'!$K$5,"CONCLUÍDA",IF(F2341&lt;='RETRATO 2027'!$K$5,"EM ANDAMENTO","A INICIAR")))</f>
        <v>CONCLUÍDA</v>
      </c>
    </row>
    <row r="2342" customFormat="false" ht="15" hidden="false" customHeight="false" outlineLevel="0" collapsed="false">
      <c r="B2342" s="4" t="n">
        <v>26743578</v>
      </c>
      <c r="C2342" s="4" t="s">
        <v>2977</v>
      </c>
      <c r="D2342" s="4" t="s">
        <v>433</v>
      </c>
      <c r="E2342" s="4" t="s">
        <v>3685</v>
      </c>
      <c r="F2342" s="127" t="n">
        <v>46486</v>
      </c>
      <c r="G2342" s="127" t="n">
        <v>46497</v>
      </c>
      <c r="H2342" s="127" t="n">
        <v>46293</v>
      </c>
      <c r="I2342" s="4" t="n">
        <v>0</v>
      </c>
      <c r="J2342" s="4" t="n">
        <v>0</v>
      </c>
      <c r="K2342" s="4" t="n">
        <v>0</v>
      </c>
      <c r="M2342" s="2" t="str">
        <f aca="false">IF(C2342="","",IFERROR(INDEX($S$5:$S$304,MATCH(C2342,$R$5:$R$304,0))&amp;"","?"))</f>
        <v>30</v>
      </c>
      <c r="N2342" s="2" t="n">
        <f aca="false">IF(E2342="","",IF(ISNUMBER(SEARCH("SUBSOLO",E2342)),IFERROR(-VALUE(LEFT(E2342,FIND("º",SUBSTITUTE(E2342,"°","º"))-1)),-1),IF(LEFT(E2342,6)="TÉRREO",0,IFERROR(VALUE(LEFT(E2342,FIND("º",SUBSTITUTE(E2342,"°","º"))-1)),""))))</f>
        <v>6</v>
      </c>
      <c r="O2342" s="2" t="str">
        <f aca="false">IF(OR(F2342="",G2342=""),"",IF(G2342&lt;='RETRATO 2027'!$K$5,"CONCLUÍDA",IF(F2342&lt;='RETRATO 2027'!$K$5,"EM ANDAMENTO","A INICIAR")))</f>
        <v>CONCLUÍDA</v>
      </c>
    </row>
    <row r="2343" customFormat="false" ht="15" hidden="false" customHeight="false" outlineLevel="0" collapsed="false">
      <c r="B2343" s="4" t="n">
        <v>26743534</v>
      </c>
      <c r="C2343" s="4" t="s">
        <v>2935</v>
      </c>
      <c r="D2343" s="4" t="s">
        <v>433</v>
      </c>
      <c r="E2343" s="4" t="s">
        <v>3686</v>
      </c>
      <c r="F2343" s="127" t="n">
        <v>46486</v>
      </c>
      <c r="G2343" s="127" t="n">
        <v>46497</v>
      </c>
      <c r="H2343" s="127" t="n">
        <v>46293</v>
      </c>
      <c r="I2343" s="4" t="n">
        <v>0</v>
      </c>
      <c r="J2343" s="4" t="n">
        <v>0</v>
      </c>
      <c r="K2343" s="4" t="n">
        <v>0</v>
      </c>
      <c r="M2343" s="2" t="str">
        <f aca="false">IF(C2343="","",IFERROR(INDEX($S$5:$S$304,MATCH(C2343,$R$5:$R$304,0))&amp;"","?"))</f>
        <v>30</v>
      </c>
      <c r="N2343" s="2" t="n">
        <f aca="false">IF(E2343="","",IF(ISNUMBER(SEARCH("SUBSOLO",E2343)),IFERROR(-VALUE(LEFT(E2343,FIND("º",SUBSTITUTE(E2343,"°","º"))-1)),-1),IF(LEFT(E2343,6)="TÉRREO",0,IFERROR(VALUE(LEFT(E2343,FIND("º",SUBSTITUTE(E2343,"°","º"))-1)),""))))</f>
        <v>7</v>
      </c>
      <c r="O2343" s="2" t="str">
        <f aca="false">IF(OR(F2343="",G2343=""),"",IF(G2343&lt;='RETRATO 2027'!$K$5,"CONCLUÍDA",IF(F2343&lt;='RETRATO 2027'!$K$5,"EM ANDAMENTO","A INICIAR")))</f>
        <v>CONCLUÍDA</v>
      </c>
    </row>
    <row r="2344" customFormat="false" ht="15" hidden="false" customHeight="false" outlineLevel="0" collapsed="false">
      <c r="B2344" s="4" t="n">
        <v>26743481</v>
      </c>
      <c r="C2344" s="4" t="s">
        <v>2938</v>
      </c>
      <c r="D2344" s="4" t="s">
        <v>433</v>
      </c>
      <c r="E2344" s="4" t="s">
        <v>3706</v>
      </c>
      <c r="F2344" s="127" t="n">
        <v>46486</v>
      </c>
      <c r="G2344" s="127" t="n">
        <v>46497</v>
      </c>
      <c r="H2344" s="127" t="n">
        <v>46293</v>
      </c>
      <c r="I2344" s="4" t="n">
        <v>0</v>
      </c>
      <c r="J2344" s="4" t="n">
        <v>0</v>
      </c>
      <c r="K2344" s="4" t="n">
        <v>0</v>
      </c>
      <c r="M2344" s="2" t="str">
        <f aca="false">IF(C2344="","",IFERROR(INDEX($S$5:$S$304,MATCH(C2344,$R$5:$R$304,0))&amp;"","?"))</f>
        <v>30</v>
      </c>
      <c r="N2344" s="2" t="n">
        <f aca="false">IF(E2344="","",IF(ISNUMBER(SEARCH("SUBSOLO",E2344)),IFERROR(-VALUE(LEFT(E2344,FIND("º",SUBSTITUTE(E2344,"°","º"))-1)),-1),IF(LEFT(E2344,6)="TÉRREO",0,IFERROR(VALUE(LEFT(E2344,FIND("º",SUBSTITUTE(E2344,"°","º"))-1)),""))))</f>
        <v>8</v>
      </c>
      <c r="O2344" s="2" t="str">
        <f aca="false">IF(OR(F2344="",G2344=""),"",IF(G2344&lt;='RETRATO 2027'!$K$5,"CONCLUÍDA",IF(F2344&lt;='RETRATO 2027'!$K$5,"EM ANDAMENTO","A INICIAR")))</f>
        <v>CONCLUÍDA</v>
      </c>
    </row>
    <row r="2345" customFormat="false" ht="15" hidden="false" customHeight="false" outlineLevel="0" collapsed="false">
      <c r="B2345" s="4" t="n">
        <v>26743443</v>
      </c>
      <c r="C2345" s="4" t="s">
        <v>166</v>
      </c>
      <c r="D2345" s="4" t="s">
        <v>433</v>
      </c>
      <c r="E2345" s="4" t="s">
        <v>3716</v>
      </c>
      <c r="F2345" s="127" t="n">
        <v>46486</v>
      </c>
      <c r="G2345" s="127" t="n">
        <v>46497</v>
      </c>
      <c r="H2345" s="127" t="n">
        <v>46293</v>
      </c>
      <c r="I2345" s="4" t="n">
        <v>0</v>
      </c>
      <c r="J2345" s="4" t="n">
        <v>0</v>
      </c>
      <c r="K2345" s="4" t="n">
        <v>0</v>
      </c>
      <c r="M2345" s="2" t="str">
        <f aca="false">IF(C2345="","",IFERROR(INDEX($S$5:$S$304,MATCH(C2345,$R$5:$R$304,0))&amp;"","?"))</f>
        <v>19</v>
      </c>
      <c r="N2345" s="2" t="n">
        <f aca="false">IF(E2345="","",IF(ISNUMBER(SEARCH("SUBSOLO",E2345)),IFERROR(-VALUE(LEFT(E2345,FIND("º",SUBSTITUTE(E2345,"°","º"))-1)),-1),IF(LEFT(E2345,6)="TÉRREO",0,IFERROR(VALUE(LEFT(E2345,FIND("º",SUBSTITUTE(E2345,"°","º"))-1)),""))))</f>
        <v>9</v>
      </c>
      <c r="O2345" s="2" t="str">
        <f aca="false">IF(OR(F2345="",G2345=""),"",IF(G2345&lt;='RETRATO 2027'!$K$5,"CONCLUÍDA",IF(F2345&lt;='RETRATO 2027'!$K$5,"EM ANDAMENTO","A INICIAR")))</f>
        <v>CONCLUÍDA</v>
      </c>
    </row>
    <row r="2346" customFormat="false" ht="15" hidden="false" customHeight="false" outlineLevel="0" collapsed="false">
      <c r="B2346" s="4" t="n">
        <v>26743416</v>
      </c>
      <c r="C2346" s="4" t="s">
        <v>2941</v>
      </c>
      <c r="D2346" s="4" t="s">
        <v>433</v>
      </c>
      <c r="E2346" s="4" t="s">
        <v>3722</v>
      </c>
      <c r="F2346" s="127" t="n">
        <v>46486</v>
      </c>
      <c r="G2346" s="127" t="n">
        <v>46497</v>
      </c>
      <c r="H2346" s="127" t="n">
        <v>46293</v>
      </c>
      <c r="I2346" s="4" t="n">
        <v>0</v>
      </c>
      <c r="J2346" s="4" t="n">
        <v>0</v>
      </c>
      <c r="K2346" s="4" t="n">
        <v>0</v>
      </c>
      <c r="M2346" s="2" t="str">
        <f aca="false">IF(C2346="","",IFERROR(INDEX($S$5:$S$304,MATCH(C2346,$R$5:$R$304,0))&amp;"","?"))</f>
        <v>18</v>
      </c>
      <c r="N2346" s="2" t="n">
        <f aca="false">IF(E2346="","",IF(ISNUMBER(SEARCH("SUBSOLO",E2346)),IFERROR(-VALUE(LEFT(E2346,FIND("º",SUBSTITUTE(E2346,"°","º"))-1)),-1),IF(LEFT(E2346,6)="TÉRREO",0,IFERROR(VALUE(LEFT(E2346,FIND("º",SUBSTITUTE(E2346,"°","º"))-1)),""))))</f>
        <v>10</v>
      </c>
      <c r="O2346" s="2" t="str">
        <f aca="false">IF(OR(F2346="",G2346=""),"",IF(G2346&lt;='RETRATO 2027'!$K$5,"CONCLUÍDA",IF(F2346&lt;='RETRATO 2027'!$K$5,"EM ANDAMENTO","A INICIAR")))</f>
        <v>CONCLUÍDA</v>
      </c>
    </row>
    <row r="2347" customFormat="false" ht="15" hidden="false" customHeight="false" outlineLevel="0" collapsed="false">
      <c r="B2347" s="4" t="n">
        <v>26743380</v>
      </c>
      <c r="C2347" s="4" t="s">
        <v>2924</v>
      </c>
      <c r="D2347" s="4" t="s">
        <v>433</v>
      </c>
      <c r="E2347" s="4" t="s">
        <v>3762</v>
      </c>
      <c r="F2347" s="127" t="n">
        <v>46486</v>
      </c>
      <c r="G2347" s="127" t="n">
        <v>46497</v>
      </c>
      <c r="H2347" s="127" t="n">
        <v>46293</v>
      </c>
      <c r="I2347" s="4" t="n">
        <v>0</v>
      </c>
      <c r="J2347" s="4" t="n">
        <v>0</v>
      </c>
      <c r="K2347" s="4" t="n">
        <v>0</v>
      </c>
      <c r="M2347" s="2" t="str">
        <f aca="false">IF(C2347="","",IFERROR(INDEX($S$5:$S$304,MATCH(C2347,$R$5:$R$304,0))&amp;"","?"))</f>
        <v>21</v>
      </c>
      <c r="N2347" s="2" t="n">
        <f aca="false">IF(E2347="","",IF(ISNUMBER(SEARCH("SUBSOLO",E2347)),IFERROR(-VALUE(LEFT(E2347,FIND("º",SUBSTITUTE(E2347,"°","º"))-1)),-1),IF(LEFT(E2347,6)="TÉRREO",0,IFERROR(VALUE(LEFT(E2347,FIND("º",SUBSTITUTE(E2347,"°","º"))-1)),""))))</f>
        <v>11</v>
      </c>
      <c r="O2347" s="2" t="str">
        <f aca="false">IF(OR(F2347="",G2347=""),"",IF(G2347&lt;='RETRATO 2027'!$K$5,"CONCLUÍDA",IF(F2347&lt;='RETRATO 2027'!$K$5,"EM ANDAMENTO","A INICIAR")))</f>
        <v>CONCLUÍDA</v>
      </c>
    </row>
    <row r="2348" customFormat="false" ht="15" hidden="false" customHeight="false" outlineLevel="0" collapsed="false">
      <c r="B2348" s="4" t="n">
        <v>26743363</v>
      </c>
      <c r="C2348" s="4" t="s">
        <v>2926</v>
      </c>
      <c r="D2348" s="4" t="s">
        <v>433</v>
      </c>
      <c r="E2348" s="4" t="s">
        <v>3762</v>
      </c>
      <c r="F2348" s="127" t="n">
        <v>46486</v>
      </c>
      <c r="G2348" s="127" t="n">
        <v>46497</v>
      </c>
      <c r="H2348" s="127" t="n">
        <v>46293</v>
      </c>
      <c r="I2348" s="4" t="n">
        <v>0</v>
      </c>
      <c r="J2348" s="4" t="n">
        <v>0</v>
      </c>
      <c r="K2348" s="4" t="n">
        <v>0</v>
      </c>
      <c r="M2348" s="2" t="str">
        <f aca="false">IF(C2348="","",IFERROR(INDEX($S$5:$S$304,MATCH(C2348,$R$5:$R$304,0))&amp;"","?"))</f>
        <v>20</v>
      </c>
      <c r="N2348" s="2" t="n">
        <f aca="false">IF(E2348="","",IF(ISNUMBER(SEARCH("SUBSOLO",E2348)),IFERROR(-VALUE(LEFT(E2348,FIND("º",SUBSTITUTE(E2348,"°","º"))-1)),-1),IF(LEFT(E2348,6)="TÉRREO",0,IFERROR(VALUE(LEFT(E2348,FIND("º",SUBSTITUTE(E2348,"°","º"))-1)),""))))</f>
        <v>11</v>
      </c>
      <c r="O2348" s="2" t="str">
        <f aca="false">IF(OR(F2348="",G2348=""),"",IF(G2348&lt;='RETRATO 2027'!$K$5,"CONCLUÍDA",IF(F2348&lt;='RETRATO 2027'!$K$5,"EM ANDAMENTO","A INICIAR")))</f>
        <v>CONCLUÍDA</v>
      </c>
    </row>
    <row r="2349" customFormat="false" ht="15" hidden="false" customHeight="false" outlineLevel="0" collapsed="false">
      <c r="B2349" s="4" t="n">
        <v>26743362</v>
      </c>
      <c r="C2349" s="4" t="s">
        <v>2928</v>
      </c>
      <c r="D2349" s="4" t="s">
        <v>433</v>
      </c>
      <c r="E2349" s="4" t="s">
        <v>3762</v>
      </c>
      <c r="F2349" s="127" t="n">
        <v>46486</v>
      </c>
      <c r="G2349" s="127" t="n">
        <v>46497</v>
      </c>
      <c r="H2349" s="127" t="n">
        <v>46293</v>
      </c>
      <c r="I2349" s="4" t="n">
        <v>0</v>
      </c>
      <c r="J2349" s="4" t="n">
        <v>0</v>
      </c>
      <c r="K2349" s="4" t="n">
        <v>0</v>
      </c>
      <c r="M2349" s="2" t="str">
        <f aca="false">IF(C2349="","",IFERROR(INDEX($S$5:$S$304,MATCH(C2349,$R$5:$R$304,0))&amp;"","?"))</f>
        <v>23</v>
      </c>
      <c r="N2349" s="2" t="n">
        <f aca="false">IF(E2349="","",IF(ISNUMBER(SEARCH("SUBSOLO",E2349)),IFERROR(-VALUE(LEFT(E2349,FIND("º",SUBSTITUTE(E2349,"°","º"))-1)),-1),IF(LEFT(E2349,6)="TÉRREO",0,IFERROR(VALUE(LEFT(E2349,FIND("º",SUBSTITUTE(E2349,"°","º"))-1)),""))))</f>
        <v>11</v>
      </c>
      <c r="O2349" s="2" t="str">
        <f aca="false">IF(OR(F2349="",G2349=""),"",IF(G2349&lt;='RETRATO 2027'!$K$5,"CONCLUÍDA",IF(F2349&lt;='RETRATO 2027'!$K$5,"EM ANDAMENTO","A INICIAR")))</f>
        <v>CONCLUÍDA</v>
      </c>
    </row>
    <row r="2350" customFormat="false" ht="15" hidden="false" customHeight="false" outlineLevel="0" collapsed="false">
      <c r="B2350" s="4" t="n">
        <v>26743381</v>
      </c>
      <c r="C2350" s="4" t="s">
        <v>2930</v>
      </c>
      <c r="D2350" s="4" t="s">
        <v>433</v>
      </c>
      <c r="E2350" s="4" t="s">
        <v>3762</v>
      </c>
      <c r="F2350" s="127" t="n">
        <v>46486</v>
      </c>
      <c r="G2350" s="127" t="n">
        <v>46497</v>
      </c>
      <c r="H2350" s="127" t="n">
        <v>46293</v>
      </c>
      <c r="I2350" s="4" t="n">
        <v>0</v>
      </c>
      <c r="J2350" s="4" t="n">
        <v>0</v>
      </c>
      <c r="K2350" s="4" t="n">
        <v>0</v>
      </c>
      <c r="M2350" s="2" t="str">
        <f aca="false">IF(C2350="","",IFERROR(INDEX($S$5:$S$304,MATCH(C2350,$R$5:$R$304,0))&amp;"","?"))</f>
        <v>21</v>
      </c>
      <c r="N2350" s="2" t="n">
        <f aca="false">IF(E2350="","",IF(ISNUMBER(SEARCH("SUBSOLO",E2350)),IFERROR(-VALUE(LEFT(E2350,FIND("º",SUBSTITUTE(E2350,"°","º"))-1)),-1),IF(LEFT(E2350,6)="TÉRREO",0,IFERROR(VALUE(LEFT(E2350,FIND("º",SUBSTITUTE(E2350,"°","º"))-1)),""))))</f>
        <v>11</v>
      </c>
      <c r="O2350" s="2" t="str">
        <f aca="false">IF(OR(F2350="",G2350=""),"",IF(G2350&lt;='RETRATO 2027'!$K$5,"CONCLUÍDA",IF(F2350&lt;='RETRATO 2027'!$K$5,"EM ANDAMENTO","A INICIAR")))</f>
        <v>CONCLUÍDA</v>
      </c>
    </row>
    <row r="2351" customFormat="false" ht="15" hidden="false" customHeight="false" outlineLevel="0" collapsed="false">
      <c r="B2351" s="4" t="n">
        <v>26743382</v>
      </c>
      <c r="C2351" s="4" t="s">
        <v>2933</v>
      </c>
      <c r="D2351" s="4" t="s">
        <v>433</v>
      </c>
      <c r="E2351" s="4" t="s">
        <v>3762</v>
      </c>
      <c r="F2351" s="127" t="n">
        <v>46486</v>
      </c>
      <c r="G2351" s="127" t="n">
        <v>46497</v>
      </c>
      <c r="H2351" s="127" t="n">
        <v>46293</v>
      </c>
      <c r="I2351" s="4" t="n">
        <v>0</v>
      </c>
      <c r="J2351" s="4" t="n">
        <v>0</v>
      </c>
      <c r="K2351" s="4" t="n">
        <v>0</v>
      </c>
      <c r="M2351" s="2" t="str">
        <f aca="false">IF(C2351="","",IFERROR(INDEX($S$5:$S$304,MATCH(C2351,$R$5:$R$304,0))&amp;"","?"))</f>
        <v>21</v>
      </c>
      <c r="N2351" s="2" t="n">
        <f aca="false">IF(E2351="","",IF(ISNUMBER(SEARCH("SUBSOLO",E2351)),IFERROR(-VALUE(LEFT(E2351,FIND("º",SUBSTITUTE(E2351,"°","º"))-1)),-1),IF(LEFT(E2351,6)="TÉRREO",0,IFERROR(VALUE(LEFT(E2351,FIND("º",SUBSTITUTE(E2351,"°","º"))-1)),""))))</f>
        <v>11</v>
      </c>
      <c r="O2351" s="2" t="str">
        <f aca="false">IF(OR(F2351="",G2351=""),"",IF(G2351&lt;='RETRATO 2027'!$K$5,"CONCLUÍDA",IF(F2351&lt;='RETRATO 2027'!$K$5,"EM ANDAMENTO","A INICIAR")))</f>
        <v>CONCLUÍDA</v>
      </c>
    </row>
    <row r="2352" customFormat="false" ht="15" hidden="false" customHeight="false" outlineLevel="0" collapsed="false">
      <c r="B2352" s="4" t="n">
        <v>26743324</v>
      </c>
      <c r="C2352" s="4" t="s">
        <v>2922</v>
      </c>
      <c r="D2352" s="4" t="s">
        <v>433</v>
      </c>
      <c r="E2352" s="4" t="s">
        <v>3763</v>
      </c>
      <c r="F2352" s="127" t="n">
        <v>46486</v>
      </c>
      <c r="G2352" s="127" t="n">
        <v>46497</v>
      </c>
      <c r="H2352" s="127" t="n">
        <v>46293</v>
      </c>
      <c r="I2352" s="4" t="n">
        <v>0</v>
      </c>
      <c r="J2352" s="4" t="n">
        <v>0</v>
      </c>
      <c r="K2352" s="4" t="n">
        <v>0</v>
      </c>
      <c r="M2352" s="2" t="str">
        <f aca="false">IF(C2352="","",IFERROR(INDEX($S$5:$S$304,MATCH(C2352,$R$5:$R$304,0))&amp;"","?"))</f>
        <v>18</v>
      </c>
      <c r="N2352" s="2" t="n">
        <f aca="false">IF(E2352="","",IF(ISNUMBER(SEARCH("SUBSOLO",E2352)),IFERROR(-VALUE(LEFT(E2352,FIND("º",SUBSTITUTE(E2352,"°","º"))-1)),-1),IF(LEFT(E2352,6)="TÉRREO",0,IFERROR(VALUE(LEFT(E2352,FIND("º",SUBSTITUTE(E2352,"°","º"))-1)),""))))</f>
        <v>12</v>
      </c>
      <c r="O2352" s="2" t="str">
        <f aca="false">IF(OR(F2352="",G2352=""),"",IF(G2352&lt;='RETRATO 2027'!$K$5,"CONCLUÍDA",IF(F2352&lt;='RETRATO 2027'!$K$5,"EM ANDAMENTO","A INICIAR")))</f>
        <v>CONCLUÍDA</v>
      </c>
    </row>
    <row r="2353" customFormat="false" ht="15" hidden="false" customHeight="false" outlineLevel="0" collapsed="false">
      <c r="B2353" s="4" t="n">
        <v>26743094</v>
      </c>
      <c r="C2353" s="4" t="s">
        <v>2869</v>
      </c>
      <c r="D2353" s="4" t="s">
        <v>433</v>
      </c>
      <c r="E2353" s="4" t="s">
        <v>3779</v>
      </c>
      <c r="F2353" s="127" t="n">
        <v>46489</v>
      </c>
      <c r="G2353" s="127" t="n">
        <v>46499</v>
      </c>
      <c r="H2353" s="127" t="n">
        <v>46293</v>
      </c>
      <c r="I2353" s="4" t="n">
        <v>0</v>
      </c>
      <c r="J2353" s="4" t="n">
        <v>0</v>
      </c>
      <c r="K2353" s="4" t="n">
        <v>0</v>
      </c>
      <c r="M2353" s="2" t="str">
        <f aca="false">IF(C2353="","",IFERROR(INDEX($S$5:$S$304,MATCH(C2353,$R$5:$R$304,0))&amp;"","?"))</f>
        <v>22</v>
      </c>
      <c r="N2353" s="2" t="n">
        <f aca="false">IF(E2353="","",IF(ISNUMBER(SEARCH("SUBSOLO",E2353)),IFERROR(-VALUE(LEFT(E2353,FIND("º",SUBSTITUTE(E2353,"°","º"))-1)),-1),IF(LEFT(E2353,6)="TÉRREO",0,IFERROR(VALUE(LEFT(E2353,FIND("º",SUBSTITUTE(E2353,"°","º"))-1)),""))))</f>
        <v>19</v>
      </c>
      <c r="O2353" s="2" t="str">
        <f aca="false">IF(OR(F2353="",G2353=""),"",IF(G2353&lt;='RETRATO 2027'!$K$5,"CONCLUÍDA",IF(F2353&lt;='RETRATO 2027'!$K$5,"EM ANDAMENTO","A INICIAR")))</f>
        <v>CONCLUÍDA</v>
      </c>
    </row>
    <row r="2354" customFormat="false" ht="15" hidden="false" customHeight="false" outlineLevel="0" collapsed="false">
      <c r="B2354" s="4" t="n">
        <v>26743055</v>
      </c>
      <c r="C2354" s="4" t="s">
        <v>163</v>
      </c>
      <c r="D2354" s="4" t="s">
        <v>433</v>
      </c>
      <c r="E2354" s="4" t="s">
        <v>3781</v>
      </c>
      <c r="F2354" s="127" t="n">
        <v>46489</v>
      </c>
      <c r="G2354" s="127" t="n">
        <v>46499</v>
      </c>
      <c r="H2354" s="127" t="n">
        <v>46293</v>
      </c>
      <c r="I2354" s="4" t="n">
        <v>0</v>
      </c>
      <c r="J2354" s="4" t="n">
        <v>0</v>
      </c>
      <c r="K2354" s="4" t="n">
        <v>0</v>
      </c>
      <c r="M2354" s="2" t="str">
        <f aca="false">IF(C2354="","",IFERROR(INDEX($S$5:$S$304,MATCH(C2354,$R$5:$R$304,0))&amp;"","?"))</f>
        <v>18</v>
      </c>
      <c r="N2354" s="2" t="n">
        <f aca="false">IF(E2354="","",IF(ISNUMBER(SEARCH("SUBSOLO",E2354)),IFERROR(-VALUE(LEFT(E2354,FIND("º",SUBSTITUTE(E2354,"°","º"))-1)),-1),IF(LEFT(E2354,6)="TÉRREO",0,IFERROR(VALUE(LEFT(E2354,FIND("º",SUBSTITUTE(E2354,"°","º"))-1)),""))))</f>
        <v>20</v>
      </c>
      <c r="O2354" s="2" t="str">
        <f aca="false">IF(OR(F2354="",G2354=""),"",IF(G2354&lt;='RETRATO 2027'!$K$5,"CONCLUÍDA",IF(F2354&lt;='RETRATO 2027'!$K$5,"EM ANDAMENTO","A INICIAR")))</f>
        <v>CONCLUÍDA</v>
      </c>
    </row>
    <row r="2355" customFormat="false" ht="15" hidden="false" customHeight="false" outlineLevel="0" collapsed="false">
      <c r="B2355" s="4" t="n">
        <v>26707651</v>
      </c>
      <c r="C2355" s="4" t="s">
        <v>2808</v>
      </c>
      <c r="D2355" s="4" t="s">
        <v>433</v>
      </c>
      <c r="E2355" s="4" t="s">
        <v>3785</v>
      </c>
      <c r="F2355" s="127" t="n">
        <v>46490</v>
      </c>
      <c r="G2355" s="127" t="n">
        <v>46511</v>
      </c>
      <c r="H2355" s="127" t="n">
        <v>46293</v>
      </c>
      <c r="I2355" s="4" t="n">
        <v>0</v>
      </c>
      <c r="J2355" s="4" t="n">
        <v>0</v>
      </c>
      <c r="K2355" s="4" t="n">
        <v>0</v>
      </c>
      <c r="M2355" s="2" t="str">
        <f aca="false">IF(C2355="","",IFERROR(INDEX($S$5:$S$304,MATCH(C2355,$R$5:$R$304,0))&amp;"","?"))</f>
        <v>29</v>
      </c>
      <c r="N2355" s="2" t="n">
        <f aca="false">IF(E2355="","",IF(ISNUMBER(SEARCH("SUBSOLO",E2355)),IFERROR(-VALUE(LEFT(E2355,FIND("º",SUBSTITUTE(E2355,"°","º"))-1)),-1),IF(LEFT(E2355,6)="TÉRREO",0,IFERROR(VALUE(LEFT(E2355,FIND("º",SUBSTITUTE(E2355,"°","º"))-1)),""))))</f>
        <v>1</v>
      </c>
      <c r="O2355" s="2" t="str">
        <f aca="false">IF(OR(F2355="",G2355=""),"",IF(G2355&lt;='RETRATO 2027'!$K$5,"CONCLUÍDA",IF(F2355&lt;='RETRATO 2027'!$K$5,"EM ANDAMENTO","A INICIAR")))</f>
        <v>CONCLUÍDA</v>
      </c>
    </row>
    <row r="2356" customFormat="false" ht="15" hidden="false" customHeight="false" outlineLevel="0" collapsed="false">
      <c r="B2356" s="4" t="n">
        <v>26743304</v>
      </c>
      <c r="C2356" s="4" t="s">
        <v>2916</v>
      </c>
      <c r="D2356" s="4" t="s">
        <v>433</v>
      </c>
      <c r="E2356" s="4" t="s">
        <v>3764</v>
      </c>
      <c r="F2356" s="127" t="n">
        <v>46490</v>
      </c>
      <c r="G2356" s="127" t="n">
        <v>46497</v>
      </c>
      <c r="H2356" s="127" t="n">
        <v>46293</v>
      </c>
      <c r="I2356" s="4" t="n">
        <v>0</v>
      </c>
      <c r="J2356" s="4" t="n">
        <v>0</v>
      </c>
      <c r="K2356" s="4" t="n">
        <v>0</v>
      </c>
      <c r="M2356" s="2" t="str">
        <f aca="false">IF(C2356="","",IFERROR(INDEX($S$5:$S$304,MATCH(C2356,$R$5:$R$304,0))&amp;"","?"))</f>
        <v>18</v>
      </c>
      <c r="N2356" s="2" t="n">
        <f aca="false">IF(E2356="","",IF(ISNUMBER(SEARCH("SUBSOLO",E2356)),IFERROR(-VALUE(LEFT(E2356,FIND("º",SUBSTITUTE(E2356,"°","º"))-1)),-1),IF(LEFT(E2356,6)="TÉRREO",0,IFERROR(VALUE(LEFT(E2356,FIND("º",SUBSTITUTE(E2356,"°","º"))-1)),""))))</f>
        <v>13</v>
      </c>
      <c r="O2356" s="2" t="str">
        <f aca="false">IF(OR(F2356="",G2356=""),"",IF(G2356&lt;='RETRATO 2027'!$K$5,"CONCLUÍDA",IF(F2356&lt;='RETRATO 2027'!$K$5,"EM ANDAMENTO","A INICIAR")))</f>
        <v>CONCLUÍDA</v>
      </c>
    </row>
    <row r="2357" customFormat="false" ht="15" hidden="false" customHeight="false" outlineLevel="0" collapsed="false">
      <c r="B2357" s="4" t="n">
        <v>26714089</v>
      </c>
      <c r="C2357" s="4" t="s">
        <v>2900</v>
      </c>
      <c r="D2357" s="4" t="s">
        <v>433</v>
      </c>
      <c r="E2357" s="4" t="s">
        <v>3766</v>
      </c>
      <c r="F2357" s="127" t="n">
        <v>46491</v>
      </c>
      <c r="G2357" s="127" t="n">
        <v>46512</v>
      </c>
      <c r="H2357" s="127" t="n">
        <v>46293</v>
      </c>
      <c r="I2357" s="4" t="n">
        <v>0</v>
      </c>
      <c r="J2357" s="4" t="n">
        <v>0</v>
      </c>
      <c r="K2357" s="4" t="n">
        <v>0</v>
      </c>
      <c r="M2357" s="2" t="str">
        <f aca="false">IF(C2357="","",IFERROR(INDEX($S$5:$S$304,MATCH(C2357,$R$5:$R$304,0))&amp;"","?"))</f>
        <v>22</v>
      </c>
      <c r="N2357" s="2" t="n">
        <f aca="false">IF(E2357="","",IF(ISNUMBER(SEARCH("SUBSOLO",E2357)),IFERROR(-VALUE(LEFT(E2357,FIND("º",SUBSTITUTE(E2357,"°","º"))-1)),-1),IF(LEFT(E2357,6)="TÉRREO",0,IFERROR(VALUE(LEFT(E2357,FIND("º",SUBSTITUTE(E2357,"°","º"))-1)),""))))</f>
        <v>1</v>
      </c>
      <c r="O2357" s="2" t="str">
        <f aca="false">IF(OR(F2357="",G2357=""),"",IF(G2357&lt;='RETRATO 2027'!$K$5,"CONCLUÍDA",IF(F2357&lt;='RETRATO 2027'!$K$5,"EM ANDAMENTO","A INICIAR")))</f>
        <v>CONCLUÍDA</v>
      </c>
    </row>
    <row r="2358" customFormat="false" ht="15" hidden="false" customHeight="false" outlineLevel="0" collapsed="false">
      <c r="B2358" s="4" t="n">
        <v>26707698</v>
      </c>
      <c r="C2358" s="4" t="s">
        <v>2928</v>
      </c>
      <c r="D2358" s="4" t="s">
        <v>433</v>
      </c>
      <c r="E2358" s="4" t="s">
        <v>3766</v>
      </c>
      <c r="F2358" s="127" t="n">
        <v>46491</v>
      </c>
      <c r="G2358" s="127" t="n">
        <v>46512</v>
      </c>
      <c r="H2358" s="127" t="n">
        <v>46293</v>
      </c>
      <c r="I2358" s="4" t="n">
        <v>0</v>
      </c>
      <c r="J2358" s="4" t="n">
        <v>0</v>
      </c>
      <c r="K2358" s="4" t="n">
        <v>0</v>
      </c>
      <c r="M2358" s="2" t="str">
        <f aca="false">IF(C2358="","",IFERROR(INDEX($S$5:$S$304,MATCH(C2358,$R$5:$R$304,0))&amp;"","?"))</f>
        <v>23</v>
      </c>
      <c r="N2358" s="2" t="n">
        <f aca="false">IF(E2358="","",IF(ISNUMBER(SEARCH("SUBSOLO",E2358)),IFERROR(-VALUE(LEFT(E2358,FIND("º",SUBSTITUTE(E2358,"°","º"))-1)),-1),IF(LEFT(E2358,6)="TÉRREO",0,IFERROR(VALUE(LEFT(E2358,FIND("º",SUBSTITUTE(E2358,"°","º"))-1)),""))))</f>
        <v>1</v>
      </c>
      <c r="O2358" s="2" t="str">
        <f aca="false">IF(OR(F2358="",G2358=""),"",IF(G2358&lt;='RETRATO 2027'!$K$5,"CONCLUÍDA",IF(F2358&lt;='RETRATO 2027'!$K$5,"EM ANDAMENTO","A INICIAR")))</f>
        <v>CONCLUÍDA</v>
      </c>
    </row>
    <row r="2359" customFormat="false" ht="15" hidden="false" customHeight="false" outlineLevel="0" collapsed="false">
      <c r="B2359" s="4" t="n">
        <v>26707696</v>
      </c>
      <c r="C2359" s="4" t="s">
        <v>2989</v>
      </c>
      <c r="D2359" s="4" t="s">
        <v>433</v>
      </c>
      <c r="E2359" s="4" t="s">
        <v>3766</v>
      </c>
      <c r="F2359" s="127" t="n">
        <v>46491</v>
      </c>
      <c r="G2359" s="127" t="n">
        <v>46512</v>
      </c>
      <c r="H2359" s="127" t="n">
        <v>46293</v>
      </c>
      <c r="I2359" s="4" t="n">
        <v>0</v>
      </c>
      <c r="J2359" s="4" t="n">
        <v>0</v>
      </c>
      <c r="K2359" s="4" t="n">
        <v>0</v>
      </c>
      <c r="M2359" s="2" t="str">
        <f aca="false">IF(C2359="","",IFERROR(INDEX($S$5:$S$304,MATCH(C2359,$R$5:$R$304,0))&amp;"","?"))</f>
        <v>23</v>
      </c>
      <c r="N2359" s="2" t="n">
        <f aca="false">IF(E2359="","",IF(ISNUMBER(SEARCH("SUBSOLO",E2359)),IFERROR(-VALUE(LEFT(E2359,FIND("º",SUBSTITUTE(E2359,"°","º"))-1)),-1),IF(LEFT(E2359,6)="TÉRREO",0,IFERROR(VALUE(LEFT(E2359,FIND("º",SUBSTITUTE(E2359,"°","º"))-1)),""))))</f>
        <v>1</v>
      </c>
      <c r="O2359" s="2" t="str">
        <f aca="false">IF(OR(F2359="",G2359=""),"",IF(G2359&lt;='RETRATO 2027'!$K$5,"CONCLUÍDA",IF(F2359&lt;='RETRATO 2027'!$K$5,"EM ANDAMENTO","A INICIAR")))</f>
        <v>CONCLUÍDA</v>
      </c>
    </row>
    <row r="2360" customFormat="false" ht="15" hidden="false" customHeight="false" outlineLevel="0" collapsed="false">
      <c r="B2360" s="4" t="n">
        <v>26707697</v>
      </c>
      <c r="C2360" s="4" t="s">
        <v>2791</v>
      </c>
      <c r="D2360" s="4" t="s">
        <v>433</v>
      </c>
      <c r="E2360" s="4" t="s">
        <v>3766</v>
      </c>
      <c r="F2360" s="127" t="n">
        <v>46491</v>
      </c>
      <c r="G2360" s="127" t="n">
        <v>46512</v>
      </c>
      <c r="H2360" s="127" t="n">
        <v>46293</v>
      </c>
      <c r="I2360" s="4" t="n">
        <v>0</v>
      </c>
      <c r="J2360" s="4" t="n">
        <v>0</v>
      </c>
      <c r="K2360" s="4" t="n">
        <v>0</v>
      </c>
      <c r="M2360" s="2" t="str">
        <f aca="false">IF(C2360="","",IFERROR(INDEX($S$5:$S$304,MATCH(C2360,$R$5:$R$304,0))&amp;"","?"))</f>
        <v>21</v>
      </c>
      <c r="N2360" s="2" t="n">
        <f aca="false">IF(E2360="","",IF(ISNUMBER(SEARCH("SUBSOLO",E2360)),IFERROR(-VALUE(LEFT(E2360,FIND("º",SUBSTITUTE(E2360,"°","º"))-1)),-1),IF(LEFT(E2360,6)="TÉRREO",0,IFERROR(VALUE(LEFT(E2360,FIND("º",SUBSTITUTE(E2360,"°","º"))-1)),""))))</f>
        <v>1</v>
      </c>
      <c r="O2360" s="2" t="str">
        <f aca="false">IF(OR(F2360="",G2360=""),"",IF(G2360&lt;='RETRATO 2027'!$K$5,"CONCLUÍDA",IF(F2360&lt;='RETRATO 2027'!$K$5,"EM ANDAMENTO","A INICIAR")))</f>
        <v>CONCLUÍDA</v>
      </c>
    </row>
    <row r="2361" customFormat="false" ht="15" hidden="false" customHeight="false" outlineLevel="0" collapsed="false">
      <c r="B2361" s="4" t="n">
        <v>26707708</v>
      </c>
      <c r="C2361" s="4" t="s">
        <v>2992</v>
      </c>
      <c r="D2361" s="4" t="s">
        <v>433</v>
      </c>
      <c r="E2361" s="4" t="s">
        <v>3766</v>
      </c>
      <c r="F2361" s="127" t="n">
        <v>46491</v>
      </c>
      <c r="G2361" s="127" t="n">
        <v>46512</v>
      </c>
      <c r="H2361" s="127" t="n">
        <v>46293</v>
      </c>
      <c r="I2361" s="4" t="n">
        <v>0</v>
      </c>
      <c r="J2361" s="4" t="n">
        <v>0</v>
      </c>
      <c r="K2361" s="4" t="n">
        <v>0</v>
      </c>
      <c r="M2361" s="2" t="str">
        <f aca="false">IF(C2361="","",IFERROR(INDEX($S$5:$S$304,MATCH(C2361,$R$5:$R$304,0))&amp;"","?"))</f>
        <v>20</v>
      </c>
      <c r="N2361" s="2" t="n">
        <f aca="false">IF(E2361="","",IF(ISNUMBER(SEARCH("SUBSOLO",E2361)),IFERROR(-VALUE(LEFT(E2361,FIND("º",SUBSTITUTE(E2361,"°","º"))-1)),-1),IF(LEFT(E2361,6)="TÉRREO",0,IFERROR(VALUE(LEFT(E2361,FIND("º",SUBSTITUTE(E2361,"°","º"))-1)),""))))</f>
        <v>1</v>
      </c>
      <c r="O2361" s="2" t="str">
        <f aca="false">IF(OR(F2361="",G2361=""),"",IF(G2361&lt;='RETRATO 2027'!$K$5,"CONCLUÍDA",IF(F2361&lt;='RETRATO 2027'!$K$5,"EM ANDAMENTO","A INICIAR")))</f>
        <v>CONCLUÍDA</v>
      </c>
    </row>
    <row r="2362" customFormat="false" ht="15" hidden="false" customHeight="false" outlineLevel="0" collapsed="false">
      <c r="B2362" s="4" t="n">
        <v>26707677</v>
      </c>
      <c r="C2362" s="4" t="s">
        <v>2980</v>
      </c>
      <c r="D2362" s="4" t="s">
        <v>433</v>
      </c>
      <c r="E2362" s="4" t="s">
        <v>3772</v>
      </c>
      <c r="F2362" s="127" t="n">
        <v>46491</v>
      </c>
      <c r="G2362" s="127" t="n">
        <v>46512</v>
      </c>
      <c r="H2362" s="127" t="n">
        <v>46293</v>
      </c>
      <c r="I2362" s="4" t="n">
        <v>0</v>
      </c>
      <c r="J2362" s="4" t="n">
        <v>0</v>
      </c>
      <c r="K2362" s="4" t="n">
        <v>0</v>
      </c>
      <c r="M2362" s="2" t="str">
        <f aca="false">IF(C2362="","",IFERROR(INDEX($S$5:$S$304,MATCH(C2362,$R$5:$R$304,0))&amp;"","?"))</f>
        <v>35</v>
      </c>
      <c r="N2362" s="2" t="n">
        <f aca="false">IF(E2362="","",IF(ISNUMBER(SEARCH("SUBSOLO",E2362)),IFERROR(-VALUE(LEFT(E2362,FIND("º",SUBSTITUTE(E2362,"°","º"))-1)),-1),IF(LEFT(E2362,6)="TÉRREO",0,IFERROR(VALUE(LEFT(E2362,FIND("º",SUBSTITUTE(E2362,"°","º"))-1)),""))))</f>
        <v>1</v>
      </c>
      <c r="O2362" s="2" t="str">
        <f aca="false">IF(OR(F2362="",G2362=""),"",IF(G2362&lt;='RETRATO 2027'!$K$5,"CONCLUÍDA",IF(F2362&lt;='RETRATO 2027'!$K$5,"EM ANDAMENTO","A INICIAR")))</f>
        <v>CONCLUÍDA</v>
      </c>
    </row>
    <row r="2363" customFormat="false" ht="15" hidden="false" customHeight="false" outlineLevel="0" collapsed="false">
      <c r="B2363" s="4" t="n">
        <v>26744759</v>
      </c>
      <c r="C2363" s="4" t="s">
        <v>2869</v>
      </c>
      <c r="D2363" s="4" t="s">
        <v>433</v>
      </c>
      <c r="E2363" s="4" t="s">
        <v>3784</v>
      </c>
      <c r="F2363" s="127" t="n">
        <v>46492</v>
      </c>
      <c r="G2363" s="127" t="n">
        <v>46506</v>
      </c>
      <c r="H2363" s="127" t="n">
        <v>46293</v>
      </c>
      <c r="I2363" s="4" t="n">
        <v>0</v>
      </c>
      <c r="J2363" s="4" t="n">
        <v>0</v>
      </c>
      <c r="K2363" s="4" t="n">
        <v>0</v>
      </c>
      <c r="M2363" s="2" t="str">
        <f aca="false">IF(C2363="","",IFERROR(INDEX($S$5:$S$304,MATCH(C2363,$R$5:$R$304,0))&amp;"","?"))</f>
        <v>22</v>
      </c>
      <c r="N2363" s="2" t="n">
        <f aca="false">IF(E2363="","",IF(ISNUMBER(SEARCH("SUBSOLO",E2363)),IFERROR(-VALUE(LEFT(E2363,FIND("º",SUBSTITUTE(E2363,"°","º"))-1)),-1),IF(LEFT(E2363,6)="TÉRREO",0,IFERROR(VALUE(LEFT(E2363,FIND("º",SUBSTITUTE(E2363,"°","º"))-1)),""))))</f>
        <v>3</v>
      </c>
      <c r="O2363" s="2" t="str">
        <f aca="false">IF(OR(F2363="",G2363=""),"",IF(G2363&lt;='RETRATO 2027'!$K$5,"CONCLUÍDA",IF(F2363&lt;='RETRATO 2027'!$K$5,"EM ANDAMENTO","A INICIAR")))</f>
        <v>CONCLUÍDA</v>
      </c>
    </row>
    <row r="2364" customFormat="false" ht="15" hidden="false" customHeight="false" outlineLevel="0" collapsed="false">
      <c r="B2364" s="4" t="n">
        <v>26744725</v>
      </c>
      <c r="C2364" s="4" t="s">
        <v>163</v>
      </c>
      <c r="D2364" s="4" t="s">
        <v>433</v>
      </c>
      <c r="E2364" s="4" t="s">
        <v>3800</v>
      </c>
      <c r="F2364" s="127" t="n">
        <v>46492</v>
      </c>
      <c r="G2364" s="127" t="n">
        <v>46555</v>
      </c>
      <c r="H2364" s="127" t="n">
        <v>46293</v>
      </c>
      <c r="I2364" s="4" t="n">
        <v>0</v>
      </c>
      <c r="J2364" s="4" t="n">
        <v>0</v>
      </c>
      <c r="K2364" s="4" t="n">
        <v>0</v>
      </c>
      <c r="M2364" s="2" t="str">
        <f aca="false">IF(C2364="","",IFERROR(INDEX($S$5:$S$304,MATCH(C2364,$R$5:$R$304,0))&amp;"","?"))</f>
        <v>18</v>
      </c>
      <c r="N2364" s="2" t="n">
        <f aca="false">IF(E2364="","",IF(ISNUMBER(SEARCH("SUBSOLO",E2364)),IFERROR(-VALUE(LEFT(E2364,FIND("º",SUBSTITUTE(E2364,"°","º"))-1)),-1),IF(LEFT(E2364,6)="TÉRREO",0,IFERROR(VALUE(LEFT(E2364,FIND("º",SUBSTITUTE(E2364,"°","º"))-1)),""))))</f>
        <v>3</v>
      </c>
      <c r="O2364" s="2" t="str">
        <f aca="false">IF(OR(F2364="",G2364=""),"",IF(G2364&lt;='RETRATO 2027'!$K$5,"CONCLUÍDA",IF(F2364&lt;='RETRATO 2027'!$K$5,"EM ANDAMENTO","A INICIAR")))</f>
        <v>CONCLUÍDA</v>
      </c>
    </row>
    <row r="2365" customFormat="false" ht="15" hidden="false" customHeight="false" outlineLevel="0" collapsed="false">
      <c r="B2365" s="4" t="n">
        <v>26743266</v>
      </c>
      <c r="C2365" s="4" t="s">
        <v>2814</v>
      </c>
      <c r="D2365" s="4" t="s">
        <v>433</v>
      </c>
      <c r="E2365" s="4" t="s">
        <v>3765</v>
      </c>
      <c r="F2365" s="127" t="n">
        <v>46492</v>
      </c>
      <c r="G2365" s="127" t="n">
        <v>46500</v>
      </c>
      <c r="H2365" s="127" t="n">
        <v>46293</v>
      </c>
      <c r="I2365" s="4" t="n">
        <v>0</v>
      </c>
      <c r="J2365" s="4" t="n">
        <v>0</v>
      </c>
      <c r="K2365" s="4" t="n">
        <v>0</v>
      </c>
      <c r="M2365" s="2" t="str">
        <f aca="false">IF(C2365="","",IFERROR(INDEX($S$5:$S$304,MATCH(C2365,$R$5:$R$304,0))&amp;"","?"))</f>
        <v>28</v>
      </c>
      <c r="N2365" s="2" t="n">
        <f aca="false">IF(E2365="","",IF(ISNUMBER(SEARCH("SUBSOLO",E2365)),IFERROR(-VALUE(LEFT(E2365,FIND("º",SUBSTITUTE(E2365,"°","º"))-1)),-1),IF(LEFT(E2365,6)="TÉRREO",0,IFERROR(VALUE(LEFT(E2365,FIND("º",SUBSTITUTE(E2365,"°","º"))-1)),""))))</f>
        <v>14</v>
      </c>
      <c r="O2365" s="2" t="str">
        <f aca="false">IF(OR(F2365="",G2365=""),"",IF(G2365&lt;='RETRATO 2027'!$K$5,"CONCLUÍDA",IF(F2365&lt;='RETRATO 2027'!$K$5,"EM ANDAMENTO","A INICIAR")))</f>
        <v>CONCLUÍDA</v>
      </c>
    </row>
    <row r="2366" customFormat="false" ht="15" hidden="false" customHeight="false" outlineLevel="0" collapsed="false">
      <c r="B2366" s="4" t="n">
        <v>26743235</v>
      </c>
      <c r="C2366" s="4" t="s">
        <v>2914</v>
      </c>
      <c r="D2366" s="4" t="s">
        <v>433</v>
      </c>
      <c r="E2366" s="4" t="s">
        <v>3768</v>
      </c>
      <c r="F2366" s="127" t="n">
        <v>46492</v>
      </c>
      <c r="G2366" s="127" t="n">
        <v>46504</v>
      </c>
      <c r="H2366" s="127" t="n">
        <v>46293</v>
      </c>
      <c r="I2366" s="4" t="n">
        <v>0</v>
      </c>
      <c r="J2366" s="4" t="n">
        <v>0</v>
      </c>
      <c r="K2366" s="4" t="n">
        <v>0</v>
      </c>
      <c r="M2366" s="2" t="str">
        <f aca="false">IF(C2366="","",IFERROR(INDEX($S$5:$S$304,MATCH(C2366,$R$5:$R$304,0))&amp;"","?"))</f>
        <v>21</v>
      </c>
      <c r="N2366" s="2" t="n">
        <f aca="false">IF(E2366="","",IF(ISNUMBER(SEARCH("SUBSOLO",E2366)),IFERROR(-VALUE(LEFT(E2366,FIND("º",SUBSTITUTE(E2366,"°","º"))-1)),-1),IF(LEFT(E2366,6)="TÉRREO",0,IFERROR(VALUE(LEFT(E2366,FIND("º",SUBSTITUTE(E2366,"°","º"))-1)),""))))</f>
        <v>15</v>
      </c>
      <c r="O2366" s="2" t="str">
        <f aca="false">IF(OR(F2366="",G2366=""),"",IF(G2366&lt;='RETRATO 2027'!$K$5,"CONCLUÍDA",IF(F2366&lt;='RETRATO 2027'!$K$5,"EM ANDAMENTO","A INICIAR")))</f>
        <v>CONCLUÍDA</v>
      </c>
    </row>
    <row r="2367" customFormat="false" ht="15" hidden="false" customHeight="false" outlineLevel="0" collapsed="false">
      <c r="B2367" s="4" t="n">
        <v>26743191</v>
      </c>
      <c r="C2367" s="4" t="s">
        <v>2808</v>
      </c>
      <c r="D2367" s="4" t="s">
        <v>433</v>
      </c>
      <c r="E2367" s="4" t="s">
        <v>3771</v>
      </c>
      <c r="F2367" s="127" t="n">
        <v>46492</v>
      </c>
      <c r="G2367" s="127" t="n">
        <v>46504</v>
      </c>
      <c r="H2367" s="127" t="n">
        <v>46293</v>
      </c>
      <c r="I2367" s="4" t="n">
        <v>0</v>
      </c>
      <c r="J2367" s="4" t="n">
        <v>0</v>
      </c>
      <c r="K2367" s="4" t="n">
        <v>0</v>
      </c>
      <c r="M2367" s="2" t="str">
        <f aca="false">IF(C2367="","",IFERROR(INDEX($S$5:$S$304,MATCH(C2367,$R$5:$R$304,0))&amp;"","?"))</f>
        <v>29</v>
      </c>
      <c r="N2367" s="2" t="n">
        <f aca="false">IF(E2367="","",IF(ISNUMBER(SEARCH("SUBSOLO",E2367)),IFERROR(-VALUE(LEFT(E2367,FIND("º",SUBSTITUTE(E2367,"°","º"))-1)),-1),IF(LEFT(E2367,6)="TÉRREO",0,IFERROR(VALUE(LEFT(E2367,FIND("º",SUBSTITUTE(E2367,"°","º"))-1)),""))))</f>
        <v>16</v>
      </c>
      <c r="O2367" s="2" t="str">
        <f aca="false">IF(OR(F2367="",G2367=""),"",IF(G2367&lt;='RETRATO 2027'!$K$5,"CONCLUÍDA",IF(F2367&lt;='RETRATO 2027'!$K$5,"EM ANDAMENTO","A INICIAR")))</f>
        <v>CONCLUÍDA</v>
      </c>
    </row>
    <row r="2368" customFormat="false" ht="15" hidden="false" customHeight="false" outlineLevel="0" collapsed="false">
      <c r="B2368" s="4" t="n">
        <v>26743153</v>
      </c>
      <c r="C2368" s="4" t="s">
        <v>2910</v>
      </c>
      <c r="D2368" s="4" t="s">
        <v>433</v>
      </c>
      <c r="E2368" s="4" t="s">
        <v>3773</v>
      </c>
      <c r="F2368" s="127" t="n">
        <v>46492</v>
      </c>
      <c r="G2368" s="127" t="n">
        <v>46504</v>
      </c>
      <c r="H2368" s="127" t="n">
        <v>46293</v>
      </c>
      <c r="I2368" s="4" t="n">
        <v>0</v>
      </c>
      <c r="J2368" s="4" t="n">
        <v>0</v>
      </c>
      <c r="K2368" s="4" t="n">
        <v>0</v>
      </c>
      <c r="M2368" s="2" t="str">
        <f aca="false">IF(C2368="","",IFERROR(INDEX($S$5:$S$304,MATCH(C2368,$R$5:$R$304,0))&amp;"","?"))</f>
        <v>25</v>
      </c>
      <c r="N2368" s="2" t="n">
        <f aca="false">IF(E2368="","",IF(ISNUMBER(SEARCH("SUBSOLO",E2368)),IFERROR(-VALUE(LEFT(E2368,FIND("º",SUBSTITUTE(E2368,"°","º"))-1)),-1),IF(LEFT(E2368,6)="TÉRREO",0,IFERROR(VALUE(LEFT(E2368,FIND("º",SUBSTITUTE(E2368,"°","º"))-1)),""))))</f>
        <v>17</v>
      </c>
      <c r="O2368" s="2" t="str">
        <f aca="false">IF(OR(F2368="",G2368=""),"",IF(G2368&lt;='RETRATO 2027'!$K$5,"CONCLUÍDA",IF(F2368&lt;='RETRATO 2027'!$K$5,"EM ANDAMENTO","A INICIAR")))</f>
        <v>CONCLUÍDA</v>
      </c>
    </row>
    <row r="2369" customFormat="false" ht="15" hidden="false" customHeight="false" outlineLevel="0" collapsed="false">
      <c r="B2369" s="4" t="n">
        <v>26745043</v>
      </c>
      <c r="C2369" s="4" t="s">
        <v>2808</v>
      </c>
      <c r="D2369" s="4" t="s">
        <v>433</v>
      </c>
      <c r="E2369" s="4" t="s">
        <v>3659</v>
      </c>
      <c r="F2369" s="127" t="n">
        <v>46493</v>
      </c>
      <c r="G2369" s="127" t="n">
        <v>46505</v>
      </c>
      <c r="H2369" s="127" t="n">
        <v>46293</v>
      </c>
      <c r="I2369" s="4" t="n">
        <v>0</v>
      </c>
      <c r="J2369" s="4" t="n">
        <v>0</v>
      </c>
      <c r="K2369" s="4" t="n">
        <v>0</v>
      </c>
      <c r="M2369" s="2" t="str">
        <f aca="false">IF(C2369="","",IFERROR(INDEX($S$5:$S$304,MATCH(C2369,$R$5:$R$304,0))&amp;"","?"))</f>
        <v>29</v>
      </c>
      <c r="N2369" s="2" t="n">
        <f aca="false">IF(E2369="","",IF(ISNUMBER(SEARCH("SUBSOLO",E2369)),IFERROR(-VALUE(LEFT(E2369,FIND("º",SUBSTITUTE(E2369,"°","º"))-1)),-1),IF(LEFT(E2369,6)="TÉRREO",0,IFERROR(VALUE(LEFT(E2369,FIND("º",SUBSTITUTE(E2369,"°","º"))-1)),""))))</f>
        <v>1</v>
      </c>
      <c r="O2369" s="2" t="str">
        <f aca="false">IF(OR(F2369="",G2369=""),"",IF(G2369&lt;='RETRATO 2027'!$K$5,"CONCLUÍDA",IF(F2369&lt;='RETRATO 2027'!$K$5,"EM ANDAMENTO","A INICIAR")))</f>
        <v>CONCLUÍDA</v>
      </c>
    </row>
    <row r="2370" customFormat="false" ht="15" hidden="false" customHeight="false" outlineLevel="0" collapsed="false">
      <c r="B2370" s="4" t="n">
        <v>26745040</v>
      </c>
      <c r="C2370" s="4" t="s">
        <v>163</v>
      </c>
      <c r="D2370" s="4" t="s">
        <v>433</v>
      </c>
      <c r="E2370" s="4" t="s">
        <v>3801</v>
      </c>
      <c r="F2370" s="127" t="n">
        <v>46493</v>
      </c>
      <c r="G2370" s="127" t="n">
        <v>46525</v>
      </c>
      <c r="H2370" s="127" t="n">
        <v>46293</v>
      </c>
      <c r="I2370" s="4" t="n">
        <v>0</v>
      </c>
      <c r="J2370" s="4" t="n">
        <v>0</v>
      </c>
      <c r="K2370" s="4" t="n">
        <v>0</v>
      </c>
      <c r="M2370" s="2" t="str">
        <f aca="false">IF(C2370="","",IFERROR(INDEX($S$5:$S$304,MATCH(C2370,$R$5:$R$304,0))&amp;"","?"))</f>
        <v>18</v>
      </c>
      <c r="N2370" s="2" t="n">
        <f aca="false">IF(E2370="","",IF(ISNUMBER(SEARCH("SUBSOLO",E2370)),IFERROR(-VALUE(LEFT(E2370,FIND("º",SUBSTITUTE(E2370,"°","º"))-1)),-1),IF(LEFT(E2370,6)="TÉRREO",0,IFERROR(VALUE(LEFT(E2370,FIND("º",SUBSTITUTE(E2370,"°","º"))-1)),""))))</f>
        <v>1</v>
      </c>
      <c r="O2370" s="2" t="str">
        <f aca="false">IF(OR(F2370="",G2370=""),"",IF(G2370&lt;='RETRATO 2027'!$K$5,"CONCLUÍDA",IF(F2370&lt;='RETRATO 2027'!$K$5,"EM ANDAMENTO","A INICIAR")))</f>
        <v>CONCLUÍDA</v>
      </c>
    </row>
    <row r="2371" customFormat="false" ht="15" hidden="false" customHeight="false" outlineLevel="0" collapsed="false">
      <c r="B2371" s="4" t="n">
        <v>26743137</v>
      </c>
      <c r="C2371" s="4" t="s">
        <v>2896</v>
      </c>
      <c r="D2371" s="4" t="s">
        <v>433</v>
      </c>
      <c r="E2371" s="4" t="s">
        <v>3776</v>
      </c>
      <c r="F2371" s="127" t="n">
        <v>46493</v>
      </c>
      <c r="G2371" s="127" t="n">
        <v>46505</v>
      </c>
      <c r="H2371" s="127" t="n">
        <v>46293</v>
      </c>
      <c r="I2371" s="4" t="n">
        <v>0</v>
      </c>
      <c r="J2371" s="4" t="n">
        <v>0</v>
      </c>
      <c r="K2371" s="4" t="n">
        <v>0</v>
      </c>
      <c r="M2371" s="2" t="str">
        <f aca="false">IF(C2371="","",IFERROR(INDEX($S$5:$S$304,MATCH(C2371,$R$5:$R$304,0))&amp;"","?"))</f>
        <v>20</v>
      </c>
      <c r="N2371" s="2" t="n">
        <f aca="false">IF(E2371="","",IF(ISNUMBER(SEARCH("SUBSOLO",E2371)),IFERROR(-VALUE(LEFT(E2371,FIND("º",SUBSTITUTE(E2371,"°","º"))-1)),-1),IF(LEFT(E2371,6)="TÉRREO",0,IFERROR(VALUE(LEFT(E2371,FIND("º",SUBSTITUTE(E2371,"°","º"))-1)),""))))</f>
        <v>18</v>
      </c>
      <c r="O2371" s="2" t="str">
        <f aca="false">IF(OR(F2371="",G2371=""),"",IF(G2371&lt;='RETRATO 2027'!$K$5,"CONCLUÍDA",IF(F2371&lt;='RETRATO 2027'!$K$5,"EM ANDAMENTO","A INICIAR")))</f>
        <v>CONCLUÍDA</v>
      </c>
    </row>
    <row r="2372" customFormat="false" ht="15" hidden="false" customHeight="false" outlineLevel="0" collapsed="false">
      <c r="B2372" s="4" t="n">
        <v>29844472</v>
      </c>
      <c r="C2372" s="4" t="s">
        <v>2898</v>
      </c>
      <c r="D2372" s="4" t="s">
        <v>433</v>
      </c>
      <c r="E2372" s="4" t="s">
        <v>3776</v>
      </c>
      <c r="F2372" s="127" t="n">
        <v>46493</v>
      </c>
      <c r="G2372" s="127" t="n">
        <v>46504</v>
      </c>
      <c r="H2372" s="127" t="n">
        <v>46293</v>
      </c>
      <c r="I2372" s="4" t="n">
        <v>0</v>
      </c>
      <c r="J2372" s="4" t="n">
        <v>0</v>
      </c>
      <c r="K2372" s="4" t="n">
        <v>0</v>
      </c>
      <c r="M2372" s="2" t="str">
        <f aca="false">IF(C2372="","",IFERROR(INDEX($S$5:$S$304,MATCH(C2372,$R$5:$R$304,0))&amp;"","?"))</f>
        <v>29</v>
      </c>
      <c r="N2372" s="2" t="n">
        <f aca="false">IF(E2372="","",IF(ISNUMBER(SEARCH("SUBSOLO",E2372)),IFERROR(-VALUE(LEFT(E2372,FIND("º",SUBSTITUTE(E2372,"°","º"))-1)),-1),IF(LEFT(E2372,6)="TÉRREO",0,IFERROR(VALUE(LEFT(E2372,FIND("º",SUBSTITUTE(E2372,"°","º"))-1)),""))))</f>
        <v>18</v>
      </c>
      <c r="O2372" s="2" t="str">
        <f aca="false">IF(OR(F2372="",G2372=""),"",IF(G2372&lt;='RETRATO 2027'!$K$5,"CONCLUÍDA",IF(F2372&lt;='RETRATO 2027'!$K$5,"EM ANDAMENTO","A INICIAR")))</f>
        <v>CONCLUÍDA</v>
      </c>
    </row>
    <row r="2373" customFormat="false" ht="15" hidden="false" customHeight="false" outlineLevel="0" collapsed="false">
      <c r="B2373" s="4" t="n">
        <v>26743093</v>
      </c>
      <c r="C2373" s="4" t="s">
        <v>2886</v>
      </c>
      <c r="D2373" s="4" t="s">
        <v>433</v>
      </c>
      <c r="E2373" s="4" t="s">
        <v>3779</v>
      </c>
      <c r="F2373" s="127" t="n">
        <v>46493</v>
      </c>
      <c r="G2373" s="127" t="n">
        <v>46505</v>
      </c>
      <c r="H2373" s="127" t="n">
        <v>46293</v>
      </c>
      <c r="I2373" s="4" t="n">
        <v>0</v>
      </c>
      <c r="J2373" s="4" t="n">
        <v>0</v>
      </c>
      <c r="K2373" s="4" t="n">
        <v>0</v>
      </c>
      <c r="M2373" s="2" t="str">
        <f aca="false">IF(C2373="","",IFERROR(INDEX($S$5:$S$304,MATCH(C2373,$R$5:$R$304,0))&amp;"","?"))</f>
        <v>21</v>
      </c>
      <c r="N2373" s="2" t="n">
        <f aca="false">IF(E2373="","",IF(ISNUMBER(SEARCH("SUBSOLO",E2373)),IFERROR(-VALUE(LEFT(E2373,FIND("º",SUBSTITUTE(E2373,"°","º"))-1)),-1),IF(LEFT(E2373,6)="TÉRREO",0,IFERROR(VALUE(LEFT(E2373,FIND("º",SUBSTITUTE(E2373,"°","º"))-1)),""))))</f>
        <v>19</v>
      </c>
      <c r="O2373" s="2" t="str">
        <f aca="false">IF(OR(F2373="",G2373=""),"",IF(G2373&lt;='RETRATO 2027'!$K$5,"CONCLUÍDA",IF(F2373&lt;='RETRATO 2027'!$K$5,"EM ANDAMENTO","A INICIAR")))</f>
        <v>CONCLUÍDA</v>
      </c>
    </row>
    <row r="2374" customFormat="false" ht="15" hidden="false" customHeight="false" outlineLevel="0" collapsed="false">
      <c r="B2374" s="4" t="n">
        <v>29844648</v>
      </c>
      <c r="C2374" s="4" t="s">
        <v>2888</v>
      </c>
      <c r="D2374" s="4" t="s">
        <v>433</v>
      </c>
      <c r="E2374" s="4" t="s">
        <v>3779</v>
      </c>
      <c r="F2374" s="127" t="n">
        <v>46493</v>
      </c>
      <c r="G2374" s="127" t="n">
        <v>46505</v>
      </c>
      <c r="H2374" s="127" t="n">
        <v>46293</v>
      </c>
      <c r="I2374" s="4" t="n">
        <v>0</v>
      </c>
      <c r="J2374" s="4" t="n">
        <v>0</v>
      </c>
      <c r="K2374" s="4" t="n">
        <v>0</v>
      </c>
      <c r="M2374" s="2" t="str">
        <f aca="false">IF(C2374="","",IFERROR(INDEX($S$5:$S$304,MATCH(C2374,$R$5:$R$304,0))&amp;"","?"))</f>
        <v>20</v>
      </c>
      <c r="N2374" s="2" t="n">
        <f aca="false">IF(E2374="","",IF(ISNUMBER(SEARCH("SUBSOLO",E2374)),IFERROR(-VALUE(LEFT(E2374,FIND("º",SUBSTITUTE(E2374,"°","º"))-1)),-1),IF(LEFT(E2374,6)="TÉRREO",0,IFERROR(VALUE(LEFT(E2374,FIND("º",SUBSTITUTE(E2374,"°","º"))-1)),""))))</f>
        <v>19</v>
      </c>
      <c r="O2374" s="2" t="str">
        <f aca="false">IF(OR(F2374="",G2374=""),"",IF(G2374&lt;='RETRATO 2027'!$K$5,"CONCLUÍDA",IF(F2374&lt;='RETRATO 2027'!$K$5,"EM ANDAMENTO","A INICIAR")))</f>
        <v>CONCLUÍDA</v>
      </c>
    </row>
    <row r="2375" customFormat="false" ht="15" hidden="false" customHeight="false" outlineLevel="0" collapsed="false">
      <c r="B2375" s="4" t="n">
        <v>24938800</v>
      </c>
      <c r="C2375" s="4" t="s">
        <v>2705</v>
      </c>
      <c r="D2375" s="4" t="s">
        <v>433</v>
      </c>
      <c r="E2375" s="4" t="s">
        <v>3802</v>
      </c>
      <c r="F2375" s="127" t="n">
        <v>46496</v>
      </c>
      <c r="G2375" s="127" t="n">
        <v>46505</v>
      </c>
      <c r="H2375" s="127" t="n">
        <v>46293</v>
      </c>
      <c r="I2375" s="4" t="n">
        <v>0</v>
      </c>
      <c r="J2375" s="4" t="n">
        <v>0</v>
      </c>
      <c r="K2375" s="4" t="n">
        <v>0</v>
      </c>
      <c r="M2375" s="2" t="str">
        <f aca="false">IF(C2375="","",IFERROR(INDEX($S$5:$S$304,MATCH(C2375,$R$5:$R$304,0))&amp;"","?"))</f>
        <v>17</v>
      </c>
      <c r="N2375" s="2" t="n">
        <f aca="false">IF(E2375="","",IF(ISNUMBER(SEARCH("SUBSOLO",E2375)),IFERROR(-VALUE(LEFT(E2375,FIND("º",SUBSTITUTE(E2375,"°","º"))-1)),-1),IF(LEFT(E2375,6)="TÉRREO",0,IFERROR(VALUE(LEFT(E2375,FIND("º",SUBSTITUTE(E2375,"°","º"))-1)),""))))</f>
        <v>28</v>
      </c>
      <c r="O2375" s="2" t="str">
        <f aca="false">IF(OR(F2375="",G2375=""),"",IF(G2375&lt;='RETRATO 2027'!$K$5,"CONCLUÍDA",IF(F2375&lt;='RETRATO 2027'!$K$5,"EM ANDAMENTO","A INICIAR")))</f>
        <v>CONCLUÍDA</v>
      </c>
    </row>
    <row r="2376" customFormat="false" ht="15" hidden="false" customHeight="false" outlineLevel="0" collapsed="false">
      <c r="B2376" s="4" t="n">
        <v>9359969</v>
      </c>
      <c r="C2376" s="4" t="s">
        <v>2705</v>
      </c>
      <c r="D2376" s="4" t="s">
        <v>3244</v>
      </c>
      <c r="E2376" s="4" t="s">
        <v>3802</v>
      </c>
      <c r="F2376" s="127" t="n">
        <v>46496</v>
      </c>
      <c r="G2376" s="127" t="n">
        <v>46499</v>
      </c>
      <c r="H2376" s="127" t="n">
        <v>46293</v>
      </c>
      <c r="I2376" s="4" t="n">
        <v>0</v>
      </c>
      <c r="J2376" s="4" t="n">
        <v>0</v>
      </c>
      <c r="K2376" s="4" t="n">
        <v>0</v>
      </c>
      <c r="M2376" s="2" t="str">
        <f aca="false">IF(C2376="","",IFERROR(INDEX($S$5:$S$304,MATCH(C2376,$R$5:$R$304,0))&amp;"","?"))</f>
        <v>17</v>
      </c>
      <c r="N2376" s="2" t="n">
        <f aca="false">IF(E2376="","",IF(ISNUMBER(SEARCH("SUBSOLO",E2376)),IFERROR(-VALUE(LEFT(E2376,FIND("º",SUBSTITUTE(E2376,"°","º"))-1)),-1),IF(LEFT(E2376,6)="TÉRREO",0,IFERROR(VALUE(LEFT(E2376,FIND("º",SUBSTITUTE(E2376,"°","º"))-1)),""))))</f>
        <v>28</v>
      </c>
      <c r="O2376" s="2" t="str">
        <f aca="false">IF(OR(F2376="",G2376=""),"",IF(G2376&lt;='RETRATO 2027'!$K$5,"CONCLUÍDA",IF(F2376&lt;='RETRATO 2027'!$K$5,"EM ANDAMENTO","A INICIAR")))</f>
        <v>CONCLUÍDA</v>
      </c>
    </row>
    <row r="2377" customFormat="false" ht="15" hidden="false" customHeight="false" outlineLevel="0" collapsed="false">
      <c r="B2377" s="4" t="n">
        <v>9359970</v>
      </c>
      <c r="C2377" s="4" t="s">
        <v>2705</v>
      </c>
      <c r="D2377" s="4" t="s">
        <v>3245</v>
      </c>
      <c r="E2377" s="4" t="s">
        <v>3802</v>
      </c>
      <c r="F2377" s="127" t="n">
        <v>46496</v>
      </c>
      <c r="G2377" s="127" t="n">
        <v>46499</v>
      </c>
      <c r="H2377" s="127" t="n">
        <v>46293</v>
      </c>
      <c r="I2377" s="4" t="n">
        <v>0</v>
      </c>
      <c r="J2377" s="4" t="n">
        <v>0</v>
      </c>
      <c r="K2377" s="4" t="n">
        <v>0</v>
      </c>
      <c r="M2377" s="2" t="str">
        <f aca="false">IF(C2377="","",IFERROR(INDEX($S$5:$S$304,MATCH(C2377,$R$5:$R$304,0))&amp;"","?"))</f>
        <v>17</v>
      </c>
      <c r="N2377" s="2" t="n">
        <f aca="false">IF(E2377="","",IF(ISNUMBER(SEARCH("SUBSOLO",E2377)),IFERROR(-VALUE(LEFT(E2377,FIND("º",SUBSTITUTE(E2377,"°","º"))-1)),-1),IF(LEFT(E2377,6)="TÉRREO",0,IFERROR(VALUE(LEFT(E2377,FIND("º",SUBSTITUTE(E2377,"°","º"))-1)),""))))</f>
        <v>28</v>
      </c>
      <c r="O2377" s="2" t="str">
        <f aca="false">IF(OR(F2377="",G2377=""),"",IF(G2377&lt;='RETRATO 2027'!$K$5,"CONCLUÍDA",IF(F2377&lt;='RETRATO 2027'!$K$5,"EM ANDAMENTO","A INICIAR")))</f>
        <v>CONCLUÍDA</v>
      </c>
    </row>
    <row r="2378" customFormat="false" ht="15" hidden="false" customHeight="false" outlineLevel="0" collapsed="false">
      <c r="B2378" s="4" t="n">
        <v>9359971</v>
      </c>
      <c r="C2378" s="4" t="s">
        <v>2705</v>
      </c>
      <c r="D2378" s="4" t="s">
        <v>3246</v>
      </c>
      <c r="E2378" s="4" t="s">
        <v>3802</v>
      </c>
      <c r="F2378" s="127" t="n">
        <v>46497</v>
      </c>
      <c r="G2378" s="127" t="n">
        <v>46500</v>
      </c>
      <c r="H2378" s="127" t="n">
        <v>46293</v>
      </c>
      <c r="I2378" s="4" t="n">
        <v>0</v>
      </c>
      <c r="J2378" s="4" t="n">
        <v>0</v>
      </c>
      <c r="K2378" s="4" t="n">
        <v>0</v>
      </c>
      <c r="M2378" s="2" t="str">
        <f aca="false">IF(C2378="","",IFERROR(INDEX($S$5:$S$304,MATCH(C2378,$R$5:$R$304,0))&amp;"","?"))</f>
        <v>17</v>
      </c>
      <c r="N2378" s="2" t="n">
        <f aca="false">IF(E2378="","",IF(ISNUMBER(SEARCH("SUBSOLO",E2378)),IFERROR(-VALUE(LEFT(E2378,FIND("º",SUBSTITUTE(E2378,"°","º"))-1)),-1),IF(LEFT(E2378,6)="TÉRREO",0,IFERROR(VALUE(LEFT(E2378,FIND("º",SUBSTITUTE(E2378,"°","º"))-1)),""))))</f>
        <v>28</v>
      </c>
      <c r="O2378" s="2" t="str">
        <f aca="false">IF(OR(F2378="",G2378=""),"",IF(G2378&lt;='RETRATO 2027'!$K$5,"CONCLUÍDA",IF(F2378&lt;='RETRATO 2027'!$K$5,"EM ANDAMENTO","A INICIAR")))</f>
        <v>CONCLUÍDA</v>
      </c>
    </row>
    <row r="2379" customFormat="false" ht="15" hidden="false" customHeight="false" outlineLevel="0" collapsed="false">
      <c r="B2379" s="4" t="n">
        <v>9359972</v>
      </c>
      <c r="C2379" s="4" t="s">
        <v>2705</v>
      </c>
      <c r="D2379" s="4" t="s">
        <v>3247</v>
      </c>
      <c r="E2379" s="4" t="s">
        <v>3802</v>
      </c>
      <c r="F2379" s="127" t="n">
        <v>46503</v>
      </c>
      <c r="G2379" s="127" t="n">
        <v>46503</v>
      </c>
      <c r="H2379" s="127" t="n">
        <v>46293</v>
      </c>
      <c r="I2379" s="4" t="n">
        <v>0</v>
      </c>
      <c r="J2379" s="4" t="n">
        <v>0</v>
      </c>
      <c r="K2379" s="4" t="n">
        <v>0</v>
      </c>
      <c r="M2379" s="2" t="str">
        <f aca="false">IF(C2379="","",IFERROR(INDEX($S$5:$S$304,MATCH(C2379,$R$5:$R$304,0))&amp;"","?"))</f>
        <v>17</v>
      </c>
      <c r="N2379" s="2" t="n">
        <f aca="false">IF(E2379="","",IF(ISNUMBER(SEARCH("SUBSOLO",E2379)),IFERROR(-VALUE(LEFT(E2379,FIND("º",SUBSTITUTE(E2379,"°","º"))-1)),-1),IF(LEFT(E2379,6)="TÉRREO",0,IFERROR(VALUE(LEFT(E2379,FIND("º",SUBSTITUTE(E2379,"°","º"))-1)),""))))</f>
        <v>28</v>
      </c>
      <c r="O2379" s="2" t="str">
        <f aca="false">IF(OR(F2379="",G2379=""),"",IF(G2379&lt;='RETRATO 2027'!$K$5,"CONCLUÍDA",IF(F2379&lt;='RETRATO 2027'!$K$5,"EM ANDAMENTO","A INICIAR")))</f>
        <v>CONCLUÍDA</v>
      </c>
    </row>
    <row r="2380" customFormat="false" ht="15" hidden="false" customHeight="false" outlineLevel="0" collapsed="false">
      <c r="B2380" s="4" t="n">
        <v>9359973</v>
      </c>
      <c r="C2380" s="4" t="s">
        <v>2705</v>
      </c>
      <c r="D2380" s="4" t="s">
        <v>3248</v>
      </c>
      <c r="E2380" s="4" t="s">
        <v>3802</v>
      </c>
      <c r="F2380" s="127" t="n">
        <v>46500</v>
      </c>
      <c r="G2380" s="127" t="n">
        <v>46504</v>
      </c>
      <c r="H2380" s="127" t="n">
        <v>46293</v>
      </c>
      <c r="I2380" s="4" t="n">
        <v>0</v>
      </c>
      <c r="J2380" s="4" t="n">
        <v>0</v>
      </c>
      <c r="K2380" s="4" t="n">
        <v>0</v>
      </c>
      <c r="M2380" s="2" t="str">
        <f aca="false">IF(C2380="","",IFERROR(INDEX($S$5:$S$304,MATCH(C2380,$R$5:$R$304,0))&amp;"","?"))</f>
        <v>17</v>
      </c>
      <c r="N2380" s="2" t="n">
        <f aca="false">IF(E2380="","",IF(ISNUMBER(SEARCH("SUBSOLO",E2380)),IFERROR(-VALUE(LEFT(E2380,FIND("º",SUBSTITUTE(E2380,"°","º"))-1)),-1),IF(LEFT(E2380,6)="TÉRREO",0,IFERROR(VALUE(LEFT(E2380,FIND("º",SUBSTITUTE(E2380,"°","º"))-1)),""))))</f>
        <v>28</v>
      </c>
      <c r="O2380" s="2" t="str">
        <f aca="false">IF(OR(F2380="",G2380=""),"",IF(G2380&lt;='RETRATO 2027'!$K$5,"CONCLUÍDA",IF(F2380&lt;='RETRATO 2027'!$K$5,"EM ANDAMENTO","A INICIAR")))</f>
        <v>CONCLUÍDA</v>
      </c>
    </row>
    <row r="2381" customFormat="false" ht="15" hidden="false" customHeight="false" outlineLevel="0" collapsed="false">
      <c r="B2381" s="4" t="n">
        <v>9359974</v>
      </c>
      <c r="C2381" s="4" t="s">
        <v>2705</v>
      </c>
      <c r="D2381" s="4" t="s">
        <v>3249</v>
      </c>
      <c r="E2381" s="4" t="s">
        <v>3802</v>
      </c>
      <c r="F2381" s="127" t="n">
        <v>46503</v>
      </c>
      <c r="G2381" s="127" t="n">
        <v>46505</v>
      </c>
      <c r="H2381" s="127" t="n">
        <v>46293</v>
      </c>
      <c r="I2381" s="4" t="n">
        <v>0</v>
      </c>
      <c r="J2381" s="4" t="n">
        <v>0</v>
      </c>
      <c r="K2381" s="4" t="n">
        <v>0</v>
      </c>
      <c r="M2381" s="2" t="str">
        <f aca="false">IF(C2381="","",IFERROR(INDEX($S$5:$S$304,MATCH(C2381,$R$5:$R$304,0))&amp;"","?"))</f>
        <v>17</v>
      </c>
      <c r="N2381" s="2" t="n">
        <f aca="false">IF(E2381="","",IF(ISNUMBER(SEARCH("SUBSOLO",E2381)),IFERROR(-VALUE(LEFT(E2381,FIND("º",SUBSTITUTE(E2381,"°","º"))-1)),-1),IF(LEFT(E2381,6)="TÉRREO",0,IFERROR(VALUE(LEFT(E2381,FIND("º",SUBSTITUTE(E2381,"°","º"))-1)),""))))</f>
        <v>28</v>
      </c>
      <c r="O2381" s="2" t="str">
        <f aca="false">IF(OR(F2381="",G2381=""),"",IF(G2381&lt;='RETRATO 2027'!$K$5,"CONCLUÍDA",IF(F2381&lt;='RETRATO 2027'!$K$5,"EM ANDAMENTO","A INICIAR")))</f>
        <v>CONCLUÍDA</v>
      </c>
    </row>
    <row r="2382" customFormat="false" ht="15" hidden="false" customHeight="false" outlineLevel="0" collapsed="false">
      <c r="B2382" s="4" t="n">
        <v>9359975</v>
      </c>
      <c r="C2382" s="4" t="s">
        <v>2705</v>
      </c>
      <c r="D2382" s="4" t="s">
        <v>3250</v>
      </c>
      <c r="E2382" s="4" t="s">
        <v>3802</v>
      </c>
      <c r="F2382" s="127" t="n">
        <v>46504</v>
      </c>
      <c r="G2382" s="127" t="n">
        <v>46504</v>
      </c>
      <c r="H2382" s="127" t="n">
        <v>46293</v>
      </c>
      <c r="I2382" s="4" t="n">
        <v>0</v>
      </c>
      <c r="J2382" s="4" t="n">
        <v>0</v>
      </c>
      <c r="K2382" s="4" t="n">
        <v>0</v>
      </c>
      <c r="M2382" s="2" t="str">
        <f aca="false">IF(C2382="","",IFERROR(INDEX($S$5:$S$304,MATCH(C2382,$R$5:$R$304,0))&amp;"","?"))</f>
        <v>17</v>
      </c>
      <c r="N2382" s="2" t="n">
        <f aca="false">IF(E2382="","",IF(ISNUMBER(SEARCH("SUBSOLO",E2382)),IFERROR(-VALUE(LEFT(E2382,FIND("º",SUBSTITUTE(E2382,"°","º"))-1)),-1),IF(LEFT(E2382,6)="TÉRREO",0,IFERROR(VALUE(LEFT(E2382,FIND("º",SUBSTITUTE(E2382,"°","º"))-1)),""))))</f>
        <v>28</v>
      </c>
      <c r="O2382" s="2" t="str">
        <f aca="false">IF(OR(F2382="",G2382=""),"",IF(G2382&lt;='RETRATO 2027'!$K$5,"CONCLUÍDA",IF(F2382&lt;='RETRATO 2027'!$K$5,"EM ANDAMENTO","A INICIAR")))</f>
        <v>CONCLUÍDA</v>
      </c>
    </row>
    <row r="2383" customFormat="false" ht="15" hidden="false" customHeight="false" outlineLevel="0" collapsed="false">
      <c r="B2383" s="4" t="n">
        <v>9359976</v>
      </c>
      <c r="C2383" s="4" t="s">
        <v>2705</v>
      </c>
      <c r="D2383" s="4" t="s">
        <v>3251</v>
      </c>
      <c r="E2383" s="4" t="s">
        <v>3802</v>
      </c>
      <c r="F2383" s="127" t="n">
        <v>46504</v>
      </c>
      <c r="G2383" s="127" t="n">
        <v>46504</v>
      </c>
      <c r="H2383" s="127" t="n">
        <v>46293</v>
      </c>
      <c r="I2383" s="4" t="n">
        <v>0</v>
      </c>
      <c r="J2383" s="4" t="n">
        <v>0</v>
      </c>
      <c r="K2383" s="4" t="n">
        <v>0</v>
      </c>
      <c r="M2383" s="2" t="str">
        <f aca="false">IF(C2383="","",IFERROR(INDEX($S$5:$S$304,MATCH(C2383,$R$5:$R$304,0))&amp;"","?"))</f>
        <v>17</v>
      </c>
      <c r="N2383" s="2" t="n">
        <f aca="false">IF(E2383="","",IF(ISNUMBER(SEARCH("SUBSOLO",E2383)),IFERROR(-VALUE(LEFT(E2383,FIND("º",SUBSTITUTE(E2383,"°","º"))-1)),-1),IF(LEFT(E2383,6)="TÉRREO",0,IFERROR(VALUE(LEFT(E2383,FIND("º",SUBSTITUTE(E2383,"°","º"))-1)),""))))</f>
        <v>28</v>
      </c>
      <c r="O2383" s="2" t="str">
        <f aca="false">IF(OR(F2383="",G2383=""),"",IF(G2383&lt;='RETRATO 2027'!$K$5,"CONCLUÍDA",IF(F2383&lt;='RETRATO 2027'!$K$5,"EM ANDAMENTO","A INICIAR")))</f>
        <v>CONCLUÍDA</v>
      </c>
    </row>
    <row r="2384" customFormat="false" ht="15" hidden="false" customHeight="false" outlineLevel="0" collapsed="false">
      <c r="B2384" s="4" t="n">
        <v>9359977</v>
      </c>
      <c r="C2384" s="4" t="s">
        <v>2705</v>
      </c>
      <c r="D2384" s="4" t="s">
        <v>3252</v>
      </c>
      <c r="E2384" s="4" t="s">
        <v>3802</v>
      </c>
      <c r="F2384" s="127" t="n">
        <v>46505</v>
      </c>
      <c r="G2384" s="127" t="n">
        <v>46505</v>
      </c>
      <c r="H2384" s="127" t="n">
        <v>46293</v>
      </c>
      <c r="I2384" s="4" t="n">
        <v>0</v>
      </c>
      <c r="J2384" s="4" t="n">
        <v>0</v>
      </c>
      <c r="K2384" s="4" t="n">
        <v>0</v>
      </c>
      <c r="M2384" s="2" t="str">
        <f aca="false">IF(C2384="","",IFERROR(INDEX($S$5:$S$304,MATCH(C2384,$R$5:$R$304,0))&amp;"","?"))</f>
        <v>17</v>
      </c>
      <c r="N2384" s="2" t="n">
        <f aca="false">IF(E2384="","",IF(ISNUMBER(SEARCH("SUBSOLO",E2384)),IFERROR(-VALUE(LEFT(E2384,FIND("º",SUBSTITUTE(E2384,"°","º"))-1)),-1),IF(LEFT(E2384,6)="TÉRREO",0,IFERROR(VALUE(LEFT(E2384,FIND("º",SUBSTITUTE(E2384,"°","º"))-1)),""))))</f>
        <v>28</v>
      </c>
      <c r="O2384" s="2" t="str">
        <f aca="false">IF(OR(F2384="",G2384=""),"",IF(G2384&lt;='RETRATO 2027'!$K$5,"CONCLUÍDA",IF(F2384&lt;='RETRATO 2027'!$K$5,"EM ANDAMENTO","A INICIAR")))</f>
        <v>CONCLUÍDA</v>
      </c>
    </row>
    <row r="2385" customFormat="false" ht="15" hidden="false" customHeight="false" outlineLevel="0" collapsed="false">
      <c r="B2385" s="4" t="n">
        <v>26743643</v>
      </c>
      <c r="C2385" s="4" t="s">
        <v>2980</v>
      </c>
      <c r="D2385" s="4" t="s">
        <v>433</v>
      </c>
      <c r="E2385" s="4" t="s">
        <v>3668</v>
      </c>
      <c r="F2385" s="127" t="n">
        <v>46497</v>
      </c>
      <c r="G2385" s="127" t="n">
        <v>46507</v>
      </c>
      <c r="H2385" s="127" t="n">
        <v>46293</v>
      </c>
      <c r="I2385" s="4" t="n">
        <v>0</v>
      </c>
      <c r="J2385" s="4" t="n">
        <v>0</v>
      </c>
      <c r="K2385" s="4" t="n">
        <v>0</v>
      </c>
      <c r="M2385" s="2" t="str">
        <f aca="false">IF(C2385="","",IFERROR(INDEX($S$5:$S$304,MATCH(C2385,$R$5:$R$304,0))&amp;"","?"))</f>
        <v>35</v>
      </c>
      <c r="N2385" s="2" t="n">
        <f aca="false">IF(E2385="","",IF(ISNUMBER(SEARCH("SUBSOLO",E2385)),IFERROR(-VALUE(LEFT(E2385,FIND("º",SUBSTITUTE(E2385,"°","º"))-1)),-1),IF(LEFT(E2385,6)="TÉRREO",0,IFERROR(VALUE(LEFT(E2385,FIND("º",SUBSTITUTE(E2385,"°","º"))-1)),""))))</f>
        <v>4</v>
      </c>
      <c r="O2385" s="2" t="str">
        <f aca="false">IF(OR(F2385="",G2385=""),"",IF(G2385&lt;='RETRATO 2027'!$K$5,"CONCLUÍDA",IF(F2385&lt;='RETRATO 2027'!$K$5,"EM ANDAMENTO","A INICIAR")))</f>
        <v>CONCLUÍDA</v>
      </c>
    </row>
    <row r="2386" customFormat="false" ht="15" hidden="false" customHeight="false" outlineLevel="0" collapsed="false">
      <c r="B2386" s="4" t="n">
        <v>26743613</v>
      </c>
      <c r="C2386" s="4" t="s">
        <v>208</v>
      </c>
      <c r="D2386" s="4" t="s">
        <v>433</v>
      </c>
      <c r="E2386" s="4" t="s">
        <v>3678</v>
      </c>
      <c r="F2386" s="127" t="n">
        <v>46497</v>
      </c>
      <c r="G2386" s="127" t="n">
        <v>46507</v>
      </c>
      <c r="H2386" s="127" t="n">
        <v>46293</v>
      </c>
      <c r="I2386" s="4" t="n">
        <v>0</v>
      </c>
      <c r="J2386" s="4" t="n">
        <v>0</v>
      </c>
      <c r="K2386" s="4" t="n">
        <v>0</v>
      </c>
      <c r="M2386" s="2" t="str">
        <f aca="false">IF(C2386="","",IFERROR(INDEX($S$5:$S$304,MATCH(C2386,$R$5:$R$304,0))&amp;"","?"))</f>
        <v>33</v>
      </c>
      <c r="N2386" s="2" t="n">
        <f aca="false">IF(E2386="","",IF(ISNUMBER(SEARCH("SUBSOLO",E2386)),IFERROR(-VALUE(LEFT(E2386,FIND("º",SUBSTITUTE(E2386,"°","º"))-1)),-1),IF(LEFT(E2386,6)="TÉRREO",0,IFERROR(VALUE(LEFT(E2386,FIND("º",SUBSTITUTE(E2386,"°","º"))-1)),""))))</f>
        <v>5</v>
      </c>
      <c r="O2386" s="2" t="str">
        <f aca="false">IF(OR(F2386="",G2386=""),"",IF(G2386&lt;='RETRATO 2027'!$K$5,"CONCLUÍDA",IF(F2386&lt;='RETRATO 2027'!$K$5,"EM ANDAMENTO","A INICIAR")))</f>
        <v>CONCLUÍDA</v>
      </c>
    </row>
    <row r="2387" customFormat="false" ht="15" hidden="false" customHeight="false" outlineLevel="0" collapsed="false">
      <c r="B2387" s="4" t="n">
        <v>29844387</v>
      </c>
      <c r="C2387" s="4" t="s">
        <v>2890</v>
      </c>
      <c r="D2387" s="4" t="s">
        <v>433</v>
      </c>
      <c r="E2387" s="4" t="s">
        <v>3779</v>
      </c>
      <c r="F2387" s="127" t="n">
        <v>46497</v>
      </c>
      <c r="G2387" s="127" t="n">
        <v>46507</v>
      </c>
      <c r="H2387" s="127" t="n">
        <v>46293</v>
      </c>
      <c r="I2387" s="4" t="n">
        <v>0</v>
      </c>
      <c r="J2387" s="4" t="n">
        <v>0</v>
      </c>
      <c r="K2387" s="4" t="n">
        <v>0</v>
      </c>
      <c r="M2387" s="2" t="str">
        <f aca="false">IF(C2387="","",IFERROR(INDEX($S$5:$S$304,MATCH(C2387,$R$5:$R$304,0))&amp;"","?"))</f>
        <v>18</v>
      </c>
      <c r="N2387" s="2" t="n">
        <f aca="false">IF(E2387="","",IF(ISNUMBER(SEARCH("SUBSOLO",E2387)),IFERROR(-VALUE(LEFT(E2387,FIND("º",SUBSTITUTE(E2387,"°","º"))-1)),-1),IF(LEFT(E2387,6)="TÉRREO",0,IFERROR(VALUE(LEFT(E2387,FIND("º",SUBSTITUTE(E2387,"°","º"))-1)),""))))</f>
        <v>19</v>
      </c>
      <c r="O2387" s="2" t="str">
        <f aca="false">IF(OR(F2387="",G2387=""),"",IF(G2387&lt;='RETRATO 2027'!$K$5,"CONCLUÍDA",IF(F2387&lt;='RETRATO 2027'!$K$5,"EM ANDAMENTO","A INICIAR")))</f>
        <v>CONCLUÍDA</v>
      </c>
    </row>
    <row r="2388" customFormat="false" ht="15" hidden="false" customHeight="false" outlineLevel="0" collapsed="false">
      <c r="B2388" s="4" t="n">
        <v>26744758</v>
      </c>
      <c r="C2388" s="4" t="s">
        <v>2886</v>
      </c>
      <c r="D2388" s="4" t="s">
        <v>433</v>
      </c>
      <c r="E2388" s="4" t="s">
        <v>3784</v>
      </c>
      <c r="F2388" s="127" t="n">
        <v>46499</v>
      </c>
      <c r="G2388" s="127" t="n">
        <v>46512</v>
      </c>
      <c r="H2388" s="127" t="n">
        <v>46293</v>
      </c>
      <c r="I2388" s="4" t="n">
        <v>0</v>
      </c>
      <c r="J2388" s="4" t="n">
        <v>0</v>
      </c>
      <c r="K2388" s="4" t="n">
        <v>0</v>
      </c>
      <c r="M2388" s="2" t="str">
        <f aca="false">IF(C2388="","",IFERROR(INDEX($S$5:$S$304,MATCH(C2388,$R$5:$R$304,0))&amp;"","?"))</f>
        <v>21</v>
      </c>
      <c r="N2388" s="2" t="n">
        <f aca="false">IF(E2388="","",IF(ISNUMBER(SEARCH("SUBSOLO",E2388)),IFERROR(-VALUE(LEFT(E2388,FIND("º",SUBSTITUTE(E2388,"°","º"))-1)),-1),IF(LEFT(E2388,6)="TÉRREO",0,IFERROR(VALUE(LEFT(E2388,FIND("º",SUBSTITUTE(E2388,"°","º"))-1)),""))))</f>
        <v>3</v>
      </c>
      <c r="O2388" s="2" t="str">
        <f aca="false">IF(OR(F2388="",G2388=""),"",IF(G2388&lt;='RETRATO 2027'!$K$5,"CONCLUÍDA",IF(F2388&lt;='RETRATO 2027'!$K$5,"EM ANDAMENTO","A INICIAR")))</f>
        <v>CONCLUÍDA</v>
      </c>
    </row>
    <row r="2389" customFormat="false" ht="15" hidden="false" customHeight="false" outlineLevel="0" collapsed="false">
      <c r="B2389" s="4" t="n">
        <v>29845953</v>
      </c>
      <c r="C2389" s="4" t="s">
        <v>2983</v>
      </c>
      <c r="D2389" s="4" t="s">
        <v>433</v>
      </c>
      <c r="E2389" s="4" t="s">
        <v>3685</v>
      </c>
      <c r="F2389" s="127" t="n">
        <v>46499</v>
      </c>
      <c r="G2389" s="127" t="n">
        <v>46507</v>
      </c>
      <c r="H2389" s="127" t="n">
        <v>46293</v>
      </c>
      <c r="I2389" s="4" t="n">
        <v>0</v>
      </c>
      <c r="J2389" s="4" t="n">
        <v>0</v>
      </c>
      <c r="K2389" s="4" t="n">
        <v>0</v>
      </c>
      <c r="M2389" s="2" t="str">
        <f aca="false">IF(C2389="","",IFERROR(INDEX($S$5:$S$304,MATCH(C2389,$R$5:$R$304,0))&amp;"","?"))</f>
        <v>20</v>
      </c>
      <c r="N2389" s="2" t="n">
        <f aca="false">IF(E2389="","",IF(ISNUMBER(SEARCH("SUBSOLO",E2389)),IFERROR(-VALUE(LEFT(E2389,FIND("º",SUBSTITUTE(E2389,"°","º"))-1)),-1),IF(LEFT(E2389,6)="TÉRREO",0,IFERROR(VALUE(LEFT(E2389,FIND("º",SUBSTITUTE(E2389,"°","º"))-1)),""))))</f>
        <v>6</v>
      </c>
      <c r="O2389" s="2" t="str">
        <f aca="false">IF(OR(F2389="",G2389=""),"",IF(G2389&lt;='RETRATO 2027'!$K$5,"CONCLUÍDA",IF(F2389&lt;='RETRATO 2027'!$K$5,"EM ANDAMENTO","A INICIAR")))</f>
        <v>CONCLUÍDA</v>
      </c>
    </row>
    <row r="2390" customFormat="false" ht="15" hidden="false" customHeight="false" outlineLevel="0" collapsed="false">
      <c r="B2390" s="4" t="n">
        <v>29845892</v>
      </c>
      <c r="C2390" s="4" t="s">
        <v>2986</v>
      </c>
      <c r="D2390" s="4" t="s">
        <v>433</v>
      </c>
      <c r="E2390" s="4" t="s">
        <v>3685</v>
      </c>
      <c r="F2390" s="127" t="n">
        <v>46499</v>
      </c>
      <c r="G2390" s="127" t="n">
        <v>46510</v>
      </c>
      <c r="H2390" s="127" t="n">
        <v>46293</v>
      </c>
      <c r="I2390" s="4" t="n">
        <v>0</v>
      </c>
      <c r="J2390" s="4" t="n">
        <v>0</v>
      </c>
      <c r="K2390" s="4" t="n">
        <v>0</v>
      </c>
      <c r="M2390" s="2" t="str">
        <f aca="false">IF(C2390="","",IFERROR(INDEX($S$5:$S$304,MATCH(C2390,$R$5:$R$304,0))&amp;"","?"))</f>
        <v>20</v>
      </c>
      <c r="N2390" s="2" t="n">
        <f aca="false">IF(E2390="","",IF(ISNUMBER(SEARCH("SUBSOLO",E2390)),IFERROR(-VALUE(LEFT(E2390,FIND("º",SUBSTITUTE(E2390,"°","º"))-1)),-1),IF(LEFT(E2390,6)="TÉRREO",0,IFERROR(VALUE(LEFT(E2390,FIND("º",SUBSTITUTE(E2390,"°","º"))-1)),""))))</f>
        <v>6</v>
      </c>
      <c r="O2390" s="2" t="str">
        <f aca="false">IF(OR(F2390="",G2390=""),"",IF(G2390&lt;='RETRATO 2027'!$K$5,"CONCLUÍDA",IF(F2390&lt;='RETRATO 2027'!$K$5,"EM ANDAMENTO","A INICIAR")))</f>
        <v>CONCLUÍDA</v>
      </c>
    </row>
    <row r="2391" customFormat="false" ht="15" hidden="false" customHeight="false" outlineLevel="0" collapsed="false">
      <c r="B2391" s="4" t="n">
        <v>26743541</v>
      </c>
      <c r="C2391" s="4" t="s">
        <v>2977</v>
      </c>
      <c r="D2391" s="4" t="s">
        <v>433</v>
      </c>
      <c r="E2391" s="4" t="s">
        <v>3686</v>
      </c>
      <c r="F2391" s="127" t="n">
        <v>46499</v>
      </c>
      <c r="G2391" s="127" t="n">
        <v>46510</v>
      </c>
      <c r="H2391" s="127" t="n">
        <v>46293</v>
      </c>
      <c r="I2391" s="4" t="n">
        <v>0</v>
      </c>
      <c r="J2391" s="4" t="n">
        <v>0</v>
      </c>
      <c r="K2391" s="4" t="n">
        <v>0</v>
      </c>
      <c r="M2391" s="2" t="str">
        <f aca="false">IF(C2391="","",IFERROR(INDEX($S$5:$S$304,MATCH(C2391,$R$5:$R$304,0))&amp;"","?"))</f>
        <v>30</v>
      </c>
      <c r="N2391" s="2" t="n">
        <f aca="false">IF(E2391="","",IF(ISNUMBER(SEARCH("SUBSOLO",E2391)),IFERROR(-VALUE(LEFT(E2391,FIND("º",SUBSTITUTE(E2391,"°","º"))-1)),-1),IF(LEFT(E2391,6)="TÉRREO",0,IFERROR(VALUE(LEFT(E2391,FIND("º",SUBSTITUTE(E2391,"°","º"))-1)),""))))</f>
        <v>7</v>
      </c>
      <c r="O2391" s="2" t="str">
        <f aca="false">IF(OR(F2391="",G2391=""),"",IF(G2391&lt;='RETRATO 2027'!$K$5,"CONCLUÍDA",IF(F2391&lt;='RETRATO 2027'!$K$5,"EM ANDAMENTO","A INICIAR")))</f>
        <v>CONCLUÍDA</v>
      </c>
    </row>
    <row r="2392" customFormat="false" ht="15" hidden="false" customHeight="false" outlineLevel="0" collapsed="false">
      <c r="B2392" s="4" t="n">
        <v>26743497</v>
      </c>
      <c r="C2392" s="4" t="s">
        <v>2935</v>
      </c>
      <c r="D2392" s="4" t="s">
        <v>433</v>
      </c>
      <c r="E2392" s="4" t="s">
        <v>3706</v>
      </c>
      <c r="F2392" s="127" t="n">
        <v>46499</v>
      </c>
      <c r="G2392" s="127" t="n">
        <v>46510</v>
      </c>
      <c r="H2392" s="127" t="n">
        <v>46293</v>
      </c>
      <c r="I2392" s="4" t="n">
        <v>0</v>
      </c>
      <c r="J2392" s="4" t="n">
        <v>0</v>
      </c>
      <c r="K2392" s="4" t="n">
        <v>0</v>
      </c>
      <c r="M2392" s="2" t="str">
        <f aca="false">IF(C2392="","",IFERROR(INDEX($S$5:$S$304,MATCH(C2392,$R$5:$R$304,0))&amp;"","?"))</f>
        <v>30</v>
      </c>
      <c r="N2392" s="2" t="n">
        <f aca="false">IF(E2392="","",IF(ISNUMBER(SEARCH("SUBSOLO",E2392)),IFERROR(-VALUE(LEFT(E2392,FIND("º",SUBSTITUTE(E2392,"°","º"))-1)),-1),IF(LEFT(E2392,6)="TÉRREO",0,IFERROR(VALUE(LEFT(E2392,FIND("º",SUBSTITUTE(E2392,"°","º"))-1)),""))))</f>
        <v>8</v>
      </c>
      <c r="O2392" s="2" t="str">
        <f aca="false">IF(OR(F2392="",G2392=""),"",IF(G2392&lt;='RETRATO 2027'!$K$5,"CONCLUÍDA",IF(F2392&lt;='RETRATO 2027'!$K$5,"EM ANDAMENTO","A INICIAR")))</f>
        <v>CONCLUÍDA</v>
      </c>
    </row>
    <row r="2393" customFormat="false" ht="15" hidden="false" customHeight="false" outlineLevel="0" collapsed="false">
      <c r="B2393" s="4" t="n">
        <v>26743444</v>
      </c>
      <c r="C2393" s="4" t="s">
        <v>2938</v>
      </c>
      <c r="D2393" s="4" t="s">
        <v>433</v>
      </c>
      <c r="E2393" s="4" t="s">
        <v>3716</v>
      </c>
      <c r="F2393" s="127" t="n">
        <v>46499</v>
      </c>
      <c r="G2393" s="127" t="n">
        <v>46510</v>
      </c>
      <c r="H2393" s="127" t="n">
        <v>46293</v>
      </c>
      <c r="I2393" s="4" t="n">
        <v>0</v>
      </c>
      <c r="J2393" s="4" t="n">
        <v>0</v>
      </c>
      <c r="K2393" s="4" t="n">
        <v>0</v>
      </c>
      <c r="M2393" s="2" t="str">
        <f aca="false">IF(C2393="","",IFERROR(INDEX($S$5:$S$304,MATCH(C2393,$R$5:$R$304,0))&amp;"","?"))</f>
        <v>30</v>
      </c>
      <c r="N2393" s="2" t="n">
        <f aca="false">IF(E2393="","",IF(ISNUMBER(SEARCH("SUBSOLO",E2393)),IFERROR(-VALUE(LEFT(E2393,FIND("º",SUBSTITUTE(E2393,"°","º"))-1)),-1),IF(LEFT(E2393,6)="TÉRREO",0,IFERROR(VALUE(LEFT(E2393,FIND("º",SUBSTITUTE(E2393,"°","º"))-1)),""))))</f>
        <v>9</v>
      </c>
      <c r="O2393" s="2" t="str">
        <f aca="false">IF(OR(F2393="",G2393=""),"",IF(G2393&lt;='RETRATO 2027'!$K$5,"CONCLUÍDA",IF(F2393&lt;='RETRATO 2027'!$K$5,"EM ANDAMENTO","A INICIAR")))</f>
        <v>CONCLUÍDA</v>
      </c>
    </row>
    <row r="2394" customFormat="false" ht="15" hidden="false" customHeight="false" outlineLevel="0" collapsed="false">
      <c r="B2394" s="4" t="n">
        <v>26743406</v>
      </c>
      <c r="C2394" s="4" t="s">
        <v>166</v>
      </c>
      <c r="D2394" s="4" t="s">
        <v>433</v>
      </c>
      <c r="E2394" s="4" t="s">
        <v>3722</v>
      </c>
      <c r="F2394" s="127" t="n">
        <v>46499</v>
      </c>
      <c r="G2394" s="127" t="n">
        <v>46510</v>
      </c>
      <c r="H2394" s="127" t="n">
        <v>46293</v>
      </c>
      <c r="I2394" s="4" t="n">
        <v>0</v>
      </c>
      <c r="J2394" s="4" t="n">
        <v>0</v>
      </c>
      <c r="K2394" s="4" t="n">
        <v>0</v>
      </c>
      <c r="M2394" s="2" t="str">
        <f aca="false">IF(C2394="","",IFERROR(INDEX($S$5:$S$304,MATCH(C2394,$R$5:$R$304,0))&amp;"","?"))</f>
        <v>19</v>
      </c>
      <c r="N2394" s="2" t="n">
        <f aca="false">IF(E2394="","",IF(ISNUMBER(SEARCH("SUBSOLO",E2394)),IFERROR(-VALUE(LEFT(E2394,FIND("º",SUBSTITUTE(E2394,"°","º"))-1)),-1),IF(LEFT(E2394,6)="TÉRREO",0,IFERROR(VALUE(LEFT(E2394,FIND("º",SUBSTITUTE(E2394,"°","º"))-1)),""))))</f>
        <v>10</v>
      </c>
      <c r="O2394" s="2" t="str">
        <f aca="false">IF(OR(F2394="",G2394=""),"",IF(G2394&lt;='RETRATO 2027'!$K$5,"CONCLUÍDA",IF(F2394&lt;='RETRATO 2027'!$K$5,"EM ANDAMENTO","A INICIAR")))</f>
        <v>CONCLUÍDA</v>
      </c>
    </row>
    <row r="2395" customFormat="false" ht="15" hidden="false" customHeight="false" outlineLevel="0" collapsed="false">
      <c r="B2395" s="4" t="n">
        <v>26743379</v>
      </c>
      <c r="C2395" s="4" t="s">
        <v>2941</v>
      </c>
      <c r="D2395" s="4" t="s">
        <v>433</v>
      </c>
      <c r="E2395" s="4" t="s">
        <v>3762</v>
      </c>
      <c r="F2395" s="127" t="n">
        <v>46499</v>
      </c>
      <c r="G2395" s="127" t="n">
        <v>46510</v>
      </c>
      <c r="H2395" s="127" t="n">
        <v>46293</v>
      </c>
      <c r="I2395" s="4" t="n">
        <v>0</v>
      </c>
      <c r="J2395" s="4" t="n">
        <v>0</v>
      </c>
      <c r="K2395" s="4" t="n">
        <v>0</v>
      </c>
      <c r="M2395" s="2" t="str">
        <f aca="false">IF(C2395="","",IFERROR(INDEX($S$5:$S$304,MATCH(C2395,$R$5:$R$304,0))&amp;"","?"))</f>
        <v>18</v>
      </c>
      <c r="N2395" s="2" t="n">
        <f aca="false">IF(E2395="","",IF(ISNUMBER(SEARCH("SUBSOLO",E2395)),IFERROR(-VALUE(LEFT(E2395,FIND("º",SUBSTITUTE(E2395,"°","º"))-1)),-1),IF(LEFT(E2395,6)="TÉRREO",0,IFERROR(VALUE(LEFT(E2395,FIND("º",SUBSTITUTE(E2395,"°","º"))-1)),""))))</f>
        <v>11</v>
      </c>
      <c r="O2395" s="2" t="str">
        <f aca="false">IF(OR(F2395="",G2395=""),"",IF(G2395&lt;='RETRATO 2027'!$K$5,"CONCLUÍDA",IF(F2395&lt;='RETRATO 2027'!$K$5,"EM ANDAMENTO","A INICIAR")))</f>
        <v>CONCLUÍDA</v>
      </c>
    </row>
    <row r="2396" customFormat="false" ht="15" hidden="false" customHeight="false" outlineLevel="0" collapsed="false">
      <c r="B2396" s="4" t="n">
        <v>26743343</v>
      </c>
      <c r="C2396" s="4" t="s">
        <v>2924</v>
      </c>
      <c r="D2396" s="4" t="s">
        <v>433</v>
      </c>
      <c r="E2396" s="4" t="s">
        <v>3763</v>
      </c>
      <c r="F2396" s="127" t="n">
        <v>46499</v>
      </c>
      <c r="G2396" s="127" t="n">
        <v>46510</v>
      </c>
      <c r="H2396" s="127" t="n">
        <v>46293</v>
      </c>
      <c r="I2396" s="4" t="n">
        <v>0</v>
      </c>
      <c r="J2396" s="4" t="n">
        <v>0</v>
      </c>
      <c r="K2396" s="4" t="n">
        <v>0</v>
      </c>
      <c r="M2396" s="2" t="str">
        <f aca="false">IF(C2396="","",IFERROR(INDEX($S$5:$S$304,MATCH(C2396,$R$5:$R$304,0))&amp;"","?"))</f>
        <v>21</v>
      </c>
      <c r="N2396" s="2" t="n">
        <f aca="false">IF(E2396="","",IF(ISNUMBER(SEARCH("SUBSOLO",E2396)),IFERROR(-VALUE(LEFT(E2396,FIND("º",SUBSTITUTE(E2396,"°","º"))-1)),-1),IF(LEFT(E2396,6)="TÉRREO",0,IFERROR(VALUE(LEFT(E2396,FIND("º",SUBSTITUTE(E2396,"°","º"))-1)),""))))</f>
        <v>12</v>
      </c>
      <c r="O2396" s="2" t="str">
        <f aca="false">IF(OR(F2396="",G2396=""),"",IF(G2396&lt;='RETRATO 2027'!$K$5,"CONCLUÍDA",IF(F2396&lt;='RETRATO 2027'!$K$5,"EM ANDAMENTO","A INICIAR")))</f>
        <v>CONCLUÍDA</v>
      </c>
    </row>
    <row r="2397" customFormat="false" ht="15" hidden="false" customHeight="false" outlineLevel="0" collapsed="false">
      <c r="B2397" s="4" t="n">
        <v>26743326</v>
      </c>
      <c r="C2397" s="4" t="s">
        <v>2926</v>
      </c>
      <c r="D2397" s="4" t="s">
        <v>433</v>
      </c>
      <c r="E2397" s="4" t="s">
        <v>3763</v>
      </c>
      <c r="F2397" s="127" t="n">
        <v>46499</v>
      </c>
      <c r="G2397" s="127" t="n">
        <v>46510</v>
      </c>
      <c r="H2397" s="127" t="n">
        <v>46293</v>
      </c>
      <c r="I2397" s="4" t="n">
        <v>0</v>
      </c>
      <c r="J2397" s="4" t="n">
        <v>0</v>
      </c>
      <c r="K2397" s="4" t="n">
        <v>0</v>
      </c>
      <c r="M2397" s="2" t="str">
        <f aca="false">IF(C2397="","",IFERROR(INDEX($S$5:$S$304,MATCH(C2397,$R$5:$R$304,0))&amp;"","?"))</f>
        <v>20</v>
      </c>
      <c r="N2397" s="2" t="n">
        <f aca="false">IF(E2397="","",IF(ISNUMBER(SEARCH("SUBSOLO",E2397)),IFERROR(-VALUE(LEFT(E2397,FIND("º",SUBSTITUTE(E2397,"°","º"))-1)),-1),IF(LEFT(E2397,6)="TÉRREO",0,IFERROR(VALUE(LEFT(E2397,FIND("º",SUBSTITUTE(E2397,"°","º"))-1)),""))))</f>
        <v>12</v>
      </c>
      <c r="O2397" s="2" t="str">
        <f aca="false">IF(OR(F2397="",G2397=""),"",IF(G2397&lt;='RETRATO 2027'!$K$5,"CONCLUÍDA",IF(F2397&lt;='RETRATO 2027'!$K$5,"EM ANDAMENTO","A INICIAR")))</f>
        <v>CONCLUÍDA</v>
      </c>
    </row>
    <row r="2398" customFormat="false" ht="15" hidden="false" customHeight="false" outlineLevel="0" collapsed="false">
      <c r="B2398" s="4" t="n">
        <v>26743325</v>
      </c>
      <c r="C2398" s="4" t="s">
        <v>2928</v>
      </c>
      <c r="D2398" s="4" t="s">
        <v>433</v>
      </c>
      <c r="E2398" s="4" t="s">
        <v>3763</v>
      </c>
      <c r="F2398" s="127" t="n">
        <v>46499</v>
      </c>
      <c r="G2398" s="127" t="n">
        <v>46510</v>
      </c>
      <c r="H2398" s="127" t="n">
        <v>46293</v>
      </c>
      <c r="I2398" s="4" t="n">
        <v>0</v>
      </c>
      <c r="J2398" s="4" t="n">
        <v>0</v>
      </c>
      <c r="K2398" s="4" t="n">
        <v>0</v>
      </c>
      <c r="M2398" s="2" t="str">
        <f aca="false">IF(C2398="","",IFERROR(INDEX($S$5:$S$304,MATCH(C2398,$R$5:$R$304,0))&amp;"","?"))</f>
        <v>23</v>
      </c>
      <c r="N2398" s="2" t="n">
        <f aca="false">IF(E2398="","",IF(ISNUMBER(SEARCH("SUBSOLO",E2398)),IFERROR(-VALUE(LEFT(E2398,FIND("º",SUBSTITUTE(E2398,"°","º"))-1)),-1),IF(LEFT(E2398,6)="TÉRREO",0,IFERROR(VALUE(LEFT(E2398,FIND("º",SUBSTITUTE(E2398,"°","º"))-1)),""))))</f>
        <v>12</v>
      </c>
      <c r="O2398" s="2" t="str">
        <f aca="false">IF(OR(F2398="",G2398=""),"",IF(G2398&lt;='RETRATO 2027'!$K$5,"CONCLUÍDA",IF(F2398&lt;='RETRATO 2027'!$K$5,"EM ANDAMENTO","A INICIAR")))</f>
        <v>CONCLUÍDA</v>
      </c>
    </row>
    <row r="2399" customFormat="false" ht="15" hidden="false" customHeight="false" outlineLevel="0" collapsed="false">
      <c r="B2399" s="4" t="n">
        <v>26743344</v>
      </c>
      <c r="C2399" s="4" t="s">
        <v>2930</v>
      </c>
      <c r="D2399" s="4" t="s">
        <v>433</v>
      </c>
      <c r="E2399" s="4" t="s">
        <v>3763</v>
      </c>
      <c r="F2399" s="127" t="n">
        <v>46499</v>
      </c>
      <c r="G2399" s="127" t="n">
        <v>46510</v>
      </c>
      <c r="H2399" s="127" t="n">
        <v>46293</v>
      </c>
      <c r="I2399" s="4" t="n">
        <v>0</v>
      </c>
      <c r="J2399" s="4" t="n">
        <v>0</v>
      </c>
      <c r="K2399" s="4" t="n">
        <v>0</v>
      </c>
      <c r="M2399" s="2" t="str">
        <f aca="false">IF(C2399="","",IFERROR(INDEX($S$5:$S$304,MATCH(C2399,$R$5:$R$304,0))&amp;"","?"))</f>
        <v>21</v>
      </c>
      <c r="N2399" s="2" t="n">
        <f aca="false">IF(E2399="","",IF(ISNUMBER(SEARCH("SUBSOLO",E2399)),IFERROR(-VALUE(LEFT(E2399,FIND("º",SUBSTITUTE(E2399,"°","º"))-1)),-1),IF(LEFT(E2399,6)="TÉRREO",0,IFERROR(VALUE(LEFT(E2399,FIND("º",SUBSTITUTE(E2399,"°","º"))-1)),""))))</f>
        <v>12</v>
      </c>
      <c r="O2399" s="2" t="str">
        <f aca="false">IF(OR(F2399="",G2399=""),"",IF(G2399&lt;='RETRATO 2027'!$K$5,"CONCLUÍDA",IF(F2399&lt;='RETRATO 2027'!$K$5,"EM ANDAMENTO","A INICIAR")))</f>
        <v>CONCLUÍDA</v>
      </c>
    </row>
    <row r="2400" customFormat="false" ht="15" hidden="false" customHeight="false" outlineLevel="0" collapsed="false">
      <c r="B2400" s="4" t="n">
        <v>26743345</v>
      </c>
      <c r="C2400" s="4" t="s">
        <v>2933</v>
      </c>
      <c r="D2400" s="4" t="s">
        <v>433</v>
      </c>
      <c r="E2400" s="4" t="s">
        <v>3763</v>
      </c>
      <c r="F2400" s="127" t="n">
        <v>46499</v>
      </c>
      <c r="G2400" s="127" t="n">
        <v>46510</v>
      </c>
      <c r="H2400" s="127" t="n">
        <v>46293</v>
      </c>
      <c r="I2400" s="4" t="n">
        <v>0</v>
      </c>
      <c r="J2400" s="4" t="n">
        <v>0</v>
      </c>
      <c r="K2400" s="4" t="n">
        <v>0</v>
      </c>
      <c r="M2400" s="2" t="str">
        <f aca="false">IF(C2400="","",IFERROR(INDEX($S$5:$S$304,MATCH(C2400,$R$5:$R$304,0))&amp;"","?"))</f>
        <v>21</v>
      </c>
      <c r="N2400" s="2" t="n">
        <f aca="false">IF(E2400="","",IF(ISNUMBER(SEARCH("SUBSOLO",E2400)),IFERROR(-VALUE(LEFT(E2400,FIND("º",SUBSTITUTE(E2400,"°","º"))-1)),-1),IF(LEFT(E2400,6)="TÉRREO",0,IFERROR(VALUE(LEFT(E2400,FIND("º",SUBSTITUTE(E2400,"°","º"))-1)),""))))</f>
        <v>12</v>
      </c>
      <c r="O2400" s="2" t="str">
        <f aca="false">IF(OR(F2400="",G2400=""),"",IF(G2400&lt;='RETRATO 2027'!$K$5,"CONCLUÍDA",IF(F2400&lt;='RETRATO 2027'!$K$5,"EM ANDAMENTO","A INICIAR")))</f>
        <v>CONCLUÍDA</v>
      </c>
    </row>
    <row r="2401" customFormat="false" ht="15" hidden="false" customHeight="false" outlineLevel="0" collapsed="false">
      <c r="B2401" s="4" t="n">
        <v>26743287</v>
      </c>
      <c r="C2401" s="4" t="s">
        <v>2922</v>
      </c>
      <c r="D2401" s="4" t="s">
        <v>433</v>
      </c>
      <c r="E2401" s="4" t="s">
        <v>3764</v>
      </c>
      <c r="F2401" s="127" t="n">
        <v>46499</v>
      </c>
      <c r="G2401" s="127" t="n">
        <v>46510</v>
      </c>
      <c r="H2401" s="127" t="n">
        <v>46293</v>
      </c>
      <c r="I2401" s="4" t="n">
        <v>0</v>
      </c>
      <c r="J2401" s="4" t="n">
        <v>0</v>
      </c>
      <c r="K2401" s="4" t="n">
        <v>0</v>
      </c>
      <c r="M2401" s="2" t="str">
        <f aca="false">IF(C2401="","",IFERROR(INDEX($S$5:$S$304,MATCH(C2401,$R$5:$R$304,0))&amp;"","?"))</f>
        <v>18</v>
      </c>
      <c r="N2401" s="2" t="n">
        <f aca="false">IF(E2401="","",IF(ISNUMBER(SEARCH("SUBSOLO",E2401)),IFERROR(-VALUE(LEFT(E2401,FIND("º",SUBSTITUTE(E2401,"°","º"))-1)),-1),IF(LEFT(E2401,6)="TÉRREO",0,IFERROR(VALUE(LEFT(E2401,FIND("º",SUBSTITUTE(E2401,"°","º"))-1)),""))))</f>
        <v>13</v>
      </c>
      <c r="O2401" s="2" t="str">
        <f aca="false">IF(OR(F2401="",G2401=""),"",IF(G2401&lt;='RETRATO 2027'!$K$5,"CONCLUÍDA",IF(F2401&lt;='RETRATO 2027'!$K$5,"EM ANDAMENTO","A INICIAR")))</f>
        <v>CONCLUÍDA</v>
      </c>
    </row>
    <row r="2402" customFormat="false" ht="15" hidden="false" customHeight="false" outlineLevel="0" collapsed="false">
      <c r="B2402" s="4" t="n">
        <v>26744798</v>
      </c>
      <c r="C2402" s="4" t="s">
        <v>2808</v>
      </c>
      <c r="D2402" s="4" t="s">
        <v>433</v>
      </c>
      <c r="E2402" s="4" t="s">
        <v>3769</v>
      </c>
      <c r="F2402" s="127" t="n">
        <v>46500</v>
      </c>
      <c r="G2402" s="127" t="n">
        <v>46562</v>
      </c>
      <c r="H2402" s="127" t="n">
        <v>46293</v>
      </c>
      <c r="I2402" s="4" t="n">
        <v>0</v>
      </c>
      <c r="J2402" s="4" t="n">
        <v>0</v>
      </c>
      <c r="K2402" s="4" t="n">
        <v>0</v>
      </c>
      <c r="M2402" s="2" t="str">
        <f aca="false">IF(C2402="","",IFERROR(INDEX($S$5:$S$304,MATCH(C2402,$R$5:$R$304,0))&amp;"","?"))</f>
        <v>29</v>
      </c>
      <c r="N2402" s="2" t="n">
        <f aca="false">IF(E2402="","",IF(ISNUMBER(SEARCH("SUBSOLO",E2402)),IFERROR(-VALUE(LEFT(E2402,FIND("º",SUBSTITUTE(E2402,"°","º"))-1)),-1),IF(LEFT(E2402,6)="TÉRREO",0,IFERROR(VALUE(LEFT(E2402,FIND("º",SUBSTITUTE(E2402,"°","º"))-1)),""))))</f>
        <v>3</v>
      </c>
      <c r="O2402" s="2" t="str">
        <f aca="false">IF(OR(F2402="",G2402=""),"",IF(G2402&lt;='RETRATO 2027'!$K$5,"CONCLUÍDA",IF(F2402&lt;='RETRATO 2027'!$K$5,"EM ANDAMENTO","A INICIAR")))</f>
        <v>CONCLUÍDA</v>
      </c>
    </row>
    <row r="2403" customFormat="false" ht="15" hidden="false" customHeight="false" outlineLevel="0" collapsed="false">
      <c r="B2403" s="4" t="n">
        <v>26743057</v>
      </c>
      <c r="C2403" s="4" t="s">
        <v>2869</v>
      </c>
      <c r="D2403" s="4" t="s">
        <v>433</v>
      </c>
      <c r="E2403" s="4" t="s">
        <v>3781</v>
      </c>
      <c r="F2403" s="127" t="n">
        <v>46500</v>
      </c>
      <c r="G2403" s="127" t="n">
        <v>46511</v>
      </c>
      <c r="H2403" s="127" t="n">
        <v>46293</v>
      </c>
      <c r="I2403" s="4" t="n">
        <v>0</v>
      </c>
      <c r="J2403" s="4" t="n">
        <v>0</v>
      </c>
      <c r="K2403" s="4" t="n">
        <v>0</v>
      </c>
      <c r="M2403" s="2" t="str">
        <f aca="false">IF(C2403="","",IFERROR(INDEX($S$5:$S$304,MATCH(C2403,$R$5:$R$304,0))&amp;"","?"))</f>
        <v>22</v>
      </c>
      <c r="N2403" s="2" t="n">
        <f aca="false">IF(E2403="","",IF(ISNUMBER(SEARCH("SUBSOLO",E2403)),IFERROR(-VALUE(LEFT(E2403,FIND("º",SUBSTITUTE(E2403,"°","º"))-1)),-1),IF(LEFT(E2403,6)="TÉRREO",0,IFERROR(VALUE(LEFT(E2403,FIND("º",SUBSTITUTE(E2403,"°","º"))-1)),""))))</f>
        <v>20</v>
      </c>
      <c r="O2403" s="2" t="str">
        <f aca="false">IF(OR(F2403="",G2403=""),"",IF(G2403&lt;='RETRATO 2027'!$K$5,"CONCLUÍDA",IF(F2403&lt;='RETRATO 2027'!$K$5,"EM ANDAMENTO","A INICIAR")))</f>
        <v>CONCLUÍDA</v>
      </c>
    </row>
    <row r="2404" customFormat="false" ht="15" hidden="false" customHeight="false" outlineLevel="0" collapsed="false">
      <c r="B2404" s="4" t="n">
        <v>26743018</v>
      </c>
      <c r="C2404" s="4" t="s">
        <v>163</v>
      </c>
      <c r="D2404" s="4" t="s">
        <v>433</v>
      </c>
      <c r="E2404" s="4" t="s">
        <v>3783</v>
      </c>
      <c r="F2404" s="127" t="n">
        <v>46500</v>
      </c>
      <c r="G2404" s="127" t="n">
        <v>46511</v>
      </c>
      <c r="H2404" s="127" t="n">
        <v>46293</v>
      </c>
      <c r="I2404" s="4" t="n">
        <v>0</v>
      </c>
      <c r="J2404" s="4" t="n">
        <v>0</v>
      </c>
      <c r="K2404" s="4" t="n">
        <v>0</v>
      </c>
      <c r="M2404" s="2" t="str">
        <f aca="false">IF(C2404="","",IFERROR(INDEX($S$5:$S$304,MATCH(C2404,$R$5:$R$304,0))&amp;"","?"))</f>
        <v>18</v>
      </c>
      <c r="N2404" s="2" t="n">
        <f aca="false">IF(E2404="","",IF(ISNUMBER(SEARCH("SUBSOLO",E2404)),IFERROR(-VALUE(LEFT(E2404,FIND("º",SUBSTITUTE(E2404,"°","º"))-1)),-1),IF(LEFT(E2404,6)="TÉRREO",0,IFERROR(VALUE(LEFT(E2404,FIND("º",SUBSTITUTE(E2404,"°","º"))-1)),""))))</f>
        <v>21</v>
      </c>
      <c r="O2404" s="2" t="str">
        <f aca="false">IF(OR(F2404="",G2404=""),"",IF(G2404&lt;='RETRATO 2027'!$K$5,"CONCLUÍDA",IF(F2404&lt;='RETRATO 2027'!$K$5,"EM ANDAMENTO","A INICIAR")))</f>
        <v>CONCLUÍDA</v>
      </c>
    </row>
    <row r="2405" customFormat="false" ht="15" hidden="false" customHeight="false" outlineLevel="0" collapsed="false">
      <c r="B2405" s="4" t="n">
        <v>26707666</v>
      </c>
      <c r="C2405" s="4" t="s">
        <v>2956</v>
      </c>
      <c r="D2405" s="4" t="s">
        <v>433</v>
      </c>
      <c r="E2405" s="4" t="s">
        <v>3777</v>
      </c>
      <c r="F2405" s="127" t="n">
        <v>46503</v>
      </c>
      <c r="G2405" s="127" t="n">
        <v>46521</v>
      </c>
      <c r="H2405" s="127" t="n">
        <v>46293</v>
      </c>
      <c r="I2405" s="4" t="n">
        <v>0</v>
      </c>
      <c r="J2405" s="4" t="n">
        <v>0</v>
      </c>
      <c r="K2405" s="4" t="n">
        <v>0</v>
      </c>
      <c r="M2405" s="2" t="str">
        <f aca="false">IF(C2405="","",IFERROR(INDEX($S$5:$S$304,MATCH(C2405,$R$5:$R$304,0))&amp;"","?"))</f>
        <v>18</v>
      </c>
      <c r="N2405" s="2" t="n">
        <f aca="false">IF(E2405="","",IF(ISNUMBER(SEARCH("SUBSOLO",E2405)),IFERROR(-VALUE(LEFT(E2405,FIND("º",SUBSTITUTE(E2405,"°","º"))-1)),-1),IF(LEFT(E2405,6)="TÉRREO",0,IFERROR(VALUE(LEFT(E2405,FIND("º",SUBSTITUTE(E2405,"°","º"))-1)),""))))</f>
        <v>1</v>
      </c>
      <c r="O2405" s="2" t="str">
        <f aca="false">IF(OR(F2405="",G2405=""),"",IF(G2405&lt;='RETRATO 2027'!$K$5,"CONCLUÍDA",IF(F2405&lt;='RETRATO 2027'!$K$5,"EM ANDAMENTO","A INICIAR")))</f>
        <v>CONCLUÍDA</v>
      </c>
    </row>
    <row r="2406" customFormat="false" ht="15" hidden="false" customHeight="false" outlineLevel="0" collapsed="false">
      <c r="B2406" s="4" t="n">
        <v>26743267</v>
      </c>
      <c r="C2406" s="4" t="s">
        <v>2916</v>
      </c>
      <c r="D2406" s="4" t="s">
        <v>433</v>
      </c>
      <c r="E2406" s="4" t="s">
        <v>3765</v>
      </c>
      <c r="F2406" s="127" t="n">
        <v>46503</v>
      </c>
      <c r="G2406" s="127" t="n">
        <v>46510</v>
      </c>
      <c r="H2406" s="127" t="n">
        <v>46293</v>
      </c>
      <c r="I2406" s="4" t="n">
        <v>0</v>
      </c>
      <c r="J2406" s="4" t="n">
        <v>0</v>
      </c>
      <c r="K2406" s="4" t="n">
        <v>0</v>
      </c>
      <c r="M2406" s="2" t="str">
        <f aca="false">IF(C2406="","",IFERROR(INDEX($S$5:$S$304,MATCH(C2406,$R$5:$R$304,0))&amp;"","?"))</f>
        <v>18</v>
      </c>
      <c r="N2406" s="2" t="n">
        <f aca="false">IF(E2406="","",IF(ISNUMBER(SEARCH("SUBSOLO",E2406)),IFERROR(-VALUE(LEFT(E2406,FIND("º",SUBSTITUTE(E2406,"°","º"))-1)),-1),IF(LEFT(E2406,6)="TÉRREO",0,IFERROR(VALUE(LEFT(E2406,FIND("º",SUBSTITUTE(E2406,"°","º"))-1)),""))))</f>
        <v>14</v>
      </c>
      <c r="O2406" s="2" t="str">
        <f aca="false">IF(OR(F2406="",G2406=""),"",IF(G2406&lt;='RETRATO 2027'!$K$5,"CONCLUÍDA",IF(F2406&lt;='RETRATO 2027'!$K$5,"EM ANDAMENTO","A INICIAR")))</f>
        <v>CONCLUÍDA</v>
      </c>
    </row>
    <row r="2407" customFormat="false" ht="15" hidden="false" customHeight="false" outlineLevel="0" collapsed="false">
      <c r="B2407" s="4" t="n">
        <v>26743229</v>
      </c>
      <c r="C2407" s="4" t="s">
        <v>2814</v>
      </c>
      <c r="D2407" s="4" t="s">
        <v>433</v>
      </c>
      <c r="E2407" s="4" t="s">
        <v>3768</v>
      </c>
      <c r="F2407" s="127" t="n">
        <v>46505</v>
      </c>
      <c r="G2407" s="127" t="n">
        <v>46512</v>
      </c>
      <c r="H2407" s="127" t="n">
        <v>46293</v>
      </c>
      <c r="I2407" s="4" t="n">
        <v>0</v>
      </c>
      <c r="J2407" s="4" t="n">
        <v>0</v>
      </c>
      <c r="K2407" s="4" t="n">
        <v>0</v>
      </c>
      <c r="M2407" s="2" t="str">
        <f aca="false">IF(C2407="","",IFERROR(INDEX($S$5:$S$304,MATCH(C2407,$R$5:$R$304,0))&amp;"","?"))</f>
        <v>28</v>
      </c>
      <c r="N2407" s="2" t="n">
        <f aca="false">IF(E2407="","",IF(ISNUMBER(SEARCH("SUBSOLO",E2407)),IFERROR(-VALUE(LEFT(E2407,FIND("º",SUBSTITUTE(E2407,"°","º"))-1)),-1),IF(LEFT(E2407,6)="TÉRREO",0,IFERROR(VALUE(LEFT(E2407,FIND("º",SUBSTITUTE(E2407,"°","º"))-1)),""))))</f>
        <v>15</v>
      </c>
      <c r="O2407" s="2" t="str">
        <f aca="false">IF(OR(F2407="",G2407=""),"",IF(G2407&lt;='RETRATO 2027'!$K$5,"CONCLUÍDA",IF(F2407&lt;='RETRATO 2027'!$K$5,"EM ANDAMENTO","A INICIAR")))</f>
        <v>CONCLUÍDA</v>
      </c>
    </row>
    <row r="2408" customFormat="false" ht="15" hidden="false" customHeight="false" outlineLevel="0" collapsed="false">
      <c r="B2408" s="4" t="n">
        <v>26743198</v>
      </c>
      <c r="C2408" s="4" t="s">
        <v>2914</v>
      </c>
      <c r="D2408" s="4" t="s">
        <v>433</v>
      </c>
      <c r="E2408" s="4" t="s">
        <v>3771</v>
      </c>
      <c r="F2408" s="127" t="n">
        <v>46505</v>
      </c>
      <c r="G2408" s="127" t="n">
        <v>46514</v>
      </c>
      <c r="H2408" s="127" t="n">
        <v>46293</v>
      </c>
      <c r="I2408" s="4" t="n">
        <v>0</v>
      </c>
      <c r="J2408" s="4" t="n">
        <v>0</v>
      </c>
      <c r="K2408" s="4" t="n">
        <v>0</v>
      </c>
      <c r="M2408" s="2" t="str">
        <f aca="false">IF(C2408="","",IFERROR(INDEX($S$5:$S$304,MATCH(C2408,$R$5:$R$304,0))&amp;"","?"))</f>
        <v>21</v>
      </c>
      <c r="N2408" s="2" t="n">
        <f aca="false">IF(E2408="","",IF(ISNUMBER(SEARCH("SUBSOLO",E2408)),IFERROR(-VALUE(LEFT(E2408,FIND("º",SUBSTITUTE(E2408,"°","º"))-1)),-1),IF(LEFT(E2408,6)="TÉRREO",0,IFERROR(VALUE(LEFT(E2408,FIND("º",SUBSTITUTE(E2408,"°","º"))-1)),""))))</f>
        <v>16</v>
      </c>
      <c r="O2408" s="2" t="str">
        <f aca="false">IF(OR(F2408="",G2408=""),"",IF(G2408&lt;='RETRATO 2027'!$K$5,"CONCLUÍDA",IF(F2408&lt;='RETRATO 2027'!$K$5,"EM ANDAMENTO","A INICIAR")))</f>
        <v>CONCLUÍDA</v>
      </c>
    </row>
    <row r="2409" customFormat="false" ht="15" hidden="false" customHeight="false" outlineLevel="0" collapsed="false">
      <c r="B2409" s="4" t="n">
        <v>26743154</v>
      </c>
      <c r="C2409" s="4" t="s">
        <v>2808</v>
      </c>
      <c r="D2409" s="4" t="s">
        <v>433</v>
      </c>
      <c r="E2409" s="4" t="s">
        <v>3773</v>
      </c>
      <c r="F2409" s="127" t="n">
        <v>46505</v>
      </c>
      <c r="G2409" s="127" t="n">
        <v>46514</v>
      </c>
      <c r="H2409" s="127" t="n">
        <v>46293</v>
      </c>
      <c r="I2409" s="4" t="n">
        <v>0</v>
      </c>
      <c r="J2409" s="4" t="n">
        <v>0</v>
      </c>
      <c r="K2409" s="4" t="n">
        <v>0</v>
      </c>
      <c r="M2409" s="2" t="str">
        <f aca="false">IF(C2409="","",IFERROR(INDEX($S$5:$S$304,MATCH(C2409,$R$5:$R$304,0))&amp;"","?"))</f>
        <v>29</v>
      </c>
      <c r="N2409" s="2" t="n">
        <f aca="false">IF(E2409="","",IF(ISNUMBER(SEARCH("SUBSOLO",E2409)),IFERROR(-VALUE(LEFT(E2409,FIND("º",SUBSTITUTE(E2409,"°","º"))-1)),-1),IF(LEFT(E2409,6)="TÉRREO",0,IFERROR(VALUE(LEFT(E2409,FIND("º",SUBSTITUTE(E2409,"°","º"))-1)),""))))</f>
        <v>17</v>
      </c>
      <c r="O2409" s="2" t="str">
        <f aca="false">IF(OR(F2409="",G2409=""),"",IF(G2409&lt;='RETRATO 2027'!$K$5,"CONCLUÍDA",IF(F2409&lt;='RETRATO 2027'!$K$5,"EM ANDAMENTO","A INICIAR")))</f>
        <v>CONCLUÍDA</v>
      </c>
    </row>
    <row r="2410" customFormat="false" ht="15" hidden="false" customHeight="false" outlineLevel="0" collapsed="false">
      <c r="B2410" s="4" t="n">
        <v>26743116</v>
      </c>
      <c r="C2410" s="4" t="s">
        <v>2910</v>
      </c>
      <c r="D2410" s="4" t="s">
        <v>433</v>
      </c>
      <c r="E2410" s="4" t="s">
        <v>3776</v>
      </c>
      <c r="F2410" s="127" t="n">
        <v>46505</v>
      </c>
      <c r="G2410" s="127" t="n">
        <v>46514</v>
      </c>
      <c r="H2410" s="127" t="n">
        <v>46293</v>
      </c>
      <c r="I2410" s="4" t="n">
        <v>0</v>
      </c>
      <c r="J2410" s="4" t="n">
        <v>0</v>
      </c>
      <c r="K2410" s="4" t="n">
        <v>0</v>
      </c>
      <c r="M2410" s="2" t="str">
        <f aca="false">IF(C2410="","",IFERROR(INDEX($S$5:$S$304,MATCH(C2410,$R$5:$R$304,0))&amp;"","?"))</f>
        <v>25</v>
      </c>
      <c r="N2410" s="2" t="n">
        <f aca="false">IF(E2410="","",IF(ISNUMBER(SEARCH("SUBSOLO",E2410)),IFERROR(-VALUE(LEFT(E2410,FIND("º",SUBSTITUTE(E2410,"°","º"))-1)),-1),IF(LEFT(E2410,6)="TÉRREO",0,IFERROR(VALUE(LEFT(E2410,FIND("º",SUBSTITUTE(E2410,"°","º"))-1)),""))))</f>
        <v>18</v>
      </c>
      <c r="O2410" s="2" t="str">
        <f aca="false">IF(OR(F2410="",G2410=""),"",IF(G2410&lt;='RETRATO 2027'!$K$5,"CONCLUÍDA",IF(F2410&lt;='RETRATO 2027'!$K$5,"EM ANDAMENTO","A INICIAR")))</f>
        <v>CONCLUÍDA</v>
      </c>
    </row>
    <row r="2411" customFormat="false" ht="15" hidden="false" customHeight="false" outlineLevel="0" collapsed="false">
      <c r="B2411" s="4" t="n">
        <v>26745044</v>
      </c>
      <c r="C2411" s="4" t="s">
        <v>2814</v>
      </c>
      <c r="D2411" s="4" t="s">
        <v>433</v>
      </c>
      <c r="E2411" s="4" t="s">
        <v>3659</v>
      </c>
      <c r="F2411" s="127" t="n">
        <v>46506</v>
      </c>
      <c r="G2411" s="127" t="n">
        <v>46517</v>
      </c>
      <c r="H2411" s="127" t="n">
        <v>46293</v>
      </c>
      <c r="I2411" s="4" t="n">
        <v>0</v>
      </c>
      <c r="J2411" s="4" t="n">
        <v>0</v>
      </c>
      <c r="K2411" s="4" t="n">
        <v>0</v>
      </c>
      <c r="M2411" s="2" t="str">
        <f aca="false">IF(C2411="","",IFERROR(INDEX($S$5:$S$304,MATCH(C2411,$R$5:$R$304,0))&amp;"","?"))</f>
        <v>28</v>
      </c>
      <c r="N2411" s="2" t="n">
        <f aca="false">IF(E2411="","",IF(ISNUMBER(SEARCH("SUBSOLO",E2411)),IFERROR(-VALUE(LEFT(E2411,FIND("º",SUBSTITUTE(E2411,"°","º"))-1)),-1),IF(LEFT(E2411,6)="TÉRREO",0,IFERROR(VALUE(LEFT(E2411,FIND("º",SUBSTITUTE(E2411,"°","º"))-1)),""))))</f>
        <v>1</v>
      </c>
      <c r="O2411" s="2" t="str">
        <f aca="false">IF(OR(F2411="",G2411=""),"",IF(G2411&lt;='RETRATO 2027'!$K$5,"CONCLUÍDA",IF(F2411&lt;='RETRATO 2027'!$K$5,"EM ANDAMENTO","A INICIAR")))</f>
        <v>CONCLUÍDA</v>
      </c>
    </row>
    <row r="2412" customFormat="false" ht="15" hidden="false" customHeight="false" outlineLevel="0" collapsed="false">
      <c r="B2412" s="4" t="n">
        <v>26790179</v>
      </c>
      <c r="C2412" s="4" t="s">
        <v>2995</v>
      </c>
      <c r="D2412" s="4" t="s">
        <v>433</v>
      </c>
      <c r="E2412" s="4" t="s">
        <v>3659</v>
      </c>
      <c r="F2412" s="127" t="n">
        <v>46506</v>
      </c>
      <c r="G2412" s="127" t="n">
        <v>46567</v>
      </c>
      <c r="H2412" s="127" t="n">
        <v>46293</v>
      </c>
      <c r="I2412" s="4" t="n">
        <v>0</v>
      </c>
      <c r="J2412" s="4" t="n">
        <v>0</v>
      </c>
      <c r="K2412" s="4" t="n">
        <v>0</v>
      </c>
      <c r="M2412" s="2" t="str">
        <f aca="false">IF(C2412="","",IFERROR(INDEX($S$5:$S$304,MATCH(C2412,$R$5:$R$304,0))&amp;"","?"))</f>
        <v>31</v>
      </c>
      <c r="N2412" s="2" t="n">
        <f aca="false">IF(E2412="","",IF(ISNUMBER(SEARCH("SUBSOLO",E2412)),IFERROR(-VALUE(LEFT(E2412,FIND("º",SUBSTITUTE(E2412,"°","º"))-1)),-1),IF(LEFT(E2412,6)="TÉRREO",0,IFERROR(VALUE(LEFT(E2412,FIND("º",SUBSTITUTE(E2412,"°","º"))-1)),""))))</f>
        <v>1</v>
      </c>
      <c r="O2412" s="2" t="str">
        <f aca="false">IF(OR(F2412="",G2412=""),"",IF(G2412&lt;='RETRATO 2027'!$K$5,"CONCLUÍDA",IF(F2412&lt;='RETRATO 2027'!$K$5,"EM ANDAMENTO","A INICIAR")))</f>
        <v>CONCLUÍDA</v>
      </c>
    </row>
    <row r="2413" customFormat="false" ht="15" hidden="false" customHeight="false" outlineLevel="0" collapsed="false">
      <c r="B2413" s="4" t="n">
        <v>26743100</v>
      </c>
      <c r="C2413" s="4" t="s">
        <v>2896</v>
      </c>
      <c r="D2413" s="4" t="s">
        <v>433</v>
      </c>
      <c r="E2413" s="4" t="s">
        <v>3779</v>
      </c>
      <c r="F2413" s="127" t="n">
        <v>46506</v>
      </c>
      <c r="G2413" s="127" t="n">
        <v>46517</v>
      </c>
      <c r="H2413" s="127" t="n">
        <v>46293</v>
      </c>
      <c r="I2413" s="4" t="n">
        <v>0</v>
      </c>
      <c r="J2413" s="4" t="n">
        <v>0</v>
      </c>
      <c r="K2413" s="4" t="n">
        <v>0</v>
      </c>
      <c r="M2413" s="2" t="str">
        <f aca="false">IF(C2413="","",IFERROR(INDEX($S$5:$S$304,MATCH(C2413,$R$5:$R$304,0))&amp;"","?"))</f>
        <v>20</v>
      </c>
      <c r="N2413" s="2" t="n">
        <f aca="false">IF(E2413="","",IF(ISNUMBER(SEARCH("SUBSOLO",E2413)),IFERROR(-VALUE(LEFT(E2413,FIND("º",SUBSTITUTE(E2413,"°","º"))-1)),-1),IF(LEFT(E2413,6)="TÉRREO",0,IFERROR(VALUE(LEFT(E2413,FIND("º",SUBSTITUTE(E2413,"°","º"))-1)),""))))</f>
        <v>19</v>
      </c>
      <c r="O2413" s="2" t="str">
        <f aca="false">IF(OR(F2413="",G2413=""),"",IF(G2413&lt;='RETRATO 2027'!$K$5,"CONCLUÍDA",IF(F2413&lt;='RETRATO 2027'!$K$5,"EM ANDAMENTO","A INICIAR")))</f>
        <v>CONCLUÍDA</v>
      </c>
    </row>
    <row r="2414" customFormat="false" ht="15" hidden="false" customHeight="false" outlineLevel="0" collapsed="false">
      <c r="B2414" s="4" t="n">
        <v>29844473</v>
      </c>
      <c r="C2414" s="4" t="s">
        <v>2898</v>
      </c>
      <c r="D2414" s="4" t="s">
        <v>433</v>
      </c>
      <c r="E2414" s="4" t="s">
        <v>3779</v>
      </c>
      <c r="F2414" s="127" t="n">
        <v>46506</v>
      </c>
      <c r="G2414" s="127" t="n">
        <v>46514</v>
      </c>
      <c r="H2414" s="127" t="n">
        <v>46293</v>
      </c>
      <c r="I2414" s="4" t="n">
        <v>0</v>
      </c>
      <c r="J2414" s="4" t="n">
        <v>0</v>
      </c>
      <c r="K2414" s="4" t="n">
        <v>0</v>
      </c>
      <c r="M2414" s="2" t="str">
        <f aca="false">IF(C2414="","",IFERROR(INDEX($S$5:$S$304,MATCH(C2414,$R$5:$R$304,0))&amp;"","?"))</f>
        <v>29</v>
      </c>
      <c r="N2414" s="2" t="n">
        <f aca="false">IF(E2414="","",IF(ISNUMBER(SEARCH("SUBSOLO",E2414)),IFERROR(-VALUE(LEFT(E2414,FIND("º",SUBSTITUTE(E2414,"°","º"))-1)),-1),IF(LEFT(E2414,6)="TÉRREO",0,IFERROR(VALUE(LEFT(E2414,FIND("º",SUBSTITUTE(E2414,"°","º"))-1)),""))))</f>
        <v>19</v>
      </c>
      <c r="O2414" s="2" t="str">
        <f aca="false">IF(OR(F2414="",G2414=""),"",IF(G2414&lt;='RETRATO 2027'!$K$5,"CONCLUÍDA",IF(F2414&lt;='RETRATO 2027'!$K$5,"EM ANDAMENTO","A INICIAR")))</f>
        <v>CONCLUÍDA</v>
      </c>
    </row>
    <row r="2415" customFormat="false" ht="15" hidden="false" customHeight="false" outlineLevel="0" collapsed="false">
      <c r="B2415" s="4" t="n">
        <v>26743056</v>
      </c>
      <c r="C2415" s="4" t="s">
        <v>2886</v>
      </c>
      <c r="D2415" s="4" t="s">
        <v>433</v>
      </c>
      <c r="E2415" s="4" t="s">
        <v>3781</v>
      </c>
      <c r="F2415" s="127" t="n">
        <v>46506</v>
      </c>
      <c r="G2415" s="127" t="n">
        <v>46517</v>
      </c>
      <c r="H2415" s="127" t="n">
        <v>46293</v>
      </c>
      <c r="I2415" s="4" t="n">
        <v>0</v>
      </c>
      <c r="J2415" s="4" t="n">
        <v>0</v>
      </c>
      <c r="K2415" s="4" t="n">
        <v>0</v>
      </c>
      <c r="M2415" s="2" t="str">
        <f aca="false">IF(C2415="","",IFERROR(INDEX($S$5:$S$304,MATCH(C2415,$R$5:$R$304,0))&amp;"","?"))</f>
        <v>21</v>
      </c>
      <c r="N2415" s="2" t="n">
        <f aca="false">IF(E2415="","",IF(ISNUMBER(SEARCH("SUBSOLO",E2415)),IFERROR(-VALUE(LEFT(E2415,FIND("º",SUBSTITUTE(E2415,"°","º"))-1)),-1),IF(LEFT(E2415,6)="TÉRREO",0,IFERROR(VALUE(LEFT(E2415,FIND("º",SUBSTITUTE(E2415,"°","º"))-1)),""))))</f>
        <v>20</v>
      </c>
      <c r="O2415" s="2" t="str">
        <f aca="false">IF(OR(F2415="",G2415=""),"",IF(G2415&lt;='RETRATO 2027'!$K$5,"CONCLUÍDA",IF(F2415&lt;='RETRATO 2027'!$K$5,"EM ANDAMENTO","A INICIAR")))</f>
        <v>CONCLUÍDA</v>
      </c>
    </row>
    <row r="2416" customFormat="false" ht="15" hidden="false" customHeight="false" outlineLevel="0" collapsed="false">
      <c r="B2416" s="4" t="n">
        <v>29844649</v>
      </c>
      <c r="C2416" s="4" t="s">
        <v>2888</v>
      </c>
      <c r="D2416" s="4" t="s">
        <v>433</v>
      </c>
      <c r="E2416" s="4" t="s">
        <v>3781</v>
      </c>
      <c r="F2416" s="127" t="n">
        <v>46506</v>
      </c>
      <c r="G2416" s="127" t="n">
        <v>46517</v>
      </c>
      <c r="H2416" s="127" t="n">
        <v>46293</v>
      </c>
      <c r="I2416" s="4" t="n">
        <v>0</v>
      </c>
      <c r="J2416" s="4" t="n">
        <v>0</v>
      </c>
      <c r="K2416" s="4" t="n">
        <v>0</v>
      </c>
      <c r="M2416" s="2" t="str">
        <f aca="false">IF(C2416="","",IFERROR(INDEX($S$5:$S$304,MATCH(C2416,$R$5:$R$304,0))&amp;"","?"))</f>
        <v>20</v>
      </c>
      <c r="N2416" s="2" t="n">
        <f aca="false">IF(E2416="","",IF(ISNUMBER(SEARCH("SUBSOLO",E2416)),IFERROR(-VALUE(LEFT(E2416,FIND("º",SUBSTITUTE(E2416,"°","º"))-1)),-1),IF(LEFT(E2416,6)="TÉRREO",0,IFERROR(VALUE(LEFT(E2416,FIND("º",SUBSTITUTE(E2416,"°","º"))-1)),""))))</f>
        <v>20</v>
      </c>
      <c r="O2416" s="2" t="str">
        <f aca="false">IF(OR(F2416="",G2416=""),"",IF(G2416&lt;='RETRATO 2027'!$K$5,"CONCLUÍDA",IF(F2416&lt;='RETRATO 2027'!$K$5,"EM ANDAMENTO","A INICIAR")))</f>
        <v>CONCLUÍDA</v>
      </c>
    </row>
    <row r="2417" customFormat="false" ht="15" hidden="false" customHeight="false" outlineLevel="0" collapsed="false">
      <c r="B2417" s="4" t="n">
        <v>24938761</v>
      </c>
      <c r="C2417" s="4" t="s">
        <v>2705</v>
      </c>
      <c r="D2417" s="4" t="s">
        <v>433</v>
      </c>
      <c r="E2417" s="4" t="s">
        <v>3803</v>
      </c>
      <c r="F2417" s="127" t="n">
        <v>46506</v>
      </c>
      <c r="G2417" s="127" t="n">
        <v>46518</v>
      </c>
      <c r="H2417" s="127" t="n">
        <v>46293</v>
      </c>
      <c r="I2417" s="4" t="n">
        <v>0</v>
      </c>
      <c r="J2417" s="4" t="n">
        <v>0</v>
      </c>
      <c r="K2417" s="4" t="n">
        <v>0</v>
      </c>
      <c r="M2417" s="2" t="str">
        <f aca="false">IF(C2417="","",IFERROR(INDEX($S$5:$S$304,MATCH(C2417,$R$5:$R$304,0))&amp;"","?"))</f>
        <v>17</v>
      </c>
      <c r="N2417" s="2" t="n">
        <f aca="false">IF(E2417="","",IF(ISNUMBER(SEARCH("SUBSOLO",E2417)),IFERROR(-VALUE(LEFT(E2417,FIND("º",SUBSTITUTE(E2417,"°","º"))-1)),-1),IF(LEFT(E2417,6)="TÉRREO",0,IFERROR(VALUE(LEFT(E2417,FIND("º",SUBSTITUTE(E2417,"°","º"))-1)),""))))</f>
        <v>29</v>
      </c>
      <c r="O2417" s="2" t="str">
        <f aca="false">IF(OR(F2417="",G2417=""),"",IF(G2417&lt;='RETRATO 2027'!$K$5,"CONCLUÍDA",IF(F2417&lt;='RETRATO 2027'!$K$5,"EM ANDAMENTO","A INICIAR")))</f>
        <v>CONCLUÍDA</v>
      </c>
    </row>
    <row r="2418" customFormat="false" ht="15" hidden="false" customHeight="false" outlineLevel="0" collapsed="false">
      <c r="B2418" s="4" t="n">
        <v>9359960</v>
      </c>
      <c r="C2418" s="4" t="s">
        <v>2705</v>
      </c>
      <c r="D2418" s="4" t="s">
        <v>3244</v>
      </c>
      <c r="E2418" s="4" t="s">
        <v>3803</v>
      </c>
      <c r="F2418" s="127" t="n">
        <v>46506</v>
      </c>
      <c r="G2418" s="127" t="n">
        <v>46510</v>
      </c>
      <c r="H2418" s="127" t="n">
        <v>46293</v>
      </c>
      <c r="I2418" s="4" t="n">
        <v>0</v>
      </c>
      <c r="J2418" s="4" t="n">
        <v>0</v>
      </c>
      <c r="K2418" s="4" t="n">
        <v>0</v>
      </c>
      <c r="M2418" s="2" t="str">
        <f aca="false">IF(C2418="","",IFERROR(INDEX($S$5:$S$304,MATCH(C2418,$R$5:$R$304,0))&amp;"","?"))</f>
        <v>17</v>
      </c>
      <c r="N2418" s="2" t="n">
        <f aca="false">IF(E2418="","",IF(ISNUMBER(SEARCH("SUBSOLO",E2418)),IFERROR(-VALUE(LEFT(E2418,FIND("º",SUBSTITUTE(E2418,"°","º"))-1)),-1),IF(LEFT(E2418,6)="TÉRREO",0,IFERROR(VALUE(LEFT(E2418,FIND("º",SUBSTITUTE(E2418,"°","º"))-1)),""))))</f>
        <v>29</v>
      </c>
      <c r="O2418" s="2" t="str">
        <f aca="false">IF(OR(F2418="",G2418=""),"",IF(G2418&lt;='RETRATO 2027'!$K$5,"CONCLUÍDA",IF(F2418&lt;='RETRATO 2027'!$K$5,"EM ANDAMENTO","A INICIAR")))</f>
        <v>CONCLUÍDA</v>
      </c>
    </row>
    <row r="2419" customFormat="false" ht="15" hidden="false" customHeight="false" outlineLevel="0" collapsed="false">
      <c r="B2419" s="4" t="n">
        <v>9359961</v>
      </c>
      <c r="C2419" s="4" t="s">
        <v>2705</v>
      </c>
      <c r="D2419" s="4" t="s">
        <v>3245</v>
      </c>
      <c r="E2419" s="4" t="s">
        <v>3803</v>
      </c>
      <c r="F2419" s="127" t="n">
        <v>46506</v>
      </c>
      <c r="G2419" s="127" t="n">
        <v>46510</v>
      </c>
      <c r="H2419" s="127" t="n">
        <v>46293</v>
      </c>
      <c r="I2419" s="4" t="n">
        <v>0</v>
      </c>
      <c r="J2419" s="4" t="n">
        <v>0</v>
      </c>
      <c r="K2419" s="4" t="n">
        <v>0</v>
      </c>
      <c r="M2419" s="2" t="str">
        <f aca="false">IF(C2419="","",IFERROR(INDEX($S$5:$S$304,MATCH(C2419,$R$5:$R$304,0))&amp;"","?"))</f>
        <v>17</v>
      </c>
      <c r="N2419" s="2" t="n">
        <f aca="false">IF(E2419="","",IF(ISNUMBER(SEARCH("SUBSOLO",E2419)),IFERROR(-VALUE(LEFT(E2419,FIND("º",SUBSTITUTE(E2419,"°","º"))-1)),-1),IF(LEFT(E2419,6)="TÉRREO",0,IFERROR(VALUE(LEFT(E2419,FIND("º",SUBSTITUTE(E2419,"°","º"))-1)),""))))</f>
        <v>29</v>
      </c>
      <c r="O2419" s="2" t="str">
        <f aca="false">IF(OR(F2419="",G2419=""),"",IF(G2419&lt;='RETRATO 2027'!$K$5,"CONCLUÍDA",IF(F2419&lt;='RETRATO 2027'!$K$5,"EM ANDAMENTO","A INICIAR")))</f>
        <v>CONCLUÍDA</v>
      </c>
    </row>
    <row r="2420" customFormat="false" ht="15" hidden="false" customHeight="false" outlineLevel="0" collapsed="false">
      <c r="B2420" s="4" t="n">
        <v>9359962</v>
      </c>
      <c r="C2420" s="4" t="s">
        <v>2705</v>
      </c>
      <c r="D2420" s="4" t="s">
        <v>3246</v>
      </c>
      <c r="E2420" s="4" t="s">
        <v>3803</v>
      </c>
      <c r="F2420" s="127" t="n">
        <v>46507</v>
      </c>
      <c r="G2420" s="127" t="n">
        <v>46511</v>
      </c>
      <c r="H2420" s="127" t="n">
        <v>46293</v>
      </c>
      <c r="I2420" s="4" t="n">
        <v>0</v>
      </c>
      <c r="J2420" s="4" t="n">
        <v>0</v>
      </c>
      <c r="K2420" s="4" t="n">
        <v>0</v>
      </c>
      <c r="M2420" s="2" t="str">
        <f aca="false">IF(C2420="","",IFERROR(INDEX($S$5:$S$304,MATCH(C2420,$R$5:$R$304,0))&amp;"","?"))</f>
        <v>17</v>
      </c>
      <c r="N2420" s="2" t="n">
        <f aca="false">IF(E2420="","",IF(ISNUMBER(SEARCH("SUBSOLO",E2420)),IFERROR(-VALUE(LEFT(E2420,FIND("º",SUBSTITUTE(E2420,"°","º"))-1)),-1),IF(LEFT(E2420,6)="TÉRREO",0,IFERROR(VALUE(LEFT(E2420,FIND("º",SUBSTITUTE(E2420,"°","º"))-1)),""))))</f>
        <v>29</v>
      </c>
      <c r="O2420" s="2" t="str">
        <f aca="false">IF(OR(F2420="",G2420=""),"",IF(G2420&lt;='RETRATO 2027'!$K$5,"CONCLUÍDA",IF(F2420&lt;='RETRATO 2027'!$K$5,"EM ANDAMENTO","A INICIAR")))</f>
        <v>CONCLUÍDA</v>
      </c>
    </row>
    <row r="2421" customFormat="false" ht="15" hidden="false" customHeight="false" outlineLevel="0" collapsed="false">
      <c r="B2421" s="4" t="n">
        <v>9359963</v>
      </c>
      <c r="C2421" s="4" t="s">
        <v>2705</v>
      </c>
      <c r="D2421" s="4" t="s">
        <v>3247</v>
      </c>
      <c r="E2421" s="4" t="s">
        <v>3803</v>
      </c>
      <c r="F2421" s="127" t="n">
        <v>46512</v>
      </c>
      <c r="G2421" s="127" t="n">
        <v>46512</v>
      </c>
      <c r="H2421" s="127" t="n">
        <v>46293</v>
      </c>
      <c r="I2421" s="4" t="n">
        <v>0</v>
      </c>
      <c r="J2421" s="4" t="n">
        <v>0</v>
      </c>
      <c r="K2421" s="4" t="n">
        <v>0</v>
      </c>
      <c r="M2421" s="2" t="str">
        <f aca="false">IF(C2421="","",IFERROR(INDEX($S$5:$S$304,MATCH(C2421,$R$5:$R$304,0))&amp;"","?"))</f>
        <v>17</v>
      </c>
      <c r="N2421" s="2" t="n">
        <f aca="false">IF(E2421="","",IF(ISNUMBER(SEARCH("SUBSOLO",E2421)),IFERROR(-VALUE(LEFT(E2421,FIND("º",SUBSTITUTE(E2421,"°","º"))-1)),-1),IF(LEFT(E2421,6)="TÉRREO",0,IFERROR(VALUE(LEFT(E2421,FIND("º",SUBSTITUTE(E2421,"°","º"))-1)),""))))</f>
        <v>29</v>
      </c>
      <c r="O2421" s="2" t="str">
        <f aca="false">IF(OR(F2421="",G2421=""),"",IF(G2421&lt;='RETRATO 2027'!$K$5,"CONCLUÍDA",IF(F2421&lt;='RETRATO 2027'!$K$5,"EM ANDAMENTO","A INICIAR")))</f>
        <v>CONCLUÍDA</v>
      </c>
    </row>
    <row r="2422" customFormat="false" ht="15" hidden="false" customHeight="false" outlineLevel="0" collapsed="false">
      <c r="B2422" s="4" t="n">
        <v>9359964</v>
      </c>
      <c r="C2422" s="4" t="s">
        <v>2705</v>
      </c>
      <c r="D2422" s="4" t="s">
        <v>3248</v>
      </c>
      <c r="E2422" s="4" t="s">
        <v>3803</v>
      </c>
      <c r="F2422" s="127" t="n">
        <v>46511</v>
      </c>
      <c r="G2422" s="127" t="n">
        <v>46517</v>
      </c>
      <c r="H2422" s="127" t="n">
        <v>46293</v>
      </c>
      <c r="I2422" s="4" t="n">
        <v>0</v>
      </c>
      <c r="J2422" s="4" t="n">
        <v>0</v>
      </c>
      <c r="K2422" s="4" t="n">
        <v>0</v>
      </c>
      <c r="M2422" s="2" t="str">
        <f aca="false">IF(C2422="","",IFERROR(INDEX($S$5:$S$304,MATCH(C2422,$R$5:$R$304,0))&amp;"","?"))</f>
        <v>17</v>
      </c>
      <c r="N2422" s="2" t="n">
        <f aca="false">IF(E2422="","",IF(ISNUMBER(SEARCH("SUBSOLO",E2422)),IFERROR(-VALUE(LEFT(E2422,FIND("º",SUBSTITUTE(E2422,"°","º"))-1)),-1),IF(LEFT(E2422,6)="TÉRREO",0,IFERROR(VALUE(LEFT(E2422,FIND("º",SUBSTITUTE(E2422,"°","º"))-1)),""))))</f>
        <v>29</v>
      </c>
      <c r="O2422" s="2" t="str">
        <f aca="false">IF(OR(F2422="",G2422=""),"",IF(G2422&lt;='RETRATO 2027'!$K$5,"CONCLUÍDA",IF(F2422&lt;='RETRATO 2027'!$K$5,"EM ANDAMENTO","A INICIAR")))</f>
        <v>CONCLUÍDA</v>
      </c>
    </row>
    <row r="2423" customFormat="false" ht="15" hidden="false" customHeight="false" outlineLevel="0" collapsed="false">
      <c r="B2423" s="4" t="n">
        <v>9359965</v>
      </c>
      <c r="C2423" s="4" t="s">
        <v>2705</v>
      </c>
      <c r="D2423" s="4" t="s">
        <v>3249</v>
      </c>
      <c r="E2423" s="4" t="s">
        <v>3803</v>
      </c>
      <c r="F2423" s="127" t="n">
        <v>46512</v>
      </c>
      <c r="G2423" s="127" t="n">
        <v>46518</v>
      </c>
      <c r="H2423" s="127" t="n">
        <v>46293</v>
      </c>
      <c r="I2423" s="4" t="n">
        <v>0</v>
      </c>
      <c r="J2423" s="4" t="n">
        <v>0</v>
      </c>
      <c r="K2423" s="4" t="n">
        <v>0</v>
      </c>
      <c r="M2423" s="2" t="str">
        <f aca="false">IF(C2423="","",IFERROR(INDEX($S$5:$S$304,MATCH(C2423,$R$5:$R$304,0))&amp;"","?"))</f>
        <v>17</v>
      </c>
      <c r="N2423" s="2" t="n">
        <f aca="false">IF(E2423="","",IF(ISNUMBER(SEARCH("SUBSOLO",E2423)),IFERROR(-VALUE(LEFT(E2423,FIND("º",SUBSTITUTE(E2423,"°","º"))-1)),-1),IF(LEFT(E2423,6)="TÉRREO",0,IFERROR(VALUE(LEFT(E2423,FIND("º",SUBSTITUTE(E2423,"°","º"))-1)),""))))</f>
        <v>29</v>
      </c>
      <c r="O2423" s="2" t="str">
        <f aca="false">IF(OR(F2423="",G2423=""),"",IF(G2423&lt;='RETRATO 2027'!$K$5,"CONCLUÍDA",IF(F2423&lt;='RETRATO 2027'!$K$5,"EM ANDAMENTO","A INICIAR")))</f>
        <v>CONCLUÍDA</v>
      </c>
    </row>
    <row r="2424" customFormat="false" ht="15" hidden="false" customHeight="false" outlineLevel="0" collapsed="false">
      <c r="B2424" s="4" t="n">
        <v>9359966</v>
      </c>
      <c r="C2424" s="4" t="s">
        <v>2705</v>
      </c>
      <c r="D2424" s="4" t="s">
        <v>3250</v>
      </c>
      <c r="E2424" s="4" t="s">
        <v>3803</v>
      </c>
      <c r="F2424" s="127" t="n">
        <v>46517</v>
      </c>
      <c r="G2424" s="127" t="n">
        <v>46517</v>
      </c>
      <c r="H2424" s="127" t="n">
        <v>46293</v>
      </c>
      <c r="I2424" s="4" t="n">
        <v>0</v>
      </c>
      <c r="J2424" s="4" t="n">
        <v>0</v>
      </c>
      <c r="K2424" s="4" t="n">
        <v>0</v>
      </c>
      <c r="M2424" s="2" t="str">
        <f aca="false">IF(C2424="","",IFERROR(INDEX($S$5:$S$304,MATCH(C2424,$R$5:$R$304,0))&amp;"","?"))</f>
        <v>17</v>
      </c>
      <c r="N2424" s="2" t="n">
        <f aca="false">IF(E2424="","",IF(ISNUMBER(SEARCH("SUBSOLO",E2424)),IFERROR(-VALUE(LEFT(E2424,FIND("º",SUBSTITUTE(E2424,"°","º"))-1)),-1),IF(LEFT(E2424,6)="TÉRREO",0,IFERROR(VALUE(LEFT(E2424,FIND("º",SUBSTITUTE(E2424,"°","º"))-1)),""))))</f>
        <v>29</v>
      </c>
      <c r="O2424" s="2" t="str">
        <f aca="false">IF(OR(F2424="",G2424=""),"",IF(G2424&lt;='RETRATO 2027'!$K$5,"CONCLUÍDA",IF(F2424&lt;='RETRATO 2027'!$K$5,"EM ANDAMENTO","A INICIAR")))</f>
        <v>CONCLUÍDA</v>
      </c>
    </row>
    <row r="2425" customFormat="false" ht="15" hidden="false" customHeight="false" outlineLevel="0" collapsed="false">
      <c r="B2425" s="4" t="n">
        <v>9359967</v>
      </c>
      <c r="C2425" s="4" t="s">
        <v>2705</v>
      </c>
      <c r="D2425" s="4" t="s">
        <v>3251</v>
      </c>
      <c r="E2425" s="4" t="s">
        <v>3803</v>
      </c>
      <c r="F2425" s="127" t="n">
        <v>46517</v>
      </c>
      <c r="G2425" s="127" t="n">
        <v>46517</v>
      </c>
      <c r="H2425" s="127" t="n">
        <v>46293</v>
      </c>
      <c r="I2425" s="4" t="n">
        <v>0</v>
      </c>
      <c r="J2425" s="4" t="n">
        <v>0</v>
      </c>
      <c r="K2425" s="4" t="n">
        <v>0</v>
      </c>
      <c r="M2425" s="2" t="str">
        <f aca="false">IF(C2425="","",IFERROR(INDEX($S$5:$S$304,MATCH(C2425,$R$5:$R$304,0))&amp;"","?"))</f>
        <v>17</v>
      </c>
      <c r="N2425" s="2" t="n">
        <f aca="false">IF(E2425="","",IF(ISNUMBER(SEARCH("SUBSOLO",E2425)),IFERROR(-VALUE(LEFT(E2425,FIND("º",SUBSTITUTE(E2425,"°","º"))-1)),-1),IF(LEFT(E2425,6)="TÉRREO",0,IFERROR(VALUE(LEFT(E2425,FIND("º",SUBSTITUTE(E2425,"°","º"))-1)),""))))</f>
        <v>29</v>
      </c>
      <c r="O2425" s="2" t="str">
        <f aca="false">IF(OR(F2425="",G2425=""),"",IF(G2425&lt;='RETRATO 2027'!$K$5,"CONCLUÍDA",IF(F2425&lt;='RETRATO 2027'!$K$5,"EM ANDAMENTO","A INICIAR")))</f>
        <v>CONCLUÍDA</v>
      </c>
    </row>
    <row r="2426" customFormat="false" ht="15" hidden="false" customHeight="false" outlineLevel="0" collapsed="false">
      <c r="B2426" s="4" t="n">
        <v>9359968</v>
      </c>
      <c r="C2426" s="4" t="s">
        <v>2705</v>
      </c>
      <c r="D2426" s="4" t="s">
        <v>3252</v>
      </c>
      <c r="E2426" s="4" t="s">
        <v>3803</v>
      </c>
      <c r="F2426" s="127" t="n">
        <v>46518</v>
      </c>
      <c r="G2426" s="127" t="n">
        <v>46518</v>
      </c>
      <c r="H2426" s="127" t="n">
        <v>46293</v>
      </c>
      <c r="I2426" s="4" t="n">
        <v>0</v>
      </c>
      <c r="J2426" s="4" t="n">
        <v>0</v>
      </c>
      <c r="K2426" s="4" t="n">
        <v>0</v>
      </c>
      <c r="M2426" s="2" t="str">
        <f aca="false">IF(C2426="","",IFERROR(INDEX($S$5:$S$304,MATCH(C2426,$R$5:$R$304,0))&amp;"","?"))</f>
        <v>17</v>
      </c>
      <c r="N2426" s="2" t="n">
        <f aca="false">IF(E2426="","",IF(ISNUMBER(SEARCH("SUBSOLO",E2426)),IFERROR(-VALUE(LEFT(E2426,FIND("º",SUBSTITUTE(E2426,"°","º"))-1)),-1),IF(LEFT(E2426,6)="TÉRREO",0,IFERROR(VALUE(LEFT(E2426,FIND("º",SUBSTITUTE(E2426,"°","º"))-1)),""))))</f>
        <v>29</v>
      </c>
      <c r="O2426" s="2" t="str">
        <f aca="false">IF(OR(F2426="",G2426=""),"",IF(G2426&lt;='RETRATO 2027'!$K$5,"CONCLUÍDA",IF(F2426&lt;='RETRATO 2027'!$K$5,"EM ANDAMENTO","A INICIAR")))</f>
        <v>CONCLUÍDA</v>
      </c>
    </row>
    <row r="2427" customFormat="false" ht="15" hidden="false" customHeight="false" outlineLevel="0" collapsed="false">
      <c r="B2427" s="4" t="n">
        <v>26744483</v>
      </c>
      <c r="C2427" s="4" t="s">
        <v>163</v>
      </c>
      <c r="D2427" s="4" t="s">
        <v>433</v>
      </c>
      <c r="E2427" s="4" t="s">
        <v>3804</v>
      </c>
      <c r="F2427" s="127" t="n">
        <v>46507</v>
      </c>
      <c r="G2427" s="127" t="n">
        <v>46539</v>
      </c>
      <c r="H2427" s="127" t="n">
        <v>46293</v>
      </c>
      <c r="I2427" s="4" t="n">
        <v>0</v>
      </c>
      <c r="J2427" s="4" t="n">
        <v>0</v>
      </c>
      <c r="K2427" s="4" t="n">
        <v>0</v>
      </c>
      <c r="M2427" s="2" t="str">
        <f aca="false">IF(C2427="","",IFERROR(INDEX($S$5:$S$304,MATCH(C2427,$R$5:$R$304,0))&amp;"","?"))</f>
        <v>18</v>
      </c>
      <c r="N2427" s="2" t="n">
        <f aca="false">IF(E2427="","",IF(ISNUMBER(SEARCH("SUBSOLO",E2427)),IFERROR(-VALUE(LEFT(E2427,FIND("º",SUBSTITUTE(E2427,"°","º"))-1)),-1),IF(LEFT(E2427,6)="TÉRREO",0,IFERROR(VALUE(LEFT(E2427,FIND("º",SUBSTITUTE(E2427,"°","º"))-1)),""))))</f>
        <v>3</v>
      </c>
      <c r="O2427" s="2" t="str">
        <f aca="false">IF(OR(F2427="",G2427=""),"",IF(G2427&lt;='RETRATO 2027'!$K$5,"CONCLUÍDA",IF(F2427&lt;='RETRATO 2027'!$K$5,"EM ANDAMENTO","A INICIAR")))</f>
        <v>CONCLUÍDA</v>
      </c>
    </row>
    <row r="2428" customFormat="false" ht="15" hidden="false" customHeight="false" outlineLevel="0" collapsed="false">
      <c r="B2428" s="4" t="n">
        <v>26744389</v>
      </c>
      <c r="C2428" s="4" t="s">
        <v>2906</v>
      </c>
      <c r="D2428" s="4" t="s">
        <v>433</v>
      </c>
      <c r="E2428" s="4" t="s">
        <v>3796</v>
      </c>
      <c r="F2428" s="127" t="n">
        <v>46507</v>
      </c>
      <c r="G2428" s="127" t="n">
        <v>46539</v>
      </c>
      <c r="H2428" s="127" t="n">
        <v>46293</v>
      </c>
      <c r="I2428" s="4" t="n">
        <v>0</v>
      </c>
      <c r="J2428" s="4" t="n">
        <v>0</v>
      </c>
      <c r="K2428" s="4" t="n">
        <v>0</v>
      </c>
      <c r="M2428" s="2" t="str">
        <f aca="false">IF(C2428="","",IFERROR(INDEX($S$5:$S$304,MATCH(C2428,$R$5:$R$304,0))&amp;"","?"))</f>
        <v>19</v>
      </c>
      <c r="N2428" s="2" t="n">
        <f aca="false">IF(E2428="","",IF(ISNUMBER(SEARCH("SUBSOLO",E2428)),IFERROR(-VALUE(LEFT(E2428,FIND("º",SUBSTITUTE(E2428,"°","º"))-1)),-1),IF(LEFT(E2428,6)="TÉRREO",0,IFERROR(VALUE(LEFT(E2428,FIND("º",SUBSTITUTE(E2428,"°","º"))-1)),""))))</f>
        <v>3</v>
      </c>
      <c r="O2428" s="2" t="str">
        <f aca="false">IF(OR(F2428="",G2428=""),"",IF(G2428&lt;='RETRATO 2027'!$K$5,"CONCLUÍDA",IF(F2428&lt;='RETRATO 2027'!$K$5,"EM ANDAMENTO","A INICIAR")))</f>
        <v>CONCLUÍDA</v>
      </c>
    </row>
    <row r="2429" customFormat="false" ht="15" hidden="false" customHeight="false" outlineLevel="0" collapsed="false">
      <c r="B2429" s="4" t="n">
        <v>26744390</v>
      </c>
      <c r="C2429" s="4" t="s">
        <v>2808</v>
      </c>
      <c r="D2429" s="4" t="s">
        <v>433</v>
      </c>
      <c r="E2429" s="4" t="s">
        <v>3780</v>
      </c>
      <c r="F2429" s="127" t="n">
        <v>46507</v>
      </c>
      <c r="G2429" s="127" t="n">
        <v>46539</v>
      </c>
      <c r="H2429" s="127" t="n">
        <v>46293</v>
      </c>
      <c r="I2429" s="4" t="n">
        <v>0</v>
      </c>
      <c r="J2429" s="4" t="n">
        <v>0</v>
      </c>
      <c r="K2429" s="4" t="n">
        <v>0</v>
      </c>
      <c r="M2429" s="2" t="str">
        <f aca="false">IF(C2429="","",IFERROR(INDEX($S$5:$S$304,MATCH(C2429,$R$5:$R$304,0))&amp;"","?"))</f>
        <v>29</v>
      </c>
      <c r="N2429" s="2" t="n">
        <f aca="false">IF(E2429="","",IF(ISNUMBER(SEARCH("SUBSOLO",E2429)),IFERROR(-VALUE(LEFT(E2429,FIND("º",SUBSTITUTE(E2429,"°","º"))-1)),-1),IF(LEFT(E2429,6)="TÉRREO",0,IFERROR(VALUE(LEFT(E2429,FIND("º",SUBSTITUTE(E2429,"°","º"))-1)),""))))</f>
        <v>3</v>
      </c>
      <c r="O2429" s="2" t="str">
        <f aca="false">IF(OR(F2429="",G2429=""),"",IF(G2429&lt;='RETRATO 2027'!$K$5,"CONCLUÍDA",IF(F2429&lt;='RETRATO 2027'!$K$5,"EM ANDAMENTO","A INICIAR")))</f>
        <v>CONCLUÍDA</v>
      </c>
    </row>
    <row r="2430" customFormat="false" ht="15" hidden="false" customHeight="false" outlineLevel="0" collapsed="false">
      <c r="B2430" s="4" t="n">
        <v>26743644</v>
      </c>
      <c r="C2430" s="4" t="s">
        <v>2997</v>
      </c>
      <c r="D2430" s="4" t="s">
        <v>433</v>
      </c>
      <c r="E2430" s="4" t="s">
        <v>3668</v>
      </c>
      <c r="F2430" s="127" t="n">
        <v>46510</v>
      </c>
      <c r="G2430" s="127" t="n">
        <v>46519</v>
      </c>
      <c r="H2430" s="127" t="n">
        <v>46293</v>
      </c>
      <c r="I2430" s="4" t="n">
        <v>0</v>
      </c>
      <c r="J2430" s="4" t="n">
        <v>0</v>
      </c>
      <c r="K2430" s="4" t="n">
        <v>0</v>
      </c>
      <c r="M2430" s="2" t="str">
        <f aca="false">IF(C2430="","",IFERROR(INDEX($S$5:$S$304,MATCH(C2430,$R$5:$R$304,0))&amp;"","?"))</f>
        <v>35</v>
      </c>
      <c r="N2430" s="2" t="n">
        <f aca="false">IF(E2430="","",IF(ISNUMBER(SEARCH("SUBSOLO",E2430)),IFERROR(-VALUE(LEFT(E2430,FIND("º",SUBSTITUTE(E2430,"°","º"))-1)),-1),IF(LEFT(E2430,6)="TÉRREO",0,IFERROR(VALUE(LEFT(E2430,FIND("º",SUBSTITUTE(E2430,"°","º"))-1)),""))))</f>
        <v>4</v>
      </c>
      <c r="O2430" s="2" t="str">
        <f aca="false">IF(OR(F2430="",G2430=""),"",IF(G2430&lt;='RETRATO 2027'!$K$5,"CONCLUÍDA",IF(F2430&lt;='RETRATO 2027'!$K$5,"EM ANDAMENTO","A INICIAR")))</f>
        <v>CONCLUÍDA</v>
      </c>
    </row>
    <row r="2431" customFormat="false" ht="15" hidden="false" customHeight="false" outlineLevel="0" collapsed="false">
      <c r="B2431" s="4" t="n">
        <v>26743606</v>
      </c>
      <c r="C2431" s="4" t="s">
        <v>2980</v>
      </c>
      <c r="D2431" s="4" t="s">
        <v>433</v>
      </c>
      <c r="E2431" s="4" t="s">
        <v>3678</v>
      </c>
      <c r="F2431" s="127" t="n">
        <v>46510</v>
      </c>
      <c r="G2431" s="127" t="n">
        <v>46519</v>
      </c>
      <c r="H2431" s="127" t="n">
        <v>46293</v>
      </c>
      <c r="I2431" s="4" t="n">
        <v>0</v>
      </c>
      <c r="J2431" s="4" t="n">
        <v>0</v>
      </c>
      <c r="K2431" s="4" t="n">
        <v>0</v>
      </c>
      <c r="M2431" s="2" t="str">
        <f aca="false">IF(C2431="","",IFERROR(INDEX($S$5:$S$304,MATCH(C2431,$R$5:$R$304,0))&amp;"","?"))</f>
        <v>35</v>
      </c>
      <c r="N2431" s="2" t="n">
        <f aca="false">IF(E2431="","",IF(ISNUMBER(SEARCH("SUBSOLO",E2431)),IFERROR(-VALUE(LEFT(E2431,FIND("º",SUBSTITUTE(E2431,"°","º"))-1)),-1),IF(LEFT(E2431,6)="TÉRREO",0,IFERROR(VALUE(LEFT(E2431,FIND("º",SUBSTITUTE(E2431,"°","º"))-1)),""))))</f>
        <v>5</v>
      </c>
      <c r="O2431" s="2" t="str">
        <f aca="false">IF(OR(F2431="",G2431=""),"",IF(G2431&lt;='RETRATO 2027'!$K$5,"CONCLUÍDA",IF(F2431&lt;='RETRATO 2027'!$K$5,"EM ANDAMENTO","A INICIAR")))</f>
        <v>CONCLUÍDA</v>
      </c>
    </row>
    <row r="2432" customFormat="false" ht="15" hidden="false" customHeight="false" outlineLevel="0" collapsed="false">
      <c r="B2432" s="4" t="n">
        <v>26743576</v>
      </c>
      <c r="C2432" s="4" t="s">
        <v>208</v>
      </c>
      <c r="D2432" s="4" t="s">
        <v>433</v>
      </c>
      <c r="E2432" s="4" t="s">
        <v>3685</v>
      </c>
      <c r="F2432" s="127" t="n">
        <v>46510</v>
      </c>
      <c r="G2432" s="127" t="n">
        <v>46519</v>
      </c>
      <c r="H2432" s="127" t="n">
        <v>46293</v>
      </c>
      <c r="I2432" s="4" t="n">
        <v>0</v>
      </c>
      <c r="J2432" s="4" t="n">
        <v>0</v>
      </c>
      <c r="K2432" s="4" t="n">
        <v>0</v>
      </c>
      <c r="M2432" s="2" t="str">
        <f aca="false">IF(C2432="","",IFERROR(INDEX($S$5:$S$304,MATCH(C2432,$R$5:$R$304,0))&amp;"","?"))</f>
        <v>33</v>
      </c>
      <c r="N2432" s="2" t="n">
        <f aca="false">IF(E2432="","",IF(ISNUMBER(SEARCH("SUBSOLO",E2432)),IFERROR(-VALUE(LEFT(E2432,FIND("º",SUBSTITUTE(E2432,"°","º"))-1)),-1),IF(LEFT(E2432,6)="TÉRREO",0,IFERROR(VALUE(LEFT(E2432,FIND("º",SUBSTITUTE(E2432,"°","º"))-1)),""))))</f>
        <v>6</v>
      </c>
      <c r="O2432" s="2" t="str">
        <f aca="false">IF(OR(F2432="",G2432=""),"",IF(G2432&lt;='RETRATO 2027'!$K$5,"CONCLUÍDA",IF(F2432&lt;='RETRATO 2027'!$K$5,"EM ANDAMENTO","A INICIAR")))</f>
        <v>CONCLUÍDA</v>
      </c>
    </row>
    <row r="2433" customFormat="false" ht="15" hidden="false" customHeight="false" outlineLevel="0" collapsed="false">
      <c r="B2433" s="4" t="n">
        <v>29844388</v>
      </c>
      <c r="C2433" s="4" t="s">
        <v>2890</v>
      </c>
      <c r="D2433" s="4" t="s">
        <v>433</v>
      </c>
      <c r="E2433" s="4" t="s">
        <v>3781</v>
      </c>
      <c r="F2433" s="127" t="n">
        <v>46510</v>
      </c>
      <c r="G2433" s="127" t="n">
        <v>46519</v>
      </c>
      <c r="H2433" s="127" t="n">
        <v>46293</v>
      </c>
      <c r="I2433" s="4" t="n">
        <v>0</v>
      </c>
      <c r="J2433" s="4" t="n">
        <v>0</v>
      </c>
      <c r="K2433" s="4" t="n">
        <v>0</v>
      </c>
      <c r="M2433" s="2" t="str">
        <f aca="false">IF(C2433="","",IFERROR(INDEX($S$5:$S$304,MATCH(C2433,$R$5:$R$304,0))&amp;"","?"))</f>
        <v>18</v>
      </c>
      <c r="N2433" s="2" t="n">
        <f aca="false">IF(E2433="","",IF(ISNUMBER(SEARCH("SUBSOLO",E2433)),IFERROR(-VALUE(LEFT(E2433,FIND("º",SUBSTITUTE(E2433,"°","º"))-1)),-1),IF(LEFT(E2433,6)="TÉRREO",0,IFERROR(VALUE(LEFT(E2433,FIND("º",SUBSTITUTE(E2433,"°","º"))-1)),""))))</f>
        <v>20</v>
      </c>
      <c r="O2433" s="2" t="str">
        <f aca="false">IF(OR(F2433="",G2433=""),"",IF(G2433&lt;='RETRATO 2027'!$K$5,"CONCLUÍDA",IF(F2433&lt;='RETRATO 2027'!$K$5,"EM ANDAMENTO","A INICIAR")))</f>
        <v>CONCLUÍDA</v>
      </c>
    </row>
    <row r="2434" customFormat="false" ht="15" hidden="false" customHeight="false" outlineLevel="0" collapsed="false">
      <c r="B2434" s="4" t="n">
        <v>26743721</v>
      </c>
      <c r="C2434" s="4" t="s">
        <v>2900</v>
      </c>
      <c r="D2434" s="4" t="s">
        <v>433</v>
      </c>
      <c r="E2434" s="4" t="s">
        <v>3466</v>
      </c>
      <c r="F2434" s="127" t="n">
        <v>46511</v>
      </c>
      <c r="G2434" s="127" t="n">
        <v>46574</v>
      </c>
      <c r="H2434" s="127" t="n">
        <v>46293</v>
      </c>
      <c r="I2434" s="4" t="n">
        <v>0</v>
      </c>
      <c r="J2434" s="4" t="n">
        <v>0</v>
      </c>
      <c r="K2434" s="4" t="n">
        <v>0</v>
      </c>
      <c r="M2434" s="2" t="str">
        <f aca="false">IF(C2434="","",IFERROR(INDEX($S$5:$S$304,MATCH(C2434,$R$5:$R$304,0))&amp;"","?"))</f>
        <v>22</v>
      </c>
      <c r="N2434" s="2" t="n">
        <f aca="false">IF(E2434="","",IF(ISNUMBER(SEARCH("SUBSOLO",E2434)),IFERROR(-VALUE(LEFT(E2434,FIND("º",SUBSTITUTE(E2434,"°","º"))-1)),-1),IF(LEFT(E2434,6)="TÉRREO",0,IFERROR(VALUE(LEFT(E2434,FIND("º",SUBSTITUTE(E2434,"°","º"))-1)),""))))</f>
        <v>-1</v>
      </c>
      <c r="O2434" s="2" t="str">
        <f aca="false">IF(OR(F2434="",G2434=""),"",IF(G2434&lt;='RETRATO 2027'!$K$5,"CONCLUÍDA",IF(F2434&lt;='RETRATO 2027'!$K$5,"EM ANDAMENTO","A INICIAR")))</f>
        <v>CONCLUÍDA</v>
      </c>
    </row>
    <row r="2435" customFormat="false" ht="15" hidden="false" customHeight="false" outlineLevel="0" collapsed="false">
      <c r="B2435" s="4" t="n">
        <v>29844629</v>
      </c>
      <c r="C2435" s="4" t="s">
        <v>2888</v>
      </c>
      <c r="D2435" s="4" t="s">
        <v>433</v>
      </c>
      <c r="E2435" s="4" t="s">
        <v>3482</v>
      </c>
      <c r="F2435" s="127" t="n">
        <v>46511</v>
      </c>
      <c r="G2435" s="127" t="n">
        <v>46520</v>
      </c>
      <c r="H2435" s="127" t="n">
        <v>46293</v>
      </c>
      <c r="I2435" s="4" t="n">
        <v>0</v>
      </c>
      <c r="J2435" s="4" t="n">
        <v>0</v>
      </c>
      <c r="K2435" s="4" t="n">
        <v>0</v>
      </c>
      <c r="M2435" s="2" t="str">
        <f aca="false">IF(C2435="","",IFERROR(INDEX($S$5:$S$304,MATCH(C2435,$R$5:$R$304,0))&amp;"","?"))</f>
        <v>20</v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>CONCLUÍDA</v>
      </c>
    </row>
    <row r="2436" customFormat="false" ht="15" hidden="false" customHeight="false" outlineLevel="0" collapsed="false">
      <c r="B2436" s="4" t="n">
        <v>29845954</v>
      </c>
      <c r="C2436" s="4" t="s">
        <v>2983</v>
      </c>
      <c r="D2436" s="4" t="s">
        <v>433</v>
      </c>
      <c r="E2436" s="4" t="s">
        <v>3686</v>
      </c>
      <c r="F2436" s="127" t="n">
        <v>46511</v>
      </c>
      <c r="G2436" s="127" t="n">
        <v>46519</v>
      </c>
      <c r="H2436" s="127" t="n">
        <v>46293</v>
      </c>
      <c r="I2436" s="4" t="n">
        <v>0</v>
      </c>
      <c r="J2436" s="4" t="n">
        <v>0</v>
      </c>
      <c r="K2436" s="4" t="n">
        <v>0</v>
      </c>
      <c r="M2436" s="2" t="str">
        <f aca="false">IF(C2436="","",IFERROR(INDEX($S$5:$S$304,MATCH(C2436,$R$5:$R$304,0))&amp;"","?"))</f>
        <v>20</v>
      </c>
      <c r="N2436" s="2" t="n">
        <f aca="false">IF(E2436="","",IF(ISNUMBER(SEARCH("SUBSOLO",E2436)),IFERROR(-VALUE(LEFT(E2436,FIND("º",SUBSTITUTE(E2436,"°","º"))-1)),-1),IF(LEFT(E2436,6)="TÉRREO",0,IFERROR(VALUE(LEFT(E2436,FIND("º",SUBSTITUTE(E2436,"°","º"))-1)),""))))</f>
        <v>7</v>
      </c>
      <c r="O2436" s="2" t="str">
        <f aca="false">IF(OR(F2436="",G2436=""),"",IF(G2436&lt;='RETRATO 2027'!$K$5,"CONCLUÍDA",IF(F2436&lt;='RETRATO 2027'!$K$5,"EM ANDAMENTO","A INICIAR")))</f>
        <v>CONCLUÍDA</v>
      </c>
    </row>
    <row r="2437" customFormat="false" ht="15" hidden="false" customHeight="false" outlineLevel="0" collapsed="false">
      <c r="B2437" s="4" t="n">
        <v>29845893</v>
      </c>
      <c r="C2437" s="4" t="s">
        <v>2986</v>
      </c>
      <c r="D2437" s="4" t="s">
        <v>433</v>
      </c>
      <c r="E2437" s="4" t="s">
        <v>3686</v>
      </c>
      <c r="F2437" s="127" t="n">
        <v>46511</v>
      </c>
      <c r="G2437" s="127" t="n">
        <v>46520</v>
      </c>
      <c r="H2437" s="127" t="n">
        <v>46293</v>
      </c>
      <c r="I2437" s="4" t="n">
        <v>0</v>
      </c>
      <c r="J2437" s="4" t="n">
        <v>0</v>
      </c>
      <c r="K2437" s="4" t="n">
        <v>0</v>
      </c>
      <c r="M2437" s="2" t="str">
        <f aca="false">IF(C2437="","",IFERROR(INDEX($S$5:$S$304,MATCH(C2437,$R$5:$R$304,0))&amp;"","?"))</f>
        <v>20</v>
      </c>
      <c r="N2437" s="2" t="n">
        <f aca="false">IF(E2437="","",IF(ISNUMBER(SEARCH("SUBSOLO",E2437)),IFERROR(-VALUE(LEFT(E2437,FIND("º",SUBSTITUTE(E2437,"°","º"))-1)),-1),IF(LEFT(E2437,6)="TÉRREO",0,IFERROR(VALUE(LEFT(E2437,FIND("º",SUBSTITUTE(E2437,"°","º"))-1)),""))))</f>
        <v>7</v>
      </c>
      <c r="O2437" s="2" t="str">
        <f aca="false">IF(OR(F2437="",G2437=""),"",IF(G2437&lt;='RETRATO 2027'!$K$5,"CONCLUÍDA",IF(F2437&lt;='RETRATO 2027'!$K$5,"EM ANDAMENTO","A INICIAR")))</f>
        <v>CONCLUÍDA</v>
      </c>
    </row>
    <row r="2438" customFormat="false" ht="15" hidden="false" customHeight="false" outlineLevel="0" collapsed="false">
      <c r="B2438" s="4" t="n">
        <v>26743504</v>
      </c>
      <c r="C2438" s="4" t="s">
        <v>2977</v>
      </c>
      <c r="D2438" s="4" t="s">
        <v>433</v>
      </c>
      <c r="E2438" s="4" t="s">
        <v>3706</v>
      </c>
      <c r="F2438" s="127" t="n">
        <v>46511</v>
      </c>
      <c r="G2438" s="127" t="n">
        <v>46520</v>
      </c>
      <c r="H2438" s="127" t="n">
        <v>46293</v>
      </c>
      <c r="I2438" s="4" t="n">
        <v>0</v>
      </c>
      <c r="J2438" s="4" t="n">
        <v>0</v>
      </c>
      <c r="K2438" s="4" t="n">
        <v>0</v>
      </c>
      <c r="M2438" s="2" t="str">
        <f aca="false">IF(C2438="","",IFERROR(INDEX($S$5:$S$304,MATCH(C2438,$R$5:$R$304,0))&amp;"","?"))</f>
        <v>30</v>
      </c>
      <c r="N2438" s="2" t="n">
        <f aca="false">IF(E2438="","",IF(ISNUMBER(SEARCH("SUBSOLO",E2438)),IFERROR(-VALUE(LEFT(E2438,FIND("º",SUBSTITUTE(E2438,"°","º"))-1)),-1),IF(LEFT(E2438,6)="TÉRREO",0,IFERROR(VALUE(LEFT(E2438,FIND("º",SUBSTITUTE(E2438,"°","º"))-1)),""))))</f>
        <v>8</v>
      </c>
      <c r="O2438" s="2" t="str">
        <f aca="false">IF(OR(F2438="",G2438=""),"",IF(G2438&lt;='RETRATO 2027'!$K$5,"CONCLUÍDA",IF(F2438&lt;='RETRATO 2027'!$K$5,"EM ANDAMENTO","A INICIAR")))</f>
        <v>CONCLUÍDA</v>
      </c>
    </row>
    <row r="2439" customFormat="false" ht="15" hidden="false" customHeight="false" outlineLevel="0" collapsed="false">
      <c r="B2439" s="4" t="n">
        <v>26743460</v>
      </c>
      <c r="C2439" s="4" t="s">
        <v>2935</v>
      </c>
      <c r="D2439" s="4" t="s">
        <v>433</v>
      </c>
      <c r="E2439" s="4" t="s">
        <v>3716</v>
      </c>
      <c r="F2439" s="127" t="n">
        <v>46511</v>
      </c>
      <c r="G2439" s="127" t="n">
        <v>46520</v>
      </c>
      <c r="H2439" s="127" t="n">
        <v>46293</v>
      </c>
      <c r="I2439" s="4" t="n">
        <v>0</v>
      </c>
      <c r="J2439" s="4" t="n">
        <v>0</v>
      </c>
      <c r="K2439" s="4" t="n">
        <v>0</v>
      </c>
      <c r="M2439" s="2" t="str">
        <f aca="false">IF(C2439="","",IFERROR(INDEX($S$5:$S$304,MATCH(C2439,$R$5:$R$304,0))&amp;"","?"))</f>
        <v>30</v>
      </c>
      <c r="N2439" s="2" t="n">
        <f aca="false">IF(E2439="","",IF(ISNUMBER(SEARCH("SUBSOLO",E2439)),IFERROR(-VALUE(LEFT(E2439,FIND("º",SUBSTITUTE(E2439,"°","º"))-1)),-1),IF(LEFT(E2439,6)="TÉRREO",0,IFERROR(VALUE(LEFT(E2439,FIND("º",SUBSTITUTE(E2439,"°","º"))-1)),""))))</f>
        <v>9</v>
      </c>
      <c r="O2439" s="2" t="str">
        <f aca="false">IF(OR(F2439="",G2439=""),"",IF(G2439&lt;='RETRATO 2027'!$K$5,"CONCLUÍDA",IF(F2439&lt;='RETRATO 2027'!$K$5,"EM ANDAMENTO","A INICIAR")))</f>
        <v>CONCLUÍDA</v>
      </c>
    </row>
    <row r="2440" customFormat="false" ht="15" hidden="false" customHeight="false" outlineLevel="0" collapsed="false">
      <c r="B2440" s="4" t="n">
        <v>26743407</v>
      </c>
      <c r="C2440" s="4" t="s">
        <v>2938</v>
      </c>
      <c r="D2440" s="4" t="s">
        <v>433</v>
      </c>
      <c r="E2440" s="4" t="s">
        <v>3722</v>
      </c>
      <c r="F2440" s="127" t="n">
        <v>46511</v>
      </c>
      <c r="G2440" s="127" t="n">
        <v>46520</v>
      </c>
      <c r="H2440" s="127" t="n">
        <v>46293</v>
      </c>
      <c r="I2440" s="4" t="n">
        <v>0</v>
      </c>
      <c r="J2440" s="4" t="n">
        <v>0</v>
      </c>
      <c r="K2440" s="4" t="n">
        <v>0</v>
      </c>
      <c r="M2440" s="2" t="str">
        <f aca="false">IF(C2440="","",IFERROR(INDEX($S$5:$S$304,MATCH(C2440,$R$5:$R$304,0))&amp;"","?"))</f>
        <v>30</v>
      </c>
      <c r="N2440" s="2" t="n">
        <f aca="false">IF(E2440="","",IF(ISNUMBER(SEARCH("SUBSOLO",E2440)),IFERROR(-VALUE(LEFT(E2440,FIND("º",SUBSTITUTE(E2440,"°","º"))-1)),-1),IF(LEFT(E2440,6)="TÉRREO",0,IFERROR(VALUE(LEFT(E2440,FIND("º",SUBSTITUTE(E2440,"°","º"))-1)),""))))</f>
        <v>10</v>
      </c>
      <c r="O2440" s="2" t="str">
        <f aca="false">IF(OR(F2440="",G2440=""),"",IF(G2440&lt;='RETRATO 2027'!$K$5,"CONCLUÍDA",IF(F2440&lt;='RETRATO 2027'!$K$5,"EM ANDAMENTO","A INICIAR")))</f>
        <v>CONCLUÍDA</v>
      </c>
    </row>
    <row r="2441" customFormat="false" ht="15" hidden="false" customHeight="false" outlineLevel="0" collapsed="false">
      <c r="B2441" s="4" t="n">
        <v>26743369</v>
      </c>
      <c r="C2441" s="4" t="s">
        <v>166</v>
      </c>
      <c r="D2441" s="4" t="s">
        <v>433</v>
      </c>
      <c r="E2441" s="4" t="s">
        <v>3762</v>
      </c>
      <c r="F2441" s="127" t="n">
        <v>46511</v>
      </c>
      <c r="G2441" s="127" t="n">
        <v>46520</v>
      </c>
      <c r="H2441" s="127" t="n">
        <v>46293</v>
      </c>
      <c r="I2441" s="4" t="n">
        <v>0</v>
      </c>
      <c r="J2441" s="4" t="n">
        <v>0</v>
      </c>
      <c r="K2441" s="4" t="n">
        <v>0</v>
      </c>
      <c r="M2441" s="2" t="str">
        <f aca="false">IF(C2441="","",IFERROR(INDEX($S$5:$S$304,MATCH(C2441,$R$5:$R$304,0))&amp;"","?"))</f>
        <v>19</v>
      </c>
      <c r="N2441" s="2" t="n">
        <f aca="false">IF(E2441="","",IF(ISNUMBER(SEARCH("SUBSOLO",E2441)),IFERROR(-VALUE(LEFT(E2441,FIND("º",SUBSTITUTE(E2441,"°","º"))-1)),-1),IF(LEFT(E2441,6)="TÉRREO",0,IFERROR(VALUE(LEFT(E2441,FIND("º",SUBSTITUTE(E2441,"°","º"))-1)),""))))</f>
        <v>11</v>
      </c>
      <c r="O2441" s="2" t="str">
        <f aca="false">IF(OR(F2441="",G2441=""),"",IF(G2441&lt;='RETRATO 2027'!$K$5,"CONCLUÍDA",IF(F2441&lt;='RETRATO 2027'!$K$5,"EM ANDAMENTO","A INICIAR")))</f>
        <v>CONCLUÍDA</v>
      </c>
    </row>
    <row r="2442" customFormat="false" ht="15" hidden="false" customHeight="false" outlineLevel="0" collapsed="false">
      <c r="B2442" s="4" t="n">
        <v>26743342</v>
      </c>
      <c r="C2442" s="4" t="s">
        <v>2941</v>
      </c>
      <c r="D2442" s="4" t="s">
        <v>433</v>
      </c>
      <c r="E2442" s="4" t="s">
        <v>3763</v>
      </c>
      <c r="F2442" s="127" t="n">
        <v>46511</v>
      </c>
      <c r="G2442" s="127" t="n">
        <v>46520</v>
      </c>
      <c r="H2442" s="127" t="n">
        <v>46293</v>
      </c>
      <c r="I2442" s="4" t="n">
        <v>0</v>
      </c>
      <c r="J2442" s="4" t="n">
        <v>0</v>
      </c>
      <c r="K2442" s="4" t="n">
        <v>0</v>
      </c>
      <c r="M2442" s="2" t="str">
        <f aca="false">IF(C2442="","",IFERROR(INDEX($S$5:$S$304,MATCH(C2442,$R$5:$R$304,0))&amp;"","?"))</f>
        <v>18</v>
      </c>
      <c r="N2442" s="2" t="n">
        <f aca="false">IF(E2442="","",IF(ISNUMBER(SEARCH("SUBSOLO",E2442)),IFERROR(-VALUE(LEFT(E2442,FIND("º",SUBSTITUTE(E2442,"°","º"))-1)),-1),IF(LEFT(E2442,6)="TÉRREO",0,IFERROR(VALUE(LEFT(E2442,FIND("º",SUBSTITUTE(E2442,"°","º"))-1)),""))))</f>
        <v>12</v>
      </c>
      <c r="O2442" s="2" t="str">
        <f aca="false">IF(OR(F2442="",G2442=""),"",IF(G2442&lt;='RETRATO 2027'!$K$5,"CONCLUÍDA",IF(F2442&lt;='RETRATO 2027'!$K$5,"EM ANDAMENTO","A INICIAR")))</f>
        <v>CONCLUÍDA</v>
      </c>
    </row>
    <row r="2443" customFormat="false" ht="15" hidden="false" customHeight="false" outlineLevel="0" collapsed="false">
      <c r="B2443" s="4" t="n">
        <v>26743306</v>
      </c>
      <c r="C2443" s="4" t="s">
        <v>2924</v>
      </c>
      <c r="D2443" s="4" t="s">
        <v>433</v>
      </c>
      <c r="E2443" s="4" t="s">
        <v>3764</v>
      </c>
      <c r="F2443" s="127" t="n">
        <v>46511</v>
      </c>
      <c r="G2443" s="127" t="n">
        <v>46520</v>
      </c>
      <c r="H2443" s="127" t="n">
        <v>46293</v>
      </c>
      <c r="I2443" s="4" t="n">
        <v>0</v>
      </c>
      <c r="J2443" s="4" t="n">
        <v>0</v>
      </c>
      <c r="K2443" s="4" t="n">
        <v>0</v>
      </c>
      <c r="M2443" s="2" t="str">
        <f aca="false">IF(C2443="","",IFERROR(INDEX($S$5:$S$304,MATCH(C2443,$R$5:$R$304,0))&amp;"","?"))</f>
        <v>21</v>
      </c>
      <c r="N2443" s="2" t="n">
        <f aca="false">IF(E2443="","",IF(ISNUMBER(SEARCH("SUBSOLO",E2443)),IFERROR(-VALUE(LEFT(E2443,FIND("º",SUBSTITUTE(E2443,"°","º"))-1)),-1),IF(LEFT(E2443,6)="TÉRREO",0,IFERROR(VALUE(LEFT(E2443,FIND("º",SUBSTITUTE(E2443,"°","º"))-1)),""))))</f>
        <v>13</v>
      </c>
      <c r="O2443" s="2" t="str">
        <f aca="false">IF(OR(F2443="",G2443=""),"",IF(G2443&lt;='RETRATO 2027'!$K$5,"CONCLUÍDA",IF(F2443&lt;='RETRATO 2027'!$K$5,"EM ANDAMENTO","A INICIAR")))</f>
        <v>CONCLUÍDA</v>
      </c>
    </row>
    <row r="2444" customFormat="false" ht="15" hidden="false" customHeight="false" outlineLevel="0" collapsed="false">
      <c r="B2444" s="4" t="n">
        <v>26743289</v>
      </c>
      <c r="C2444" s="4" t="s">
        <v>2926</v>
      </c>
      <c r="D2444" s="4" t="s">
        <v>433</v>
      </c>
      <c r="E2444" s="4" t="s">
        <v>3764</v>
      </c>
      <c r="F2444" s="127" t="n">
        <v>46511</v>
      </c>
      <c r="G2444" s="127" t="n">
        <v>46520</v>
      </c>
      <c r="H2444" s="127" t="n">
        <v>46293</v>
      </c>
      <c r="I2444" s="4" t="n">
        <v>0</v>
      </c>
      <c r="J2444" s="4" t="n">
        <v>0</v>
      </c>
      <c r="K2444" s="4" t="n">
        <v>0</v>
      </c>
      <c r="M2444" s="2" t="str">
        <f aca="false">IF(C2444="","",IFERROR(INDEX($S$5:$S$304,MATCH(C2444,$R$5:$R$304,0))&amp;"","?"))</f>
        <v>20</v>
      </c>
      <c r="N2444" s="2" t="n">
        <f aca="false">IF(E2444="","",IF(ISNUMBER(SEARCH("SUBSOLO",E2444)),IFERROR(-VALUE(LEFT(E2444,FIND("º",SUBSTITUTE(E2444,"°","º"))-1)),-1),IF(LEFT(E2444,6)="TÉRREO",0,IFERROR(VALUE(LEFT(E2444,FIND("º",SUBSTITUTE(E2444,"°","º"))-1)),""))))</f>
        <v>13</v>
      </c>
      <c r="O2444" s="2" t="str">
        <f aca="false">IF(OR(F2444="",G2444=""),"",IF(G2444&lt;='RETRATO 2027'!$K$5,"CONCLUÍDA",IF(F2444&lt;='RETRATO 2027'!$K$5,"EM ANDAMENTO","A INICIAR")))</f>
        <v>CONCLUÍDA</v>
      </c>
    </row>
    <row r="2445" customFormat="false" ht="15" hidden="false" customHeight="false" outlineLevel="0" collapsed="false">
      <c r="B2445" s="4" t="n">
        <v>26743288</v>
      </c>
      <c r="C2445" s="4" t="s">
        <v>2928</v>
      </c>
      <c r="D2445" s="4" t="s">
        <v>433</v>
      </c>
      <c r="E2445" s="4" t="s">
        <v>3764</v>
      </c>
      <c r="F2445" s="127" t="n">
        <v>46511</v>
      </c>
      <c r="G2445" s="127" t="n">
        <v>46520</v>
      </c>
      <c r="H2445" s="127" t="n">
        <v>46293</v>
      </c>
      <c r="I2445" s="4" t="n">
        <v>0</v>
      </c>
      <c r="J2445" s="4" t="n">
        <v>0</v>
      </c>
      <c r="K2445" s="4" t="n">
        <v>0</v>
      </c>
      <c r="M2445" s="2" t="str">
        <f aca="false">IF(C2445="","",IFERROR(INDEX($S$5:$S$304,MATCH(C2445,$R$5:$R$304,0))&amp;"","?"))</f>
        <v>23</v>
      </c>
      <c r="N2445" s="2" t="n">
        <f aca="false">IF(E2445="","",IF(ISNUMBER(SEARCH("SUBSOLO",E2445)),IFERROR(-VALUE(LEFT(E2445,FIND("º",SUBSTITUTE(E2445,"°","º"))-1)),-1),IF(LEFT(E2445,6)="TÉRREO",0,IFERROR(VALUE(LEFT(E2445,FIND("º",SUBSTITUTE(E2445,"°","º"))-1)),""))))</f>
        <v>13</v>
      </c>
      <c r="O2445" s="2" t="str">
        <f aca="false">IF(OR(F2445="",G2445=""),"",IF(G2445&lt;='RETRATO 2027'!$K$5,"CONCLUÍDA",IF(F2445&lt;='RETRATO 2027'!$K$5,"EM ANDAMENTO","A INICIAR")))</f>
        <v>CONCLUÍDA</v>
      </c>
    </row>
    <row r="2446" customFormat="false" ht="15" hidden="false" customHeight="false" outlineLevel="0" collapsed="false">
      <c r="B2446" s="4" t="n">
        <v>26743307</v>
      </c>
      <c r="C2446" s="4" t="s">
        <v>2930</v>
      </c>
      <c r="D2446" s="4" t="s">
        <v>433</v>
      </c>
      <c r="E2446" s="4" t="s">
        <v>3764</v>
      </c>
      <c r="F2446" s="127" t="n">
        <v>46511</v>
      </c>
      <c r="G2446" s="127" t="n">
        <v>46520</v>
      </c>
      <c r="H2446" s="127" t="n">
        <v>46293</v>
      </c>
      <c r="I2446" s="4" t="n">
        <v>0</v>
      </c>
      <c r="J2446" s="4" t="n">
        <v>0</v>
      </c>
      <c r="K2446" s="4" t="n">
        <v>0</v>
      </c>
      <c r="M2446" s="2" t="str">
        <f aca="false">IF(C2446="","",IFERROR(INDEX($S$5:$S$304,MATCH(C2446,$R$5:$R$304,0))&amp;"","?"))</f>
        <v>21</v>
      </c>
      <c r="N2446" s="2" t="n">
        <f aca="false">IF(E2446="","",IF(ISNUMBER(SEARCH("SUBSOLO",E2446)),IFERROR(-VALUE(LEFT(E2446,FIND("º",SUBSTITUTE(E2446,"°","º"))-1)),-1),IF(LEFT(E2446,6)="TÉRREO",0,IFERROR(VALUE(LEFT(E2446,FIND("º",SUBSTITUTE(E2446,"°","º"))-1)),""))))</f>
        <v>13</v>
      </c>
      <c r="O2446" s="2" t="str">
        <f aca="false">IF(OR(F2446="",G2446=""),"",IF(G2446&lt;='RETRATO 2027'!$K$5,"CONCLUÍDA",IF(F2446&lt;='RETRATO 2027'!$K$5,"EM ANDAMENTO","A INICIAR")))</f>
        <v>CONCLUÍDA</v>
      </c>
    </row>
    <row r="2447" customFormat="false" ht="15" hidden="false" customHeight="false" outlineLevel="0" collapsed="false">
      <c r="B2447" s="4" t="n">
        <v>26743308</v>
      </c>
      <c r="C2447" s="4" t="s">
        <v>2933</v>
      </c>
      <c r="D2447" s="4" t="s">
        <v>433</v>
      </c>
      <c r="E2447" s="4" t="s">
        <v>3764</v>
      </c>
      <c r="F2447" s="127" t="n">
        <v>46511</v>
      </c>
      <c r="G2447" s="127" t="n">
        <v>46520</v>
      </c>
      <c r="H2447" s="127" t="n">
        <v>46293</v>
      </c>
      <c r="I2447" s="4" t="n">
        <v>0</v>
      </c>
      <c r="J2447" s="4" t="n">
        <v>0</v>
      </c>
      <c r="K2447" s="4" t="n">
        <v>0</v>
      </c>
      <c r="M2447" s="2" t="str">
        <f aca="false">IF(C2447="","",IFERROR(INDEX($S$5:$S$304,MATCH(C2447,$R$5:$R$304,0))&amp;"","?"))</f>
        <v>21</v>
      </c>
      <c r="N2447" s="2" t="n">
        <f aca="false">IF(E2447="","",IF(ISNUMBER(SEARCH("SUBSOLO",E2447)),IFERROR(-VALUE(LEFT(E2447,FIND("º",SUBSTITUTE(E2447,"°","º"))-1)),-1),IF(LEFT(E2447,6)="TÉRREO",0,IFERROR(VALUE(LEFT(E2447,FIND("º",SUBSTITUTE(E2447,"°","º"))-1)),""))))</f>
        <v>13</v>
      </c>
      <c r="O2447" s="2" t="str">
        <f aca="false">IF(OR(F2447="",G2447=""),"",IF(G2447&lt;='RETRATO 2027'!$K$5,"CONCLUÍDA",IF(F2447&lt;='RETRATO 2027'!$K$5,"EM ANDAMENTO","A INICIAR")))</f>
        <v>CONCLUÍDA</v>
      </c>
    </row>
    <row r="2448" customFormat="false" ht="15" hidden="false" customHeight="false" outlineLevel="0" collapsed="false">
      <c r="B2448" s="4" t="n">
        <v>26743250</v>
      </c>
      <c r="C2448" s="4" t="s">
        <v>2922</v>
      </c>
      <c r="D2448" s="4" t="s">
        <v>433</v>
      </c>
      <c r="E2448" s="4" t="s">
        <v>3765</v>
      </c>
      <c r="F2448" s="127" t="n">
        <v>46511</v>
      </c>
      <c r="G2448" s="127" t="n">
        <v>46520</v>
      </c>
      <c r="H2448" s="127" t="n">
        <v>46293</v>
      </c>
      <c r="I2448" s="4" t="n">
        <v>0</v>
      </c>
      <c r="J2448" s="4" t="n">
        <v>0</v>
      </c>
      <c r="K2448" s="4" t="n">
        <v>0</v>
      </c>
      <c r="M2448" s="2" t="str">
        <f aca="false">IF(C2448="","",IFERROR(INDEX($S$5:$S$304,MATCH(C2448,$R$5:$R$304,0))&amp;"","?"))</f>
        <v>18</v>
      </c>
      <c r="N2448" s="2" t="n">
        <f aca="false">IF(E2448="","",IF(ISNUMBER(SEARCH("SUBSOLO",E2448)),IFERROR(-VALUE(LEFT(E2448,FIND("º",SUBSTITUTE(E2448,"°","º"))-1)),-1),IF(LEFT(E2448,6)="TÉRREO",0,IFERROR(VALUE(LEFT(E2448,FIND("º",SUBSTITUTE(E2448,"°","º"))-1)),""))))</f>
        <v>14</v>
      </c>
      <c r="O2448" s="2" t="str">
        <f aca="false">IF(OR(F2448="",G2448=""),"",IF(G2448&lt;='RETRATO 2027'!$K$5,"CONCLUÍDA",IF(F2448&lt;='RETRATO 2027'!$K$5,"EM ANDAMENTO","A INICIAR")))</f>
        <v>CONCLUÍDA</v>
      </c>
    </row>
    <row r="2449" customFormat="false" ht="15" hidden="false" customHeight="false" outlineLevel="0" collapsed="false">
      <c r="B2449" s="4" t="n">
        <v>26707652</v>
      </c>
      <c r="C2449" s="4" t="s">
        <v>2916</v>
      </c>
      <c r="D2449" s="4" t="s">
        <v>433</v>
      </c>
      <c r="E2449" s="4" t="s">
        <v>3785</v>
      </c>
      <c r="F2449" s="127" t="n">
        <v>46512</v>
      </c>
      <c r="G2449" s="127" t="n">
        <v>46532</v>
      </c>
      <c r="H2449" s="127" t="n">
        <v>46293</v>
      </c>
      <c r="I2449" s="4" t="n">
        <v>0</v>
      </c>
      <c r="J2449" s="4" t="n">
        <v>0</v>
      </c>
      <c r="K2449" s="4" t="n">
        <v>0</v>
      </c>
      <c r="M2449" s="2" t="str">
        <f aca="false">IF(C2449="","",IFERROR(INDEX($S$5:$S$304,MATCH(C2449,$R$5:$R$304,0))&amp;"","?"))</f>
        <v>18</v>
      </c>
      <c r="N2449" s="2" t="n">
        <f aca="false">IF(E2449="","",IF(ISNUMBER(SEARCH("SUBSOLO",E2449)),IFERROR(-VALUE(LEFT(E2449,FIND("º",SUBSTITUTE(E2449,"°","º"))-1)),-1),IF(LEFT(E2449,6)="TÉRREO",0,IFERROR(VALUE(LEFT(E2449,FIND("º",SUBSTITUTE(E2449,"°","º"))-1)),""))))</f>
        <v>1</v>
      </c>
      <c r="O2449" s="2" t="str">
        <f aca="false">IF(OR(F2449="",G2449=""),"",IF(G2449&lt;='RETRATO 2027'!$K$5,"CONCLUÍDA",IF(F2449&lt;='RETRATO 2027'!$K$5,"EM ANDAMENTO","A INICIAR")))</f>
        <v>CONCLUÍDA</v>
      </c>
    </row>
    <row r="2450" customFormat="false" ht="15" hidden="false" customHeight="false" outlineLevel="0" collapsed="false">
      <c r="B2450" s="4" t="n">
        <v>26743020</v>
      </c>
      <c r="C2450" s="4" t="s">
        <v>2869</v>
      </c>
      <c r="D2450" s="4" t="s">
        <v>433</v>
      </c>
      <c r="E2450" s="4" t="s">
        <v>3783</v>
      </c>
      <c r="F2450" s="127" t="n">
        <v>46512</v>
      </c>
      <c r="G2450" s="127" t="n">
        <v>46521</v>
      </c>
      <c r="H2450" s="127" t="n">
        <v>46293</v>
      </c>
      <c r="I2450" s="4" t="n">
        <v>0</v>
      </c>
      <c r="J2450" s="4" t="n">
        <v>0</v>
      </c>
      <c r="K2450" s="4" t="n">
        <v>0</v>
      </c>
      <c r="M2450" s="2" t="str">
        <f aca="false">IF(C2450="","",IFERROR(INDEX($S$5:$S$304,MATCH(C2450,$R$5:$R$304,0))&amp;"","?"))</f>
        <v>22</v>
      </c>
      <c r="N2450" s="2" t="n">
        <f aca="false">IF(E2450="","",IF(ISNUMBER(SEARCH("SUBSOLO",E2450)),IFERROR(-VALUE(LEFT(E2450,FIND("º",SUBSTITUTE(E2450,"°","º"))-1)),-1),IF(LEFT(E2450,6)="TÉRREO",0,IFERROR(VALUE(LEFT(E2450,FIND("º",SUBSTITUTE(E2450,"°","º"))-1)),""))))</f>
        <v>21</v>
      </c>
      <c r="O2450" s="2" t="str">
        <f aca="false">IF(OR(F2450="",G2450=""),"",IF(G2450&lt;='RETRATO 2027'!$K$5,"CONCLUÍDA",IF(F2450&lt;='RETRATO 2027'!$K$5,"EM ANDAMENTO","A INICIAR")))</f>
        <v>CONCLUÍDA</v>
      </c>
    </row>
    <row r="2451" customFormat="false" ht="15" hidden="false" customHeight="false" outlineLevel="0" collapsed="false">
      <c r="B2451" s="4" t="n">
        <v>26742981</v>
      </c>
      <c r="C2451" s="4" t="s">
        <v>163</v>
      </c>
      <c r="D2451" s="4" t="s">
        <v>433</v>
      </c>
      <c r="E2451" s="4" t="s">
        <v>3786</v>
      </c>
      <c r="F2451" s="127" t="n">
        <v>46512</v>
      </c>
      <c r="G2451" s="127" t="n">
        <v>46521</v>
      </c>
      <c r="H2451" s="127" t="n">
        <v>46293</v>
      </c>
      <c r="I2451" s="4" t="n">
        <v>0</v>
      </c>
      <c r="J2451" s="4" t="n">
        <v>0</v>
      </c>
      <c r="K2451" s="4" t="n">
        <v>0</v>
      </c>
      <c r="M2451" s="2" t="str">
        <f aca="false">IF(C2451="","",IFERROR(INDEX($S$5:$S$304,MATCH(C2451,$R$5:$R$304,0))&amp;"","?"))</f>
        <v>18</v>
      </c>
      <c r="N2451" s="2" t="n">
        <f aca="false">IF(E2451="","",IF(ISNUMBER(SEARCH("SUBSOLO",E2451)),IFERROR(-VALUE(LEFT(E2451,FIND("º",SUBSTITUTE(E2451,"°","º"))-1)),-1),IF(LEFT(E2451,6)="TÉRREO",0,IFERROR(VALUE(LEFT(E2451,FIND("º",SUBSTITUTE(E2451,"°","º"))-1)),""))))</f>
        <v>22</v>
      </c>
      <c r="O2451" s="2" t="str">
        <f aca="false">IF(OR(F2451="",G2451=""),"",IF(G2451&lt;='RETRATO 2027'!$K$5,"CONCLUÍDA",IF(F2451&lt;='RETRATO 2027'!$K$5,"EM ANDAMENTO","A INICIAR")))</f>
        <v>CONCLUÍDA</v>
      </c>
    </row>
    <row r="2452" customFormat="false" ht="15" hidden="false" customHeight="false" outlineLevel="0" collapsed="false">
      <c r="B2452" s="4" t="n">
        <v>26707707</v>
      </c>
      <c r="C2452" s="4" t="s">
        <v>2948</v>
      </c>
      <c r="D2452" s="4" t="s">
        <v>433</v>
      </c>
      <c r="E2452" s="4" t="s">
        <v>3766</v>
      </c>
      <c r="F2452" s="127" t="n">
        <v>46513</v>
      </c>
      <c r="G2452" s="127" t="n">
        <v>46533</v>
      </c>
      <c r="H2452" s="127" t="n">
        <v>46293</v>
      </c>
      <c r="I2452" s="4" t="n">
        <v>0</v>
      </c>
      <c r="J2452" s="4" t="n">
        <v>0</v>
      </c>
      <c r="K2452" s="4" t="n">
        <v>0</v>
      </c>
      <c r="M2452" s="2" t="str">
        <f aca="false">IF(C2452="","",IFERROR(INDEX($S$5:$S$304,MATCH(C2452,$R$5:$R$304,0))&amp;"","?"))</f>
        <v>25</v>
      </c>
      <c r="N2452" s="2" t="n">
        <f aca="false">IF(E2452="","",IF(ISNUMBER(SEARCH("SUBSOLO",E2452)),IFERROR(-VALUE(LEFT(E2452,FIND("º",SUBSTITUTE(E2452,"°","º"))-1)),-1),IF(LEFT(E2452,6)="TÉRREO",0,IFERROR(VALUE(LEFT(E2452,FIND("º",SUBSTITUTE(E2452,"°","º"))-1)),""))))</f>
        <v>1</v>
      </c>
      <c r="O2452" s="2" t="str">
        <f aca="false">IF(OR(F2452="",G2452=""),"",IF(G2452&lt;='RETRATO 2027'!$K$5,"CONCLUÍDA",IF(F2452&lt;='RETRATO 2027'!$K$5,"EM ANDAMENTO","A INICIAR")))</f>
        <v>CONCLUÍDA</v>
      </c>
    </row>
    <row r="2453" customFormat="false" ht="15" hidden="false" customHeight="false" outlineLevel="0" collapsed="false">
      <c r="B2453" s="4" t="n">
        <v>26714090</v>
      </c>
      <c r="C2453" s="4" t="s">
        <v>2900</v>
      </c>
      <c r="D2453" s="4" t="s">
        <v>433</v>
      </c>
      <c r="E2453" s="4" t="s">
        <v>3772</v>
      </c>
      <c r="F2453" s="127" t="n">
        <v>46513</v>
      </c>
      <c r="G2453" s="127" t="n">
        <v>46533</v>
      </c>
      <c r="H2453" s="127" t="n">
        <v>46293</v>
      </c>
      <c r="I2453" s="4" t="n">
        <v>0</v>
      </c>
      <c r="J2453" s="4" t="n">
        <v>0</v>
      </c>
      <c r="K2453" s="4" t="n">
        <v>0</v>
      </c>
      <c r="M2453" s="2" t="str">
        <f aca="false">IF(C2453="","",IFERROR(INDEX($S$5:$S$304,MATCH(C2453,$R$5:$R$304,0))&amp;"","?"))</f>
        <v>22</v>
      </c>
      <c r="N2453" s="2" t="n">
        <f aca="false">IF(E2453="","",IF(ISNUMBER(SEARCH("SUBSOLO",E2453)),IFERROR(-VALUE(LEFT(E2453,FIND("º",SUBSTITUTE(E2453,"°","º"))-1)),-1),IF(LEFT(E2453,6)="TÉRREO",0,IFERROR(VALUE(LEFT(E2453,FIND("º",SUBSTITUTE(E2453,"°","º"))-1)),""))))</f>
        <v>1</v>
      </c>
      <c r="O2453" s="2" t="str">
        <f aca="false">IF(OR(F2453="",G2453=""),"",IF(G2453&lt;='RETRATO 2027'!$K$5,"CONCLUÍDA",IF(F2453&lt;='RETRATO 2027'!$K$5,"EM ANDAMENTO","A INICIAR")))</f>
        <v>CONCLUÍDA</v>
      </c>
    </row>
    <row r="2454" customFormat="false" ht="15" hidden="false" customHeight="false" outlineLevel="0" collapsed="false">
      <c r="B2454" s="4" t="n">
        <v>26707680</v>
      </c>
      <c r="C2454" s="4" t="s">
        <v>2928</v>
      </c>
      <c r="D2454" s="4" t="s">
        <v>433</v>
      </c>
      <c r="E2454" s="4" t="s">
        <v>3772</v>
      </c>
      <c r="F2454" s="127" t="n">
        <v>46513</v>
      </c>
      <c r="G2454" s="127" t="n">
        <v>46533</v>
      </c>
      <c r="H2454" s="127" t="n">
        <v>46293</v>
      </c>
      <c r="I2454" s="4" t="n">
        <v>0</v>
      </c>
      <c r="J2454" s="4" t="n">
        <v>0</v>
      </c>
      <c r="K2454" s="4" t="n">
        <v>0</v>
      </c>
      <c r="M2454" s="2" t="str">
        <f aca="false">IF(C2454="","",IFERROR(INDEX($S$5:$S$304,MATCH(C2454,$R$5:$R$304,0))&amp;"","?"))</f>
        <v>23</v>
      </c>
      <c r="N2454" s="2" t="n">
        <f aca="false">IF(E2454="","",IF(ISNUMBER(SEARCH("SUBSOLO",E2454)),IFERROR(-VALUE(LEFT(E2454,FIND("º",SUBSTITUTE(E2454,"°","º"))-1)),-1),IF(LEFT(E2454,6)="TÉRREO",0,IFERROR(VALUE(LEFT(E2454,FIND("º",SUBSTITUTE(E2454,"°","º"))-1)),""))))</f>
        <v>1</v>
      </c>
      <c r="O2454" s="2" t="str">
        <f aca="false">IF(OR(F2454="",G2454=""),"",IF(G2454&lt;='RETRATO 2027'!$K$5,"CONCLUÍDA",IF(F2454&lt;='RETRATO 2027'!$K$5,"EM ANDAMENTO","A INICIAR")))</f>
        <v>CONCLUÍDA</v>
      </c>
    </row>
    <row r="2455" customFormat="false" ht="15" hidden="false" customHeight="false" outlineLevel="0" collapsed="false">
      <c r="B2455" s="4" t="n">
        <v>26707678</v>
      </c>
      <c r="C2455" s="4" t="s">
        <v>2989</v>
      </c>
      <c r="D2455" s="4" t="s">
        <v>433</v>
      </c>
      <c r="E2455" s="4" t="s">
        <v>3772</v>
      </c>
      <c r="F2455" s="127" t="n">
        <v>46513</v>
      </c>
      <c r="G2455" s="127" t="n">
        <v>46533</v>
      </c>
      <c r="H2455" s="127" t="n">
        <v>46293</v>
      </c>
      <c r="I2455" s="4" t="n">
        <v>0</v>
      </c>
      <c r="J2455" s="4" t="n">
        <v>0</v>
      </c>
      <c r="K2455" s="4" t="n">
        <v>0</v>
      </c>
      <c r="M2455" s="2" t="str">
        <f aca="false">IF(C2455="","",IFERROR(INDEX($S$5:$S$304,MATCH(C2455,$R$5:$R$304,0))&amp;"","?"))</f>
        <v>23</v>
      </c>
      <c r="N2455" s="2" t="n">
        <f aca="false">IF(E2455="","",IF(ISNUMBER(SEARCH("SUBSOLO",E2455)),IFERROR(-VALUE(LEFT(E2455,FIND("º",SUBSTITUTE(E2455,"°","º"))-1)),-1),IF(LEFT(E2455,6)="TÉRREO",0,IFERROR(VALUE(LEFT(E2455,FIND("º",SUBSTITUTE(E2455,"°","º"))-1)),""))))</f>
        <v>1</v>
      </c>
      <c r="O2455" s="2" t="str">
        <f aca="false">IF(OR(F2455="",G2455=""),"",IF(G2455&lt;='RETRATO 2027'!$K$5,"CONCLUÍDA",IF(F2455&lt;='RETRATO 2027'!$K$5,"EM ANDAMENTO","A INICIAR")))</f>
        <v>CONCLUÍDA</v>
      </c>
    </row>
    <row r="2456" customFormat="false" ht="15" hidden="false" customHeight="false" outlineLevel="0" collapsed="false">
      <c r="B2456" s="4" t="n">
        <v>26707679</v>
      </c>
      <c r="C2456" s="4" t="s">
        <v>2791</v>
      </c>
      <c r="D2456" s="4" t="s">
        <v>433</v>
      </c>
      <c r="E2456" s="4" t="s">
        <v>3772</v>
      </c>
      <c r="F2456" s="127" t="n">
        <v>46513</v>
      </c>
      <c r="G2456" s="127" t="n">
        <v>46533</v>
      </c>
      <c r="H2456" s="127" t="n">
        <v>46293</v>
      </c>
      <c r="I2456" s="4" t="n">
        <v>0</v>
      </c>
      <c r="J2456" s="4" t="n">
        <v>0</v>
      </c>
      <c r="K2456" s="4" t="n">
        <v>0</v>
      </c>
      <c r="M2456" s="2" t="str">
        <f aca="false">IF(C2456="","",IFERROR(INDEX($S$5:$S$304,MATCH(C2456,$R$5:$R$304,0))&amp;"","?"))</f>
        <v>21</v>
      </c>
      <c r="N2456" s="2" t="n">
        <f aca="false">IF(E2456="","",IF(ISNUMBER(SEARCH("SUBSOLO",E2456)),IFERROR(-VALUE(LEFT(E2456,FIND("º",SUBSTITUTE(E2456,"°","º"))-1)),-1),IF(LEFT(E2456,6)="TÉRREO",0,IFERROR(VALUE(LEFT(E2456,FIND("º",SUBSTITUTE(E2456,"°","º"))-1)),""))))</f>
        <v>1</v>
      </c>
      <c r="O2456" s="2" t="str">
        <f aca="false">IF(OR(F2456="",G2456=""),"",IF(G2456&lt;='RETRATO 2027'!$K$5,"CONCLUÍDA",IF(F2456&lt;='RETRATO 2027'!$K$5,"EM ANDAMENTO","A INICIAR")))</f>
        <v>CONCLUÍDA</v>
      </c>
    </row>
    <row r="2457" customFormat="false" ht="15" hidden="false" customHeight="false" outlineLevel="0" collapsed="false">
      <c r="B2457" s="4" t="n">
        <v>26707690</v>
      </c>
      <c r="C2457" s="4" t="s">
        <v>2992</v>
      </c>
      <c r="D2457" s="4" t="s">
        <v>433</v>
      </c>
      <c r="E2457" s="4" t="s">
        <v>3772</v>
      </c>
      <c r="F2457" s="127" t="n">
        <v>46513</v>
      </c>
      <c r="G2457" s="127" t="n">
        <v>46533</v>
      </c>
      <c r="H2457" s="127" t="n">
        <v>46293</v>
      </c>
      <c r="I2457" s="4" t="n">
        <v>0</v>
      </c>
      <c r="J2457" s="4" t="n">
        <v>0</v>
      </c>
      <c r="K2457" s="4" t="n">
        <v>0</v>
      </c>
      <c r="M2457" s="2" t="str">
        <f aca="false">IF(C2457="","",IFERROR(INDEX($S$5:$S$304,MATCH(C2457,$R$5:$R$304,0))&amp;"","?"))</f>
        <v>20</v>
      </c>
      <c r="N2457" s="2" t="n">
        <f aca="false">IF(E2457="","",IF(ISNUMBER(SEARCH("SUBSOLO",E2457)),IFERROR(-VALUE(LEFT(E2457,FIND("º",SUBSTITUTE(E2457,"°","º"))-1)),-1),IF(LEFT(E2457,6)="TÉRREO",0,IFERROR(VALUE(LEFT(E2457,FIND("º",SUBSTITUTE(E2457,"°","º"))-1)),""))))</f>
        <v>1</v>
      </c>
      <c r="O2457" s="2" t="str">
        <f aca="false">IF(OR(F2457="",G2457=""),"",IF(G2457&lt;='RETRATO 2027'!$K$5,"CONCLUÍDA",IF(F2457&lt;='RETRATO 2027'!$K$5,"EM ANDAMENTO","A INICIAR")))</f>
        <v>CONCLUÍDA</v>
      </c>
    </row>
    <row r="2458" customFormat="false" ht="15" hidden="false" customHeight="false" outlineLevel="0" collapsed="false">
      <c r="B2458" s="4" t="n">
        <v>26744769</v>
      </c>
      <c r="C2458" s="4" t="s">
        <v>2924</v>
      </c>
      <c r="D2458" s="4" t="s">
        <v>433</v>
      </c>
      <c r="E2458" s="4" t="s">
        <v>3784</v>
      </c>
      <c r="F2458" s="127" t="n">
        <v>46513</v>
      </c>
      <c r="G2458" s="127" t="n">
        <v>46526</v>
      </c>
      <c r="H2458" s="127" t="n">
        <v>46293</v>
      </c>
      <c r="I2458" s="4" t="n">
        <v>0</v>
      </c>
      <c r="J2458" s="4" t="n">
        <v>0</v>
      </c>
      <c r="K2458" s="4" t="n">
        <v>0</v>
      </c>
      <c r="M2458" s="2" t="str">
        <f aca="false">IF(C2458="","",IFERROR(INDEX($S$5:$S$304,MATCH(C2458,$R$5:$R$304,0))&amp;"","?"))</f>
        <v>21</v>
      </c>
      <c r="N2458" s="2" t="n">
        <f aca="false">IF(E2458="","",IF(ISNUMBER(SEARCH("SUBSOLO",E2458)),IFERROR(-VALUE(LEFT(E2458,FIND("º",SUBSTITUTE(E2458,"°","º"))-1)),-1),IF(LEFT(E2458,6)="TÉRREO",0,IFERROR(VALUE(LEFT(E2458,FIND("º",SUBSTITUTE(E2458,"°","º"))-1)),""))))</f>
        <v>3</v>
      </c>
      <c r="O2458" s="2" t="str">
        <f aca="false">IF(OR(F2458="",G2458=""),"",IF(G2458&lt;='RETRATO 2027'!$K$5,"CONCLUÍDA",IF(F2458&lt;='RETRATO 2027'!$K$5,"EM ANDAMENTO","A INICIAR")))</f>
        <v>CONCLUÍDA</v>
      </c>
    </row>
    <row r="2459" customFormat="false" ht="15" hidden="false" customHeight="false" outlineLevel="0" collapsed="false">
      <c r="B2459" s="4" t="n">
        <v>26744772</v>
      </c>
      <c r="C2459" s="4" t="s">
        <v>2926</v>
      </c>
      <c r="D2459" s="4" t="s">
        <v>433</v>
      </c>
      <c r="E2459" s="4" t="s">
        <v>3784</v>
      </c>
      <c r="F2459" s="127" t="n">
        <v>46513</v>
      </c>
      <c r="G2459" s="127" t="n">
        <v>46526</v>
      </c>
      <c r="H2459" s="127" t="n">
        <v>46293</v>
      </c>
      <c r="I2459" s="4" t="n">
        <v>0</v>
      </c>
      <c r="J2459" s="4" t="n">
        <v>0</v>
      </c>
      <c r="K2459" s="4" t="n">
        <v>0</v>
      </c>
      <c r="M2459" s="2" t="str">
        <f aca="false">IF(C2459="","",IFERROR(INDEX($S$5:$S$304,MATCH(C2459,$R$5:$R$304,0))&amp;"","?"))</f>
        <v>20</v>
      </c>
      <c r="N2459" s="2" t="n">
        <f aca="false">IF(E2459="","",IF(ISNUMBER(SEARCH("SUBSOLO",E2459)),IFERROR(-VALUE(LEFT(E2459,FIND("º",SUBSTITUTE(E2459,"°","º"))-1)),-1),IF(LEFT(E2459,6)="TÉRREO",0,IFERROR(VALUE(LEFT(E2459,FIND("º",SUBSTITUTE(E2459,"°","º"))-1)),""))))</f>
        <v>3</v>
      </c>
      <c r="O2459" s="2" t="str">
        <f aca="false">IF(OR(F2459="",G2459=""),"",IF(G2459&lt;='RETRATO 2027'!$K$5,"CONCLUÍDA",IF(F2459&lt;='RETRATO 2027'!$K$5,"EM ANDAMENTO","A INICIAR")))</f>
        <v>CONCLUÍDA</v>
      </c>
    </row>
    <row r="2460" customFormat="false" ht="15" hidden="false" customHeight="false" outlineLevel="0" collapsed="false">
      <c r="B2460" s="4" t="n">
        <v>26744771</v>
      </c>
      <c r="C2460" s="4" t="s">
        <v>2959</v>
      </c>
      <c r="D2460" s="4" t="s">
        <v>433</v>
      </c>
      <c r="E2460" s="4" t="s">
        <v>3784</v>
      </c>
      <c r="F2460" s="127" t="n">
        <v>46513</v>
      </c>
      <c r="G2460" s="127" t="n">
        <v>46526</v>
      </c>
      <c r="H2460" s="127" t="n">
        <v>46293</v>
      </c>
      <c r="I2460" s="4" t="n">
        <v>0</v>
      </c>
      <c r="J2460" s="4" t="n">
        <v>0</v>
      </c>
      <c r="K2460" s="4" t="n">
        <v>0</v>
      </c>
      <c r="M2460" s="2" t="str">
        <f aca="false">IF(C2460="","",IFERROR(INDEX($S$5:$S$304,MATCH(C2460,$R$5:$R$304,0))&amp;"","?"))</f>
        <v>21</v>
      </c>
      <c r="N2460" s="2" t="n">
        <f aca="false">IF(E2460="","",IF(ISNUMBER(SEARCH("SUBSOLO",E2460)),IFERROR(-VALUE(LEFT(E2460,FIND("º",SUBSTITUTE(E2460,"°","º"))-1)),-1),IF(LEFT(E2460,6)="TÉRREO",0,IFERROR(VALUE(LEFT(E2460,FIND("º",SUBSTITUTE(E2460,"°","º"))-1)),""))))</f>
        <v>3</v>
      </c>
      <c r="O2460" s="2" t="str">
        <f aca="false">IF(OR(F2460="",G2460=""),"",IF(G2460&lt;='RETRATO 2027'!$K$5,"CONCLUÍDA",IF(F2460&lt;='RETRATO 2027'!$K$5,"EM ANDAMENTO","A INICIAR")))</f>
        <v>CONCLUÍDA</v>
      </c>
    </row>
    <row r="2461" customFormat="false" ht="15" hidden="false" customHeight="false" outlineLevel="0" collapsed="false">
      <c r="B2461" s="4" t="n">
        <v>26743230</v>
      </c>
      <c r="C2461" s="4" t="s">
        <v>2916</v>
      </c>
      <c r="D2461" s="4" t="s">
        <v>433</v>
      </c>
      <c r="E2461" s="4" t="s">
        <v>3768</v>
      </c>
      <c r="F2461" s="127" t="n">
        <v>46513</v>
      </c>
      <c r="G2461" s="127" t="n">
        <v>46520</v>
      </c>
      <c r="H2461" s="127" t="n">
        <v>46293</v>
      </c>
      <c r="I2461" s="4" t="n">
        <v>0</v>
      </c>
      <c r="J2461" s="4" t="n">
        <v>0</v>
      </c>
      <c r="K2461" s="4" t="n">
        <v>0</v>
      </c>
      <c r="M2461" s="2" t="str">
        <f aca="false">IF(C2461="","",IFERROR(INDEX($S$5:$S$304,MATCH(C2461,$R$5:$R$304,0))&amp;"","?"))</f>
        <v>18</v>
      </c>
      <c r="N2461" s="2" t="n">
        <f aca="false">IF(E2461="","",IF(ISNUMBER(SEARCH("SUBSOLO",E2461)),IFERROR(-VALUE(LEFT(E2461,FIND("º",SUBSTITUTE(E2461,"°","º"))-1)),-1),IF(LEFT(E2461,6)="TÉRREO",0,IFERROR(VALUE(LEFT(E2461,FIND("º",SUBSTITUTE(E2461,"°","º"))-1)),""))))</f>
        <v>15</v>
      </c>
      <c r="O2461" s="2" t="str">
        <f aca="false">IF(OR(F2461="",G2461=""),"",IF(G2461&lt;='RETRATO 2027'!$K$5,"CONCLUÍDA",IF(F2461&lt;='RETRATO 2027'!$K$5,"EM ANDAMENTO","A INICIAR")))</f>
        <v>CONCLUÍDA</v>
      </c>
    </row>
    <row r="2462" customFormat="false" ht="15" hidden="false" customHeight="false" outlineLevel="0" collapsed="false">
      <c r="B2462" s="4" t="n">
        <v>26743192</v>
      </c>
      <c r="C2462" s="4" t="s">
        <v>2814</v>
      </c>
      <c r="D2462" s="4" t="s">
        <v>433</v>
      </c>
      <c r="E2462" s="4" t="s">
        <v>3771</v>
      </c>
      <c r="F2462" s="127" t="n">
        <v>46517</v>
      </c>
      <c r="G2462" s="127" t="n">
        <v>46524</v>
      </c>
      <c r="H2462" s="127" t="n">
        <v>46293</v>
      </c>
      <c r="I2462" s="4" t="n">
        <v>0</v>
      </c>
      <c r="J2462" s="4" t="n">
        <v>0</v>
      </c>
      <c r="K2462" s="4" t="n">
        <v>0</v>
      </c>
      <c r="M2462" s="2" t="str">
        <f aca="false">IF(C2462="","",IFERROR(INDEX($S$5:$S$304,MATCH(C2462,$R$5:$R$304,0))&amp;"","?"))</f>
        <v>28</v>
      </c>
      <c r="N2462" s="2" t="n">
        <f aca="false">IF(E2462="","",IF(ISNUMBER(SEARCH("SUBSOLO",E2462)),IFERROR(-VALUE(LEFT(E2462,FIND("º",SUBSTITUTE(E2462,"°","º"))-1)),-1),IF(LEFT(E2462,6)="TÉRREO",0,IFERROR(VALUE(LEFT(E2462,FIND("º",SUBSTITUTE(E2462,"°","º"))-1)),""))))</f>
        <v>16</v>
      </c>
      <c r="O2462" s="2" t="str">
        <f aca="false">IF(OR(F2462="",G2462=""),"",IF(G2462&lt;='RETRATO 2027'!$K$5,"CONCLUÍDA",IF(F2462&lt;='RETRATO 2027'!$K$5,"EM ANDAMENTO","A INICIAR")))</f>
        <v>CONCLUÍDA</v>
      </c>
    </row>
    <row r="2463" customFormat="false" ht="15" hidden="false" customHeight="false" outlineLevel="0" collapsed="false">
      <c r="B2463" s="4" t="n">
        <v>26743161</v>
      </c>
      <c r="C2463" s="4" t="s">
        <v>2914</v>
      </c>
      <c r="D2463" s="4" t="s">
        <v>433</v>
      </c>
      <c r="E2463" s="4" t="s">
        <v>3773</v>
      </c>
      <c r="F2463" s="127" t="n">
        <v>46517</v>
      </c>
      <c r="G2463" s="127" t="n">
        <v>46526</v>
      </c>
      <c r="H2463" s="127" t="n">
        <v>46293</v>
      </c>
      <c r="I2463" s="4" t="n">
        <v>0</v>
      </c>
      <c r="J2463" s="4" t="n">
        <v>0</v>
      </c>
      <c r="K2463" s="4" t="n">
        <v>0</v>
      </c>
      <c r="M2463" s="2" t="str">
        <f aca="false">IF(C2463="","",IFERROR(INDEX($S$5:$S$304,MATCH(C2463,$R$5:$R$304,0))&amp;"","?"))</f>
        <v>21</v>
      </c>
      <c r="N2463" s="2" t="n">
        <f aca="false">IF(E2463="","",IF(ISNUMBER(SEARCH("SUBSOLO",E2463)),IFERROR(-VALUE(LEFT(E2463,FIND("º",SUBSTITUTE(E2463,"°","º"))-1)),-1),IF(LEFT(E2463,6)="TÉRREO",0,IFERROR(VALUE(LEFT(E2463,FIND("º",SUBSTITUTE(E2463,"°","º"))-1)),""))))</f>
        <v>17</v>
      </c>
      <c r="O2463" s="2" t="str">
        <f aca="false">IF(OR(F2463="",G2463=""),"",IF(G2463&lt;='RETRATO 2027'!$K$5,"CONCLUÍDA",IF(F2463&lt;='RETRATO 2027'!$K$5,"EM ANDAMENTO","A INICIAR")))</f>
        <v>CONCLUÍDA</v>
      </c>
    </row>
    <row r="2464" customFormat="false" ht="15" hidden="false" customHeight="false" outlineLevel="0" collapsed="false">
      <c r="B2464" s="4" t="n">
        <v>26743117</v>
      </c>
      <c r="C2464" s="4" t="s">
        <v>2808</v>
      </c>
      <c r="D2464" s="4" t="s">
        <v>433</v>
      </c>
      <c r="E2464" s="4" t="s">
        <v>3776</v>
      </c>
      <c r="F2464" s="127" t="n">
        <v>46517</v>
      </c>
      <c r="G2464" s="127" t="n">
        <v>46526</v>
      </c>
      <c r="H2464" s="127" t="n">
        <v>46293</v>
      </c>
      <c r="I2464" s="4" t="n">
        <v>0</v>
      </c>
      <c r="J2464" s="4" t="n">
        <v>0</v>
      </c>
      <c r="K2464" s="4" t="n">
        <v>0</v>
      </c>
      <c r="M2464" s="2" t="str">
        <f aca="false">IF(C2464="","",IFERROR(INDEX($S$5:$S$304,MATCH(C2464,$R$5:$R$304,0))&amp;"","?"))</f>
        <v>29</v>
      </c>
      <c r="N2464" s="2" t="n">
        <f aca="false">IF(E2464="","",IF(ISNUMBER(SEARCH("SUBSOLO",E2464)),IFERROR(-VALUE(LEFT(E2464,FIND("º",SUBSTITUTE(E2464,"°","º"))-1)),-1),IF(LEFT(E2464,6)="TÉRREO",0,IFERROR(VALUE(LEFT(E2464,FIND("º",SUBSTITUTE(E2464,"°","º"))-1)),""))))</f>
        <v>18</v>
      </c>
      <c r="O2464" s="2" t="str">
        <f aca="false">IF(OR(F2464="",G2464=""),"",IF(G2464&lt;='RETRATO 2027'!$K$5,"CONCLUÍDA",IF(F2464&lt;='RETRATO 2027'!$K$5,"EM ANDAMENTO","A INICIAR")))</f>
        <v>CONCLUÍDA</v>
      </c>
    </row>
    <row r="2465" customFormat="false" ht="15" hidden="false" customHeight="false" outlineLevel="0" collapsed="false">
      <c r="B2465" s="4" t="n">
        <v>26743079</v>
      </c>
      <c r="C2465" s="4" t="s">
        <v>2910</v>
      </c>
      <c r="D2465" s="4" t="s">
        <v>433</v>
      </c>
      <c r="E2465" s="4" t="s">
        <v>3779</v>
      </c>
      <c r="F2465" s="127" t="n">
        <v>46517</v>
      </c>
      <c r="G2465" s="127" t="n">
        <v>46526</v>
      </c>
      <c r="H2465" s="127" t="n">
        <v>46293</v>
      </c>
      <c r="I2465" s="4" t="n">
        <v>0</v>
      </c>
      <c r="J2465" s="4" t="n">
        <v>0</v>
      </c>
      <c r="K2465" s="4" t="n">
        <v>0</v>
      </c>
      <c r="M2465" s="2" t="str">
        <f aca="false">IF(C2465="","",IFERROR(INDEX($S$5:$S$304,MATCH(C2465,$R$5:$R$304,0))&amp;"","?"))</f>
        <v>25</v>
      </c>
      <c r="N2465" s="2" t="n">
        <f aca="false">IF(E2465="","",IF(ISNUMBER(SEARCH("SUBSOLO",E2465)),IFERROR(-VALUE(LEFT(E2465,FIND("º",SUBSTITUTE(E2465,"°","º"))-1)),-1),IF(LEFT(E2465,6)="TÉRREO",0,IFERROR(VALUE(LEFT(E2465,FIND("º",SUBSTITUTE(E2465,"°","º"))-1)),""))))</f>
        <v>19</v>
      </c>
      <c r="O2465" s="2" t="str">
        <f aca="false">IF(OR(F2465="",G2465=""),"",IF(G2465&lt;='RETRATO 2027'!$K$5,"CONCLUÍDA",IF(F2465&lt;='RETRATO 2027'!$K$5,"EM ANDAMENTO","A INICIAR")))</f>
        <v>CONCLUÍDA</v>
      </c>
    </row>
    <row r="2466" customFormat="false" ht="15" hidden="false" customHeight="false" outlineLevel="0" collapsed="false">
      <c r="B2466" s="4" t="n">
        <v>26714251</v>
      </c>
      <c r="C2466" s="4" t="s">
        <v>3000</v>
      </c>
      <c r="D2466" s="4" t="s">
        <v>433</v>
      </c>
      <c r="E2466" s="4" t="s">
        <v>3798</v>
      </c>
      <c r="F2466" s="127" t="n">
        <v>46517</v>
      </c>
      <c r="G2466" s="127" t="n">
        <v>46587</v>
      </c>
      <c r="H2466" s="127" t="n">
        <v>46293</v>
      </c>
      <c r="I2466" s="4" t="n">
        <v>0</v>
      </c>
      <c r="J2466" s="4" t="n">
        <v>0</v>
      </c>
      <c r="K2466" s="4" t="n">
        <v>0</v>
      </c>
      <c r="M2466" s="2" t="str">
        <f aca="false">IF(C2466="","",IFERROR(INDEX($S$5:$S$304,MATCH(C2466,$R$5:$R$304,0))&amp;"","?"))</f>
        <v>32</v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>CONCLUÍDA</v>
      </c>
    </row>
    <row r="2467" customFormat="false" ht="15" hidden="false" customHeight="false" outlineLevel="0" collapsed="false">
      <c r="B2467" s="4" t="n">
        <v>26745041</v>
      </c>
      <c r="C2467" s="4" t="s">
        <v>2935</v>
      </c>
      <c r="D2467" s="4" t="s">
        <v>433</v>
      </c>
      <c r="E2467" s="4" t="s">
        <v>3659</v>
      </c>
      <c r="F2467" s="127" t="n">
        <v>46518</v>
      </c>
      <c r="G2467" s="127" t="n">
        <v>46526</v>
      </c>
      <c r="H2467" s="127" t="n">
        <v>46293</v>
      </c>
      <c r="I2467" s="4" t="n">
        <v>0</v>
      </c>
      <c r="J2467" s="4" t="n">
        <v>0</v>
      </c>
      <c r="K2467" s="4" t="n">
        <v>0</v>
      </c>
      <c r="M2467" s="2" t="str">
        <f aca="false">IF(C2467="","",IFERROR(INDEX($S$5:$S$304,MATCH(C2467,$R$5:$R$304,0))&amp;"","?"))</f>
        <v>30</v>
      </c>
      <c r="N2467" s="2" t="n">
        <f aca="false">IF(E2467="","",IF(ISNUMBER(SEARCH("SUBSOLO",E2467)),IFERROR(-VALUE(LEFT(E2467,FIND("º",SUBSTITUTE(E2467,"°","º"))-1)),-1),IF(LEFT(E2467,6)="TÉRREO",0,IFERROR(VALUE(LEFT(E2467,FIND("º",SUBSTITUTE(E2467,"°","º"))-1)),""))))</f>
        <v>1</v>
      </c>
      <c r="O2467" s="2" t="str">
        <f aca="false">IF(OR(F2467="",G2467=""),"",IF(G2467&lt;='RETRATO 2027'!$K$5,"CONCLUÍDA",IF(F2467&lt;='RETRATO 2027'!$K$5,"EM ANDAMENTO","A INICIAR")))</f>
        <v>CONCLUÍDA</v>
      </c>
    </row>
    <row r="2468" customFormat="false" ht="15" hidden="false" customHeight="false" outlineLevel="0" collapsed="false">
      <c r="B2468" s="4" t="n">
        <v>26743063</v>
      </c>
      <c r="C2468" s="4" t="s">
        <v>2896</v>
      </c>
      <c r="D2468" s="4" t="s">
        <v>433</v>
      </c>
      <c r="E2468" s="4" t="s">
        <v>3781</v>
      </c>
      <c r="F2468" s="127" t="n">
        <v>46518</v>
      </c>
      <c r="G2468" s="127" t="n">
        <v>46527</v>
      </c>
      <c r="H2468" s="127" t="n">
        <v>46293</v>
      </c>
      <c r="I2468" s="4" t="n">
        <v>0</v>
      </c>
      <c r="J2468" s="4" t="n">
        <v>0</v>
      </c>
      <c r="K2468" s="4" t="n">
        <v>0</v>
      </c>
      <c r="M2468" s="2" t="str">
        <f aca="false">IF(C2468="","",IFERROR(INDEX($S$5:$S$304,MATCH(C2468,$R$5:$R$304,0))&amp;"","?"))</f>
        <v>20</v>
      </c>
      <c r="N2468" s="2" t="n">
        <f aca="false">IF(E2468="","",IF(ISNUMBER(SEARCH("SUBSOLO",E2468)),IFERROR(-VALUE(LEFT(E2468,FIND("º",SUBSTITUTE(E2468,"°","º"))-1)),-1),IF(LEFT(E2468,6)="TÉRREO",0,IFERROR(VALUE(LEFT(E2468,FIND("º",SUBSTITUTE(E2468,"°","º"))-1)),""))))</f>
        <v>20</v>
      </c>
      <c r="O2468" s="2" t="str">
        <f aca="false">IF(OR(F2468="",G2468=""),"",IF(G2468&lt;='RETRATO 2027'!$K$5,"CONCLUÍDA",IF(F2468&lt;='RETRATO 2027'!$K$5,"EM ANDAMENTO","A INICIAR")))</f>
        <v>CONCLUÍDA</v>
      </c>
    </row>
    <row r="2469" customFormat="false" ht="15" hidden="false" customHeight="false" outlineLevel="0" collapsed="false">
      <c r="B2469" s="4" t="n">
        <v>29844474</v>
      </c>
      <c r="C2469" s="4" t="s">
        <v>2898</v>
      </c>
      <c r="D2469" s="4" t="s">
        <v>433</v>
      </c>
      <c r="E2469" s="4" t="s">
        <v>3781</v>
      </c>
      <c r="F2469" s="127" t="n">
        <v>46518</v>
      </c>
      <c r="G2469" s="127" t="n">
        <v>46526</v>
      </c>
      <c r="H2469" s="127" t="n">
        <v>46293</v>
      </c>
      <c r="I2469" s="4" t="n">
        <v>0</v>
      </c>
      <c r="J2469" s="4" t="n">
        <v>0</v>
      </c>
      <c r="K2469" s="4" t="n">
        <v>0</v>
      </c>
      <c r="M2469" s="2" t="str">
        <f aca="false">IF(C2469="","",IFERROR(INDEX($S$5:$S$304,MATCH(C2469,$R$5:$R$304,0))&amp;"","?"))</f>
        <v>29</v>
      </c>
      <c r="N2469" s="2" t="n">
        <f aca="false">IF(E2469="","",IF(ISNUMBER(SEARCH("SUBSOLO",E2469)),IFERROR(-VALUE(LEFT(E2469,FIND("º",SUBSTITUTE(E2469,"°","º"))-1)),-1),IF(LEFT(E2469,6)="TÉRREO",0,IFERROR(VALUE(LEFT(E2469,FIND("º",SUBSTITUTE(E2469,"°","º"))-1)),""))))</f>
        <v>20</v>
      </c>
      <c r="O2469" s="2" t="str">
        <f aca="false">IF(OR(F2469="",G2469=""),"",IF(G2469&lt;='RETRATO 2027'!$K$5,"CONCLUÍDA",IF(F2469&lt;='RETRATO 2027'!$K$5,"EM ANDAMENTO","A INICIAR")))</f>
        <v>CONCLUÍDA</v>
      </c>
    </row>
    <row r="2470" customFormat="false" ht="15" hidden="false" customHeight="false" outlineLevel="0" collapsed="false">
      <c r="B2470" s="4" t="n">
        <v>26743019</v>
      </c>
      <c r="C2470" s="4" t="s">
        <v>2886</v>
      </c>
      <c r="D2470" s="4" t="s">
        <v>433</v>
      </c>
      <c r="E2470" s="4" t="s">
        <v>3783</v>
      </c>
      <c r="F2470" s="127" t="n">
        <v>46518</v>
      </c>
      <c r="G2470" s="127" t="n">
        <v>46527</v>
      </c>
      <c r="H2470" s="127" t="n">
        <v>46293</v>
      </c>
      <c r="I2470" s="4" t="n">
        <v>0</v>
      </c>
      <c r="J2470" s="4" t="n">
        <v>0</v>
      </c>
      <c r="K2470" s="4" t="n">
        <v>0</v>
      </c>
      <c r="M2470" s="2" t="str">
        <f aca="false">IF(C2470="","",IFERROR(INDEX($S$5:$S$304,MATCH(C2470,$R$5:$R$304,0))&amp;"","?"))</f>
        <v>21</v>
      </c>
      <c r="N2470" s="2" t="n">
        <f aca="false">IF(E2470="","",IF(ISNUMBER(SEARCH("SUBSOLO",E2470)),IFERROR(-VALUE(LEFT(E2470,FIND("º",SUBSTITUTE(E2470,"°","º"))-1)),-1),IF(LEFT(E2470,6)="TÉRREO",0,IFERROR(VALUE(LEFT(E2470,FIND("º",SUBSTITUTE(E2470,"°","º"))-1)),""))))</f>
        <v>21</v>
      </c>
      <c r="O2470" s="2" t="str">
        <f aca="false">IF(OR(F2470="",G2470=""),"",IF(G2470&lt;='RETRATO 2027'!$K$5,"CONCLUÍDA",IF(F2470&lt;='RETRATO 2027'!$K$5,"EM ANDAMENTO","A INICIAR")))</f>
        <v>CONCLUÍDA</v>
      </c>
    </row>
    <row r="2471" customFormat="false" ht="15" hidden="false" customHeight="false" outlineLevel="0" collapsed="false">
      <c r="B2471" s="4" t="n">
        <v>29844650</v>
      </c>
      <c r="C2471" s="4" t="s">
        <v>2888</v>
      </c>
      <c r="D2471" s="4" t="s">
        <v>433</v>
      </c>
      <c r="E2471" s="4" t="s">
        <v>3783</v>
      </c>
      <c r="F2471" s="127" t="n">
        <v>46518</v>
      </c>
      <c r="G2471" s="127" t="n">
        <v>46527</v>
      </c>
      <c r="H2471" s="127" t="n">
        <v>46293</v>
      </c>
      <c r="I2471" s="4" t="n">
        <v>0</v>
      </c>
      <c r="J2471" s="4" t="n">
        <v>0</v>
      </c>
      <c r="K2471" s="4" t="n">
        <v>0</v>
      </c>
      <c r="M2471" s="2" t="str">
        <f aca="false">IF(C2471="","",IFERROR(INDEX($S$5:$S$304,MATCH(C2471,$R$5:$R$304,0))&amp;"","?"))</f>
        <v>20</v>
      </c>
      <c r="N2471" s="2" t="n">
        <f aca="false">IF(E2471="","",IF(ISNUMBER(SEARCH("SUBSOLO",E2471)),IFERROR(-VALUE(LEFT(E2471,FIND("º",SUBSTITUTE(E2471,"°","º"))-1)),-1),IF(LEFT(E2471,6)="TÉRREO",0,IFERROR(VALUE(LEFT(E2471,FIND("º",SUBSTITUTE(E2471,"°","º"))-1)),""))))</f>
        <v>21</v>
      </c>
      <c r="O2471" s="2" t="str">
        <f aca="false">IF(OR(F2471="",G2471=""),"",IF(G2471&lt;='RETRATO 2027'!$K$5,"CONCLUÍDA",IF(F2471&lt;='RETRATO 2027'!$K$5,"EM ANDAMENTO","A INICIAR")))</f>
        <v>CONCLUÍDA</v>
      </c>
    </row>
    <row r="2472" customFormat="false" ht="15" hidden="false" customHeight="false" outlineLevel="0" collapsed="false">
      <c r="B2472" s="4" t="n">
        <v>24938722</v>
      </c>
      <c r="C2472" s="4" t="s">
        <v>2705</v>
      </c>
      <c r="D2472" s="4" t="s">
        <v>433</v>
      </c>
      <c r="E2472" s="4" t="s">
        <v>3805</v>
      </c>
      <c r="F2472" s="127" t="n">
        <v>46519</v>
      </c>
      <c r="G2472" s="127" t="n">
        <v>46535</v>
      </c>
      <c r="H2472" s="127" t="n">
        <v>46293</v>
      </c>
      <c r="I2472" s="4" t="n">
        <v>0</v>
      </c>
      <c r="J2472" s="4" t="n">
        <v>0</v>
      </c>
      <c r="K2472" s="4" t="n">
        <v>0</v>
      </c>
      <c r="M2472" s="2" t="str">
        <f aca="false">IF(C2472="","",IFERROR(INDEX($S$5:$S$304,MATCH(C2472,$R$5:$R$304,0))&amp;"","?"))</f>
        <v>17</v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>CONCLUÍDA</v>
      </c>
    </row>
    <row r="2473" customFormat="false" ht="15" hidden="false" customHeight="false" outlineLevel="0" collapsed="false">
      <c r="B2473" s="4" t="n">
        <v>9363294</v>
      </c>
      <c r="C2473" s="4" t="s">
        <v>2705</v>
      </c>
      <c r="D2473" s="4" t="s">
        <v>3244</v>
      </c>
      <c r="E2473" s="4" t="s">
        <v>3805</v>
      </c>
      <c r="F2473" s="127" t="n">
        <v>46519</v>
      </c>
      <c r="G2473" s="127" t="n">
        <v>46521</v>
      </c>
      <c r="H2473" s="127" t="n">
        <v>46293</v>
      </c>
      <c r="I2473" s="4" t="n">
        <v>0</v>
      </c>
      <c r="J2473" s="4" t="n">
        <v>0</v>
      </c>
      <c r="K2473" s="4" t="n">
        <v>0</v>
      </c>
      <c r="M2473" s="2" t="str">
        <f aca="false">IF(C2473="","",IFERROR(INDEX($S$5:$S$304,MATCH(C2473,$R$5:$R$304,0))&amp;"","?"))</f>
        <v>17</v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>CONCLUÍDA</v>
      </c>
    </row>
    <row r="2474" customFormat="false" ht="15" hidden="false" customHeight="false" outlineLevel="0" collapsed="false">
      <c r="B2474" s="4" t="n">
        <v>9363295</v>
      </c>
      <c r="C2474" s="4" t="s">
        <v>2705</v>
      </c>
      <c r="D2474" s="4" t="s">
        <v>3245</v>
      </c>
      <c r="E2474" s="4" t="s">
        <v>3805</v>
      </c>
      <c r="F2474" s="127" t="n">
        <v>46519</v>
      </c>
      <c r="G2474" s="127" t="n">
        <v>46521</v>
      </c>
      <c r="H2474" s="127" t="n">
        <v>46293</v>
      </c>
      <c r="I2474" s="4" t="n">
        <v>0</v>
      </c>
      <c r="J2474" s="4" t="n">
        <v>0</v>
      </c>
      <c r="K2474" s="4" t="n">
        <v>0</v>
      </c>
      <c r="M2474" s="2" t="str">
        <f aca="false">IF(C2474="","",IFERROR(INDEX($S$5:$S$304,MATCH(C2474,$R$5:$R$304,0))&amp;"","?"))</f>
        <v>17</v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>CONCLUÍDA</v>
      </c>
    </row>
    <row r="2475" customFormat="false" ht="15" hidden="false" customHeight="false" outlineLevel="0" collapsed="false">
      <c r="B2475" s="4" t="n">
        <v>9363296</v>
      </c>
      <c r="C2475" s="4" t="s">
        <v>2705</v>
      </c>
      <c r="D2475" s="4" t="s">
        <v>3246</v>
      </c>
      <c r="E2475" s="4" t="s">
        <v>3805</v>
      </c>
      <c r="F2475" s="127" t="n">
        <v>46520</v>
      </c>
      <c r="G2475" s="127" t="n">
        <v>46525</v>
      </c>
      <c r="H2475" s="127" t="n">
        <v>46293</v>
      </c>
      <c r="I2475" s="4" t="n">
        <v>0</v>
      </c>
      <c r="J2475" s="4" t="n">
        <v>0</v>
      </c>
      <c r="K2475" s="4" t="n">
        <v>0</v>
      </c>
      <c r="M2475" s="2" t="str">
        <f aca="false">IF(C2475="","",IFERROR(INDEX($S$5:$S$304,MATCH(C2475,$R$5:$R$304,0))&amp;"","?"))</f>
        <v>17</v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>CONCLUÍDA</v>
      </c>
    </row>
    <row r="2476" customFormat="false" ht="15" hidden="false" customHeight="false" outlineLevel="0" collapsed="false">
      <c r="B2476" s="4" t="n">
        <v>9363297</v>
      </c>
      <c r="C2476" s="4" t="s">
        <v>2705</v>
      </c>
      <c r="D2476" s="4" t="s">
        <v>3247</v>
      </c>
      <c r="E2476" s="4" t="s">
        <v>3805</v>
      </c>
      <c r="F2476" s="127" t="n">
        <v>46526</v>
      </c>
      <c r="G2476" s="127" t="n">
        <v>46526</v>
      </c>
      <c r="H2476" s="127" t="n">
        <v>46293</v>
      </c>
      <c r="I2476" s="4" t="n">
        <v>0</v>
      </c>
      <c r="J2476" s="4" t="n">
        <v>0</v>
      </c>
      <c r="K2476" s="4" t="n">
        <v>0</v>
      </c>
      <c r="M2476" s="2" t="str">
        <f aca="false">IF(C2476="","",IFERROR(INDEX($S$5:$S$304,MATCH(C2476,$R$5:$R$304,0))&amp;"","?"))</f>
        <v>17</v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>CONCLUÍDA</v>
      </c>
    </row>
    <row r="2477" customFormat="false" ht="15" hidden="false" customHeight="false" outlineLevel="0" collapsed="false">
      <c r="B2477" s="4" t="n">
        <v>9363298</v>
      </c>
      <c r="C2477" s="4" t="s">
        <v>2705</v>
      </c>
      <c r="D2477" s="4" t="s">
        <v>3248</v>
      </c>
      <c r="E2477" s="4" t="s">
        <v>3805</v>
      </c>
      <c r="F2477" s="127" t="n">
        <v>46527</v>
      </c>
      <c r="G2477" s="127" t="n">
        <v>46533</v>
      </c>
      <c r="H2477" s="127" t="n">
        <v>46293</v>
      </c>
      <c r="I2477" s="4" t="n">
        <v>0</v>
      </c>
      <c r="J2477" s="4" t="n">
        <v>0</v>
      </c>
      <c r="K2477" s="4" t="n">
        <v>0</v>
      </c>
      <c r="M2477" s="2" t="str">
        <f aca="false">IF(C2477="","",IFERROR(INDEX($S$5:$S$304,MATCH(C2477,$R$5:$R$304,0))&amp;"","?"))</f>
        <v>17</v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>CONCLUÍDA</v>
      </c>
    </row>
    <row r="2478" customFormat="false" ht="15" hidden="false" customHeight="false" outlineLevel="0" collapsed="false">
      <c r="B2478" s="4" t="n">
        <v>9363299</v>
      </c>
      <c r="C2478" s="4" t="s">
        <v>2705</v>
      </c>
      <c r="D2478" s="4" t="s">
        <v>3249</v>
      </c>
      <c r="E2478" s="4" t="s">
        <v>3805</v>
      </c>
      <c r="F2478" s="127" t="n">
        <v>46528</v>
      </c>
      <c r="G2478" s="127" t="n">
        <v>46532</v>
      </c>
      <c r="H2478" s="127" t="n">
        <v>46293</v>
      </c>
      <c r="I2478" s="4" t="n">
        <v>0</v>
      </c>
      <c r="J2478" s="4" t="n">
        <v>0</v>
      </c>
      <c r="K2478" s="4" t="n">
        <v>0</v>
      </c>
      <c r="M2478" s="2" t="str">
        <f aca="false">IF(C2478="","",IFERROR(INDEX($S$5:$S$304,MATCH(C2478,$R$5:$R$304,0))&amp;"","?"))</f>
        <v>17</v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>CONCLUÍDA</v>
      </c>
    </row>
    <row r="2479" customFormat="false" ht="15" hidden="false" customHeight="false" outlineLevel="0" collapsed="false">
      <c r="B2479" s="4" t="n">
        <v>9363300</v>
      </c>
      <c r="C2479" s="4" t="s">
        <v>2705</v>
      </c>
      <c r="D2479" s="4" t="s">
        <v>3250</v>
      </c>
      <c r="E2479" s="4" t="s">
        <v>3805</v>
      </c>
      <c r="F2479" s="127" t="n">
        <v>46533</v>
      </c>
      <c r="G2479" s="127" t="n">
        <v>46533</v>
      </c>
      <c r="H2479" s="127" t="n">
        <v>46293</v>
      </c>
      <c r="I2479" s="4" t="n">
        <v>0</v>
      </c>
      <c r="J2479" s="4" t="n">
        <v>0</v>
      </c>
      <c r="K2479" s="4" t="n">
        <v>0</v>
      </c>
      <c r="M2479" s="2" t="str">
        <f aca="false">IF(C2479="","",IFERROR(INDEX($S$5:$S$304,MATCH(C2479,$R$5:$R$304,0))&amp;"","?"))</f>
        <v>17</v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>CONCLUÍDA</v>
      </c>
    </row>
    <row r="2480" customFormat="false" ht="15" hidden="false" customHeight="false" outlineLevel="0" collapsed="false">
      <c r="B2480" s="4" t="n">
        <v>9363301</v>
      </c>
      <c r="C2480" s="4" t="s">
        <v>2705</v>
      </c>
      <c r="D2480" s="4" t="s">
        <v>3251</v>
      </c>
      <c r="E2480" s="4" t="s">
        <v>3805</v>
      </c>
      <c r="F2480" s="127" t="n">
        <v>46533</v>
      </c>
      <c r="G2480" s="127" t="n">
        <v>46533</v>
      </c>
      <c r="H2480" s="127" t="n">
        <v>46293</v>
      </c>
      <c r="I2480" s="4" t="n">
        <v>0</v>
      </c>
      <c r="J2480" s="4" t="n">
        <v>0</v>
      </c>
      <c r="K2480" s="4" t="n">
        <v>0</v>
      </c>
      <c r="M2480" s="2" t="str">
        <f aca="false">IF(C2480="","",IFERROR(INDEX($S$5:$S$304,MATCH(C2480,$R$5:$R$304,0))&amp;"","?"))</f>
        <v>17</v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>CONCLUÍDA</v>
      </c>
    </row>
    <row r="2481" customFormat="false" ht="15" hidden="false" customHeight="false" outlineLevel="0" collapsed="false">
      <c r="B2481" s="4" t="n">
        <v>9363302</v>
      </c>
      <c r="C2481" s="4" t="s">
        <v>2705</v>
      </c>
      <c r="D2481" s="4" t="s">
        <v>3252</v>
      </c>
      <c r="E2481" s="4" t="s">
        <v>3805</v>
      </c>
      <c r="F2481" s="127" t="n">
        <v>46535</v>
      </c>
      <c r="G2481" s="127" t="n">
        <v>46535</v>
      </c>
      <c r="H2481" s="127" t="n">
        <v>46293</v>
      </c>
      <c r="I2481" s="4" t="n">
        <v>0</v>
      </c>
      <c r="J2481" s="4" t="n">
        <v>0</v>
      </c>
      <c r="K2481" s="4" t="n">
        <v>0</v>
      </c>
      <c r="M2481" s="2" t="str">
        <f aca="false">IF(C2481="","",IFERROR(INDEX($S$5:$S$304,MATCH(C2481,$R$5:$R$304,0))&amp;"","?"))</f>
        <v>17</v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>CONCLUÍDA</v>
      </c>
    </row>
    <row r="2482" customFormat="false" ht="15" hidden="false" customHeight="false" outlineLevel="0" collapsed="false">
      <c r="B2482" s="4" t="n">
        <v>26743607</v>
      </c>
      <c r="C2482" s="4" t="s">
        <v>2997</v>
      </c>
      <c r="D2482" s="4" t="s">
        <v>433</v>
      </c>
      <c r="E2482" s="4" t="s">
        <v>3678</v>
      </c>
      <c r="F2482" s="127" t="n">
        <v>46520</v>
      </c>
      <c r="G2482" s="127" t="n">
        <v>46531</v>
      </c>
      <c r="H2482" s="127" t="n">
        <v>46293</v>
      </c>
      <c r="I2482" s="4" t="n">
        <v>0</v>
      </c>
      <c r="J2482" s="4" t="n">
        <v>0</v>
      </c>
      <c r="K2482" s="4" t="n">
        <v>0</v>
      </c>
      <c r="M2482" s="2" t="str">
        <f aca="false">IF(C2482="","",IFERROR(INDEX($S$5:$S$304,MATCH(C2482,$R$5:$R$304,0))&amp;"","?"))</f>
        <v>35</v>
      </c>
      <c r="N2482" s="2" t="n">
        <f aca="false">IF(E2482="","",IF(ISNUMBER(SEARCH("SUBSOLO",E2482)),IFERROR(-VALUE(LEFT(E2482,FIND("º",SUBSTITUTE(E2482,"°","º"))-1)),-1),IF(LEFT(E2482,6)="TÉRREO",0,IFERROR(VALUE(LEFT(E2482,FIND("º",SUBSTITUTE(E2482,"°","º"))-1)),""))))</f>
        <v>5</v>
      </c>
      <c r="O2482" s="2" t="str">
        <f aca="false">IF(OR(F2482="",G2482=""),"",IF(G2482&lt;='RETRATO 2027'!$K$5,"CONCLUÍDA",IF(F2482&lt;='RETRATO 2027'!$K$5,"EM ANDAMENTO","A INICIAR")))</f>
        <v>CONCLUÍDA</v>
      </c>
    </row>
    <row r="2483" customFormat="false" ht="15" hidden="false" customHeight="false" outlineLevel="0" collapsed="false">
      <c r="B2483" s="4" t="n">
        <v>26743569</v>
      </c>
      <c r="C2483" s="4" t="s">
        <v>2980</v>
      </c>
      <c r="D2483" s="4" t="s">
        <v>433</v>
      </c>
      <c r="E2483" s="4" t="s">
        <v>3685</v>
      </c>
      <c r="F2483" s="127" t="n">
        <v>46520</v>
      </c>
      <c r="G2483" s="127" t="n">
        <v>46531</v>
      </c>
      <c r="H2483" s="127" t="n">
        <v>46293</v>
      </c>
      <c r="I2483" s="4" t="n">
        <v>0</v>
      </c>
      <c r="J2483" s="4" t="n">
        <v>0</v>
      </c>
      <c r="K2483" s="4" t="n">
        <v>0</v>
      </c>
      <c r="M2483" s="2" t="str">
        <f aca="false">IF(C2483="","",IFERROR(INDEX($S$5:$S$304,MATCH(C2483,$R$5:$R$304,0))&amp;"","?"))</f>
        <v>35</v>
      </c>
      <c r="N2483" s="2" t="n">
        <f aca="false">IF(E2483="","",IF(ISNUMBER(SEARCH("SUBSOLO",E2483)),IFERROR(-VALUE(LEFT(E2483,FIND("º",SUBSTITUTE(E2483,"°","º"))-1)),-1),IF(LEFT(E2483,6)="TÉRREO",0,IFERROR(VALUE(LEFT(E2483,FIND("º",SUBSTITUTE(E2483,"°","º"))-1)),""))))</f>
        <v>6</v>
      </c>
      <c r="O2483" s="2" t="str">
        <f aca="false">IF(OR(F2483="",G2483=""),"",IF(G2483&lt;='RETRATO 2027'!$K$5,"CONCLUÍDA",IF(F2483&lt;='RETRATO 2027'!$K$5,"EM ANDAMENTO","A INICIAR")))</f>
        <v>CONCLUÍDA</v>
      </c>
    </row>
    <row r="2484" customFormat="false" ht="15" hidden="false" customHeight="false" outlineLevel="0" collapsed="false">
      <c r="B2484" s="4" t="n">
        <v>26743539</v>
      </c>
      <c r="C2484" s="4" t="s">
        <v>208</v>
      </c>
      <c r="D2484" s="4" t="s">
        <v>433</v>
      </c>
      <c r="E2484" s="4" t="s">
        <v>3686</v>
      </c>
      <c r="F2484" s="127" t="n">
        <v>46520</v>
      </c>
      <c r="G2484" s="127" t="n">
        <v>46531</v>
      </c>
      <c r="H2484" s="127" t="n">
        <v>46293</v>
      </c>
      <c r="I2484" s="4" t="n">
        <v>0</v>
      </c>
      <c r="J2484" s="4" t="n">
        <v>0</v>
      </c>
      <c r="K2484" s="4" t="n">
        <v>0</v>
      </c>
      <c r="M2484" s="2" t="str">
        <f aca="false">IF(C2484="","",IFERROR(INDEX($S$5:$S$304,MATCH(C2484,$R$5:$R$304,0))&amp;"","?"))</f>
        <v>33</v>
      </c>
      <c r="N2484" s="2" t="n">
        <f aca="false">IF(E2484="","",IF(ISNUMBER(SEARCH("SUBSOLO",E2484)),IFERROR(-VALUE(LEFT(E2484,FIND("º",SUBSTITUTE(E2484,"°","º"))-1)),-1),IF(LEFT(E2484,6)="TÉRREO",0,IFERROR(VALUE(LEFT(E2484,FIND("º",SUBSTITUTE(E2484,"°","º"))-1)),""))))</f>
        <v>7</v>
      </c>
      <c r="O2484" s="2" t="str">
        <f aca="false">IF(OR(F2484="",G2484=""),"",IF(G2484&lt;='RETRATO 2027'!$K$5,"CONCLUÍDA",IF(F2484&lt;='RETRATO 2027'!$K$5,"EM ANDAMENTO","A INICIAR")))</f>
        <v>CONCLUÍDA</v>
      </c>
    </row>
    <row r="2485" customFormat="false" ht="15" hidden="false" customHeight="false" outlineLevel="0" collapsed="false">
      <c r="B2485" s="4" t="n">
        <v>29844389</v>
      </c>
      <c r="C2485" s="4" t="s">
        <v>2890</v>
      </c>
      <c r="D2485" s="4" t="s">
        <v>433</v>
      </c>
      <c r="E2485" s="4" t="s">
        <v>3783</v>
      </c>
      <c r="F2485" s="127" t="n">
        <v>46520</v>
      </c>
      <c r="G2485" s="127" t="n">
        <v>46531</v>
      </c>
      <c r="H2485" s="127" t="n">
        <v>46293</v>
      </c>
      <c r="I2485" s="4" t="n">
        <v>0</v>
      </c>
      <c r="J2485" s="4" t="n">
        <v>0</v>
      </c>
      <c r="K2485" s="4" t="n">
        <v>0</v>
      </c>
      <c r="M2485" s="2" t="str">
        <f aca="false">IF(C2485="","",IFERROR(INDEX($S$5:$S$304,MATCH(C2485,$R$5:$R$304,0))&amp;"","?"))</f>
        <v>18</v>
      </c>
      <c r="N2485" s="2" t="n">
        <f aca="false">IF(E2485="","",IF(ISNUMBER(SEARCH("SUBSOLO",E2485)),IFERROR(-VALUE(LEFT(E2485,FIND("º",SUBSTITUTE(E2485,"°","º"))-1)),-1),IF(LEFT(E2485,6)="TÉRREO",0,IFERROR(VALUE(LEFT(E2485,FIND("º",SUBSTITUTE(E2485,"°","º"))-1)),""))))</f>
        <v>21</v>
      </c>
      <c r="O2485" s="2" t="str">
        <f aca="false">IF(OR(F2485="",G2485=""),"",IF(G2485&lt;='RETRATO 2027'!$K$5,"CONCLUÍDA",IF(F2485&lt;='RETRATO 2027'!$K$5,"EM ANDAMENTO","A INICIAR")))</f>
        <v>CONCLUÍDA</v>
      </c>
    </row>
    <row r="2486" customFormat="false" ht="15" hidden="false" customHeight="false" outlineLevel="0" collapsed="false">
      <c r="B2486" s="4" t="n">
        <v>29845955</v>
      </c>
      <c r="C2486" s="4" t="s">
        <v>2983</v>
      </c>
      <c r="D2486" s="4" t="s">
        <v>433</v>
      </c>
      <c r="E2486" s="4" t="s">
        <v>3706</v>
      </c>
      <c r="F2486" s="127" t="n">
        <v>46521</v>
      </c>
      <c r="G2486" s="127" t="n">
        <v>46531</v>
      </c>
      <c r="H2486" s="127" t="n">
        <v>46293</v>
      </c>
      <c r="I2486" s="4" t="n">
        <v>0</v>
      </c>
      <c r="J2486" s="4" t="n">
        <v>0</v>
      </c>
      <c r="K2486" s="4" t="n">
        <v>0</v>
      </c>
      <c r="M2486" s="2" t="str">
        <f aca="false">IF(C2486="","",IFERROR(INDEX($S$5:$S$304,MATCH(C2486,$R$5:$R$304,0))&amp;"","?"))</f>
        <v>20</v>
      </c>
      <c r="N2486" s="2" t="n">
        <f aca="false">IF(E2486="","",IF(ISNUMBER(SEARCH("SUBSOLO",E2486)),IFERROR(-VALUE(LEFT(E2486,FIND("º",SUBSTITUTE(E2486,"°","º"))-1)),-1),IF(LEFT(E2486,6)="TÉRREO",0,IFERROR(VALUE(LEFT(E2486,FIND("º",SUBSTITUTE(E2486,"°","º"))-1)),""))))</f>
        <v>8</v>
      </c>
      <c r="O2486" s="2" t="str">
        <f aca="false">IF(OR(F2486="",G2486=""),"",IF(G2486&lt;='RETRATO 2027'!$K$5,"CONCLUÍDA",IF(F2486&lt;='RETRATO 2027'!$K$5,"EM ANDAMENTO","A INICIAR")))</f>
        <v>CONCLUÍDA</v>
      </c>
    </row>
    <row r="2487" customFormat="false" ht="15" hidden="false" customHeight="false" outlineLevel="0" collapsed="false">
      <c r="B2487" s="4" t="n">
        <v>29845894</v>
      </c>
      <c r="C2487" s="4" t="s">
        <v>2986</v>
      </c>
      <c r="D2487" s="4" t="s">
        <v>433</v>
      </c>
      <c r="E2487" s="4" t="s">
        <v>3706</v>
      </c>
      <c r="F2487" s="127" t="n">
        <v>46521</v>
      </c>
      <c r="G2487" s="127" t="n">
        <v>46532</v>
      </c>
      <c r="H2487" s="127" t="n">
        <v>46293</v>
      </c>
      <c r="I2487" s="4" t="n">
        <v>0</v>
      </c>
      <c r="J2487" s="4" t="n">
        <v>0</v>
      </c>
      <c r="K2487" s="4" t="n">
        <v>0</v>
      </c>
      <c r="M2487" s="2" t="str">
        <f aca="false">IF(C2487="","",IFERROR(INDEX($S$5:$S$304,MATCH(C2487,$R$5:$R$304,0))&amp;"","?"))</f>
        <v>20</v>
      </c>
      <c r="N2487" s="2" t="n">
        <f aca="false">IF(E2487="","",IF(ISNUMBER(SEARCH("SUBSOLO",E2487)),IFERROR(-VALUE(LEFT(E2487,FIND("º",SUBSTITUTE(E2487,"°","º"))-1)),-1),IF(LEFT(E2487,6)="TÉRREO",0,IFERROR(VALUE(LEFT(E2487,FIND("º",SUBSTITUTE(E2487,"°","º"))-1)),""))))</f>
        <v>8</v>
      </c>
      <c r="O2487" s="2" t="str">
        <f aca="false">IF(OR(F2487="",G2487=""),"",IF(G2487&lt;='RETRATO 2027'!$K$5,"CONCLUÍDA",IF(F2487&lt;='RETRATO 2027'!$K$5,"EM ANDAMENTO","A INICIAR")))</f>
        <v>CONCLUÍDA</v>
      </c>
    </row>
    <row r="2488" customFormat="false" ht="15" hidden="false" customHeight="false" outlineLevel="0" collapsed="false">
      <c r="B2488" s="4" t="n">
        <v>26743467</v>
      </c>
      <c r="C2488" s="4" t="s">
        <v>2977</v>
      </c>
      <c r="D2488" s="4" t="s">
        <v>433</v>
      </c>
      <c r="E2488" s="4" t="s">
        <v>3716</v>
      </c>
      <c r="F2488" s="127" t="n">
        <v>46521</v>
      </c>
      <c r="G2488" s="127" t="n">
        <v>46532</v>
      </c>
      <c r="H2488" s="127" t="n">
        <v>46293</v>
      </c>
      <c r="I2488" s="4" t="n">
        <v>0</v>
      </c>
      <c r="J2488" s="4" t="n">
        <v>0</v>
      </c>
      <c r="K2488" s="4" t="n">
        <v>0</v>
      </c>
      <c r="M2488" s="2" t="str">
        <f aca="false">IF(C2488="","",IFERROR(INDEX($S$5:$S$304,MATCH(C2488,$R$5:$R$304,0))&amp;"","?"))</f>
        <v>30</v>
      </c>
      <c r="N2488" s="2" t="n">
        <f aca="false">IF(E2488="","",IF(ISNUMBER(SEARCH("SUBSOLO",E2488)),IFERROR(-VALUE(LEFT(E2488,FIND("º",SUBSTITUTE(E2488,"°","º"))-1)),-1),IF(LEFT(E2488,6)="TÉRREO",0,IFERROR(VALUE(LEFT(E2488,FIND("º",SUBSTITUTE(E2488,"°","º"))-1)),""))))</f>
        <v>9</v>
      </c>
      <c r="O2488" s="2" t="str">
        <f aca="false">IF(OR(F2488="",G2488=""),"",IF(G2488&lt;='RETRATO 2027'!$K$5,"CONCLUÍDA",IF(F2488&lt;='RETRATO 2027'!$K$5,"EM ANDAMENTO","A INICIAR")))</f>
        <v>CONCLUÍDA</v>
      </c>
    </row>
    <row r="2489" customFormat="false" ht="15" hidden="false" customHeight="false" outlineLevel="0" collapsed="false">
      <c r="B2489" s="4" t="n">
        <v>26743423</v>
      </c>
      <c r="C2489" s="4" t="s">
        <v>2935</v>
      </c>
      <c r="D2489" s="4" t="s">
        <v>433</v>
      </c>
      <c r="E2489" s="4" t="s">
        <v>3722</v>
      </c>
      <c r="F2489" s="127" t="n">
        <v>46521</v>
      </c>
      <c r="G2489" s="127" t="n">
        <v>46532</v>
      </c>
      <c r="H2489" s="127" t="n">
        <v>46293</v>
      </c>
      <c r="I2489" s="4" t="n">
        <v>0</v>
      </c>
      <c r="J2489" s="4" t="n">
        <v>0</v>
      </c>
      <c r="K2489" s="4" t="n">
        <v>0</v>
      </c>
      <c r="M2489" s="2" t="str">
        <f aca="false">IF(C2489="","",IFERROR(INDEX($S$5:$S$304,MATCH(C2489,$R$5:$R$304,0))&amp;"","?"))</f>
        <v>30</v>
      </c>
      <c r="N2489" s="2" t="n">
        <f aca="false">IF(E2489="","",IF(ISNUMBER(SEARCH("SUBSOLO",E2489)),IFERROR(-VALUE(LEFT(E2489,FIND("º",SUBSTITUTE(E2489,"°","º"))-1)),-1),IF(LEFT(E2489,6)="TÉRREO",0,IFERROR(VALUE(LEFT(E2489,FIND("º",SUBSTITUTE(E2489,"°","º"))-1)),""))))</f>
        <v>10</v>
      </c>
      <c r="O2489" s="2" t="str">
        <f aca="false">IF(OR(F2489="",G2489=""),"",IF(G2489&lt;='RETRATO 2027'!$K$5,"CONCLUÍDA",IF(F2489&lt;='RETRATO 2027'!$K$5,"EM ANDAMENTO","A INICIAR")))</f>
        <v>CONCLUÍDA</v>
      </c>
    </row>
    <row r="2490" customFormat="false" ht="15" hidden="false" customHeight="false" outlineLevel="0" collapsed="false">
      <c r="B2490" s="4" t="n">
        <v>26743370</v>
      </c>
      <c r="C2490" s="4" t="s">
        <v>2938</v>
      </c>
      <c r="D2490" s="4" t="s">
        <v>433</v>
      </c>
      <c r="E2490" s="4" t="s">
        <v>3762</v>
      </c>
      <c r="F2490" s="127" t="n">
        <v>46521</v>
      </c>
      <c r="G2490" s="127" t="n">
        <v>46532</v>
      </c>
      <c r="H2490" s="127" t="n">
        <v>46293</v>
      </c>
      <c r="I2490" s="4" t="n">
        <v>0</v>
      </c>
      <c r="J2490" s="4" t="n">
        <v>0</v>
      </c>
      <c r="K2490" s="4" t="n">
        <v>0</v>
      </c>
      <c r="M2490" s="2" t="str">
        <f aca="false">IF(C2490="","",IFERROR(INDEX($S$5:$S$304,MATCH(C2490,$R$5:$R$304,0))&amp;"","?"))</f>
        <v>30</v>
      </c>
      <c r="N2490" s="2" t="n">
        <f aca="false">IF(E2490="","",IF(ISNUMBER(SEARCH("SUBSOLO",E2490)),IFERROR(-VALUE(LEFT(E2490,FIND("º",SUBSTITUTE(E2490,"°","º"))-1)),-1),IF(LEFT(E2490,6)="TÉRREO",0,IFERROR(VALUE(LEFT(E2490,FIND("º",SUBSTITUTE(E2490,"°","º"))-1)),""))))</f>
        <v>11</v>
      </c>
      <c r="O2490" s="2" t="str">
        <f aca="false">IF(OR(F2490="",G2490=""),"",IF(G2490&lt;='RETRATO 2027'!$K$5,"CONCLUÍDA",IF(F2490&lt;='RETRATO 2027'!$K$5,"EM ANDAMENTO","A INICIAR")))</f>
        <v>CONCLUÍDA</v>
      </c>
    </row>
    <row r="2491" customFormat="false" ht="15" hidden="false" customHeight="false" outlineLevel="0" collapsed="false">
      <c r="B2491" s="4" t="n">
        <v>26743332</v>
      </c>
      <c r="C2491" s="4" t="s">
        <v>166</v>
      </c>
      <c r="D2491" s="4" t="s">
        <v>433</v>
      </c>
      <c r="E2491" s="4" t="s">
        <v>3763</v>
      </c>
      <c r="F2491" s="127" t="n">
        <v>46521</v>
      </c>
      <c r="G2491" s="127" t="n">
        <v>46532</v>
      </c>
      <c r="H2491" s="127" t="n">
        <v>46293</v>
      </c>
      <c r="I2491" s="4" t="n">
        <v>0</v>
      </c>
      <c r="J2491" s="4" t="n">
        <v>0</v>
      </c>
      <c r="K2491" s="4" t="n">
        <v>0</v>
      </c>
      <c r="M2491" s="2" t="str">
        <f aca="false">IF(C2491="","",IFERROR(INDEX($S$5:$S$304,MATCH(C2491,$R$5:$R$304,0))&amp;"","?"))</f>
        <v>19</v>
      </c>
      <c r="N2491" s="2" t="n">
        <f aca="false">IF(E2491="","",IF(ISNUMBER(SEARCH("SUBSOLO",E2491)),IFERROR(-VALUE(LEFT(E2491,FIND("º",SUBSTITUTE(E2491,"°","º"))-1)),-1),IF(LEFT(E2491,6)="TÉRREO",0,IFERROR(VALUE(LEFT(E2491,FIND("º",SUBSTITUTE(E2491,"°","º"))-1)),""))))</f>
        <v>12</v>
      </c>
      <c r="O2491" s="2" t="str">
        <f aca="false">IF(OR(F2491="",G2491=""),"",IF(G2491&lt;='RETRATO 2027'!$K$5,"CONCLUÍDA",IF(F2491&lt;='RETRATO 2027'!$K$5,"EM ANDAMENTO","A INICIAR")))</f>
        <v>CONCLUÍDA</v>
      </c>
    </row>
    <row r="2492" customFormat="false" ht="15" hidden="false" customHeight="false" outlineLevel="0" collapsed="false">
      <c r="B2492" s="4" t="n">
        <v>26743305</v>
      </c>
      <c r="C2492" s="4" t="s">
        <v>2941</v>
      </c>
      <c r="D2492" s="4" t="s">
        <v>433</v>
      </c>
      <c r="E2492" s="4" t="s">
        <v>3764</v>
      </c>
      <c r="F2492" s="127" t="n">
        <v>46521</v>
      </c>
      <c r="G2492" s="127" t="n">
        <v>46532</v>
      </c>
      <c r="H2492" s="127" t="n">
        <v>46293</v>
      </c>
      <c r="I2492" s="4" t="n">
        <v>0</v>
      </c>
      <c r="J2492" s="4" t="n">
        <v>0</v>
      </c>
      <c r="K2492" s="4" t="n">
        <v>0</v>
      </c>
      <c r="M2492" s="2" t="str">
        <f aca="false">IF(C2492="","",IFERROR(INDEX($S$5:$S$304,MATCH(C2492,$R$5:$R$304,0))&amp;"","?"))</f>
        <v>18</v>
      </c>
      <c r="N2492" s="2" t="n">
        <f aca="false">IF(E2492="","",IF(ISNUMBER(SEARCH("SUBSOLO",E2492)),IFERROR(-VALUE(LEFT(E2492,FIND("º",SUBSTITUTE(E2492,"°","º"))-1)),-1),IF(LEFT(E2492,6)="TÉRREO",0,IFERROR(VALUE(LEFT(E2492,FIND("º",SUBSTITUTE(E2492,"°","º"))-1)),""))))</f>
        <v>13</v>
      </c>
      <c r="O2492" s="2" t="str">
        <f aca="false">IF(OR(F2492="",G2492=""),"",IF(G2492&lt;='RETRATO 2027'!$K$5,"CONCLUÍDA",IF(F2492&lt;='RETRATO 2027'!$K$5,"EM ANDAMENTO","A INICIAR")))</f>
        <v>CONCLUÍDA</v>
      </c>
    </row>
    <row r="2493" customFormat="false" ht="15" hidden="false" customHeight="false" outlineLevel="0" collapsed="false">
      <c r="B2493" s="4" t="n">
        <v>26743269</v>
      </c>
      <c r="C2493" s="4" t="s">
        <v>2924</v>
      </c>
      <c r="D2493" s="4" t="s">
        <v>433</v>
      </c>
      <c r="E2493" s="4" t="s">
        <v>3765</v>
      </c>
      <c r="F2493" s="127" t="n">
        <v>46521</v>
      </c>
      <c r="G2493" s="127" t="n">
        <v>46532</v>
      </c>
      <c r="H2493" s="127" t="n">
        <v>46293</v>
      </c>
      <c r="I2493" s="4" t="n">
        <v>0</v>
      </c>
      <c r="J2493" s="4" t="n">
        <v>0</v>
      </c>
      <c r="K2493" s="4" t="n">
        <v>0</v>
      </c>
      <c r="M2493" s="2" t="str">
        <f aca="false">IF(C2493="","",IFERROR(INDEX($S$5:$S$304,MATCH(C2493,$R$5:$R$304,0))&amp;"","?"))</f>
        <v>21</v>
      </c>
      <c r="N2493" s="2" t="n">
        <f aca="false">IF(E2493="","",IF(ISNUMBER(SEARCH("SUBSOLO",E2493)),IFERROR(-VALUE(LEFT(E2493,FIND("º",SUBSTITUTE(E2493,"°","º"))-1)),-1),IF(LEFT(E2493,6)="TÉRREO",0,IFERROR(VALUE(LEFT(E2493,FIND("º",SUBSTITUTE(E2493,"°","º"))-1)),""))))</f>
        <v>14</v>
      </c>
      <c r="O2493" s="2" t="str">
        <f aca="false">IF(OR(F2493="",G2493=""),"",IF(G2493&lt;='RETRATO 2027'!$K$5,"CONCLUÍDA",IF(F2493&lt;='RETRATO 2027'!$K$5,"EM ANDAMENTO","A INICIAR")))</f>
        <v>CONCLUÍDA</v>
      </c>
    </row>
    <row r="2494" customFormat="false" ht="15" hidden="false" customHeight="false" outlineLevel="0" collapsed="false">
      <c r="B2494" s="4" t="n">
        <v>26743252</v>
      </c>
      <c r="C2494" s="4" t="s">
        <v>2926</v>
      </c>
      <c r="D2494" s="4" t="s">
        <v>433</v>
      </c>
      <c r="E2494" s="4" t="s">
        <v>3765</v>
      </c>
      <c r="F2494" s="127" t="n">
        <v>46521</v>
      </c>
      <c r="G2494" s="127" t="n">
        <v>46532</v>
      </c>
      <c r="H2494" s="127" t="n">
        <v>46293</v>
      </c>
      <c r="I2494" s="4" t="n">
        <v>0</v>
      </c>
      <c r="J2494" s="4" t="n">
        <v>0</v>
      </c>
      <c r="K2494" s="4" t="n">
        <v>0</v>
      </c>
      <c r="M2494" s="2" t="str">
        <f aca="false">IF(C2494="","",IFERROR(INDEX($S$5:$S$304,MATCH(C2494,$R$5:$R$304,0))&amp;"","?"))</f>
        <v>20</v>
      </c>
      <c r="N2494" s="2" t="n">
        <f aca="false">IF(E2494="","",IF(ISNUMBER(SEARCH("SUBSOLO",E2494)),IFERROR(-VALUE(LEFT(E2494,FIND("º",SUBSTITUTE(E2494,"°","º"))-1)),-1),IF(LEFT(E2494,6)="TÉRREO",0,IFERROR(VALUE(LEFT(E2494,FIND("º",SUBSTITUTE(E2494,"°","º"))-1)),""))))</f>
        <v>14</v>
      </c>
      <c r="O2494" s="2" t="str">
        <f aca="false">IF(OR(F2494="",G2494=""),"",IF(G2494&lt;='RETRATO 2027'!$K$5,"CONCLUÍDA",IF(F2494&lt;='RETRATO 2027'!$K$5,"EM ANDAMENTO","A INICIAR")))</f>
        <v>CONCLUÍDA</v>
      </c>
    </row>
    <row r="2495" customFormat="false" ht="15" hidden="false" customHeight="false" outlineLevel="0" collapsed="false">
      <c r="B2495" s="4" t="n">
        <v>26743251</v>
      </c>
      <c r="C2495" s="4" t="s">
        <v>2928</v>
      </c>
      <c r="D2495" s="4" t="s">
        <v>433</v>
      </c>
      <c r="E2495" s="4" t="s">
        <v>3765</v>
      </c>
      <c r="F2495" s="127" t="n">
        <v>46521</v>
      </c>
      <c r="G2495" s="127" t="n">
        <v>46532</v>
      </c>
      <c r="H2495" s="127" t="n">
        <v>46293</v>
      </c>
      <c r="I2495" s="4" t="n">
        <v>0</v>
      </c>
      <c r="J2495" s="4" t="n">
        <v>0</v>
      </c>
      <c r="K2495" s="4" t="n">
        <v>0</v>
      </c>
      <c r="M2495" s="2" t="str">
        <f aca="false">IF(C2495="","",IFERROR(INDEX($S$5:$S$304,MATCH(C2495,$R$5:$R$304,0))&amp;"","?"))</f>
        <v>23</v>
      </c>
      <c r="N2495" s="2" t="n">
        <f aca="false">IF(E2495="","",IF(ISNUMBER(SEARCH("SUBSOLO",E2495)),IFERROR(-VALUE(LEFT(E2495,FIND("º",SUBSTITUTE(E2495,"°","º"))-1)),-1),IF(LEFT(E2495,6)="TÉRREO",0,IFERROR(VALUE(LEFT(E2495,FIND("º",SUBSTITUTE(E2495,"°","º"))-1)),""))))</f>
        <v>14</v>
      </c>
      <c r="O2495" s="2" t="str">
        <f aca="false">IF(OR(F2495="",G2495=""),"",IF(G2495&lt;='RETRATO 2027'!$K$5,"CONCLUÍDA",IF(F2495&lt;='RETRATO 2027'!$K$5,"EM ANDAMENTO","A INICIAR")))</f>
        <v>CONCLUÍDA</v>
      </c>
    </row>
    <row r="2496" customFormat="false" ht="15" hidden="false" customHeight="false" outlineLevel="0" collapsed="false">
      <c r="B2496" s="4" t="n">
        <v>26743270</v>
      </c>
      <c r="C2496" s="4" t="s">
        <v>2930</v>
      </c>
      <c r="D2496" s="4" t="s">
        <v>433</v>
      </c>
      <c r="E2496" s="4" t="s">
        <v>3765</v>
      </c>
      <c r="F2496" s="127" t="n">
        <v>46521</v>
      </c>
      <c r="G2496" s="127" t="n">
        <v>46532</v>
      </c>
      <c r="H2496" s="127" t="n">
        <v>46293</v>
      </c>
      <c r="I2496" s="4" t="n">
        <v>0</v>
      </c>
      <c r="J2496" s="4" t="n">
        <v>0</v>
      </c>
      <c r="K2496" s="4" t="n">
        <v>0</v>
      </c>
      <c r="M2496" s="2" t="str">
        <f aca="false">IF(C2496="","",IFERROR(INDEX($S$5:$S$304,MATCH(C2496,$R$5:$R$304,0))&amp;"","?"))</f>
        <v>21</v>
      </c>
      <c r="N2496" s="2" t="n">
        <f aca="false">IF(E2496="","",IF(ISNUMBER(SEARCH("SUBSOLO",E2496)),IFERROR(-VALUE(LEFT(E2496,FIND("º",SUBSTITUTE(E2496,"°","º"))-1)),-1),IF(LEFT(E2496,6)="TÉRREO",0,IFERROR(VALUE(LEFT(E2496,FIND("º",SUBSTITUTE(E2496,"°","º"))-1)),""))))</f>
        <v>14</v>
      </c>
      <c r="O2496" s="2" t="str">
        <f aca="false">IF(OR(F2496="",G2496=""),"",IF(G2496&lt;='RETRATO 2027'!$K$5,"CONCLUÍDA",IF(F2496&lt;='RETRATO 2027'!$K$5,"EM ANDAMENTO","A INICIAR")))</f>
        <v>CONCLUÍDA</v>
      </c>
    </row>
    <row r="2497" customFormat="false" ht="15" hidden="false" customHeight="false" outlineLevel="0" collapsed="false">
      <c r="B2497" s="4" t="n">
        <v>26743271</v>
      </c>
      <c r="C2497" s="4" t="s">
        <v>2933</v>
      </c>
      <c r="D2497" s="4" t="s">
        <v>433</v>
      </c>
      <c r="E2497" s="4" t="s">
        <v>3765</v>
      </c>
      <c r="F2497" s="127" t="n">
        <v>46521</v>
      </c>
      <c r="G2497" s="127" t="n">
        <v>46532</v>
      </c>
      <c r="H2497" s="127" t="n">
        <v>46293</v>
      </c>
      <c r="I2497" s="4" t="n">
        <v>0</v>
      </c>
      <c r="J2497" s="4" t="n">
        <v>0</v>
      </c>
      <c r="K2497" s="4" t="n">
        <v>0</v>
      </c>
      <c r="M2497" s="2" t="str">
        <f aca="false">IF(C2497="","",IFERROR(INDEX($S$5:$S$304,MATCH(C2497,$R$5:$R$304,0))&amp;"","?"))</f>
        <v>21</v>
      </c>
      <c r="N2497" s="2" t="n">
        <f aca="false">IF(E2497="","",IF(ISNUMBER(SEARCH("SUBSOLO",E2497)),IFERROR(-VALUE(LEFT(E2497,FIND("º",SUBSTITUTE(E2497,"°","º"))-1)),-1),IF(LEFT(E2497,6)="TÉRREO",0,IFERROR(VALUE(LEFT(E2497,FIND("º",SUBSTITUTE(E2497,"°","º"))-1)),""))))</f>
        <v>14</v>
      </c>
      <c r="O2497" s="2" t="str">
        <f aca="false">IF(OR(F2497="",G2497=""),"",IF(G2497&lt;='RETRATO 2027'!$K$5,"CONCLUÍDA",IF(F2497&lt;='RETRATO 2027'!$K$5,"EM ANDAMENTO","A INICIAR")))</f>
        <v>CONCLUÍDA</v>
      </c>
    </row>
    <row r="2498" customFormat="false" ht="15" hidden="false" customHeight="false" outlineLevel="0" collapsed="false">
      <c r="B2498" s="4" t="n">
        <v>26743213</v>
      </c>
      <c r="C2498" s="4" t="s">
        <v>2922</v>
      </c>
      <c r="D2498" s="4" t="s">
        <v>433</v>
      </c>
      <c r="E2498" s="4" t="s">
        <v>3768</v>
      </c>
      <c r="F2498" s="127" t="n">
        <v>46521</v>
      </c>
      <c r="G2498" s="127" t="n">
        <v>46532</v>
      </c>
      <c r="H2498" s="127" t="n">
        <v>46293</v>
      </c>
      <c r="I2498" s="4" t="n">
        <v>0</v>
      </c>
      <c r="J2498" s="4" t="n">
        <v>0</v>
      </c>
      <c r="K2498" s="4" t="n">
        <v>0</v>
      </c>
      <c r="M2498" s="2" t="str">
        <f aca="false">IF(C2498="","",IFERROR(INDEX($S$5:$S$304,MATCH(C2498,$R$5:$R$304,0))&amp;"","?"))</f>
        <v>18</v>
      </c>
      <c r="N2498" s="2" t="n">
        <f aca="false">IF(E2498="","",IF(ISNUMBER(SEARCH("SUBSOLO",E2498)),IFERROR(-VALUE(LEFT(E2498,FIND("º",SUBSTITUTE(E2498,"°","º"))-1)),-1),IF(LEFT(E2498,6)="TÉRREO",0,IFERROR(VALUE(LEFT(E2498,FIND("º",SUBSTITUTE(E2498,"°","º"))-1)),""))))</f>
        <v>15</v>
      </c>
      <c r="O2498" s="2" t="str">
        <f aca="false">IF(OR(F2498="",G2498=""),"",IF(G2498&lt;='RETRATO 2027'!$K$5,"CONCLUÍDA",IF(F2498&lt;='RETRATO 2027'!$K$5,"EM ANDAMENTO","A INICIAR")))</f>
        <v>CONCLUÍDA</v>
      </c>
    </row>
    <row r="2499" customFormat="false" ht="15" hidden="false" customHeight="false" outlineLevel="0" collapsed="false">
      <c r="B2499" s="4" t="n">
        <v>26707659</v>
      </c>
      <c r="C2499" s="4" t="s">
        <v>2980</v>
      </c>
      <c r="D2499" s="4" t="s">
        <v>433</v>
      </c>
      <c r="E2499" s="4" t="s">
        <v>3777</v>
      </c>
      <c r="F2499" s="127" t="n">
        <v>46524</v>
      </c>
      <c r="G2499" s="127" t="n">
        <v>46545</v>
      </c>
      <c r="H2499" s="127" t="n">
        <v>46293</v>
      </c>
      <c r="I2499" s="4" t="n">
        <v>0</v>
      </c>
      <c r="J2499" s="4" t="n">
        <v>0</v>
      </c>
      <c r="K2499" s="4" t="n">
        <v>0</v>
      </c>
      <c r="M2499" s="2" t="str">
        <f aca="false">IF(C2499="","",IFERROR(INDEX($S$5:$S$304,MATCH(C2499,$R$5:$R$304,0))&amp;"","?"))</f>
        <v>35</v>
      </c>
      <c r="N2499" s="2" t="n">
        <f aca="false">IF(E2499="","",IF(ISNUMBER(SEARCH("SUBSOLO",E2499)),IFERROR(-VALUE(LEFT(E2499,FIND("º",SUBSTITUTE(E2499,"°","º"))-1)),-1),IF(LEFT(E2499,6)="TÉRREO",0,IFERROR(VALUE(LEFT(E2499,FIND("º",SUBSTITUTE(E2499,"°","º"))-1)),""))))</f>
        <v>1</v>
      </c>
      <c r="O2499" s="2" t="str">
        <f aca="false">IF(OR(F2499="",G2499=""),"",IF(G2499&lt;='RETRATO 2027'!$K$5,"CONCLUÍDA",IF(F2499&lt;='RETRATO 2027'!$K$5,"EM ANDAMENTO","A INICIAR")))</f>
        <v>CONCLUÍDA</v>
      </c>
    </row>
    <row r="2500" customFormat="false" ht="15" hidden="false" customHeight="false" outlineLevel="0" collapsed="false">
      <c r="B2500" s="4" t="n">
        <v>26742983</v>
      </c>
      <c r="C2500" s="4" t="s">
        <v>2869</v>
      </c>
      <c r="D2500" s="4" t="s">
        <v>433</v>
      </c>
      <c r="E2500" s="4" t="s">
        <v>3786</v>
      </c>
      <c r="F2500" s="127" t="n">
        <v>46524</v>
      </c>
      <c r="G2500" s="127" t="n">
        <v>46533</v>
      </c>
      <c r="H2500" s="127" t="n">
        <v>46293</v>
      </c>
      <c r="I2500" s="4" t="n">
        <v>0</v>
      </c>
      <c r="J2500" s="4" t="n">
        <v>0</v>
      </c>
      <c r="K2500" s="4" t="n">
        <v>0</v>
      </c>
      <c r="M2500" s="2" t="str">
        <f aca="false">IF(C2500="","",IFERROR(INDEX($S$5:$S$304,MATCH(C2500,$R$5:$R$304,0))&amp;"","?"))</f>
        <v>22</v>
      </c>
      <c r="N2500" s="2" t="n">
        <f aca="false">IF(E2500="","",IF(ISNUMBER(SEARCH("SUBSOLO",E2500)),IFERROR(-VALUE(LEFT(E2500,FIND("º",SUBSTITUTE(E2500,"°","º"))-1)),-1),IF(LEFT(E2500,6)="TÉRREO",0,IFERROR(VALUE(LEFT(E2500,FIND("º",SUBSTITUTE(E2500,"°","º"))-1)),""))))</f>
        <v>22</v>
      </c>
      <c r="O2500" s="2" t="str">
        <f aca="false">IF(OR(F2500="",G2500=""),"",IF(G2500&lt;='RETRATO 2027'!$K$5,"CONCLUÍDA",IF(F2500&lt;='RETRATO 2027'!$K$5,"EM ANDAMENTO","A INICIAR")))</f>
        <v>CONCLUÍDA</v>
      </c>
    </row>
    <row r="2501" customFormat="false" ht="15" hidden="false" customHeight="false" outlineLevel="0" collapsed="false">
      <c r="B2501" s="4" t="n">
        <v>26742944</v>
      </c>
      <c r="C2501" s="4" t="s">
        <v>163</v>
      </c>
      <c r="D2501" s="4" t="s">
        <v>433</v>
      </c>
      <c r="E2501" s="4" t="s">
        <v>3787</v>
      </c>
      <c r="F2501" s="127" t="n">
        <v>46524</v>
      </c>
      <c r="G2501" s="127" t="n">
        <v>46533</v>
      </c>
      <c r="H2501" s="127" t="n">
        <v>46293</v>
      </c>
      <c r="I2501" s="4" t="n">
        <v>0</v>
      </c>
      <c r="J2501" s="4" t="n">
        <v>0</v>
      </c>
      <c r="K2501" s="4" t="n">
        <v>0</v>
      </c>
      <c r="M2501" s="2" t="str">
        <f aca="false">IF(C2501="","",IFERROR(INDEX($S$5:$S$304,MATCH(C2501,$R$5:$R$304,0))&amp;"","?"))</f>
        <v>18</v>
      </c>
      <c r="N2501" s="2" t="n">
        <f aca="false">IF(E2501="","",IF(ISNUMBER(SEARCH("SUBSOLO",E2501)),IFERROR(-VALUE(LEFT(E2501,FIND("º",SUBSTITUTE(E2501,"°","º"))-1)),-1),IF(LEFT(E2501,6)="TÉRREO",0,IFERROR(VALUE(LEFT(E2501,FIND("º",SUBSTITUTE(E2501,"°","º"))-1)),""))))</f>
        <v>23</v>
      </c>
      <c r="O2501" s="2" t="str">
        <f aca="false">IF(OR(F2501="",G2501=""),"",IF(G2501&lt;='RETRATO 2027'!$K$5,"CONCLUÍDA",IF(F2501&lt;='RETRATO 2027'!$K$5,"EM ANDAMENTO","A INICIAR")))</f>
        <v>CONCLUÍDA</v>
      </c>
    </row>
    <row r="2502" customFormat="false" ht="15" hidden="false" customHeight="false" outlineLevel="0" collapsed="false">
      <c r="B2502" s="4" t="n">
        <v>26743193</v>
      </c>
      <c r="C2502" s="4" t="s">
        <v>2916</v>
      </c>
      <c r="D2502" s="4" t="s">
        <v>433</v>
      </c>
      <c r="E2502" s="4" t="s">
        <v>3771</v>
      </c>
      <c r="F2502" s="127" t="n">
        <v>46525</v>
      </c>
      <c r="G2502" s="127" t="n">
        <v>46532</v>
      </c>
      <c r="H2502" s="127" t="n">
        <v>46293</v>
      </c>
      <c r="I2502" s="4" t="n">
        <v>0</v>
      </c>
      <c r="J2502" s="4" t="n">
        <v>0</v>
      </c>
      <c r="K2502" s="4" t="n">
        <v>0</v>
      </c>
      <c r="M2502" s="2" t="str">
        <f aca="false">IF(C2502="","",IFERROR(INDEX($S$5:$S$304,MATCH(C2502,$R$5:$R$304,0))&amp;"","?"))</f>
        <v>18</v>
      </c>
      <c r="N2502" s="2" t="n">
        <f aca="false">IF(E2502="","",IF(ISNUMBER(SEARCH("SUBSOLO",E2502)),IFERROR(-VALUE(LEFT(E2502,FIND("º",SUBSTITUTE(E2502,"°","º"))-1)),-1),IF(LEFT(E2502,6)="TÉRREO",0,IFERROR(VALUE(LEFT(E2502,FIND("º",SUBSTITUTE(E2502,"°","º"))-1)),""))))</f>
        <v>16</v>
      </c>
      <c r="O2502" s="2" t="str">
        <f aca="false">IF(OR(F2502="",G2502=""),"",IF(G2502&lt;='RETRATO 2027'!$K$5,"CONCLUÍDA",IF(F2502&lt;='RETRATO 2027'!$K$5,"EM ANDAMENTO","A INICIAR")))</f>
        <v>CONCLUÍDA</v>
      </c>
    </row>
    <row r="2503" customFormat="false" ht="15" hidden="false" customHeight="false" outlineLevel="0" collapsed="false">
      <c r="B2503" s="4" t="n">
        <v>26240966</v>
      </c>
      <c r="C2503" s="4" t="s">
        <v>2968</v>
      </c>
      <c r="D2503" s="4" t="s">
        <v>433</v>
      </c>
      <c r="E2503" s="4" t="s">
        <v>3806</v>
      </c>
      <c r="F2503" s="127" t="n">
        <v>46525</v>
      </c>
      <c r="G2503" s="127" t="n">
        <v>46755</v>
      </c>
      <c r="H2503" s="127" t="n">
        <v>46293</v>
      </c>
      <c r="I2503" s="4" t="n">
        <v>0</v>
      </c>
      <c r="J2503" s="4" t="n">
        <v>0</v>
      </c>
      <c r="K2503" s="4" t="n">
        <v>0</v>
      </c>
      <c r="M2503" s="2" t="str">
        <f aca="false">IF(C2503="","",IFERROR(INDEX($S$5:$S$304,MATCH(C2503,$R$5:$R$304,0))&amp;"","?"))</f>
        <v>32</v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>EM ANDAMENTO</v>
      </c>
    </row>
    <row r="2504" customFormat="false" ht="15" hidden="false" customHeight="false" outlineLevel="0" collapsed="false">
      <c r="B2504" s="4" t="n">
        <v>11132041</v>
      </c>
      <c r="C2504" s="4" t="s">
        <v>2968</v>
      </c>
      <c r="D2504" s="4" t="s">
        <v>3790</v>
      </c>
      <c r="E2504" s="4" t="s">
        <v>3806</v>
      </c>
      <c r="F2504" s="127" t="n">
        <v>46525</v>
      </c>
      <c r="G2504" s="127" t="n">
        <v>46702</v>
      </c>
      <c r="H2504" s="127" t="n">
        <v>46293</v>
      </c>
      <c r="I2504" s="4" t="n">
        <v>0</v>
      </c>
      <c r="J2504" s="4" t="n">
        <v>0</v>
      </c>
      <c r="K2504" s="4" t="n">
        <v>0</v>
      </c>
      <c r="M2504" s="2" t="str">
        <f aca="false">IF(C2504="","",IFERROR(INDEX($S$5:$S$304,MATCH(C2504,$R$5:$R$304,0))&amp;"","?"))</f>
        <v>32</v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>CONCLUÍDA</v>
      </c>
    </row>
    <row r="2505" customFormat="false" ht="15" hidden="false" customHeight="false" outlineLevel="0" collapsed="false">
      <c r="B2505" s="4" t="n">
        <v>11132042</v>
      </c>
      <c r="C2505" s="4" t="s">
        <v>2968</v>
      </c>
      <c r="D2505" s="4" t="s">
        <v>3791</v>
      </c>
      <c r="E2505" s="4" t="s">
        <v>3806</v>
      </c>
      <c r="F2505" s="127" t="n">
        <v>46526</v>
      </c>
      <c r="G2505" s="127" t="n">
        <v>46703</v>
      </c>
      <c r="H2505" s="127" t="n">
        <v>46293</v>
      </c>
      <c r="I2505" s="4" t="n">
        <v>0</v>
      </c>
      <c r="J2505" s="4" t="n">
        <v>0</v>
      </c>
      <c r="K2505" s="4" t="n">
        <v>0</v>
      </c>
      <c r="M2505" s="2" t="str">
        <f aca="false">IF(C2505="","",IFERROR(INDEX($S$5:$S$304,MATCH(C2505,$R$5:$R$304,0))&amp;"","?"))</f>
        <v>32</v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>CONCLUÍDA</v>
      </c>
    </row>
    <row r="2506" customFormat="false" ht="15" hidden="false" customHeight="false" outlineLevel="0" collapsed="false">
      <c r="B2506" s="4" t="n">
        <v>11132043</v>
      </c>
      <c r="C2506" s="4" t="s">
        <v>2968</v>
      </c>
      <c r="D2506" s="4" t="s">
        <v>3792</v>
      </c>
      <c r="E2506" s="4" t="s">
        <v>3806</v>
      </c>
      <c r="F2506" s="127" t="n">
        <v>46527</v>
      </c>
      <c r="G2506" s="127" t="n">
        <v>46707</v>
      </c>
      <c r="H2506" s="127" t="n">
        <v>46293</v>
      </c>
      <c r="I2506" s="4" t="n">
        <v>0</v>
      </c>
      <c r="J2506" s="4" t="n">
        <v>0</v>
      </c>
      <c r="K2506" s="4" t="n">
        <v>0</v>
      </c>
      <c r="M2506" s="2" t="str">
        <f aca="false">IF(C2506="","",IFERROR(INDEX($S$5:$S$304,MATCH(C2506,$R$5:$R$304,0))&amp;"","?"))</f>
        <v>32</v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>CONCLUÍDA</v>
      </c>
    </row>
    <row r="2507" customFormat="false" ht="15" hidden="false" customHeight="false" outlineLevel="0" collapsed="false">
      <c r="B2507" s="4" t="n">
        <v>11132044</v>
      </c>
      <c r="C2507" s="4" t="s">
        <v>2968</v>
      </c>
      <c r="D2507" s="4" t="s">
        <v>3793</v>
      </c>
      <c r="E2507" s="4" t="s">
        <v>3806</v>
      </c>
      <c r="F2507" s="127" t="n">
        <v>46528</v>
      </c>
      <c r="G2507" s="127" t="n">
        <v>46755</v>
      </c>
      <c r="H2507" s="127" t="n">
        <v>46293</v>
      </c>
      <c r="I2507" s="4" t="n">
        <v>0</v>
      </c>
      <c r="J2507" s="4" t="n">
        <v>0</v>
      </c>
      <c r="K2507" s="4" t="n">
        <v>0</v>
      </c>
      <c r="M2507" s="2" t="str">
        <f aca="false">IF(C2507="","",IFERROR(INDEX($S$5:$S$304,MATCH(C2507,$R$5:$R$304,0))&amp;"","?"))</f>
        <v>32</v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>EM ANDAMENTO</v>
      </c>
    </row>
    <row r="2508" customFormat="false" ht="15" hidden="false" customHeight="false" outlineLevel="0" collapsed="false">
      <c r="B2508" s="4" t="n">
        <v>26745028</v>
      </c>
      <c r="C2508" s="4" t="s">
        <v>2808</v>
      </c>
      <c r="D2508" s="4" t="s">
        <v>433</v>
      </c>
      <c r="E2508" s="4" t="s">
        <v>3801</v>
      </c>
      <c r="F2508" s="127" t="n">
        <v>46526</v>
      </c>
      <c r="G2508" s="127" t="n">
        <v>46538</v>
      </c>
      <c r="H2508" s="127" t="n">
        <v>46293</v>
      </c>
      <c r="I2508" s="4" t="n">
        <v>0</v>
      </c>
      <c r="J2508" s="4" t="n">
        <v>0</v>
      </c>
      <c r="K2508" s="4" t="n">
        <v>0</v>
      </c>
      <c r="M2508" s="2" t="str">
        <f aca="false">IF(C2508="","",IFERROR(INDEX($S$5:$S$304,MATCH(C2508,$R$5:$R$304,0))&amp;"","?"))</f>
        <v>29</v>
      </c>
      <c r="N2508" s="2" t="n">
        <f aca="false">IF(E2508="","",IF(ISNUMBER(SEARCH("SUBSOLO",E2508)),IFERROR(-VALUE(LEFT(E2508,FIND("º",SUBSTITUTE(E2508,"°","º"))-1)),-1),IF(LEFT(E2508,6)="TÉRREO",0,IFERROR(VALUE(LEFT(E2508,FIND("º",SUBSTITUTE(E2508,"°","º"))-1)),""))))</f>
        <v>1</v>
      </c>
      <c r="O2508" s="2" t="str">
        <f aca="false">IF(OR(F2508="",G2508=""),"",IF(G2508&lt;='RETRATO 2027'!$K$5,"CONCLUÍDA",IF(F2508&lt;='RETRATO 2027'!$K$5,"EM ANDAMENTO","A INICIAR")))</f>
        <v>CONCLUÍDA</v>
      </c>
    </row>
    <row r="2509" customFormat="false" ht="15" hidden="false" customHeight="false" outlineLevel="0" collapsed="false">
      <c r="B2509" s="4" t="n">
        <v>26745149</v>
      </c>
      <c r="C2509" s="4" t="s">
        <v>163</v>
      </c>
      <c r="D2509" s="4" t="s">
        <v>433</v>
      </c>
      <c r="E2509" s="4" t="s">
        <v>3807</v>
      </c>
      <c r="F2509" s="127" t="n">
        <v>46526</v>
      </c>
      <c r="G2509" s="127" t="n">
        <v>46556</v>
      </c>
      <c r="H2509" s="127" t="n">
        <v>46293</v>
      </c>
      <c r="I2509" s="4" t="n">
        <v>0</v>
      </c>
      <c r="J2509" s="4" t="n">
        <v>0</v>
      </c>
      <c r="K2509" s="4" t="n">
        <v>0</v>
      </c>
      <c r="M2509" s="2" t="str">
        <f aca="false">IF(C2509="","",IFERROR(INDEX($S$5:$S$304,MATCH(C2509,$R$5:$R$304,0))&amp;"","?"))</f>
        <v>18</v>
      </c>
      <c r="N2509" s="2" t="n">
        <f aca="false">IF(E2509="","",IF(ISNUMBER(SEARCH("SUBSOLO",E2509)),IFERROR(-VALUE(LEFT(E2509,FIND("º",SUBSTITUTE(E2509,"°","º"))-1)),-1),IF(LEFT(E2509,6)="TÉRREO",0,IFERROR(VALUE(LEFT(E2509,FIND("º",SUBSTITUTE(E2509,"°","º"))-1)),""))))</f>
        <v>2</v>
      </c>
      <c r="O2509" s="2" t="str">
        <f aca="false">IF(OR(F2509="",G2509=""),"",IF(G2509&lt;='RETRATO 2027'!$K$5,"CONCLUÍDA",IF(F2509&lt;='RETRATO 2027'!$K$5,"EM ANDAMENTO","A INICIAR")))</f>
        <v>CONCLUÍDA</v>
      </c>
    </row>
    <row r="2510" customFormat="false" ht="15" hidden="false" customHeight="false" outlineLevel="0" collapsed="false">
      <c r="B2510" s="4" t="n">
        <v>26745042</v>
      </c>
      <c r="C2510" s="4" t="s">
        <v>3003</v>
      </c>
      <c r="D2510" s="4" t="s">
        <v>433</v>
      </c>
      <c r="E2510" s="4" t="s">
        <v>3659</v>
      </c>
      <c r="F2510" s="127" t="n">
        <v>46527</v>
      </c>
      <c r="G2510" s="127" t="n">
        <v>46539</v>
      </c>
      <c r="H2510" s="127" t="n">
        <v>46293</v>
      </c>
      <c r="I2510" s="4" t="n">
        <v>0</v>
      </c>
      <c r="J2510" s="4" t="n">
        <v>0</v>
      </c>
      <c r="K2510" s="4" t="n">
        <v>0</v>
      </c>
      <c r="M2510" s="2" t="str">
        <f aca="false">IF(C2510="","",IFERROR(INDEX($S$5:$S$304,MATCH(C2510,$R$5:$R$304,0))&amp;"","?"))</f>
        <v>20</v>
      </c>
      <c r="N2510" s="2" t="n">
        <f aca="false">IF(E2510="","",IF(ISNUMBER(SEARCH("SUBSOLO",E2510)),IFERROR(-VALUE(LEFT(E2510,FIND("º",SUBSTITUTE(E2510,"°","º"))-1)),-1),IF(LEFT(E2510,6)="TÉRREO",0,IFERROR(VALUE(LEFT(E2510,FIND("º",SUBSTITUTE(E2510,"°","º"))-1)),""))))</f>
        <v>1</v>
      </c>
      <c r="O2510" s="2" t="str">
        <f aca="false">IF(OR(F2510="",G2510=""),"",IF(G2510&lt;='RETRATO 2027'!$K$5,"CONCLUÍDA",IF(F2510&lt;='RETRATO 2027'!$K$5,"EM ANDAMENTO","A INICIAR")))</f>
        <v>CONCLUÍDA</v>
      </c>
    </row>
    <row r="2511" customFormat="false" ht="15" hidden="false" customHeight="false" outlineLevel="0" collapsed="false">
      <c r="B2511" s="4" t="n">
        <v>26744770</v>
      </c>
      <c r="C2511" s="4" t="s">
        <v>2974</v>
      </c>
      <c r="D2511" s="4" t="s">
        <v>433</v>
      </c>
      <c r="E2511" s="4" t="s">
        <v>3784</v>
      </c>
      <c r="F2511" s="127" t="n">
        <v>46527</v>
      </c>
      <c r="G2511" s="127" t="n">
        <v>46541</v>
      </c>
      <c r="H2511" s="127" t="n">
        <v>46293</v>
      </c>
      <c r="I2511" s="4" t="n">
        <v>0</v>
      </c>
      <c r="J2511" s="4" t="n">
        <v>0</v>
      </c>
      <c r="K2511" s="4" t="n">
        <v>0</v>
      </c>
      <c r="M2511" s="2" t="str">
        <f aca="false">IF(C2511="","",IFERROR(INDEX($S$5:$S$304,MATCH(C2511,$R$5:$R$304,0))&amp;"","?"))</f>
        <v>21</v>
      </c>
      <c r="N2511" s="2" t="n">
        <f aca="false">IF(E2511="","",IF(ISNUMBER(SEARCH("SUBSOLO",E2511)),IFERROR(-VALUE(LEFT(E2511,FIND("º",SUBSTITUTE(E2511,"°","º"))-1)),-1),IF(LEFT(E2511,6)="TÉRREO",0,IFERROR(VALUE(LEFT(E2511,FIND("º",SUBSTITUTE(E2511,"°","º"))-1)),""))))</f>
        <v>3</v>
      </c>
      <c r="O2511" s="2" t="str">
        <f aca="false">IF(OR(F2511="",G2511=""),"",IF(G2511&lt;='RETRATO 2027'!$K$5,"CONCLUÍDA",IF(F2511&lt;='RETRATO 2027'!$K$5,"EM ANDAMENTO","A INICIAR")))</f>
        <v>CONCLUÍDA</v>
      </c>
    </row>
    <row r="2512" customFormat="false" ht="15" hidden="false" customHeight="false" outlineLevel="0" collapsed="false">
      <c r="B2512" s="4" t="n">
        <v>26743155</v>
      </c>
      <c r="C2512" s="4" t="s">
        <v>2814</v>
      </c>
      <c r="D2512" s="4" t="s">
        <v>433</v>
      </c>
      <c r="E2512" s="4" t="s">
        <v>3773</v>
      </c>
      <c r="F2512" s="127" t="n">
        <v>46527</v>
      </c>
      <c r="G2512" s="127" t="n">
        <v>46535</v>
      </c>
      <c r="H2512" s="127" t="n">
        <v>46293</v>
      </c>
      <c r="I2512" s="4" t="n">
        <v>0</v>
      </c>
      <c r="J2512" s="4" t="n">
        <v>0</v>
      </c>
      <c r="K2512" s="4" t="n">
        <v>0</v>
      </c>
      <c r="M2512" s="2" t="str">
        <f aca="false">IF(C2512="","",IFERROR(INDEX($S$5:$S$304,MATCH(C2512,$R$5:$R$304,0))&amp;"","?"))</f>
        <v>28</v>
      </c>
      <c r="N2512" s="2" t="n">
        <f aca="false">IF(E2512="","",IF(ISNUMBER(SEARCH("SUBSOLO",E2512)),IFERROR(-VALUE(LEFT(E2512,FIND("º",SUBSTITUTE(E2512,"°","º"))-1)),-1),IF(LEFT(E2512,6)="TÉRREO",0,IFERROR(VALUE(LEFT(E2512,FIND("º",SUBSTITUTE(E2512,"°","º"))-1)),""))))</f>
        <v>17</v>
      </c>
      <c r="O2512" s="2" t="str">
        <f aca="false">IF(OR(F2512="",G2512=""),"",IF(G2512&lt;='RETRATO 2027'!$K$5,"CONCLUÍDA",IF(F2512&lt;='RETRATO 2027'!$K$5,"EM ANDAMENTO","A INICIAR")))</f>
        <v>CONCLUÍDA</v>
      </c>
    </row>
    <row r="2513" customFormat="false" ht="15" hidden="false" customHeight="false" outlineLevel="0" collapsed="false">
      <c r="B2513" s="4" t="n">
        <v>26743124</v>
      </c>
      <c r="C2513" s="4" t="s">
        <v>2914</v>
      </c>
      <c r="D2513" s="4" t="s">
        <v>433</v>
      </c>
      <c r="E2513" s="4" t="s">
        <v>3776</v>
      </c>
      <c r="F2513" s="127" t="n">
        <v>46527</v>
      </c>
      <c r="G2513" s="127" t="n">
        <v>46539</v>
      </c>
      <c r="H2513" s="127" t="n">
        <v>46293</v>
      </c>
      <c r="I2513" s="4" t="n">
        <v>0</v>
      </c>
      <c r="J2513" s="4" t="n">
        <v>0</v>
      </c>
      <c r="K2513" s="4" t="n">
        <v>0</v>
      </c>
      <c r="M2513" s="2" t="str">
        <f aca="false">IF(C2513="","",IFERROR(INDEX($S$5:$S$304,MATCH(C2513,$R$5:$R$304,0))&amp;"","?"))</f>
        <v>21</v>
      </c>
      <c r="N2513" s="2" t="n">
        <f aca="false">IF(E2513="","",IF(ISNUMBER(SEARCH("SUBSOLO",E2513)),IFERROR(-VALUE(LEFT(E2513,FIND("º",SUBSTITUTE(E2513,"°","º"))-1)),-1),IF(LEFT(E2513,6)="TÉRREO",0,IFERROR(VALUE(LEFT(E2513,FIND("º",SUBSTITUTE(E2513,"°","º"))-1)),""))))</f>
        <v>18</v>
      </c>
      <c r="O2513" s="2" t="str">
        <f aca="false">IF(OR(F2513="",G2513=""),"",IF(G2513&lt;='RETRATO 2027'!$K$5,"CONCLUÍDA",IF(F2513&lt;='RETRATO 2027'!$K$5,"EM ANDAMENTO","A INICIAR")))</f>
        <v>CONCLUÍDA</v>
      </c>
    </row>
    <row r="2514" customFormat="false" ht="15" hidden="false" customHeight="false" outlineLevel="0" collapsed="false">
      <c r="B2514" s="4" t="n">
        <v>26743080</v>
      </c>
      <c r="C2514" s="4" t="s">
        <v>2808</v>
      </c>
      <c r="D2514" s="4" t="s">
        <v>433</v>
      </c>
      <c r="E2514" s="4" t="s">
        <v>3779</v>
      </c>
      <c r="F2514" s="127" t="n">
        <v>46527</v>
      </c>
      <c r="G2514" s="127" t="n">
        <v>46539</v>
      </c>
      <c r="H2514" s="127" t="n">
        <v>46293</v>
      </c>
      <c r="I2514" s="4" t="n">
        <v>0</v>
      </c>
      <c r="J2514" s="4" t="n">
        <v>0</v>
      </c>
      <c r="K2514" s="4" t="n">
        <v>0</v>
      </c>
      <c r="M2514" s="2" t="str">
        <f aca="false">IF(C2514="","",IFERROR(INDEX($S$5:$S$304,MATCH(C2514,$R$5:$R$304,0))&amp;"","?"))</f>
        <v>29</v>
      </c>
      <c r="N2514" s="2" t="n">
        <f aca="false">IF(E2514="","",IF(ISNUMBER(SEARCH("SUBSOLO",E2514)),IFERROR(-VALUE(LEFT(E2514,FIND("º",SUBSTITUTE(E2514,"°","º"))-1)),-1),IF(LEFT(E2514,6)="TÉRREO",0,IFERROR(VALUE(LEFT(E2514,FIND("º",SUBSTITUTE(E2514,"°","º"))-1)),""))))</f>
        <v>19</v>
      </c>
      <c r="O2514" s="2" t="str">
        <f aca="false">IF(OR(F2514="",G2514=""),"",IF(G2514&lt;='RETRATO 2027'!$K$5,"CONCLUÍDA",IF(F2514&lt;='RETRATO 2027'!$K$5,"EM ANDAMENTO","A INICIAR")))</f>
        <v>CONCLUÍDA</v>
      </c>
    </row>
    <row r="2515" customFormat="false" ht="15" hidden="false" customHeight="false" outlineLevel="0" collapsed="false">
      <c r="B2515" s="4" t="n">
        <v>26743042</v>
      </c>
      <c r="C2515" s="4" t="s">
        <v>2910</v>
      </c>
      <c r="D2515" s="4" t="s">
        <v>433</v>
      </c>
      <c r="E2515" s="4" t="s">
        <v>3781</v>
      </c>
      <c r="F2515" s="127" t="n">
        <v>46527</v>
      </c>
      <c r="G2515" s="127" t="n">
        <v>46539</v>
      </c>
      <c r="H2515" s="127" t="n">
        <v>46293</v>
      </c>
      <c r="I2515" s="4" t="n">
        <v>0</v>
      </c>
      <c r="J2515" s="4" t="n">
        <v>0</v>
      </c>
      <c r="K2515" s="4" t="n">
        <v>0</v>
      </c>
      <c r="M2515" s="2" t="str">
        <f aca="false">IF(C2515="","",IFERROR(INDEX($S$5:$S$304,MATCH(C2515,$R$5:$R$304,0))&amp;"","?"))</f>
        <v>25</v>
      </c>
      <c r="N2515" s="2" t="n">
        <f aca="false">IF(E2515="","",IF(ISNUMBER(SEARCH("SUBSOLO",E2515)),IFERROR(-VALUE(LEFT(E2515,FIND("º",SUBSTITUTE(E2515,"°","º"))-1)),-1),IF(LEFT(E2515,6)="TÉRREO",0,IFERROR(VALUE(LEFT(E2515,FIND("º",SUBSTITUTE(E2515,"°","º"))-1)),""))))</f>
        <v>20</v>
      </c>
      <c r="O2515" s="2" t="str">
        <f aca="false">IF(OR(F2515="",G2515=""),"",IF(G2515&lt;='RETRATO 2027'!$K$5,"CONCLUÍDA",IF(F2515&lt;='RETRATO 2027'!$K$5,"EM ANDAMENTO","A INICIAR")))</f>
        <v>CONCLUÍDA</v>
      </c>
    </row>
    <row r="2516" customFormat="false" ht="15" hidden="false" customHeight="false" outlineLevel="0" collapsed="false">
      <c r="B2516" s="4" t="n">
        <v>26743026</v>
      </c>
      <c r="C2516" s="4" t="s">
        <v>2896</v>
      </c>
      <c r="D2516" s="4" t="s">
        <v>433</v>
      </c>
      <c r="E2516" s="4" t="s">
        <v>3783</v>
      </c>
      <c r="F2516" s="127" t="n">
        <v>46528</v>
      </c>
      <c r="G2516" s="127" t="n">
        <v>46540</v>
      </c>
      <c r="H2516" s="127" t="n">
        <v>46293</v>
      </c>
      <c r="I2516" s="4" t="n">
        <v>0</v>
      </c>
      <c r="J2516" s="4" t="n">
        <v>0</v>
      </c>
      <c r="K2516" s="4" t="n">
        <v>0</v>
      </c>
      <c r="M2516" s="2" t="str">
        <f aca="false">IF(C2516="","",IFERROR(INDEX($S$5:$S$304,MATCH(C2516,$R$5:$R$304,0))&amp;"","?"))</f>
        <v>20</v>
      </c>
      <c r="N2516" s="2" t="n">
        <f aca="false">IF(E2516="","",IF(ISNUMBER(SEARCH("SUBSOLO",E2516)),IFERROR(-VALUE(LEFT(E2516,FIND("º",SUBSTITUTE(E2516,"°","º"))-1)),-1),IF(LEFT(E2516,6)="TÉRREO",0,IFERROR(VALUE(LEFT(E2516,FIND("º",SUBSTITUTE(E2516,"°","º"))-1)),""))))</f>
        <v>21</v>
      </c>
      <c r="O2516" s="2" t="str">
        <f aca="false">IF(OR(F2516="",G2516=""),"",IF(G2516&lt;='RETRATO 2027'!$K$5,"CONCLUÍDA",IF(F2516&lt;='RETRATO 2027'!$K$5,"EM ANDAMENTO","A INICIAR")))</f>
        <v>CONCLUÍDA</v>
      </c>
    </row>
    <row r="2517" customFormat="false" ht="15" hidden="false" customHeight="false" outlineLevel="0" collapsed="false">
      <c r="B2517" s="4" t="n">
        <v>29844475</v>
      </c>
      <c r="C2517" s="4" t="s">
        <v>2898</v>
      </c>
      <c r="D2517" s="4" t="s">
        <v>433</v>
      </c>
      <c r="E2517" s="4" t="s">
        <v>3783</v>
      </c>
      <c r="F2517" s="127" t="n">
        <v>46528</v>
      </c>
      <c r="G2517" s="127" t="n">
        <v>46539</v>
      </c>
      <c r="H2517" s="127" t="n">
        <v>46293</v>
      </c>
      <c r="I2517" s="4" t="n">
        <v>0</v>
      </c>
      <c r="J2517" s="4" t="n">
        <v>0</v>
      </c>
      <c r="K2517" s="4" t="n">
        <v>0</v>
      </c>
      <c r="M2517" s="2" t="str">
        <f aca="false">IF(C2517="","",IFERROR(INDEX($S$5:$S$304,MATCH(C2517,$R$5:$R$304,0))&amp;"","?"))</f>
        <v>29</v>
      </c>
      <c r="N2517" s="2" t="n">
        <f aca="false">IF(E2517="","",IF(ISNUMBER(SEARCH("SUBSOLO",E2517)),IFERROR(-VALUE(LEFT(E2517,FIND("º",SUBSTITUTE(E2517,"°","º"))-1)),-1),IF(LEFT(E2517,6)="TÉRREO",0,IFERROR(VALUE(LEFT(E2517,FIND("º",SUBSTITUTE(E2517,"°","º"))-1)),""))))</f>
        <v>21</v>
      </c>
      <c r="O2517" s="2" t="str">
        <f aca="false">IF(OR(F2517="",G2517=""),"",IF(G2517&lt;='RETRATO 2027'!$K$5,"CONCLUÍDA",IF(F2517&lt;='RETRATO 2027'!$K$5,"EM ANDAMENTO","A INICIAR")))</f>
        <v>CONCLUÍDA</v>
      </c>
    </row>
    <row r="2518" customFormat="false" ht="15" hidden="false" customHeight="false" outlineLevel="0" collapsed="false">
      <c r="B2518" s="4" t="n">
        <v>26742982</v>
      </c>
      <c r="C2518" s="4" t="s">
        <v>2886</v>
      </c>
      <c r="D2518" s="4" t="s">
        <v>433</v>
      </c>
      <c r="E2518" s="4" t="s">
        <v>3786</v>
      </c>
      <c r="F2518" s="127" t="n">
        <v>46528</v>
      </c>
      <c r="G2518" s="127" t="n">
        <v>46540</v>
      </c>
      <c r="H2518" s="127" t="n">
        <v>46293</v>
      </c>
      <c r="I2518" s="4" t="n">
        <v>0</v>
      </c>
      <c r="J2518" s="4" t="n">
        <v>0</v>
      </c>
      <c r="K2518" s="4" t="n">
        <v>0</v>
      </c>
      <c r="M2518" s="2" t="str">
        <f aca="false">IF(C2518="","",IFERROR(INDEX($S$5:$S$304,MATCH(C2518,$R$5:$R$304,0))&amp;"","?"))</f>
        <v>21</v>
      </c>
      <c r="N2518" s="2" t="n">
        <f aca="false">IF(E2518="","",IF(ISNUMBER(SEARCH("SUBSOLO",E2518)),IFERROR(-VALUE(LEFT(E2518,FIND("º",SUBSTITUTE(E2518,"°","º"))-1)),-1),IF(LEFT(E2518,6)="TÉRREO",0,IFERROR(VALUE(LEFT(E2518,FIND("º",SUBSTITUTE(E2518,"°","º"))-1)),""))))</f>
        <v>22</v>
      </c>
      <c r="O2518" s="2" t="str">
        <f aca="false">IF(OR(F2518="",G2518=""),"",IF(G2518&lt;='RETRATO 2027'!$K$5,"CONCLUÍDA",IF(F2518&lt;='RETRATO 2027'!$K$5,"EM ANDAMENTO","A INICIAR")))</f>
        <v>CONCLUÍDA</v>
      </c>
    </row>
    <row r="2519" customFormat="false" ht="15" hidden="false" customHeight="false" outlineLevel="0" collapsed="false">
      <c r="B2519" s="4" t="n">
        <v>29844651</v>
      </c>
      <c r="C2519" s="4" t="s">
        <v>2888</v>
      </c>
      <c r="D2519" s="4" t="s">
        <v>433</v>
      </c>
      <c r="E2519" s="4" t="s">
        <v>3786</v>
      </c>
      <c r="F2519" s="127" t="n">
        <v>46528</v>
      </c>
      <c r="G2519" s="127" t="n">
        <v>46540</v>
      </c>
      <c r="H2519" s="127" t="n">
        <v>46293</v>
      </c>
      <c r="I2519" s="4" t="n">
        <v>0</v>
      </c>
      <c r="J2519" s="4" t="n">
        <v>0</v>
      </c>
      <c r="K2519" s="4" t="n">
        <v>0</v>
      </c>
      <c r="M2519" s="2" t="str">
        <f aca="false">IF(C2519="","",IFERROR(INDEX($S$5:$S$304,MATCH(C2519,$R$5:$R$304,0))&amp;"","?"))</f>
        <v>20</v>
      </c>
      <c r="N2519" s="2" t="n">
        <f aca="false">IF(E2519="","",IF(ISNUMBER(SEARCH("SUBSOLO",E2519)),IFERROR(-VALUE(LEFT(E2519,FIND("º",SUBSTITUTE(E2519,"°","º"))-1)),-1),IF(LEFT(E2519,6)="TÉRREO",0,IFERROR(VALUE(LEFT(E2519,FIND("º",SUBSTITUTE(E2519,"°","º"))-1)),""))))</f>
        <v>22</v>
      </c>
      <c r="O2519" s="2" t="str">
        <f aca="false">IF(OR(F2519="",G2519=""),"",IF(G2519&lt;='RETRATO 2027'!$K$5,"CONCLUÍDA",IF(F2519&lt;='RETRATO 2027'!$K$5,"EM ANDAMENTO","A INICIAR")))</f>
        <v>CONCLUÍDA</v>
      </c>
    </row>
    <row r="2520" customFormat="false" ht="15" hidden="false" customHeight="false" outlineLevel="0" collapsed="false">
      <c r="B2520" s="4" t="n">
        <v>26743570</v>
      </c>
      <c r="C2520" s="4" t="s">
        <v>2997</v>
      </c>
      <c r="D2520" s="4" t="s">
        <v>433</v>
      </c>
      <c r="E2520" s="4" t="s">
        <v>3685</v>
      </c>
      <c r="F2520" s="127" t="n">
        <v>46532</v>
      </c>
      <c r="G2520" s="127" t="n">
        <v>46542</v>
      </c>
      <c r="H2520" s="127" t="n">
        <v>46293</v>
      </c>
      <c r="I2520" s="4" t="n">
        <v>0</v>
      </c>
      <c r="J2520" s="4" t="n">
        <v>0</v>
      </c>
      <c r="K2520" s="4" t="n">
        <v>0</v>
      </c>
      <c r="M2520" s="2" t="str">
        <f aca="false">IF(C2520="","",IFERROR(INDEX($S$5:$S$304,MATCH(C2520,$R$5:$R$304,0))&amp;"","?"))</f>
        <v>35</v>
      </c>
      <c r="N2520" s="2" t="n">
        <f aca="false">IF(E2520="","",IF(ISNUMBER(SEARCH("SUBSOLO",E2520)),IFERROR(-VALUE(LEFT(E2520,FIND("º",SUBSTITUTE(E2520,"°","º"))-1)),-1),IF(LEFT(E2520,6)="TÉRREO",0,IFERROR(VALUE(LEFT(E2520,FIND("º",SUBSTITUTE(E2520,"°","º"))-1)),""))))</f>
        <v>6</v>
      </c>
      <c r="O2520" s="2" t="str">
        <f aca="false">IF(OR(F2520="",G2520=""),"",IF(G2520&lt;='RETRATO 2027'!$K$5,"CONCLUÍDA",IF(F2520&lt;='RETRATO 2027'!$K$5,"EM ANDAMENTO","A INICIAR")))</f>
        <v>CONCLUÍDA</v>
      </c>
    </row>
    <row r="2521" customFormat="false" ht="15" hidden="false" customHeight="false" outlineLevel="0" collapsed="false">
      <c r="B2521" s="4" t="n">
        <v>26743532</v>
      </c>
      <c r="C2521" s="4" t="s">
        <v>2980</v>
      </c>
      <c r="D2521" s="4" t="s">
        <v>433</v>
      </c>
      <c r="E2521" s="4" t="s">
        <v>3686</v>
      </c>
      <c r="F2521" s="127" t="n">
        <v>46532</v>
      </c>
      <c r="G2521" s="127" t="n">
        <v>46542</v>
      </c>
      <c r="H2521" s="127" t="n">
        <v>46293</v>
      </c>
      <c r="I2521" s="4" t="n">
        <v>0</v>
      </c>
      <c r="J2521" s="4" t="n">
        <v>0</v>
      </c>
      <c r="K2521" s="4" t="n">
        <v>0</v>
      </c>
      <c r="M2521" s="2" t="str">
        <f aca="false">IF(C2521="","",IFERROR(INDEX($S$5:$S$304,MATCH(C2521,$R$5:$R$304,0))&amp;"","?"))</f>
        <v>35</v>
      </c>
      <c r="N2521" s="2" t="n">
        <f aca="false">IF(E2521="","",IF(ISNUMBER(SEARCH("SUBSOLO",E2521)),IFERROR(-VALUE(LEFT(E2521,FIND("º",SUBSTITUTE(E2521,"°","º"))-1)),-1),IF(LEFT(E2521,6)="TÉRREO",0,IFERROR(VALUE(LEFT(E2521,FIND("º",SUBSTITUTE(E2521,"°","º"))-1)),""))))</f>
        <v>7</v>
      </c>
      <c r="O2521" s="2" t="str">
        <f aca="false">IF(OR(F2521="",G2521=""),"",IF(G2521&lt;='RETRATO 2027'!$K$5,"CONCLUÍDA",IF(F2521&lt;='RETRATO 2027'!$K$5,"EM ANDAMENTO","A INICIAR")))</f>
        <v>CONCLUÍDA</v>
      </c>
    </row>
    <row r="2522" customFormat="false" ht="15" hidden="false" customHeight="false" outlineLevel="0" collapsed="false">
      <c r="B2522" s="4" t="n">
        <v>26743502</v>
      </c>
      <c r="C2522" s="4" t="s">
        <v>208</v>
      </c>
      <c r="D2522" s="4" t="s">
        <v>433</v>
      </c>
      <c r="E2522" s="4" t="s">
        <v>3706</v>
      </c>
      <c r="F2522" s="127" t="n">
        <v>46532</v>
      </c>
      <c r="G2522" s="127" t="n">
        <v>46542</v>
      </c>
      <c r="H2522" s="127" t="n">
        <v>46293</v>
      </c>
      <c r="I2522" s="4" t="n">
        <v>0</v>
      </c>
      <c r="J2522" s="4" t="n">
        <v>0</v>
      </c>
      <c r="K2522" s="4" t="n">
        <v>0</v>
      </c>
      <c r="M2522" s="2" t="str">
        <f aca="false">IF(C2522="","",IFERROR(INDEX($S$5:$S$304,MATCH(C2522,$R$5:$R$304,0))&amp;"","?"))</f>
        <v>33</v>
      </c>
      <c r="N2522" s="2" t="n">
        <f aca="false">IF(E2522="","",IF(ISNUMBER(SEARCH("SUBSOLO",E2522)),IFERROR(-VALUE(LEFT(E2522,FIND("º",SUBSTITUTE(E2522,"°","º"))-1)),-1),IF(LEFT(E2522,6)="TÉRREO",0,IFERROR(VALUE(LEFT(E2522,FIND("º",SUBSTITUTE(E2522,"°","º"))-1)),""))))</f>
        <v>8</v>
      </c>
      <c r="O2522" s="2" t="str">
        <f aca="false">IF(OR(F2522="",G2522=""),"",IF(G2522&lt;='RETRATO 2027'!$K$5,"CONCLUÍDA",IF(F2522&lt;='RETRATO 2027'!$K$5,"EM ANDAMENTO","A INICIAR")))</f>
        <v>CONCLUÍDA</v>
      </c>
    </row>
    <row r="2523" customFormat="false" ht="15" hidden="false" customHeight="false" outlineLevel="0" collapsed="false">
      <c r="B2523" s="4" t="n">
        <v>29844390</v>
      </c>
      <c r="C2523" s="4" t="s">
        <v>2890</v>
      </c>
      <c r="D2523" s="4" t="s">
        <v>433</v>
      </c>
      <c r="E2523" s="4" t="s">
        <v>3786</v>
      </c>
      <c r="F2523" s="127" t="n">
        <v>46532</v>
      </c>
      <c r="G2523" s="127" t="n">
        <v>46542</v>
      </c>
      <c r="H2523" s="127" t="n">
        <v>46293</v>
      </c>
      <c r="I2523" s="4" t="n">
        <v>0</v>
      </c>
      <c r="J2523" s="4" t="n">
        <v>0</v>
      </c>
      <c r="K2523" s="4" t="n">
        <v>0</v>
      </c>
      <c r="M2523" s="2" t="str">
        <f aca="false">IF(C2523="","",IFERROR(INDEX($S$5:$S$304,MATCH(C2523,$R$5:$R$304,0))&amp;"","?"))</f>
        <v>18</v>
      </c>
      <c r="N2523" s="2" t="n">
        <f aca="false">IF(E2523="","",IF(ISNUMBER(SEARCH("SUBSOLO",E2523)),IFERROR(-VALUE(LEFT(E2523,FIND("º",SUBSTITUTE(E2523,"°","º"))-1)),-1),IF(LEFT(E2523,6)="TÉRREO",0,IFERROR(VALUE(LEFT(E2523,FIND("º",SUBSTITUTE(E2523,"°","º"))-1)),""))))</f>
        <v>22</v>
      </c>
      <c r="O2523" s="2" t="str">
        <f aca="false">IF(OR(F2523="",G2523=""),"",IF(G2523&lt;='RETRATO 2027'!$K$5,"CONCLUÍDA",IF(F2523&lt;='RETRATO 2027'!$K$5,"EM ANDAMENTO","A INICIAR")))</f>
        <v>CONCLUÍDA</v>
      </c>
    </row>
    <row r="2524" customFormat="false" ht="15" hidden="false" customHeight="false" outlineLevel="0" collapsed="false">
      <c r="B2524" s="4" t="n">
        <v>26707648</v>
      </c>
      <c r="C2524" s="4" t="s">
        <v>2956</v>
      </c>
      <c r="D2524" s="4" t="s">
        <v>433</v>
      </c>
      <c r="E2524" s="4" t="s">
        <v>3785</v>
      </c>
      <c r="F2524" s="127" t="n">
        <v>46533</v>
      </c>
      <c r="G2524" s="127" t="n">
        <v>46554</v>
      </c>
      <c r="H2524" s="127" t="n">
        <v>46293</v>
      </c>
      <c r="I2524" s="4" t="n">
        <v>0</v>
      </c>
      <c r="J2524" s="4" t="n">
        <v>0</v>
      </c>
      <c r="K2524" s="4" t="n">
        <v>0</v>
      </c>
      <c r="M2524" s="2" t="str">
        <f aca="false">IF(C2524="","",IFERROR(INDEX($S$5:$S$304,MATCH(C2524,$R$5:$R$304,0))&amp;"","?"))</f>
        <v>18</v>
      </c>
      <c r="N2524" s="2" t="n">
        <f aca="false">IF(E2524="","",IF(ISNUMBER(SEARCH("SUBSOLO",E2524)),IFERROR(-VALUE(LEFT(E2524,FIND("º",SUBSTITUTE(E2524,"°","º"))-1)),-1),IF(LEFT(E2524,6)="TÉRREO",0,IFERROR(VALUE(LEFT(E2524,FIND("º",SUBSTITUTE(E2524,"°","º"))-1)),""))))</f>
        <v>1</v>
      </c>
      <c r="O2524" s="2" t="str">
        <f aca="false">IF(OR(F2524="",G2524=""),"",IF(G2524&lt;='RETRATO 2027'!$K$5,"CONCLUÍDA",IF(F2524&lt;='RETRATO 2027'!$K$5,"EM ANDAMENTO","A INICIAR")))</f>
        <v>CONCLUÍDA</v>
      </c>
    </row>
    <row r="2525" customFormat="false" ht="15" hidden="false" customHeight="false" outlineLevel="0" collapsed="false">
      <c r="B2525" s="4" t="n">
        <v>29845956</v>
      </c>
      <c r="C2525" s="4" t="s">
        <v>2983</v>
      </c>
      <c r="D2525" s="4" t="s">
        <v>433</v>
      </c>
      <c r="E2525" s="4" t="s">
        <v>3716</v>
      </c>
      <c r="F2525" s="127" t="n">
        <v>46533</v>
      </c>
      <c r="G2525" s="127" t="n">
        <v>46542</v>
      </c>
      <c r="H2525" s="127" t="n">
        <v>46293</v>
      </c>
      <c r="I2525" s="4" t="n">
        <v>0</v>
      </c>
      <c r="J2525" s="4" t="n">
        <v>0</v>
      </c>
      <c r="K2525" s="4" t="n">
        <v>0</v>
      </c>
      <c r="M2525" s="2" t="str">
        <f aca="false">IF(C2525="","",IFERROR(INDEX($S$5:$S$304,MATCH(C2525,$R$5:$R$304,0))&amp;"","?"))</f>
        <v>20</v>
      </c>
      <c r="N2525" s="2" t="n">
        <f aca="false">IF(E2525="","",IF(ISNUMBER(SEARCH("SUBSOLO",E2525)),IFERROR(-VALUE(LEFT(E2525,FIND("º",SUBSTITUTE(E2525,"°","º"))-1)),-1),IF(LEFT(E2525,6)="TÉRREO",0,IFERROR(VALUE(LEFT(E2525,FIND("º",SUBSTITUTE(E2525,"°","º"))-1)),""))))</f>
        <v>9</v>
      </c>
      <c r="O2525" s="2" t="str">
        <f aca="false">IF(OR(F2525="",G2525=""),"",IF(G2525&lt;='RETRATO 2027'!$K$5,"CONCLUÍDA",IF(F2525&lt;='RETRATO 2027'!$K$5,"EM ANDAMENTO","A INICIAR")))</f>
        <v>CONCLUÍDA</v>
      </c>
    </row>
    <row r="2526" customFormat="false" ht="15" hidden="false" customHeight="false" outlineLevel="0" collapsed="false">
      <c r="B2526" s="4" t="n">
        <v>29845895</v>
      </c>
      <c r="C2526" s="4" t="s">
        <v>2986</v>
      </c>
      <c r="D2526" s="4" t="s">
        <v>433</v>
      </c>
      <c r="E2526" s="4" t="s">
        <v>3716</v>
      </c>
      <c r="F2526" s="127" t="n">
        <v>46533</v>
      </c>
      <c r="G2526" s="127" t="n">
        <v>46545</v>
      </c>
      <c r="H2526" s="127" t="n">
        <v>46293</v>
      </c>
      <c r="I2526" s="4" t="n">
        <v>0</v>
      </c>
      <c r="J2526" s="4" t="n">
        <v>0</v>
      </c>
      <c r="K2526" s="4" t="n">
        <v>0</v>
      </c>
      <c r="M2526" s="2" t="str">
        <f aca="false">IF(C2526="","",IFERROR(INDEX($S$5:$S$304,MATCH(C2526,$R$5:$R$304,0))&amp;"","?"))</f>
        <v>20</v>
      </c>
      <c r="N2526" s="2" t="n">
        <f aca="false">IF(E2526="","",IF(ISNUMBER(SEARCH("SUBSOLO",E2526)),IFERROR(-VALUE(LEFT(E2526,FIND("º",SUBSTITUTE(E2526,"°","º"))-1)),-1),IF(LEFT(E2526,6)="TÉRREO",0,IFERROR(VALUE(LEFT(E2526,FIND("º",SUBSTITUTE(E2526,"°","º"))-1)),""))))</f>
        <v>9</v>
      </c>
      <c r="O2526" s="2" t="str">
        <f aca="false">IF(OR(F2526="",G2526=""),"",IF(G2526&lt;='RETRATO 2027'!$K$5,"CONCLUÍDA",IF(F2526&lt;='RETRATO 2027'!$K$5,"EM ANDAMENTO","A INICIAR")))</f>
        <v>CONCLUÍDA</v>
      </c>
    </row>
    <row r="2527" customFormat="false" ht="15" hidden="false" customHeight="false" outlineLevel="0" collapsed="false">
      <c r="B2527" s="4" t="n">
        <v>26743430</v>
      </c>
      <c r="C2527" s="4" t="s">
        <v>2977</v>
      </c>
      <c r="D2527" s="4" t="s">
        <v>433</v>
      </c>
      <c r="E2527" s="4" t="s">
        <v>3722</v>
      </c>
      <c r="F2527" s="127" t="n">
        <v>46533</v>
      </c>
      <c r="G2527" s="127" t="n">
        <v>46545</v>
      </c>
      <c r="H2527" s="127" t="n">
        <v>46293</v>
      </c>
      <c r="I2527" s="4" t="n">
        <v>0</v>
      </c>
      <c r="J2527" s="4" t="n">
        <v>0</v>
      </c>
      <c r="K2527" s="4" t="n">
        <v>0</v>
      </c>
      <c r="M2527" s="2" t="str">
        <f aca="false">IF(C2527="","",IFERROR(INDEX($S$5:$S$304,MATCH(C2527,$R$5:$R$304,0))&amp;"","?"))</f>
        <v>30</v>
      </c>
      <c r="N2527" s="2" t="n">
        <f aca="false">IF(E2527="","",IF(ISNUMBER(SEARCH("SUBSOLO",E2527)),IFERROR(-VALUE(LEFT(E2527,FIND("º",SUBSTITUTE(E2527,"°","º"))-1)),-1),IF(LEFT(E2527,6)="TÉRREO",0,IFERROR(VALUE(LEFT(E2527,FIND("º",SUBSTITUTE(E2527,"°","º"))-1)),""))))</f>
        <v>10</v>
      </c>
      <c r="O2527" s="2" t="str">
        <f aca="false">IF(OR(F2527="",G2527=""),"",IF(G2527&lt;='RETRATO 2027'!$K$5,"CONCLUÍDA",IF(F2527&lt;='RETRATO 2027'!$K$5,"EM ANDAMENTO","A INICIAR")))</f>
        <v>CONCLUÍDA</v>
      </c>
    </row>
    <row r="2528" customFormat="false" ht="15" hidden="false" customHeight="false" outlineLevel="0" collapsed="false">
      <c r="B2528" s="4" t="n">
        <v>26743386</v>
      </c>
      <c r="C2528" s="4" t="s">
        <v>2935</v>
      </c>
      <c r="D2528" s="4" t="s">
        <v>433</v>
      </c>
      <c r="E2528" s="4" t="s">
        <v>3762</v>
      </c>
      <c r="F2528" s="127" t="n">
        <v>46533</v>
      </c>
      <c r="G2528" s="127" t="n">
        <v>46545</v>
      </c>
      <c r="H2528" s="127" t="n">
        <v>46293</v>
      </c>
      <c r="I2528" s="4" t="n">
        <v>0</v>
      </c>
      <c r="J2528" s="4" t="n">
        <v>0</v>
      </c>
      <c r="K2528" s="4" t="n">
        <v>0</v>
      </c>
      <c r="M2528" s="2" t="str">
        <f aca="false">IF(C2528="","",IFERROR(INDEX($S$5:$S$304,MATCH(C2528,$R$5:$R$304,0))&amp;"","?"))</f>
        <v>30</v>
      </c>
      <c r="N2528" s="2" t="n">
        <f aca="false">IF(E2528="","",IF(ISNUMBER(SEARCH("SUBSOLO",E2528)),IFERROR(-VALUE(LEFT(E2528,FIND("º",SUBSTITUTE(E2528,"°","º"))-1)),-1),IF(LEFT(E2528,6)="TÉRREO",0,IFERROR(VALUE(LEFT(E2528,FIND("º",SUBSTITUTE(E2528,"°","º"))-1)),""))))</f>
        <v>11</v>
      </c>
      <c r="O2528" s="2" t="str">
        <f aca="false">IF(OR(F2528="",G2528=""),"",IF(G2528&lt;='RETRATO 2027'!$K$5,"CONCLUÍDA",IF(F2528&lt;='RETRATO 2027'!$K$5,"EM ANDAMENTO","A INICIAR")))</f>
        <v>CONCLUÍDA</v>
      </c>
    </row>
    <row r="2529" customFormat="false" ht="15" hidden="false" customHeight="false" outlineLevel="0" collapsed="false">
      <c r="B2529" s="4" t="n">
        <v>26743333</v>
      </c>
      <c r="C2529" s="4" t="s">
        <v>2938</v>
      </c>
      <c r="D2529" s="4" t="s">
        <v>433</v>
      </c>
      <c r="E2529" s="4" t="s">
        <v>3763</v>
      </c>
      <c r="F2529" s="127" t="n">
        <v>46533</v>
      </c>
      <c r="G2529" s="127" t="n">
        <v>46545</v>
      </c>
      <c r="H2529" s="127" t="n">
        <v>46293</v>
      </c>
      <c r="I2529" s="4" t="n">
        <v>0</v>
      </c>
      <c r="J2529" s="4" t="n">
        <v>0</v>
      </c>
      <c r="K2529" s="4" t="n">
        <v>0</v>
      </c>
      <c r="M2529" s="2" t="str">
        <f aca="false">IF(C2529="","",IFERROR(INDEX($S$5:$S$304,MATCH(C2529,$R$5:$R$304,0))&amp;"","?"))</f>
        <v>30</v>
      </c>
      <c r="N2529" s="2" t="n">
        <f aca="false">IF(E2529="","",IF(ISNUMBER(SEARCH("SUBSOLO",E2529)),IFERROR(-VALUE(LEFT(E2529,FIND("º",SUBSTITUTE(E2529,"°","º"))-1)),-1),IF(LEFT(E2529,6)="TÉRREO",0,IFERROR(VALUE(LEFT(E2529,FIND("º",SUBSTITUTE(E2529,"°","º"))-1)),""))))</f>
        <v>12</v>
      </c>
      <c r="O2529" s="2" t="str">
        <f aca="false">IF(OR(F2529="",G2529=""),"",IF(G2529&lt;='RETRATO 2027'!$K$5,"CONCLUÍDA",IF(F2529&lt;='RETRATO 2027'!$K$5,"EM ANDAMENTO","A INICIAR")))</f>
        <v>CONCLUÍDA</v>
      </c>
    </row>
    <row r="2530" customFormat="false" ht="15" hidden="false" customHeight="false" outlineLevel="0" collapsed="false">
      <c r="B2530" s="4" t="n">
        <v>26743295</v>
      </c>
      <c r="C2530" s="4" t="s">
        <v>166</v>
      </c>
      <c r="D2530" s="4" t="s">
        <v>433</v>
      </c>
      <c r="E2530" s="4" t="s">
        <v>3764</v>
      </c>
      <c r="F2530" s="127" t="n">
        <v>46533</v>
      </c>
      <c r="G2530" s="127" t="n">
        <v>46545</v>
      </c>
      <c r="H2530" s="127" t="n">
        <v>46293</v>
      </c>
      <c r="I2530" s="4" t="n">
        <v>0</v>
      </c>
      <c r="J2530" s="4" t="n">
        <v>0</v>
      </c>
      <c r="K2530" s="4" t="n">
        <v>0</v>
      </c>
      <c r="M2530" s="2" t="str">
        <f aca="false">IF(C2530="","",IFERROR(INDEX($S$5:$S$304,MATCH(C2530,$R$5:$R$304,0))&amp;"","?"))</f>
        <v>19</v>
      </c>
      <c r="N2530" s="2" t="n">
        <f aca="false">IF(E2530="","",IF(ISNUMBER(SEARCH("SUBSOLO",E2530)),IFERROR(-VALUE(LEFT(E2530,FIND("º",SUBSTITUTE(E2530,"°","º"))-1)),-1),IF(LEFT(E2530,6)="TÉRREO",0,IFERROR(VALUE(LEFT(E2530,FIND("º",SUBSTITUTE(E2530,"°","º"))-1)),""))))</f>
        <v>13</v>
      </c>
      <c r="O2530" s="2" t="str">
        <f aca="false">IF(OR(F2530="",G2530=""),"",IF(G2530&lt;='RETRATO 2027'!$K$5,"CONCLUÍDA",IF(F2530&lt;='RETRATO 2027'!$K$5,"EM ANDAMENTO","A INICIAR")))</f>
        <v>CONCLUÍDA</v>
      </c>
    </row>
    <row r="2531" customFormat="false" ht="15" hidden="false" customHeight="false" outlineLevel="0" collapsed="false">
      <c r="B2531" s="4" t="n">
        <v>26743268</v>
      </c>
      <c r="C2531" s="4" t="s">
        <v>2941</v>
      </c>
      <c r="D2531" s="4" t="s">
        <v>433</v>
      </c>
      <c r="E2531" s="4" t="s">
        <v>3765</v>
      </c>
      <c r="F2531" s="127" t="n">
        <v>46533</v>
      </c>
      <c r="G2531" s="127" t="n">
        <v>46545</v>
      </c>
      <c r="H2531" s="127" t="n">
        <v>46293</v>
      </c>
      <c r="I2531" s="4" t="n">
        <v>0</v>
      </c>
      <c r="J2531" s="4" t="n">
        <v>0</v>
      </c>
      <c r="K2531" s="4" t="n">
        <v>0</v>
      </c>
      <c r="M2531" s="2" t="str">
        <f aca="false">IF(C2531="","",IFERROR(INDEX($S$5:$S$304,MATCH(C2531,$R$5:$R$304,0))&amp;"","?"))</f>
        <v>18</v>
      </c>
      <c r="N2531" s="2" t="n">
        <f aca="false">IF(E2531="","",IF(ISNUMBER(SEARCH("SUBSOLO",E2531)),IFERROR(-VALUE(LEFT(E2531,FIND("º",SUBSTITUTE(E2531,"°","º"))-1)),-1),IF(LEFT(E2531,6)="TÉRREO",0,IFERROR(VALUE(LEFT(E2531,FIND("º",SUBSTITUTE(E2531,"°","º"))-1)),""))))</f>
        <v>14</v>
      </c>
      <c r="O2531" s="2" t="str">
        <f aca="false">IF(OR(F2531="",G2531=""),"",IF(G2531&lt;='RETRATO 2027'!$K$5,"CONCLUÍDA",IF(F2531&lt;='RETRATO 2027'!$K$5,"EM ANDAMENTO","A INICIAR")))</f>
        <v>CONCLUÍDA</v>
      </c>
    </row>
    <row r="2532" customFormat="false" ht="15" hidden="false" customHeight="false" outlineLevel="0" collapsed="false">
      <c r="B2532" s="4" t="n">
        <v>26743232</v>
      </c>
      <c r="C2532" s="4" t="s">
        <v>2924</v>
      </c>
      <c r="D2532" s="4" t="s">
        <v>433</v>
      </c>
      <c r="E2532" s="4" t="s">
        <v>3768</v>
      </c>
      <c r="F2532" s="127" t="n">
        <v>46533</v>
      </c>
      <c r="G2532" s="127" t="n">
        <v>46545</v>
      </c>
      <c r="H2532" s="127" t="n">
        <v>46293</v>
      </c>
      <c r="I2532" s="4" t="n">
        <v>0</v>
      </c>
      <c r="J2532" s="4" t="n">
        <v>0</v>
      </c>
      <c r="K2532" s="4" t="n">
        <v>0</v>
      </c>
      <c r="M2532" s="2" t="str">
        <f aca="false">IF(C2532="","",IFERROR(INDEX($S$5:$S$304,MATCH(C2532,$R$5:$R$304,0))&amp;"","?"))</f>
        <v>21</v>
      </c>
      <c r="N2532" s="2" t="n">
        <f aca="false">IF(E2532="","",IF(ISNUMBER(SEARCH("SUBSOLO",E2532)),IFERROR(-VALUE(LEFT(E2532,FIND("º",SUBSTITUTE(E2532,"°","º"))-1)),-1),IF(LEFT(E2532,6)="TÉRREO",0,IFERROR(VALUE(LEFT(E2532,FIND("º",SUBSTITUTE(E2532,"°","º"))-1)),""))))</f>
        <v>15</v>
      </c>
      <c r="O2532" s="2" t="str">
        <f aca="false">IF(OR(F2532="",G2532=""),"",IF(G2532&lt;='RETRATO 2027'!$K$5,"CONCLUÍDA",IF(F2532&lt;='RETRATO 2027'!$K$5,"EM ANDAMENTO","A INICIAR")))</f>
        <v>CONCLUÍDA</v>
      </c>
    </row>
    <row r="2533" customFormat="false" ht="15" hidden="false" customHeight="false" outlineLevel="0" collapsed="false">
      <c r="B2533" s="4" t="n">
        <v>26743215</v>
      </c>
      <c r="C2533" s="4" t="s">
        <v>2926</v>
      </c>
      <c r="D2533" s="4" t="s">
        <v>433</v>
      </c>
      <c r="E2533" s="4" t="s">
        <v>3768</v>
      </c>
      <c r="F2533" s="127" t="n">
        <v>46533</v>
      </c>
      <c r="G2533" s="127" t="n">
        <v>46545</v>
      </c>
      <c r="H2533" s="127" t="n">
        <v>46293</v>
      </c>
      <c r="I2533" s="4" t="n">
        <v>0</v>
      </c>
      <c r="J2533" s="4" t="n">
        <v>0</v>
      </c>
      <c r="K2533" s="4" t="n">
        <v>0</v>
      </c>
      <c r="M2533" s="2" t="str">
        <f aca="false">IF(C2533="","",IFERROR(INDEX($S$5:$S$304,MATCH(C2533,$R$5:$R$304,0))&amp;"","?"))</f>
        <v>20</v>
      </c>
      <c r="N2533" s="2" t="n">
        <f aca="false">IF(E2533="","",IF(ISNUMBER(SEARCH("SUBSOLO",E2533)),IFERROR(-VALUE(LEFT(E2533,FIND("º",SUBSTITUTE(E2533,"°","º"))-1)),-1),IF(LEFT(E2533,6)="TÉRREO",0,IFERROR(VALUE(LEFT(E2533,FIND("º",SUBSTITUTE(E2533,"°","º"))-1)),""))))</f>
        <v>15</v>
      </c>
      <c r="O2533" s="2" t="str">
        <f aca="false">IF(OR(F2533="",G2533=""),"",IF(G2533&lt;='RETRATO 2027'!$K$5,"CONCLUÍDA",IF(F2533&lt;='RETRATO 2027'!$K$5,"EM ANDAMENTO","A INICIAR")))</f>
        <v>CONCLUÍDA</v>
      </c>
    </row>
    <row r="2534" customFormat="false" ht="15" hidden="false" customHeight="false" outlineLevel="0" collapsed="false">
      <c r="B2534" s="4" t="n">
        <v>26743214</v>
      </c>
      <c r="C2534" s="4" t="s">
        <v>2928</v>
      </c>
      <c r="D2534" s="4" t="s">
        <v>433</v>
      </c>
      <c r="E2534" s="4" t="s">
        <v>3768</v>
      </c>
      <c r="F2534" s="127" t="n">
        <v>46533</v>
      </c>
      <c r="G2534" s="127" t="n">
        <v>46545</v>
      </c>
      <c r="H2534" s="127" t="n">
        <v>46293</v>
      </c>
      <c r="I2534" s="4" t="n">
        <v>0</v>
      </c>
      <c r="J2534" s="4" t="n">
        <v>0</v>
      </c>
      <c r="K2534" s="4" t="n">
        <v>0</v>
      </c>
      <c r="M2534" s="2" t="str">
        <f aca="false">IF(C2534="","",IFERROR(INDEX($S$5:$S$304,MATCH(C2534,$R$5:$R$304,0))&amp;"","?"))</f>
        <v>23</v>
      </c>
      <c r="N2534" s="2" t="n">
        <f aca="false">IF(E2534="","",IF(ISNUMBER(SEARCH("SUBSOLO",E2534)),IFERROR(-VALUE(LEFT(E2534,FIND("º",SUBSTITUTE(E2534,"°","º"))-1)),-1),IF(LEFT(E2534,6)="TÉRREO",0,IFERROR(VALUE(LEFT(E2534,FIND("º",SUBSTITUTE(E2534,"°","º"))-1)),""))))</f>
        <v>15</v>
      </c>
      <c r="O2534" s="2" t="str">
        <f aca="false">IF(OR(F2534="",G2534=""),"",IF(G2534&lt;='RETRATO 2027'!$K$5,"CONCLUÍDA",IF(F2534&lt;='RETRATO 2027'!$K$5,"EM ANDAMENTO","A INICIAR")))</f>
        <v>CONCLUÍDA</v>
      </c>
    </row>
    <row r="2535" customFormat="false" ht="15" hidden="false" customHeight="false" outlineLevel="0" collapsed="false">
      <c r="B2535" s="4" t="n">
        <v>26743233</v>
      </c>
      <c r="C2535" s="4" t="s">
        <v>2930</v>
      </c>
      <c r="D2535" s="4" t="s">
        <v>433</v>
      </c>
      <c r="E2535" s="4" t="s">
        <v>3768</v>
      </c>
      <c r="F2535" s="127" t="n">
        <v>46533</v>
      </c>
      <c r="G2535" s="127" t="n">
        <v>46545</v>
      </c>
      <c r="H2535" s="127" t="n">
        <v>46293</v>
      </c>
      <c r="I2535" s="4" t="n">
        <v>0</v>
      </c>
      <c r="J2535" s="4" t="n">
        <v>0</v>
      </c>
      <c r="K2535" s="4" t="n">
        <v>0</v>
      </c>
      <c r="M2535" s="2" t="str">
        <f aca="false">IF(C2535="","",IFERROR(INDEX($S$5:$S$304,MATCH(C2535,$R$5:$R$304,0))&amp;"","?"))</f>
        <v>21</v>
      </c>
      <c r="N2535" s="2" t="n">
        <f aca="false">IF(E2535="","",IF(ISNUMBER(SEARCH("SUBSOLO",E2535)),IFERROR(-VALUE(LEFT(E2535,FIND("º",SUBSTITUTE(E2535,"°","º"))-1)),-1),IF(LEFT(E2535,6)="TÉRREO",0,IFERROR(VALUE(LEFT(E2535,FIND("º",SUBSTITUTE(E2535,"°","º"))-1)),""))))</f>
        <v>15</v>
      </c>
      <c r="O2535" s="2" t="str">
        <f aca="false">IF(OR(F2535="",G2535=""),"",IF(G2535&lt;='RETRATO 2027'!$K$5,"CONCLUÍDA",IF(F2535&lt;='RETRATO 2027'!$K$5,"EM ANDAMENTO","A INICIAR")))</f>
        <v>CONCLUÍDA</v>
      </c>
    </row>
    <row r="2536" customFormat="false" ht="15" hidden="false" customHeight="false" outlineLevel="0" collapsed="false">
      <c r="B2536" s="4" t="n">
        <v>26743234</v>
      </c>
      <c r="C2536" s="4" t="s">
        <v>2933</v>
      </c>
      <c r="D2536" s="4" t="s">
        <v>433</v>
      </c>
      <c r="E2536" s="4" t="s">
        <v>3768</v>
      </c>
      <c r="F2536" s="127" t="n">
        <v>46533</v>
      </c>
      <c r="G2536" s="127" t="n">
        <v>46545</v>
      </c>
      <c r="H2536" s="127" t="n">
        <v>46293</v>
      </c>
      <c r="I2536" s="4" t="n">
        <v>0</v>
      </c>
      <c r="J2536" s="4" t="n">
        <v>0</v>
      </c>
      <c r="K2536" s="4" t="n">
        <v>0</v>
      </c>
      <c r="M2536" s="2" t="str">
        <f aca="false">IF(C2536="","",IFERROR(INDEX($S$5:$S$304,MATCH(C2536,$R$5:$R$304,0))&amp;"","?"))</f>
        <v>21</v>
      </c>
      <c r="N2536" s="2" t="n">
        <f aca="false">IF(E2536="","",IF(ISNUMBER(SEARCH("SUBSOLO",E2536)),IFERROR(-VALUE(LEFT(E2536,FIND("º",SUBSTITUTE(E2536,"°","º"))-1)),-1),IF(LEFT(E2536,6)="TÉRREO",0,IFERROR(VALUE(LEFT(E2536,FIND("º",SUBSTITUTE(E2536,"°","º"))-1)),""))))</f>
        <v>15</v>
      </c>
      <c r="O2536" s="2" t="str">
        <f aca="false">IF(OR(F2536="",G2536=""),"",IF(G2536&lt;='RETRATO 2027'!$K$5,"CONCLUÍDA",IF(F2536&lt;='RETRATO 2027'!$K$5,"EM ANDAMENTO","A INICIAR")))</f>
        <v>CONCLUÍDA</v>
      </c>
    </row>
    <row r="2537" customFormat="false" ht="15" hidden="false" customHeight="false" outlineLevel="0" collapsed="false">
      <c r="B2537" s="4" t="n">
        <v>26743176</v>
      </c>
      <c r="C2537" s="4" t="s">
        <v>2922</v>
      </c>
      <c r="D2537" s="4" t="s">
        <v>433</v>
      </c>
      <c r="E2537" s="4" t="s">
        <v>3771</v>
      </c>
      <c r="F2537" s="127" t="n">
        <v>46533</v>
      </c>
      <c r="G2537" s="127" t="n">
        <v>46545</v>
      </c>
      <c r="H2537" s="127" t="n">
        <v>46293</v>
      </c>
      <c r="I2537" s="4" t="n">
        <v>0</v>
      </c>
      <c r="J2537" s="4" t="n">
        <v>0</v>
      </c>
      <c r="K2537" s="4" t="n">
        <v>0</v>
      </c>
      <c r="M2537" s="2" t="str">
        <f aca="false">IF(C2537="","",IFERROR(INDEX($S$5:$S$304,MATCH(C2537,$R$5:$R$304,0))&amp;"","?"))</f>
        <v>18</v>
      </c>
      <c r="N2537" s="2" t="n">
        <f aca="false">IF(E2537="","",IF(ISNUMBER(SEARCH("SUBSOLO",E2537)),IFERROR(-VALUE(LEFT(E2537,FIND("º",SUBSTITUTE(E2537,"°","º"))-1)),-1),IF(LEFT(E2537,6)="TÉRREO",0,IFERROR(VALUE(LEFT(E2537,FIND("º",SUBSTITUTE(E2537,"°","º"))-1)),""))))</f>
        <v>16</v>
      </c>
      <c r="O2537" s="2" t="str">
        <f aca="false">IF(OR(F2537="",G2537=""),"",IF(G2537&lt;='RETRATO 2027'!$K$5,"CONCLUÍDA",IF(F2537&lt;='RETRATO 2027'!$K$5,"EM ANDAMENTO","A INICIAR")))</f>
        <v>CONCLUÍDA</v>
      </c>
    </row>
    <row r="2538" customFormat="false" ht="15" hidden="false" customHeight="false" outlineLevel="0" collapsed="false">
      <c r="B2538" s="4" t="n">
        <v>26707703</v>
      </c>
      <c r="C2538" s="4" t="s">
        <v>2997</v>
      </c>
      <c r="D2538" s="4" t="s">
        <v>433</v>
      </c>
      <c r="E2538" s="4" t="s">
        <v>3766</v>
      </c>
      <c r="F2538" s="127" t="n">
        <v>46535</v>
      </c>
      <c r="G2538" s="127" t="n">
        <v>46555</v>
      </c>
      <c r="H2538" s="127" t="n">
        <v>46293</v>
      </c>
      <c r="I2538" s="4" t="n">
        <v>0</v>
      </c>
      <c r="J2538" s="4" t="n">
        <v>0</v>
      </c>
      <c r="K2538" s="4" t="n">
        <v>0</v>
      </c>
      <c r="M2538" s="2" t="str">
        <f aca="false">IF(C2538="","",IFERROR(INDEX($S$5:$S$304,MATCH(C2538,$R$5:$R$304,0))&amp;"","?"))</f>
        <v>35</v>
      </c>
      <c r="N2538" s="2" t="n">
        <f aca="false">IF(E2538="","",IF(ISNUMBER(SEARCH("SUBSOLO",E2538)),IFERROR(-VALUE(LEFT(E2538,FIND("º",SUBSTITUTE(E2538,"°","º"))-1)),-1),IF(LEFT(E2538,6)="TÉRREO",0,IFERROR(VALUE(LEFT(E2538,FIND("º",SUBSTITUTE(E2538,"°","º"))-1)),""))))</f>
        <v>1</v>
      </c>
      <c r="O2538" s="2" t="str">
        <f aca="false">IF(OR(F2538="",G2538=""),"",IF(G2538&lt;='RETRATO 2027'!$K$5,"CONCLUÍDA",IF(F2538&lt;='RETRATO 2027'!$K$5,"EM ANDAMENTO","A INICIAR")))</f>
        <v>CONCLUÍDA</v>
      </c>
    </row>
    <row r="2539" customFormat="false" ht="15" hidden="false" customHeight="false" outlineLevel="0" collapsed="false">
      <c r="B2539" s="4" t="n">
        <v>26707689</v>
      </c>
      <c r="C2539" s="4" t="s">
        <v>2948</v>
      </c>
      <c r="D2539" s="4" t="s">
        <v>433</v>
      </c>
      <c r="E2539" s="4" t="s">
        <v>3772</v>
      </c>
      <c r="F2539" s="127" t="n">
        <v>46535</v>
      </c>
      <c r="G2539" s="127" t="n">
        <v>46555</v>
      </c>
      <c r="H2539" s="127" t="n">
        <v>46293</v>
      </c>
      <c r="I2539" s="4" t="n">
        <v>0</v>
      </c>
      <c r="J2539" s="4" t="n">
        <v>0</v>
      </c>
      <c r="K2539" s="4" t="n">
        <v>0</v>
      </c>
      <c r="M2539" s="2" t="str">
        <f aca="false">IF(C2539="","",IFERROR(INDEX($S$5:$S$304,MATCH(C2539,$R$5:$R$304,0))&amp;"","?"))</f>
        <v>25</v>
      </c>
      <c r="N2539" s="2" t="n">
        <f aca="false">IF(E2539="","",IF(ISNUMBER(SEARCH("SUBSOLO",E2539)),IFERROR(-VALUE(LEFT(E2539,FIND("º",SUBSTITUTE(E2539,"°","º"))-1)),-1),IF(LEFT(E2539,6)="TÉRREO",0,IFERROR(VALUE(LEFT(E2539,FIND("º",SUBSTITUTE(E2539,"°","º"))-1)),""))))</f>
        <v>1</v>
      </c>
      <c r="O2539" s="2" t="str">
        <f aca="false">IF(OR(F2539="",G2539=""),"",IF(G2539&lt;='RETRATO 2027'!$K$5,"CONCLUÍDA",IF(F2539&lt;='RETRATO 2027'!$K$5,"EM ANDAMENTO","A INICIAR")))</f>
        <v>CONCLUÍDA</v>
      </c>
    </row>
    <row r="2540" customFormat="false" ht="15" hidden="false" customHeight="false" outlineLevel="0" collapsed="false">
      <c r="B2540" s="4" t="n">
        <v>26742946</v>
      </c>
      <c r="C2540" s="4" t="s">
        <v>2869</v>
      </c>
      <c r="D2540" s="4" t="s">
        <v>433</v>
      </c>
      <c r="E2540" s="4" t="s">
        <v>3787</v>
      </c>
      <c r="F2540" s="127" t="n">
        <v>46535</v>
      </c>
      <c r="G2540" s="127" t="n">
        <v>46546</v>
      </c>
      <c r="H2540" s="127" t="n">
        <v>46293</v>
      </c>
      <c r="I2540" s="4" t="n">
        <v>0</v>
      </c>
      <c r="J2540" s="4" t="n">
        <v>0</v>
      </c>
      <c r="K2540" s="4" t="n">
        <v>0</v>
      </c>
      <c r="M2540" s="2" t="str">
        <f aca="false">IF(C2540="","",IFERROR(INDEX($S$5:$S$304,MATCH(C2540,$R$5:$R$304,0))&amp;"","?"))</f>
        <v>22</v>
      </c>
      <c r="N2540" s="2" t="n">
        <f aca="false">IF(E2540="","",IF(ISNUMBER(SEARCH("SUBSOLO",E2540)),IFERROR(-VALUE(LEFT(E2540,FIND("º",SUBSTITUTE(E2540,"°","º"))-1)),-1),IF(LEFT(E2540,6)="TÉRREO",0,IFERROR(VALUE(LEFT(E2540,FIND("º",SUBSTITUTE(E2540,"°","º"))-1)),""))))</f>
        <v>23</v>
      </c>
      <c r="O2540" s="2" t="str">
        <f aca="false">IF(OR(F2540="",G2540=""),"",IF(G2540&lt;='RETRATO 2027'!$K$5,"CONCLUÍDA",IF(F2540&lt;='RETRATO 2027'!$K$5,"EM ANDAMENTO","A INICIAR")))</f>
        <v>CONCLUÍDA</v>
      </c>
    </row>
    <row r="2541" customFormat="false" ht="15" hidden="false" customHeight="false" outlineLevel="0" collapsed="false">
      <c r="B2541" s="4" t="n">
        <v>26742907</v>
      </c>
      <c r="C2541" s="4" t="s">
        <v>163</v>
      </c>
      <c r="D2541" s="4" t="s">
        <v>433</v>
      </c>
      <c r="E2541" s="4" t="s">
        <v>3788</v>
      </c>
      <c r="F2541" s="127" t="n">
        <v>46535</v>
      </c>
      <c r="G2541" s="127" t="n">
        <v>46546</v>
      </c>
      <c r="H2541" s="127" t="n">
        <v>46293</v>
      </c>
      <c r="I2541" s="4" t="n">
        <v>0</v>
      </c>
      <c r="J2541" s="4" t="n">
        <v>0</v>
      </c>
      <c r="K2541" s="4" t="n">
        <v>0</v>
      </c>
      <c r="M2541" s="2" t="str">
        <f aca="false">IF(C2541="","",IFERROR(INDEX($S$5:$S$304,MATCH(C2541,$R$5:$R$304,0))&amp;"","?"))</f>
        <v>18</v>
      </c>
      <c r="N2541" s="2" t="n">
        <f aca="false">IF(E2541="","",IF(ISNUMBER(SEARCH("SUBSOLO",E2541)),IFERROR(-VALUE(LEFT(E2541,FIND("º",SUBSTITUTE(E2541,"°","º"))-1)),-1),IF(LEFT(E2541,6)="TÉRREO",0,IFERROR(VALUE(LEFT(E2541,FIND("º",SUBSTITUTE(E2541,"°","º"))-1)),""))))</f>
        <v>24</v>
      </c>
      <c r="O2541" s="2" t="str">
        <f aca="false">IF(OR(F2541="",G2541=""),"",IF(G2541&lt;='RETRATO 2027'!$K$5,"CONCLUÍDA",IF(F2541&lt;='RETRATO 2027'!$K$5,"EM ANDAMENTO","A INICIAR")))</f>
        <v>CONCLUÍDA</v>
      </c>
    </row>
    <row r="2542" customFormat="false" ht="15" hidden="false" customHeight="false" outlineLevel="0" collapsed="false">
      <c r="B2542" s="4" t="n">
        <v>26743156</v>
      </c>
      <c r="C2542" s="4" t="s">
        <v>2916</v>
      </c>
      <c r="D2542" s="4" t="s">
        <v>433</v>
      </c>
      <c r="E2542" s="4" t="s">
        <v>3773</v>
      </c>
      <c r="F2542" s="127" t="n">
        <v>46538</v>
      </c>
      <c r="G2542" s="127" t="n">
        <v>46545</v>
      </c>
      <c r="H2542" s="127" t="n">
        <v>46293</v>
      </c>
      <c r="I2542" s="4" t="n">
        <v>0</v>
      </c>
      <c r="J2542" s="4" t="n">
        <v>0</v>
      </c>
      <c r="K2542" s="4" t="n">
        <v>0</v>
      </c>
      <c r="M2542" s="2" t="str">
        <f aca="false">IF(C2542="","",IFERROR(INDEX($S$5:$S$304,MATCH(C2542,$R$5:$R$304,0))&amp;"","?"))</f>
        <v>18</v>
      </c>
      <c r="N2542" s="2" t="n">
        <f aca="false">IF(E2542="","",IF(ISNUMBER(SEARCH("SUBSOLO",E2542)),IFERROR(-VALUE(LEFT(E2542,FIND("º",SUBSTITUTE(E2542,"°","º"))-1)),-1),IF(LEFT(E2542,6)="TÉRREO",0,IFERROR(VALUE(LEFT(E2542,FIND("º",SUBSTITUTE(E2542,"°","º"))-1)),""))))</f>
        <v>17</v>
      </c>
      <c r="O2542" s="2" t="str">
        <f aca="false">IF(OR(F2542="",G2542=""),"",IF(G2542&lt;='RETRATO 2027'!$K$5,"CONCLUÍDA",IF(F2542&lt;='RETRATO 2027'!$K$5,"EM ANDAMENTO","A INICIAR")))</f>
        <v>CONCLUÍDA</v>
      </c>
    </row>
    <row r="2543" customFormat="false" ht="15" hidden="false" customHeight="false" outlineLevel="0" collapsed="false">
      <c r="B2543" s="4" t="n">
        <v>24938683</v>
      </c>
      <c r="C2543" s="4" t="s">
        <v>2705</v>
      </c>
      <c r="D2543" s="4" t="s">
        <v>433</v>
      </c>
      <c r="E2543" s="4" t="s">
        <v>3808</v>
      </c>
      <c r="F2543" s="127" t="n">
        <v>46538</v>
      </c>
      <c r="G2543" s="127" t="n">
        <v>46553</v>
      </c>
      <c r="H2543" s="127" t="n">
        <v>46293</v>
      </c>
      <c r="I2543" s="4" t="n">
        <v>0</v>
      </c>
      <c r="J2543" s="4" t="n">
        <v>0</v>
      </c>
      <c r="K2543" s="4" t="n">
        <v>0</v>
      </c>
      <c r="M2543" s="2" t="str">
        <f aca="false">IF(C2543="","",IFERROR(INDEX($S$5:$S$304,MATCH(C2543,$R$5:$R$304,0))&amp;"","?"))</f>
        <v>17</v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>CONCLUÍDA</v>
      </c>
    </row>
    <row r="2544" customFormat="false" ht="15" hidden="false" customHeight="false" outlineLevel="0" collapsed="false">
      <c r="B2544" s="4" t="n">
        <v>9363285</v>
      </c>
      <c r="C2544" s="4" t="s">
        <v>2705</v>
      </c>
      <c r="D2544" s="4" t="s">
        <v>3244</v>
      </c>
      <c r="E2544" s="4" t="s">
        <v>3808</v>
      </c>
      <c r="F2544" s="127" t="n">
        <v>46538</v>
      </c>
      <c r="G2544" s="127" t="n">
        <v>46540</v>
      </c>
      <c r="H2544" s="127" t="n">
        <v>46293</v>
      </c>
      <c r="I2544" s="4" t="n">
        <v>0</v>
      </c>
      <c r="J2544" s="4" t="n">
        <v>0</v>
      </c>
      <c r="K2544" s="4" t="n">
        <v>0</v>
      </c>
      <c r="M2544" s="2" t="str">
        <f aca="false">IF(C2544="","",IFERROR(INDEX($S$5:$S$304,MATCH(C2544,$R$5:$R$304,0))&amp;"","?"))</f>
        <v>17</v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>CONCLUÍDA</v>
      </c>
    </row>
    <row r="2545" customFormat="false" ht="15" hidden="false" customHeight="false" outlineLevel="0" collapsed="false">
      <c r="B2545" s="4" t="n">
        <v>9363286</v>
      </c>
      <c r="C2545" s="4" t="s">
        <v>2705</v>
      </c>
      <c r="D2545" s="4" t="s">
        <v>3245</v>
      </c>
      <c r="E2545" s="4" t="s">
        <v>3808</v>
      </c>
      <c r="F2545" s="127" t="n">
        <v>46538</v>
      </c>
      <c r="G2545" s="127" t="n">
        <v>46540</v>
      </c>
      <c r="H2545" s="127" t="n">
        <v>46293</v>
      </c>
      <c r="I2545" s="4" t="n">
        <v>0</v>
      </c>
      <c r="J2545" s="4" t="n">
        <v>0</v>
      </c>
      <c r="K2545" s="4" t="n">
        <v>0</v>
      </c>
      <c r="M2545" s="2" t="str">
        <f aca="false">IF(C2545="","",IFERROR(INDEX($S$5:$S$304,MATCH(C2545,$R$5:$R$304,0))&amp;"","?"))</f>
        <v>17</v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>CONCLUÍDA</v>
      </c>
    </row>
    <row r="2546" customFormat="false" ht="15" hidden="false" customHeight="false" outlineLevel="0" collapsed="false">
      <c r="B2546" s="4" t="n">
        <v>9363287</v>
      </c>
      <c r="C2546" s="4" t="s">
        <v>2705</v>
      </c>
      <c r="D2546" s="4" t="s">
        <v>3246</v>
      </c>
      <c r="E2546" s="4" t="s">
        <v>3808</v>
      </c>
      <c r="F2546" s="127" t="n">
        <v>46539</v>
      </c>
      <c r="G2546" s="127" t="n">
        <v>46541</v>
      </c>
      <c r="H2546" s="127" t="n">
        <v>46293</v>
      </c>
      <c r="I2546" s="4" t="n">
        <v>0</v>
      </c>
      <c r="J2546" s="4" t="n">
        <v>0</v>
      </c>
      <c r="K2546" s="4" t="n">
        <v>0</v>
      </c>
      <c r="M2546" s="2" t="str">
        <f aca="false">IF(C2546="","",IFERROR(INDEX($S$5:$S$304,MATCH(C2546,$R$5:$R$304,0))&amp;"","?"))</f>
        <v>17</v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>CONCLUÍDA</v>
      </c>
    </row>
    <row r="2547" customFormat="false" ht="15" hidden="false" customHeight="false" outlineLevel="0" collapsed="false">
      <c r="B2547" s="4" t="n">
        <v>9363288</v>
      </c>
      <c r="C2547" s="4" t="s">
        <v>2705</v>
      </c>
      <c r="D2547" s="4" t="s">
        <v>3247</v>
      </c>
      <c r="E2547" s="4" t="s">
        <v>3808</v>
      </c>
      <c r="F2547" s="127" t="n">
        <v>46542</v>
      </c>
      <c r="G2547" s="127" t="n">
        <v>46542</v>
      </c>
      <c r="H2547" s="127" t="n">
        <v>46293</v>
      </c>
      <c r="I2547" s="4" t="n">
        <v>0</v>
      </c>
      <c r="J2547" s="4" t="n">
        <v>0</v>
      </c>
      <c r="K2547" s="4" t="n">
        <v>0</v>
      </c>
      <c r="M2547" s="2" t="str">
        <f aca="false">IF(C2547="","",IFERROR(INDEX($S$5:$S$304,MATCH(C2547,$R$5:$R$304,0))&amp;"","?"))</f>
        <v>17</v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>CONCLUÍDA</v>
      </c>
    </row>
    <row r="2548" customFormat="false" ht="15" hidden="false" customHeight="false" outlineLevel="0" collapsed="false">
      <c r="B2548" s="4" t="n">
        <v>9363289</v>
      </c>
      <c r="C2548" s="4" t="s">
        <v>2705</v>
      </c>
      <c r="D2548" s="4" t="s">
        <v>3248</v>
      </c>
      <c r="E2548" s="4" t="s">
        <v>3808</v>
      </c>
      <c r="F2548" s="127" t="n">
        <v>46545</v>
      </c>
      <c r="G2548" s="127" t="n">
        <v>46547</v>
      </c>
      <c r="H2548" s="127" t="n">
        <v>46293</v>
      </c>
      <c r="I2548" s="4" t="n">
        <v>0</v>
      </c>
      <c r="J2548" s="4" t="n">
        <v>0</v>
      </c>
      <c r="K2548" s="4" t="n">
        <v>0</v>
      </c>
      <c r="M2548" s="2" t="str">
        <f aca="false">IF(C2548="","",IFERROR(INDEX($S$5:$S$304,MATCH(C2548,$R$5:$R$304,0))&amp;"","?"))</f>
        <v>17</v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>CONCLUÍDA</v>
      </c>
    </row>
    <row r="2549" customFormat="false" ht="15" hidden="false" customHeight="false" outlineLevel="0" collapsed="false">
      <c r="B2549" s="4" t="n">
        <v>9363290</v>
      </c>
      <c r="C2549" s="4" t="s">
        <v>2705</v>
      </c>
      <c r="D2549" s="4" t="s">
        <v>3249</v>
      </c>
      <c r="E2549" s="4" t="s">
        <v>3808</v>
      </c>
      <c r="F2549" s="127" t="n">
        <v>46546</v>
      </c>
      <c r="G2549" s="127" t="n">
        <v>46548</v>
      </c>
      <c r="H2549" s="127" t="n">
        <v>46293</v>
      </c>
      <c r="I2549" s="4" t="n">
        <v>0</v>
      </c>
      <c r="J2549" s="4" t="n">
        <v>0</v>
      </c>
      <c r="K2549" s="4" t="n">
        <v>0</v>
      </c>
      <c r="M2549" s="2" t="str">
        <f aca="false">IF(C2549="","",IFERROR(INDEX($S$5:$S$304,MATCH(C2549,$R$5:$R$304,0))&amp;"","?"))</f>
        <v>17</v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>CONCLUÍDA</v>
      </c>
    </row>
    <row r="2550" customFormat="false" ht="15" hidden="false" customHeight="false" outlineLevel="0" collapsed="false">
      <c r="B2550" s="4" t="n">
        <v>9363291</v>
      </c>
      <c r="C2550" s="4" t="s">
        <v>2705</v>
      </c>
      <c r="D2550" s="4" t="s">
        <v>3250</v>
      </c>
      <c r="E2550" s="4" t="s">
        <v>3808</v>
      </c>
      <c r="F2550" s="127" t="n">
        <v>46549</v>
      </c>
      <c r="G2550" s="127" t="n">
        <v>46552</v>
      </c>
      <c r="H2550" s="127" t="n">
        <v>46293</v>
      </c>
      <c r="I2550" s="4" t="n">
        <v>0</v>
      </c>
      <c r="J2550" s="4" t="n">
        <v>0</v>
      </c>
      <c r="K2550" s="4" t="n">
        <v>0</v>
      </c>
      <c r="M2550" s="2" t="str">
        <f aca="false">IF(C2550="","",IFERROR(INDEX($S$5:$S$304,MATCH(C2550,$R$5:$R$304,0))&amp;"","?"))</f>
        <v>17</v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>CONCLUÍDA</v>
      </c>
    </row>
    <row r="2551" customFormat="false" ht="15" hidden="false" customHeight="false" outlineLevel="0" collapsed="false">
      <c r="B2551" s="4" t="n">
        <v>9363292</v>
      </c>
      <c r="C2551" s="4" t="s">
        <v>2705</v>
      </c>
      <c r="D2551" s="4" t="s">
        <v>3251</v>
      </c>
      <c r="E2551" s="4" t="s">
        <v>3808</v>
      </c>
      <c r="F2551" s="127" t="n">
        <v>46552</v>
      </c>
      <c r="G2551" s="127" t="n">
        <v>46552</v>
      </c>
      <c r="H2551" s="127" t="n">
        <v>46293</v>
      </c>
      <c r="I2551" s="4" t="n">
        <v>0</v>
      </c>
      <c r="J2551" s="4" t="n">
        <v>0</v>
      </c>
      <c r="K2551" s="4" t="n">
        <v>0</v>
      </c>
      <c r="M2551" s="2" t="str">
        <f aca="false">IF(C2551="","",IFERROR(INDEX($S$5:$S$304,MATCH(C2551,$R$5:$R$304,0))&amp;"","?"))</f>
        <v>17</v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>CONCLUÍDA</v>
      </c>
    </row>
    <row r="2552" customFormat="false" ht="15" hidden="false" customHeight="false" outlineLevel="0" collapsed="false">
      <c r="B2552" s="4" t="n">
        <v>9363293</v>
      </c>
      <c r="C2552" s="4" t="s">
        <v>2705</v>
      </c>
      <c r="D2552" s="4" t="s">
        <v>3252</v>
      </c>
      <c r="E2552" s="4" t="s">
        <v>3808</v>
      </c>
      <c r="F2552" s="127" t="n">
        <v>46553</v>
      </c>
      <c r="G2552" s="127" t="n">
        <v>46553</v>
      </c>
      <c r="H2552" s="127" t="n">
        <v>46293</v>
      </c>
      <c r="I2552" s="4" t="n">
        <v>0</v>
      </c>
      <c r="J2552" s="4" t="n">
        <v>0</v>
      </c>
      <c r="K2552" s="4" t="n">
        <v>0</v>
      </c>
      <c r="M2552" s="2" t="str">
        <f aca="false">IF(C2552="","",IFERROR(INDEX($S$5:$S$304,MATCH(C2552,$R$5:$R$304,0))&amp;"","?"))</f>
        <v>17</v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>CONCLUÍDA</v>
      </c>
    </row>
    <row r="2553" customFormat="false" ht="15" hidden="false" customHeight="false" outlineLevel="0" collapsed="false">
      <c r="B2553" s="4" t="n">
        <v>26745029</v>
      </c>
      <c r="C2553" s="4" t="s">
        <v>2814</v>
      </c>
      <c r="D2553" s="4" t="s">
        <v>433</v>
      </c>
      <c r="E2553" s="4" t="s">
        <v>3801</v>
      </c>
      <c r="F2553" s="127" t="n">
        <v>46539</v>
      </c>
      <c r="G2553" s="127" t="n">
        <v>46548</v>
      </c>
      <c r="H2553" s="127" t="n">
        <v>46293</v>
      </c>
      <c r="I2553" s="4" t="n">
        <v>0</v>
      </c>
      <c r="J2553" s="4" t="n">
        <v>0</v>
      </c>
      <c r="K2553" s="4" t="n">
        <v>0</v>
      </c>
      <c r="M2553" s="2" t="str">
        <f aca="false">IF(C2553="","",IFERROR(INDEX($S$5:$S$304,MATCH(C2553,$R$5:$R$304,0))&amp;"","?"))</f>
        <v>28</v>
      </c>
      <c r="N2553" s="2" t="n">
        <f aca="false">IF(E2553="","",IF(ISNUMBER(SEARCH("SUBSOLO",E2553)),IFERROR(-VALUE(LEFT(E2553,FIND("º",SUBSTITUTE(E2553,"°","º"))-1)),-1),IF(LEFT(E2553,6)="TÉRREO",0,IFERROR(VALUE(LEFT(E2553,FIND("º",SUBSTITUTE(E2553,"°","º"))-1)),""))))</f>
        <v>1</v>
      </c>
      <c r="O2553" s="2" t="str">
        <f aca="false">IF(OR(F2553="",G2553=""),"",IF(G2553&lt;='RETRATO 2027'!$K$5,"CONCLUÍDA",IF(F2553&lt;='RETRATO 2027'!$K$5,"EM ANDAMENTO","A INICIAR")))</f>
        <v>CONCLUÍDA</v>
      </c>
    </row>
    <row r="2554" customFormat="false" ht="15" hidden="false" customHeight="false" outlineLevel="0" collapsed="false">
      <c r="B2554" s="4" t="n">
        <v>26745045</v>
      </c>
      <c r="C2554" s="4" t="s">
        <v>208</v>
      </c>
      <c r="D2554" s="4" t="s">
        <v>433</v>
      </c>
      <c r="E2554" s="4" t="s">
        <v>3659</v>
      </c>
      <c r="F2554" s="127" t="n">
        <v>46540</v>
      </c>
      <c r="G2554" s="127" t="n">
        <v>46549</v>
      </c>
      <c r="H2554" s="127" t="n">
        <v>46293</v>
      </c>
      <c r="I2554" s="4" t="n">
        <v>0</v>
      </c>
      <c r="J2554" s="4" t="n">
        <v>0</v>
      </c>
      <c r="K2554" s="4" t="n">
        <v>0</v>
      </c>
      <c r="M2554" s="2" t="str">
        <f aca="false">IF(C2554="","",IFERROR(INDEX($S$5:$S$304,MATCH(C2554,$R$5:$R$304,0))&amp;"","?"))</f>
        <v>33</v>
      </c>
      <c r="N2554" s="2" t="n">
        <f aca="false">IF(E2554="","",IF(ISNUMBER(SEARCH("SUBSOLO",E2554)),IFERROR(-VALUE(LEFT(E2554,FIND("º",SUBSTITUTE(E2554,"°","º"))-1)),-1),IF(LEFT(E2554,6)="TÉRREO",0,IFERROR(VALUE(LEFT(E2554,FIND("º",SUBSTITUTE(E2554,"°","º"))-1)),""))))</f>
        <v>1</v>
      </c>
      <c r="O2554" s="2" t="str">
        <f aca="false">IF(OR(F2554="",G2554=""),"",IF(G2554&lt;='RETRATO 2027'!$K$5,"CONCLUÍDA",IF(F2554&lt;='RETRATO 2027'!$K$5,"EM ANDAMENTO","A INICIAR")))</f>
        <v>CONCLUÍDA</v>
      </c>
    </row>
    <row r="2555" customFormat="false" ht="15" hidden="false" customHeight="false" outlineLevel="0" collapsed="false">
      <c r="B2555" s="4" t="n">
        <v>26546948</v>
      </c>
      <c r="C2555" s="4" t="s">
        <v>2906</v>
      </c>
      <c r="D2555" s="4" t="s">
        <v>433</v>
      </c>
      <c r="E2555" s="4" t="s">
        <v>3804</v>
      </c>
      <c r="F2555" s="127" t="n">
        <v>46540</v>
      </c>
      <c r="G2555" s="127" t="n">
        <v>46601</v>
      </c>
      <c r="H2555" s="127" t="n">
        <v>46293</v>
      </c>
      <c r="I2555" s="4" t="n">
        <v>0</v>
      </c>
      <c r="J2555" s="4" t="n">
        <v>0</v>
      </c>
      <c r="K2555" s="4" t="n">
        <v>0</v>
      </c>
      <c r="M2555" s="2" t="str">
        <f aca="false">IF(C2555="","",IFERROR(INDEX($S$5:$S$304,MATCH(C2555,$R$5:$R$304,0))&amp;"","?"))</f>
        <v>19</v>
      </c>
      <c r="N2555" s="2" t="n">
        <f aca="false">IF(E2555="","",IF(ISNUMBER(SEARCH("SUBSOLO",E2555)),IFERROR(-VALUE(LEFT(E2555,FIND("º",SUBSTITUTE(E2555,"°","º"))-1)),-1),IF(LEFT(E2555,6)="TÉRREO",0,IFERROR(VALUE(LEFT(E2555,FIND("º",SUBSTITUTE(E2555,"°","º"))-1)),""))))</f>
        <v>3</v>
      </c>
      <c r="O2555" s="2" t="str">
        <f aca="false">IF(OR(F2555="",G2555=""),"",IF(G2555&lt;='RETRATO 2027'!$K$5,"CONCLUÍDA",IF(F2555&lt;='RETRATO 2027'!$K$5,"EM ANDAMENTO","A INICIAR")))</f>
        <v>CONCLUÍDA</v>
      </c>
    </row>
    <row r="2556" customFormat="false" ht="15" hidden="false" customHeight="false" outlineLevel="0" collapsed="false">
      <c r="B2556" s="4" t="n">
        <v>26744425</v>
      </c>
      <c r="C2556" s="4" t="s">
        <v>2808</v>
      </c>
      <c r="D2556" s="4" t="s">
        <v>433</v>
      </c>
      <c r="E2556" s="4" t="s">
        <v>3796</v>
      </c>
      <c r="F2556" s="127" t="n">
        <v>46540</v>
      </c>
      <c r="G2556" s="127" t="n">
        <v>46569</v>
      </c>
      <c r="H2556" s="127" t="n">
        <v>46293</v>
      </c>
      <c r="I2556" s="4" t="n">
        <v>0</v>
      </c>
      <c r="J2556" s="4" t="n">
        <v>0</v>
      </c>
      <c r="K2556" s="4" t="n">
        <v>0</v>
      </c>
      <c r="M2556" s="2" t="str">
        <f aca="false">IF(C2556="","",IFERROR(INDEX($S$5:$S$304,MATCH(C2556,$R$5:$R$304,0))&amp;"","?"))</f>
        <v>29</v>
      </c>
      <c r="N2556" s="2" t="n">
        <f aca="false">IF(E2556="","",IF(ISNUMBER(SEARCH("SUBSOLO",E2556)),IFERROR(-VALUE(LEFT(E2556,FIND("º",SUBSTITUTE(E2556,"°","º"))-1)),-1),IF(LEFT(E2556,6)="TÉRREO",0,IFERROR(VALUE(LEFT(E2556,FIND("º",SUBSTITUTE(E2556,"°","º"))-1)),""))))</f>
        <v>3</v>
      </c>
      <c r="O2556" s="2" t="str">
        <f aca="false">IF(OR(F2556="",G2556=""),"",IF(G2556&lt;='RETRATO 2027'!$K$5,"CONCLUÍDA",IF(F2556&lt;='RETRATO 2027'!$K$5,"EM ANDAMENTO","A INICIAR")))</f>
        <v>CONCLUÍDA</v>
      </c>
    </row>
    <row r="2557" customFormat="false" ht="15" hidden="false" customHeight="false" outlineLevel="0" collapsed="false">
      <c r="B2557" s="4" t="n">
        <v>26744391</v>
      </c>
      <c r="C2557" s="4" t="s">
        <v>2814</v>
      </c>
      <c r="D2557" s="4" t="s">
        <v>433</v>
      </c>
      <c r="E2557" s="4" t="s">
        <v>3780</v>
      </c>
      <c r="F2557" s="127" t="n">
        <v>46540</v>
      </c>
      <c r="G2557" s="127" t="n">
        <v>46569</v>
      </c>
      <c r="H2557" s="127" t="n">
        <v>46293</v>
      </c>
      <c r="I2557" s="4" t="n">
        <v>0</v>
      </c>
      <c r="J2557" s="4" t="n">
        <v>0</v>
      </c>
      <c r="K2557" s="4" t="n">
        <v>0</v>
      </c>
      <c r="M2557" s="2" t="str">
        <f aca="false">IF(C2557="","",IFERROR(INDEX($S$5:$S$304,MATCH(C2557,$R$5:$R$304,0))&amp;"","?"))</f>
        <v>28</v>
      </c>
      <c r="N2557" s="2" t="n">
        <f aca="false">IF(E2557="","",IF(ISNUMBER(SEARCH("SUBSOLO",E2557)),IFERROR(-VALUE(LEFT(E2557,FIND("º",SUBSTITUTE(E2557,"°","º"))-1)),-1),IF(LEFT(E2557,6)="TÉRREO",0,IFERROR(VALUE(LEFT(E2557,FIND("º",SUBSTITUTE(E2557,"°","º"))-1)),""))))</f>
        <v>3</v>
      </c>
      <c r="O2557" s="2" t="str">
        <f aca="false">IF(OR(F2557="",G2557=""),"",IF(G2557&lt;='RETRATO 2027'!$K$5,"CONCLUÍDA",IF(F2557&lt;='RETRATO 2027'!$K$5,"EM ANDAMENTO","A INICIAR")))</f>
        <v>CONCLUÍDA</v>
      </c>
    </row>
    <row r="2558" customFormat="false" ht="15" hidden="false" customHeight="false" outlineLevel="0" collapsed="false">
      <c r="B2558" s="4" t="n">
        <v>26743118</v>
      </c>
      <c r="C2558" s="4" t="s">
        <v>2814</v>
      </c>
      <c r="D2558" s="4" t="s">
        <v>433</v>
      </c>
      <c r="E2558" s="4" t="s">
        <v>3776</v>
      </c>
      <c r="F2558" s="127" t="n">
        <v>46540</v>
      </c>
      <c r="G2558" s="127" t="n">
        <v>46547</v>
      </c>
      <c r="H2558" s="127" t="n">
        <v>46293</v>
      </c>
      <c r="I2558" s="4" t="n">
        <v>0</v>
      </c>
      <c r="J2558" s="4" t="n">
        <v>0</v>
      </c>
      <c r="K2558" s="4" t="n">
        <v>0</v>
      </c>
      <c r="M2558" s="2" t="str">
        <f aca="false">IF(C2558="","",IFERROR(INDEX($S$5:$S$304,MATCH(C2558,$R$5:$R$304,0))&amp;"","?"))</f>
        <v>28</v>
      </c>
      <c r="N2558" s="2" t="n">
        <f aca="false">IF(E2558="","",IF(ISNUMBER(SEARCH("SUBSOLO",E2558)),IFERROR(-VALUE(LEFT(E2558,FIND("º",SUBSTITUTE(E2558,"°","º"))-1)),-1),IF(LEFT(E2558,6)="TÉRREO",0,IFERROR(VALUE(LEFT(E2558,FIND("º",SUBSTITUTE(E2558,"°","º"))-1)),""))))</f>
        <v>18</v>
      </c>
      <c r="O2558" s="2" t="str">
        <f aca="false">IF(OR(F2558="",G2558=""),"",IF(G2558&lt;='RETRATO 2027'!$K$5,"CONCLUÍDA",IF(F2558&lt;='RETRATO 2027'!$K$5,"EM ANDAMENTO","A INICIAR")))</f>
        <v>CONCLUÍDA</v>
      </c>
    </row>
    <row r="2559" customFormat="false" ht="15" hidden="false" customHeight="false" outlineLevel="0" collapsed="false">
      <c r="B2559" s="4" t="n">
        <v>26743087</v>
      </c>
      <c r="C2559" s="4" t="s">
        <v>2914</v>
      </c>
      <c r="D2559" s="4" t="s">
        <v>433</v>
      </c>
      <c r="E2559" s="4" t="s">
        <v>3779</v>
      </c>
      <c r="F2559" s="127" t="n">
        <v>46540</v>
      </c>
      <c r="G2559" s="127" t="n">
        <v>46549</v>
      </c>
      <c r="H2559" s="127" t="n">
        <v>46293</v>
      </c>
      <c r="I2559" s="4" t="n">
        <v>0</v>
      </c>
      <c r="J2559" s="4" t="n">
        <v>0</v>
      </c>
      <c r="K2559" s="4" t="n">
        <v>0</v>
      </c>
      <c r="M2559" s="2" t="str">
        <f aca="false">IF(C2559="","",IFERROR(INDEX($S$5:$S$304,MATCH(C2559,$R$5:$R$304,0))&amp;"","?"))</f>
        <v>21</v>
      </c>
      <c r="N2559" s="2" t="n">
        <f aca="false">IF(E2559="","",IF(ISNUMBER(SEARCH("SUBSOLO",E2559)),IFERROR(-VALUE(LEFT(E2559,FIND("º",SUBSTITUTE(E2559,"°","º"))-1)),-1),IF(LEFT(E2559,6)="TÉRREO",0,IFERROR(VALUE(LEFT(E2559,FIND("º",SUBSTITUTE(E2559,"°","º"))-1)),""))))</f>
        <v>19</v>
      </c>
      <c r="O2559" s="2" t="str">
        <f aca="false">IF(OR(F2559="",G2559=""),"",IF(G2559&lt;='RETRATO 2027'!$K$5,"CONCLUÍDA",IF(F2559&lt;='RETRATO 2027'!$K$5,"EM ANDAMENTO","A INICIAR")))</f>
        <v>CONCLUÍDA</v>
      </c>
    </row>
    <row r="2560" customFormat="false" ht="15" hidden="false" customHeight="false" outlineLevel="0" collapsed="false">
      <c r="B2560" s="4" t="n">
        <v>26743043</v>
      </c>
      <c r="C2560" s="4" t="s">
        <v>2808</v>
      </c>
      <c r="D2560" s="4" t="s">
        <v>433</v>
      </c>
      <c r="E2560" s="4" t="s">
        <v>3781</v>
      </c>
      <c r="F2560" s="127" t="n">
        <v>46540</v>
      </c>
      <c r="G2560" s="127" t="n">
        <v>46549</v>
      </c>
      <c r="H2560" s="127" t="n">
        <v>46293</v>
      </c>
      <c r="I2560" s="4" t="n">
        <v>0</v>
      </c>
      <c r="J2560" s="4" t="n">
        <v>0</v>
      </c>
      <c r="K2560" s="4" t="n">
        <v>0</v>
      </c>
      <c r="M2560" s="2" t="str">
        <f aca="false">IF(C2560="","",IFERROR(INDEX($S$5:$S$304,MATCH(C2560,$R$5:$R$304,0))&amp;"","?"))</f>
        <v>29</v>
      </c>
      <c r="N2560" s="2" t="n">
        <f aca="false">IF(E2560="","",IF(ISNUMBER(SEARCH("SUBSOLO",E2560)),IFERROR(-VALUE(LEFT(E2560,FIND("º",SUBSTITUTE(E2560,"°","º"))-1)),-1),IF(LEFT(E2560,6)="TÉRREO",0,IFERROR(VALUE(LEFT(E2560,FIND("º",SUBSTITUTE(E2560,"°","º"))-1)),""))))</f>
        <v>20</v>
      </c>
      <c r="O2560" s="2" t="str">
        <f aca="false">IF(OR(F2560="",G2560=""),"",IF(G2560&lt;='RETRATO 2027'!$K$5,"CONCLUÍDA",IF(F2560&lt;='RETRATO 2027'!$K$5,"EM ANDAMENTO","A INICIAR")))</f>
        <v>CONCLUÍDA</v>
      </c>
    </row>
    <row r="2561" customFormat="false" ht="15" hidden="false" customHeight="false" outlineLevel="0" collapsed="false">
      <c r="B2561" s="4" t="n">
        <v>26743005</v>
      </c>
      <c r="C2561" s="4" t="s">
        <v>2910</v>
      </c>
      <c r="D2561" s="4" t="s">
        <v>433</v>
      </c>
      <c r="E2561" s="4" t="s">
        <v>3783</v>
      </c>
      <c r="F2561" s="127" t="n">
        <v>46540</v>
      </c>
      <c r="G2561" s="127" t="n">
        <v>46549</v>
      </c>
      <c r="H2561" s="127" t="n">
        <v>46293</v>
      </c>
      <c r="I2561" s="4" t="n">
        <v>0</v>
      </c>
      <c r="J2561" s="4" t="n">
        <v>0</v>
      </c>
      <c r="K2561" s="4" t="n">
        <v>0</v>
      </c>
      <c r="M2561" s="2" t="str">
        <f aca="false">IF(C2561="","",IFERROR(INDEX($S$5:$S$304,MATCH(C2561,$R$5:$R$304,0))&amp;"","?"))</f>
        <v>25</v>
      </c>
      <c r="N2561" s="2" t="n">
        <f aca="false">IF(E2561="","",IF(ISNUMBER(SEARCH("SUBSOLO",E2561)),IFERROR(-VALUE(LEFT(E2561,FIND("º",SUBSTITUTE(E2561,"°","º"))-1)),-1),IF(LEFT(E2561,6)="TÉRREO",0,IFERROR(VALUE(LEFT(E2561,FIND("º",SUBSTITUTE(E2561,"°","º"))-1)),""))))</f>
        <v>21</v>
      </c>
      <c r="O2561" s="2" t="str">
        <f aca="false">IF(OR(F2561="",G2561=""),"",IF(G2561&lt;='RETRATO 2027'!$K$5,"CONCLUÍDA",IF(F2561&lt;='RETRATO 2027'!$K$5,"EM ANDAMENTO","A INICIAR")))</f>
        <v>CONCLUÍDA</v>
      </c>
    </row>
    <row r="2562" customFormat="false" ht="15" hidden="false" customHeight="false" outlineLevel="0" collapsed="false">
      <c r="B2562" s="4" t="n">
        <v>26742989</v>
      </c>
      <c r="C2562" s="4" t="s">
        <v>2896</v>
      </c>
      <c r="D2562" s="4" t="s">
        <v>433</v>
      </c>
      <c r="E2562" s="4" t="s">
        <v>3786</v>
      </c>
      <c r="F2562" s="127" t="n">
        <v>46541</v>
      </c>
      <c r="G2562" s="127" t="n">
        <v>46552</v>
      </c>
      <c r="H2562" s="127" t="n">
        <v>46293</v>
      </c>
      <c r="I2562" s="4" t="n">
        <v>0</v>
      </c>
      <c r="J2562" s="4" t="n">
        <v>0</v>
      </c>
      <c r="K2562" s="4" t="n">
        <v>0</v>
      </c>
      <c r="M2562" s="2" t="str">
        <f aca="false">IF(C2562="","",IFERROR(INDEX($S$5:$S$304,MATCH(C2562,$R$5:$R$304,0))&amp;"","?"))</f>
        <v>20</v>
      </c>
      <c r="N2562" s="2" t="n">
        <f aca="false">IF(E2562="","",IF(ISNUMBER(SEARCH("SUBSOLO",E2562)),IFERROR(-VALUE(LEFT(E2562,FIND("º",SUBSTITUTE(E2562,"°","º"))-1)),-1),IF(LEFT(E2562,6)="TÉRREO",0,IFERROR(VALUE(LEFT(E2562,FIND("º",SUBSTITUTE(E2562,"°","º"))-1)),""))))</f>
        <v>22</v>
      </c>
      <c r="O2562" s="2" t="str">
        <f aca="false">IF(OR(F2562="",G2562=""),"",IF(G2562&lt;='RETRATO 2027'!$K$5,"CONCLUÍDA",IF(F2562&lt;='RETRATO 2027'!$K$5,"EM ANDAMENTO","A INICIAR")))</f>
        <v>CONCLUÍDA</v>
      </c>
    </row>
    <row r="2563" customFormat="false" ht="15" hidden="false" customHeight="false" outlineLevel="0" collapsed="false">
      <c r="B2563" s="4" t="n">
        <v>29844476</v>
      </c>
      <c r="C2563" s="4" t="s">
        <v>2898</v>
      </c>
      <c r="D2563" s="4" t="s">
        <v>433</v>
      </c>
      <c r="E2563" s="4" t="s">
        <v>3786</v>
      </c>
      <c r="F2563" s="127" t="n">
        <v>46541</v>
      </c>
      <c r="G2563" s="127" t="n">
        <v>46549</v>
      </c>
      <c r="H2563" s="127" t="n">
        <v>46293</v>
      </c>
      <c r="I2563" s="4" t="n">
        <v>0</v>
      </c>
      <c r="J2563" s="4" t="n">
        <v>0</v>
      </c>
      <c r="K2563" s="4" t="n">
        <v>0</v>
      </c>
      <c r="M2563" s="2" t="str">
        <f aca="false">IF(C2563="","",IFERROR(INDEX($S$5:$S$304,MATCH(C2563,$R$5:$R$304,0))&amp;"","?"))</f>
        <v>29</v>
      </c>
      <c r="N2563" s="2" t="n">
        <f aca="false">IF(E2563="","",IF(ISNUMBER(SEARCH("SUBSOLO",E2563)),IFERROR(-VALUE(LEFT(E2563,FIND("º",SUBSTITUTE(E2563,"°","º"))-1)),-1),IF(LEFT(E2563,6)="TÉRREO",0,IFERROR(VALUE(LEFT(E2563,FIND("º",SUBSTITUTE(E2563,"°","º"))-1)),""))))</f>
        <v>22</v>
      </c>
      <c r="O2563" s="2" t="str">
        <f aca="false">IF(OR(F2563="",G2563=""),"",IF(G2563&lt;='RETRATO 2027'!$K$5,"CONCLUÍDA",IF(F2563&lt;='RETRATO 2027'!$K$5,"EM ANDAMENTO","A INICIAR")))</f>
        <v>CONCLUÍDA</v>
      </c>
    </row>
    <row r="2564" customFormat="false" ht="15" hidden="false" customHeight="false" outlineLevel="0" collapsed="false">
      <c r="B2564" s="4" t="n">
        <v>26742945</v>
      </c>
      <c r="C2564" s="4" t="s">
        <v>2886</v>
      </c>
      <c r="D2564" s="4" t="s">
        <v>433</v>
      </c>
      <c r="E2564" s="4" t="s">
        <v>3787</v>
      </c>
      <c r="F2564" s="127" t="n">
        <v>46541</v>
      </c>
      <c r="G2564" s="127" t="n">
        <v>46552</v>
      </c>
      <c r="H2564" s="127" t="n">
        <v>46293</v>
      </c>
      <c r="I2564" s="4" t="n">
        <v>0</v>
      </c>
      <c r="J2564" s="4" t="n">
        <v>0</v>
      </c>
      <c r="K2564" s="4" t="n">
        <v>0</v>
      </c>
      <c r="M2564" s="2" t="str">
        <f aca="false">IF(C2564="","",IFERROR(INDEX($S$5:$S$304,MATCH(C2564,$R$5:$R$304,0))&amp;"","?"))</f>
        <v>21</v>
      </c>
      <c r="N2564" s="2" t="n">
        <f aca="false">IF(E2564="","",IF(ISNUMBER(SEARCH("SUBSOLO",E2564)),IFERROR(-VALUE(LEFT(E2564,FIND("º",SUBSTITUTE(E2564,"°","º"))-1)),-1),IF(LEFT(E2564,6)="TÉRREO",0,IFERROR(VALUE(LEFT(E2564,FIND("º",SUBSTITUTE(E2564,"°","º"))-1)),""))))</f>
        <v>23</v>
      </c>
      <c r="O2564" s="2" t="str">
        <f aca="false">IF(OR(F2564="",G2564=""),"",IF(G2564&lt;='RETRATO 2027'!$K$5,"CONCLUÍDA",IF(F2564&lt;='RETRATO 2027'!$K$5,"EM ANDAMENTO","A INICIAR")))</f>
        <v>CONCLUÍDA</v>
      </c>
    </row>
    <row r="2565" customFormat="false" ht="15" hidden="false" customHeight="false" outlineLevel="0" collapsed="false">
      <c r="B2565" s="4" t="n">
        <v>29844652</v>
      </c>
      <c r="C2565" s="4" t="s">
        <v>2888</v>
      </c>
      <c r="D2565" s="4" t="s">
        <v>433</v>
      </c>
      <c r="E2565" s="4" t="s">
        <v>3787</v>
      </c>
      <c r="F2565" s="127" t="n">
        <v>46541</v>
      </c>
      <c r="G2565" s="127" t="n">
        <v>46552</v>
      </c>
      <c r="H2565" s="127" t="n">
        <v>46293</v>
      </c>
      <c r="I2565" s="4" t="n">
        <v>0</v>
      </c>
      <c r="J2565" s="4" t="n">
        <v>0</v>
      </c>
      <c r="K2565" s="4" t="n">
        <v>0</v>
      </c>
      <c r="M2565" s="2" t="str">
        <f aca="false">IF(C2565="","",IFERROR(INDEX($S$5:$S$304,MATCH(C2565,$R$5:$R$304,0))&amp;"","?"))</f>
        <v>20</v>
      </c>
      <c r="N2565" s="2" t="n">
        <f aca="false">IF(E2565="","",IF(ISNUMBER(SEARCH("SUBSOLO",E2565)),IFERROR(-VALUE(LEFT(E2565,FIND("º",SUBSTITUTE(E2565,"°","º"))-1)),-1),IF(LEFT(E2565,6)="TÉRREO",0,IFERROR(VALUE(LEFT(E2565,FIND("º",SUBSTITUTE(E2565,"°","º"))-1)),""))))</f>
        <v>23</v>
      </c>
      <c r="O2565" s="2" t="str">
        <f aca="false">IF(OR(F2565="",G2565=""),"",IF(G2565&lt;='RETRATO 2027'!$K$5,"CONCLUÍDA",IF(F2565&lt;='RETRATO 2027'!$K$5,"EM ANDAMENTO","A INICIAR")))</f>
        <v>CONCLUÍDA</v>
      </c>
    </row>
    <row r="2566" customFormat="false" ht="15" hidden="false" customHeight="false" outlineLevel="0" collapsed="false">
      <c r="B2566" s="4" t="n">
        <v>26744773</v>
      </c>
      <c r="C2566" s="4" t="s">
        <v>2910</v>
      </c>
      <c r="D2566" s="4" t="s">
        <v>433</v>
      </c>
      <c r="E2566" s="4" t="s">
        <v>3784</v>
      </c>
      <c r="F2566" s="127" t="n">
        <v>46542</v>
      </c>
      <c r="G2566" s="127" t="n">
        <v>46562</v>
      </c>
      <c r="H2566" s="127" t="n">
        <v>46293</v>
      </c>
      <c r="I2566" s="4" t="n">
        <v>0</v>
      </c>
      <c r="J2566" s="4" t="n">
        <v>0</v>
      </c>
      <c r="K2566" s="4" t="n">
        <v>0</v>
      </c>
      <c r="M2566" s="2" t="str">
        <f aca="false">IF(C2566="","",IFERROR(INDEX($S$5:$S$304,MATCH(C2566,$R$5:$R$304,0))&amp;"","?"))</f>
        <v>25</v>
      </c>
      <c r="N2566" s="2" t="n">
        <f aca="false">IF(E2566="","",IF(ISNUMBER(SEARCH("SUBSOLO",E2566)),IFERROR(-VALUE(LEFT(E2566,FIND("º",SUBSTITUTE(E2566,"°","º"))-1)),-1),IF(LEFT(E2566,6)="TÉRREO",0,IFERROR(VALUE(LEFT(E2566,FIND("º",SUBSTITUTE(E2566,"°","º"))-1)),""))))</f>
        <v>3</v>
      </c>
      <c r="O2566" s="2" t="str">
        <f aca="false">IF(OR(F2566="",G2566=""),"",IF(G2566&lt;='RETRATO 2027'!$K$5,"CONCLUÍDA",IF(F2566&lt;='RETRATO 2027'!$K$5,"EM ANDAMENTO","A INICIAR")))</f>
        <v>CONCLUÍDA</v>
      </c>
    </row>
    <row r="2567" customFormat="false" ht="15" hidden="false" customHeight="false" outlineLevel="0" collapsed="false">
      <c r="B2567" s="4" t="n">
        <v>26743533</v>
      </c>
      <c r="C2567" s="4" t="s">
        <v>2997</v>
      </c>
      <c r="D2567" s="4" t="s">
        <v>433</v>
      </c>
      <c r="E2567" s="4" t="s">
        <v>3686</v>
      </c>
      <c r="F2567" s="127" t="n">
        <v>46545</v>
      </c>
      <c r="G2567" s="127" t="n">
        <v>46554</v>
      </c>
      <c r="H2567" s="127" t="n">
        <v>46293</v>
      </c>
      <c r="I2567" s="4" t="n">
        <v>0</v>
      </c>
      <c r="J2567" s="4" t="n">
        <v>0</v>
      </c>
      <c r="K2567" s="4" t="n">
        <v>0</v>
      </c>
      <c r="M2567" s="2" t="str">
        <f aca="false">IF(C2567="","",IFERROR(INDEX($S$5:$S$304,MATCH(C2567,$R$5:$R$304,0))&amp;"","?"))</f>
        <v>35</v>
      </c>
      <c r="N2567" s="2" t="n">
        <f aca="false">IF(E2567="","",IF(ISNUMBER(SEARCH("SUBSOLO",E2567)),IFERROR(-VALUE(LEFT(E2567,FIND("º",SUBSTITUTE(E2567,"°","º"))-1)),-1),IF(LEFT(E2567,6)="TÉRREO",0,IFERROR(VALUE(LEFT(E2567,FIND("º",SUBSTITUTE(E2567,"°","º"))-1)),""))))</f>
        <v>7</v>
      </c>
      <c r="O2567" s="2" t="str">
        <f aca="false">IF(OR(F2567="",G2567=""),"",IF(G2567&lt;='RETRATO 2027'!$K$5,"CONCLUÍDA",IF(F2567&lt;='RETRATO 2027'!$K$5,"EM ANDAMENTO","A INICIAR")))</f>
        <v>CONCLUÍDA</v>
      </c>
    </row>
    <row r="2568" customFormat="false" ht="15" hidden="false" customHeight="false" outlineLevel="0" collapsed="false">
      <c r="B2568" s="4" t="n">
        <v>26743495</v>
      </c>
      <c r="C2568" s="4" t="s">
        <v>2980</v>
      </c>
      <c r="D2568" s="4" t="s">
        <v>433</v>
      </c>
      <c r="E2568" s="4" t="s">
        <v>3706</v>
      </c>
      <c r="F2568" s="127" t="n">
        <v>46545</v>
      </c>
      <c r="G2568" s="127" t="n">
        <v>46554</v>
      </c>
      <c r="H2568" s="127" t="n">
        <v>46293</v>
      </c>
      <c r="I2568" s="4" t="n">
        <v>0</v>
      </c>
      <c r="J2568" s="4" t="n">
        <v>0</v>
      </c>
      <c r="K2568" s="4" t="n">
        <v>0</v>
      </c>
      <c r="M2568" s="2" t="str">
        <f aca="false">IF(C2568="","",IFERROR(INDEX($S$5:$S$304,MATCH(C2568,$R$5:$R$304,0))&amp;"","?"))</f>
        <v>35</v>
      </c>
      <c r="N2568" s="2" t="n">
        <f aca="false">IF(E2568="","",IF(ISNUMBER(SEARCH("SUBSOLO",E2568)),IFERROR(-VALUE(LEFT(E2568,FIND("º",SUBSTITUTE(E2568,"°","º"))-1)),-1),IF(LEFT(E2568,6)="TÉRREO",0,IFERROR(VALUE(LEFT(E2568,FIND("º",SUBSTITUTE(E2568,"°","º"))-1)),""))))</f>
        <v>8</v>
      </c>
      <c r="O2568" s="2" t="str">
        <f aca="false">IF(OR(F2568="",G2568=""),"",IF(G2568&lt;='RETRATO 2027'!$K$5,"CONCLUÍDA",IF(F2568&lt;='RETRATO 2027'!$K$5,"EM ANDAMENTO","A INICIAR")))</f>
        <v>CONCLUÍDA</v>
      </c>
    </row>
    <row r="2569" customFormat="false" ht="15" hidden="false" customHeight="false" outlineLevel="0" collapsed="false">
      <c r="B2569" s="4" t="n">
        <v>26743465</v>
      </c>
      <c r="C2569" s="4" t="s">
        <v>208</v>
      </c>
      <c r="D2569" s="4" t="s">
        <v>433</v>
      </c>
      <c r="E2569" s="4" t="s">
        <v>3716</v>
      </c>
      <c r="F2569" s="127" t="n">
        <v>46545</v>
      </c>
      <c r="G2569" s="127" t="n">
        <v>46554</v>
      </c>
      <c r="H2569" s="127" t="n">
        <v>46293</v>
      </c>
      <c r="I2569" s="4" t="n">
        <v>0</v>
      </c>
      <c r="J2569" s="4" t="n">
        <v>0</v>
      </c>
      <c r="K2569" s="4" t="n">
        <v>0</v>
      </c>
      <c r="M2569" s="2" t="str">
        <f aca="false">IF(C2569="","",IFERROR(INDEX($S$5:$S$304,MATCH(C2569,$R$5:$R$304,0))&amp;"","?"))</f>
        <v>33</v>
      </c>
      <c r="N2569" s="2" t="n">
        <f aca="false">IF(E2569="","",IF(ISNUMBER(SEARCH("SUBSOLO",E2569)),IFERROR(-VALUE(LEFT(E2569,FIND("º",SUBSTITUTE(E2569,"°","º"))-1)),-1),IF(LEFT(E2569,6)="TÉRREO",0,IFERROR(VALUE(LEFT(E2569,FIND("º",SUBSTITUTE(E2569,"°","º"))-1)),""))))</f>
        <v>9</v>
      </c>
      <c r="O2569" s="2" t="str">
        <f aca="false">IF(OR(F2569="",G2569=""),"",IF(G2569&lt;='RETRATO 2027'!$K$5,"CONCLUÍDA",IF(F2569&lt;='RETRATO 2027'!$K$5,"EM ANDAMENTO","A INICIAR")))</f>
        <v>CONCLUÍDA</v>
      </c>
    </row>
    <row r="2570" customFormat="false" ht="15" hidden="false" customHeight="false" outlineLevel="0" collapsed="false">
      <c r="B2570" s="4" t="n">
        <v>29844391</v>
      </c>
      <c r="C2570" s="4" t="s">
        <v>2890</v>
      </c>
      <c r="D2570" s="4" t="s">
        <v>433</v>
      </c>
      <c r="E2570" s="4" t="s">
        <v>3787</v>
      </c>
      <c r="F2570" s="127" t="n">
        <v>46545</v>
      </c>
      <c r="G2570" s="127" t="n">
        <v>46554</v>
      </c>
      <c r="H2570" s="127" t="n">
        <v>46293</v>
      </c>
      <c r="I2570" s="4" t="n">
        <v>0</v>
      </c>
      <c r="J2570" s="4" t="n">
        <v>0</v>
      </c>
      <c r="K2570" s="4" t="n">
        <v>0</v>
      </c>
      <c r="M2570" s="2" t="str">
        <f aca="false">IF(C2570="","",IFERROR(INDEX($S$5:$S$304,MATCH(C2570,$R$5:$R$304,0))&amp;"","?"))</f>
        <v>18</v>
      </c>
      <c r="N2570" s="2" t="n">
        <f aca="false">IF(E2570="","",IF(ISNUMBER(SEARCH("SUBSOLO",E2570)),IFERROR(-VALUE(LEFT(E2570,FIND("º",SUBSTITUTE(E2570,"°","º"))-1)),-1),IF(LEFT(E2570,6)="TÉRREO",0,IFERROR(VALUE(LEFT(E2570,FIND("º",SUBSTITUTE(E2570,"°","º"))-1)),""))))</f>
        <v>23</v>
      </c>
      <c r="O2570" s="2" t="str">
        <f aca="false">IF(OR(F2570="",G2570=""),"",IF(G2570&lt;='RETRATO 2027'!$K$5,"CONCLUÍDA",IF(F2570&lt;='RETRATO 2027'!$K$5,"EM ANDAMENTO","A INICIAR")))</f>
        <v>CONCLUÍDA</v>
      </c>
    </row>
    <row r="2571" customFormat="false" ht="15" hidden="false" customHeight="false" outlineLevel="0" collapsed="false">
      <c r="B2571" s="4" t="n">
        <v>26714091</v>
      </c>
      <c r="C2571" s="4" t="s">
        <v>2900</v>
      </c>
      <c r="D2571" s="4" t="s">
        <v>433</v>
      </c>
      <c r="E2571" s="4" t="s">
        <v>3777</v>
      </c>
      <c r="F2571" s="127" t="n">
        <v>46546</v>
      </c>
      <c r="G2571" s="127" t="n">
        <v>46566</v>
      </c>
      <c r="H2571" s="127" t="n">
        <v>46293</v>
      </c>
      <c r="I2571" s="4" t="n">
        <v>0</v>
      </c>
      <c r="J2571" s="4" t="n">
        <v>0</v>
      </c>
      <c r="K2571" s="4" t="n">
        <v>0</v>
      </c>
      <c r="M2571" s="2" t="str">
        <f aca="false">IF(C2571="","",IFERROR(INDEX($S$5:$S$304,MATCH(C2571,$R$5:$R$304,0))&amp;"","?"))</f>
        <v>22</v>
      </c>
      <c r="N2571" s="2" t="n">
        <f aca="false">IF(E2571="","",IF(ISNUMBER(SEARCH("SUBSOLO",E2571)),IFERROR(-VALUE(LEFT(E2571,FIND("º",SUBSTITUTE(E2571,"°","º"))-1)),-1),IF(LEFT(E2571,6)="TÉRREO",0,IFERROR(VALUE(LEFT(E2571,FIND("º",SUBSTITUTE(E2571,"°","º"))-1)),""))))</f>
        <v>1</v>
      </c>
      <c r="O2571" s="2" t="str">
        <f aca="false">IF(OR(F2571="",G2571=""),"",IF(G2571&lt;='RETRATO 2027'!$K$5,"CONCLUÍDA",IF(F2571&lt;='RETRATO 2027'!$K$5,"EM ANDAMENTO","A INICIAR")))</f>
        <v>CONCLUÍDA</v>
      </c>
    </row>
    <row r="2572" customFormat="false" ht="15" hidden="false" customHeight="false" outlineLevel="0" collapsed="false">
      <c r="B2572" s="4" t="n">
        <v>26707662</v>
      </c>
      <c r="C2572" s="4" t="s">
        <v>2928</v>
      </c>
      <c r="D2572" s="4" t="s">
        <v>433</v>
      </c>
      <c r="E2572" s="4" t="s">
        <v>3777</v>
      </c>
      <c r="F2572" s="127" t="n">
        <v>46546</v>
      </c>
      <c r="G2572" s="127" t="n">
        <v>46566</v>
      </c>
      <c r="H2572" s="127" t="n">
        <v>46293</v>
      </c>
      <c r="I2572" s="4" t="n">
        <v>0</v>
      </c>
      <c r="J2572" s="4" t="n">
        <v>0</v>
      </c>
      <c r="K2572" s="4" t="n">
        <v>0</v>
      </c>
      <c r="M2572" s="2" t="str">
        <f aca="false">IF(C2572="","",IFERROR(INDEX($S$5:$S$304,MATCH(C2572,$R$5:$R$304,0))&amp;"","?"))</f>
        <v>23</v>
      </c>
      <c r="N2572" s="2" t="n">
        <f aca="false">IF(E2572="","",IF(ISNUMBER(SEARCH("SUBSOLO",E2572)),IFERROR(-VALUE(LEFT(E2572,FIND("º",SUBSTITUTE(E2572,"°","º"))-1)),-1),IF(LEFT(E2572,6)="TÉRREO",0,IFERROR(VALUE(LEFT(E2572,FIND("º",SUBSTITUTE(E2572,"°","º"))-1)),""))))</f>
        <v>1</v>
      </c>
      <c r="O2572" s="2" t="str">
        <f aca="false">IF(OR(F2572="",G2572=""),"",IF(G2572&lt;='RETRATO 2027'!$K$5,"CONCLUÍDA",IF(F2572&lt;='RETRATO 2027'!$K$5,"EM ANDAMENTO","A INICIAR")))</f>
        <v>CONCLUÍDA</v>
      </c>
    </row>
    <row r="2573" customFormat="false" ht="15" hidden="false" customHeight="false" outlineLevel="0" collapsed="false">
      <c r="B2573" s="4" t="n">
        <v>26707660</v>
      </c>
      <c r="C2573" s="4" t="s">
        <v>2989</v>
      </c>
      <c r="D2573" s="4" t="s">
        <v>433</v>
      </c>
      <c r="E2573" s="4" t="s">
        <v>3777</v>
      </c>
      <c r="F2573" s="127" t="n">
        <v>46546</v>
      </c>
      <c r="G2573" s="127" t="n">
        <v>46566</v>
      </c>
      <c r="H2573" s="127" t="n">
        <v>46293</v>
      </c>
      <c r="I2573" s="4" t="n">
        <v>0</v>
      </c>
      <c r="J2573" s="4" t="n">
        <v>0</v>
      </c>
      <c r="K2573" s="4" t="n">
        <v>0</v>
      </c>
      <c r="M2573" s="2" t="str">
        <f aca="false">IF(C2573="","",IFERROR(INDEX($S$5:$S$304,MATCH(C2573,$R$5:$R$304,0))&amp;"","?"))</f>
        <v>23</v>
      </c>
      <c r="N2573" s="2" t="n">
        <f aca="false">IF(E2573="","",IF(ISNUMBER(SEARCH("SUBSOLO",E2573)),IFERROR(-VALUE(LEFT(E2573,FIND("º",SUBSTITUTE(E2573,"°","º"))-1)),-1),IF(LEFT(E2573,6)="TÉRREO",0,IFERROR(VALUE(LEFT(E2573,FIND("º",SUBSTITUTE(E2573,"°","º"))-1)),""))))</f>
        <v>1</v>
      </c>
      <c r="O2573" s="2" t="str">
        <f aca="false">IF(OR(F2573="",G2573=""),"",IF(G2573&lt;='RETRATO 2027'!$K$5,"CONCLUÍDA",IF(F2573&lt;='RETRATO 2027'!$K$5,"EM ANDAMENTO","A INICIAR")))</f>
        <v>CONCLUÍDA</v>
      </c>
    </row>
    <row r="2574" customFormat="false" ht="15" hidden="false" customHeight="false" outlineLevel="0" collapsed="false">
      <c r="B2574" s="4" t="n">
        <v>26707661</v>
      </c>
      <c r="C2574" s="4" t="s">
        <v>2791</v>
      </c>
      <c r="D2574" s="4" t="s">
        <v>433</v>
      </c>
      <c r="E2574" s="4" t="s">
        <v>3777</v>
      </c>
      <c r="F2574" s="127" t="n">
        <v>46546</v>
      </c>
      <c r="G2574" s="127" t="n">
        <v>46566</v>
      </c>
      <c r="H2574" s="127" t="n">
        <v>46293</v>
      </c>
      <c r="I2574" s="4" t="n">
        <v>0</v>
      </c>
      <c r="J2574" s="4" t="n">
        <v>0</v>
      </c>
      <c r="K2574" s="4" t="n">
        <v>0</v>
      </c>
      <c r="M2574" s="2" t="str">
        <f aca="false">IF(C2574="","",IFERROR(INDEX($S$5:$S$304,MATCH(C2574,$R$5:$R$304,0))&amp;"","?"))</f>
        <v>21</v>
      </c>
      <c r="N2574" s="2" t="n">
        <f aca="false">IF(E2574="","",IF(ISNUMBER(SEARCH("SUBSOLO",E2574)),IFERROR(-VALUE(LEFT(E2574,FIND("º",SUBSTITUTE(E2574,"°","º"))-1)),-1),IF(LEFT(E2574,6)="TÉRREO",0,IFERROR(VALUE(LEFT(E2574,FIND("º",SUBSTITUTE(E2574,"°","º"))-1)),""))))</f>
        <v>1</v>
      </c>
      <c r="O2574" s="2" t="str">
        <f aca="false">IF(OR(F2574="",G2574=""),"",IF(G2574&lt;='RETRATO 2027'!$K$5,"CONCLUÍDA",IF(F2574&lt;='RETRATO 2027'!$K$5,"EM ANDAMENTO","A INICIAR")))</f>
        <v>CONCLUÍDA</v>
      </c>
    </row>
    <row r="2575" customFormat="false" ht="15" hidden="false" customHeight="false" outlineLevel="0" collapsed="false">
      <c r="B2575" s="4" t="n">
        <v>26707672</v>
      </c>
      <c r="C2575" s="4" t="s">
        <v>2992</v>
      </c>
      <c r="D2575" s="4" t="s">
        <v>433</v>
      </c>
      <c r="E2575" s="4" t="s">
        <v>3777</v>
      </c>
      <c r="F2575" s="127" t="n">
        <v>46546</v>
      </c>
      <c r="G2575" s="127" t="n">
        <v>46566</v>
      </c>
      <c r="H2575" s="127" t="n">
        <v>46293</v>
      </c>
      <c r="I2575" s="4" t="n">
        <v>0</v>
      </c>
      <c r="J2575" s="4" t="n">
        <v>0</v>
      </c>
      <c r="K2575" s="4" t="n">
        <v>0</v>
      </c>
      <c r="M2575" s="2" t="str">
        <f aca="false">IF(C2575="","",IFERROR(INDEX($S$5:$S$304,MATCH(C2575,$R$5:$R$304,0))&amp;"","?"))</f>
        <v>20</v>
      </c>
      <c r="N2575" s="2" t="n">
        <f aca="false">IF(E2575="","",IF(ISNUMBER(SEARCH("SUBSOLO",E2575)),IFERROR(-VALUE(LEFT(E2575,FIND("º",SUBSTITUTE(E2575,"°","º"))-1)),-1),IF(LEFT(E2575,6)="TÉRREO",0,IFERROR(VALUE(LEFT(E2575,FIND("º",SUBSTITUTE(E2575,"°","º"))-1)),""))))</f>
        <v>1</v>
      </c>
      <c r="O2575" s="2" t="str">
        <f aca="false">IF(OR(F2575="",G2575=""),"",IF(G2575&lt;='RETRATO 2027'!$K$5,"CONCLUÍDA",IF(F2575&lt;='RETRATO 2027'!$K$5,"EM ANDAMENTO","A INICIAR")))</f>
        <v>CONCLUÍDA</v>
      </c>
    </row>
    <row r="2576" customFormat="false" ht="15" hidden="false" customHeight="false" outlineLevel="0" collapsed="false">
      <c r="B2576" s="4" t="n">
        <v>29845957</v>
      </c>
      <c r="C2576" s="4" t="s">
        <v>2983</v>
      </c>
      <c r="D2576" s="4" t="s">
        <v>433</v>
      </c>
      <c r="E2576" s="4" t="s">
        <v>3722</v>
      </c>
      <c r="F2576" s="127" t="n">
        <v>46546</v>
      </c>
      <c r="G2576" s="127" t="n">
        <v>46554</v>
      </c>
      <c r="H2576" s="127" t="n">
        <v>46293</v>
      </c>
      <c r="I2576" s="4" t="n">
        <v>0</v>
      </c>
      <c r="J2576" s="4" t="n">
        <v>0</v>
      </c>
      <c r="K2576" s="4" t="n">
        <v>0</v>
      </c>
      <c r="M2576" s="2" t="str">
        <f aca="false">IF(C2576="","",IFERROR(INDEX($S$5:$S$304,MATCH(C2576,$R$5:$R$304,0))&amp;"","?"))</f>
        <v>20</v>
      </c>
      <c r="N2576" s="2" t="n">
        <f aca="false">IF(E2576="","",IF(ISNUMBER(SEARCH("SUBSOLO",E2576)),IFERROR(-VALUE(LEFT(E2576,FIND("º",SUBSTITUTE(E2576,"°","º"))-1)),-1),IF(LEFT(E2576,6)="TÉRREO",0,IFERROR(VALUE(LEFT(E2576,FIND("º",SUBSTITUTE(E2576,"°","º"))-1)),""))))</f>
        <v>10</v>
      </c>
      <c r="O2576" s="2" t="str">
        <f aca="false">IF(OR(F2576="",G2576=""),"",IF(G2576&lt;='RETRATO 2027'!$K$5,"CONCLUÍDA",IF(F2576&lt;='RETRATO 2027'!$K$5,"EM ANDAMENTO","A INICIAR")))</f>
        <v>CONCLUÍDA</v>
      </c>
    </row>
    <row r="2577" customFormat="false" ht="15" hidden="false" customHeight="false" outlineLevel="0" collapsed="false">
      <c r="B2577" s="4" t="n">
        <v>29845896</v>
      </c>
      <c r="C2577" s="4" t="s">
        <v>2986</v>
      </c>
      <c r="D2577" s="4" t="s">
        <v>433</v>
      </c>
      <c r="E2577" s="4" t="s">
        <v>3722</v>
      </c>
      <c r="F2577" s="127" t="n">
        <v>46546</v>
      </c>
      <c r="G2577" s="127" t="n">
        <v>46555</v>
      </c>
      <c r="H2577" s="127" t="n">
        <v>46293</v>
      </c>
      <c r="I2577" s="4" t="n">
        <v>0</v>
      </c>
      <c r="J2577" s="4" t="n">
        <v>0</v>
      </c>
      <c r="K2577" s="4" t="n">
        <v>0</v>
      </c>
      <c r="M2577" s="2" t="str">
        <f aca="false">IF(C2577="","",IFERROR(INDEX($S$5:$S$304,MATCH(C2577,$R$5:$R$304,0))&amp;"","?"))</f>
        <v>20</v>
      </c>
      <c r="N2577" s="2" t="n">
        <f aca="false">IF(E2577="","",IF(ISNUMBER(SEARCH("SUBSOLO",E2577)),IFERROR(-VALUE(LEFT(E2577,FIND("º",SUBSTITUTE(E2577,"°","º"))-1)),-1),IF(LEFT(E2577,6)="TÉRREO",0,IFERROR(VALUE(LEFT(E2577,FIND("º",SUBSTITUTE(E2577,"°","º"))-1)),""))))</f>
        <v>10</v>
      </c>
      <c r="O2577" s="2" t="str">
        <f aca="false">IF(OR(F2577="",G2577=""),"",IF(G2577&lt;='RETRATO 2027'!$K$5,"CONCLUÍDA",IF(F2577&lt;='RETRATO 2027'!$K$5,"EM ANDAMENTO","A INICIAR")))</f>
        <v>CONCLUÍDA</v>
      </c>
    </row>
    <row r="2578" customFormat="false" ht="15" hidden="false" customHeight="false" outlineLevel="0" collapsed="false">
      <c r="B2578" s="4" t="n">
        <v>26743393</v>
      </c>
      <c r="C2578" s="4" t="s">
        <v>2977</v>
      </c>
      <c r="D2578" s="4" t="s">
        <v>433</v>
      </c>
      <c r="E2578" s="4" t="s">
        <v>3762</v>
      </c>
      <c r="F2578" s="127" t="n">
        <v>46546</v>
      </c>
      <c r="G2578" s="127" t="n">
        <v>46555</v>
      </c>
      <c r="H2578" s="127" t="n">
        <v>46293</v>
      </c>
      <c r="I2578" s="4" t="n">
        <v>0</v>
      </c>
      <c r="J2578" s="4" t="n">
        <v>0</v>
      </c>
      <c r="K2578" s="4" t="n">
        <v>0</v>
      </c>
      <c r="M2578" s="2" t="str">
        <f aca="false">IF(C2578="","",IFERROR(INDEX($S$5:$S$304,MATCH(C2578,$R$5:$R$304,0))&amp;"","?"))</f>
        <v>30</v>
      </c>
      <c r="N2578" s="2" t="n">
        <f aca="false">IF(E2578="","",IF(ISNUMBER(SEARCH("SUBSOLO",E2578)),IFERROR(-VALUE(LEFT(E2578,FIND("º",SUBSTITUTE(E2578,"°","º"))-1)),-1),IF(LEFT(E2578,6)="TÉRREO",0,IFERROR(VALUE(LEFT(E2578,FIND("º",SUBSTITUTE(E2578,"°","º"))-1)),""))))</f>
        <v>11</v>
      </c>
      <c r="O2578" s="2" t="str">
        <f aca="false">IF(OR(F2578="",G2578=""),"",IF(G2578&lt;='RETRATO 2027'!$K$5,"CONCLUÍDA",IF(F2578&lt;='RETRATO 2027'!$K$5,"EM ANDAMENTO","A INICIAR")))</f>
        <v>CONCLUÍDA</v>
      </c>
    </row>
    <row r="2579" customFormat="false" ht="15" hidden="false" customHeight="false" outlineLevel="0" collapsed="false">
      <c r="B2579" s="4" t="n">
        <v>26743349</v>
      </c>
      <c r="C2579" s="4" t="s">
        <v>2935</v>
      </c>
      <c r="D2579" s="4" t="s">
        <v>433</v>
      </c>
      <c r="E2579" s="4" t="s">
        <v>3763</v>
      </c>
      <c r="F2579" s="127" t="n">
        <v>46546</v>
      </c>
      <c r="G2579" s="127" t="n">
        <v>46555</v>
      </c>
      <c r="H2579" s="127" t="n">
        <v>46293</v>
      </c>
      <c r="I2579" s="4" t="n">
        <v>0</v>
      </c>
      <c r="J2579" s="4" t="n">
        <v>0</v>
      </c>
      <c r="K2579" s="4" t="n">
        <v>0</v>
      </c>
      <c r="M2579" s="2" t="str">
        <f aca="false">IF(C2579="","",IFERROR(INDEX($S$5:$S$304,MATCH(C2579,$R$5:$R$304,0))&amp;"","?"))</f>
        <v>30</v>
      </c>
      <c r="N2579" s="2" t="n">
        <f aca="false">IF(E2579="","",IF(ISNUMBER(SEARCH("SUBSOLO",E2579)),IFERROR(-VALUE(LEFT(E2579,FIND("º",SUBSTITUTE(E2579,"°","º"))-1)),-1),IF(LEFT(E2579,6)="TÉRREO",0,IFERROR(VALUE(LEFT(E2579,FIND("º",SUBSTITUTE(E2579,"°","º"))-1)),""))))</f>
        <v>12</v>
      </c>
      <c r="O2579" s="2" t="str">
        <f aca="false">IF(OR(F2579="",G2579=""),"",IF(G2579&lt;='RETRATO 2027'!$K$5,"CONCLUÍDA",IF(F2579&lt;='RETRATO 2027'!$K$5,"EM ANDAMENTO","A INICIAR")))</f>
        <v>CONCLUÍDA</v>
      </c>
    </row>
    <row r="2580" customFormat="false" ht="15" hidden="false" customHeight="false" outlineLevel="0" collapsed="false">
      <c r="B2580" s="4" t="n">
        <v>26743296</v>
      </c>
      <c r="C2580" s="4" t="s">
        <v>2938</v>
      </c>
      <c r="D2580" s="4" t="s">
        <v>433</v>
      </c>
      <c r="E2580" s="4" t="s">
        <v>3764</v>
      </c>
      <c r="F2580" s="127" t="n">
        <v>46546</v>
      </c>
      <c r="G2580" s="127" t="n">
        <v>46555</v>
      </c>
      <c r="H2580" s="127" t="n">
        <v>46293</v>
      </c>
      <c r="I2580" s="4" t="n">
        <v>0</v>
      </c>
      <c r="J2580" s="4" t="n">
        <v>0</v>
      </c>
      <c r="K2580" s="4" t="n">
        <v>0</v>
      </c>
      <c r="M2580" s="2" t="str">
        <f aca="false">IF(C2580="","",IFERROR(INDEX($S$5:$S$304,MATCH(C2580,$R$5:$R$304,0))&amp;"","?"))</f>
        <v>30</v>
      </c>
      <c r="N2580" s="2" t="n">
        <f aca="false">IF(E2580="","",IF(ISNUMBER(SEARCH("SUBSOLO",E2580)),IFERROR(-VALUE(LEFT(E2580,FIND("º",SUBSTITUTE(E2580,"°","º"))-1)),-1),IF(LEFT(E2580,6)="TÉRREO",0,IFERROR(VALUE(LEFT(E2580,FIND("º",SUBSTITUTE(E2580,"°","º"))-1)),""))))</f>
        <v>13</v>
      </c>
      <c r="O2580" s="2" t="str">
        <f aca="false">IF(OR(F2580="",G2580=""),"",IF(G2580&lt;='RETRATO 2027'!$K$5,"CONCLUÍDA",IF(F2580&lt;='RETRATO 2027'!$K$5,"EM ANDAMENTO","A INICIAR")))</f>
        <v>CONCLUÍDA</v>
      </c>
    </row>
    <row r="2581" customFormat="false" ht="15" hidden="false" customHeight="false" outlineLevel="0" collapsed="false">
      <c r="B2581" s="4" t="n">
        <v>26743258</v>
      </c>
      <c r="C2581" s="4" t="s">
        <v>166</v>
      </c>
      <c r="D2581" s="4" t="s">
        <v>433</v>
      </c>
      <c r="E2581" s="4" t="s">
        <v>3765</v>
      </c>
      <c r="F2581" s="127" t="n">
        <v>46546</v>
      </c>
      <c r="G2581" s="127" t="n">
        <v>46555</v>
      </c>
      <c r="H2581" s="127" t="n">
        <v>46293</v>
      </c>
      <c r="I2581" s="4" t="n">
        <v>0</v>
      </c>
      <c r="J2581" s="4" t="n">
        <v>0</v>
      </c>
      <c r="K2581" s="4" t="n">
        <v>0</v>
      </c>
      <c r="M2581" s="2" t="str">
        <f aca="false">IF(C2581="","",IFERROR(INDEX($S$5:$S$304,MATCH(C2581,$R$5:$R$304,0))&amp;"","?"))</f>
        <v>19</v>
      </c>
      <c r="N2581" s="2" t="n">
        <f aca="false">IF(E2581="","",IF(ISNUMBER(SEARCH("SUBSOLO",E2581)),IFERROR(-VALUE(LEFT(E2581,FIND("º",SUBSTITUTE(E2581,"°","º"))-1)),-1),IF(LEFT(E2581,6)="TÉRREO",0,IFERROR(VALUE(LEFT(E2581,FIND("º",SUBSTITUTE(E2581,"°","º"))-1)),""))))</f>
        <v>14</v>
      </c>
      <c r="O2581" s="2" t="str">
        <f aca="false">IF(OR(F2581="",G2581=""),"",IF(G2581&lt;='RETRATO 2027'!$K$5,"CONCLUÍDA",IF(F2581&lt;='RETRATO 2027'!$K$5,"EM ANDAMENTO","A INICIAR")))</f>
        <v>CONCLUÍDA</v>
      </c>
    </row>
    <row r="2582" customFormat="false" ht="15" hidden="false" customHeight="false" outlineLevel="0" collapsed="false">
      <c r="B2582" s="4" t="n">
        <v>26743231</v>
      </c>
      <c r="C2582" s="4" t="s">
        <v>2941</v>
      </c>
      <c r="D2582" s="4" t="s">
        <v>433</v>
      </c>
      <c r="E2582" s="4" t="s">
        <v>3768</v>
      </c>
      <c r="F2582" s="127" t="n">
        <v>46546</v>
      </c>
      <c r="G2582" s="127" t="n">
        <v>46555</v>
      </c>
      <c r="H2582" s="127" t="n">
        <v>46293</v>
      </c>
      <c r="I2582" s="4" t="n">
        <v>0</v>
      </c>
      <c r="J2582" s="4" t="n">
        <v>0</v>
      </c>
      <c r="K2582" s="4" t="n">
        <v>0</v>
      </c>
      <c r="M2582" s="2" t="str">
        <f aca="false">IF(C2582="","",IFERROR(INDEX($S$5:$S$304,MATCH(C2582,$R$5:$R$304,0))&amp;"","?"))</f>
        <v>18</v>
      </c>
      <c r="N2582" s="2" t="n">
        <f aca="false">IF(E2582="","",IF(ISNUMBER(SEARCH("SUBSOLO",E2582)),IFERROR(-VALUE(LEFT(E2582,FIND("º",SUBSTITUTE(E2582,"°","º"))-1)),-1),IF(LEFT(E2582,6)="TÉRREO",0,IFERROR(VALUE(LEFT(E2582,FIND("º",SUBSTITUTE(E2582,"°","º"))-1)),""))))</f>
        <v>15</v>
      </c>
      <c r="O2582" s="2" t="str">
        <f aca="false">IF(OR(F2582="",G2582=""),"",IF(G2582&lt;='RETRATO 2027'!$K$5,"CONCLUÍDA",IF(F2582&lt;='RETRATO 2027'!$K$5,"EM ANDAMENTO","A INICIAR")))</f>
        <v>CONCLUÍDA</v>
      </c>
    </row>
    <row r="2583" customFormat="false" ht="15" hidden="false" customHeight="false" outlineLevel="0" collapsed="false">
      <c r="B2583" s="4" t="n">
        <v>26743195</v>
      </c>
      <c r="C2583" s="4" t="s">
        <v>2924</v>
      </c>
      <c r="D2583" s="4" t="s">
        <v>433</v>
      </c>
      <c r="E2583" s="4" t="s">
        <v>3771</v>
      </c>
      <c r="F2583" s="127" t="n">
        <v>46546</v>
      </c>
      <c r="G2583" s="127" t="n">
        <v>46555</v>
      </c>
      <c r="H2583" s="127" t="n">
        <v>46293</v>
      </c>
      <c r="I2583" s="4" t="n">
        <v>0</v>
      </c>
      <c r="J2583" s="4" t="n">
        <v>0</v>
      </c>
      <c r="K2583" s="4" t="n">
        <v>0</v>
      </c>
      <c r="M2583" s="2" t="str">
        <f aca="false">IF(C2583="","",IFERROR(INDEX($S$5:$S$304,MATCH(C2583,$R$5:$R$304,0))&amp;"","?"))</f>
        <v>21</v>
      </c>
      <c r="N2583" s="2" t="n">
        <f aca="false">IF(E2583="","",IF(ISNUMBER(SEARCH("SUBSOLO",E2583)),IFERROR(-VALUE(LEFT(E2583,FIND("º",SUBSTITUTE(E2583,"°","º"))-1)),-1),IF(LEFT(E2583,6)="TÉRREO",0,IFERROR(VALUE(LEFT(E2583,FIND("º",SUBSTITUTE(E2583,"°","º"))-1)),""))))</f>
        <v>16</v>
      </c>
      <c r="O2583" s="2" t="str">
        <f aca="false">IF(OR(F2583="",G2583=""),"",IF(G2583&lt;='RETRATO 2027'!$K$5,"CONCLUÍDA",IF(F2583&lt;='RETRATO 2027'!$K$5,"EM ANDAMENTO","A INICIAR")))</f>
        <v>CONCLUÍDA</v>
      </c>
    </row>
    <row r="2584" customFormat="false" ht="15" hidden="false" customHeight="false" outlineLevel="0" collapsed="false">
      <c r="B2584" s="4" t="n">
        <v>26743178</v>
      </c>
      <c r="C2584" s="4" t="s">
        <v>2926</v>
      </c>
      <c r="D2584" s="4" t="s">
        <v>433</v>
      </c>
      <c r="E2584" s="4" t="s">
        <v>3771</v>
      </c>
      <c r="F2584" s="127" t="n">
        <v>46546</v>
      </c>
      <c r="G2584" s="127" t="n">
        <v>46555</v>
      </c>
      <c r="H2584" s="127" t="n">
        <v>46293</v>
      </c>
      <c r="I2584" s="4" t="n">
        <v>0</v>
      </c>
      <c r="J2584" s="4" t="n">
        <v>0</v>
      </c>
      <c r="K2584" s="4" t="n">
        <v>0</v>
      </c>
      <c r="M2584" s="2" t="str">
        <f aca="false">IF(C2584="","",IFERROR(INDEX($S$5:$S$304,MATCH(C2584,$R$5:$R$304,0))&amp;"","?"))</f>
        <v>20</v>
      </c>
      <c r="N2584" s="2" t="n">
        <f aca="false">IF(E2584="","",IF(ISNUMBER(SEARCH("SUBSOLO",E2584)),IFERROR(-VALUE(LEFT(E2584,FIND("º",SUBSTITUTE(E2584,"°","º"))-1)),-1),IF(LEFT(E2584,6)="TÉRREO",0,IFERROR(VALUE(LEFT(E2584,FIND("º",SUBSTITUTE(E2584,"°","º"))-1)),""))))</f>
        <v>16</v>
      </c>
      <c r="O2584" s="2" t="str">
        <f aca="false">IF(OR(F2584="",G2584=""),"",IF(G2584&lt;='RETRATO 2027'!$K$5,"CONCLUÍDA",IF(F2584&lt;='RETRATO 2027'!$K$5,"EM ANDAMENTO","A INICIAR")))</f>
        <v>CONCLUÍDA</v>
      </c>
    </row>
    <row r="2585" customFormat="false" ht="15" hidden="false" customHeight="false" outlineLevel="0" collapsed="false">
      <c r="B2585" s="4" t="n">
        <v>26743177</v>
      </c>
      <c r="C2585" s="4" t="s">
        <v>2928</v>
      </c>
      <c r="D2585" s="4" t="s">
        <v>433</v>
      </c>
      <c r="E2585" s="4" t="s">
        <v>3771</v>
      </c>
      <c r="F2585" s="127" t="n">
        <v>46546</v>
      </c>
      <c r="G2585" s="127" t="n">
        <v>46555</v>
      </c>
      <c r="H2585" s="127" t="n">
        <v>46293</v>
      </c>
      <c r="I2585" s="4" t="n">
        <v>0</v>
      </c>
      <c r="J2585" s="4" t="n">
        <v>0</v>
      </c>
      <c r="K2585" s="4" t="n">
        <v>0</v>
      </c>
      <c r="M2585" s="2" t="str">
        <f aca="false">IF(C2585="","",IFERROR(INDEX($S$5:$S$304,MATCH(C2585,$R$5:$R$304,0))&amp;"","?"))</f>
        <v>23</v>
      </c>
      <c r="N2585" s="2" t="n">
        <f aca="false">IF(E2585="","",IF(ISNUMBER(SEARCH("SUBSOLO",E2585)),IFERROR(-VALUE(LEFT(E2585,FIND("º",SUBSTITUTE(E2585,"°","º"))-1)),-1),IF(LEFT(E2585,6)="TÉRREO",0,IFERROR(VALUE(LEFT(E2585,FIND("º",SUBSTITUTE(E2585,"°","º"))-1)),""))))</f>
        <v>16</v>
      </c>
      <c r="O2585" s="2" t="str">
        <f aca="false">IF(OR(F2585="",G2585=""),"",IF(G2585&lt;='RETRATO 2027'!$K$5,"CONCLUÍDA",IF(F2585&lt;='RETRATO 2027'!$K$5,"EM ANDAMENTO","A INICIAR")))</f>
        <v>CONCLUÍDA</v>
      </c>
    </row>
    <row r="2586" customFormat="false" ht="15" hidden="false" customHeight="false" outlineLevel="0" collapsed="false">
      <c r="B2586" s="4" t="n">
        <v>26743196</v>
      </c>
      <c r="C2586" s="4" t="s">
        <v>2930</v>
      </c>
      <c r="D2586" s="4" t="s">
        <v>433</v>
      </c>
      <c r="E2586" s="4" t="s">
        <v>3771</v>
      </c>
      <c r="F2586" s="127" t="n">
        <v>46546</v>
      </c>
      <c r="G2586" s="127" t="n">
        <v>46555</v>
      </c>
      <c r="H2586" s="127" t="n">
        <v>46293</v>
      </c>
      <c r="I2586" s="4" t="n">
        <v>0</v>
      </c>
      <c r="J2586" s="4" t="n">
        <v>0</v>
      </c>
      <c r="K2586" s="4" t="n">
        <v>0</v>
      </c>
      <c r="M2586" s="2" t="str">
        <f aca="false">IF(C2586="","",IFERROR(INDEX($S$5:$S$304,MATCH(C2586,$R$5:$R$304,0))&amp;"","?"))</f>
        <v>21</v>
      </c>
      <c r="N2586" s="2" t="n">
        <f aca="false">IF(E2586="","",IF(ISNUMBER(SEARCH("SUBSOLO",E2586)),IFERROR(-VALUE(LEFT(E2586,FIND("º",SUBSTITUTE(E2586,"°","º"))-1)),-1),IF(LEFT(E2586,6)="TÉRREO",0,IFERROR(VALUE(LEFT(E2586,FIND("º",SUBSTITUTE(E2586,"°","º"))-1)),""))))</f>
        <v>16</v>
      </c>
      <c r="O2586" s="2" t="str">
        <f aca="false">IF(OR(F2586="",G2586=""),"",IF(G2586&lt;='RETRATO 2027'!$K$5,"CONCLUÍDA",IF(F2586&lt;='RETRATO 2027'!$K$5,"EM ANDAMENTO","A INICIAR")))</f>
        <v>CONCLUÍDA</v>
      </c>
    </row>
    <row r="2587" customFormat="false" ht="15" hidden="false" customHeight="false" outlineLevel="0" collapsed="false">
      <c r="B2587" s="4" t="n">
        <v>26743197</v>
      </c>
      <c r="C2587" s="4" t="s">
        <v>2933</v>
      </c>
      <c r="D2587" s="4" t="s">
        <v>433</v>
      </c>
      <c r="E2587" s="4" t="s">
        <v>3771</v>
      </c>
      <c r="F2587" s="127" t="n">
        <v>46546</v>
      </c>
      <c r="G2587" s="127" t="n">
        <v>46555</v>
      </c>
      <c r="H2587" s="127" t="n">
        <v>46293</v>
      </c>
      <c r="I2587" s="4" t="n">
        <v>0</v>
      </c>
      <c r="J2587" s="4" t="n">
        <v>0</v>
      </c>
      <c r="K2587" s="4" t="n">
        <v>0</v>
      </c>
      <c r="M2587" s="2" t="str">
        <f aca="false">IF(C2587="","",IFERROR(INDEX($S$5:$S$304,MATCH(C2587,$R$5:$R$304,0))&amp;"","?"))</f>
        <v>21</v>
      </c>
      <c r="N2587" s="2" t="n">
        <f aca="false">IF(E2587="","",IF(ISNUMBER(SEARCH("SUBSOLO",E2587)),IFERROR(-VALUE(LEFT(E2587,FIND("º",SUBSTITUTE(E2587,"°","º"))-1)),-1),IF(LEFT(E2587,6)="TÉRREO",0,IFERROR(VALUE(LEFT(E2587,FIND("º",SUBSTITUTE(E2587,"°","º"))-1)),""))))</f>
        <v>16</v>
      </c>
      <c r="O2587" s="2" t="str">
        <f aca="false">IF(OR(F2587="",G2587=""),"",IF(G2587&lt;='RETRATO 2027'!$K$5,"CONCLUÍDA",IF(F2587&lt;='RETRATO 2027'!$K$5,"EM ANDAMENTO","A INICIAR")))</f>
        <v>CONCLUÍDA</v>
      </c>
    </row>
    <row r="2588" customFormat="false" ht="15" hidden="false" customHeight="false" outlineLevel="0" collapsed="false">
      <c r="B2588" s="4" t="n">
        <v>26743139</v>
      </c>
      <c r="C2588" s="4" t="s">
        <v>2922</v>
      </c>
      <c r="D2588" s="4" t="s">
        <v>433</v>
      </c>
      <c r="E2588" s="4" t="s">
        <v>3773</v>
      </c>
      <c r="F2588" s="127" t="n">
        <v>46546</v>
      </c>
      <c r="G2588" s="127" t="n">
        <v>46555</v>
      </c>
      <c r="H2588" s="127" t="n">
        <v>46293</v>
      </c>
      <c r="I2588" s="4" t="n">
        <v>0</v>
      </c>
      <c r="J2588" s="4" t="n">
        <v>0</v>
      </c>
      <c r="K2588" s="4" t="n">
        <v>0</v>
      </c>
      <c r="M2588" s="2" t="str">
        <f aca="false">IF(C2588="","",IFERROR(INDEX($S$5:$S$304,MATCH(C2588,$R$5:$R$304,0))&amp;"","?"))</f>
        <v>18</v>
      </c>
      <c r="N2588" s="2" t="n">
        <f aca="false">IF(E2588="","",IF(ISNUMBER(SEARCH("SUBSOLO",E2588)),IFERROR(-VALUE(LEFT(E2588,FIND("º",SUBSTITUTE(E2588,"°","º"))-1)),-1),IF(LEFT(E2588,6)="TÉRREO",0,IFERROR(VALUE(LEFT(E2588,FIND("º",SUBSTITUTE(E2588,"°","º"))-1)),""))))</f>
        <v>17</v>
      </c>
      <c r="O2588" s="2" t="str">
        <f aca="false">IF(OR(F2588="",G2588=""),"",IF(G2588&lt;='RETRATO 2027'!$K$5,"CONCLUÍDA",IF(F2588&lt;='RETRATO 2027'!$K$5,"EM ANDAMENTO","A INICIAR")))</f>
        <v>CONCLUÍDA</v>
      </c>
    </row>
    <row r="2589" customFormat="false" ht="15" hidden="false" customHeight="false" outlineLevel="0" collapsed="false">
      <c r="B2589" s="4" t="n">
        <v>26742909</v>
      </c>
      <c r="C2589" s="4" t="s">
        <v>2869</v>
      </c>
      <c r="D2589" s="4" t="s">
        <v>433</v>
      </c>
      <c r="E2589" s="4" t="s">
        <v>3788</v>
      </c>
      <c r="F2589" s="127" t="n">
        <v>46547</v>
      </c>
      <c r="G2589" s="127" t="n">
        <v>46556</v>
      </c>
      <c r="H2589" s="127" t="n">
        <v>46293</v>
      </c>
      <c r="I2589" s="4" t="n">
        <v>0</v>
      </c>
      <c r="J2589" s="4" t="n">
        <v>0</v>
      </c>
      <c r="K2589" s="4" t="n">
        <v>0</v>
      </c>
      <c r="M2589" s="2" t="str">
        <f aca="false">IF(C2589="","",IFERROR(INDEX($S$5:$S$304,MATCH(C2589,$R$5:$R$304,0))&amp;"","?"))</f>
        <v>22</v>
      </c>
      <c r="N2589" s="2" t="n">
        <f aca="false">IF(E2589="","",IF(ISNUMBER(SEARCH("SUBSOLO",E2589)),IFERROR(-VALUE(LEFT(E2589,FIND("º",SUBSTITUTE(E2589,"°","º"))-1)),-1),IF(LEFT(E2589,6)="TÉRREO",0,IFERROR(VALUE(LEFT(E2589,FIND("º",SUBSTITUTE(E2589,"°","º"))-1)),""))))</f>
        <v>24</v>
      </c>
      <c r="O2589" s="2" t="str">
        <f aca="false">IF(OR(F2589="",G2589=""),"",IF(G2589&lt;='RETRATO 2027'!$K$5,"CONCLUÍDA",IF(F2589&lt;='RETRATO 2027'!$K$5,"EM ANDAMENTO","A INICIAR")))</f>
        <v>CONCLUÍDA</v>
      </c>
    </row>
    <row r="2590" customFormat="false" ht="15" hidden="false" customHeight="false" outlineLevel="0" collapsed="false">
      <c r="B2590" s="4" t="n">
        <v>26742870</v>
      </c>
      <c r="C2590" s="4" t="s">
        <v>163</v>
      </c>
      <c r="D2590" s="4" t="s">
        <v>433</v>
      </c>
      <c r="E2590" s="4" t="s">
        <v>3794</v>
      </c>
      <c r="F2590" s="127" t="n">
        <v>46547</v>
      </c>
      <c r="G2590" s="127" t="n">
        <v>46556</v>
      </c>
      <c r="H2590" s="127" t="n">
        <v>46293</v>
      </c>
      <c r="I2590" s="4" t="n">
        <v>0</v>
      </c>
      <c r="J2590" s="4" t="n">
        <v>0</v>
      </c>
      <c r="K2590" s="4" t="n">
        <v>0</v>
      </c>
      <c r="M2590" s="2" t="str">
        <f aca="false">IF(C2590="","",IFERROR(INDEX($S$5:$S$304,MATCH(C2590,$R$5:$R$304,0))&amp;"","?"))</f>
        <v>18</v>
      </c>
      <c r="N2590" s="2" t="n">
        <f aca="false">IF(E2590="","",IF(ISNUMBER(SEARCH("SUBSOLO",E2590)),IFERROR(-VALUE(LEFT(E2590,FIND("º",SUBSTITUTE(E2590,"°","º"))-1)),-1),IF(LEFT(E2590,6)="TÉRREO",0,IFERROR(VALUE(LEFT(E2590,FIND("º",SUBSTITUTE(E2590,"°","º"))-1)),""))))</f>
        <v>25</v>
      </c>
      <c r="O2590" s="2" t="str">
        <f aca="false">IF(OR(F2590="",G2590=""),"",IF(G2590&lt;='RETRATO 2027'!$K$5,"CONCLUÍDA",IF(F2590&lt;='RETRATO 2027'!$K$5,"EM ANDAMENTO","A INICIAR")))</f>
        <v>CONCLUÍDA</v>
      </c>
    </row>
    <row r="2591" customFormat="false" ht="15" hidden="false" customHeight="false" outlineLevel="0" collapsed="false">
      <c r="B2591" s="4" t="n">
        <v>26743119</v>
      </c>
      <c r="C2591" s="4" t="s">
        <v>2916</v>
      </c>
      <c r="D2591" s="4" t="s">
        <v>433</v>
      </c>
      <c r="E2591" s="4" t="s">
        <v>3776</v>
      </c>
      <c r="F2591" s="127" t="n">
        <v>46548</v>
      </c>
      <c r="G2591" s="127" t="n">
        <v>46555</v>
      </c>
      <c r="H2591" s="127" t="n">
        <v>46293</v>
      </c>
      <c r="I2591" s="4" t="n">
        <v>0</v>
      </c>
      <c r="J2591" s="4" t="n">
        <v>0</v>
      </c>
      <c r="K2591" s="4" t="n">
        <v>0</v>
      </c>
      <c r="M2591" s="2" t="str">
        <f aca="false">IF(C2591="","",IFERROR(INDEX($S$5:$S$304,MATCH(C2591,$R$5:$R$304,0))&amp;"","?"))</f>
        <v>18</v>
      </c>
      <c r="N2591" s="2" t="n">
        <f aca="false">IF(E2591="","",IF(ISNUMBER(SEARCH("SUBSOLO",E2591)),IFERROR(-VALUE(LEFT(E2591,FIND("º",SUBSTITUTE(E2591,"°","º"))-1)),-1),IF(LEFT(E2591,6)="TÉRREO",0,IFERROR(VALUE(LEFT(E2591,FIND("º",SUBSTITUTE(E2591,"°","º"))-1)),""))))</f>
        <v>18</v>
      </c>
      <c r="O2591" s="2" t="str">
        <f aca="false">IF(OR(F2591="",G2591=""),"",IF(G2591&lt;='RETRATO 2027'!$K$5,"CONCLUÍDA",IF(F2591&lt;='RETRATO 2027'!$K$5,"EM ANDAMENTO","A INICIAR")))</f>
        <v>CONCLUÍDA</v>
      </c>
    </row>
    <row r="2592" customFormat="false" ht="15" hidden="false" customHeight="false" outlineLevel="0" collapsed="false">
      <c r="B2592" s="4" t="n">
        <v>26745026</v>
      </c>
      <c r="C2592" s="4" t="s">
        <v>2935</v>
      </c>
      <c r="D2592" s="4" t="s">
        <v>433</v>
      </c>
      <c r="E2592" s="4" t="s">
        <v>3801</v>
      </c>
      <c r="F2592" s="127" t="n">
        <v>46549</v>
      </c>
      <c r="G2592" s="127" t="n">
        <v>46560</v>
      </c>
      <c r="H2592" s="127" t="n">
        <v>46293</v>
      </c>
      <c r="I2592" s="4" t="n">
        <v>0</v>
      </c>
      <c r="J2592" s="4" t="n">
        <v>0</v>
      </c>
      <c r="K2592" s="4" t="n">
        <v>0</v>
      </c>
      <c r="M2592" s="2" t="str">
        <f aca="false">IF(C2592="","",IFERROR(INDEX($S$5:$S$304,MATCH(C2592,$R$5:$R$304,0))&amp;"","?"))</f>
        <v>30</v>
      </c>
      <c r="N2592" s="2" t="n">
        <f aca="false">IF(E2592="","",IF(ISNUMBER(SEARCH("SUBSOLO",E2592)),IFERROR(-VALUE(LEFT(E2592,FIND("º",SUBSTITUTE(E2592,"°","º"))-1)),-1),IF(LEFT(E2592,6)="TÉRREO",0,IFERROR(VALUE(LEFT(E2592,FIND("º",SUBSTITUTE(E2592,"°","º"))-1)),""))))</f>
        <v>1</v>
      </c>
      <c r="O2592" s="2" t="str">
        <f aca="false">IF(OR(F2592="",G2592=""),"",IF(G2592&lt;='RETRATO 2027'!$K$5,"CONCLUÍDA",IF(F2592&lt;='RETRATO 2027'!$K$5,"EM ANDAMENTO","A INICIAR")))</f>
        <v>CONCLUÍDA</v>
      </c>
    </row>
    <row r="2593" customFormat="false" ht="15" hidden="false" customHeight="false" outlineLevel="0" collapsed="false">
      <c r="B2593" s="4" t="n">
        <v>36118367</v>
      </c>
      <c r="C2593" s="4" t="s">
        <v>2751</v>
      </c>
      <c r="D2593" s="4" t="s">
        <v>433</v>
      </c>
      <c r="E2593" s="4" t="s">
        <v>3583</v>
      </c>
      <c r="F2593" s="127" t="n">
        <v>46552</v>
      </c>
      <c r="G2593" s="127" t="n">
        <v>46591</v>
      </c>
      <c r="H2593" s="127" t="n">
        <v>46293</v>
      </c>
      <c r="I2593" s="4" t="n">
        <v>0</v>
      </c>
      <c r="J2593" s="4" t="n">
        <v>0</v>
      </c>
      <c r="K2593" s="4" t="n">
        <v>0</v>
      </c>
      <c r="M2593" s="2" t="str">
        <f aca="false">IF(C2593="","",IFERROR(INDEX($S$5:$S$304,MATCH(C2593,$R$5:$R$304,0))&amp;"","?"))</f>
        <v>35</v>
      </c>
      <c r="N2593" s="2" t="n">
        <f aca="false">IF(E2593="","",IF(ISNUMBER(SEARCH("SUBSOLO",E2593)),IFERROR(-VALUE(LEFT(E2593,FIND("º",SUBSTITUTE(E2593,"°","º"))-1)),-1),IF(LEFT(E2593,6)="TÉRREO",0,IFERROR(VALUE(LEFT(E2593,FIND("º",SUBSTITUTE(E2593,"°","º"))-1)),""))))</f>
        <v>-6</v>
      </c>
      <c r="O2593" s="2" t="str">
        <f aca="false">IF(OR(F2593="",G2593=""),"",IF(G2593&lt;='RETRATO 2027'!$K$5,"CONCLUÍDA",IF(F2593&lt;='RETRATO 2027'!$K$5,"EM ANDAMENTO","A INICIAR")))</f>
        <v>CONCLUÍDA</v>
      </c>
    </row>
    <row r="2594" customFormat="false" ht="15" hidden="false" customHeight="false" outlineLevel="0" collapsed="false">
      <c r="B2594" s="4" t="n">
        <v>26745046</v>
      </c>
      <c r="C2594" s="4" t="s">
        <v>2980</v>
      </c>
      <c r="D2594" s="4" t="s">
        <v>433</v>
      </c>
      <c r="E2594" s="4" t="s">
        <v>3659</v>
      </c>
      <c r="F2594" s="127" t="n">
        <v>46552</v>
      </c>
      <c r="G2594" s="127" t="n">
        <v>46561</v>
      </c>
      <c r="H2594" s="127" t="n">
        <v>46293</v>
      </c>
      <c r="I2594" s="4" t="n">
        <v>0</v>
      </c>
      <c r="J2594" s="4" t="n">
        <v>0</v>
      </c>
      <c r="K2594" s="4" t="n">
        <v>0</v>
      </c>
      <c r="M2594" s="2" t="str">
        <f aca="false">IF(C2594="","",IFERROR(INDEX($S$5:$S$304,MATCH(C2594,$R$5:$R$304,0))&amp;"","?"))</f>
        <v>35</v>
      </c>
      <c r="N2594" s="2" t="n">
        <f aca="false">IF(E2594="","",IF(ISNUMBER(SEARCH("SUBSOLO",E2594)),IFERROR(-VALUE(LEFT(E2594,FIND("º",SUBSTITUTE(E2594,"°","º"))-1)),-1),IF(LEFT(E2594,6)="TÉRREO",0,IFERROR(VALUE(LEFT(E2594,FIND("º",SUBSTITUTE(E2594,"°","º"))-1)),""))))</f>
        <v>1</v>
      </c>
      <c r="O2594" s="2" t="str">
        <f aca="false">IF(OR(F2594="",G2594=""),"",IF(G2594&lt;='RETRATO 2027'!$K$5,"CONCLUÍDA",IF(F2594&lt;='RETRATO 2027'!$K$5,"EM ANDAMENTO","A INICIAR")))</f>
        <v>CONCLUÍDA</v>
      </c>
    </row>
    <row r="2595" customFormat="false" ht="15" hidden="false" customHeight="false" outlineLevel="0" collapsed="false">
      <c r="B2595" s="4" t="n">
        <v>26743081</v>
      </c>
      <c r="C2595" s="4" t="s">
        <v>2814</v>
      </c>
      <c r="D2595" s="4" t="s">
        <v>433</v>
      </c>
      <c r="E2595" s="4" t="s">
        <v>3779</v>
      </c>
      <c r="F2595" s="127" t="n">
        <v>46552</v>
      </c>
      <c r="G2595" s="127" t="n">
        <v>46559</v>
      </c>
      <c r="H2595" s="127" t="n">
        <v>46293</v>
      </c>
      <c r="I2595" s="4" t="n">
        <v>0</v>
      </c>
      <c r="J2595" s="4" t="n">
        <v>0</v>
      </c>
      <c r="K2595" s="4" t="n">
        <v>0</v>
      </c>
      <c r="M2595" s="2" t="str">
        <f aca="false">IF(C2595="","",IFERROR(INDEX($S$5:$S$304,MATCH(C2595,$R$5:$R$304,0))&amp;"","?"))</f>
        <v>28</v>
      </c>
      <c r="N2595" s="2" t="n">
        <f aca="false">IF(E2595="","",IF(ISNUMBER(SEARCH("SUBSOLO",E2595)),IFERROR(-VALUE(LEFT(E2595,FIND("º",SUBSTITUTE(E2595,"°","º"))-1)),-1),IF(LEFT(E2595,6)="TÉRREO",0,IFERROR(VALUE(LEFT(E2595,FIND("º",SUBSTITUTE(E2595,"°","º"))-1)),""))))</f>
        <v>19</v>
      </c>
      <c r="O2595" s="2" t="str">
        <f aca="false">IF(OR(F2595="",G2595=""),"",IF(G2595&lt;='RETRATO 2027'!$K$5,"CONCLUÍDA",IF(F2595&lt;='RETRATO 2027'!$K$5,"EM ANDAMENTO","A INICIAR")))</f>
        <v>CONCLUÍDA</v>
      </c>
    </row>
    <row r="2596" customFormat="false" ht="15" hidden="false" customHeight="false" outlineLevel="0" collapsed="false">
      <c r="B2596" s="4" t="n">
        <v>26743050</v>
      </c>
      <c r="C2596" s="4" t="s">
        <v>2914</v>
      </c>
      <c r="D2596" s="4" t="s">
        <v>433</v>
      </c>
      <c r="E2596" s="4" t="s">
        <v>3781</v>
      </c>
      <c r="F2596" s="127" t="n">
        <v>46552</v>
      </c>
      <c r="G2596" s="127" t="n">
        <v>46561</v>
      </c>
      <c r="H2596" s="127" t="n">
        <v>46293</v>
      </c>
      <c r="I2596" s="4" t="n">
        <v>0</v>
      </c>
      <c r="J2596" s="4" t="n">
        <v>0</v>
      </c>
      <c r="K2596" s="4" t="n">
        <v>0</v>
      </c>
      <c r="M2596" s="2" t="str">
        <f aca="false">IF(C2596="","",IFERROR(INDEX($S$5:$S$304,MATCH(C2596,$R$5:$R$304,0))&amp;"","?"))</f>
        <v>21</v>
      </c>
      <c r="N2596" s="2" t="n">
        <f aca="false">IF(E2596="","",IF(ISNUMBER(SEARCH("SUBSOLO",E2596)),IFERROR(-VALUE(LEFT(E2596,FIND("º",SUBSTITUTE(E2596,"°","º"))-1)),-1),IF(LEFT(E2596,6)="TÉRREO",0,IFERROR(VALUE(LEFT(E2596,FIND("º",SUBSTITUTE(E2596,"°","º"))-1)),""))))</f>
        <v>20</v>
      </c>
      <c r="O2596" s="2" t="str">
        <f aca="false">IF(OR(F2596="",G2596=""),"",IF(G2596&lt;='RETRATO 2027'!$K$5,"CONCLUÍDA",IF(F2596&lt;='RETRATO 2027'!$K$5,"EM ANDAMENTO","A INICIAR")))</f>
        <v>CONCLUÍDA</v>
      </c>
    </row>
    <row r="2597" customFormat="false" ht="15" hidden="false" customHeight="false" outlineLevel="0" collapsed="false">
      <c r="B2597" s="4" t="n">
        <v>26743006</v>
      </c>
      <c r="C2597" s="4" t="s">
        <v>2808</v>
      </c>
      <c r="D2597" s="4" t="s">
        <v>433</v>
      </c>
      <c r="E2597" s="4" t="s">
        <v>3783</v>
      </c>
      <c r="F2597" s="127" t="n">
        <v>46552</v>
      </c>
      <c r="G2597" s="127" t="n">
        <v>46561</v>
      </c>
      <c r="H2597" s="127" t="n">
        <v>46293</v>
      </c>
      <c r="I2597" s="4" t="n">
        <v>0</v>
      </c>
      <c r="J2597" s="4" t="n">
        <v>0</v>
      </c>
      <c r="K2597" s="4" t="n">
        <v>0</v>
      </c>
      <c r="M2597" s="2" t="str">
        <f aca="false">IF(C2597="","",IFERROR(INDEX($S$5:$S$304,MATCH(C2597,$R$5:$R$304,0))&amp;"","?"))</f>
        <v>29</v>
      </c>
      <c r="N2597" s="2" t="n">
        <f aca="false">IF(E2597="","",IF(ISNUMBER(SEARCH("SUBSOLO",E2597)),IFERROR(-VALUE(LEFT(E2597,FIND("º",SUBSTITUTE(E2597,"°","º"))-1)),-1),IF(LEFT(E2597,6)="TÉRREO",0,IFERROR(VALUE(LEFT(E2597,FIND("º",SUBSTITUTE(E2597,"°","º"))-1)),""))))</f>
        <v>21</v>
      </c>
      <c r="O2597" s="2" t="str">
        <f aca="false">IF(OR(F2597="",G2597=""),"",IF(G2597&lt;='RETRATO 2027'!$K$5,"CONCLUÍDA",IF(F2597&lt;='RETRATO 2027'!$K$5,"EM ANDAMENTO","A INICIAR")))</f>
        <v>CONCLUÍDA</v>
      </c>
    </row>
    <row r="2598" customFormat="false" ht="15" hidden="false" customHeight="false" outlineLevel="0" collapsed="false">
      <c r="B2598" s="4" t="n">
        <v>26742968</v>
      </c>
      <c r="C2598" s="4" t="s">
        <v>2910</v>
      </c>
      <c r="D2598" s="4" t="s">
        <v>433</v>
      </c>
      <c r="E2598" s="4" t="s">
        <v>3786</v>
      </c>
      <c r="F2598" s="127" t="n">
        <v>46552</v>
      </c>
      <c r="G2598" s="127" t="n">
        <v>46561</v>
      </c>
      <c r="H2598" s="127" t="n">
        <v>46293</v>
      </c>
      <c r="I2598" s="4" t="n">
        <v>0</v>
      </c>
      <c r="J2598" s="4" t="n">
        <v>0</v>
      </c>
      <c r="K2598" s="4" t="n">
        <v>0</v>
      </c>
      <c r="M2598" s="2" t="str">
        <f aca="false">IF(C2598="","",IFERROR(INDEX($S$5:$S$304,MATCH(C2598,$R$5:$R$304,0))&amp;"","?"))</f>
        <v>25</v>
      </c>
      <c r="N2598" s="2" t="n">
        <f aca="false">IF(E2598="","",IF(ISNUMBER(SEARCH("SUBSOLO",E2598)),IFERROR(-VALUE(LEFT(E2598,FIND("º",SUBSTITUTE(E2598,"°","º"))-1)),-1),IF(LEFT(E2598,6)="TÉRREO",0,IFERROR(VALUE(LEFT(E2598,FIND("º",SUBSTITUTE(E2598,"°","º"))-1)),""))))</f>
        <v>22</v>
      </c>
      <c r="O2598" s="2" t="str">
        <f aca="false">IF(OR(F2598="",G2598=""),"",IF(G2598&lt;='RETRATO 2027'!$K$5,"CONCLUÍDA",IF(F2598&lt;='RETRATO 2027'!$K$5,"EM ANDAMENTO","A INICIAR")))</f>
        <v>CONCLUÍDA</v>
      </c>
    </row>
    <row r="2599" customFormat="false" ht="15" hidden="false" customHeight="false" outlineLevel="0" collapsed="false">
      <c r="B2599" s="4" t="n">
        <v>26743706</v>
      </c>
      <c r="C2599" s="4" t="s">
        <v>2900</v>
      </c>
      <c r="D2599" s="4" t="s">
        <v>433</v>
      </c>
      <c r="E2599" s="4" t="s">
        <v>3482</v>
      </c>
      <c r="F2599" s="127" t="n">
        <v>46553</v>
      </c>
      <c r="G2599" s="127" t="n">
        <v>46615</v>
      </c>
      <c r="H2599" s="127" t="n">
        <v>46293</v>
      </c>
      <c r="I2599" s="4" t="n">
        <v>0</v>
      </c>
      <c r="J2599" s="4" t="n">
        <v>0</v>
      </c>
      <c r="K2599" s="4" t="n">
        <v>0</v>
      </c>
      <c r="M2599" s="2" t="str">
        <f aca="false">IF(C2599="","",IFERROR(INDEX($S$5:$S$304,MATCH(C2599,$R$5:$R$304,0))&amp;"","?"))</f>
        <v>22</v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>CONCLUÍDA</v>
      </c>
    </row>
    <row r="2600" customFormat="false" ht="15" hidden="false" customHeight="false" outlineLevel="0" collapsed="false">
      <c r="B2600" s="4" t="n">
        <v>26742952</v>
      </c>
      <c r="C2600" s="4" t="s">
        <v>2896</v>
      </c>
      <c r="D2600" s="4" t="s">
        <v>433</v>
      </c>
      <c r="E2600" s="4" t="s">
        <v>3787</v>
      </c>
      <c r="F2600" s="127" t="n">
        <v>46553</v>
      </c>
      <c r="G2600" s="127" t="n">
        <v>46562</v>
      </c>
      <c r="H2600" s="127" t="n">
        <v>46293</v>
      </c>
      <c r="I2600" s="4" t="n">
        <v>0</v>
      </c>
      <c r="J2600" s="4" t="n">
        <v>0</v>
      </c>
      <c r="K2600" s="4" t="n">
        <v>0</v>
      </c>
      <c r="M2600" s="2" t="str">
        <f aca="false">IF(C2600="","",IFERROR(INDEX($S$5:$S$304,MATCH(C2600,$R$5:$R$304,0))&amp;"","?"))</f>
        <v>20</v>
      </c>
      <c r="N2600" s="2" t="n">
        <f aca="false">IF(E2600="","",IF(ISNUMBER(SEARCH("SUBSOLO",E2600)),IFERROR(-VALUE(LEFT(E2600,FIND("º",SUBSTITUTE(E2600,"°","º"))-1)),-1),IF(LEFT(E2600,6)="TÉRREO",0,IFERROR(VALUE(LEFT(E2600,FIND("º",SUBSTITUTE(E2600,"°","º"))-1)),""))))</f>
        <v>23</v>
      </c>
      <c r="O2600" s="2" t="str">
        <f aca="false">IF(OR(F2600="",G2600=""),"",IF(G2600&lt;='RETRATO 2027'!$K$5,"CONCLUÍDA",IF(F2600&lt;='RETRATO 2027'!$K$5,"EM ANDAMENTO","A INICIAR")))</f>
        <v>CONCLUÍDA</v>
      </c>
    </row>
    <row r="2601" customFormat="false" ht="15" hidden="false" customHeight="false" outlineLevel="0" collapsed="false">
      <c r="B2601" s="4" t="n">
        <v>29844477</v>
      </c>
      <c r="C2601" s="4" t="s">
        <v>2898</v>
      </c>
      <c r="D2601" s="4" t="s">
        <v>433</v>
      </c>
      <c r="E2601" s="4" t="s">
        <v>3787</v>
      </c>
      <c r="F2601" s="127" t="n">
        <v>46553</v>
      </c>
      <c r="G2601" s="127" t="n">
        <v>46561</v>
      </c>
      <c r="H2601" s="127" t="n">
        <v>46293</v>
      </c>
      <c r="I2601" s="4" t="n">
        <v>0</v>
      </c>
      <c r="J2601" s="4" t="n">
        <v>0</v>
      </c>
      <c r="K2601" s="4" t="n">
        <v>0</v>
      </c>
      <c r="M2601" s="2" t="str">
        <f aca="false">IF(C2601="","",IFERROR(INDEX($S$5:$S$304,MATCH(C2601,$R$5:$R$304,0))&amp;"","?"))</f>
        <v>29</v>
      </c>
      <c r="N2601" s="2" t="n">
        <f aca="false">IF(E2601="","",IF(ISNUMBER(SEARCH("SUBSOLO",E2601)),IFERROR(-VALUE(LEFT(E2601,FIND("º",SUBSTITUTE(E2601,"°","º"))-1)),-1),IF(LEFT(E2601,6)="TÉRREO",0,IFERROR(VALUE(LEFT(E2601,FIND("º",SUBSTITUTE(E2601,"°","º"))-1)),""))))</f>
        <v>23</v>
      </c>
      <c r="O2601" s="2" t="str">
        <f aca="false">IF(OR(F2601="",G2601=""),"",IF(G2601&lt;='RETRATO 2027'!$K$5,"CONCLUÍDA",IF(F2601&lt;='RETRATO 2027'!$K$5,"EM ANDAMENTO","A INICIAR")))</f>
        <v>CONCLUÍDA</v>
      </c>
    </row>
    <row r="2602" customFormat="false" ht="15" hidden="false" customHeight="false" outlineLevel="0" collapsed="false">
      <c r="B2602" s="4" t="n">
        <v>26742908</v>
      </c>
      <c r="C2602" s="4" t="s">
        <v>2886</v>
      </c>
      <c r="D2602" s="4" t="s">
        <v>433</v>
      </c>
      <c r="E2602" s="4" t="s">
        <v>3788</v>
      </c>
      <c r="F2602" s="127" t="n">
        <v>46553</v>
      </c>
      <c r="G2602" s="127" t="n">
        <v>46562</v>
      </c>
      <c r="H2602" s="127" t="n">
        <v>46293</v>
      </c>
      <c r="I2602" s="4" t="n">
        <v>0</v>
      </c>
      <c r="J2602" s="4" t="n">
        <v>0</v>
      </c>
      <c r="K2602" s="4" t="n">
        <v>0</v>
      </c>
      <c r="M2602" s="2" t="str">
        <f aca="false">IF(C2602="","",IFERROR(INDEX($S$5:$S$304,MATCH(C2602,$R$5:$R$304,0))&amp;"","?"))</f>
        <v>21</v>
      </c>
      <c r="N2602" s="2" t="n">
        <f aca="false">IF(E2602="","",IF(ISNUMBER(SEARCH("SUBSOLO",E2602)),IFERROR(-VALUE(LEFT(E2602,FIND("º",SUBSTITUTE(E2602,"°","º"))-1)),-1),IF(LEFT(E2602,6)="TÉRREO",0,IFERROR(VALUE(LEFT(E2602,FIND("º",SUBSTITUTE(E2602,"°","º"))-1)),""))))</f>
        <v>24</v>
      </c>
      <c r="O2602" s="2" t="str">
        <f aca="false">IF(OR(F2602="",G2602=""),"",IF(G2602&lt;='RETRATO 2027'!$K$5,"CONCLUÍDA",IF(F2602&lt;='RETRATO 2027'!$K$5,"EM ANDAMENTO","A INICIAR")))</f>
        <v>CONCLUÍDA</v>
      </c>
    </row>
    <row r="2603" customFormat="false" ht="15" hidden="false" customHeight="false" outlineLevel="0" collapsed="false">
      <c r="B2603" s="4" t="n">
        <v>29844653</v>
      </c>
      <c r="C2603" s="4" t="s">
        <v>2888</v>
      </c>
      <c r="D2603" s="4" t="s">
        <v>433</v>
      </c>
      <c r="E2603" s="4" t="s">
        <v>3788</v>
      </c>
      <c r="F2603" s="127" t="n">
        <v>46553</v>
      </c>
      <c r="G2603" s="127" t="n">
        <v>46562</v>
      </c>
      <c r="H2603" s="127" t="n">
        <v>46293</v>
      </c>
      <c r="I2603" s="4" t="n">
        <v>0</v>
      </c>
      <c r="J2603" s="4" t="n">
        <v>0</v>
      </c>
      <c r="K2603" s="4" t="n">
        <v>0</v>
      </c>
      <c r="M2603" s="2" t="str">
        <f aca="false">IF(C2603="","",IFERROR(INDEX($S$5:$S$304,MATCH(C2603,$R$5:$R$304,0))&amp;"","?"))</f>
        <v>20</v>
      </c>
      <c r="N2603" s="2" t="n">
        <f aca="false">IF(E2603="","",IF(ISNUMBER(SEARCH("SUBSOLO",E2603)),IFERROR(-VALUE(LEFT(E2603,FIND("º",SUBSTITUTE(E2603,"°","º"))-1)),-1),IF(LEFT(E2603,6)="TÉRREO",0,IFERROR(VALUE(LEFT(E2603,FIND("º",SUBSTITUTE(E2603,"°","º"))-1)),""))))</f>
        <v>24</v>
      </c>
      <c r="O2603" s="2" t="str">
        <f aca="false">IF(OR(F2603="",G2603=""),"",IF(G2603&lt;='RETRATO 2027'!$K$5,"CONCLUÍDA",IF(F2603&lt;='RETRATO 2027'!$K$5,"EM ANDAMENTO","A INICIAR")))</f>
        <v>CONCLUÍDA</v>
      </c>
    </row>
    <row r="2604" customFormat="false" ht="15" hidden="false" customHeight="false" outlineLevel="0" collapsed="false">
      <c r="B2604" s="4" t="n">
        <v>26736505</v>
      </c>
      <c r="C2604" s="4" t="s">
        <v>2705</v>
      </c>
      <c r="D2604" s="4" t="s">
        <v>433</v>
      </c>
      <c r="E2604" s="4" t="s">
        <v>3809</v>
      </c>
      <c r="F2604" s="127" t="n">
        <v>46554</v>
      </c>
      <c r="G2604" s="127" t="n">
        <v>46581</v>
      </c>
      <c r="H2604" s="127" t="n">
        <v>46293</v>
      </c>
      <c r="I2604" s="4" t="n">
        <v>0</v>
      </c>
      <c r="J2604" s="4" t="n">
        <v>0</v>
      </c>
      <c r="K2604" s="4" t="n">
        <v>0</v>
      </c>
      <c r="M2604" s="2" t="str">
        <f aca="false">IF(C2604="","",IFERROR(INDEX($S$5:$S$304,MATCH(C2604,$R$5:$R$304,0))&amp;"","?"))</f>
        <v>17</v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>CONCLUÍDA</v>
      </c>
    </row>
    <row r="2605" customFormat="false" ht="15" hidden="false" customHeight="false" outlineLevel="0" collapsed="false">
      <c r="B2605" s="4" t="n">
        <v>9522199</v>
      </c>
      <c r="C2605" s="4" t="s">
        <v>2705</v>
      </c>
      <c r="D2605" s="4" t="s">
        <v>3244</v>
      </c>
      <c r="E2605" s="4" t="s">
        <v>3809</v>
      </c>
      <c r="F2605" s="127" t="n">
        <v>46554</v>
      </c>
      <c r="G2605" s="127" t="n">
        <v>46566</v>
      </c>
      <c r="H2605" s="127" t="n">
        <v>46293</v>
      </c>
      <c r="I2605" s="4" t="n">
        <v>0</v>
      </c>
      <c r="J2605" s="4" t="n">
        <v>0</v>
      </c>
      <c r="K2605" s="4" t="n">
        <v>0</v>
      </c>
      <c r="M2605" s="2" t="str">
        <f aca="false">IF(C2605="","",IFERROR(INDEX($S$5:$S$304,MATCH(C2605,$R$5:$R$304,0))&amp;"","?"))</f>
        <v>17</v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>CONCLUÍDA</v>
      </c>
    </row>
    <row r="2606" customFormat="false" ht="15" hidden="false" customHeight="false" outlineLevel="0" collapsed="false">
      <c r="B2606" s="4" t="n">
        <v>9522200</v>
      </c>
      <c r="C2606" s="4" t="s">
        <v>2705</v>
      </c>
      <c r="D2606" s="4" t="s">
        <v>3245</v>
      </c>
      <c r="E2606" s="4" t="s">
        <v>3809</v>
      </c>
      <c r="F2606" s="127" t="n">
        <v>46554</v>
      </c>
      <c r="G2606" s="127" t="n">
        <v>46566</v>
      </c>
      <c r="H2606" s="127" t="n">
        <v>46293</v>
      </c>
      <c r="I2606" s="4" t="n">
        <v>0</v>
      </c>
      <c r="J2606" s="4" t="n">
        <v>0</v>
      </c>
      <c r="K2606" s="4" t="n">
        <v>0</v>
      </c>
      <c r="M2606" s="2" t="str">
        <f aca="false">IF(C2606="","",IFERROR(INDEX($S$5:$S$304,MATCH(C2606,$R$5:$R$304,0))&amp;"","?"))</f>
        <v>17</v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>CONCLUÍDA</v>
      </c>
    </row>
    <row r="2607" customFormat="false" ht="15" hidden="false" customHeight="false" outlineLevel="0" collapsed="false">
      <c r="B2607" s="4" t="n">
        <v>9522201</v>
      </c>
      <c r="C2607" s="4" t="s">
        <v>2705</v>
      </c>
      <c r="D2607" s="4" t="s">
        <v>3246</v>
      </c>
      <c r="E2607" s="4" t="s">
        <v>3809</v>
      </c>
      <c r="F2607" s="127" t="n">
        <v>46555</v>
      </c>
      <c r="G2607" s="127" t="n">
        <v>46560</v>
      </c>
      <c r="H2607" s="127" t="n">
        <v>46293</v>
      </c>
      <c r="I2607" s="4" t="n">
        <v>0</v>
      </c>
      <c r="J2607" s="4" t="n">
        <v>0</v>
      </c>
      <c r="K2607" s="4" t="n">
        <v>0</v>
      </c>
      <c r="M2607" s="2" t="str">
        <f aca="false">IF(C2607="","",IFERROR(INDEX($S$5:$S$304,MATCH(C2607,$R$5:$R$304,0))&amp;"","?"))</f>
        <v>17</v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>CONCLUÍDA</v>
      </c>
    </row>
    <row r="2608" customFormat="false" ht="15" hidden="false" customHeight="false" outlineLevel="0" collapsed="false">
      <c r="B2608" s="4" t="n">
        <v>9522202</v>
      </c>
      <c r="C2608" s="4" t="s">
        <v>2705</v>
      </c>
      <c r="D2608" s="4" t="s">
        <v>3247</v>
      </c>
      <c r="E2608" s="4" t="s">
        <v>3809</v>
      </c>
      <c r="F2608" s="127" t="n">
        <v>46556</v>
      </c>
      <c r="G2608" s="127" t="n">
        <v>46556</v>
      </c>
      <c r="H2608" s="127" t="n">
        <v>46293</v>
      </c>
      <c r="I2608" s="4" t="n">
        <v>0</v>
      </c>
      <c r="J2608" s="4" t="n">
        <v>0</v>
      </c>
      <c r="K2608" s="4" t="n">
        <v>0</v>
      </c>
      <c r="M2608" s="2" t="str">
        <f aca="false">IF(C2608="","",IFERROR(INDEX($S$5:$S$304,MATCH(C2608,$R$5:$R$304,0))&amp;"","?"))</f>
        <v>17</v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>CONCLUÍDA</v>
      </c>
    </row>
    <row r="2609" customFormat="false" ht="15" hidden="false" customHeight="false" outlineLevel="0" collapsed="false">
      <c r="B2609" s="4" t="n">
        <v>9522203</v>
      </c>
      <c r="C2609" s="4" t="s">
        <v>2705</v>
      </c>
      <c r="D2609" s="4" t="s">
        <v>3248</v>
      </c>
      <c r="E2609" s="4" t="s">
        <v>3809</v>
      </c>
      <c r="F2609" s="127" t="n">
        <v>46559</v>
      </c>
      <c r="G2609" s="127" t="n">
        <v>46577</v>
      </c>
      <c r="H2609" s="127" t="n">
        <v>46293</v>
      </c>
      <c r="I2609" s="4" t="n">
        <v>0</v>
      </c>
      <c r="J2609" s="4" t="n">
        <v>0</v>
      </c>
      <c r="K2609" s="4" t="n">
        <v>0</v>
      </c>
      <c r="M2609" s="2" t="str">
        <f aca="false">IF(C2609="","",IFERROR(INDEX($S$5:$S$304,MATCH(C2609,$R$5:$R$304,0))&amp;"","?"))</f>
        <v>17</v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>CONCLUÍDA</v>
      </c>
    </row>
    <row r="2610" customFormat="false" ht="15" hidden="false" customHeight="false" outlineLevel="0" collapsed="false">
      <c r="B2610" s="4" t="n">
        <v>9522204</v>
      </c>
      <c r="C2610" s="4" t="s">
        <v>2705</v>
      </c>
      <c r="D2610" s="4" t="s">
        <v>3249</v>
      </c>
      <c r="E2610" s="4" t="s">
        <v>3809</v>
      </c>
      <c r="F2610" s="127" t="n">
        <v>46560</v>
      </c>
      <c r="G2610" s="127" t="n">
        <v>46577</v>
      </c>
      <c r="H2610" s="127" t="n">
        <v>46293</v>
      </c>
      <c r="I2610" s="4" t="n">
        <v>0</v>
      </c>
      <c r="J2610" s="4" t="n">
        <v>0</v>
      </c>
      <c r="K2610" s="4" t="n">
        <v>0</v>
      </c>
      <c r="M2610" s="2" t="str">
        <f aca="false">IF(C2610="","",IFERROR(INDEX($S$5:$S$304,MATCH(C2610,$R$5:$R$304,0))&amp;"","?"))</f>
        <v>17</v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>CONCLUÍDA</v>
      </c>
    </row>
    <row r="2611" customFormat="false" ht="15" hidden="false" customHeight="false" outlineLevel="0" collapsed="false">
      <c r="B2611" s="4" t="n">
        <v>9522205</v>
      </c>
      <c r="C2611" s="4" t="s">
        <v>2705</v>
      </c>
      <c r="D2611" s="4" t="s">
        <v>3250</v>
      </c>
      <c r="E2611" s="4" t="s">
        <v>3809</v>
      </c>
      <c r="F2611" s="127" t="n">
        <v>46580</v>
      </c>
      <c r="G2611" s="127" t="n">
        <v>46580</v>
      </c>
      <c r="H2611" s="127" t="n">
        <v>46293</v>
      </c>
      <c r="I2611" s="4" t="n">
        <v>0</v>
      </c>
      <c r="J2611" s="4" t="n">
        <v>0</v>
      </c>
      <c r="K2611" s="4" t="n">
        <v>0</v>
      </c>
      <c r="M2611" s="2" t="str">
        <f aca="false">IF(C2611="","",IFERROR(INDEX($S$5:$S$304,MATCH(C2611,$R$5:$R$304,0))&amp;"","?"))</f>
        <v>17</v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>CONCLUÍDA</v>
      </c>
    </row>
    <row r="2612" customFormat="false" ht="15" hidden="false" customHeight="false" outlineLevel="0" collapsed="false">
      <c r="B2612" s="4" t="n">
        <v>9522206</v>
      </c>
      <c r="C2612" s="4" t="s">
        <v>2705</v>
      </c>
      <c r="D2612" s="4" t="s">
        <v>3251</v>
      </c>
      <c r="E2612" s="4" t="s">
        <v>3809</v>
      </c>
      <c r="F2612" s="127" t="n">
        <v>46580</v>
      </c>
      <c r="G2612" s="127" t="n">
        <v>46580</v>
      </c>
      <c r="H2612" s="127" t="n">
        <v>46293</v>
      </c>
      <c r="I2612" s="4" t="n">
        <v>0</v>
      </c>
      <c r="J2612" s="4" t="n">
        <v>0</v>
      </c>
      <c r="K2612" s="4" t="n">
        <v>0</v>
      </c>
      <c r="M2612" s="2" t="str">
        <f aca="false">IF(C2612="","",IFERROR(INDEX($S$5:$S$304,MATCH(C2612,$R$5:$R$304,0))&amp;"","?"))</f>
        <v>17</v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>CONCLUÍDA</v>
      </c>
    </row>
    <row r="2613" customFormat="false" ht="15" hidden="false" customHeight="false" outlineLevel="0" collapsed="false">
      <c r="B2613" s="4" t="n">
        <v>9522207</v>
      </c>
      <c r="C2613" s="4" t="s">
        <v>2705</v>
      </c>
      <c r="D2613" s="4" t="s">
        <v>3252</v>
      </c>
      <c r="E2613" s="4" t="s">
        <v>3809</v>
      </c>
      <c r="F2613" s="127" t="n">
        <v>46581</v>
      </c>
      <c r="G2613" s="127" t="n">
        <v>46581</v>
      </c>
      <c r="H2613" s="127" t="n">
        <v>46293</v>
      </c>
      <c r="I2613" s="4" t="n">
        <v>0</v>
      </c>
      <c r="J2613" s="4" t="n">
        <v>0</v>
      </c>
      <c r="K2613" s="4" t="n">
        <v>0</v>
      </c>
      <c r="M2613" s="2" t="str">
        <f aca="false">IF(C2613="","",IFERROR(INDEX($S$5:$S$304,MATCH(C2613,$R$5:$R$304,0))&amp;"","?"))</f>
        <v>17</v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>CONCLUÍDA</v>
      </c>
    </row>
    <row r="2614" customFormat="false" ht="15" hidden="false" customHeight="false" outlineLevel="0" collapsed="false">
      <c r="B2614" s="4" t="n">
        <v>26707641</v>
      </c>
      <c r="C2614" s="4" t="s">
        <v>2980</v>
      </c>
      <c r="D2614" s="4" t="s">
        <v>433</v>
      </c>
      <c r="E2614" s="4" t="s">
        <v>3785</v>
      </c>
      <c r="F2614" s="127" t="n">
        <v>46555</v>
      </c>
      <c r="G2614" s="127" t="n">
        <v>46575</v>
      </c>
      <c r="H2614" s="127" t="n">
        <v>46293</v>
      </c>
      <c r="I2614" s="4" t="n">
        <v>0</v>
      </c>
      <c r="J2614" s="4" t="n">
        <v>0</v>
      </c>
      <c r="K2614" s="4" t="n">
        <v>0</v>
      </c>
      <c r="M2614" s="2" t="str">
        <f aca="false">IF(C2614="","",IFERROR(INDEX($S$5:$S$304,MATCH(C2614,$R$5:$R$304,0))&amp;"","?"))</f>
        <v>35</v>
      </c>
      <c r="N2614" s="2" t="n">
        <f aca="false">IF(E2614="","",IF(ISNUMBER(SEARCH("SUBSOLO",E2614)),IFERROR(-VALUE(LEFT(E2614,FIND("º",SUBSTITUTE(E2614,"°","º"))-1)),-1),IF(LEFT(E2614,6)="TÉRREO",0,IFERROR(VALUE(LEFT(E2614,FIND("º",SUBSTITUTE(E2614,"°","º"))-1)),""))))</f>
        <v>1</v>
      </c>
      <c r="O2614" s="2" t="str">
        <f aca="false">IF(OR(F2614="",G2614=""),"",IF(G2614&lt;='RETRATO 2027'!$K$5,"CONCLUÍDA",IF(F2614&lt;='RETRATO 2027'!$K$5,"EM ANDAMENTO","A INICIAR")))</f>
        <v>CONCLUÍDA</v>
      </c>
    </row>
    <row r="2615" customFormat="false" ht="15" hidden="false" customHeight="false" outlineLevel="0" collapsed="false">
      <c r="B2615" s="4" t="n">
        <v>26743496</v>
      </c>
      <c r="C2615" s="4" t="s">
        <v>2997</v>
      </c>
      <c r="D2615" s="4" t="s">
        <v>433</v>
      </c>
      <c r="E2615" s="4" t="s">
        <v>3706</v>
      </c>
      <c r="F2615" s="127" t="n">
        <v>46555</v>
      </c>
      <c r="G2615" s="127" t="n">
        <v>46566</v>
      </c>
      <c r="H2615" s="127" t="n">
        <v>46293</v>
      </c>
      <c r="I2615" s="4" t="n">
        <v>0</v>
      </c>
      <c r="J2615" s="4" t="n">
        <v>0</v>
      </c>
      <c r="K2615" s="4" t="n">
        <v>0</v>
      </c>
      <c r="M2615" s="2" t="str">
        <f aca="false">IF(C2615="","",IFERROR(INDEX($S$5:$S$304,MATCH(C2615,$R$5:$R$304,0))&amp;"","?"))</f>
        <v>35</v>
      </c>
      <c r="N2615" s="2" t="n">
        <f aca="false">IF(E2615="","",IF(ISNUMBER(SEARCH("SUBSOLO",E2615)),IFERROR(-VALUE(LEFT(E2615,FIND("º",SUBSTITUTE(E2615,"°","º"))-1)),-1),IF(LEFT(E2615,6)="TÉRREO",0,IFERROR(VALUE(LEFT(E2615,FIND("º",SUBSTITUTE(E2615,"°","º"))-1)),""))))</f>
        <v>8</v>
      </c>
      <c r="O2615" s="2" t="str">
        <f aca="false">IF(OR(F2615="",G2615=""),"",IF(G2615&lt;='RETRATO 2027'!$K$5,"CONCLUÍDA",IF(F2615&lt;='RETRATO 2027'!$K$5,"EM ANDAMENTO","A INICIAR")))</f>
        <v>CONCLUÍDA</v>
      </c>
    </row>
    <row r="2616" customFormat="false" ht="15" hidden="false" customHeight="false" outlineLevel="0" collapsed="false">
      <c r="B2616" s="4" t="n">
        <v>26743458</v>
      </c>
      <c r="C2616" s="4" t="s">
        <v>2980</v>
      </c>
      <c r="D2616" s="4" t="s">
        <v>433</v>
      </c>
      <c r="E2616" s="4" t="s">
        <v>3716</v>
      </c>
      <c r="F2616" s="127" t="n">
        <v>46555</v>
      </c>
      <c r="G2616" s="127" t="n">
        <v>46566</v>
      </c>
      <c r="H2616" s="127" t="n">
        <v>46293</v>
      </c>
      <c r="I2616" s="4" t="n">
        <v>0</v>
      </c>
      <c r="J2616" s="4" t="n">
        <v>0</v>
      </c>
      <c r="K2616" s="4" t="n">
        <v>0</v>
      </c>
      <c r="M2616" s="2" t="str">
        <f aca="false">IF(C2616="","",IFERROR(INDEX($S$5:$S$304,MATCH(C2616,$R$5:$R$304,0))&amp;"","?"))</f>
        <v>35</v>
      </c>
      <c r="N2616" s="2" t="n">
        <f aca="false">IF(E2616="","",IF(ISNUMBER(SEARCH("SUBSOLO",E2616)),IFERROR(-VALUE(LEFT(E2616,FIND("º",SUBSTITUTE(E2616,"°","º"))-1)),-1),IF(LEFT(E2616,6)="TÉRREO",0,IFERROR(VALUE(LEFT(E2616,FIND("º",SUBSTITUTE(E2616,"°","º"))-1)),""))))</f>
        <v>9</v>
      </c>
      <c r="O2616" s="2" t="str">
        <f aca="false">IF(OR(F2616="",G2616=""),"",IF(G2616&lt;='RETRATO 2027'!$K$5,"CONCLUÍDA",IF(F2616&lt;='RETRATO 2027'!$K$5,"EM ANDAMENTO","A INICIAR")))</f>
        <v>CONCLUÍDA</v>
      </c>
    </row>
    <row r="2617" customFormat="false" ht="15" hidden="false" customHeight="false" outlineLevel="0" collapsed="false">
      <c r="B2617" s="4" t="n">
        <v>26743428</v>
      </c>
      <c r="C2617" s="4" t="s">
        <v>208</v>
      </c>
      <c r="D2617" s="4" t="s">
        <v>433</v>
      </c>
      <c r="E2617" s="4" t="s">
        <v>3722</v>
      </c>
      <c r="F2617" s="127" t="n">
        <v>46555</v>
      </c>
      <c r="G2617" s="127" t="n">
        <v>46566</v>
      </c>
      <c r="H2617" s="127" t="n">
        <v>46293</v>
      </c>
      <c r="I2617" s="4" t="n">
        <v>0</v>
      </c>
      <c r="J2617" s="4" t="n">
        <v>0</v>
      </c>
      <c r="K2617" s="4" t="n">
        <v>0</v>
      </c>
      <c r="M2617" s="2" t="str">
        <f aca="false">IF(C2617="","",IFERROR(INDEX($S$5:$S$304,MATCH(C2617,$R$5:$R$304,0))&amp;"","?"))</f>
        <v>33</v>
      </c>
      <c r="N2617" s="2" t="n">
        <f aca="false">IF(E2617="","",IF(ISNUMBER(SEARCH("SUBSOLO",E2617)),IFERROR(-VALUE(LEFT(E2617,FIND("º",SUBSTITUTE(E2617,"°","º"))-1)),-1),IF(LEFT(E2617,6)="TÉRREO",0,IFERROR(VALUE(LEFT(E2617,FIND("º",SUBSTITUTE(E2617,"°","º"))-1)),""))))</f>
        <v>10</v>
      </c>
      <c r="O2617" s="2" t="str">
        <f aca="false">IF(OR(F2617="",G2617=""),"",IF(G2617&lt;='RETRATO 2027'!$K$5,"CONCLUÍDA",IF(F2617&lt;='RETRATO 2027'!$K$5,"EM ANDAMENTO","A INICIAR")))</f>
        <v>CONCLUÍDA</v>
      </c>
    </row>
    <row r="2618" customFormat="false" ht="15" hidden="false" customHeight="false" outlineLevel="0" collapsed="false">
      <c r="B2618" s="4" t="n">
        <v>29844392</v>
      </c>
      <c r="C2618" s="4" t="s">
        <v>2890</v>
      </c>
      <c r="D2618" s="4" t="s">
        <v>433</v>
      </c>
      <c r="E2618" s="4" t="s">
        <v>3788</v>
      </c>
      <c r="F2618" s="127" t="n">
        <v>46555</v>
      </c>
      <c r="G2618" s="127" t="n">
        <v>46566</v>
      </c>
      <c r="H2618" s="127" t="n">
        <v>46293</v>
      </c>
      <c r="I2618" s="4" t="n">
        <v>0</v>
      </c>
      <c r="J2618" s="4" t="n">
        <v>0</v>
      </c>
      <c r="K2618" s="4" t="n">
        <v>0</v>
      </c>
      <c r="M2618" s="2" t="str">
        <f aca="false">IF(C2618="","",IFERROR(INDEX($S$5:$S$304,MATCH(C2618,$R$5:$R$304,0))&amp;"","?"))</f>
        <v>18</v>
      </c>
      <c r="N2618" s="2" t="n">
        <f aca="false">IF(E2618="","",IF(ISNUMBER(SEARCH("SUBSOLO",E2618)),IFERROR(-VALUE(LEFT(E2618,FIND("º",SUBSTITUTE(E2618,"°","º"))-1)),-1),IF(LEFT(E2618,6)="TÉRREO",0,IFERROR(VALUE(LEFT(E2618,FIND("º",SUBSTITUTE(E2618,"°","º"))-1)),""))))</f>
        <v>24</v>
      </c>
      <c r="O2618" s="2" t="str">
        <f aca="false">IF(OR(F2618="",G2618=""),"",IF(G2618&lt;='RETRATO 2027'!$K$5,"CONCLUÍDA",IF(F2618&lt;='RETRATO 2027'!$K$5,"EM ANDAMENTO","A INICIAR")))</f>
        <v>CONCLUÍDA</v>
      </c>
    </row>
    <row r="2619" customFormat="false" ht="15" hidden="false" customHeight="false" outlineLevel="0" collapsed="false">
      <c r="B2619" s="4" t="n">
        <v>26707709</v>
      </c>
      <c r="C2619" s="4" t="s">
        <v>3006</v>
      </c>
      <c r="D2619" s="4" t="s">
        <v>433</v>
      </c>
      <c r="E2619" s="4" t="s">
        <v>3766</v>
      </c>
      <c r="F2619" s="127" t="n">
        <v>46556</v>
      </c>
      <c r="G2619" s="127" t="n">
        <v>46576</v>
      </c>
      <c r="H2619" s="127" t="n">
        <v>46293</v>
      </c>
      <c r="I2619" s="4" t="n">
        <v>0</v>
      </c>
      <c r="J2619" s="4" t="n">
        <v>0</v>
      </c>
      <c r="K2619" s="4" t="n">
        <v>0</v>
      </c>
      <c r="M2619" s="2" t="str">
        <f aca="false">IF(C2619="","",IFERROR(INDEX($S$5:$S$304,MATCH(C2619,$R$5:$R$304,0))&amp;"","?"))</f>
        <v>37</v>
      </c>
      <c r="N2619" s="2" t="n">
        <f aca="false">IF(E2619="","",IF(ISNUMBER(SEARCH("SUBSOLO",E2619)),IFERROR(-VALUE(LEFT(E2619,FIND("º",SUBSTITUTE(E2619,"°","º"))-1)),-1),IF(LEFT(E2619,6)="TÉRREO",0,IFERROR(VALUE(LEFT(E2619,FIND("º",SUBSTITUTE(E2619,"°","º"))-1)),""))))</f>
        <v>1</v>
      </c>
      <c r="O2619" s="2" t="str">
        <f aca="false">IF(OR(F2619="",G2619=""),"",IF(G2619&lt;='RETRATO 2027'!$K$5,"CONCLUÍDA",IF(F2619&lt;='RETRATO 2027'!$K$5,"EM ANDAMENTO","A INICIAR")))</f>
        <v>CONCLUÍDA</v>
      </c>
    </row>
    <row r="2620" customFormat="false" ht="15" hidden="false" customHeight="false" outlineLevel="0" collapsed="false">
      <c r="B2620" s="4" t="n">
        <v>26707704</v>
      </c>
      <c r="C2620" s="4" t="s">
        <v>3009</v>
      </c>
      <c r="D2620" s="4" t="s">
        <v>433</v>
      </c>
      <c r="E2620" s="4" t="s">
        <v>3766</v>
      </c>
      <c r="F2620" s="127" t="n">
        <v>46556</v>
      </c>
      <c r="G2620" s="127" t="n">
        <v>46576</v>
      </c>
      <c r="H2620" s="127" t="n">
        <v>46293</v>
      </c>
      <c r="I2620" s="4" t="n">
        <v>0</v>
      </c>
      <c r="J2620" s="4" t="n">
        <v>0</v>
      </c>
      <c r="K2620" s="4" t="n">
        <v>0</v>
      </c>
      <c r="M2620" s="2" t="str">
        <f aca="false">IF(C2620="","",IFERROR(INDEX($S$5:$S$304,MATCH(C2620,$R$5:$R$304,0))&amp;"","?"))</f>
        <v>23</v>
      </c>
      <c r="N2620" s="2" t="n">
        <f aca="false">IF(E2620="","",IF(ISNUMBER(SEARCH("SUBSOLO",E2620)),IFERROR(-VALUE(LEFT(E2620,FIND("º",SUBSTITUTE(E2620,"°","º"))-1)),-1),IF(LEFT(E2620,6)="TÉRREO",0,IFERROR(VALUE(LEFT(E2620,FIND("º",SUBSTITUTE(E2620,"°","º"))-1)),""))))</f>
        <v>1</v>
      </c>
      <c r="O2620" s="2" t="str">
        <f aca="false">IF(OR(F2620="",G2620=""),"",IF(G2620&lt;='RETRATO 2027'!$K$5,"CONCLUÍDA",IF(F2620&lt;='RETRATO 2027'!$K$5,"EM ANDAMENTO","A INICIAR")))</f>
        <v>CONCLUÍDA</v>
      </c>
    </row>
    <row r="2621" customFormat="false" ht="15" hidden="false" customHeight="false" outlineLevel="0" collapsed="false">
      <c r="B2621" s="4" t="n">
        <v>26707685</v>
      </c>
      <c r="C2621" s="4" t="s">
        <v>2997</v>
      </c>
      <c r="D2621" s="4" t="s">
        <v>433</v>
      </c>
      <c r="E2621" s="4" t="s">
        <v>3772</v>
      </c>
      <c r="F2621" s="127" t="n">
        <v>46556</v>
      </c>
      <c r="G2621" s="127" t="n">
        <v>46576</v>
      </c>
      <c r="H2621" s="127" t="n">
        <v>46293</v>
      </c>
      <c r="I2621" s="4" t="n">
        <v>0</v>
      </c>
      <c r="J2621" s="4" t="n">
        <v>0</v>
      </c>
      <c r="K2621" s="4" t="n">
        <v>0</v>
      </c>
      <c r="M2621" s="2" t="str">
        <f aca="false">IF(C2621="","",IFERROR(INDEX($S$5:$S$304,MATCH(C2621,$R$5:$R$304,0))&amp;"","?"))</f>
        <v>35</v>
      </c>
      <c r="N2621" s="2" t="n">
        <f aca="false">IF(E2621="","",IF(ISNUMBER(SEARCH("SUBSOLO",E2621)),IFERROR(-VALUE(LEFT(E2621,FIND("º",SUBSTITUTE(E2621,"°","º"))-1)),-1),IF(LEFT(E2621,6)="TÉRREO",0,IFERROR(VALUE(LEFT(E2621,FIND("º",SUBSTITUTE(E2621,"°","º"))-1)),""))))</f>
        <v>1</v>
      </c>
      <c r="O2621" s="2" t="str">
        <f aca="false">IF(OR(F2621="",G2621=""),"",IF(G2621&lt;='RETRATO 2027'!$K$5,"CONCLUÍDA",IF(F2621&lt;='RETRATO 2027'!$K$5,"EM ANDAMENTO","A INICIAR")))</f>
        <v>CONCLUÍDA</v>
      </c>
    </row>
    <row r="2622" customFormat="false" ht="15" hidden="false" customHeight="false" outlineLevel="0" collapsed="false">
      <c r="B2622" s="4" t="n">
        <v>26744727</v>
      </c>
      <c r="C2622" s="4" t="s">
        <v>2869</v>
      </c>
      <c r="D2622" s="4" t="s">
        <v>433</v>
      </c>
      <c r="E2622" s="4" t="s">
        <v>3800</v>
      </c>
      <c r="F2622" s="127" t="n">
        <v>46556</v>
      </c>
      <c r="G2622" s="127" t="n">
        <v>46569</v>
      </c>
      <c r="H2622" s="127" t="n">
        <v>46293</v>
      </c>
      <c r="I2622" s="4" t="n">
        <v>0</v>
      </c>
      <c r="J2622" s="4" t="n">
        <v>0</v>
      </c>
      <c r="K2622" s="4" t="n">
        <v>0</v>
      </c>
      <c r="M2622" s="2" t="str">
        <f aca="false">IF(C2622="","",IFERROR(INDEX($S$5:$S$304,MATCH(C2622,$R$5:$R$304,0))&amp;"","?"))</f>
        <v>22</v>
      </c>
      <c r="N2622" s="2" t="n">
        <f aca="false">IF(E2622="","",IF(ISNUMBER(SEARCH("SUBSOLO",E2622)),IFERROR(-VALUE(LEFT(E2622,FIND("º",SUBSTITUTE(E2622,"°","º"))-1)),-1),IF(LEFT(E2622,6)="TÉRREO",0,IFERROR(VALUE(LEFT(E2622,FIND("º",SUBSTITUTE(E2622,"°","º"))-1)),""))))</f>
        <v>3</v>
      </c>
      <c r="O2622" s="2" t="str">
        <f aca="false">IF(OR(F2622="",G2622=""),"",IF(G2622&lt;='RETRATO 2027'!$K$5,"CONCLUÍDA",IF(F2622&lt;='RETRATO 2027'!$K$5,"EM ANDAMENTO","A INICIAR")))</f>
        <v>CONCLUÍDA</v>
      </c>
    </row>
    <row r="2623" customFormat="false" ht="15" hidden="false" customHeight="false" outlineLevel="0" collapsed="false">
      <c r="B2623" s="4" t="n">
        <v>26744693</v>
      </c>
      <c r="C2623" s="4" t="s">
        <v>163</v>
      </c>
      <c r="D2623" s="4" t="s">
        <v>433</v>
      </c>
      <c r="E2623" s="4" t="s">
        <v>3810</v>
      </c>
      <c r="F2623" s="127" t="n">
        <v>46556</v>
      </c>
      <c r="G2623" s="127" t="n">
        <v>46617</v>
      </c>
      <c r="H2623" s="127" t="n">
        <v>46293</v>
      </c>
      <c r="I2623" s="4" t="n">
        <v>0</v>
      </c>
      <c r="J2623" s="4" t="n">
        <v>0</v>
      </c>
      <c r="K2623" s="4" t="n">
        <v>0</v>
      </c>
      <c r="M2623" s="2" t="str">
        <f aca="false">IF(C2623="","",IFERROR(INDEX($S$5:$S$304,MATCH(C2623,$R$5:$R$304,0))&amp;"","?"))</f>
        <v>18</v>
      </c>
      <c r="N2623" s="2" t="n">
        <f aca="false">IF(E2623="","",IF(ISNUMBER(SEARCH("SUBSOLO",E2623)),IFERROR(-VALUE(LEFT(E2623,FIND("º",SUBSTITUTE(E2623,"°","º"))-1)),-1),IF(LEFT(E2623,6)="TÉRREO",0,IFERROR(VALUE(LEFT(E2623,FIND("º",SUBSTITUTE(E2623,"°","º"))-1)),""))))</f>
        <v>3</v>
      </c>
      <c r="O2623" s="2" t="str">
        <f aca="false">IF(OR(F2623="",G2623=""),"",IF(G2623&lt;='RETRATO 2027'!$K$5,"CONCLUÍDA",IF(F2623&lt;='RETRATO 2027'!$K$5,"EM ANDAMENTO","A INICIAR")))</f>
        <v>CONCLUÍDA</v>
      </c>
    </row>
    <row r="2624" customFormat="false" ht="15" hidden="false" customHeight="false" outlineLevel="0" collapsed="false">
      <c r="B2624" s="4" t="n">
        <v>29845958</v>
      </c>
      <c r="C2624" s="4" t="s">
        <v>2983</v>
      </c>
      <c r="D2624" s="4" t="s">
        <v>433</v>
      </c>
      <c r="E2624" s="4" t="s">
        <v>3762</v>
      </c>
      <c r="F2624" s="127" t="n">
        <v>46556</v>
      </c>
      <c r="G2624" s="127" t="n">
        <v>46566</v>
      </c>
      <c r="H2624" s="127" t="n">
        <v>46293</v>
      </c>
      <c r="I2624" s="4" t="n">
        <v>0</v>
      </c>
      <c r="J2624" s="4" t="n">
        <v>0</v>
      </c>
      <c r="K2624" s="4" t="n">
        <v>0</v>
      </c>
      <c r="M2624" s="2" t="str">
        <f aca="false">IF(C2624="","",IFERROR(INDEX($S$5:$S$304,MATCH(C2624,$R$5:$R$304,0))&amp;"","?"))</f>
        <v>20</v>
      </c>
      <c r="N2624" s="2" t="n">
        <f aca="false">IF(E2624="","",IF(ISNUMBER(SEARCH("SUBSOLO",E2624)),IFERROR(-VALUE(LEFT(E2624,FIND("º",SUBSTITUTE(E2624,"°","º"))-1)),-1),IF(LEFT(E2624,6)="TÉRREO",0,IFERROR(VALUE(LEFT(E2624,FIND("º",SUBSTITUTE(E2624,"°","º"))-1)),""))))</f>
        <v>11</v>
      </c>
      <c r="O2624" s="2" t="str">
        <f aca="false">IF(OR(F2624="",G2624=""),"",IF(G2624&lt;='RETRATO 2027'!$K$5,"CONCLUÍDA",IF(F2624&lt;='RETRATO 2027'!$K$5,"EM ANDAMENTO","A INICIAR")))</f>
        <v>CONCLUÍDA</v>
      </c>
    </row>
    <row r="2625" customFormat="false" ht="15" hidden="false" customHeight="false" outlineLevel="0" collapsed="false">
      <c r="B2625" s="4" t="n">
        <v>29845897</v>
      </c>
      <c r="C2625" s="4" t="s">
        <v>2986</v>
      </c>
      <c r="D2625" s="4" t="s">
        <v>433</v>
      </c>
      <c r="E2625" s="4" t="s">
        <v>3762</v>
      </c>
      <c r="F2625" s="127" t="n">
        <v>46556</v>
      </c>
      <c r="G2625" s="127" t="n">
        <v>46567</v>
      </c>
      <c r="H2625" s="127" t="n">
        <v>46293</v>
      </c>
      <c r="I2625" s="4" t="n">
        <v>0</v>
      </c>
      <c r="J2625" s="4" t="n">
        <v>0</v>
      </c>
      <c r="K2625" s="4" t="n">
        <v>0</v>
      </c>
      <c r="M2625" s="2" t="str">
        <f aca="false">IF(C2625="","",IFERROR(INDEX($S$5:$S$304,MATCH(C2625,$R$5:$R$304,0))&amp;"","?"))</f>
        <v>20</v>
      </c>
      <c r="N2625" s="2" t="n">
        <f aca="false">IF(E2625="","",IF(ISNUMBER(SEARCH("SUBSOLO",E2625)),IFERROR(-VALUE(LEFT(E2625,FIND("º",SUBSTITUTE(E2625,"°","º"))-1)),-1),IF(LEFT(E2625,6)="TÉRREO",0,IFERROR(VALUE(LEFT(E2625,FIND("º",SUBSTITUTE(E2625,"°","º"))-1)),""))))</f>
        <v>11</v>
      </c>
      <c r="O2625" s="2" t="str">
        <f aca="false">IF(OR(F2625="",G2625=""),"",IF(G2625&lt;='RETRATO 2027'!$K$5,"CONCLUÍDA",IF(F2625&lt;='RETRATO 2027'!$K$5,"EM ANDAMENTO","A INICIAR")))</f>
        <v>CONCLUÍDA</v>
      </c>
    </row>
    <row r="2626" customFormat="false" ht="15" hidden="false" customHeight="false" outlineLevel="0" collapsed="false">
      <c r="B2626" s="4" t="n">
        <v>26743356</v>
      </c>
      <c r="C2626" s="4" t="s">
        <v>2977</v>
      </c>
      <c r="D2626" s="4" t="s">
        <v>433</v>
      </c>
      <c r="E2626" s="4" t="s">
        <v>3763</v>
      </c>
      <c r="F2626" s="127" t="n">
        <v>46556</v>
      </c>
      <c r="G2626" s="127" t="n">
        <v>46567</v>
      </c>
      <c r="H2626" s="127" t="n">
        <v>46293</v>
      </c>
      <c r="I2626" s="4" t="n">
        <v>0</v>
      </c>
      <c r="J2626" s="4" t="n">
        <v>0</v>
      </c>
      <c r="K2626" s="4" t="n">
        <v>0</v>
      </c>
      <c r="M2626" s="2" t="str">
        <f aca="false">IF(C2626="","",IFERROR(INDEX($S$5:$S$304,MATCH(C2626,$R$5:$R$304,0))&amp;"","?"))</f>
        <v>30</v>
      </c>
      <c r="N2626" s="2" t="n">
        <f aca="false">IF(E2626="","",IF(ISNUMBER(SEARCH("SUBSOLO",E2626)),IFERROR(-VALUE(LEFT(E2626,FIND("º",SUBSTITUTE(E2626,"°","º"))-1)),-1),IF(LEFT(E2626,6)="TÉRREO",0,IFERROR(VALUE(LEFT(E2626,FIND("º",SUBSTITUTE(E2626,"°","º"))-1)),""))))</f>
        <v>12</v>
      </c>
      <c r="O2626" s="2" t="str">
        <f aca="false">IF(OR(F2626="",G2626=""),"",IF(G2626&lt;='RETRATO 2027'!$K$5,"CONCLUÍDA",IF(F2626&lt;='RETRATO 2027'!$K$5,"EM ANDAMENTO","A INICIAR")))</f>
        <v>CONCLUÍDA</v>
      </c>
    </row>
    <row r="2627" customFormat="false" ht="15" hidden="false" customHeight="false" outlineLevel="0" collapsed="false">
      <c r="B2627" s="4" t="n">
        <v>26743312</v>
      </c>
      <c r="C2627" s="4" t="s">
        <v>2935</v>
      </c>
      <c r="D2627" s="4" t="s">
        <v>433</v>
      </c>
      <c r="E2627" s="4" t="s">
        <v>3764</v>
      </c>
      <c r="F2627" s="127" t="n">
        <v>46556</v>
      </c>
      <c r="G2627" s="127" t="n">
        <v>46567</v>
      </c>
      <c r="H2627" s="127" t="n">
        <v>46293</v>
      </c>
      <c r="I2627" s="4" t="n">
        <v>0</v>
      </c>
      <c r="J2627" s="4" t="n">
        <v>0</v>
      </c>
      <c r="K2627" s="4" t="n">
        <v>0</v>
      </c>
      <c r="M2627" s="2" t="str">
        <f aca="false">IF(C2627="","",IFERROR(INDEX($S$5:$S$304,MATCH(C2627,$R$5:$R$304,0))&amp;"","?"))</f>
        <v>30</v>
      </c>
      <c r="N2627" s="2" t="n">
        <f aca="false">IF(E2627="","",IF(ISNUMBER(SEARCH("SUBSOLO",E2627)),IFERROR(-VALUE(LEFT(E2627,FIND("º",SUBSTITUTE(E2627,"°","º"))-1)),-1),IF(LEFT(E2627,6)="TÉRREO",0,IFERROR(VALUE(LEFT(E2627,FIND("º",SUBSTITUTE(E2627,"°","º"))-1)),""))))</f>
        <v>13</v>
      </c>
      <c r="O2627" s="2" t="str">
        <f aca="false">IF(OR(F2627="",G2627=""),"",IF(G2627&lt;='RETRATO 2027'!$K$5,"CONCLUÍDA",IF(F2627&lt;='RETRATO 2027'!$K$5,"EM ANDAMENTO","A INICIAR")))</f>
        <v>CONCLUÍDA</v>
      </c>
    </row>
    <row r="2628" customFormat="false" ht="15" hidden="false" customHeight="false" outlineLevel="0" collapsed="false">
      <c r="B2628" s="4" t="n">
        <v>26743259</v>
      </c>
      <c r="C2628" s="4" t="s">
        <v>2938</v>
      </c>
      <c r="D2628" s="4" t="s">
        <v>433</v>
      </c>
      <c r="E2628" s="4" t="s">
        <v>3765</v>
      </c>
      <c r="F2628" s="127" t="n">
        <v>46556</v>
      </c>
      <c r="G2628" s="127" t="n">
        <v>46567</v>
      </c>
      <c r="H2628" s="127" t="n">
        <v>46293</v>
      </c>
      <c r="I2628" s="4" t="n">
        <v>0</v>
      </c>
      <c r="J2628" s="4" t="n">
        <v>0</v>
      </c>
      <c r="K2628" s="4" t="n">
        <v>0</v>
      </c>
      <c r="M2628" s="2" t="str">
        <f aca="false">IF(C2628="","",IFERROR(INDEX($S$5:$S$304,MATCH(C2628,$R$5:$R$304,0))&amp;"","?"))</f>
        <v>30</v>
      </c>
      <c r="N2628" s="2" t="n">
        <f aca="false">IF(E2628="","",IF(ISNUMBER(SEARCH("SUBSOLO",E2628)),IFERROR(-VALUE(LEFT(E2628,FIND("º",SUBSTITUTE(E2628,"°","º"))-1)),-1),IF(LEFT(E2628,6)="TÉRREO",0,IFERROR(VALUE(LEFT(E2628,FIND("º",SUBSTITUTE(E2628,"°","º"))-1)),""))))</f>
        <v>14</v>
      </c>
      <c r="O2628" s="2" t="str">
        <f aca="false">IF(OR(F2628="",G2628=""),"",IF(G2628&lt;='RETRATO 2027'!$K$5,"CONCLUÍDA",IF(F2628&lt;='RETRATO 2027'!$K$5,"EM ANDAMENTO","A INICIAR")))</f>
        <v>CONCLUÍDA</v>
      </c>
    </row>
    <row r="2629" customFormat="false" ht="15" hidden="false" customHeight="false" outlineLevel="0" collapsed="false">
      <c r="B2629" s="4" t="n">
        <v>26743221</v>
      </c>
      <c r="C2629" s="4" t="s">
        <v>166</v>
      </c>
      <c r="D2629" s="4" t="s">
        <v>433</v>
      </c>
      <c r="E2629" s="4" t="s">
        <v>3768</v>
      </c>
      <c r="F2629" s="127" t="n">
        <v>46556</v>
      </c>
      <c r="G2629" s="127" t="n">
        <v>46567</v>
      </c>
      <c r="H2629" s="127" t="n">
        <v>46293</v>
      </c>
      <c r="I2629" s="4" t="n">
        <v>0</v>
      </c>
      <c r="J2629" s="4" t="n">
        <v>0</v>
      </c>
      <c r="K2629" s="4" t="n">
        <v>0</v>
      </c>
      <c r="M2629" s="2" t="str">
        <f aca="false">IF(C2629="","",IFERROR(INDEX($S$5:$S$304,MATCH(C2629,$R$5:$R$304,0))&amp;"","?"))</f>
        <v>19</v>
      </c>
      <c r="N2629" s="2" t="n">
        <f aca="false">IF(E2629="","",IF(ISNUMBER(SEARCH("SUBSOLO",E2629)),IFERROR(-VALUE(LEFT(E2629,FIND("º",SUBSTITUTE(E2629,"°","º"))-1)),-1),IF(LEFT(E2629,6)="TÉRREO",0,IFERROR(VALUE(LEFT(E2629,FIND("º",SUBSTITUTE(E2629,"°","º"))-1)),""))))</f>
        <v>15</v>
      </c>
      <c r="O2629" s="2" t="str">
        <f aca="false">IF(OR(F2629="",G2629=""),"",IF(G2629&lt;='RETRATO 2027'!$K$5,"CONCLUÍDA",IF(F2629&lt;='RETRATO 2027'!$K$5,"EM ANDAMENTO","A INICIAR")))</f>
        <v>CONCLUÍDA</v>
      </c>
    </row>
    <row r="2630" customFormat="false" ht="15" hidden="false" customHeight="false" outlineLevel="0" collapsed="false">
      <c r="B2630" s="4" t="n">
        <v>26743194</v>
      </c>
      <c r="C2630" s="4" t="s">
        <v>2941</v>
      </c>
      <c r="D2630" s="4" t="s">
        <v>433</v>
      </c>
      <c r="E2630" s="4" t="s">
        <v>3771</v>
      </c>
      <c r="F2630" s="127" t="n">
        <v>46556</v>
      </c>
      <c r="G2630" s="127" t="n">
        <v>46567</v>
      </c>
      <c r="H2630" s="127" t="n">
        <v>46293</v>
      </c>
      <c r="I2630" s="4" t="n">
        <v>0</v>
      </c>
      <c r="J2630" s="4" t="n">
        <v>0</v>
      </c>
      <c r="K2630" s="4" t="n">
        <v>0</v>
      </c>
      <c r="M2630" s="2" t="str">
        <f aca="false">IF(C2630="","",IFERROR(INDEX($S$5:$S$304,MATCH(C2630,$R$5:$R$304,0))&amp;"","?"))</f>
        <v>18</v>
      </c>
      <c r="N2630" s="2" t="n">
        <f aca="false">IF(E2630="","",IF(ISNUMBER(SEARCH("SUBSOLO",E2630)),IFERROR(-VALUE(LEFT(E2630,FIND("º",SUBSTITUTE(E2630,"°","º"))-1)),-1),IF(LEFT(E2630,6)="TÉRREO",0,IFERROR(VALUE(LEFT(E2630,FIND("º",SUBSTITUTE(E2630,"°","º"))-1)),""))))</f>
        <v>16</v>
      </c>
      <c r="O2630" s="2" t="str">
        <f aca="false">IF(OR(F2630="",G2630=""),"",IF(G2630&lt;='RETRATO 2027'!$K$5,"CONCLUÍDA",IF(F2630&lt;='RETRATO 2027'!$K$5,"EM ANDAMENTO","A INICIAR")))</f>
        <v>CONCLUÍDA</v>
      </c>
    </row>
    <row r="2631" customFormat="false" ht="15" hidden="false" customHeight="false" outlineLevel="0" collapsed="false">
      <c r="B2631" s="4" t="n">
        <v>26743158</v>
      </c>
      <c r="C2631" s="4" t="s">
        <v>2924</v>
      </c>
      <c r="D2631" s="4" t="s">
        <v>433</v>
      </c>
      <c r="E2631" s="4" t="s">
        <v>3773</v>
      </c>
      <c r="F2631" s="127" t="n">
        <v>46556</v>
      </c>
      <c r="G2631" s="127" t="n">
        <v>46567</v>
      </c>
      <c r="H2631" s="127" t="n">
        <v>46293</v>
      </c>
      <c r="I2631" s="4" t="n">
        <v>0</v>
      </c>
      <c r="J2631" s="4" t="n">
        <v>0</v>
      </c>
      <c r="K2631" s="4" t="n">
        <v>0</v>
      </c>
      <c r="M2631" s="2" t="str">
        <f aca="false">IF(C2631="","",IFERROR(INDEX($S$5:$S$304,MATCH(C2631,$R$5:$R$304,0))&amp;"","?"))</f>
        <v>21</v>
      </c>
      <c r="N2631" s="2" t="n">
        <f aca="false">IF(E2631="","",IF(ISNUMBER(SEARCH("SUBSOLO",E2631)),IFERROR(-VALUE(LEFT(E2631,FIND("º",SUBSTITUTE(E2631,"°","º"))-1)),-1),IF(LEFT(E2631,6)="TÉRREO",0,IFERROR(VALUE(LEFT(E2631,FIND("º",SUBSTITUTE(E2631,"°","º"))-1)),""))))</f>
        <v>17</v>
      </c>
      <c r="O2631" s="2" t="str">
        <f aca="false">IF(OR(F2631="",G2631=""),"",IF(G2631&lt;='RETRATO 2027'!$K$5,"CONCLUÍDA",IF(F2631&lt;='RETRATO 2027'!$K$5,"EM ANDAMENTO","A INICIAR")))</f>
        <v>CONCLUÍDA</v>
      </c>
    </row>
    <row r="2632" customFormat="false" ht="15" hidden="false" customHeight="false" outlineLevel="0" collapsed="false">
      <c r="B2632" s="4" t="n">
        <v>26743141</v>
      </c>
      <c r="C2632" s="4" t="s">
        <v>2926</v>
      </c>
      <c r="D2632" s="4" t="s">
        <v>433</v>
      </c>
      <c r="E2632" s="4" t="s">
        <v>3773</v>
      </c>
      <c r="F2632" s="127" t="n">
        <v>46556</v>
      </c>
      <c r="G2632" s="127" t="n">
        <v>46567</v>
      </c>
      <c r="H2632" s="127" t="n">
        <v>46293</v>
      </c>
      <c r="I2632" s="4" t="n">
        <v>0</v>
      </c>
      <c r="J2632" s="4" t="n">
        <v>0</v>
      </c>
      <c r="K2632" s="4" t="n">
        <v>0</v>
      </c>
      <c r="M2632" s="2" t="str">
        <f aca="false">IF(C2632="","",IFERROR(INDEX($S$5:$S$304,MATCH(C2632,$R$5:$R$304,0))&amp;"","?"))</f>
        <v>20</v>
      </c>
      <c r="N2632" s="2" t="n">
        <f aca="false">IF(E2632="","",IF(ISNUMBER(SEARCH("SUBSOLO",E2632)),IFERROR(-VALUE(LEFT(E2632,FIND("º",SUBSTITUTE(E2632,"°","º"))-1)),-1),IF(LEFT(E2632,6)="TÉRREO",0,IFERROR(VALUE(LEFT(E2632,FIND("º",SUBSTITUTE(E2632,"°","º"))-1)),""))))</f>
        <v>17</v>
      </c>
      <c r="O2632" s="2" t="str">
        <f aca="false">IF(OR(F2632="",G2632=""),"",IF(G2632&lt;='RETRATO 2027'!$K$5,"CONCLUÍDA",IF(F2632&lt;='RETRATO 2027'!$K$5,"EM ANDAMENTO","A INICIAR")))</f>
        <v>CONCLUÍDA</v>
      </c>
    </row>
    <row r="2633" customFormat="false" ht="15" hidden="false" customHeight="false" outlineLevel="0" collapsed="false">
      <c r="B2633" s="4" t="n">
        <v>26743140</v>
      </c>
      <c r="C2633" s="4" t="s">
        <v>2928</v>
      </c>
      <c r="D2633" s="4" t="s">
        <v>433</v>
      </c>
      <c r="E2633" s="4" t="s">
        <v>3773</v>
      </c>
      <c r="F2633" s="127" t="n">
        <v>46556</v>
      </c>
      <c r="G2633" s="127" t="n">
        <v>46567</v>
      </c>
      <c r="H2633" s="127" t="n">
        <v>46293</v>
      </c>
      <c r="I2633" s="4" t="n">
        <v>0</v>
      </c>
      <c r="J2633" s="4" t="n">
        <v>0</v>
      </c>
      <c r="K2633" s="4" t="n">
        <v>0</v>
      </c>
      <c r="M2633" s="2" t="str">
        <f aca="false">IF(C2633="","",IFERROR(INDEX($S$5:$S$304,MATCH(C2633,$R$5:$R$304,0))&amp;"","?"))</f>
        <v>23</v>
      </c>
      <c r="N2633" s="2" t="n">
        <f aca="false">IF(E2633="","",IF(ISNUMBER(SEARCH("SUBSOLO",E2633)),IFERROR(-VALUE(LEFT(E2633,FIND("º",SUBSTITUTE(E2633,"°","º"))-1)),-1),IF(LEFT(E2633,6)="TÉRREO",0,IFERROR(VALUE(LEFT(E2633,FIND("º",SUBSTITUTE(E2633,"°","º"))-1)),""))))</f>
        <v>17</v>
      </c>
      <c r="O2633" s="2" t="str">
        <f aca="false">IF(OR(F2633="",G2633=""),"",IF(G2633&lt;='RETRATO 2027'!$K$5,"CONCLUÍDA",IF(F2633&lt;='RETRATO 2027'!$K$5,"EM ANDAMENTO","A INICIAR")))</f>
        <v>CONCLUÍDA</v>
      </c>
    </row>
    <row r="2634" customFormat="false" ht="15" hidden="false" customHeight="false" outlineLevel="0" collapsed="false">
      <c r="B2634" s="4" t="n">
        <v>26743159</v>
      </c>
      <c r="C2634" s="4" t="s">
        <v>2930</v>
      </c>
      <c r="D2634" s="4" t="s">
        <v>433</v>
      </c>
      <c r="E2634" s="4" t="s">
        <v>3773</v>
      </c>
      <c r="F2634" s="127" t="n">
        <v>46556</v>
      </c>
      <c r="G2634" s="127" t="n">
        <v>46567</v>
      </c>
      <c r="H2634" s="127" t="n">
        <v>46293</v>
      </c>
      <c r="I2634" s="4" t="n">
        <v>0</v>
      </c>
      <c r="J2634" s="4" t="n">
        <v>0</v>
      </c>
      <c r="K2634" s="4" t="n">
        <v>0</v>
      </c>
      <c r="M2634" s="2" t="str">
        <f aca="false">IF(C2634="","",IFERROR(INDEX($S$5:$S$304,MATCH(C2634,$R$5:$R$304,0))&amp;"","?"))</f>
        <v>21</v>
      </c>
      <c r="N2634" s="2" t="n">
        <f aca="false">IF(E2634="","",IF(ISNUMBER(SEARCH("SUBSOLO",E2634)),IFERROR(-VALUE(LEFT(E2634,FIND("º",SUBSTITUTE(E2634,"°","º"))-1)),-1),IF(LEFT(E2634,6)="TÉRREO",0,IFERROR(VALUE(LEFT(E2634,FIND("º",SUBSTITUTE(E2634,"°","º"))-1)),""))))</f>
        <v>17</v>
      </c>
      <c r="O2634" s="2" t="str">
        <f aca="false">IF(OR(F2634="",G2634=""),"",IF(G2634&lt;='RETRATO 2027'!$K$5,"CONCLUÍDA",IF(F2634&lt;='RETRATO 2027'!$K$5,"EM ANDAMENTO","A INICIAR")))</f>
        <v>CONCLUÍDA</v>
      </c>
    </row>
    <row r="2635" customFormat="false" ht="15" hidden="false" customHeight="false" outlineLevel="0" collapsed="false">
      <c r="B2635" s="4" t="n">
        <v>26743160</v>
      </c>
      <c r="C2635" s="4" t="s">
        <v>2933</v>
      </c>
      <c r="D2635" s="4" t="s">
        <v>433</v>
      </c>
      <c r="E2635" s="4" t="s">
        <v>3773</v>
      </c>
      <c r="F2635" s="127" t="n">
        <v>46556</v>
      </c>
      <c r="G2635" s="127" t="n">
        <v>46567</v>
      </c>
      <c r="H2635" s="127" t="n">
        <v>46293</v>
      </c>
      <c r="I2635" s="4" t="n">
        <v>0</v>
      </c>
      <c r="J2635" s="4" t="n">
        <v>0</v>
      </c>
      <c r="K2635" s="4" t="n">
        <v>0</v>
      </c>
      <c r="M2635" s="2" t="str">
        <f aca="false">IF(C2635="","",IFERROR(INDEX($S$5:$S$304,MATCH(C2635,$R$5:$R$304,0))&amp;"","?"))</f>
        <v>21</v>
      </c>
      <c r="N2635" s="2" t="n">
        <f aca="false">IF(E2635="","",IF(ISNUMBER(SEARCH("SUBSOLO",E2635)),IFERROR(-VALUE(LEFT(E2635,FIND("º",SUBSTITUTE(E2635,"°","º"))-1)),-1),IF(LEFT(E2635,6)="TÉRREO",0,IFERROR(VALUE(LEFT(E2635,FIND("º",SUBSTITUTE(E2635,"°","º"))-1)),""))))</f>
        <v>17</v>
      </c>
      <c r="O2635" s="2" t="str">
        <f aca="false">IF(OR(F2635="",G2635=""),"",IF(G2635&lt;='RETRATO 2027'!$K$5,"CONCLUÍDA",IF(F2635&lt;='RETRATO 2027'!$K$5,"EM ANDAMENTO","A INICIAR")))</f>
        <v>CONCLUÍDA</v>
      </c>
    </row>
    <row r="2636" customFormat="false" ht="15" hidden="false" customHeight="false" outlineLevel="0" collapsed="false">
      <c r="B2636" s="4" t="n">
        <v>26743102</v>
      </c>
      <c r="C2636" s="4" t="s">
        <v>2922</v>
      </c>
      <c r="D2636" s="4" t="s">
        <v>433</v>
      </c>
      <c r="E2636" s="4" t="s">
        <v>3776</v>
      </c>
      <c r="F2636" s="127" t="n">
        <v>46556</v>
      </c>
      <c r="G2636" s="127" t="n">
        <v>46567</v>
      </c>
      <c r="H2636" s="127" t="n">
        <v>46293</v>
      </c>
      <c r="I2636" s="4" t="n">
        <v>0</v>
      </c>
      <c r="J2636" s="4" t="n">
        <v>0</v>
      </c>
      <c r="K2636" s="4" t="n">
        <v>0</v>
      </c>
      <c r="M2636" s="2" t="str">
        <f aca="false">IF(C2636="","",IFERROR(INDEX($S$5:$S$304,MATCH(C2636,$R$5:$R$304,0))&amp;"","?"))</f>
        <v>18</v>
      </c>
      <c r="N2636" s="2" t="n">
        <f aca="false">IF(E2636="","",IF(ISNUMBER(SEARCH("SUBSOLO",E2636)),IFERROR(-VALUE(LEFT(E2636,FIND("º",SUBSTITUTE(E2636,"°","º"))-1)),-1),IF(LEFT(E2636,6)="TÉRREO",0,IFERROR(VALUE(LEFT(E2636,FIND("º",SUBSTITUTE(E2636,"°","º"))-1)),""))))</f>
        <v>18</v>
      </c>
      <c r="O2636" s="2" t="str">
        <f aca="false">IF(OR(F2636="",G2636=""),"",IF(G2636&lt;='RETRATO 2027'!$K$5,"CONCLUÍDA",IF(F2636&lt;='RETRATO 2027'!$K$5,"EM ANDAMENTO","A INICIAR")))</f>
        <v>CONCLUÍDA</v>
      </c>
    </row>
    <row r="2637" customFormat="false" ht="15" hidden="false" customHeight="false" outlineLevel="0" collapsed="false">
      <c r="B2637" s="4" t="n">
        <v>26745136</v>
      </c>
      <c r="C2637" s="4" t="s">
        <v>2808</v>
      </c>
      <c r="D2637" s="4" t="s">
        <v>433</v>
      </c>
      <c r="E2637" s="4" t="s">
        <v>3807</v>
      </c>
      <c r="F2637" s="127" t="n">
        <v>46559</v>
      </c>
      <c r="G2637" s="127" t="n">
        <v>46577</v>
      </c>
      <c r="H2637" s="127" t="n">
        <v>46293</v>
      </c>
      <c r="I2637" s="4" t="n">
        <v>0</v>
      </c>
      <c r="J2637" s="4" t="n">
        <v>0</v>
      </c>
      <c r="K2637" s="4" t="n">
        <v>0</v>
      </c>
      <c r="M2637" s="2" t="str">
        <f aca="false">IF(C2637="","",IFERROR(INDEX($S$5:$S$304,MATCH(C2637,$R$5:$R$304,0))&amp;"","?"))</f>
        <v>29</v>
      </c>
      <c r="N2637" s="2" t="n">
        <f aca="false">IF(E2637="","",IF(ISNUMBER(SEARCH("SUBSOLO",E2637)),IFERROR(-VALUE(LEFT(E2637,FIND("º",SUBSTITUTE(E2637,"°","º"))-1)),-1),IF(LEFT(E2637,6)="TÉRREO",0,IFERROR(VALUE(LEFT(E2637,FIND("º",SUBSTITUTE(E2637,"°","º"))-1)),""))))</f>
        <v>2</v>
      </c>
      <c r="O2637" s="2" t="str">
        <f aca="false">IF(OR(F2637="",G2637=""),"",IF(G2637&lt;='RETRATO 2027'!$K$5,"CONCLUÍDA",IF(F2637&lt;='RETRATO 2027'!$K$5,"EM ANDAMENTO","A INICIAR")))</f>
        <v>CONCLUÍDA</v>
      </c>
    </row>
    <row r="2638" customFormat="false" ht="15" hidden="false" customHeight="false" outlineLevel="0" collapsed="false">
      <c r="B2638" s="4" t="n">
        <v>26707627</v>
      </c>
      <c r="C2638" s="4" t="s">
        <v>163</v>
      </c>
      <c r="D2638" s="4" t="s">
        <v>433</v>
      </c>
      <c r="E2638" s="4" t="s">
        <v>3811</v>
      </c>
      <c r="F2638" s="127" t="n">
        <v>46559</v>
      </c>
      <c r="G2638" s="127" t="n">
        <v>46588</v>
      </c>
      <c r="H2638" s="127" t="n">
        <v>46293</v>
      </c>
      <c r="I2638" s="4" t="n">
        <v>0</v>
      </c>
      <c r="J2638" s="4" t="n">
        <v>0</v>
      </c>
      <c r="K2638" s="4" t="n">
        <v>0</v>
      </c>
      <c r="M2638" s="2" t="str">
        <f aca="false">IF(C2638="","",IFERROR(INDEX($S$5:$S$304,MATCH(C2638,$R$5:$R$304,0))&amp;"","?"))</f>
        <v>18</v>
      </c>
      <c r="N2638" s="2" t="n">
        <f aca="false">IF(E2638="","",IF(ISNUMBER(SEARCH("SUBSOLO",E2638)),IFERROR(-VALUE(LEFT(E2638,FIND("º",SUBSTITUTE(E2638,"°","º"))-1)),-1),IF(LEFT(E2638,6)="TÉRREO",0,IFERROR(VALUE(LEFT(E2638,FIND("º",SUBSTITUTE(E2638,"°","º"))-1)),""))))</f>
        <v>2</v>
      </c>
      <c r="O2638" s="2" t="str">
        <f aca="false">IF(OR(F2638="",G2638=""),"",IF(G2638&lt;='RETRATO 2027'!$K$5,"CONCLUÍDA",IF(F2638&lt;='RETRATO 2027'!$K$5,"EM ANDAMENTO","A INICIAR")))</f>
        <v>CONCLUÍDA</v>
      </c>
    </row>
    <row r="2639" customFormat="false" ht="15" hidden="false" customHeight="false" outlineLevel="0" collapsed="false">
      <c r="B2639" s="4" t="n">
        <v>26742872</v>
      </c>
      <c r="C2639" s="4" t="s">
        <v>2869</v>
      </c>
      <c r="D2639" s="4" t="s">
        <v>433</v>
      </c>
      <c r="E2639" s="4" t="s">
        <v>3794</v>
      </c>
      <c r="F2639" s="127" t="n">
        <v>46559</v>
      </c>
      <c r="G2639" s="127" t="n">
        <v>46568</v>
      </c>
      <c r="H2639" s="127" t="n">
        <v>46293</v>
      </c>
      <c r="I2639" s="4" t="n">
        <v>0</v>
      </c>
      <c r="J2639" s="4" t="n">
        <v>0</v>
      </c>
      <c r="K2639" s="4" t="n">
        <v>0</v>
      </c>
      <c r="M2639" s="2" t="str">
        <f aca="false">IF(C2639="","",IFERROR(INDEX($S$5:$S$304,MATCH(C2639,$R$5:$R$304,0))&amp;"","?"))</f>
        <v>22</v>
      </c>
      <c r="N2639" s="2" t="n">
        <f aca="false">IF(E2639="","",IF(ISNUMBER(SEARCH("SUBSOLO",E2639)),IFERROR(-VALUE(LEFT(E2639,FIND("º",SUBSTITUTE(E2639,"°","º"))-1)),-1),IF(LEFT(E2639,6)="TÉRREO",0,IFERROR(VALUE(LEFT(E2639,FIND("º",SUBSTITUTE(E2639,"°","º"))-1)),""))))</f>
        <v>25</v>
      </c>
      <c r="O2639" s="2" t="str">
        <f aca="false">IF(OR(F2639="",G2639=""),"",IF(G2639&lt;='RETRATO 2027'!$K$5,"CONCLUÍDA",IF(F2639&lt;='RETRATO 2027'!$K$5,"EM ANDAMENTO","A INICIAR")))</f>
        <v>CONCLUÍDA</v>
      </c>
    </row>
    <row r="2640" customFormat="false" ht="15" hidden="false" customHeight="false" outlineLevel="0" collapsed="false">
      <c r="B2640" s="4" t="n">
        <v>26742833</v>
      </c>
      <c r="C2640" s="4" t="s">
        <v>163</v>
      </c>
      <c r="D2640" s="4" t="s">
        <v>433</v>
      </c>
      <c r="E2640" s="4" t="s">
        <v>3797</v>
      </c>
      <c r="F2640" s="127" t="n">
        <v>46559</v>
      </c>
      <c r="G2640" s="127" t="n">
        <v>46568</v>
      </c>
      <c r="H2640" s="127" t="n">
        <v>46293</v>
      </c>
      <c r="I2640" s="4" t="n">
        <v>0</v>
      </c>
      <c r="J2640" s="4" t="n">
        <v>0</v>
      </c>
      <c r="K2640" s="4" t="n">
        <v>0</v>
      </c>
      <c r="M2640" s="2" t="str">
        <f aca="false">IF(C2640="","",IFERROR(INDEX($S$5:$S$304,MATCH(C2640,$R$5:$R$304,0))&amp;"","?"))</f>
        <v>18</v>
      </c>
      <c r="N2640" s="2" t="n">
        <f aca="false">IF(E2640="","",IF(ISNUMBER(SEARCH("SUBSOLO",E2640)),IFERROR(-VALUE(LEFT(E2640,FIND("º",SUBSTITUTE(E2640,"°","º"))-1)),-1),IF(LEFT(E2640,6)="TÉRREO",0,IFERROR(VALUE(LEFT(E2640,FIND("º",SUBSTITUTE(E2640,"°","º"))-1)),""))))</f>
        <v>26</v>
      </c>
      <c r="O2640" s="2" t="str">
        <f aca="false">IF(OR(F2640="",G2640=""),"",IF(G2640&lt;='RETRATO 2027'!$K$5,"CONCLUÍDA",IF(F2640&lt;='RETRATO 2027'!$K$5,"EM ANDAMENTO","A INICIAR")))</f>
        <v>CONCLUÍDA</v>
      </c>
    </row>
    <row r="2641" customFormat="false" ht="15" hidden="false" customHeight="false" outlineLevel="0" collapsed="false">
      <c r="B2641" s="4" t="n">
        <v>26250037</v>
      </c>
      <c r="C2641" s="4" t="s">
        <v>3012</v>
      </c>
      <c r="D2641" s="4" t="s">
        <v>433</v>
      </c>
      <c r="E2641" s="4" t="s">
        <v>3789</v>
      </c>
      <c r="F2641" s="127" t="n">
        <v>46559</v>
      </c>
      <c r="G2641" s="127" t="n">
        <v>46700</v>
      </c>
      <c r="H2641" s="127" t="n">
        <v>46293</v>
      </c>
      <c r="I2641" s="4" t="n">
        <v>0</v>
      </c>
      <c r="J2641" s="4" t="n">
        <v>0</v>
      </c>
      <c r="K2641" s="4" t="n">
        <v>0</v>
      </c>
      <c r="M2641" s="2" t="str">
        <f aca="false">IF(C2641="","",IFERROR(INDEX($S$5:$S$304,MATCH(C2641,$R$5:$R$304,0))&amp;"","?"))</f>
        <v>32</v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>CONCLUÍDA</v>
      </c>
    </row>
    <row r="2642" customFormat="false" ht="15" hidden="false" customHeight="false" outlineLevel="0" collapsed="false">
      <c r="B2642" s="4" t="n">
        <v>9370503</v>
      </c>
      <c r="C2642" s="4" t="s">
        <v>3012</v>
      </c>
      <c r="D2642" s="4" t="s">
        <v>3790</v>
      </c>
      <c r="E2642" s="4" t="s">
        <v>3789</v>
      </c>
      <c r="F2642" s="127" t="n">
        <v>46559</v>
      </c>
      <c r="G2642" s="127" t="n">
        <v>46609</v>
      </c>
      <c r="H2642" s="127" t="n">
        <v>46293</v>
      </c>
      <c r="I2642" s="4" t="n">
        <v>0</v>
      </c>
      <c r="J2642" s="4" t="n">
        <v>0</v>
      </c>
      <c r="K2642" s="4" t="n">
        <v>0</v>
      </c>
      <c r="M2642" s="2" t="str">
        <f aca="false">IF(C2642="","",IFERROR(INDEX($S$5:$S$304,MATCH(C2642,$R$5:$R$304,0))&amp;"","?"))</f>
        <v>32</v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>CONCLUÍDA</v>
      </c>
    </row>
    <row r="2643" customFormat="false" ht="15" hidden="false" customHeight="false" outlineLevel="0" collapsed="false">
      <c r="B2643" s="4" t="n">
        <v>9370504</v>
      </c>
      <c r="C2643" s="4" t="s">
        <v>3012</v>
      </c>
      <c r="D2643" s="4" t="s">
        <v>3791</v>
      </c>
      <c r="E2643" s="4" t="s">
        <v>3789</v>
      </c>
      <c r="F2643" s="127" t="n">
        <v>46569</v>
      </c>
      <c r="G2643" s="127" t="n">
        <v>46661</v>
      </c>
      <c r="H2643" s="127" t="n">
        <v>46293</v>
      </c>
      <c r="I2643" s="4" t="n">
        <v>0</v>
      </c>
      <c r="J2643" s="4" t="n">
        <v>0</v>
      </c>
      <c r="K2643" s="4" t="n">
        <v>0</v>
      </c>
      <c r="M2643" s="2" t="str">
        <f aca="false">IF(C2643="","",IFERROR(INDEX($S$5:$S$304,MATCH(C2643,$R$5:$R$304,0))&amp;"","?"))</f>
        <v>32</v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>CONCLUÍDA</v>
      </c>
    </row>
    <row r="2644" customFormat="false" ht="15" hidden="false" customHeight="false" outlineLevel="0" collapsed="false">
      <c r="B2644" s="4" t="n">
        <v>9370505</v>
      </c>
      <c r="C2644" s="4" t="s">
        <v>3012</v>
      </c>
      <c r="D2644" s="4" t="s">
        <v>3792</v>
      </c>
      <c r="E2644" s="4" t="s">
        <v>3789</v>
      </c>
      <c r="F2644" s="127" t="n">
        <v>46610</v>
      </c>
      <c r="G2644" s="127" t="n">
        <v>46700</v>
      </c>
      <c r="H2644" s="127" t="n">
        <v>46293</v>
      </c>
      <c r="I2644" s="4" t="n">
        <v>0</v>
      </c>
      <c r="J2644" s="4" t="n">
        <v>0</v>
      </c>
      <c r="K2644" s="4" t="n">
        <v>0</v>
      </c>
      <c r="M2644" s="2" t="str">
        <f aca="false">IF(C2644="","",IFERROR(INDEX($S$5:$S$304,MATCH(C2644,$R$5:$R$304,0))&amp;"","?"))</f>
        <v>32</v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>CONCLUÍDA</v>
      </c>
    </row>
    <row r="2645" customFormat="false" ht="15" hidden="false" customHeight="false" outlineLevel="0" collapsed="false">
      <c r="B2645" s="4" t="n">
        <v>9370506</v>
      </c>
      <c r="C2645" s="4" t="s">
        <v>3012</v>
      </c>
      <c r="D2645" s="4" t="s">
        <v>3793</v>
      </c>
      <c r="E2645" s="4" t="s">
        <v>3789</v>
      </c>
      <c r="F2645" s="127" t="n">
        <v>46611</v>
      </c>
      <c r="G2645" s="127" t="n">
        <v>46661</v>
      </c>
      <c r="H2645" s="127" t="n">
        <v>46293</v>
      </c>
      <c r="I2645" s="4" t="n">
        <v>0</v>
      </c>
      <c r="J2645" s="4" t="n">
        <v>0</v>
      </c>
      <c r="K2645" s="4" t="n">
        <v>0</v>
      </c>
      <c r="M2645" s="2" t="str">
        <f aca="false">IF(C2645="","",IFERROR(INDEX($S$5:$S$304,MATCH(C2645,$R$5:$R$304,0))&amp;"","?"))</f>
        <v>32</v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>CONCLUÍDA</v>
      </c>
    </row>
    <row r="2646" customFormat="false" ht="15" hidden="false" customHeight="false" outlineLevel="0" collapsed="false">
      <c r="B2646" s="4" t="n">
        <v>26743082</v>
      </c>
      <c r="C2646" s="4" t="s">
        <v>2916</v>
      </c>
      <c r="D2646" s="4" t="s">
        <v>433</v>
      </c>
      <c r="E2646" s="4" t="s">
        <v>3779</v>
      </c>
      <c r="F2646" s="127" t="n">
        <v>46560</v>
      </c>
      <c r="G2646" s="127" t="n">
        <v>46567</v>
      </c>
      <c r="H2646" s="127" t="n">
        <v>46293</v>
      </c>
      <c r="I2646" s="4" t="n">
        <v>0</v>
      </c>
      <c r="J2646" s="4" t="n">
        <v>0</v>
      </c>
      <c r="K2646" s="4" t="n">
        <v>0</v>
      </c>
      <c r="M2646" s="2" t="str">
        <f aca="false">IF(C2646="","",IFERROR(INDEX($S$5:$S$304,MATCH(C2646,$R$5:$R$304,0))&amp;"","?"))</f>
        <v>18</v>
      </c>
      <c r="N2646" s="2" t="n">
        <f aca="false">IF(E2646="","",IF(ISNUMBER(SEARCH("SUBSOLO",E2646)),IFERROR(-VALUE(LEFT(E2646,FIND("º",SUBSTITUTE(E2646,"°","º"))-1)),-1),IF(LEFT(E2646,6)="TÉRREO",0,IFERROR(VALUE(LEFT(E2646,FIND("º",SUBSTITUTE(E2646,"°","º"))-1)),""))))</f>
        <v>19</v>
      </c>
      <c r="O2646" s="2" t="str">
        <f aca="false">IF(OR(F2646="",G2646=""),"",IF(G2646&lt;='RETRATO 2027'!$K$5,"CONCLUÍDA",IF(F2646&lt;='RETRATO 2027'!$K$5,"EM ANDAMENTO","A INICIAR")))</f>
        <v>CONCLUÍDA</v>
      </c>
    </row>
    <row r="2647" customFormat="false" ht="15" hidden="false" customHeight="false" outlineLevel="0" collapsed="false">
      <c r="B2647" s="4" t="n">
        <v>26745027</v>
      </c>
      <c r="C2647" s="4" t="s">
        <v>3003</v>
      </c>
      <c r="D2647" s="4" t="s">
        <v>433</v>
      </c>
      <c r="E2647" s="4" t="s">
        <v>3801</v>
      </c>
      <c r="F2647" s="127" t="n">
        <v>46561</v>
      </c>
      <c r="G2647" s="127" t="n">
        <v>46570</v>
      </c>
      <c r="H2647" s="127" t="n">
        <v>46293</v>
      </c>
      <c r="I2647" s="4" t="n">
        <v>0</v>
      </c>
      <c r="J2647" s="4" t="n">
        <v>0</v>
      </c>
      <c r="K2647" s="4" t="n">
        <v>0</v>
      </c>
      <c r="M2647" s="2" t="str">
        <f aca="false">IF(C2647="","",IFERROR(INDEX($S$5:$S$304,MATCH(C2647,$R$5:$R$304,0))&amp;"","?"))</f>
        <v>20</v>
      </c>
      <c r="N2647" s="2" t="n">
        <f aca="false">IF(E2647="","",IF(ISNUMBER(SEARCH("SUBSOLO",E2647)),IFERROR(-VALUE(LEFT(E2647,FIND("º",SUBSTITUTE(E2647,"°","º"))-1)),-1),IF(LEFT(E2647,6)="TÉRREO",0,IFERROR(VALUE(LEFT(E2647,FIND("º",SUBSTITUTE(E2647,"°","º"))-1)),""))))</f>
        <v>1</v>
      </c>
      <c r="O2647" s="2" t="str">
        <f aca="false">IF(OR(F2647="",G2647=""),"",IF(G2647&lt;='RETRATO 2027'!$K$5,"CONCLUÍDA",IF(F2647&lt;='RETRATO 2027'!$K$5,"EM ANDAMENTO","A INICIAR")))</f>
        <v>CONCLUÍDA</v>
      </c>
    </row>
    <row r="2648" customFormat="false" ht="15" hidden="false" customHeight="false" outlineLevel="0" collapsed="false">
      <c r="B2648" s="4" t="n">
        <v>26745150</v>
      </c>
      <c r="C2648" s="4" t="s">
        <v>2935</v>
      </c>
      <c r="D2648" s="4" t="s">
        <v>433</v>
      </c>
      <c r="E2648" s="4" t="s">
        <v>3652</v>
      </c>
      <c r="F2648" s="127" t="n">
        <v>46562</v>
      </c>
      <c r="G2648" s="127" t="n">
        <v>46573</v>
      </c>
      <c r="H2648" s="127" t="n">
        <v>46293</v>
      </c>
      <c r="I2648" s="4" t="n">
        <v>0</v>
      </c>
      <c r="J2648" s="4" t="n">
        <v>0</v>
      </c>
      <c r="K2648" s="4" t="n">
        <v>0</v>
      </c>
      <c r="M2648" s="2" t="str">
        <f aca="false">IF(C2648="","",IFERROR(INDEX($S$5:$S$304,MATCH(C2648,$R$5:$R$304,0))&amp;"","?"))</f>
        <v>30</v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>CONCLUÍDA</v>
      </c>
    </row>
    <row r="2649" customFormat="false" ht="15" hidden="false" customHeight="false" outlineLevel="0" collapsed="false">
      <c r="B2649" s="4" t="n">
        <v>26745047</v>
      </c>
      <c r="C2649" s="4" t="s">
        <v>2997</v>
      </c>
      <c r="D2649" s="4" t="s">
        <v>433</v>
      </c>
      <c r="E2649" s="4" t="s">
        <v>3659</v>
      </c>
      <c r="F2649" s="127" t="n">
        <v>46562</v>
      </c>
      <c r="G2649" s="127" t="n">
        <v>46573</v>
      </c>
      <c r="H2649" s="127" t="n">
        <v>46293</v>
      </c>
      <c r="I2649" s="4" t="n">
        <v>0</v>
      </c>
      <c r="J2649" s="4" t="n">
        <v>0</v>
      </c>
      <c r="K2649" s="4" t="n">
        <v>0</v>
      </c>
      <c r="M2649" s="2" t="str">
        <f aca="false">IF(C2649="","",IFERROR(INDEX($S$5:$S$304,MATCH(C2649,$R$5:$R$304,0))&amp;"","?"))</f>
        <v>35</v>
      </c>
      <c r="N2649" s="2" t="n">
        <f aca="false">IF(E2649="","",IF(ISNUMBER(SEARCH("SUBSOLO",E2649)),IFERROR(-VALUE(LEFT(E2649,FIND("º",SUBSTITUTE(E2649,"°","º"))-1)),-1),IF(LEFT(E2649,6)="TÉRREO",0,IFERROR(VALUE(LEFT(E2649,FIND("º",SUBSTITUTE(E2649,"°","º"))-1)),""))))</f>
        <v>1</v>
      </c>
      <c r="O2649" s="2" t="str">
        <f aca="false">IF(OR(F2649="",G2649=""),"",IF(G2649&lt;='RETRATO 2027'!$K$5,"CONCLUÍDA",IF(F2649&lt;='RETRATO 2027'!$K$5,"EM ANDAMENTO","A INICIAR")))</f>
        <v>CONCLUÍDA</v>
      </c>
    </row>
    <row r="2650" customFormat="false" ht="15" hidden="false" customHeight="false" outlineLevel="0" collapsed="false">
      <c r="B2650" s="4" t="n">
        <v>26744726</v>
      </c>
      <c r="C2650" s="4" t="s">
        <v>2886</v>
      </c>
      <c r="D2650" s="4" t="s">
        <v>433</v>
      </c>
      <c r="E2650" s="4" t="s">
        <v>3800</v>
      </c>
      <c r="F2650" s="127" t="n">
        <v>46562</v>
      </c>
      <c r="G2650" s="127" t="n">
        <v>46575</v>
      </c>
      <c r="H2650" s="127" t="n">
        <v>46293</v>
      </c>
      <c r="I2650" s="4" t="n">
        <v>0</v>
      </c>
      <c r="J2650" s="4" t="n">
        <v>0</v>
      </c>
      <c r="K2650" s="4" t="n">
        <v>0</v>
      </c>
      <c r="M2650" s="2" t="str">
        <f aca="false">IF(C2650="","",IFERROR(INDEX($S$5:$S$304,MATCH(C2650,$R$5:$R$304,0))&amp;"","?"))</f>
        <v>21</v>
      </c>
      <c r="N2650" s="2" t="n">
        <f aca="false">IF(E2650="","",IF(ISNUMBER(SEARCH("SUBSOLO",E2650)),IFERROR(-VALUE(LEFT(E2650,FIND("º",SUBSTITUTE(E2650,"°","º"))-1)),-1),IF(LEFT(E2650,6)="TÉRREO",0,IFERROR(VALUE(LEFT(E2650,FIND("º",SUBSTITUTE(E2650,"°","º"))-1)),""))))</f>
        <v>3</v>
      </c>
      <c r="O2650" s="2" t="str">
        <f aca="false">IF(OR(F2650="",G2650=""),"",IF(G2650&lt;='RETRATO 2027'!$K$5,"CONCLUÍDA",IF(F2650&lt;='RETRATO 2027'!$K$5,"EM ANDAMENTO","A INICIAR")))</f>
        <v>CONCLUÍDA</v>
      </c>
    </row>
    <row r="2651" customFormat="false" ht="15" hidden="false" customHeight="false" outlineLevel="0" collapsed="false">
      <c r="B2651" s="4" t="n">
        <v>26743044</v>
      </c>
      <c r="C2651" s="4" t="s">
        <v>2814</v>
      </c>
      <c r="D2651" s="4" t="s">
        <v>433</v>
      </c>
      <c r="E2651" s="4" t="s">
        <v>3781</v>
      </c>
      <c r="F2651" s="127" t="n">
        <v>46562</v>
      </c>
      <c r="G2651" s="127" t="n">
        <v>46569</v>
      </c>
      <c r="H2651" s="127" t="n">
        <v>46293</v>
      </c>
      <c r="I2651" s="4" t="n">
        <v>0</v>
      </c>
      <c r="J2651" s="4" t="n">
        <v>0</v>
      </c>
      <c r="K2651" s="4" t="n">
        <v>0</v>
      </c>
      <c r="M2651" s="2" t="str">
        <f aca="false">IF(C2651="","",IFERROR(INDEX($S$5:$S$304,MATCH(C2651,$R$5:$R$304,0))&amp;"","?"))</f>
        <v>28</v>
      </c>
      <c r="N2651" s="2" t="n">
        <f aca="false">IF(E2651="","",IF(ISNUMBER(SEARCH("SUBSOLO",E2651)),IFERROR(-VALUE(LEFT(E2651,FIND("º",SUBSTITUTE(E2651,"°","º"))-1)),-1),IF(LEFT(E2651,6)="TÉRREO",0,IFERROR(VALUE(LEFT(E2651,FIND("º",SUBSTITUTE(E2651,"°","º"))-1)),""))))</f>
        <v>20</v>
      </c>
      <c r="O2651" s="2" t="str">
        <f aca="false">IF(OR(F2651="",G2651=""),"",IF(G2651&lt;='RETRATO 2027'!$K$5,"CONCLUÍDA",IF(F2651&lt;='RETRATO 2027'!$K$5,"EM ANDAMENTO","A INICIAR")))</f>
        <v>CONCLUÍDA</v>
      </c>
    </row>
    <row r="2652" customFormat="false" ht="15" hidden="false" customHeight="false" outlineLevel="0" collapsed="false">
      <c r="B2652" s="4" t="n">
        <v>26743013</v>
      </c>
      <c r="C2652" s="4" t="s">
        <v>2914</v>
      </c>
      <c r="D2652" s="4" t="s">
        <v>433</v>
      </c>
      <c r="E2652" s="4" t="s">
        <v>3783</v>
      </c>
      <c r="F2652" s="127" t="n">
        <v>46562</v>
      </c>
      <c r="G2652" s="127" t="n">
        <v>46573</v>
      </c>
      <c r="H2652" s="127" t="n">
        <v>46293</v>
      </c>
      <c r="I2652" s="4" t="n">
        <v>0</v>
      </c>
      <c r="J2652" s="4" t="n">
        <v>0</v>
      </c>
      <c r="K2652" s="4" t="n">
        <v>0</v>
      </c>
      <c r="M2652" s="2" t="str">
        <f aca="false">IF(C2652="","",IFERROR(INDEX($S$5:$S$304,MATCH(C2652,$R$5:$R$304,0))&amp;"","?"))</f>
        <v>21</v>
      </c>
      <c r="N2652" s="2" t="n">
        <f aca="false">IF(E2652="","",IF(ISNUMBER(SEARCH("SUBSOLO",E2652)),IFERROR(-VALUE(LEFT(E2652,FIND("º",SUBSTITUTE(E2652,"°","º"))-1)),-1),IF(LEFT(E2652,6)="TÉRREO",0,IFERROR(VALUE(LEFT(E2652,FIND("º",SUBSTITUTE(E2652,"°","º"))-1)),""))))</f>
        <v>21</v>
      </c>
      <c r="O2652" s="2" t="str">
        <f aca="false">IF(OR(F2652="",G2652=""),"",IF(G2652&lt;='RETRATO 2027'!$K$5,"CONCLUÍDA",IF(F2652&lt;='RETRATO 2027'!$K$5,"EM ANDAMENTO","A INICIAR")))</f>
        <v>CONCLUÍDA</v>
      </c>
    </row>
    <row r="2653" customFormat="false" ht="15" hidden="false" customHeight="false" outlineLevel="0" collapsed="false">
      <c r="B2653" s="4" t="n">
        <v>26742969</v>
      </c>
      <c r="C2653" s="4" t="s">
        <v>2808</v>
      </c>
      <c r="D2653" s="4" t="s">
        <v>433</v>
      </c>
      <c r="E2653" s="4" t="s">
        <v>3786</v>
      </c>
      <c r="F2653" s="127" t="n">
        <v>46562</v>
      </c>
      <c r="G2653" s="127" t="n">
        <v>46573</v>
      </c>
      <c r="H2653" s="127" t="n">
        <v>46293</v>
      </c>
      <c r="I2653" s="4" t="n">
        <v>0</v>
      </c>
      <c r="J2653" s="4" t="n">
        <v>0</v>
      </c>
      <c r="K2653" s="4" t="n">
        <v>0</v>
      </c>
      <c r="M2653" s="2" t="str">
        <f aca="false">IF(C2653="","",IFERROR(INDEX($S$5:$S$304,MATCH(C2653,$R$5:$R$304,0))&amp;"","?"))</f>
        <v>29</v>
      </c>
      <c r="N2653" s="2" t="n">
        <f aca="false">IF(E2653="","",IF(ISNUMBER(SEARCH("SUBSOLO",E2653)),IFERROR(-VALUE(LEFT(E2653,FIND("º",SUBSTITUTE(E2653,"°","º"))-1)),-1),IF(LEFT(E2653,6)="TÉRREO",0,IFERROR(VALUE(LEFT(E2653,FIND("º",SUBSTITUTE(E2653,"°","º"))-1)),""))))</f>
        <v>22</v>
      </c>
      <c r="O2653" s="2" t="str">
        <f aca="false">IF(OR(F2653="",G2653=""),"",IF(G2653&lt;='RETRATO 2027'!$K$5,"CONCLUÍDA",IF(F2653&lt;='RETRATO 2027'!$K$5,"EM ANDAMENTO","A INICIAR")))</f>
        <v>CONCLUÍDA</v>
      </c>
    </row>
    <row r="2654" customFormat="false" ht="15" hidden="false" customHeight="false" outlineLevel="0" collapsed="false">
      <c r="B2654" s="4" t="n">
        <v>26742931</v>
      </c>
      <c r="C2654" s="4" t="s">
        <v>2910</v>
      </c>
      <c r="D2654" s="4" t="s">
        <v>433</v>
      </c>
      <c r="E2654" s="4" t="s">
        <v>3787</v>
      </c>
      <c r="F2654" s="127" t="n">
        <v>46562</v>
      </c>
      <c r="G2654" s="127" t="n">
        <v>46573</v>
      </c>
      <c r="H2654" s="127" t="n">
        <v>46293</v>
      </c>
      <c r="I2654" s="4" t="n">
        <v>0</v>
      </c>
      <c r="J2654" s="4" t="n">
        <v>0</v>
      </c>
      <c r="K2654" s="4" t="n">
        <v>0</v>
      </c>
      <c r="M2654" s="2" t="str">
        <f aca="false">IF(C2654="","",IFERROR(INDEX($S$5:$S$304,MATCH(C2654,$R$5:$R$304,0))&amp;"","?"))</f>
        <v>25</v>
      </c>
      <c r="N2654" s="2" t="n">
        <f aca="false">IF(E2654="","",IF(ISNUMBER(SEARCH("SUBSOLO",E2654)),IFERROR(-VALUE(LEFT(E2654,FIND("º",SUBSTITUTE(E2654,"°","º"))-1)),-1),IF(LEFT(E2654,6)="TÉRREO",0,IFERROR(VALUE(LEFT(E2654,FIND("º",SUBSTITUTE(E2654,"°","º"))-1)),""))))</f>
        <v>23</v>
      </c>
      <c r="O2654" s="2" t="str">
        <f aca="false">IF(OR(F2654="",G2654=""),"",IF(G2654&lt;='RETRATO 2027'!$K$5,"CONCLUÍDA",IF(F2654&lt;='RETRATO 2027'!$K$5,"EM ANDAMENTO","A INICIAR")))</f>
        <v>CONCLUÍDA</v>
      </c>
    </row>
    <row r="2655" customFormat="false" ht="15" hidden="false" customHeight="false" outlineLevel="0" collapsed="false">
      <c r="B2655" s="4" t="n">
        <v>26744794</v>
      </c>
      <c r="C2655" s="4" t="s">
        <v>166</v>
      </c>
      <c r="D2655" s="4" t="s">
        <v>433</v>
      </c>
      <c r="E2655" s="4" t="s">
        <v>3769</v>
      </c>
      <c r="F2655" s="127" t="n">
        <v>46563</v>
      </c>
      <c r="G2655" s="127" t="n">
        <v>46573</v>
      </c>
      <c r="H2655" s="127" t="n">
        <v>46293</v>
      </c>
      <c r="I2655" s="4" t="n">
        <v>0</v>
      </c>
      <c r="J2655" s="4" t="n">
        <v>0</v>
      </c>
      <c r="K2655" s="4" t="n">
        <v>0</v>
      </c>
      <c r="M2655" s="2" t="str">
        <f aca="false">IF(C2655="","",IFERROR(INDEX($S$5:$S$304,MATCH(C2655,$R$5:$R$304,0))&amp;"","?"))</f>
        <v>19</v>
      </c>
      <c r="N2655" s="2" t="n">
        <f aca="false">IF(E2655="","",IF(ISNUMBER(SEARCH("SUBSOLO",E2655)),IFERROR(-VALUE(LEFT(E2655,FIND("º",SUBSTITUTE(E2655,"°","º"))-1)),-1),IF(LEFT(E2655,6)="TÉRREO",0,IFERROR(VALUE(LEFT(E2655,FIND("º",SUBSTITUTE(E2655,"°","º"))-1)),""))))</f>
        <v>3</v>
      </c>
      <c r="O2655" s="2" t="str">
        <f aca="false">IF(OR(F2655="",G2655=""),"",IF(G2655&lt;='RETRATO 2027'!$K$5,"CONCLUÍDA",IF(F2655&lt;='RETRATO 2027'!$K$5,"EM ANDAMENTO","A INICIAR")))</f>
        <v>CONCLUÍDA</v>
      </c>
    </row>
    <row r="2656" customFormat="false" ht="15" hidden="false" customHeight="false" outlineLevel="0" collapsed="false">
      <c r="B2656" s="4" t="n">
        <v>26744766</v>
      </c>
      <c r="C2656" s="4" t="s">
        <v>2808</v>
      </c>
      <c r="D2656" s="4" t="s">
        <v>433</v>
      </c>
      <c r="E2656" s="4" t="s">
        <v>3784</v>
      </c>
      <c r="F2656" s="127" t="n">
        <v>46563</v>
      </c>
      <c r="G2656" s="127" t="n">
        <v>46624</v>
      </c>
      <c r="H2656" s="127" t="n">
        <v>46293</v>
      </c>
      <c r="I2656" s="4" t="n">
        <v>0</v>
      </c>
      <c r="J2656" s="4" t="n">
        <v>0</v>
      </c>
      <c r="K2656" s="4" t="n">
        <v>0</v>
      </c>
      <c r="M2656" s="2" t="str">
        <f aca="false">IF(C2656="","",IFERROR(INDEX($S$5:$S$304,MATCH(C2656,$R$5:$R$304,0))&amp;"","?"))</f>
        <v>29</v>
      </c>
      <c r="N2656" s="2" t="n">
        <f aca="false">IF(E2656="","",IF(ISNUMBER(SEARCH("SUBSOLO",E2656)),IFERROR(-VALUE(LEFT(E2656,FIND("º",SUBSTITUTE(E2656,"°","º"))-1)),-1),IF(LEFT(E2656,6)="TÉRREO",0,IFERROR(VALUE(LEFT(E2656,FIND("º",SUBSTITUTE(E2656,"°","º"))-1)),""))))</f>
        <v>3</v>
      </c>
      <c r="O2656" s="2" t="str">
        <f aca="false">IF(OR(F2656="",G2656=""),"",IF(G2656&lt;='RETRATO 2027'!$K$5,"CONCLUÍDA",IF(F2656&lt;='RETRATO 2027'!$K$5,"EM ANDAMENTO","A INICIAR")))</f>
        <v>CONCLUÍDA</v>
      </c>
    </row>
    <row r="2657" customFormat="false" ht="15" hidden="false" customHeight="false" outlineLevel="0" collapsed="false">
      <c r="B2657" s="4" t="n">
        <v>26742915</v>
      </c>
      <c r="C2657" s="4" t="s">
        <v>2896</v>
      </c>
      <c r="D2657" s="4" t="s">
        <v>433</v>
      </c>
      <c r="E2657" s="4" t="s">
        <v>3788</v>
      </c>
      <c r="F2657" s="127" t="n">
        <v>46563</v>
      </c>
      <c r="G2657" s="127" t="n">
        <v>46574</v>
      </c>
      <c r="H2657" s="127" t="n">
        <v>46293</v>
      </c>
      <c r="I2657" s="4" t="n">
        <v>0</v>
      </c>
      <c r="J2657" s="4" t="n">
        <v>0</v>
      </c>
      <c r="K2657" s="4" t="n">
        <v>0</v>
      </c>
      <c r="M2657" s="2" t="str">
        <f aca="false">IF(C2657="","",IFERROR(INDEX($S$5:$S$304,MATCH(C2657,$R$5:$R$304,0))&amp;"","?"))</f>
        <v>20</v>
      </c>
      <c r="N2657" s="2" t="n">
        <f aca="false">IF(E2657="","",IF(ISNUMBER(SEARCH("SUBSOLO",E2657)),IFERROR(-VALUE(LEFT(E2657,FIND("º",SUBSTITUTE(E2657,"°","º"))-1)),-1),IF(LEFT(E2657,6)="TÉRREO",0,IFERROR(VALUE(LEFT(E2657,FIND("º",SUBSTITUTE(E2657,"°","º"))-1)),""))))</f>
        <v>24</v>
      </c>
      <c r="O2657" s="2" t="str">
        <f aca="false">IF(OR(F2657="",G2657=""),"",IF(G2657&lt;='RETRATO 2027'!$K$5,"CONCLUÍDA",IF(F2657&lt;='RETRATO 2027'!$K$5,"EM ANDAMENTO","A INICIAR")))</f>
        <v>CONCLUÍDA</v>
      </c>
    </row>
    <row r="2658" customFormat="false" ht="15" hidden="false" customHeight="false" outlineLevel="0" collapsed="false">
      <c r="B2658" s="4" t="n">
        <v>29844478</v>
      </c>
      <c r="C2658" s="4" t="s">
        <v>2898</v>
      </c>
      <c r="D2658" s="4" t="s">
        <v>433</v>
      </c>
      <c r="E2658" s="4" t="s">
        <v>3788</v>
      </c>
      <c r="F2658" s="127" t="n">
        <v>46563</v>
      </c>
      <c r="G2658" s="127" t="n">
        <v>46573</v>
      </c>
      <c r="H2658" s="127" t="n">
        <v>46293</v>
      </c>
      <c r="I2658" s="4" t="n">
        <v>0</v>
      </c>
      <c r="J2658" s="4" t="n">
        <v>0</v>
      </c>
      <c r="K2658" s="4" t="n">
        <v>0</v>
      </c>
      <c r="M2658" s="2" t="str">
        <f aca="false">IF(C2658="","",IFERROR(INDEX($S$5:$S$304,MATCH(C2658,$R$5:$R$304,0))&amp;"","?"))</f>
        <v>29</v>
      </c>
      <c r="N2658" s="2" t="n">
        <f aca="false">IF(E2658="","",IF(ISNUMBER(SEARCH("SUBSOLO",E2658)),IFERROR(-VALUE(LEFT(E2658,FIND("º",SUBSTITUTE(E2658,"°","º"))-1)),-1),IF(LEFT(E2658,6)="TÉRREO",0,IFERROR(VALUE(LEFT(E2658,FIND("º",SUBSTITUTE(E2658,"°","º"))-1)),""))))</f>
        <v>24</v>
      </c>
      <c r="O2658" s="2" t="str">
        <f aca="false">IF(OR(F2658="",G2658=""),"",IF(G2658&lt;='RETRATO 2027'!$K$5,"CONCLUÍDA",IF(F2658&lt;='RETRATO 2027'!$K$5,"EM ANDAMENTO","A INICIAR")))</f>
        <v>CONCLUÍDA</v>
      </c>
    </row>
    <row r="2659" customFormat="false" ht="15" hidden="false" customHeight="false" outlineLevel="0" collapsed="false">
      <c r="B2659" s="4" t="n">
        <v>26742871</v>
      </c>
      <c r="C2659" s="4" t="s">
        <v>2886</v>
      </c>
      <c r="D2659" s="4" t="s">
        <v>433</v>
      </c>
      <c r="E2659" s="4" t="s">
        <v>3794</v>
      </c>
      <c r="F2659" s="127" t="n">
        <v>46563</v>
      </c>
      <c r="G2659" s="127" t="n">
        <v>46574</v>
      </c>
      <c r="H2659" s="127" t="n">
        <v>46293</v>
      </c>
      <c r="I2659" s="4" t="n">
        <v>0</v>
      </c>
      <c r="J2659" s="4" t="n">
        <v>0</v>
      </c>
      <c r="K2659" s="4" t="n">
        <v>0</v>
      </c>
      <c r="M2659" s="2" t="str">
        <f aca="false">IF(C2659="","",IFERROR(INDEX($S$5:$S$304,MATCH(C2659,$R$5:$R$304,0))&amp;"","?"))</f>
        <v>21</v>
      </c>
      <c r="N2659" s="2" t="n">
        <f aca="false">IF(E2659="","",IF(ISNUMBER(SEARCH("SUBSOLO",E2659)),IFERROR(-VALUE(LEFT(E2659,FIND("º",SUBSTITUTE(E2659,"°","º"))-1)),-1),IF(LEFT(E2659,6)="TÉRREO",0,IFERROR(VALUE(LEFT(E2659,FIND("º",SUBSTITUTE(E2659,"°","º"))-1)),""))))</f>
        <v>25</v>
      </c>
      <c r="O2659" s="2" t="str">
        <f aca="false">IF(OR(F2659="",G2659=""),"",IF(G2659&lt;='RETRATO 2027'!$K$5,"CONCLUÍDA",IF(F2659&lt;='RETRATO 2027'!$K$5,"EM ANDAMENTO","A INICIAR")))</f>
        <v>CONCLUÍDA</v>
      </c>
    </row>
    <row r="2660" customFormat="false" ht="15" hidden="false" customHeight="false" outlineLevel="0" collapsed="false">
      <c r="B2660" s="4" t="n">
        <v>29844654</v>
      </c>
      <c r="C2660" s="4" t="s">
        <v>2888</v>
      </c>
      <c r="D2660" s="4" t="s">
        <v>433</v>
      </c>
      <c r="E2660" s="4" t="s">
        <v>3794</v>
      </c>
      <c r="F2660" s="127" t="n">
        <v>46563</v>
      </c>
      <c r="G2660" s="127" t="n">
        <v>46574</v>
      </c>
      <c r="H2660" s="127" t="n">
        <v>46293</v>
      </c>
      <c r="I2660" s="4" t="n">
        <v>0</v>
      </c>
      <c r="J2660" s="4" t="n">
        <v>0</v>
      </c>
      <c r="K2660" s="4" t="n">
        <v>0</v>
      </c>
      <c r="M2660" s="2" t="str">
        <f aca="false">IF(C2660="","",IFERROR(INDEX($S$5:$S$304,MATCH(C2660,$R$5:$R$304,0))&amp;"","?"))</f>
        <v>20</v>
      </c>
      <c r="N2660" s="2" t="n">
        <f aca="false">IF(E2660="","",IF(ISNUMBER(SEARCH("SUBSOLO",E2660)),IFERROR(-VALUE(LEFT(E2660,FIND("º",SUBSTITUTE(E2660,"°","º"))-1)),-1),IF(LEFT(E2660,6)="TÉRREO",0,IFERROR(VALUE(LEFT(E2660,FIND("º",SUBSTITUTE(E2660,"°","º"))-1)),""))))</f>
        <v>25</v>
      </c>
      <c r="O2660" s="2" t="str">
        <f aca="false">IF(OR(F2660="",G2660=""),"",IF(G2660&lt;='RETRATO 2027'!$K$5,"CONCLUÍDA",IF(F2660&lt;='RETRATO 2027'!$K$5,"EM ANDAMENTO","A INICIAR")))</f>
        <v>CONCLUÍDA</v>
      </c>
    </row>
    <row r="2661" customFormat="false" ht="15" hidden="false" customHeight="false" outlineLevel="0" collapsed="false">
      <c r="B2661" s="4" t="n">
        <v>26714259</v>
      </c>
      <c r="C2661" s="4" t="s">
        <v>3000</v>
      </c>
      <c r="D2661" s="4" t="s">
        <v>433</v>
      </c>
      <c r="E2661" s="4" t="s">
        <v>3806</v>
      </c>
      <c r="F2661" s="127" t="n">
        <v>46566</v>
      </c>
      <c r="G2661" s="127" t="n">
        <v>46633</v>
      </c>
      <c r="H2661" s="127" t="n">
        <v>46293</v>
      </c>
      <c r="I2661" s="4" t="n">
        <v>0</v>
      </c>
      <c r="J2661" s="4" t="n">
        <v>0</v>
      </c>
      <c r="K2661" s="4" t="n">
        <v>0</v>
      </c>
      <c r="M2661" s="2" t="str">
        <f aca="false">IF(C2661="","",IFERROR(INDEX($S$5:$S$304,MATCH(C2661,$R$5:$R$304,0))&amp;"","?"))</f>
        <v>32</v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>CONCLUÍDA</v>
      </c>
    </row>
    <row r="2662" customFormat="false" ht="15" hidden="false" customHeight="false" outlineLevel="0" collapsed="false">
      <c r="B2662" s="4" t="n">
        <v>26750505</v>
      </c>
      <c r="C2662" s="4" t="s">
        <v>2935</v>
      </c>
      <c r="D2662" s="4" t="s">
        <v>433</v>
      </c>
      <c r="E2662" s="4" t="s">
        <v>3775</v>
      </c>
      <c r="F2662" s="127" t="n">
        <v>46567</v>
      </c>
      <c r="G2662" s="127" t="n">
        <v>46573</v>
      </c>
      <c r="H2662" s="127" t="n">
        <v>46293</v>
      </c>
      <c r="I2662" s="4" t="n">
        <v>0</v>
      </c>
      <c r="J2662" s="4" t="n">
        <v>0</v>
      </c>
      <c r="K2662" s="4" t="n">
        <v>0</v>
      </c>
      <c r="M2662" s="2" t="str">
        <f aca="false">IF(C2662="","",IFERROR(INDEX($S$5:$S$304,MATCH(C2662,$R$5:$R$304,0))&amp;"","?"))</f>
        <v>30</v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>CONCLUÍDA</v>
      </c>
    </row>
    <row r="2663" customFormat="false" ht="15" hidden="false" customHeight="false" outlineLevel="0" collapsed="false">
      <c r="B2663" s="4" t="n">
        <v>26707671</v>
      </c>
      <c r="C2663" s="4" t="s">
        <v>2948</v>
      </c>
      <c r="D2663" s="4" t="s">
        <v>433</v>
      </c>
      <c r="E2663" s="4" t="s">
        <v>3777</v>
      </c>
      <c r="F2663" s="127" t="n">
        <v>46567</v>
      </c>
      <c r="G2663" s="127" t="n">
        <v>46587</v>
      </c>
      <c r="H2663" s="127" t="n">
        <v>46293</v>
      </c>
      <c r="I2663" s="4" t="n">
        <v>0</v>
      </c>
      <c r="J2663" s="4" t="n">
        <v>0</v>
      </c>
      <c r="K2663" s="4" t="n">
        <v>0</v>
      </c>
      <c r="M2663" s="2" t="str">
        <f aca="false">IF(C2663="","",IFERROR(INDEX($S$5:$S$304,MATCH(C2663,$R$5:$R$304,0))&amp;"","?"))</f>
        <v>25</v>
      </c>
      <c r="N2663" s="2" t="n">
        <f aca="false">IF(E2663="","",IF(ISNUMBER(SEARCH("SUBSOLO",E2663)),IFERROR(-VALUE(LEFT(E2663,FIND("º",SUBSTITUTE(E2663,"°","º"))-1)),-1),IF(LEFT(E2663,6)="TÉRREO",0,IFERROR(VALUE(LEFT(E2663,FIND("º",SUBSTITUTE(E2663,"°","º"))-1)),""))))</f>
        <v>1</v>
      </c>
      <c r="O2663" s="2" t="str">
        <f aca="false">IF(OR(F2663="",G2663=""),"",IF(G2663&lt;='RETRATO 2027'!$K$5,"CONCLUÍDA",IF(F2663&lt;='RETRATO 2027'!$K$5,"EM ANDAMENTO","A INICIAR")))</f>
        <v>CONCLUÍDA</v>
      </c>
    </row>
    <row r="2664" customFormat="false" ht="15" hidden="false" customHeight="false" outlineLevel="0" collapsed="false">
      <c r="B2664" s="4" t="n">
        <v>26743459</v>
      </c>
      <c r="C2664" s="4" t="s">
        <v>2997</v>
      </c>
      <c r="D2664" s="4" t="s">
        <v>433</v>
      </c>
      <c r="E2664" s="4" t="s">
        <v>3716</v>
      </c>
      <c r="F2664" s="127" t="n">
        <v>46567</v>
      </c>
      <c r="G2664" s="127" t="n">
        <v>46576</v>
      </c>
      <c r="H2664" s="127" t="n">
        <v>46293</v>
      </c>
      <c r="I2664" s="4" t="n">
        <v>0</v>
      </c>
      <c r="J2664" s="4" t="n">
        <v>0</v>
      </c>
      <c r="K2664" s="4" t="n">
        <v>0</v>
      </c>
      <c r="M2664" s="2" t="str">
        <f aca="false">IF(C2664="","",IFERROR(INDEX($S$5:$S$304,MATCH(C2664,$R$5:$R$304,0))&amp;"","?"))</f>
        <v>35</v>
      </c>
      <c r="N2664" s="2" t="n">
        <f aca="false">IF(E2664="","",IF(ISNUMBER(SEARCH("SUBSOLO",E2664)),IFERROR(-VALUE(LEFT(E2664,FIND("º",SUBSTITUTE(E2664,"°","º"))-1)),-1),IF(LEFT(E2664,6)="TÉRREO",0,IFERROR(VALUE(LEFT(E2664,FIND("º",SUBSTITUTE(E2664,"°","º"))-1)),""))))</f>
        <v>9</v>
      </c>
      <c r="O2664" s="2" t="str">
        <f aca="false">IF(OR(F2664="",G2664=""),"",IF(G2664&lt;='RETRATO 2027'!$K$5,"CONCLUÍDA",IF(F2664&lt;='RETRATO 2027'!$K$5,"EM ANDAMENTO","A INICIAR")))</f>
        <v>CONCLUÍDA</v>
      </c>
    </row>
    <row r="2665" customFormat="false" ht="15" hidden="false" customHeight="false" outlineLevel="0" collapsed="false">
      <c r="B2665" s="4" t="n">
        <v>26743421</v>
      </c>
      <c r="C2665" s="4" t="s">
        <v>2980</v>
      </c>
      <c r="D2665" s="4" t="s">
        <v>433</v>
      </c>
      <c r="E2665" s="4" t="s">
        <v>3722</v>
      </c>
      <c r="F2665" s="127" t="n">
        <v>46567</v>
      </c>
      <c r="G2665" s="127" t="n">
        <v>46576</v>
      </c>
      <c r="H2665" s="127" t="n">
        <v>46293</v>
      </c>
      <c r="I2665" s="4" t="n">
        <v>0</v>
      </c>
      <c r="J2665" s="4" t="n">
        <v>0</v>
      </c>
      <c r="K2665" s="4" t="n">
        <v>0</v>
      </c>
      <c r="M2665" s="2" t="str">
        <f aca="false">IF(C2665="","",IFERROR(INDEX($S$5:$S$304,MATCH(C2665,$R$5:$R$304,0))&amp;"","?"))</f>
        <v>35</v>
      </c>
      <c r="N2665" s="2" t="n">
        <f aca="false">IF(E2665="","",IF(ISNUMBER(SEARCH("SUBSOLO",E2665)),IFERROR(-VALUE(LEFT(E2665,FIND("º",SUBSTITUTE(E2665,"°","º"))-1)),-1),IF(LEFT(E2665,6)="TÉRREO",0,IFERROR(VALUE(LEFT(E2665,FIND("º",SUBSTITUTE(E2665,"°","º"))-1)),""))))</f>
        <v>10</v>
      </c>
      <c r="O2665" s="2" t="str">
        <f aca="false">IF(OR(F2665="",G2665=""),"",IF(G2665&lt;='RETRATO 2027'!$K$5,"CONCLUÍDA",IF(F2665&lt;='RETRATO 2027'!$K$5,"EM ANDAMENTO","A INICIAR")))</f>
        <v>CONCLUÍDA</v>
      </c>
    </row>
    <row r="2666" customFormat="false" ht="15" hidden="false" customHeight="false" outlineLevel="0" collapsed="false">
      <c r="B2666" s="4" t="n">
        <v>26743391</v>
      </c>
      <c r="C2666" s="4" t="s">
        <v>208</v>
      </c>
      <c r="D2666" s="4" t="s">
        <v>433</v>
      </c>
      <c r="E2666" s="4" t="s">
        <v>3762</v>
      </c>
      <c r="F2666" s="127" t="n">
        <v>46567</v>
      </c>
      <c r="G2666" s="127" t="n">
        <v>46576</v>
      </c>
      <c r="H2666" s="127" t="n">
        <v>46293</v>
      </c>
      <c r="I2666" s="4" t="n">
        <v>0</v>
      </c>
      <c r="J2666" s="4" t="n">
        <v>0</v>
      </c>
      <c r="K2666" s="4" t="n">
        <v>0</v>
      </c>
      <c r="M2666" s="2" t="str">
        <f aca="false">IF(C2666="","",IFERROR(INDEX($S$5:$S$304,MATCH(C2666,$R$5:$R$304,0))&amp;"","?"))</f>
        <v>33</v>
      </c>
      <c r="N2666" s="2" t="n">
        <f aca="false">IF(E2666="","",IF(ISNUMBER(SEARCH("SUBSOLO",E2666)),IFERROR(-VALUE(LEFT(E2666,FIND("º",SUBSTITUTE(E2666,"°","º"))-1)),-1),IF(LEFT(E2666,6)="TÉRREO",0,IFERROR(VALUE(LEFT(E2666,FIND("º",SUBSTITUTE(E2666,"°","º"))-1)),""))))</f>
        <v>11</v>
      </c>
      <c r="O2666" s="2" t="str">
        <f aca="false">IF(OR(F2666="",G2666=""),"",IF(G2666&lt;='RETRATO 2027'!$K$5,"CONCLUÍDA",IF(F2666&lt;='RETRATO 2027'!$K$5,"EM ANDAMENTO","A INICIAR")))</f>
        <v>CONCLUÍDA</v>
      </c>
    </row>
    <row r="2667" customFormat="false" ht="15" hidden="false" customHeight="false" outlineLevel="0" collapsed="false">
      <c r="B2667" s="4" t="n">
        <v>29844393</v>
      </c>
      <c r="C2667" s="4" t="s">
        <v>2890</v>
      </c>
      <c r="D2667" s="4" t="s">
        <v>433</v>
      </c>
      <c r="E2667" s="4" t="s">
        <v>3794</v>
      </c>
      <c r="F2667" s="127" t="n">
        <v>46567</v>
      </c>
      <c r="G2667" s="127" t="n">
        <v>46576</v>
      </c>
      <c r="H2667" s="127" t="n">
        <v>46293</v>
      </c>
      <c r="I2667" s="4" t="n">
        <v>0</v>
      </c>
      <c r="J2667" s="4" t="n">
        <v>0</v>
      </c>
      <c r="K2667" s="4" t="n">
        <v>0</v>
      </c>
      <c r="M2667" s="2" t="str">
        <f aca="false">IF(C2667="","",IFERROR(INDEX($S$5:$S$304,MATCH(C2667,$R$5:$R$304,0))&amp;"","?"))</f>
        <v>18</v>
      </c>
      <c r="N2667" s="2" t="n">
        <f aca="false">IF(E2667="","",IF(ISNUMBER(SEARCH("SUBSOLO",E2667)),IFERROR(-VALUE(LEFT(E2667,FIND("º",SUBSTITUTE(E2667,"°","º"))-1)),-1),IF(LEFT(E2667,6)="TÉRREO",0,IFERROR(VALUE(LEFT(E2667,FIND("º",SUBSTITUTE(E2667,"°","º"))-1)),""))))</f>
        <v>25</v>
      </c>
      <c r="O2667" s="2" t="str">
        <f aca="false">IF(OR(F2667="",G2667=""),"",IF(G2667&lt;='RETRATO 2027'!$K$5,"CONCLUÍDA",IF(F2667&lt;='RETRATO 2027'!$K$5,"EM ANDAMENTO","A INICIAR")))</f>
        <v>CONCLUÍDA</v>
      </c>
    </row>
    <row r="2668" customFormat="false" ht="15" hidden="false" customHeight="false" outlineLevel="0" collapsed="false">
      <c r="B2668" s="4" t="n">
        <v>29845959</v>
      </c>
      <c r="C2668" s="4" t="s">
        <v>2983</v>
      </c>
      <c r="D2668" s="4" t="s">
        <v>433</v>
      </c>
      <c r="E2668" s="4" t="s">
        <v>3763</v>
      </c>
      <c r="F2668" s="127" t="n">
        <v>46568</v>
      </c>
      <c r="G2668" s="127" t="n">
        <v>46576</v>
      </c>
      <c r="H2668" s="127" t="n">
        <v>46293</v>
      </c>
      <c r="I2668" s="4" t="n">
        <v>0</v>
      </c>
      <c r="J2668" s="4" t="n">
        <v>0</v>
      </c>
      <c r="K2668" s="4" t="n">
        <v>0</v>
      </c>
      <c r="M2668" s="2" t="str">
        <f aca="false">IF(C2668="","",IFERROR(INDEX($S$5:$S$304,MATCH(C2668,$R$5:$R$304,0))&amp;"","?"))</f>
        <v>20</v>
      </c>
      <c r="N2668" s="2" t="n">
        <f aca="false">IF(E2668="","",IF(ISNUMBER(SEARCH("SUBSOLO",E2668)),IFERROR(-VALUE(LEFT(E2668,FIND("º",SUBSTITUTE(E2668,"°","º"))-1)),-1),IF(LEFT(E2668,6)="TÉRREO",0,IFERROR(VALUE(LEFT(E2668,FIND("º",SUBSTITUTE(E2668,"°","º"))-1)),""))))</f>
        <v>12</v>
      </c>
      <c r="O2668" s="2" t="str">
        <f aca="false">IF(OR(F2668="",G2668=""),"",IF(G2668&lt;='RETRATO 2027'!$K$5,"CONCLUÍDA",IF(F2668&lt;='RETRATO 2027'!$K$5,"EM ANDAMENTO","A INICIAR")))</f>
        <v>CONCLUÍDA</v>
      </c>
    </row>
    <row r="2669" customFormat="false" ht="15" hidden="false" customHeight="false" outlineLevel="0" collapsed="false">
      <c r="B2669" s="4" t="n">
        <v>29845898</v>
      </c>
      <c r="C2669" s="4" t="s">
        <v>2986</v>
      </c>
      <c r="D2669" s="4" t="s">
        <v>433</v>
      </c>
      <c r="E2669" s="4" t="s">
        <v>3763</v>
      </c>
      <c r="F2669" s="127" t="n">
        <v>46568</v>
      </c>
      <c r="G2669" s="127" t="n">
        <v>46577</v>
      </c>
      <c r="H2669" s="127" t="n">
        <v>46293</v>
      </c>
      <c r="I2669" s="4" t="n">
        <v>0</v>
      </c>
      <c r="J2669" s="4" t="n">
        <v>0</v>
      </c>
      <c r="K2669" s="4" t="n">
        <v>0</v>
      </c>
      <c r="M2669" s="2" t="str">
        <f aca="false">IF(C2669="","",IFERROR(INDEX($S$5:$S$304,MATCH(C2669,$R$5:$R$304,0))&amp;"","?"))</f>
        <v>20</v>
      </c>
      <c r="N2669" s="2" t="n">
        <f aca="false">IF(E2669="","",IF(ISNUMBER(SEARCH("SUBSOLO",E2669)),IFERROR(-VALUE(LEFT(E2669,FIND("º",SUBSTITUTE(E2669,"°","º"))-1)),-1),IF(LEFT(E2669,6)="TÉRREO",0,IFERROR(VALUE(LEFT(E2669,FIND("º",SUBSTITUTE(E2669,"°","º"))-1)),""))))</f>
        <v>12</v>
      </c>
      <c r="O2669" s="2" t="str">
        <f aca="false">IF(OR(F2669="",G2669=""),"",IF(G2669&lt;='RETRATO 2027'!$K$5,"CONCLUÍDA",IF(F2669&lt;='RETRATO 2027'!$K$5,"EM ANDAMENTO","A INICIAR")))</f>
        <v>CONCLUÍDA</v>
      </c>
    </row>
    <row r="2670" customFormat="false" ht="15" hidden="false" customHeight="false" outlineLevel="0" collapsed="false">
      <c r="B2670" s="4" t="n">
        <v>26743319</v>
      </c>
      <c r="C2670" s="4" t="s">
        <v>2977</v>
      </c>
      <c r="D2670" s="4" t="s">
        <v>433</v>
      </c>
      <c r="E2670" s="4" t="s">
        <v>3764</v>
      </c>
      <c r="F2670" s="127" t="n">
        <v>46568</v>
      </c>
      <c r="G2670" s="127" t="n">
        <v>46577</v>
      </c>
      <c r="H2670" s="127" t="n">
        <v>46293</v>
      </c>
      <c r="I2670" s="4" t="n">
        <v>0</v>
      </c>
      <c r="J2670" s="4" t="n">
        <v>0</v>
      </c>
      <c r="K2670" s="4" t="n">
        <v>0</v>
      </c>
      <c r="M2670" s="2" t="str">
        <f aca="false">IF(C2670="","",IFERROR(INDEX($S$5:$S$304,MATCH(C2670,$R$5:$R$304,0))&amp;"","?"))</f>
        <v>30</v>
      </c>
      <c r="N2670" s="2" t="n">
        <f aca="false">IF(E2670="","",IF(ISNUMBER(SEARCH("SUBSOLO",E2670)),IFERROR(-VALUE(LEFT(E2670,FIND("º",SUBSTITUTE(E2670,"°","º"))-1)),-1),IF(LEFT(E2670,6)="TÉRREO",0,IFERROR(VALUE(LEFT(E2670,FIND("º",SUBSTITUTE(E2670,"°","º"))-1)),""))))</f>
        <v>13</v>
      </c>
      <c r="O2670" s="2" t="str">
        <f aca="false">IF(OR(F2670="",G2670=""),"",IF(G2670&lt;='RETRATO 2027'!$K$5,"CONCLUÍDA",IF(F2670&lt;='RETRATO 2027'!$K$5,"EM ANDAMENTO","A INICIAR")))</f>
        <v>CONCLUÍDA</v>
      </c>
    </row>
    <row r="2671" customFormat="false" ht="15" hidden="false" customHeight="false" outlineLevel="0" collapsed="false">
      <c r="B2671" s="4" t="n">
        <v>26743275</v>
      </c>
      <c r="C2671" s="4" t="s">
        <v>2935</v>
      </c>
      <c r="D2671" s="4" t="s">
        <v>433</v>
      </c>
      <c r="E2671" s="4" t="s">
        <v>3765</v>
      </c>
      <c r="F2671" s="127" t="n">
        <v>46568</v>
      </c>
      <c r="G2671" s="127" t="n">
        <v>46577</v>
      </c>
      <c r="H2671" s="127" t="n">
        <v>46293</v>
      </c>
      <c r="I2671" s="4" t="n">
        <v>0</v>
      </c>
      <c r="J2671" s="4" t="n">
        <v>0</v>
      </c>
      <c r="K2671" s="4" t="n">
        <v>0</v>
      </c>
      <c r="M2671" s="2" t="str">
        <f aca="false">IF(C2671="","",IFERROR(INDEX($S$5:$S$304,MATCH(C2671,$R$5:$R$304,0))&amp;"","?"))</f>
        <v>30</v>
      </c>
      <c r="N2671" s="2" t="n">
        <f aca="false">IF(E2671="","",IF(ISNUMBER(SEARCH("SUBSOLO",E2671)),IFERROR(-VALUE(LEFT(E2671,FIND("º",SUBSTITUTE(E2671,"°","º"))-1)),-1),IF(LEFT(E2671,6)="TÉRREO",0,IFERROR(VALUE(LEFT(E2671,FIND("º",SUBSTITUTE(E2671,"°","º"))-1)),""))))</f>
        <v>14</v>
      </c>
      <c r="O2671" s="2" t="str">
        <f aca="false">IF(OR(F2671="",G2671=""),"",IF(G2671&lt;='RETRATO 2027'!$K$5,"CONCLUÍDA",IF(F2671&lt;='RETRATO 2027'!$K$5,"EM ANDAMENTO","A INICIAR")))</f>
        <v>CONCLUÍDA</v>
      </c>
    </row>
    <row r="2672" customFormat="false" ht="15" hidden="false" customHeight="false" outlineLevel="0" collapsed="false">
      <c r="B2672" s="4" t="n">
        <v>26743222</v>
      </c>
      <c r="C2672" s="4" t="s">
        <v>2938</v>
      </c>
      <c r="D2672" s="4" t="s">
        <v>433</v>
      </c>
      <c r="E2672" s="4" t="s">
        <v>3768</v>
      </c>
      <c r="F2672" s="127" t="n">
        <v>46568</v>
      </c>
      <c r="G2672" s="127" t="n">
        <v>46577</v>
      </c>
      <c r="H2672" s="127" t="n">
        <v>46293</v>
      </c>
      <c r="I2672" s="4" t="n">
        <v>0</v>
      </c>
      <c r="J2672" s="4" t="n">
        <v>0</v>
      </c>
      <c r="K2672" s="4" t="n">
        <v>0</v>
      </c>
      <c r="M2672" s="2" t="str">
        <f aca="false">IF(C2672="","",IFERROR(INDEX($S$5:$S$304,MATCH(C2672,$R$5:$R$304,0))&amp;"","?"))</f>
        <v>30</v>
      </c>
      <c r="N2672" s="2" t="n">
        <f aca="false">IF(E2672="","",IF(ISNUMBER(SEARCH("SUBSOLO",E2672)),IFERROR(-VALUE(LEFT(E2672,FIND("º",SUBSTITUTE(E2672,"°","º"))-1)),-1),IF(LEFT(E2672,6)="TÉRREO",0,IFERROR(VALUE(LEFT(E2672,FIND("º",SUBSTITUTE(E2672,"°","º"))-1)),""))))</f>
        <v>15</v>
      </c>
      <c r="O2672" s="2" t="str">
        <f aca="false">IF(OR(F2672="",G2672=""),"",IF(G2672&lt;='RETRATO 2027'!$K$5,"CONCLUÍDA",IF(F2672&lt;='RETRATO 2027'!$K$5,"EM ANDAMENTO","A INICIAR")))</f>
        <v>CONCLUÍDA</v>
      </c>
    </row>
    <row r="2673" customFormat="false" ht="15" hidden="false" customHeight="false" outlineLevel="0" collapsed="false">
      <c r="B2673" s="4" t="n">
        <v>26743184</v>
      </c>
      <c r="C2673" s="4" t="s">
        <v>166</v>
      </c>
      <c r="D2673" s="4" t="s">
        <v>433</v>
      </c>
      <c r="E2673" s="4" t="s">
        <v>3771</v>
      </c>
      <c r="F2673" s="127" t="n">
        <v>46568</v>
      </c>
      <c r="G2673" s="127" t="n">
        <v>46577</v>
      </c>
      <c r="H2673" s="127" t="n">
        <v>46293</v>
      </c>
      <c r="I2673" s="4" t="n">
        <v>0</v>
      </c>
      <c r="J2673" s="4" t="n">
        <v>0</v>
      </c>
      <c r="K2673" s="4" t="n">
        <v>0</v>
      </c>
      <c r="M2673" s="2" t="str">
        <f aca="false">IF(C2673="","",IFERROR(INDEX($S$5:$S$304,MATCH(C2673,$R$5:$R$304,0))&amp;"","?"))</f>
        <v>19</v>
      </c>
      <c r="N2673" s="2" t="n">
        <f aca="false">IF(E2673="","",IF(ISNUMBER(SEARCH("SUBSOLO",E2673)),IFERROR(-VALUE(LEFT(E2673,FIND("º",SUBSTITUTE(E2673,"°","º"))-1)),-1),IF(LEFT(E2673,6)="TÉRREO",0,IFERROR(VALUE(LEFT(E2673,FIND("º",SUBSTITUTE(E2673,"°","º"))-1)),""))))</f>
        <v>16</v>
      </c>
      <c r="O2673" s="2" t="str">
        <f aca="false">IF(OR(F2673="",G2673=""),"",IF(G2673&lt;='RETRATO 2027'!$K$5,"CONCLUÍDA",IF(F2673&lt;='RETRATO 2027'!$K$5,"EM ANDAMENTO","A INICIAR")))</f>
        <v>CONCLUÍDA</v>
      </c>
    </row>
    <row r="2674" customFormat="false" ht="15" hidden="false" customHeight="false" outlineLevel="0" collapsed="false">
      <c r="B2674" s="4" t="n">
        <v>26743157</v>
      </c>
      <c r="C2674" s="4" t="s">
        <v>2941</v>
      </c>
      <c r="D2674" s="4" t="s">
        <v>433</v>
      </c>
      <c r="E2674" s="4" t="s">
        <v>3773</v>
      </c>
      <c r="F2674" s="127" t="n">
        <v>46568</v>
      </c>
      <c r="G2674" s="127" t="n">
        <v>46577</v>
      </c>
      <c r="H2674" s="127" t="n">
        <v>46293</v>
      </c>
      <c r="I2674" s="4" t="n">
        <v>0</v>
      </c>
      <c r="J2674" s="4" t="n">
        <v>0</v>
      </c>
      <c r="K2674" s="4" t="n">
        <v>0</v>
      </c>
      <c r="M2674" s="2" t="str">
        <f aca="false">IF(C2674="","",IFERROR(INDEX($S$5:$S$304,MATCH(C2674,$R$5:$R$304,0))&amp;"","?"))</f>
        <v>18</v>
      </c>
      <c r="N2674" s="2" t="n">
        <f aca="false">IF(E2674="","",IF(ISNUMBER(SEARCH("SUBSOLO",E2674)),IFERROR(-VALUE(LEFT(E2674,FIND("º",SUBSTITUTE(E2674,"°","º"))-1)),-1),IF(LEFT(E2674,6)="TÉRREO",0,IFERROR(VALUE(LEFT(E2674,FIND("º",SUBSTITUTE(E2674,"°","º"))-1)),""))))</f>
        <v>17</v>
      </c>
      <c r="O2674" s="2" t="str">
        <f aca="false">IF(OR(F2674="",G2674=""),"",IF(G2674&lt;='RETRATO 2027'!$K$5,"CONCLUÍDA",IF(F2674&lt;='RETRATO 2027'!$K$5,"EM ANDAMENTO","A INICIAR")))</f>
        <v>CONCLUÍDA</v>
      </c>
    </row>
    <row r="2675" customFormat="false" ht="15" hidden="false" customHeight="false" outlineLevel="0" collapsed="false">
      <c r="B2675" s="4" t="n">
        <v>26743121</v>
      </c>
      <c r="C2675" s="4" t="s">
        <v>2924</v>
      </c>
      <c r="D2675" s="4" t="s">
        <v>433</v>
      </c>
      <c r="E2675" s="4" t="s">
        <v>3776</v>
      </c>
      <c r="F2675" s="127" t="n">
        <v>46568</v>
      </c>
      <c r="G2675" s="127" t="n">
        <v>46577</v>
      </c>
      <c r="H2675" s="127" t="n">
        <v>46293</v>
      </c>
      <c r="I2675" s="4" t="n">
        <v>0</v>
      </c>
      <c r="J2675" s="4" t="n">
        <v>0</v>
      </c>
      <c r="K2675" s="4" t="n">
        <v>0</v>
      </c>
      <c r="M2675" s="2" t="str">
        <f aca="false">IF(C2675="","",IFERROR(INDEX($S$5:$S$304,MATCH(C2675,$R$5:$R$304,0))&amp;"","?"))</f>
        <v>21</v>
      </c>
      <c r="N2675" s="2" t="n">
        <f aca="false">IF(E2675="","",IF(ISNUMBER(SEARCH("SUBSOLO",E2675)),IFERROR(-VALUE(LEFT(E2675,FIND("º",SUBSTITUTE(E2675,"°","º"))-1)),-1),IF(LEFT(E2675,6)="TÉRREO",0,IFERROR(VALUE(LEFT(E2675,FIND("º",SUBSTITUTE(E2675,"°","º"))-1)),""))))</f>
        <v>18</v>
      </c>
      <c r="O2675" s="2" t="str">
        <f aca="false">IF(OR(F2675="",G2675=""),"",IF(G2675&lt;='RETRATO 2027'!$K$5,"CONCLUÍDA",IF(F2675&lt;='RETRATO 2027'!$K$5,"EM ANDAMENTO","A INICIAR")))</f>
        <v>CONCLUÍDA</v>
      </c>
    </row>
    <row r="2676" customFormat="false" ht="15" hidden="false" customHeight="false" outlineLevel="0" collapsed="false">
      <c r="B2676" s="4" t="n">
        <v>26743104</v>
      </c>
      <c r="C2676" s="4" t="s">
        <v>2926</v>
      </c>
      <c r="D2676" s="4" t="s">
        <v>433</v>
      </c>
      <c r="E2676" s="4" t="s">
        <v>3776</v>
      </c>
      <c r="F2676" s="127" t="n">
        <v>46568</v>
      </c>
      <c r="G2676" s="127" t="n">
        <v>46577</v>
      </c>
      <c r="H2676" s="127" t="n">
        <v>46293</v>
      </c>
      <c r="I2676" s="4" t="n">
        <v>0</v>
      </c>
      <c r="J2676" s="4" t="n">
        <v>0</v>
      </c>
      <c r="K2676" s="4" t="n">
        <v>0</v>
      </c>
      <c r="M2676" s="2" t="str">
        <f aca="false">IF(C2676="","",IFERROR(INDEX($S$5:$S$304,MATCH(C2676,$R$5:$R$304,0))&amp;"","?"))</f>
        <v>20</v>
      </c>
      <c r="N2676" s="2" t="n">
        <f aca="false">IF(E2676="","",IF(ISNUMBER(SEARCH("SUBSOLO",E2676)),IFERROR(-VALUE(LEFT(E2676,FIND("º",SUBSTITUTE(E2676,"°","º"))-1)),-1),IF(LEFT(E2676,6)="TÉRREO",0,IFERROR(VALUE(LEFT(E2676,FIND("º",SUBSTITUTE(E2676,"°","º"))-1)),""))))</f>
        <v>18</v>
      </c>
      <c r="O2676" s="2" t="str">
        <f aca="false">IF(OR(F2676="",G2676=""),"",IF(G2676&lt;='RETRATO 2027'!$K$5,"CONCLUÍDA",IF(F2676&lt;='RETRATO 2027'!$K$5,"EM ANDAMENTO","A INICIAR")))</f>
        <v>CONCLUÍDA</v>
      </c>
    </row>
    <row r="2677" customFormat="false" ht="15" hidden="false" customHeight="false" outlineLevel="0" collapsed="false">
      <c r="B2677" s="4" t="n">
        <v>26743103</v>
      </c>
      <c r="C2677" s="4" t="s">
        <v>2928</v>
      </c>
      <c r="D2677" s="4" t="s">
        <v>433</v>
      </c>
      <c r="E2677" s="4" t="s">
        <v>3776</v>
      </c>
      <c r="F2677" s="127" t="n">
        <v>46568</v>
      </c>
      <c r="G2677" s="127" t="n">
        <v>46577</v>
      </c>
      <c r="H2677" s="127" t="n">
        <v>46293</v>
      </c>
      <c r="I2677" s="4" t="n">
        <v>0</v>
      </c>
      <c r="J2677" s="4" t="n">
        <v>0</v>
      </c>
      <c r="K2677" s="4" t="n">
        <v>0</v>
      </c>
      <c r="M2677" s="2" t="str">
        <f aca="false">IF(C2677="","",IFERROR(INDEX($S$5:$S$304,MATCH(C2677,$R$5:$R$304,0))&amp;"","?"))</f>
        <v>23</v>
      </c>
      <c r="N2677" s="2" t="n">
        <f aca="false">IF(E2677="","",IF(ISNUMBER(SEARCH("SUBSOLO",E2677)),IFERROR(-VALUE(LEFT(E2677,FIND("º",SUBSTITUTE(E2677,"°","º"))-1)),-1),IF(LEFT(E2677,6)="TÉRREO",0,IFERROR(VALUE(LEFT(E2677,FIND("º",SUBSTITUTE(E2677,"°","º"))-1)),""))))</f>
        <v>18</v>
      </c>
      <c r="O2677" s="2" t="str">
        <f aca="false">IF(OR(F2677="",G2677=""),"",IF(G2677&lt;='RETRATO 2027'!$K$5,"CONCLUÍDA",IF(F2677&lt;='RETRATO 2027'!$K$5,"EM ANDAMENTO","A INICIAR")))</f>
        <v>CONCLUÍDA</v>
      </c>
    </row>
    <row r="2678" customFormat="false" ht="15" hidden="false" customHeight="false" outlineLevel="0" collapsed="false">
      <c r="B2678" s="4" t="n">
        <v>26743122</v>
      </c>
      <c r="C2678" s="4" t="s">
        <v>2930</v>
      </c>
      <c r="D2678" s="4" t="s">
        <v>433</v>
      </c>
      <c r="E2678" s="4" t="s">
        <v>3776</v>
      </c>
      <c r="F2678" s="127" t="n">
        <v>46568</v>
      </c>
      <c r="G2678" s="127" t="n">
        <v>46577</v>
      </c>
      <c r="H2678" s="127" t="n">
        <v>46293</v>
      </c>
      <c r="I2678" s="4" t="n">
        <v>0</v>
      </c>
      <c r="J2678" s="4" t="n">
        <v>0</v>
      </c>
      <c r="K2678" s="4" t="n">
        <v>0</v>
      </c>
      <c r="M2678" s="2" t="str">
        <f aca="false">IF(C2678="","",IFERROR(INDEX($S$5:$S$304,MATCH(C2678,$R$5:$R$304,0))&amp;"","?"))</f>
        <v>21</v>
      </c>
      <c r="N2678" s="2" t="n">
        <f aca="false">IF(E2678="","",IF(ISNUMBER(SEARCH("SUBSOLO",E2678)),IFERROR(-VALUE(LEFT(E2678,FIND("º",SUBSTITUTE(E2678,"°","º"))-1)),-1),IF(LEFT(E2678,6)="TÉRREO",0,IFERROR(VALUE(LEFT(E2678,FIND("º",SUBSTITUTE(E2678,"°","º"))-1)),""))))</f>
        <v>18</v>
      </c>
      <c r="O2678" s="2" t="str">
        <f aca="false">IF(OR(F2678="",G2678=""),"",IF(G2678&lt;='RETRATO 2027'!$K$5,"CONCLUÍDA",IF(F2678&lt;='RETRATO 2027'!$K$5,"EM ANDAMENTO","A INICIAR")))</f>
        <v>CONCLUÍDA</v>
      </c>
    </row>
    <row r="2679" customFormat="false" ht="15" hidden="false" customHeight="false" outlineLevel="0" collapsed="false">
      <c r="B2679" s="4" t="n">
        <v>26743123</v>
      </c>
      <c r="C2679" s="4" t="s">
        <v>2933</v>
      </c>
      <c r="D2679" s="4" t="s">
        <v>433</v>
      </c>
      <c r="E2679" s="4" t="s">
        <v>3776</v>
      </c>
      <c r="F2679" s="127" t="n">
        <v>46568</v>
      </c>
      <c r="G2679" s="127" t="n">
        <v>46577</v>
      </c>
      <c r="H2679" s="127" t="n">
        <v>46293</v>
      </c>
      <c r="I2679" s="4" t="n">
        <v>0</v>
      </c>
      <c r="J2679" s="4" t="n">
        <v>0</v>
      </c>
      <c r="K2679" s="4" t="n">
        <v>0</v>
      </c>
      <c r="M2679" s="2" t="str">
        <f aca="false">IF(C2679="","",IFERROR(INDEX($S$5:$S$304,MATCH(C2679,$R$5:$R$304,0))&amp;"","?"))</f>
        <v>21</v>
      </c>
      <c r="N2679" s="2" t="n">
        <f aca="false">IF(E2679="","",IF(ISNUMBER(SEARCH("SUBSOLO",E2679)),IFERROR(-VALUE(LEFT(E2679,FIND("º",SUBSTITUTE(E2679,"°","º"))-1)),-1),IF(LEFT(E2679,6)="TÉRREO",0,IFERROR(VALUE(LEFT(E2679,FIND("º",SUBSTITUTE(E2679,"°","º"))-1)),""))))</f>
        <v>18</v>
      </c>
      <c r="O2679" s="2" t="str">
        <f aca="false">IF(OR(F2679="",G2679=""),"",IF(G2679&lt;='RETRATO 2027'!$K$5,"CONCLUÍDA",IF(F2679&lt;='RETRATO 2027'!$K$5,"EM ANDAMENTO","A INICIAR")))</f>
        <v>CONCLUÍDA</v>
      </c>
    </row>
    <row r="2680" customFormat="false" ht="15" hidden="false" customHeight="false" outlineLevel="0" collapsed="false">
      <c r="B2680" s="4" t="n">
        <v>26743065</v>
      </c>
      <c r="C2680" s="4" t="s">
        <v>2922</v>
      </c>
      <c r="D2680" s="4" t="s">
        <v>433</v>
      </c>
      <c r="E2680" s="4" t="s">
        <v>3779</v>
      </c>
      <c r="F2680" s="127" t="n">
        <v>46568</v>
      </c>
      <c r="G2680" s="127" t="n">
        <v>46577</v>
      </c>
      <c r="H2680" s="127" t="n">
        <v>46293</v>
      </c>
      <c r="I2680" s="4" t="n">
        <v>0</v>
      </c>
      <c r="J2680" s="4" t="n">
        <v>0</v>
      </c>
      <c r="K2680" s="4" t="n">
        <v>0</v>
      </c>
      <c r="M2680" s="2" t="str">
        <f aca="false">IF(C2680="","",IFERROR(INDEX($S$5:$S$304,MATCH(C2680,$R$5:$R$304,0))&amp;"","?"))</f>
        <v>18</v>
      </c>
      <c r="N2680" s="2" t="n">
        <f aca="false">IF(E2680="","",IF(ISNUMBER(SEARCH("SUBSOLO",E2680)),IFERROR(-VALUE(LEFT(E2680,FIND("º",SUBSTITUTE(E2680,"°","º"))-1)),-1),IF(LEFT(E2680,6)="TÉRREO",0,IFERROR(VALUE(LEFT(E2680,FIND("º",SUBSTITUTE(E2680,"°","º"))-1)),""))))</f>
        <v>19</v>
      </c>
      <c r="O2680" s="2" t="str">
        <f aca="false">IF(OR(F2680="",G2680=""),"",IF(G2680&lt;='RETRATO 2027'!$K$5,"CONCLUÍDA",IF(F2680&lt;='RETRATO 2027'!$K$5,"EM ANDAMENTO","A INICIAR")))</f>
        <v>CONCLUÍDA</v>
      </c>
    </row>
    <row r="2681" customFormat="false" ht="15" hidden="false" customHeight="false" outlineLevel="0" collapsed="false">
      <c r="B2681" s="4" t="n">
        <v>26742835</v>
      </c>
      <c r="C2681" s="4" t="s">
        <v>2869</v>
      </c>
      <c r="D2681" s="4" t="s">
        <v>433</v>
      </c>
      <c r="E2681" s="4" t="s">
        <v>3797</v>
      </c>
      <c r="F2681" s="127" t="n">
        <v>46569</v>
      </c>
      <c r="G2681" s="127" t="n">
        <v>46580</v>
      </c>
      <c r="H2681" s="127" t="n">
        <v>46293</v>
      </c>
      <c r="I2681" s="4" t="n">
        <v>0</v>
      </c>
      <c r="J2681" s="4" t="n">
        <v>0</v>
      </c>
      <c r="K2681" s="4" t="n">
        <v>0</v>
      </c>
      <c r="M2681" s="2" t="str">
        <f aca="false">IF(C2681="","",IFERROR(INDEX($S$5:$S$304,MATCH(C2681,$R$5:$R$304,0))&amp;"","?"))</f>
        <v>22</v>
      </c>
      <c r="N2681" s="2" t="n">
        <f aca="false">IF(E2681="","",IF(ISNUMBER(SEARCH("SUBSOLO",E2681)),IFERROR(-VALUE(LEFT(E2681,FIND("º",SUBSTITUTE(E2681,"°","º"))-1)),-1),IF(LEFT(E2681,6)="TÉRREO",0,IFERROR(VALUE(LEFT(E2681,FIND("º",SUBSTITUTE(E2681,"°","º"))-1)),""))))</f>
        <v>26</v>
      </c>
      <c r="O2681" s="2" t="str">
        <f aca="false">IF(OR(F2681="",G2681=""),"",IF(G2681&lt;='RETRATO 2027'!$K$5,"CONCLUÍDA",IF(F2681&lt;='RETRATO 2027'!$K$5,"EM ANDAMENTO","A INICIAR")))</f>
        <v>CONCLUÍDA</v>
      </c>
    </row>
    <row r="2682" customFormat="false" ht="15" hidden="false" customHeight="false" outlineLevel="0" collapsed="false">
      <c r="B2682" s="4" t="n">
        <v>26742796</v>
      </c>
      <c r="C2682" s="4" t="s">
        <v>163</v>
      </c>
      <c r="D2682" s="4" t="s">
        <v>433</v>
      </c>
      <c r="E2682" s="4" t="s">
        <v>3799</v>
      </c>
      <c r="F2682" s="127" t="n">
        <v>46569</v>
      </c>
      <c r="G2682" s="127" t="n">
        <v>46580</v>
      </c>
      <c r="H2682" s="127" t="n">
        <v>46293</v>
      </c>
      <c r="I2682" s="4" t="n">
        <v>0</v>
      </c>
      <c r="J2682" s="4" t="n">
        <v>0</v>
      </c>
      <c r="K2682" s="4" t="n">
        <v>0</v>
      </c>
      <c r="M2682" s="2" t="str">
        <f aca="false">IF(C2682="","",IFERROR(INDEX($S$5:$S$304,MATCH(C2682,$R$5:$R$304,0))&amp;"","?"))</f>
        <v>18</v>
      </c>
      <c r="N2682" s="2" t="n">
        <f aca="false">IF(E2682="","",IF(ISNUMBER(SEARCH("SUBSOLO",E2682)),IFERROR(-VALUE(LEFT(E2682,FIND("º",SUBSTITUTE(E2682,"°","º"))-1)),-1),IF(LEFT(E2682,6)="TÉRREO",0,IFERROR(VALUE(LEFT(E2682,FIND("º",SUBSTITUTE(E2682,"°","º"))-1)),""))))</f>
        <v>27</v>
      </c>
      <c r="O2682" s="2" t="str">
        <f aca="false">IF(OR(F2682="",G2682=""),"",IF(G2682&lt;='RETRATO 2027'!$K$5,"CONCLUÍDA",IF(F2682&lt;='RETRATO 2027'!$K$5,"EM ANDAMENTO","A INICIAR")))</f>
        <v>CONCLUÍDA</v>
      </c>
    </row>
    <row r="2683" customFormat="false" ht="15" hidden="false" customHeight="false" outlineLevel="0" collapsed="false">
      <c r="B2683" s="4" t="n">
        <v>26744392</v>
      </c>
      <c r="C2683" s="4" t="s">
        <v>3015</v>
      </c>
      <c r="D2683" s="4" t="s">
        <v>433</v>
      </c>
      <c r="E2683" s="4" t="s">
        <v>3780</v>
      </c>
      <c r="F2683" s="127" t="n">
        <v>46570</v>
      </c>
      <c r="G2683" s="127" t="n">
        <v>46631</v>
      </c>
      <c r="H2683" s="127" t="n">
        <v>46293</v>
      </c>
      <c r="I2683" s="4" t="n">
        <v>0</v>
      </c>
      <c r="J2683" s="4" t="n">
        <v>0</v>
      </c>
      <c r="K2683" s="4" t="n">
        <v>0</v>
      </c>
      <c r="M2683" s="2" t="str">
        <f aca="false">IF(C2683="","",IFERROR(INDEX($S$5:$S$304,MATCH(C2683,$R$5:$R$304,0))&amp;"","?"))</f>
        <v>30</v>
      </c>
      <c r="N2683" s="2" t="n">
        <f aca="false">IF(E2683="","",IF(ISNUMBER(SEARCH("SUBSOLO",E2683)),IFERROR(-VALUE(LEFT(E2683,FIND("º",SUBSTITUTE(E2683,"°","º"))-1)),-1),IF(LEFT(E2683,6)="TÉRREO",0,IFERROR(VALUE(LEFT(E2683,FIND("º",SUBSTITUTE(E2683,"°","º"))-1)),""))))</f>
        <v>3</v>
      </c>
      <c r="O2683" s="2" t="str">
        <f aca="false">IF(OR(F2683="",G2683=""),"",IF(G2683&lt;='RETRATO 2027'!$K$5,"CONCLUÍDA",IF(F2683&lt;='RETRATO 2027'!$K$5,"EM ANDAMENTO","A INICIAR")))</f>
        <v>CONCLUÍDA</v>
      </c>
    </row>
    <row r="2684" customFormat="false" ht="15" hidden="false" customHeight="false" outlineLevel="0" collapsed="false">
      <c r="B2684" s="4" t="n">
        <v>26743045</v>
      </c>
      <c r="C2684" s="4" t="s">
        <v>2916</v>
      </c>
      <c r="D2684" s="4" t="s">
        <v>433</v>
      </c>
      <c r="E2684" s="4" t="s">
        <v>3781</v>
      </c>
      <c r="F2684" s="127" t="n">
        <v>46570</v>
      </c>
      <c r="G2684" s="127" t="n">
        <v>46577</v>
      </c>
      <c r="H2684" s="127" t="n">
        <v>46293</v>
      </c>
      <c r="I2684" s="4" t="n">
        <v>0</v>
      </c>
      <c r="J2684" s="4" t="n">
        <v>0</v>
      </c>
      <c r="K2684" s="4" t="n">
        <v>0</v>
      </c>
      <c r="M2684" s="2" t="str">
        <f aca="false">IF(C2684="","",IFERROR(INDEX($S$5:$S$304,MATCH(C2684,$R$5:$R$304,0))&amp;"","?"))</f>
        <v>18</v>
      </c>
      <c r="N2684" s="2" t="n">
        <f aca="false">IF(E2684="","",IF(ISNUMBER(SEARCH("SUBSOLO",E2684)),IFERROR(-VALUE(LEFT(E2684,FIND("º",SUBSTITUTE(E2684,"°","º"))-1)),-1),IF(LEFT(E2684,6)="TÉRREO",0,IFERROR(VALUE(LEFT(E2684,FIND("º",SUBSTITUTE(E2684,"°","º"))-1)),""))))</f>
        <v>20</v>
      </c>
      <c r="O2684" s="2" t="str">
        <f aca="false">IF(OR(F2684="",G2684=""),"",IF(G2684&lt;='RETRATO 2027'!$K$5,"CONCLUÍDA",IF(F2684&lt;='RETRATO 2027'!$K$5,"EM ANDAMENTO","A INICIAR")))</f>
        <v>CONCLUÍDA</v>
      </c>
    </row>
    <row r="2685" customFormat="false" ht="15" hidden="false" customHeight="false" outlineLevel="0" collapsed="false">
      <c r="B2685" s="4" t="n">
        <v>26745030</v>
      </c>
      <c r="C2685" s="4" t="s">
        <v>208</v>
      </c>
      <c r="D2685" s="4" t="s">
        <v>433</v>
      </c>
      <c r="E2685" s="4" t="s">
        <v>3801</v>
      </c>
      <c r="F2685" s="127" t="n">
        <v>46573</v>
      </c>
      <c r="G2685" s="127" t="n">
        <v>46582</v>
      </c>
      <c r="H2685" s="127" t="n">
        <v>46293</v>
      </c>
      <c r="I2685" s="4" t="n">
        <v>0</v>
      </c>
      <c r="J2685" s="4" t="n">
        <v>0</v>
      </c>
      <c r="K2685" s="4" t="n">
        <v>0</v>
      </c>
      <c r="M2685" s="2" t="str">
        <f aca="false">IF(C2685="","",IFERROR(INDEX($S$5:$S$304,MATCH(C2685,$R$5:$R$304,0))&amp;"","?"))</f>
        <v>33</v>
      </c>
      <c r="N2685" s="2" t="n">
        <f aca="false">IF(E2685="","",IF(ISNUMBER(SEARCH("SUBSOLO",E2685)),IFERROR(-VALUE(LEFT(E2685,FIND("º",SUBSTITUTE(E2685,"°","º"))-1)),-1),IF(LEFT(E2685,6)="TÉRREO",0,IFERROR(VALUE(LEFT(E2685,FIND("º",SUBSTITUTE(E2685,"°","º"))-1)),""))))</f>
        <v>1</v>
      </c>
      <c r="O2685" s="2" t="str">
        <f aca="false">IF(OR(F2685="",G2685=""),"",IF(G2685&lt;='RETRATO 2027'!$K$5,"CONCLUÍDA",IF(F2685&lt;='RETRATO 2027'!$K$5,"EM ANDAMENTO","A INICIAR")))</f>
        <v>CONCLUÍDA</v>
      </c>
    </row>
    <row r="2686" customFormat="false" ht="15" hidden="false" customHeight="false" outlineLevel="0" collapsed="false">
      <c r="B2686" s="4" t="n">
        <v>26743705</v>
      </c>
      <c r="C2686" s="4" t="s">
        <v>3018</v>
      </c>
      <c r="D2686" s="4" t="s">
        <v>433</v>
      </c>
      <c r="E2686" s="4" t="s">
        <v>3482</v>
      </c>
      <c r="F2686" s="127" t="n">
        <v>46574</v>
      </c>
      <c r="G2686" s="127" t="n">
        <v>46594</v>
      </c>
      <c r="H2686" s="127" t="n">
        <v>46293</v>
      </c>
      <c r="I2686" s="4" t="n">
        <v>0</v>
      </c>
      <c r="J2686" s="4" t="n">
        <v>0</v>
      </c>
      <c r="K2686" s="4" t="n">
        <v>0</v>
      </c>
      <c r="M2686" s="2" t="str">
        <f aca="false">IF(C2686="","",IFERROR(INDEX($S$5:$S$304,MATCH(C2686,$R$5:$R$304,0))&amp;"","?"))</f>
        <v>30</v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>CONCLUÍDA</v>
      </c>
    </row>
    <row r="2687" customFormat="false" ht="15" hidden="false" customHeight="false" outlineLevel="0" collapsed="false">
      <c r="B2687" s="4" t="n">
        <v>26745151</v>
      </c>
      <c r="C2687" s="4" t="s">
        <v>3003</v>
      </c>
      <c r="D2687" s="4" t="s">
        <v>433</v>
      </c>
      <c r="E2687" s="4" t="s">
        <v>3652</v>
      </c>
      <c r="F2687" s="127" t="n">
        <v>46574</v>
      </c>
      <c r="G2687" s="127" t="n">
        <v>46582</v>
      </c>
      <c r="H2687" s="127" t="n">
        <v>46293</v>
      </c>
      <c r="I2687" s="4" t="n">
        <v>0</v>
      </c>
      <c r="J2687" s="4" t="n">
        <v>0</v>
      </c>
      <c r="K2687" s="4" t="n">
        <v>0</v>
      </c>
      <c r="M2687" s="2" t="str">
        <f aca="false">IF(C2687="","",IFERROR(INDEX($S$5:$S$304,MATCH(C2687,$R$5:$R$304,0))&amp;"","?"))</f>
        <v>20</v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>CONCLUÍDA</v>
      </c>
    </row>
    <row r="2688" customFormat="false" ht="15" hidden="false" customHeight="false" outlineLevel="0" collapsed="false">
      <c r="B2688" s="4" t="n">
        <v>26750502</v>
      </c>
      <c r="C2688" s="4" t="s">
        <v>2938</v>
      </c>
      <c r="D2688" s="4" t="s">
        <v>433</v>
      </c>
      <c r="E2688" s="4" t="s">
        <v>3775</v>
      </c>
      <c r="F2688" s="127" t="n">
        <v>46574</v>
      </c>
      <c r="G2688" s="127" t="n">
        <v>46580</v>
      </c>
      <c r="H2688" s="127" t="n">
        <v>46293</v>
      </c>
      <c r="I2688" s="4" t="n">
        <v>0</v>
      </c>
      <c r="J2688" s="4" t="n">
        <v>0</v>
      </c>
      <c r="K2688" s="4" t="n">
        <v>0</v>
      </c>
      <c r="M2688" s="2" t="str">
        <f aca="false">IF(C2688="","",IFERROR(INDEX($S$5:$S$304,MATCH(C2688,$R$5:$R$304,0))&amp;"","?"))</f>
        <v>30</v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>CONCLUÍDA</v>
      </c>
    </row>
    <row r="2689" customFormat="false" ht="15" hidden="false" customHeight="false" outlineLevel="0" collapsed="false">
      <c r="B2689" s="4" t="n">
        <v>26745048</v>
      </c>
      <c r="C2689" s="4" t="s">
        <v>3006</v>
      </c>
      <c r="D2689" s="4" t="s">
        <v>433</v>
      </c>
      <c r="E2689" s="4" t="s">
        <v>3659</v>
      </c>
      <c r="F2689" s="127" t="n">
        <v>46574</v>
      </c>
      <c r="G2689" s="127" t="n">
        <v>46583</v>
      </c>
      <c r="H2689" s="127" t="n">
        <v>46293</v>
      </c>
      <c r="I2689" s="4" t="n">
        <v>0</v>
      </c>
      <c r="J2689" s="4" t="n">
        <v>0</v>
      </c>
      <c r="K2689" s="4" t="n">
        <v>0</v>
      </c>
      <c r="M2689" s="2" t="str">
        <f aca="false">IF(C2689="","",IFERROR(INDEX($S$5:$S$304,MATCH(C2689,$R$5:$R$304,0))&amp;"","?"))</f>
        <v>37</v>
      </c>
      <c r="N2689" s="2" t="n">
        <f aca="false">IF(E2689="","",IF(ISNUMBER(SEARCH("SUBSOLO",E2689)),IFERROR(-VALUE(LEFT(E2689,FIND("º",SUBSTITUTE(E2689,"°","º"))-1)),-1),IF(LEFT(E2689,6)="TÉRREO",0,IFERROR(VALUE(LEFT(E2689,FIND("º",SUBSTITUTE(E2689,"°","º"))-1)),""))))</f>
        <v>1</v>
      </c>
      <c r="O2689" s="2" t="str">
        <f aca="false">IF(OR(F2689="",G2689=""),"",IF(G2689&lt;='RETRATO 2027'!$K$5,"CONCLUÍDA",IF(F2689&lt;='RETRATO 2027'!$K$5,"EM ANDAMENTO","A INICIAR")))</f>
        <v>CONCLUÍDA</v>
      </c>
    </row>
    <row r="2690" customFormat="false" ht="15" hidden="false" customHeight="false" outlineLevel="0" collapsed="false">
      <c r="B2690" s="4" t="n">
        <v>26744795</v>
      </c>
      <c r="C2690" s="4" t="s">
        <v>2814</v>
      </c>
      <c r="D2690" s="4" t="s">
        <v>433</v>
      </c>
      <c r="E2690" s="4" t="s">
        <v>3769</v>
      </c>
      <c r="F2690" s="127" t="n">
        <v>46574</v>
      </c>
      <c r="G2690" s="127" t="n">
        <v>46587</v>
      </c>
      <c r="H2690" s="127" t="n">
        <v>46293</v>
      </c>
      <c r="I2690" s="4" t="n">
        <v>0</v>
      </c>
      <c r="J2690" s="4" t="n">
        <v>0</v>
      </c>
      <c r="K2690" s="4" t="n">
        <v>0</v>
      </c>
      <c r="M2690" s="2" t="str">
        <f aca="false">IF(C2690="","",IFERROR(INDEX($S$5:$S$304,MATCH(C2690,$R$5:$R$304,0))&amp;"","?"))</f>
        <v>28</v>
      </c>
      <c r="N2690" s="2" t="n">
        <f aca="false">IF(E2690="","",IF(ISNUMBER(SEARCH("SUBSOLO",E2690)),IFERROR(-VALUE(LEFT(E2690,FIND("º",SUBSTITUTE(E2690,"°","º"))-1)),-1),IF(LEFT(E2690,6)="TÉRREO",0,IFERROR(VALUE(LEFT(E2690,FIND("º",SUBSTITUTE(E2690,"°","º"))-1)),""))))</f>
        <v>3</v>
      </c>
      <c r="O2690" s="2" t="str">
        <f aca="false">IF(OR(F2690="",G2690=""),"",IF(G2690&lt;='RETRATO 2027'!$K$5,"CONCLUÍDA",IF(F2690&lt;='RETRATO 2027'!$K$5,"EM ANDAMENTO","A INICIAR")))</f>
        <v>CONCLUÍDA</v>
      </c>
    </row>
    <row r="2691" customFormat="false" ht="15" hidden="false" customHeight="false" outlineLevel="0" collapsed="false">
      <c r="B2691" s="4" t="n">
        <v>26743007</v>
      </c>
      <c r="C2691" s="4" t="s">
        <v>2814</v>
      </c>
      <c r="D2691" s="4" t="s">
        <v>433</v>
      </c>
      <c r="E2691" s="4" t="s">
        <v>3783</v>
      </c>
      <c r="F2691" s="127" t="n">
        <v>46574</v>
      </c>
      <c r="G2691" s="127" t="n">
        <v>46581</v>
      </c>
      <c r="H2691" s="127" t="n">
        <v>46293</v>
      </c>
      <c r="I2691" s="4" t="n">
        <v>0</v>
      </c>
      <c r="J2691" s="4" t="n">
        <v>0</v>
      </c>
      <c r="K2691" s="4" t="n">
        <v>0</v>
      </c>
      <c r="M2691" s="2" t="str">
        <f aca="false">IF(C2691="","",IFERROR(INDEX($S$5:$S$304,MATCH(C2691,$R$5:$R$304,0))&amp;"","?"))</f>
        <v>28</v>
      </c>
      <c r="N2691" s="2" t="n">
        <f aca="false">IF(E2691="","",IF(ISNUMBER(SEARCH("SUBSOLO",E2691)),IFERROR(-VALUE(LEFT(E2691,FIND("º",SUBSTITUTE(E2691,"°","º"))-1)),-1),IF(LEFT(E2691,6)="TÉRREO",0,IFERROR(VALUE(LEFT(E2691,FIND("º",SUBSTITUTE(E2691,"°","º"))-1)),""))))</f>
        <v>21</v>
      </c>
      <c r="O2691" s="2" t="str">
        <f aca="false">IF(OR(F2691="",G2691=""),"",IF(G2691&lt;='RETRATO 2027'!$K$5,"CONCLUÍDA",IF(F2691&lt;='RETRATO 2027'!$K$5,"EM ANDAMENTO","A INICIAR")))</f>
        <v>CONCLUÍDA</v>
      </c>
    </row>
    <row r="2692" customFormat="false" ht="15" hidden="false" customHeight="false" outlineLevel="0" collapsed="false">
      <c r="B2692" s="4" t="n">
        <v>26742976</v>
      </c>
      <c r="C2692" s="4" t="s">
        <v>2914</v>
      </c>
      <c r="D2692" s="4" t="s">
        <v>433</v>
      </c>
      <c r="E2692" s="4" t="s">
        <v>3786</v>
      </c>
      <c r="F2692" s="127" t="n">
        <v>46574</v>
      </c>
      <c r="G2692" s="127" t="n">
        <v>46583</v>
      </c>
      <c r="H2692" s="127" t="n">
        <v>46293</v>
      </c>
      <c r="I2692" s="4" t="n">
        <v>0</v>
      </c>
      <c r="J2692" s="4" t="n">
        <v>0</v>
      </c>
      <c r="K2692" s="4" t="n">
        <v>0</v>
      </c>
      <c r="M2692" s="2" t="str">
        <f aca="false">IF(C2692="","",IFERROR(INDEX($S$5:$S$304,MATCH(C2692,$R$5:$R$304,0))&amp;"","?"))</f>
        <v>21</v>
      </c>
      <c r="N2692" s="2" t="n">
        <f aca="false">IF(E2692="","",IF(ISNUMBER(SEARCH("SUBSOLO",E2692)),IFERROR(-VALUE(LEFT(E2692,FIND("º",SUBSTITUTE(E2692,"°","º"))-1)),-1),IF(LEFT(E2692,6)="TÉRREO",0,IFERROR(VALUE(LEFT(E2692,FIND("º",SUBSTITUTE(E2692,"°","º"))-1)),""))))</f>
        <v>22</v>
      </c>
      <c r="O2692" s="2" t="str">
        <f aca="false">IF(OR(F2692="",G2692=""),"",IF(G2692&lt;='RETRATO 2027'!$K$5,"CONCLUÍDA",IF(F2692&lt;='RETRATO 2027'!$K$5,"EM ANDAMENTO","A INICIAR")))</f>
        <v>CONCLUÍDA</v>
      </c>
    </row>
    <row r="2693" customFormat="false" ht="15" hidden="false" customHeight="false" outlineLevel="0" collapsed="false">
      <c r="B2693" s="4" t="n">
        <v>26742932</v>
      </c>
      <c r="C2693" s="4" t="s">
        <v>2808</v>
      </c>
      <c r="D2693" s="4" t="s">
        <v>433</v>
      </c>
      <c r="E2693" s="4" t="s">
        <v>3787</v>
      </c>
      <c r="F2693" s="127" t="n">
        <v>46574</v>
      </c>
      <c r="G2693" s="127" t="n">
        <v>46583</v>
      </c>
      <c r="H2693" s="127" t="n">
        <v>46293</v>
      </c>
      <c r="I2693" s="4" t="n">
        <v>0</v>
      </c>
      <c r="J2693" s="4" t="n">
        <v>0</v>
      </c>
      <c r="K2693" s="4" t="n">
        <v>0</v>
      </c>
      <c r="M2693" s="2" t="str">
        <f aca="false">IF(C2693="","",IFERROR(INDEX($S$5:$S$304,MATCH(C2693,$R$5:$R$304,0))&amp;"","?"))</f>
        <v>29</v>
      </c>
      <c r="N2693" s="2" t="n">
        <f aca="false">IF(E2693="","",IF(ISNUMBER(SEARCH("SUBSOLO",E2693)),IFERROR(-VALUE(LEFT(E2693,FIND("º",SUBSTITUTE(E2693,"°","º"))-1)),-1),IF(LEFT(E2693,6)="TÉRREO",0,IFERROR(VALUE(LEFT(E2693,FIND("º",SUBSTITUTE(E2693,"°","º"))-1)),""))))</f>
        <v>23</v>
      </c>
      <c r="O2693" s="2" t="str">
        <f aca="false">IF(OR(F2693="",G2693=""),"",IF(G2693&lt;='RETRATO 2027'!$K$5,"CONCLUÍDA",IF(F2693&lt;='RETRATO 2027'!$K$5,"EM ANDAMENTO","A INICIAR")))</f>
        <v>CONCLUÍDA</v>
      </c>
    </row>
    <row r="2694" customFormat="false" ht="15" hidden="false" customHeight="false" outlineLevel="0" collapsed="false">
      <c r="B2694" s="4" t="n">
        <v>26742894</v>
      </c>
      <c r="C2694" s="4" t="s">
        <v>2910</v>
      </c>
      <c r="D2694" s="4" t="s">
        <v>433</v>
      </c>
      <c r="E2694" s="4" t="s">
        <v>3788</v>
      </c>
      <c r="F2694" s="127" t="n">
        <v>46574</v>
      </c>
      <c r="G2694" s="127" t="n">
        <v>46583</v>
      </c>
      <c r="H2694" s="127" t="n">
        <v>46293</v>
      </c>
      <c r="I2694" s="4" t="n">
        <v>0</v>
      </c>
      <c r="J2694" s="4" t="n">
        <v>0</v>
      </c>
      <c r="K2694" s="4" t="n">
        <v>0</v>
      </c>
      <c r="M2694" s="2" t="str">
        <f aca="false">IF(C2694="","",IFERROR(INDEX($S$5:$S$304,MATCH(C2694,$R$5:$R$304,0))&amp;"","?"))</f>
        <v>25</v>
      </c>
      <c r="N2694" s="2" t="n">
        <f aca="false">IF(E2694="","",IF(ISNUMBER(SEARCH("SUBSOLO",E2694)),IFERROR(-VALUE(LEFT(E2694,FIND("º",SUBSTITUTE(E2694,"°","º"))-1)),-1),IF(LEFT(E2694,6)="TÉRREO",0,IFERROR(VALUE(LEFT(E2694,FIND("º",SUBSTITUTE(E2694,"°","º"))-1)),""))))</f>
        <v>24</v>
      </c>
      <c r="O2694" s="2" t="str">
        <f aca="false">IF(OR(F2694="",G2694=""),"",IF(G2694&lt;='RETRATO 2027'!$K$5,"CONCLUÍDA",IF(F2694&lt;='RETRATO 2027'!$K$5,"EM ANDAMENTO","A INICIAR")))</f>
        <v>CONCLUÍDA</v>
      </c>
    </row>
    <row r="2695" customFormat="false" ht="15" hidden="false" customHeight="false" outlineLevel="0" collapsed="false">
      <c r="B2695" s="4" t="n">
        <v>26742878</v>
      </c>
      <c r="C2695" s="4" t="s">
        <v>2896</v>
      </c>
      <c r="D2695" s="4" t="s">
        <v>433</v>
      </c>
      <c r="E2695" s="4" t="s">
        <v>3794</v>
      </c>
      <c r="F2695" s="127" t="n">
        <v>46575</v>
      </c>
      <c r="G2695" s="127" t="n">
        <v>46584</v>
      </c>
      <c r="H2695" s="127" t="n">
        <v>46293</v>
      </c>
      <c r="I2695" s="4" t="n">
        <v>0</v>
      </c>
      <c r="J2695" s="4" t="n">
        <v>0</v>
      </c>
      <c r="K2695" s="4" t="n">
        <v>0</v>
      </c>
      <c r="M2695" s="2" t="str">
        <f aca="false">IF(C2695="","",IFERROR(INDEX($S$5:$S$304,MATCH(C2695,$R$5:$R$304,0))&amp;"","?"))</f>
        <v>20</v>
      </c>
      <c r="N2695" s="2" t="n">
        <f aca="false">IF(E2695="","",IF(ISNUMBER(SEARCH("SUBSOLO",E2695)),IFERROR(-VALUE(LEFT(E2695,FIND("º",SUBSTITUTE(E2695,"°","º"))-1)),-1),IF(LEFT(E2695,6)="TÉRREO",0,IFERROR(VALUE(LEFT(E2695,FIND("º",SUBSTITUTE(E2695,"°","º"))-1)),""))))</f>
        <v>25</v>
      </c>
      <c r="O2695" s="2" t="str">
        <f aca="false">IF(OR(F2695="",G2695=""),"",IF(G2695&lt;='RETRATO 2027'!$K$5,"CONCLUÍDA",IF(F2695&lt;='RETRATO 2027'!$K$5,"EM ANDAMENTO","A INICIAR")))</f>
        <v>CONCLUÍDA</v>
      </c>
    </row>
    <row r="2696" customFormat="false" ht="15" hidden="false" customHeight="false" outlineLevel="0" collapsed="false">
      <c r="B2696" s="4" t="n">
        <v>29844479</v>
      </c>
      <c r="C2696" s="4" t="s">
        <v>2898</v>
      </c>
      <c r="D2696" s="4" t="s">
        <v>433</v>
      </c>
      <c r="E2696" s="4" t="s">
        <v>3794</v>
      </c>
      <c r="F2696" s="127" t="n">
        <v>46575</v>
      </c>
      <c r="G2696" s="127" t="n">
        <v>46583</v>
      </c>
      <c r="H2696" s="127" t="n">
        <v>46293</v>
      </c>
      <c r="I2696" s="4" t="n">
        <v>0</v>
      </c>
      <c r="J2696" s="4" t="n">
        <v>0</v>
      </c>
      <c r="K2696" s="4" t="n">
        <v>0</v>
      </c>
      <c r="M2696" s="2" t="str">
        <f aca="false">IF(C2696="","",IFERROR(INDEX($S$5:$S$304,MATCH(C2696,$R$5:$R$304,0))&amp;"","?"))</f>
        <v>29</v>
      </c>
      <c r="N2696" s="2" t="n">
        <f aca="false">IF(E2696="","",IF(ISNUMBER(SEARCH("SUBSOLO",E2696)),IFERROR(-VALUE(LEFT(E2696,FIND("º",SUBSTITUTE(E2696,"°","º"))-1)),-1),IF(LEFT(E2696,6)="TÉRREO",0,IFERROR(VALUE(LEFT(E2696,FIND("º",SUBSTITUTE(E2696,"°","º"))-1)),""))))</f>
        <v>25</v>
      </c>
      <c r="O2696" s="2" t="str">
        <f aca="false">IF(OR(F2696="",G2696=""),"",IF(G2696&lt;='RETRATO 2027'!$K$5,"CONCLUÍDA",IF(F2696&lt;='RETRATO 2027'!$K$5,"EM ANDAMENTO","A INICIAR")))</f>
        <v>CONCLUÍDA</v>
      </c>
    </row>
    <row r="2697" customFormat="false" ht="15" hidden="false" customHeight="false" outlineLevel="0" collapsed="false">
      <c r="B2697" s="4" t="n">
        <v>26742834</v>
      </c>
      <c r="C2697" s="4" t="s">
        <v>2886</v>
      </c>
      <c r="D2697" s="4" t="s">
        <v>433</v>
      </c>
      <c r="E2697" s="4" t="s">
        <v>3797</v>
      </c>
      <c r="F2697" s="127" t="n">
        <v>46575</v>
      </c>
      <c r="G2697" s="127" t="n">
        <v>46584</v>
      </c>
      <c r="H2697" s="127" t="n">
        <v>46293</v>
      </c>
      <c r="I2697" s="4" t="n">
        <v>0</v>
      </c>
      <c r="J2697" s="4" t="n">
        <v>0</v>
      </c>
      <c r="K2697" s="4" t="n">
        <v>0</v>
      </c>
      <c r="M2697" s="2" t="str">
        <f aca="false">IF(C2697="","",IFERROR(INDEX($S$5:$S$304,MATCH(C2697,$R$5:$R$304,0))&amp;"","?"))</f>
        <v>21</v>
      </c>
      <c r="N2697" s="2" t="n">
        <f aca="false">IF(E2697="","",IF(ISNUMBER(SEARCH("SUBSOLO",E2697)),IFERROR(-VALUE(LEFT(E2697,FIND("º",SUBSTITUTE(E2697,"°","º"))-1)),-1),IF(LEFT(E2697,6)="TÉRREO",0,IFERROR(VALUE(LEFT(E2697,FIND("º",SUBSTITUTE(E2697,"°","º"))-1)),""))))</f>
        <v>26</v>
      </c>
      <c r="O2697" s="2" t="str">
        <f aca="false">IF(OR(F2697="",G2697=""),"",IF(G2697&lt;='RETRATO 2027'!$K$5,"CONCLUÍDA",IF(F2697&lt;='RETRATO 2027'!$K$5,"EM ANDAMENTO","A INICIAR")))</f>
        <v>CONCLUÍDA</v>
      </c>
    </row>
    <row r="2698" customFormat="false" ht="15" hidden="false" customHeight="false" outlineLevel="0" collapsed="false">
      <c r="B2698" s="4" t="n">
        <v>29844655</v>
      </c>
      <c r="C2698" s="4" t="s">
        <v>2888</v>
      </c>
      <c r="D2698" s="4" t="s">
        <v>433</v>
      </c>
      <c r="E2698" s="4" t="s">
        <v>3797</v>
      </c>
      <c r="F2698" s="127" t="n">
        <v>46575</v>
      </c>
      <c r="G2698" s="127" t="n">
        <v>46584</v>
      </c>
      <c r="H2698" s="127" t="n">
        <v>46293</v>
      </c>
      <c r="I2698" s="4" t="n">
        <v>0</v>
      </c>
      <c r="J2698" s="4" t="n">
        <v>0</v>
      </c>
      <c r="K2698" s="4" t="n">
        <v>0</v>
      </c>
      <c r="M2698" s="2" t="str">
        <f aca="false">IF(C2698="","",IFERROR(INDEX($S$5:$S$304,MATCH(C2698,$R$5:$R$304,0))&amp;"","?"))</f>
        <v>20</v>
      </c>
      <c r="N2698" s="2" t="n">
        <f aca="false">IF(E2698="","",IF(ISNUMBER(SEARCH("SUBSOLO",E2698)),IFERROR(-VALUE(LEFT(E2698,FIND("º",SUBSTITUTE(E2698,"°","º"))-1)),-1),IF(LEFT(E2698,6)="TÉRREO",0,IFERROR(VALUE(LEFT(E2698,FIND("º",SUBSTITUTE(E2698,"°","º"))-1)),""))))</f>
        <v>26</v>
      </c>
      <c r="O2698" s="2" t="str">
        <f aca="false">IF(OR(F2698="",G2698=""),"",IF(G2698&lt;='RETRATO 2027'!$K$5,"CONCLUÍDA",IF(F2698&lt;='RETRATO 2027'!$K$5,"EM ANDAMENTO","A INICIAR")))</f>
        <v>CONCLUÍDA</v>
      </c>
    </row>
    <row r="2699" customFormat="false" ht="15" hidden="false" customHeight="false" outlineLevel="0" collapsed="false">
      <c r="B2699" s="4" t="n">
        <v>26744911</v>
      </c>
      <c r="C2699" s="4" t="s">
        <v>163</v>
      </c>
      <c r="D2699" s="4" t="s">
        <v>433</v>
      </c>
      <c r="E2699" s="4" t="s">
        <v>3805</v>
      </c>
      <c r="F2699" s="127" t="n">
        <v>46575</v>
      </c>
      <c r="G2699" s="127" t="n">
        <v>46636</v>
      </c>
      <c r="H2699" s="127" t="n">
        <v>46293</v>
      </c>
      <c r="I2699" s="4" t="n">
        <v>0</v>
      </c>
      <c r="J2699" s="4" t="n">
        <v>0</v>
      </c>
      <c r="K2699" s="4" t="n">
        <v>0</v>
      </c>
      <c r="M2699" s="2" t="str">
        <f aca="false">IF(C2699="","",IFERROR(INDEX($S$5:$S$304,MATCH(C2699,$R$5:$R$304,0))&amp;"","?"))</f>
        <v>18</v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>CONCLUÍDA</v>
      </c>
    </row>
    <row r="2700" customFormat="false" ht="15" hidden="false" customHeight="false" outlineLevel="0" collapsed="false">
      <c r="B2700" s="4" t="n">
        <v>26714092</v>
      </c>
      <c r="C2700" s="4" t="s">
        <v>2900</v>
      </c>
      <c r="D2700" s="4" t="s">
        <v>433</v>
      </c>
      <c r="E2700" s="4" t="s">
        <v>3785</v>
      </c>
      <c r="F2700" s="127" t="n">
        <v>46576</v>
      </c>
      <c r="G2700" s="127" t="n">
        <v>46596</v>
      </c>
      <c r="H2700" s="127" t="n">
        <v>46293</v>
      </c>
      <c r="I2700" s="4" t="n">
        <v>0</v>
      </c>
      <c r="J2700" s="4" t="n">
        <v>0</v>
      </c>
      <c r="K2700" s="4" t="n">
        <v>0</v>
      </c>
      <c r="M2700" s="2" t="str">
        <f aca="false">IF(C2700="","",IFERROR(INDEX($S$5:$S$304,MATCH(C2700,$R$5:$R$304,0))&amp;"","?"))</f>
        <v>22</v>
      </c>
      <c r="N2700" s="2" t="n">
        <f aca="false">IF(E2700="","",IF(ISNUMBER(SEARCH("SUBSOLO",E2700)),IFERROR(-VALUE(LEFT(E2700,FIND("º",SUBSTITUTE(E2700,"°","º"))-1)),-1),IF(LEFT(E2700,6)="TÉRREO",0,IFERROR(VALUE(LEFT(E2700,FIND("º",SUBSTITUTE(E2700,"°","º"))-1)),""))))</f>
        <v>1</v>
      </c>
      <c r="O2700" s="2" t="str">
        <f aca="false">IF(OR(F2700="",G2700=""),"",IF(G2700&lt;='RETRATO 2027'!$K$5,"CONCLUÍDA",IF(F2700&lt;='RETRATO 2027'!$K$5,"EM ANDAMENTO","A INICIAR")))</f>
        <v>CONCLUÍDA</v>
      </c>
    </row>
    <row r="2701" customFormat="false" ht="15" hidden="false" customHeight="false" outlineLevel="0" collapsed="false">
      <c r="B2701" s="4" t="n">
        <v>26707644</v>
      </c>
      <c r="C2701" s="4" t="s">
        <v>2928</v>
      </c>
      <c r="D2701" s="4" t="s">
        <v>433</v>
      </c>
      <c r="E2701" s="4" t="s">
        <v>3785</v>
      </c>
      <c r="F2701" s="127" t="n">
        <v>46576</v>
      </c>
      <c r="G2701" s="127" t="n">
        <v>46596</v>
      </c>
      <c r="H2701" s="127" t="n">
        <v>46293</v>
      </c>
      <c r="I2701" s="4" t="n">
        <v>0</v>
      </c>
      <c r="J2701" s="4" t="n">
        <v>0</v>
      </c>
      <c r="K2701" s="4" t="n">
        <v>0</v>
      </c>
      <c r="M2701" s="2" t="str">
        <f aca="false">IF(C2701="","",IFERROR(INDEX($S$5:$S$304,MATCH(C2701,$R$5:$R$304,0))&amp;"","?"))</f>
        <v>23</v>
      </c>
      <c r="N2701" s="2" t="n">
        <f aca="false">IF(E2701="","",IF(ISNUMBER(SEARCH("SUBSOLO",E2701)),IFERROR(-VALUE(LEFT(E2701,FIND("º",SUBSTITUTE(E2701,"°","º"))-1)),-1),IF(LEFT(E2701,6)="TÉRREO",0,IFERROR(VALUE(LEFT(E2701,FIND("º",SUBSTITUTE(E2701,"°","º"))-1)),""))))</f>
        <v>1</v>
      </c>
      <c r="O2701" s="2" t="str">
        <f aca="false">IF(OR(F2701="",G2701=""),"",IF(G2701&lt;='RETRATO 2027'!$K$5,"CONCLUÍDA",IF(F2701&lt;='RETRATO 2027'!$K$5,"EM ANDAMENTO","A INICIAR")))</f>
        <v>CONCLUÍDA</v>
      </c>
    </row>
    <row r="2702" customFormat="false" ht="15" hidden="false" customHeight="false" outlineLevel="0" collapsed="false">
      <c r="B2702" s="4" t="n">
        <v>26707642</v>
      </c>
      <c r="C2702" s="4" t="s">
        <v>2989</v>
      </c>
      <c r="D2702" s="4" t="s">
        <v>433</v>
      </c>
      <c r="E2702" s="4" t="s">
        <v>3785</v>
      </c>
      <c r="F2702" s="127" t="n">
        <v>46576</v>
      </c>
      <c r="G2702" s="127" t="n">
        <v>46596</v>
      </c>
      <c r="H2702" s="127" t="n">
        <v>46293</v>
      </c>
      <c r="I2702" s="4" t="n">
        <v>0</v>
      </c>
      <c r="J2702" s="4" t="n">
        <v>0</v>
      </c>
      <c r="K2702" s="4" t="n">
        <v>0</v>
      </c>
      <c r="M2702" s="2" t="str">
        <f aca="false">IF(C2702="","",IFERROR(INDEX($S$5:$S$304,MATCH(C2702,$R$5:$R$304,0))&amp;"","?"))</f>
        <v>23</v>
      </c>
      <c r="N2702" s="2" t="n">
        <f aca="false">IF(E2702="","",IF(ISNUMBER(SEARCH("SUBSOLO",E2702)),IFERROR(-VALUE(LEFT(E2702,FIND("º",SUBSTITUTE(E2702,"°","º"))-1)),-1),IF(LEFT(E2702,6)="TÉRREO",0,IFERROR(VALUE(LEFT(E2702,FIND("º",SUBSTITUTE(E2702,"°","º"))-1)),""))))</f>
        <v>1</v>
      </c>
      <c r="O2702" s="2" t="str">
        <f aca="false">IF(OR(F2702="",G2702=""),"",IF(G2702&lt;='RETRATO 2027'!$K$5,"CONCLUÍDA",IF(F2702&lt;='RETRATO 2027'!$K$5,"EM ANDAMENTO","A INICIAR")))</f>
        <v>CONCLUÍDA</v>
      </c>
    </row>
    <row r="2703" customFormat="false" ht="15" hidden="false" customHeight="false" outlineLevel="0" collapsed="false">
      <c r="B2703" s="4" t="n">
        <v>26707643</v>
      </c>
      <c r="C2703" s="4" t="s">
        <v>2791</v>
      </c>
      <c r="D2703" s="4" t="s">
        <v>433</v>
      </c>
      <c r="E2703" s="4" t="s">
        <v>3785</v>
      </c>
      <c r="F2703" s="127" t="n">
        <v>46576</v>
      </c>
      <c r="G2703" s="127" t="n">
        <v>46596</v>
      </c>
      <c r="H2703" s="127" t="n">
        <v>46293</v>
      </c>
      <c r="I2703" s="4" t="n">
        <v>0</v>
      </c>
      <c r="J2703" s="4" t="n">
        <v>0</v>
      </c>
      <c r="K2703" s="4" t="n">
        <v>0</v>
      </c>
      <c r="M2703" s="2" t="str">
        <f aca="false">IF(C2703="","",IFERROR(INDEX($S$5:$S$304,MATCH(C2703,$R$5:$R$304,0))&amp;"","?"))</f>
        <v>21</v>
      </c>
      <c r="N2703" s="2" t="n">
        <f aca="false">IF(E2703="","",IF(ISNUMBER(SEARCH("SUBSOLO",E2703)),IFERROR(-VALUE(LEFT(E2703,FIND("º",SUBSTITUTE(E2703,"°","º"))-1)),-1),IF(LEFT(E2703,6)="TÉRREO",0,IFERROR(VALUE(LEFT(E2703,FIND("º",SUBSTITUTE(E2703,"°","º"))-1)),""))))</f>
        <v>1</v>
      </c>
      <c r="O2703" s="2" t="str">
        <f aca="false">IF(OR(F2703="",G2703=""),"",IF(G2703&lt;='RETRATO 2027'!$K$5,"CONCLUÍDA",IF(F2703&lt;='RETRATO 2027'!$K$5,"EM ANDAMENTO","A INICIAR")))</f>
        <v>CONCLUÍDA</v>
      </c>
    </row>
    <row r="2704" customFormat="false" ht="15" hidden="false" customHeight="false" outlineLevel="0" collapsed="false">
      <c r="B2704" s="4" t="n">
        <v>26707654</v>
      </c>
      <c r="C2704" s="4" t="s">
        <v>2992</v>
      </c>
      <c r="D2704" s="4" t="s">
        <v>433</v>
      </c>
      <c r="E2704" s="4" t="s">
        <v>3785</v>
      </c>
      <c r="F2704" s="127" t="n">
        <v>46576</v>
      </c>
      <c r="G2704" s="127" t="n">
        <v>46596</v>
      </c>
      <c r="H2704" s="127" t="n">
        <v>46293</v>
      </c>
      <c r="I2704" s="4" t="n">
        <v>0</v>
      </c>
      <c r="J2704" s="4" t="n">
        <v>0</v>
      </c>
      <c r="K2704" s="4" t="n">
        <v>0</v>
      </c>
      <c r="M2704" s="2" t="str">
        <f aca="false">IF(C2704="","",IFERROR(INDEX($S$5:$S$304,MATCH(C2704,$R$5:$R$304,0))&amp;"","?"))</f>
        <v>20</v>
      </c>
      <c r="N2704" s="2" t="n">
        <f aca="false">IF(E2704="","",IF(ISNUMBER(SEARCH("SUBSOLO",E2704)),IFERROR(-VALUE(LEFT(E2704,FIND("º",SUBSTITUTE(E2704,"°","º"))-1)),-1),IF(LEFT(E2704,6)="TÉRREO",0,IFERROR(VALUE(LEFT(E2704,FIND("º",SUBSTITUTE(E2704,"°","º"))-1)),""))))</f>
        <v>1</v>
      </c>
      <c r="O2704" s="2" t="str">
        <f aca="false">IF(OR(F2704="",G2704=""),"",IF(G2704&lt;='RETRATO 2027'!$K$5,"CONCLUÍDA",IF(F2704&lt;='RETRATO 2027'!$K$5,"EM ANDAMENTO","A INICIAR")))</f>
        <v>CONCLUÍDA</v>
      </c>
    </row>
    <row r="2705" customFormat="false" ht="15" hidden="false" customHeight="false" outlineLevel="0" collapsed="false">
      <c r="B2705" s="4" t="n">
        <v>26744737</v>
      </c>
      <c r="C2705" s="4" t="s">
        <v>2924</v>
      </c>
      <c r="D2705" s="4" t="s">
        <v>433</v>
      </c>
      <c r="E2705" s="4" t="s">
        <v>3800</v>
      </c>
      <c r="F2705" s="127" t="n">
        <v>46576</v>
      </c>
      <c r="G2705" s="127" t="n">
        <v>46589</v>
      </c>
      <c r="H2705" s="127" t="n">
        <v>46293</v>
      </c>
      <c r="I2705" s="4" t="n">
        <v>0</v>
      </c>
      <c r="J2705" s="4" t="n">
        <v>0</v>
      </c>
      <c r="K2705" s="4" t="n">
        <v>0</v>
      </c>
      <c r="M2705" s="2" t="str">
        <f aca="false">IF(C2705="","",IFERROR(INDEX($S$5:$S$304,MATCH(C2705,$R$5:$R$304,0))&amp;"","?"))</f>
        <v>21</v>
      </c>
      <c r="N2705" s="2" t="n">
        <f aca="false">IF(E2705="","",IF(ISNUMBER(SEARCH("SUBSOLO",E2705)),IFERROR(-VALUE(LEFT(E2705,FIND("º",SUBSTITUTE(E2705,"°","º"))-1)),-1),IF(LEFT(E2705,6)="TÉRREO",0,IFERROR(VALUE(LEFT(E2705,FIND("º",SUBSTITUTE(E2705,"°","º"))-1)),""))))</f>
        <v>3</v>
      </c>
      <c r="O2705" s="2" t="str">
        <f aca="false">IF(OR(F2705="",G2705=""),"",IF(G2705&lt;='RETRATO 2027'!$K$5,"CONCLUÍDA",IF(F2705&lt;='RETRATO 2027'!$K$5,"EM ANDAMENTO","A INICIAR")))</f>
        <v>CONCLUÍDA</v>
      </c>
    </row>
    <row r="2706" customFormat="false" ht="15" hidden="false" customHeight="false" outlineLevel="0" collapsed="false">
      <c r="B2706" s="4" t="n">
        <v>26744740</v>
      </c>
      <c r="C2706" s="4" t="s">
        <v>2926</v>
      </c>
      <c r="D2706" s="4" t="s">
        <v>433</v>
      </c>
      <c r="E2706" s="4" t="s">
        <v>3800</v>
      </c>
      <c r="F2706" s="127" t="n">
        <v>46576</v>
      </c>
      <c r="G2706" s="127" t="n">
        <v>46589</v>
      </c>
      <c r="H2706" s="127" t="n">
        <v>46293</v>
      </c>
      <c r="I2706" s="4" t="n">
        <v>0</v>
      </c>
      <c r="J2706" s="4" t="n">
        <v>0</v>
      </c>
      <c r="K2706" s="4" t="n">
        <v>0</v>
      </c>
      <c r="M2706" s="2" t="str">
        <f aca="false">IF(C2706="","",IFERROR(INDEX($S$5:$S$304,MATCH(C2706,$R$5:$R$304,0))&amp;"","?"))</f>
        <v>20</v>
      </c>
      <c r="N2706" s="2" t="n">
        <f aca="false">IF(E2706="","",IF(ISNUMBER(SEARCH("SUBSOLO",E2706)),IFERROR(-VALUE(LEFT(E2706,FIND("º",SUBSTITUTE(E2706,"°","º"))-1)),-1),IF(LEFT(E2706,6)="TÉRREO",0,IFERROR(VALUE(LEFT(E2706,FIND("º",SUBSTITUTE(E2706,"°","º"))-1)),""))))</f>
        <v>3</v>
      </c>
      <c r="O2706" s="2" t="str">
        <f aca="false">IF(OR(F2706="",G2706=""),"",IF(G2706&lt;='RETRATO 2027'!$K$5,"CONCLUÍDA",IF(F2706&lt;='RETRATO 2027'!$K$5,"EM ANDAMENTO","A INICIAR")))</f>
        <v>CONCLUÍDA</v>
      </c>
    </row>
    <row r="2707" customFormat="false" ht="15" hidden="false" customHeight="false" outlineLevel="0" collapsed="false">
      <c r="B2707" s="4" t="n">
        <v>26744739</v>
      </c>
      <c r="C2707" s="4" t="s">
        <v>2959</v>
      </c>
      <c r="D2707" s="4" t="s">
        <v>433</v>
      </c>
      <c r="E2707" s="4" t="s">
        <v>3800</v>
      </c>
      <c r="F2707" s="127" t="n">
        <v>46576</v>
      </c>
      <c r="G2707" s="127" t="n">
        <v>46589</v>
      </c>
      <c r="H2707" s="127" t="n">
        <v>46293</v>
      </c>
      <c r="I2707" s="4" t="n">
        <v>0</v>
      </c>
      <c r="J2707" s="4" t="n">
        <v>0</v>
      </c>
      <c r="K2707" s="4" t="n">
        <v>0</v>
      </c>
      <c r="M2707" s="2" t="str">
        <f aca="false">IF(C2707="","",IFERROR(INDEX($S$5:$S$304,MATCH(C2707,$R$5:$R$304,0))&amp;"","?"))</f>
        <v>21</v>
      </c>
      <c r="N2707" s="2" t="n">
        <f aca="false">IF(E2707="","",IF(ISNUMBER(SEARCH("SUBSOLO",E2707)),IFERROR(-VALUE(LEFT(E2707,FIND("º",SUBSTITUTE(E2707,"°","º"))-1)),-1),IF(LEFT(E2707,6)="TÉRREO",0,IFERROR(VALUE(LEFT(E2707,FIND("º",SUBSTITUTE(E2707,"°","º"))-1)),""))))</f>
        <v>3</v>
      </c>
      <c r="O2707" s="2" t="str">
        <f aca="false">IF(OR(F2707="",G2707=""),"",IF(G2707&lt;='RETRATO 2027'!$K$5,"CONCLUÍDA",IF(F2707&lt;='RETRATO 2027'!$K$5,"EM ANDAMENTO","A INICIAR")))</f>
        <v>CONCLUÍDA</v>
      </c>
    </row>
    <row r="2708" customFormat="false" ht="15" hidden="false" customHeight="false" outlineLevel="0" collapsed="false">
      <c r="B2708" s="4" t="n">
        <v>26707710</v>
      </c>
      <c r="C2708" s="4" t="s">
        <v>3021</v>
      </c>
      <c r="D2708" s="4" t="s">
        <v>433</v>
      </c>
      <c r="E2708" s="4" t="s">
        <v>3766</v>
      </c>
      <c r="F2708" s="127" t="n">
        <v>46577</v>
      </c>
      <c r="G2708" s="127" t="n">
        <v>46597</v>
      </c>
      <c r="H2708" s="127" t="n">
        <v>46293</v>
      </c>
      <c r="I2708" s="4" t="n">
        <v>0</v>
      </c>
      <c r="J2708" s="4" t="n">
        <v>0</v>
      </c>
      <c r="K2708" s="4" t="n">
        <v>0</v>
      </c>
      <c r="M2708" s="2" t="str">
        <f aca="false">IF(C2708="","",IFERROR(INDEX($S$5:$S$304,MATCH(C2708,$R$5:$R$304,0))&amp;"","?"))</f>
        <v>35</v>
      </c>
      <c r="N2708" s="2" t="n">
        <f aca="false">IF(E2708="","",IF(ISNUMBER(SEARCH("SUBSOLO",E2708)),IFERROR(-VALUE(LEFT(E2708,FIND("º",SUBSTITUTE(E2708,"°","º"))-1)),-1),IF(LEFT(E2708,6)="TÉRREO",0,IFERROR(VALUE(LEFT(E2708,FIND("º",SUBSTITUTE(E2708,"°","º"))-1)),""))))</f>
        <v>1</v>
      </c>
      <c r="O2708" s="2" t="str">
        <f aca="false">IF(OR(F2708="",G2708=""),"",IF(G2708&lt;='RETRATO 2027'!$K$5,"CONCLUÍDA",IF(F2708&lt;='RETRATO 2027'!$K$5,"EM ANDAMENTO","A INICIAR")))</f>
        <v>CONCLUÍDA</v>
      </c>
    </row>
    <row r="2709" customFormat="false" ht="15" hidden="false" customHeight="false" outlineLevel="0" collapsed="false">
      <c r="B2709" s="4" t="n">
        <v>26707691</v>
      </c>
      <c r="C2709" s="4" t="s">
        <v>3006</v>
      </c>
      <c r="D2709" s="4" t="s">
        <v>433</v>
      </c>
      <c r="E2709" s="4" t="s">
        <v>3772</v>
      </c>
      <c r="F2709" s="127" t="n">
        <v>46577</v>
      </c>
      <c r="G2709" s="127" t="n">
        <v>46597</v>
      </c>
      <c r="H2709" s="127" t="n">
        <v>46293</v>
      </c>
      <c r="I2709" s="4" t="n">
        <v>0</v>
      </c>
      <c r="J2709" s="4" t="n">
        <v>0</v>
      </c>
      <c r="K2709" s="4" t="n">
        <v>0</v>
      </c>
      <c r="M2709" s="2" t="str">
        <f aca="false">IF(C2709="","",IFERROR(INDEX($S$5:$S$304,MATCH(C2709,$R$5:$R$304,0))&amp;"","?"))</f>
        <v>37</v>
      </c>
      <c r="N2709" s="2" t="n">
        <f aca="false">IF(E2709="","",IF(ISNUMBER(SEARCH("SUBSOLO",E2709)),IFERROR(-VALUE(LEFT(E2709,FIND("º",SUBSTITUTE(E2709,"°","º"))-1)),-1),IF(LEFT(E2709,6)="TÉRREO",0,IFERROR(VALUE(LEFT(E2709,FIND("º",SUBSTITUTE(E2709,"°","º"))-1)),""))))</f>
        <v>1</v>
      </c>
      <c r="O2709" s="2" t="str">
        <f aca="false">IF(OR(F2709="",G2709=""),"",IF(G2709&lt;='RETRATO 2027'!$K$5,"CONCLUÍDA",IF(F2709&lt;='RETRATO 2027'!$K$5,"EM ANDAMENTO","A INICIAR")))</f>
        <v>CONCLUÍDA</v>
      </c>
    </row>
    <row r="2710" customFormat="false" ht="15" hidden="false" customHeight="false" outlineLevel="0" collapsed="false">
      <c r="B2710" s="4" t="n">
        <v>26707686</v>
      </c>
      <c r="C2710" s="4" t="s">
        <v>3009</v>
      </c>
      <c r="D2710" s="4" t="s">
        <v>433</v>
      </c>
      <c r="E2710" s="4" t="s">
        <v>3772</v>
      </c>
      <c r="F2710" s="127" t="n">
        <v>46577</v>
      </c>
      <c r="G2710" s="127" t="n">
        <v>46597</v>
      </c>
      <c r="H2710" s="127" t="n">
        <v>46293</v>
      </c>
      <c r="I2710" s="4" t="n">
        <v>0</v>
      </c>
      <c r="J2710" s="4" t="n">
        <v>0</v>
      </c>
      <c r="K2710" s="4" t="n">
        <v>0</v>
      </c>
      <c r="M2710" s="2" t="str">
        <f aca="false">IF(C2710="","",IFERROR(INDEX($S$5:$S$304,MATCH(C2710,$R$5:$R$304,0))&amp;"","?"))</f>
        <v>23</v>
      </c>
      <c r="N2710" s="2" t="n">
        <f aca="false">IF(E2710="","",IF(ISNUMBER(SEARCH("SUBSOLO",E2710)),IFERROR(-VALUE(LEFT(E2710,FIND("º",SUBSTITUTE(E2710,"°","º"))-1)),-1),IF(LEFT(E2710,6)="TÉRREO",0,IFERROR(VALUE(LEFT(E2710,FIND("º",SUBSTITUTE(E2710,"°","º"))-1)),""))))</f>
        <v>1</v>
      </c>
      <c r="O2710" s="2" t="str">
        <f aca="false">IF(OR(F2710="",G2710=""),"",IF(G2710&lt;='RETRATO 2027'!$K$5,"CONCLUÍDA",IF(F2710&lt;='RETRATO 2027'!$K$5,"EM ANDAMENTO","A INICIAR")))</f>
        <v>CONCLUÍDA</v>
      </c>
    </row>
    <row r="2711" customFormat="false" ht="15" hidden="false" customHeight="false" outlineLevel="0" collapsed="false">
      <c r="B2711" s="4" t="n">
        <v>26743422</v>
      </c>
      <c r="C2711" s="4" t="s">
        <v>2997</v>
      </c>
      <c r="D2711" s="4" t="s">
        <v>433</v>
      </c>
      <c r="E2711" s="4" t="s">
        <v>3722</v>
      </c>
      <c r="F2711" s="127" t="n">
        <v>46577</v>
      </c>
      <c r="G2711" s="127" t="n">
        <v>46588</v>
      </c>
      <c r="H2711" s="127" t="n">
        <v>46293</v>
      </c>
      <c r="I2711" s="4" t="n">
        <v>0</v>
      </c>
      <c r="J2711" s="4" t="n">
        <v>0</v>
      </c>
      <c r="K2711" s="4" t="n">
        <v>0</v>
      </c>
      <c r="M2711" s="2" t="str">
        <f aca="false">IF(C2711="","",IFERROR(INDEX($S$5:$S$304,MATCH(C2711,$R$5:$R$304,0))&amp;"","?"))</f>
        <v>35</v>
      </c>
      <c r="N2711" s="2" t="n">
        <f aca="false">IF(E2711="","",IF(ISNUMBER(SEARCH("SUBSOLO",E2711)),IFERROR(-VALUE(LEFT(E2711,FIND("º",SUBSTITUTE(E2711,"°","º"))-1)),-1),IF(LEFT(E2711,6)="TÉRREO",0,IFERROR(VALUE(LEFT(E2711,FIND("º",SUBSTITUTE(E2711,"°","º"))-1)),""))))</f>
        <v>10</v>
      </c>
      <c r="O2711" s="2" t="str">
        <f aca="false">IF(OR(F2711="",G2711=""),"",IF(G2711&lt;='RETRATO 2027'!$K$5,"CONCLUÍDA",IF(F2711&lt;='RETRATO 2027'!$K$5,"EM ANDAMENTO","A INICIAR")))</f>
        <v>CONCLUÍDA</v>
      </c>
    </row>
    <row r="2712" customFormat="false" ht="15" hidden="false" customHeight="false" outlineLevel="0" collapsed="false">
      <c r="B2712" s="4" t="n">
        <v>26743384</v>
      </c>
      <c r="C2712" s="4" t="s">
        <v>2980</v>
      </c>
      <c r="D2712" s="4" t="s">
        <v>433</v>
      </c>
      <c r="E2712" s="4" t="s">
        <v>3762</v>
      </c>
      <c r="F2712" s="127" t="n">
        <v>46577</v>
      </c>
      <c r="G2712" s="127" t="n">
        <v>46588</v>
      </c>
      <c r="H2712" s="127" t="n">
        <v>46293</v>
      </c>
      <c r="I2712" s="4" t="n">
        <v>0</v>
      </c>
      <c r="J2712" s="4" t="n">
        <v>0</v>
      </c>
      <c r="K2712" s="4" t="n">
        <v>0</v>
      </c>
      <c r="M2712" s="2" t="str">
        <f aca="false">IF(C2712="","",IFERROR(INDEX($S$5:$S$304,MATCH(C2712,$R$5:$R$304,0))&amp;"","?"))</f>
        <v>35</v>
      </c>
      <c r="N2712" s="2" t="n">
        <f aca="false">IF(E2712="","",IF(ISNUMBER(SEARCH("SUBSOLO",E2712)),IFERROR(-VALUE(LEFT(E2712,FIND("º",SUBSTITUTE(E2712,"°","º"))-1)),-1),IF(LEFT(E2712,6)="TÉRREO",0,IFERROR(VALUE(LEFT(E2712,FIND("º",SUBSTITUTE(E2712,"°","º"))-1)),""))))</f>
        <v>11</v>
      </c>
      <c r="O2712" s="2" t="str">
        <f aca="false">IF(OR(F2712="",G2712=""),"",IF(G2712&lt;='RETRATO 2027'!$K$5,"CONCLUÍDA",IF(F2712&lt;='RETRATO 2027'!$K$5,"EM ANDAMENTO","A INICIAR")))</f>
        <v>CONCLUÍDA</v>
      </c>
    </row>
    <row r="2713" customFormat="false" ht="15" hidden="false" customHeight="false" outlineLevel="0" collapsed="false">
      <c r="B2713" s="4" t="n">
        <v>26743354</v>
      </c>
      <c r="C2713" s="4" t="s">
        <v>208</v>
      </c>
      <c r="D2713" s="4" t="s">
        <v>433</v>
      </c>
      <c r="E2713" s="4" t="s">
        <v>3763</v>
      </c>
      <c r="F2713" s="127" t="n">
        <v>46577</v>
      </c>
      <c r="G2713" s="127" t="n">
        <v>46588</v>
      </c>
      <c r="H2713" s="127" t="n">
        <v>46293</v>
      </c>
      <c r="I2713" s="4" t="n">
        <v>0</v>
      </c>
      <c r="J2713" s="4" t="n">
        <v>0</v>
      </c>
      <c r="K2713" s="4" t="n">
        <v>0</v>
      </c>
      <c r="M2713" s="2" t="str">
        <f aca="false">IF(C2713="","",IFERROR(INDEX($S$5:$S$304,MATCH(C2713,$R$5:$R$304,0))&amp;"","?"))</f>
        <v>33</v>
      </c>
      <c r="N2713" s="2" t="n">
        <f aca="false">IF(E2713="","",IF(ISNUMBER(SEARCH("SUBSOLO",E2713)),IFERROR(-VALUE(LEFT(E2713,FIND("º",SUBSTITUTE(E2713,"°","º"))-1)),-1),IF(LEFT(E2713,6)="TÉRREO",0,IFERROR(VALUE(LEFT(E2713,FIND("º",SUBSTITUTE(E2713,"°","º"))-1)),""))))</f>
        <v>12</v>
      </c>
      <c r="O2713" s="2" t="str">
        <f aca="false">IF(OR(F2713="",G2713=""),"",IF(G2713&lt;='RETRATO 2027'!$K$5,"CONCLUÍDA",IF(F2713&lt;='RETRATO 2027'!$K$5,"EM ANDAMENTO","A INICIAR")))</f>
        <v>CONCLUÍDA</v>
      </c>
    </row>
    <row r="2714" customFormat="false" ht="15" hidden="false" customHeight="false" outlineLevel="0" collapsed="false">
      <c r="B2714" s="4" t="n">
        <v>29844394</v>
      </c>
      <c r="C2714" s="4" t="s">
        <v>2890</v>
      </c>
      <c r="D2714" s="4" t="s">
        <v>433</v>
      </c>
      <c r="E2714" s="4" t="s">
        <v>3797</v>
      </c>
      <c r="F2714" s="127" t="n">
        <v>46577</v>
      </c>
      <c r="G2714" s="127" t="n">
        <v>46588</v>
      </c>
      <c r="H2714" s="127" t="n">
        <v>46293</v>
      </c>
      <c r="I2714" s="4" t="n">
        <v>0</v>
      </c>
      <c r="J2714" s="4" t="n">
        <v>0</v>
      </c>
      <c r="K2714" s="4" t="n">
        <v>0</v>
      </c>
      <c r="M2714" s="2" t="str">
        <f aca="false">IF(C2714="","",IFERROR(INDEX($S$5:$S$304,MATCH(C2714,$R$5:$R$304,0))&amp;"","?"))</f>
        <v>18</v>
      </c>
      <c r="N2714" s="2" t="n">
        <f aca="false">IF(E2714="","",IF(ISNUMBER(SEARCH("SUBSOLO",E2714)),IFERROR(-VALUE(LEFT(E2714,FIND("º",SUBSTITUTE(E2714,"°","º"))-1)),-1),IF(LEFT(E2714,6)="TÉRREO",0,IFERROR(VALUE(LEFT(E2714,FIND("º",SUBSTITUTE(E2714,"°","º"))-1)),""))))</f>
        <v>26</v>
      </c>
      <c r="O2714" s="2" t="str">
        <f aca="false">IF(OR(F2714="",G2714=""),"",IF(G2714&lt;='RETRATO 2027'!$K$5,"CONCLUÍDA",IF(F2714&lt;='RETRATO 2027'!$K$5,"EM ANDAMENTO","A INICIAR")))</f>
        <v>CONCLUÍDA</v>
      </c>
    </row>
    <row r="2715" customFormat="false" ht="15" hidden="false" customHeight="false" outlineLevel="0" collapsed="false">
      <c r="B2715" s="4" t="n">
        <v>29844631</v>
      </c>
      <c r="C2715" s="4" t="s">
        <v>2888</v>
      </c>
      <c r="D2715" s="4" t="s">
        <v>433</v>
      </c>
      <c r="E2715" s="4" t="s">
        <v>3626</v>
      </c>
      <c r="F2715" s="127" t="n">
        <v>46580</v>
      </c>
      <c r="G2715" s="127" t="n">
        <v>46589</v>
      </c>
      <c r="H2715" s="127" t="n">
        <v>46293</v>
      </c>
      <c r="I2715" s="4" t="n">
        <v>0</v>
      </c>
      <c r="J2715" s="4" t="n">
        <v>0</v>
      </c>
      <c r="K2715" s="4" t="n">
        <v>0</v>
      </c>
      <c r="M2715" s="2" t="str">
        <f aca="false">IF(C2715="","",IFERROR(INDEX($S$5:$S$304,MATCH(C2715,$R$5:$R$304,0))&amp;"","?"))</f>
        <v>20</v>
      </c>
      <c r="N2715" s="2" t="n">
        <f aca="false">IF(E2715="","",IF(ISNUMBER(SEARCH("SUBSOLO",E2715)),IFERROR(-VALUE(LEFT(E2715,FIND("º",SUBSTITUTE(E2715,"°","º"))-1)),-1),IF(LEFT(E2715,6)="TÉRREO",0,IFERROR(VALUE(LEFT(E2715,FIND("º",SUBSTITUTE(E2715,"°","º"))-1)),""))))</f>
        <v>2</v>
      </c>
      <c r="O2715" s="2" t="str">
        <f aca="false">IF(OR(F2715="",G2715=""),"",IF(G2715&lt;='RETRATO 2027'!$K$5,"CONCLUÍDA",IF(F2715&lt;='RETRATO 2027'!$K$5,"EM ANDAMENTO","A INICIAR")))</f>
        <v>CONCLUÍDA</v>
      </c>
    </row>
    <row r="2716" customFormat="false" ht="15" hidden="false" customHeight="false" outlineLevel="0" collapsed="false">
      <c r="B2716" s="4" t="n">
        <v>26745137</v>
      </c>
      <c r="C2716" s="4" t="s">
        <v>2814</v>
      </c>
      <c r="D2716" s="4" t="s">
        <v>433</v>
      </c>
      <c r="E2716" s="4" t="s">
        <v>3807</v>
      </c>
      <c r="F2716" s="127" t="n">
        <v>46580</v>
      </c>
      <c r="G2716" s="127" t="n">
        <v>46591</v>
      </c>
      <c r="H2716" s="127" t="n">
        <v>46293</v>
      </c>
      <c r="I2716" s="4" t="n">
        <v>0</v>
      </c>
      <c r="J2716" s="4" t="n">
        <v>0</v>
      </c>
      <c r="K2716" s="4" t="n">
        <v>0</v>
      </c>
      <c r="M2716" s="2" t="str">
        <f aca="false">IF(C2716="","",IFERROR(INDEX($S$5:$S$304,MATCH(C2716,$R$5:$R$304,0))&amp;"","?"))</f>
        <v>28</v>
      </c>
      <c r="N2716" s="2" t="n">
        <f aca="false">IF(E2716="","",IF(ISNUMBER(SEARCH("SUBSOLO",E2716)),IFERROR(-VALUE(LEFT(E2716,FIND("º",SUBSTITUTE(E2716,"°","º"))-1)),-1),IF(LEFT(E2716,6)="TÉRREO",0,IFERROR(VALUE(LEFT(E2716,FIND("º",SUBSTITUTE(E2716,"°","º"))-1)),""))))</f>
        <v>2</v>
      </c>
      <c r="O2716" s="2" t="str">
        <f aca="false">IF(OR(F2716="",G2716=""),"",IF(G2716&lt;='RETRATO 2027'!$K$5,"CONCLUÍDA",IF(F2716&lt;='RETRATO 2027'!$K$5,"EM ANDAMENTO","A INICIAR")))</f>
        <v>CONCLUÍDA</v>
      </c>
    </row>
    <row r="2717" customFormat="false" ht="15" hidden="false" customHeight="false" outlineLevel="0" collapsed="false">
      <c r="B2717" s="4" t="n">
        <v>29845960</v>
      </c>
      <c r="C2717" s="4" t="s">
        <v>2983</v>
      </c>
      <c r="D2717" s="4" t="s">
        <v>433</v>
      </c>
      <c r="E2717" s="4" t="s">
        <v>3764</v>
      </c>
      <c r="F2717" s="127" t="n">
        <v>46580</v>
      </c>
      <c r="G2717" s="127" t="n">
        <v>46588</v>
      </c>
      <c r="H2717" s="127" t="n">
        <v>46293</v>
      </c>
      <c r="I2717" s="4" t="n">
        <v>0</v>
      </c>
      <c r="J2717" s="4" t="n">
        <v>0</v>
      </c>
      <c r="K2717" s="4" t="n">
        <v>0</v>
      </c>
      <c r="M2717" s="2" t="str">
        <f aca="false">IF(C2717="","",IFERROR(INDEX($S$5:$S$304,MATCH(C2717,$R$5:$R$304,0))&amp;"","?"))</f>
        <v>20</v>
      </c>
      <c r="N2717" s="2" t="n">
        <f aca="false">IF(E2717="","",IF(ISNUMBER(SEARCH("SUBSOLO",E2717)),IFERROR(-VALUE(LEFT(E2717,FIND("º",SUBSTITUTE(E2717,"°","º"))-1)),-1),IF(LEFT(E2717,6)="TÉRREO",0,IFERROR(VALUE(LEFT(E2717,FIND("º",SUBSTITUTE(E2717,"°","º"))-1)),""))))</f>
        <v>13</v>
      </c>
      <c r="O2717" s="2" t="str">
        <f aca="false">IF(OR(F2717="",G2717=""),"",IF(G2717&lt;='RETRATO 2027'!$K$5,"CONCLUÍDA",IF(F2717&lt;='RETRATO 2027'!$K$5,"EM ANDAMENTO","A INICIAR")))</f>
        <v>CONCLUÍDA</v>
      </c>
    </row>
    <row r="2718" customFormat="false" ht="15" hidden="false" customHeight="false" outlineLevel="0" collapsed="false">
      <c r="B2718" s="4" t="n">
        <v>29845899</v>
      </c>
      <c r="C2718" s="4" t="s">
        <v>2986</v>
      </c>
      <c r="D2718" s="4" t="s">
        <v>433</v>
      </c>
      <c r="E2718" s="4" t="s">
        <v>3764</v>
      </c>
      <c r="F2718" s="127" t="n">
        <v>46580</v>
      </c>
      <c r="G2718" s="127" t="n">
        <v>46589</v>
      </c>
      <c r="H2718" s="127" t="n">
        <v>46293</v>
      </c>
      <c r="I2718" s="4" t="n">
        <v>0</v>
      </c>
      <c r="J2718" s="4" t="n">
        <v>0</v>
      </c>
      <c r="K2718" s="4" t="n">
        <v>0</v>
      </c>
      <c r="M2718" s="2" t="str">
        <f aca="false">IF(C2718="","",IFERROR(INDEX($S$5:$S$304,MATCH(C2718,$R$5:$R$304,0))&amp;"","?"))</f>
        <v>20</v>
      </c>
      <c r="N2718" s="2" t="n">
        <f aca="false">IF(E2718="","",IF(ISNUMBER(SEARCH("SUBSOLO",E2718)),IFERROR(-VALUE(LEFT(E2718,FIND("º",SUBSTITUTE(E2718,"°","º"))-1)),-1),IF(LEFT(E2718,6)="TÉRREO",0,IFERROR(VALUE(LEFT(E2718,FIND("º",SUBSTITUTE(E2718,"°","º"))-1)),""))))</f>
        <v>13</v>
      </c>
      <c r="O2718" s="2" t="str">
        <f aca="false">IF(OR(F2718="",G2718=""),"",IF(G2718&lt;='RETRATO 2027'!$K$5,"CONCLUÍDA",IF(F2718&lt;='RETRATO 2027'!$K$5,"EM ANDAMENTO","A INICIAR")))</f>
        <v>CONCLUÍDA</v>
      </c>
    </row>
    <row r="2719" customFormat="false" ht="15" hidden="false" customHeight="false" outlineLevel="0" collapsed="false">
      <c r="B2719" s="4" t="n">
        <v>26743282</v>
      </c>
      <c r="C2719" s="4" t="s">
        <v>2977</v>
      </c>
      <c r="D2719" s="4" t="s">
        <v>433</v>
      </c>
      <c r="E2719" s="4" t="s">
        <v>3765</v>
      </c>
      <c r="F2719" s="127" t="n">
        <v>46580</v>
      </c>
      <c r="G2719" s="127" t="n">
        <v>46589</v>
      </c>
      <c r="H2719" s="127" t="n">
        <v>46293</v>
      </c>
      <c r="I2719" s="4" t="n">
        <v>0</v>
      </c>
      <c r="J2719" s="4" t="n">
        <v>0</v>
      </c>
      <c r="K2719" s="4" t="n">
        <v>0</v>
      </c>
      <c r="M2719" s="2" t="str">
        <f aca="false">IF(C2719="","",IFERROR(INDEX($S$5:$S$304,MATCH(C2719,$R$5:$R$304,0))&amp;"","?"))</f>
        <v>30</v>
      </c>
      <c r="N2719" s="2" t="n">
        <f aca="false">IF(E2719="","",IF(ISNUMBER(SEARCH("SUBSOLO",E2719)),IFERROR(-VALUE(LEFT(E2719,FIND("º",SUBSTITUTE(E2719,"°","º"))-1)),-1),IF(LEFT(E2719,6)="TÉRREO",0,IFERROR(VALUE(LEFT(E2719,FIND("º",SUBSTITUTE(E2719,"°","º"))-1)),""))))</f>
        <v>14</v>
      </c>
      <c r="O2719" s="2" t="str">
        <f aca="false">IF(OR(F2719="",G2719=""),"",IF(G2719&lt;='RETRATO 2027'!$K$5,"CONCLUÍDA",IF(F2719&lt;='RETRATO 2027'!$K$5,"EM ANDAMENTO","A INICIAR")))</f>
        <v>CONCLUÍDA</v>
      </c>
    </row>
    <row r="2720" customFormat="false" ht="15" hidden="false" customHeight="false" outlineLevel="0" collapsed="false">
      <c r="B2720" s="4" t="n">
        <v>26743238</v>
      </c>
      <c r="C2720" s="4" t="s">
        <v>2935</v>
      </c>
      <c r="D2720" s="4" t="s">
        <v>433</v>
      </c>
      <c r="E2720" s="4" t="s">
        <v>3768</v>
      </c>
      <c r="F2720" s="127" t="n">
        <v>46580</v>
      </c>
      <c r="G2720" s="127" t="n">
        <v>46589</v>
      </c>
      <c r="H2720" s="127" t="n">
        <v>46293</v>
      </c>
      <c r="I2720" s="4" t="n">
        <v>0</v>
      </c>
      <c r="J2720" s="4" t="n">
        <v>0</v>
      </c>
      <c r="K2720" s="4" t="n">
        <v>0</v>
      </c>
      <c r="M2720" s="2" t="str">
        <f aca="false">IF(C2720="","",IFERROR(INDEX($S$5:$S$304,MATCH(C2720,$R$5:$R$304,0))&amp;"","?"))</f>
        <v>30</v>
      </c>
      <c r="N2720" s="2" t="n">
        <f aca="false">IF(E2720="","",IF(ISNUMBER(SEARCH("SUBSOLO",E2720)),IFERROR(-VALUE(LEFT(E2720,FIND("º",SUBSTITUTE(E2720,"°","º"))-1)),-1),IF(LEFT(E2720,6)="TÉRREO",0,IFERROR(VALUE(LEFT(E2720,FIND("º",SUBSTITUTE(E2720,"°","º"))-1)),""))))</f>
        <v>15</v>
      </c>
      <c r="O2720" s="2" t="str">
        <f aca="false">IF(OR(F2720="",G2720=""),"",IF(G2720&lt;='RETRATO 2027'!$K$5,"CONCLUÍDA",IF(F2720&lt;='RETRATO 2027'!$K$5,"EM ANDAMENTO","A INICIAR")))</f>
        <v>CONCLUÍDA</v>
      </c>
    </row>
    <row r="2721" customFormat="false" ht="15" hidden="false" customHeight="false" outlineLevel="0" collapsed="false">
      <c r="B2721" s="4" t="n">
        <v>26743147</v>
      </c>
      <c r="C2721" s="4" t="s">
        <v>166</v>
      </c>
      <c r="D2721" s="4" t="s">
        <v>433</v>
      </c>
      <c r="E2721" s="4" t="s">
        <v>3773</v>
      </c>
      <c r="F2721" s="127" t="n">
        <v>46580</v>
      </c>
      <c r="G2721" s="127" t="n">
        <v>46589</v>
      </c>
      <c r="H2721" s="127" t="n">
        <v>46293</v>
      </c>
      <c r="I2721" s="4" t="n">
        <v>0</v>
      </c>
      <c r="J2721" s="4" t="n">
        <v>0</v>
      </c>
      <c r="K2721" s="4" t="n">
        <v>0</v>
      </c>
      <c r="M2721" s="2" t="str">
        <f aca="false">IF(C2721="","",IFERROR(INDEX($S$5:$S$304,MATCH(C2721,$R$5:$R$304,0))&amp;"","?"))</f>
        <v>19</v>
      </c>
      <c r="N2721" s="2" t="n">
        <f aca="false">IF(E2721="","",IF(ISNUMBER(SEARCH("SUBSOLO",E2721)),IFERROR(-VALUE(LEFT(E2721,FIND("º",SUBSTITUTE(E2721,"°","º"))-1)),-1),IF(LEFT(E2721,6)="TÉRREO",0,IFERROR(VALUE(LEFT(E2721,FIND("º",SUBSTITUTE(E2721,"°","º"))-1)),""))))</f>
        <v>17</v>
      </c>
      <c r="O2721" s="2" t="str">
        <f aca="false">IF(OR(F2721="",G2721=""),"",IF(G2721&lt;='RETRATO 2027'!$K$5,"CONCLUÍDA",IF(F2721&lt;='RETRATO 2027'!$K$5,"EM ANDAMENTO","A INICIAR")))</f>
        <v>CONCLUÍDA</v>
      </c>
    </row>
    <row r="2722" customFormat="false" ht="15" hidden="false" customHeight="false" outlineLevel="0" collapsed="false">
      <c r="B2722" s="4" t="n">
        <v>26743120</v>
      </c>
      <c r="C2722" s="4" t="s">
        <v>2941</v>
      </c>
      <c r="D2722" s="4" t="s">
        <v>433</v>
      </c>
      <c r="E2722" s="4" t="s">
        <v>3776</v>
      </c>
      <c r="F2722" s="127" t="n">
        <v>46580</v>
      </c>
      <c r="G2722" s="127" t="n">
        <v>46589</v>
      </c>
      <c r="H2722" s="127" t="n">
        <v>46293</v>
      </c>
      <c r="I2722" s="4" t="n">
        <v>0</v>
      </c>
      <c r="J2722" s="4" t="n">
        <v>0</v>
      </c>
      <c r="K2722" s="4" t="n">
        <v>0</v>
      </c>
      <c r="M2722" s="2" t="str">
        <f aca="false">IF(C2722="","",IFERROR(INDEX($S$5:$S$304,MATCH(C2722,$R$5:$R$304,0))&amp;"","?"))</f>
        <v>18</v>
      </c>
      <c r="N2722" s="2" t="n">
        <f aca="false">IF(E2722="","",IF(ISNUMBER(SEARCH("SUBSOLO",E2722)),IFERROR(-VALUE(LEFT(E2722,FIND("º",SUBSTITUTE(E2722,"°","º"))-1)),-1),IF(LEFT(E2722,6)="TÉRREO",0,IFERROR(VALUE(LEFT(E2722,FIND("º",SUBSTITUTE(E2722,"°","º"))-1)),""))))</f>
        <v>18</v>
      </c>
      <c r="O2722" s="2" t="str">
        <f aca="false">IF(OR(F2722="",G2722=""),"",IF(G2722&lt;='RETRATO 2027'!$K$5,"CONCLUÍDA",IF(F2722&lt;='RETRATO 2027'!$K$5,"EM ANDAMENTO","A INICIAR")))</f>
        <v>CONCLUÍDA</v>
      </c>
    </row>
    <row r="2723" customFormat="false" ht="15" hidden="false" customHeight="false" outlineLevel="0" collapsed="false">
      <c r="B2723" s="4" t="n">
        <v>26743084</v>
      </c>
      <c r="C2723" s="4" t="s">
        <v>2924</v>
      </c>
      <c r="D2723" s="4" t="s">
        <v>433</v>
      </c>
      <c r="E2723" s="4" t="s">
        <v>3779</v>
      </c>
      <c r="F2723" s="127" t="n">
        <v>46580</v>
      </c>
      <c r="G2723" s="127" t="n">
        <v>46589</v>
      </c>
      <c r="H2723" s="127" t="n">
        <v>46293</v>
      </c>
      <c r="I2723" s="4" t="n">
        <v>0</v>
      </c>
      <c r="J2723" s="4" t="n">
        <v>0</v>
      </c>
      <c r="K2723" s="4" t="n">
        <v>0</v>
      </c>
      <c r="M2723" s="2" t="str">
        <f aca="false">IF(C2723="","",IFERROR(INDEX($S$5:$S$304,MATCH(C2723,$R$5:$R$304,0))&amp;"","?"))</f>
        <v>21</v>
      </c>
      <c r="N2723" s="2" t="n">
        <f aca="false">IF(E2723="","",IF(ISNUMBER(SEARCH("SUBSOLO",E2723)),IFERROR(-VALUE(LEFT(E2723,FIND("º",SUBSTITUTE(E2723,"°","º"))-1)),-1),IF(LEFT(E2723,6)="TÉRREO",0,IFERROR(VALUE(LEFT(E2723,FIND("º",SUBSTITUTE(E2723,"°","º"))-1)),""))))</f>
        <v>19</v>
      </c>
      <c r="O2723" s="2" t="str">
        <f aca="false">IF(OR(F2723="",G2723=""),"",IF(G2723&lt;='RETRATO 2027'!$K$5,"CONCLUÍDA",IF(F2723&lt;='RETRATO 2027'!$K$5,"EM ANDAMENTO","A INICIAR")))</f>
        <v>CONCLUÍDA</v>
      </c>
    </row>
    <row r="2724" customFormat="false" ht="15" hidden="false" customHeight="false" outlineLevel="0" collapsed="false">
      <c r="B2724" s="4" t="n">
        <v>26743067</v>
      </c>
      <c r="C2724" s="4" t="s">
        <v>2926</v>
      </c>
      <c r="D2724" s="4" t="s">
        <v>433</v>
      </c>
      <c r="E2724" s="4" t="s">
        <v>3779</v>
      </c>
      <c r="F2724" s="127" t="n">
        <v>46580</v>
      </c>
      <c r="G2724" s="127" t="n">
        <v>46589</v>
      </c>
      <c r="H2724" s="127" t="n">
        <v>46293</v>
      </c>
      <c r="I2724" s="4" t="n">
        <v>0</v>
      </c>
      <c r="J2724" s="4" t="n">
        <v>0</v>
      </c>
      <c r="K2724" s="4" t="n">
        <v>0</v>
      </c>
      <c r="M2724" s="2" t="str">
        <f aca="false">IF(C2724="","",IFERROR(INDEX($S$5:$S$304,MATCH(C2724,$R$5:$R$304,0))&amp;"","?"))</f>
        <v>20</v>
      </c>
      <c r="N2724" s="2" t="n">
        <f aca="false">IF(E2724="","",IF(ISNUMBER(SEARCH("SUBSOLO",E2724)),IFERROR(-VALUE(LEFT(E2724,FIND("º",SUBSTITUTE(E2724,"°","º"))-1)),-1),IF(LEFT(E2724,6)="TÉRREO",0,IFERROR(VALUE(LEFT(E2724,FIND("º",SUBSTITUTE(E2724,"°","º"))-1)),""))))</f>
        <v>19</v>
      </c>
      <c r="O2724" s="2" t="str">
        <f aca="false">IF(OR(F2724="",G2724=""),"",IF(G2724&lt;='RETRATO 2027'!$K$5,"CONCLUÍDA",IF(F2724&lt;='RETRATO 2027'!$K$5,"EM ANDAMENTO","A INICIAR")))</f>
        <v>CONCLUÍDA</v>
      </c>
    </row>
    <row r="2725" customFormat="false" ht="15" hidden="false" customHeight="false" outlineLevel="0" collapsed="false">
      <c r="B2725" s="4" t="n">
        <v>26743066</v>
      </c>
      <c r="C2725" s="4" t="s">
        <v>2928</v>
      </c>
      <c r="D2725" s="4" t="s">
        <v>433</v>
      </c>
      <c r="E2725" s="4" t="s">
        <v>3779</v>
      </c>
      <c r="F2725" s="127" t="n">
        <v>46580</v>
      </c>
      <c r="G2725" s="127" t="n">
        <v>46589</v>
      </c>
      <c r="H2725" s="127" t="n">
        <v>46293</v>
      </c>
      <c r="I2725" s="4" t="n">
        <v>0</v>
      </c>
      <c r="J2725" s="4" t="n">
        <v>0</v>
      </c>
      <c r="K2725" s="4" t="n">
        <v>0</v>
      </c>
      <c r="M2725" s="2" t="str">
        <f aca="false">IF(C2725="","",IFERROR(INDEX($S$5:$S$304,MATCH(C2725,$R$5:$R$304,0))&amp;"","?"))</f>
        <v>23</v>
      </c>
      <c r="N2725" s="2" t="n">
        <f aca="false">IF(E2725="","",IF(ISNUMBER(SEARCH("SUBSOLO",E2725)),IFERROR(-VALUE(LEFT(E2725,FIND("º",SUBSTITUTE(E2725,"°","º"))-1)),-1),IF(LEFT(E2725,6)="TÉRREO",0,IFERROR(VALUE(LEFT(E2725,FIND("º",SUBSTITUTE(E2725,"°","º"))-1)),""))))</f>
        <v>19</v>
      </c>
      <c r="O2725" s="2" t="str">
        <f aca="false">IF(OR(F2725="",G2725=""),"",IF(G2725&lt;='RETRATO 2027'!$K$5,"CONCLUÍDA",IF(F2725&lt;='RETRATO 2027'!$K$5,"EM ANDAMENTO","A INICIAR")))</f>
        <v>CONCLUÍDA</v>
      </c>
    </row>
    <row r="2726" customFormat="false" ht="15" hidden="false" customHeight="false" outlineLevel="0" collapsed="false">
      <c r="B2726" s="4" t="n">
        <v>26743085</v>
      </c>
      <c r="C2726" s="4" t="s">
        <v>2930</v>
      </c>
      <c r="D2726" s="4" t="s">
        <v>433</v>
      </c>
      <c r="E2726" s="4" t="s">
        <v>3779</v>
      </c>
      <c r="F2726" s="127" t="n">
        <v>46580</v>
      </c>
      <c r="G2726" s="127" t="n">
        <v>46589</v>
      </c>
      <c r="H2726" s="127" t="n">
        <v>46293</v>
      </c>
      <c r="I2726" s="4" t="n">
        <v>0</v>
      </c>
      <c r="J2726" s="4" t="n">
        <v>0</v>
      </c>
      <c r="K2726" s="4" t="n">
        <v>0</v>
      </c>
      <c r="M2726" s="2" t="str">
        <f aca="false">IF(C2726="","",IFERROR(INDEX($S$5:$S$304,MATCH(C2726,$R$5:$R$304,0))&amp;"","?"))</f>
        <v>21</v>
      </c>
      <c r="N2726" s="2" t="n">
        <f aca="false">IF(E2726="","",IF(ISNUMBER(SEARCH("SUBSOLO",E2726)),IFERROR(-VALUE(LEFT(E2726,FIND("º",SUBSTITUTE(E2726,"°","º"))-1)),-1),IF(LEFT(E2726,6)="TÉRREO",0,IFERROR(VALUE(LEFT(E2726,FIND("º",SUBSTITUTE(E2726,"°","º"))-1)),""))))</f>
        <v>19</v>
      </c>
      <c r="O2726" s="2" t="str">
        <f aca="false">IF(OR(F2726="",G2726=""),"",IF(G2726&lt;='RETRATO 2027'!$K$5,"CONCLUÍDA",IF(F2726&lt;='RETRATO 2027'!$K$5,"EM ANDAMENTO","A INICIAR")))</f>
        <v>CONCLUÍDA</v>
      </c>
    </row>
    <row r="2727" customFormat="false" ht="15" hidden="false" customHeight="false" outlineLevel="0" collapsed="false">
      <c r="B2727" s="4" t="n">
        <v>26743086</v>
      </c>
      <c r="C2727" s="4" t="s">
        <v>2933</v>
      </c>
      <c r="D2727" s="4" t="s">
        <v>433</v>
      </c>
      <c r="E2727" s="4" t="s">
        <v>3779</v>
      </c>
      <c r="F2727" s="127" t="n">
        <v>46580</v>
      </c>
      <c r="G2727" s="127" t="n">
        <v>46589</v>
      </c>
      <c r="H2727" s="127" t="n">
        <v>46293</v>
      </c>
      <c r="I2727" s="4" t="n">
        <v>0</v>
      </c>
      <c r="J2727" s="4" t="n">
        <v>0</v>
      </c>
      <c r="K2727" s="4" t="n">
        <v>0</v>
      </c>
      <c r="M2727" s="2" t="str">
        <f aca="false">IF(C2727="","",IFERROR(INDEX($S$5:$S$304,MATCH(C2727,$R$5:$R$304,0))&amp;"","?"))</f>
        <v>21</v>
      </c>
      <c r="N2727" s="2" t="n">
        <f aca="false">IF(E2727="","",IF(ISNUMBER(SEARCH("SUBSOLO",E2727)),IFERROR(-VALUE(LEFT(E2727,FIND("º",SUBSTITUTE(E2727,"°","º"))-1)),-1),IF(LEFT(E2727,6)="TÉRREO",0,IFERROR(VALUE(LEFT(E2727,FIND("º",SUBSTITUTE(E2727,"°","º"))-1)),""))))</f>
        <v>19</v>
      </c>
      <c r="O2727" s="2" t="str">
        <f aca="false">IF(OR(F2727="",G2727=""),"",IF(G2727&lt;='RETRATO 2027'!$K$5,"CONCLUÍDA",IF(F2727&lt;='RETRATO 2027'!$K$5,"EM ANDAMENTO","A INICIAR")))</f>
        <v>CONCLUÍDA</v>
      </c>
    </row>
    <row r="2728" customFormat="false" ht="15" hidden="false" customHeight="false" outlineLevel="0" collapsed="false">
      <c r="B2728" s="4" t="n">
        <v>26743028</v>
      </c>
      <c r="C2728" s="4" t="s">
        <v>2922</v>
      </c>
      <c r="D2728" s="4" t="s">
        <v>433</v>
      </c>
      <c r="E2728" s="4" t="s">
        <v>3781</v>
      </c>
      <c r="F2728" s="127" t="n">
        <v>46580</v>
      </c>
      <c r="G2728" s="127" t="n">
        <v>46589</v>
      </c>
      <c r="H2728" s="127" t="n">
        <v>46293</v>
      </c>
      <c r="I2728" s="4" t="n">
        <v>0</v>
      </c>
      <c r="J2728" s="4" t="n">
        <v>0</v>
      </c>
      <c r="K2728" s="4" t="n">
        <v>0</v>
      </c>
      <c r="M2728" s="2" t="str">
        <f aca="false">IF(C2728="","",IFERROR(INDEX($S$5:$S$304,MATCH(C2728,$R$5:$R$304,0))&amp;"","?"))</f>
        <v>18</v>
      </c>
      <c r="N2728" s="2" t="n">
        <f aca="false">IF(E2728="","",IF(ISNUMBER(SEARCH("SUBSOLO",E2728)),IFERROR(-VALUE(LEFT(E2728,FIND("º",SUBSTITUTE(E2728,"°","º"))-1)),-1),IF(LEFT(E2728,6)="TÉRREO",0,IFERROR(VALUE(LEFT(E2728,FIND("º",SUBSTITUTE(E2728,"°","º"))-1)),""))))</f>
        <v>20</v>
      </c>
      <c r="O2728" s="2" t="str">
        <f aca="false">IF(OR(F2728="",G2728=""),"",IF(G2728&lt;='RETRATO 2027'!$K$5,"CONCLUÍDA",IF(F2728&lt;='RETRATO 2027'!$K$5,"EM ANDAMENTO","A INICIAR")))</f>
        <v>CONCLUÍDA</v>
      </c>
    </row>
    <row r="2729" customFormat="false" ht="15" hidden="false" customHeight="false" outlineLevel="0" collapsed="false">
      <c r="B2729" s="4" t="n">
        <v>26750508</v>
      </c>
      <c r="C2729" s="4" t="s">
        <v>208</v>
      </c>
      <c r="D2729" s="4" t="s">
        <v>433</v>
      </c>
      <c r="E2729" s="4" t="s">
        <v>3775</v>
      </c>
      <c r="F2729" s="127" t="n">
        <v>46581</v>
      </c>
      <c r="G2729" s="127" t="n">
        <v>46587</v>
      </c>
      <c r="H2729" s="127" t="n">
        <v>46293</v>
      </c>
      <c r="I2729" s="4" t="n">
        <v>0</v>
      </c>
      <c r="J2729" s="4" t="n">
        <v>0</v>
      </c>
      <c r="K2729" s="4" t="n">
        <v>0</v>
      </c>
      <c r="M2729" s="2" t="str">
        <f aca="false">IF(C2729="","",IFERROR(INDEX($S$5:$S$304,MATCH(C2729,$R$5:$R$304,0))&amp;"","?"))</f>
        <v>33</v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>CONCLUÍDA</v>
      </c>
    </row>
    <row r="2730" customFormat="false" ht="15" hidden="false" customHeight="false" outlineLevel="0" collapsed="false">
      <c r="B2730" s="4" t="n">
        <v>26742798</v>
      </c>
      <c r="C2730" s="4" t="s">
        <v>2869</v>
      </c>
      <c r="D2730" s="4" t="s">
        <v>433</v>
      </c>
      <c r="E2730" s="4" t="s">
        <v>3799</v>
      </c>
      <c r="F2730" s="127" t="n">
        <v>46581</v>
      </c>
      <c r="G2730" s="127" t="n">
        <v>46590</v>
      </c>
      <c r="H2730" s="127" t="n">
        <v>46293</v>
      </c>
      <c r="I2730" s="4" t="n">
        <v>0</v>
      </c>
      <c r="J2730" s="4" t="n">
        <v>0</v>
      </c>
      <c r="K2730" s="4" t="n">
        <v>0</v>
      </c>
      <c r="M2730" s="2" t="str">
        <f aca="false">IF(C2730="","",IFERROR(INDEX($S$5:$S$304,MATCH(C2730,$R$5:$R$304,0))&amp;"","?"))</f>
        <v>22</v>
      </c>
      <c r="N2730" s="2" t="n">
        <f aca="false">IF(E2730="","",IF(ISNUMBER(SEARCH("SUBSOLO",E2730)),IFERROR(-VALUE(LEFT(E2730,FIND("º",SUBSTITUTE(E2730,"°","º"))-1)),-1),IF(LEFT(E2730,6)="TÉRREO",0,IFERROR(VALUE(LEFT(E2730,FIND("º",SUBSTITUTE(E2730,"°","º"))-1)),""))))</f>
        <v>27</v>
      </c>
      <c r="O2730" s="2" t="str">
        <f aca="false">IF(OR(F2730="",G2730=""),"",IF(G2730&lt;='RETRATO 2027'!$K$5,"CONCLUÍDA",IF(F2730&lt;='RETRATO 2027'!$K$5,"EM ANDAMENTO","A INICIAR")))</f>
        <v>CONCLUÍDA</v>
      </c>
    </row>
    <row r="2731" customFormat="false" ht="15" hidden="false" customHeight="false" outlineLevel="0" collapsed="false">
      <c r="B2731" s="4" t="n">
        <v>26742759</v>
      </c>
      <c r="C2731" s="4" t="s">
        <v>163</v>
      </c>
      <c r="D2731" s="4" t="s">
        <v>433</v>
      </c>
      <c r="E2731" s="4" t="s">
        <v>3802</v>
      </c>
      <c r="F2731" s="127" t="n">
        <v>46581</v>
      </c>
      <c r="G2731" s="127" t="n">
        <v>46590</v>
      </c>
      <c r="H2731" s="127" t="n">
        <v>46293</v>
      </c>
      <c r="I2731" s="4" t="n">
        <v>0</v>
      </c>
      <c r="J2731" s="4" t="n">
        <v>0</v>
      </c>
      <c r="K2731" s="4" t="n">
        <v>0</v>
      </c>
      <c r="M2731" s="2" t="str">
        <f aca="false">IF(C2731="","",IFERROR(INDEX($S$5:$S$304,MATCH(C2731,$R$5:$R$304,0))&amp;"","?"))</f>
        <v>18</v>
      </c>
      <c r="N2731" s="2" t="n">
        <f aca="false">IF(E2731="","",IF(ISNUMBER(SEARCH("SUBSOLO",E2731)),IFERROR(-VALUE(LEFT(E2731,FIND("º",SUBSTITUTE(E2731,"°","º"))-1)),-1),IF(LEFT(E2731,6)="TÉRREO",0,IFERROR(VALUE(LEFT(E2731,FIND("º",SUBSTITUTE(E2731,"°","º"))-1)),""))))</f>
        <v>28</v>
      </c>
      <c r="O2731" s="2" t="str">
        <f aca="false">IF(OR(F2731="",G2731=""),"",IF(G2731&lt;='RETRATO 2027'!$K$5,"CONCLUÍDA",IF(F2731&lt;='RETRATO 2027'!$K$5,"EM ANDAMENTO","A INICIAR")))</f>
        <v>CONCLUÍDA</v>
      </c>
    </row>
    <row r="2732" customFormat="false" ht="15" hidden="false" customHeight="false" outlineLevel="0" collapsed="false">
      <c r="B2732" s="4" t="n">
        <v>26743008</v>
      </c>
      <c r="C2732" s="4" t="s">
        <v>2916</v>
      </c>
      <c r="D2732" s="4" t="s">
        <v>433</v>
      </c>
      <c r="E2732" s="4" t="s">
        <v>3783</v>
      </c>
      <c r="F2732" s="127" t="n">
        <v>46582</v>
      </c>
      <c r="G2732" s="127" t="n">
        <v>46589</v>
      </c>
      <c r="H2732" s="127" t="n">
        <v>46293</v>
      </c>
      <c r="I2732" s="4" t="n">
        <v>0</v>
      </c>
      <c r="J2732" s="4" t="n">
        <v>0</v>
      </c>
      <c r="K2732" s="4" t="n">
        <v>0</v>
      </c>
      <c r="M2732" s="2" t="str">
        <f aca="false">IF(C2732="","",IFERROR(INDEX($S$5:$S$304,MATCH(C2732,$R$5:$R$304,0))&amp;"","?"))</f>
        <v>18</v>
      </c>
      <c r="N2732" s="2" t="n">
        <f aca="false">IF(E2732="","",IF(ISNUMBER(SEARCH("SUBSOLO",E2732)),IFERROR(-VALUE(LEFT(E2732,FIND("º",SUBSTITUTE(E2732,"°","º"))-1)),-1),IF(LEFT(E2732,6)="TÉRREO",0,IFERROR(VALUE(LEFT(E2732,FIND("º",SUBSTITUTE(E2732,"°","º"))-1)),""))))</f>
        <v>21</v>
      </c>
      <c r="O2732" s="2" t="str">
        <f aca="false">IF(OR(F2732="",G2732=""),"",IF(G2732&lt;='RETRATO 2027'!$K$5,"CONCLUÍDA",IF(F2732&lt;='RETRATO 2027'!$K$5,"EM ANDAMENTO","A INICIAR")))</f>
        <v>CONCLUÍDA</v>
      </c>
    </row>
    <row r="2733" customFormat="false" ht="15" hidden="false" customHeight="false" outlineLevel="0" collapsed="false">
      <c r="B2733" s="4" t="n">
        <v>26745166</v>
      </c>
      <c r="C2733" s="4" t="s">
        <v>2935</v>
      </c>
      <c r="D2733" s="4" t="s">
        <v>433</v>
      </c>
      <c r="E2733" s="4" t="s">
        <v>3770</v>
      </c>
      <c r="F2733" s="127" t="n">
        <v>46583</v>
      </c>
      <c r="G2733" s="127" t="n">
        <v>46594</v>
      </c>
      <c r="H2733" s="127" t="n">
        <v>46293</v>
      </c>
      <c r="I2733" s="4" t="n">
        <v>0</v>
      </c>
      <c r="J2733" s="4" t="n">
        <v>0</v>
      </c>
      <c r="K2733" s="4" t="n">
        <v>0</v>
      </c>
      <c r="M2733" s="2" t="str">
        <f aca="false">IF(C2733="","",IFERROR(INDEX($S$5:$S$304,MATCH(C2733,$R$5:$R$304,0))&amp;"","?"))</f>
        <v>30</v>
      </c>
      <c r="N2733" s="2" t="n">
        <f aca="false">IF(E2733="","",IF(ISNUMBER(SEARCH("SUBSOLO",E2733)),IFERROR(-VALUE(LEFT(E2733,FIND("º",SUBSTITUTE(E2733,"°","º"))-1)),-1),IF(LEFT(E2733,6)="TÉRREO",0,IFERROR(VALUE(LEFT(E2733,FIND("º",SUBSTITUTE(E2733,"°","º"))-1)),""))))</f>
        <v>-1</v>
      </c>
      <c r="O2733" s="2" t="str">
        <f aca="false">IF(OR(F2733="",G2733=""),"",IF(G2733&lt;='RETRATO 2027'!$K$5,"CONCLUÍDA",IF(F2733&lt;='RETRATO 2027'!$K$5,"EM ANDAMENTO","A INICIAR")))</f>
        <v>CONCLUÍDA</v>
      </c>
    </row>
    <row r="2734" customFormat="false" ht="15" hidden="false" customHeight="false" outlineLevel="0" collapsed="false">
      <c r="B2734" s="4" t="n">
        <v>26745154</v>
      </c>
      <c r="C2734" s="4" t="s">
        <v>208</v>
      </c>
      <c r="D2734" s="4" t="s">
        <v>433</v>
      </c>
      <c r="E2734" s="4" t="s">
        <v>3652</v>
      </c>
      <c r="F2734" s="127" t="n">
        <v>46583</v>
      </c>
      <c r="G2734" s="127" t="n">
        <v>46594</v>
      </c>
      <c r="H2734" s="127" t="n">
        <v>46293</v>
      </c>
      <c r="I2734" s="4" t="n">
        <v>0</v>
      </c>
      <c r="J2734" s="4" t="n">
        <v>0</v>
      </c>
      <c r="K2734" s="4" t="n">
        <v>0</v>
      </c>
      <c r="M2734" s="2" t="str">
        <f aca="false">IF(C2734="","",IFERROR(INDEX($S$5:$S$304,MATCH(C2734,$R$5:$R$304,0))&amp;"","?"))</f>
        <v>33</v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>CONCLUÍDA</v>
      </c>
    </row>
    <row r="2735" customFormat="false" ht="15" hidden="false" customHeight="false" outlineLevel="0" collapsed="false">
      <c r="B2735" s="4" t="n">
        <v>26745031</v>
      </c>
      <c r="C2735" s="4" t="s">
        <v>2980</v>
      </c>
      <c r="D2735" s="4" t="s">
        <v>433</v>
      </c>
      <c r="E2735" s="4" t="s">
        <v>3801</v>
      </c>
      <c r="F2735" s="127" t="n">
        <v>46583</v>
      </c>
      <c r="G2735" s="127" t="n">
        <v>46594</v>
      </c>
      <c r="H2735" s="127" t="n">
        <v>46293</v>
      </c>
      <c r="I2735" s="4" t="n">
        <v>0</v>
      </c>
      <c r="J2735" s="4" t="n">
        <v>0</v>
      </c>
      <c r="K2735" s="4" t="n">
        <v>0</v>
      </c>
      <c r="M2735" s="2" t="str">
        <f aca="false">IF(C2735="","",IFERROR(INDEX($S$5:$S$304,MATCH(C2735,$R$5:$R$304,0))&amp;"","?"))</f>
        <v>35</v>
      </c>
      <c r="N2735" s="2" t="n">
        <f aca="false">IF(E2735="","",IF(ISNUMBER(SEARCH("SUBSOLO",E2735)),IFERROR(-VALUE(LEFT(E2735,FIND("º",SUBSTITUTE(E2735,"°","º"))-1)),-1),IF(LEFT(E2735,6)="TÉRREO",0,IFERROR(VALUE(LEFT(E2735,FIND("º",SUBSTITUTE(E2735,"°","º"))-1)),""))))</f>
        <v>1</v>
      </c>
      <c r="O2735" s="2" t="str">
        <f aca="false">IF(OR(F2735="",G2735=""),"",IF(G2735&lt;='RETRATO 2027'!$K$5,"CONCLUÍDA",IF(F2735&lt;='RETRATO 2027'!$K$5,"EM ANDAMENTO","A INICIAR")))</f>
        <v>CONCLUÍDA</v>
      </c>
    </row>
    <row r="2736" customFormat="false" ht="15" hidden="false" customHeight="false" outlineLevel="0" collapsed="false">
      <c r="B2736" s="4" t="n">
        <v>26744936</v>
      </c>
      <c r="C2736" s="4" t="s">
        <v>2935</v>
      </c>
      <c r="D2736" s="4" t="s">
        <v>433</v>
      </c>
      <c r="E2736" s="4" t="s">
        <v>3612</v>
      </c>
      <c r="F2736" s="127" t="n">
        <v>46584</v>
      </c>
      <c r="G2736" s="127" t="n">
        <v>46594</v>
      </c>
      <c r="H2736" s="127" t="n">
        <v>46293</v>
      </c>
      <c r="I2736" s="4" t="n">
        <v>0</v>
      </c>
      <c r="J2736" s="4" t="n">
        <v>0</v>
      </c>
      <c r="K2736" s="4" t="n">
        <v>0</v>
      </c>
      <c r="M2736" s="2" t="str">
        <f aca="false">IF(C2736="","",IFERROR(INDEX($S$5:$S$304,MATCH(C2736,$R$5:$R$304,0))&amp;"","?"))</f>
        <v>30</v>
      </c>
      <c r="N2736" s="2" t="n">
        <f aca="false">IF(E2736="","",IF(ISNUMBER(SEARCH("SUBSOLO",E2736)),IFERROR(-VALUE(LEFT(E2736,FIND("º",SUBSTITUTE(E2736,"°","º"))-1)),-1),IF(LEFT(E2736,6)="TÉRREO",0,IFERROR(VALUE(LEFT(E2736,FIND("º",SUBSTITUTE(E2736,"°","º"))-1)),""))))</f>
        <v>-1</v>
      </c>
      <c r="O2736" s="2" t="str">
        <f aca="false">IF(OR(F2736="",G2736=""),"",IF(G2736&lt;='RETRATO 2027'!$K$5,"CONCLUÍDA",IF(F2736&lt;='RETRATO 2027'!$K$5,"EM ANDAMENTO","A INICIAR")))</f>
        <v>CONCLUÍDA</v>
      </c>
    </row>
    <row r="2737" customFormat="false" ht="15" hidden="false" customHeight="false" outlineLevel="0" collapsed="false">
      <c r="B2737" s="4" t="n">
        <v>26745049</v>
      </c>
      <c r="C2737" s="4" t="s">
        <v>189</v>
      </c>
      <c r="D2737" s="4" t="s">
        <v>433</v>
      </c>
      <c r="E2737" s="4" t="s">
        <v>3659</v>
      </c>
      <c r="F2737" s="127" t="n">
        <v>46584</v>
      </c>
      <c r="G2737" s="127" t="n">
        <v>46595</v>
      </c>
      <c r="H2737" s="127" t="n">
        <v>46293</v>
      </c>
      <c r="I2737" s="4" t="n">
        <v>0</v>
      </c>
      <c r="J2737" s="4" t="n">
        <v>0</v>
      </c>
      <c r="K2737" s="4" t="n">
        <v>0</v>
      </c>
      <c r="M2737" s="2" t="str">
        <f aca="false">IF(C2737="","",IFERROR(INDEX($S$5:$S$304,MATCH(C2737,$R$5:$R$304,0))&amp;"","?"))</f>
        <v>27</v>
      </c>
      <c r="N2737" s="2" t="n">
        <f aca="false">IF(E2737="","",IF(ISNUMBER(SEARCH("SUBSOLO",E2737)),IFERROR(-VALUE(LEFT(E2737,FIND("º",SUBSTITUTE(E2737,"°","º"))-1)),-1),IF(LEFT(E2737,6)="TÉRREO",0,IFERROR(VALUE(LEFT(E2737,FIND("º",SUBSTITUTE(E2737,"°","º"))-1)),""))))</f>
        <v>1</v>
      </c>
      <c r="O2737" s="2" t="str">
        <f aca="false">IF(OR(F2737="",G2737=""),"",IF(G2737&lt;='RETRATO 2027'!$K$5,"CONCLUÍDA",IF(F2737&lt;='RETRATO 2027'!$K$5,"EM ANDAMENTO","A INICIAR")))</f>
        <v>CONCLUÍDA</v>
      </c>
    </row>
    <row r="2738" customFormat="false" ht="15" hidden="false" customHeight="false" outlineLevel="0" collapsed="false">
      <c r="B2738" s="4" t="n">
        <v>26742970</v>
      </c>
      <c r="C2738" s="4" t="s">
        <v>2814</v>
      </c>
      <c r="D2738" s="4" t="s">
        <v>433</v>
      </c>
      <c r="E2738" s="4" t="s">
        <v>3786</v>
      </c>
      <c r="F2738" s="127" t="n">
        <v>46584</v>
      </c>
      <c r="G2738" s="127" t="n">
        <v>46591</v>
      </c>
      <c r="H2738" s="127" t="n">
        <v>46293</v>
      </c>
      <c r="I2738" s="4" t="n">
        <v>0</v>
      </c>
      <c r="J2738" s="4" t="n">
        <v>0</v>
      </c>
      <c r="K2738" s="4" t="n">
        <v>0</v>
      </c>
      <c r="M2738" s="2" t="str">
        <f aca="false">IF(C2738="","",IFERROR(INDEX($S$5:$S$304,MATCH(C2738,$R$5:$R$304,0))&amp;"","?"))</f>
        <v>28</v>
      </c>
      <c r="N2738" s="2" t="n">
        <f aca="false">IF(E2738="","",IF(ISNUMBER(SEARCH("SUBSOLO",E2738)),IFERROR(-VALUE(LEFT(E2738,FIND("º",SUBSTITUTE(E2738,"°","º"))-1)),-1),IF(LEFT(E2738,6)="TÉRREO",0,IFERROR(VALUE(LEFT(E2738,FIND("º",SUBSTITUTE(E2738,"°","º"))-1)),""))))</f>
        <v>22</v>
      </c>
      <c r="O2738" s="2" t="str">
        <f aca="false">IF(OR(F2738="",G2738=""),"",IF(G2738&lt;='RETRATO 2027'!$K$5,"CONCLUÍDA",IF(F2738&lt;='RETRATO 2027'!$K$5,"EM ANDAMENTO","A INICIAR")))</f>
        <v>CONCLUÍDA</v>
      </c>
    </row>
    <row r="2739" customFormat="false" ht="15" hidden="false" customHeight="false" outlineLevel="0" collapsed="false">
      <c r="B2739" s="4" t="n">
        <v>26742939</v>
      </c>
      <c r="C2739" s="4" t="s">
        <v>2914</v>
      </c>
      <c r="D2739" s="4" t="s">
        <v>433</v>
      </c>
      <c r="E2739" s="4" t="s">
        <v>3787</v>
      </c>
      <c r="F2739" s="127" t="n">
        <v>46584</v>
      </c>
      <c r="G2739" s="127" t="n">
        <v>46595</v>
      </c>
      <c r="H2739" s="127" t="n">
        <v>46293</v>
      </c>
      <c r="I2739" s="4" t="n">
        <v>0</v>
      </c>
      <c r="J2739" s="4" t="n">
        <v>0</v>
      </c>
      <c r="K2739" s="4" t="n">
        <v>0</v>
      </c>
      <c r="M2739" s="2" t="str">
        <f aca="false">IF(C2739="","",IFERROR(INDEX($S$5:$S$304,MATCH(C2739,$R$5:$R$304,0))&amp;"","?"))</f>
        <v>21</v>
      </c>
      <c r="N2739" s="2" t="n">
        <f aca="false">IF(E2739="","",IF(ISNUMBER(SEARCH("SUBSOLO",E2739)),IFERROR(-VALUE(LEFT(E2739,FIND("º",SUBSTITUTE(E2739,"°","º"))-1)),-1),IF(LEFT(E2739,6)="TÉRREO",0,IFERROR(VALUE(LEFT(E2739,FIND("º",SUBSTITUTE(E2739,"°","º"))-1)),""))))</f>
        <v>23</v>
      </c>
      <c r="O2739" s="2" t="str">
        <f aca="false">IF(OR(F2739="",G2739=""),"",IF(G2739&lt;='RETRATO 2027'!$K$5,"CONCLUÍDA",IF(F2739&lt;='RETRATO 2027'!$K$5,"EM ANDAMENTO","A INICIAR")))</f>
        <v>CONCLUÍDA</v>
      </c>
    </row>
    <row r="2740" customFormat="false" ht="15" hidden="false" customHeight="false" outlineLevel="0" collapsed="false">
      <c r="B2740" s="4" t="n">
        <v>26742895</v>
      </c>
      <c r="C2740" s="4" t="s">
        <v>2808</v>
      </c>
      <c r="D2740" s="4" t="s">
        <v>433</v>
      </c>
      <c r="E2740" s="4" t="s">
        <v>3788</v>
      </c>
      <c r="F2740" s="127" t="n">
        <v>46584</v>
      </c>
      <c r="G2740" s="127" t="n">
        <v>46595</v>
      </c>
      <c r="H2740" s="127" t="n">
        <v>46293</v>
      </c>
      <c r="I2740" s="4" t="n">
        <v>0</v>
      </c>
      <c r="J2740" s="4" t="n">
        <v>0</v>
      </c>
      <c r="K2740" s="4" t="n">
        <v>0</v>
      </c>
      <c r="M2740" s="2" t="str">
        <f aca="false">IF(C2740="","",IFERROR(INDEX($S$5:$S$304,MATCH(C2740,$R$5:$R$304,0))&amp;"","?"))</f>
        <v>29</v>
      </c>
      <c r="N2740" s="2" t="n">
        <f aca="false">IF(E2740="","",IF(ISNUMBER(SEARCH("SUBSOLO",E2740)),IFERROR(-VALUE(LEFT(E2740,FIND("º",SUBSTITUTE(E2740,"°","º"))-1)),-1),IF(LEFT(E2740,6)="TÉRREO",0,IFERROR(VALUE(LEFT(E2740,FIND("º",SUBSTITUTE(E2740,"°","º"))-1)),""))))</f>
        <v>24</v>
      </c>
      <c r="O2740" s="2" t="str">
        <f aca="false">IF(OR(F2740="",G2740=""),"",IF(G2740&lt;='RETRATO 2027'!$K$5,"CONCLUÍDA",IF(F2740&lt;='RETRATO 2027'!$K$5,"EM ANDAMENTO","A INICIAR")))</f>
        <v>CONCLUÍDA</v>
      </c>
    </row>
    <row r="2741" customFormat="false" ht="15" hidden="false" customHeight="false" outlineLevel="0" collapsed="false">
      <c r="B2741" s="4" t="n">
        <v>26742857</v>
      </c>
      <c r="C2741" s="4" t="s">
        <v>2910</v>
      </c>
      <c r="D2741" s="4" t="s">
        <v>433</v>
      </c>
      <c r="E2741" s="4" t="s">
        <v>3794</v>
      </c>
      <c r="F2741" s="127" t="n">
        <v>46584</v>
      </c>
      <c r="G2741" s="127" t="n">
        <v>46595</v>
      </c>
      <c r="H2741" s="127" t="n">
        <v>46293</v>
      </c>
      <c r="I2741" s="4" t="n">
        <v>0</v>
      </c>
      <c r="J2741" s="4" t="n">
        <v>0</v>
      </c>
      <c r="K2741" s="4" t="n">
        <v>0</v>
      </c>
      <c r="M2741" s="2" t="str">
        <f aca="false">IF(C2741="","",IFERROR(INDEX($S$5:$S$304,MATCH(C2741,$R$5:$R$304,0))&amp;"","?"))</f>
        <v>25</v>
      </c>
      <c r="N2741" s="2" t="n">
        <f aca="false">IF(E2741="","",IF(ISNUMBER(SEARCH("SUBSOLO",E2741)),IFERROR(-VALUE(LEFT(E2741,FIND("º",SUBSTITUTE(E2741,"°","º"))-1)),-1),IF(LEFT(E2741,6)="TÉRREO",0,IFERROR(VALUE(LEFT(E2741,FIND("º",SUBSTITUTE(E2741,"°","º"))-1)),""))))</f>
        <v>25</v>
      </c>
      <c r="O2741" s="2" t="str">
        <f aca="false">IF(OR(F2741="",G2741=""),"",IF(G2741&lt;='RETRATO 2027'!$K$5,"CONCLUÍDA",IF(F2741&lt;='RETRATO 2027'!$K$5,"EM ANDAMENTO","A INICIAR")))</f>
        <v>CONCLUÍDA</v>
      </c>
    </row>
    <row r="2742" customFormat="false" ht="15" hidden="false" customHeight="false" outlineLevel="0" collapsed="false">
      <c r="B2742" s="4" t="n">
        <v>26742841</v>
      </c>
      <c r="C2742" s="4" t="s">
        <v>2896</v>
      </c>
      <c r="D2742" s="4" t="s">
        <v>433</v>
      </c>
      <c r="E2742" s="4" t="s">
        <v>3797</v>
      </c>
      <c r="F2742" s="127" t="n">
        <v>46587</v>
      </c>
      <c r="G2742" s="127" t="n">
        <v>46596</v>
      </c>
      <c r="H2742" s="127" t="n">
        <v>46293</v>
      </c>
      <c r="I2742" s="4" t="n">
        <v>0</v>
      </c>
      <c r="J2742" s="4" t="n">
        <v>0</v>
      </c>
      <c r="K2742" s="4" t="n">
        <v>0</v>
      </c>
      <c r="M2742" s="2" t="str">
        <f aca="false">IF(C2742="","",IFERROR(INDEX($S$5:$S$304,MATCH(C2742,$R$5:$R$304,0))&amp;"","?"))</f>
        <v>20</v>
      </c>
      <c r="N2742" s="2" t="n">
        <f aca="false">IF(E2742="","",IF(ISNUMBER(SEARCH("SUBSOLO",E2742)),IFERROR(-VALUE(LEFT(E2742,FIND("º",SUBSTITUTE(E2742,"°","º"))-1)),-1),IF(LEFT(E2742,6)="TÉRREO",0,IFERROR(VALUE(LEFT(E2742,FIND("º",SUBSTITUTE(E2742,"°","º"))-1)),""))))</f>
        <v>26</v>
      </c>
      <c r="O2742" s="2" t="str">
        <f aca="false">IF(OR(F2742="",G2742=""),"",IF(G2742&lt;='RETRATO 2027'!$K$5,"CONCLUÍDA",IF(F2742&lt;='RETRATO 2027'!$K$5,"EM ANDAMENTO","A INICIAR")))</f>
        <v>CONCLUÍDA</v>
      </c>
    </row>
    <row r="2743" customFormat="false" ht="15" hidden="false" customHeight="false" outlineLevel="0" collapsed="false">
      <c r="B2743" s="4" t="n">
        <v>29844480</v>
      </c>
      <c r="C2743" s="4" t="s">
        <v>2898</v>
      </c>
      <c r="D2743" s="4" t="s">
        <v>433</v>
      </c>
      <c r="E2743" s="4" t="s">
        <v>3797</v>
      </c>
      <c r="F2743" s="127" t="n">
        <v>46587</v>
      </c>
      <c r="G2743" s="127" t="n">
        <v>46595</v>
      </c>
      <c r="H2743" s="127" t="n">
        <v>46293</v>
      </c>
      <c r="I2743" s="4" t="n">
        <v>0</v>
      </c>
      <c r="J2743" s="4" t="n">
        <v>0</v>
      </c>
      <c r="K2743" s="4" t="n">
        <v>0</v>
      </c>
      <c r="M2743" s="2" t="str">
        <f aca="false">IF(C2743="","",IFERROR(INDEX($S$5:$S$304,MATCH(C2743,$R$5:$R$304,0))&amp;"","?"))</f>
        <v>29</v>
      </c>
      <c r="N2743" s="2" t="n">
        <f aca="false">IF(E2743="","",IF(ISNUMBER(SEARCH("SUBSOLO",E2743)),IFERROR(-VALUE(LEFT(E2743,FIND("º",SUBSTITUTE(E2743,"°","º"))-1)),-1),IF(LEFT(E2743,6)="TÉRREO",0,IFERROR(VALUE(LEFT(E2743,FIND("º",SUBSTITUTE(E2743,"°","º"))-1)),""))))</f>
        <v>26</v>
      </c>
      <c r="O2743" s="2" t="str">
        <f aca="false">IF(OR(F2743="",G2743=""),"",IF(G2743&lt;='RETRATO 2027'!$K$5,"CONCLUÍDA",IF(F2743&lt;='RETRATO 2027'!$K$5,"EM ANDAMENTO","A INICIAR")))</f>
        <v>CONCLUÍDA</v>
      </c>
    </row>
    <row r="2744" customFormat="false" ht="15" hidden="false" customHeight="false" outlineLevel="0" collapsed="false">
      <c r="B2744" s="4" t="n">
        <v>26742797</v>
      </c>
      <c r="C2744" s="4" t="s">
        <v>2886</v>
      </c>
      <c r="D2744" s="4" t="s">
        <v>433</v>
      </c>
      <c r="E2744" s="4" t="s">
        <v>3799</v>
      </c>
      <c r="F2744" s="127" t="n">
        <v>46587</v>
      </c>
      <c r="G2744" s="127" t="n">
        <v>46596</v>
      </c>
      <c r="H2744" s="127" t="n">
        <v>46293</v>
      </c>
      <c r="I2744" s="4" t="n">
        <v>0</v>
      </c>
      <c r="J2744" s="4" t="n">
        <v>0</v>
      </c>
      <c r="K2744" s="4" t="n">
        <v>0</v>
      </c>
      <c r="M2744" s="2" t="str">
        <f aca="false">IF(C2744="","",IFERROR(INDEX($S$5:$S$304,MATCH(C2744,$R$5:$R$304,0))&amp;"","?"))</f>
        <v>21</v>
      </c>
      <c r="N2744" s="2" t="n">
        <f aca="false">IF(E2744="","",IF(ISNUMBER(SEARCH("SUBSOLO",E2744)),IFERROR(-VALUE(LEFT(E2744,FIND("º",SUBSTITUTE(E2744,"°","º"))-1)),-1),IF(LEFT(E2744,6)="TÉRREO",0,IFERROR(VALUE(LEFT(E2744,FIND("º",SUBSTITUTE(E2744,"°","º"))-1)),""))))</f>
        <v>27</v>
      </c>
      <c r="O2744" s="2" t="str">
        <f aca="false">IF(OR(F2744="",G2744=""),"",IF(G2744&lt;='RETRATO 2027'!$K$5,"CONCLUÍDA",IF(F2744&lt;='RETRATO 2027'!$K$5,"EM ANDAMENTO","A INICIAR")))</f>
        <v>CONCLUÍDA</v>
      </c>
    </row>
    <row r="2745" customFormat="false" ht="15" hidden="false" customHeight="false" outlineLevel="0" collapsed="false">
      <c r="B2745" s="4" t="n">
        <v>29844656</v>
      </c>
      <c r="C2745" s="4" t="s">
        <v>2888</v>
      </c>
      <c r="D2745" s="4" t="s">
        <v>433</v>
      </c>
      <c r="E2745" s="4" t="s">
        <v>3799</v>
      </c>
      <c r="F2745" s="127" t="n">
        <v>46587</v>
      </c>
      <c r="G2745" s="127" t="n">
        <v>46596</v>
      </c>
      <c r="H2745" s="127" t="n">
        <v>46293</v>
      </c>
      <c r="I2745" s="4" t="n">
        <v>0</v>
      </c>
      <c r="J2745" s="4" t="n">
        <v>0</v>
      </c>
      <c r="K2745" s="4" t="n">
        <v>0</v>
      </c>
      <c r="M2745" s="2" t="str">
        <f aca="false">IF(C2745="","",IFERROR(INDEX($S$5:$S$304,MATCH(C2745,$R$5:$R$304,0))&amp;"","?"))</f>
        <v>20</v>
      </c>
      <c r="N2745" s="2" t="n">
        <f aca="false">IF(E2745="","",IF(ISNUMBER(SEARCH("SUBSOLO",E2745)),IFERROR(-VALUE(LEFT(E2745,FIND("º",SUBSTITUTE(E2745,"°","º"))-1)),-1),IF(LEFT(E2745,6)="TÉRREO",0,IFERROR(VALUE(LEFT(E2745,FIND("º",SUBSTITUTE(E2745,"°","º"))-1)),""))))</f>
        <v>27</v>
      </c>
      <c r="O2745" s="2" t="str">
        <f aca="false">IF(OR(F2745="",G2745=""),"",IF(G2745&lt;='RETRATO 2027'!$K$5,"CONCLUÍDA",IF(F2745&lt;='RETRATO 2027'!$K$5,"EM ANDAMENTO","A INICIAR")))</f>
        <v>CONCLUÍDA</v>
      </c>
    </row>
    <row r="2746" customFormat="false" ht="15" hidden="false" customHeight="false" outlineLevel="0" collapsed="false">
      <c r="B2746" s="4" t="n">
        <v>26750515</v>
      </c>
      <c r="C2746" s="4" t="s">
        <v>2935</v>
      </c>
      <c r="D2746" s="4" t="s">
        <v>433</v>
      </c>
      <c r="E2746" s="4" t="s">
        <v>3767</v>
      </c>
      <c r="F2746" s="127" t="n">
        <v>46588</v>
      </c>
      <c r="G2746" s="127" t="n">
        <v>46594</v>
      </c>
      <c r="H2746" s="127" t="n">
        <v>46293</v>
      </c>
      <c r="I2746" s="4" t="n">
        <v>0</v>
      </c>
      <c r="J2746" s="4" t="n">
        <v>0</v>
      </c>
      <c r="K2746" s="4" t="n">
        <v>0</v>
      </c>
      <c r="M2746" s="2" t="str">
        <f aca="false">IF(C2746="","",IFERROR(INDEX($S$5:$S$304,MATCH(C2746,$R$5:$R$304,0))&amp;"","?"))</f>
        <v>30</v>
      </c>
      <c r="N2746" s="2" t="n">
        <f aca="false">IF(E2746="","",IF(ISNUMBER(SEARCH("SUBSOLO",E2746)),IFERROR(-VALUE(LEFT(E2746,FIND("º",SUBSTITUTE(E2746,"°","º"))-1)),-1),IF(LEFT(E2746,6)="TÉRREO",0,IFERROR(VALUE(LEFT(E2746,FIND("º",SUBSTITUTE(E2746,"°","º"))-1)),""))))</f>
        <v>-1</v>
      </c>
      <c r="O2746" s="2" t="str">
        <f aca="false">IF(OR(F2746="",G2746=""),"",IF(G2746&lt;='RETRATO 2027'!$K$5,"CONCLUÍDA",IF(F2746&lt;='RETRATO 2027'!$K$5,"EM ANDAMENTO","A INICIAR")))</f>
        <v>CONCLUÍDA</v>
      </c>
    </row>
    <row r="2747" customFormat="false" ht="15" hidden="false" customHeight="false" outlineLevel="0" collapsed="false">
      <c r="B2747" s="4" t="n">
        <v>26750503</v>
      </c>
      <c r="C2747" s="4" t="s">
        <v>2948</v>
      </c>
      <c r="D2747" s="4" t="s">
        <v>433</v>
      </c>
      <c r="E2747" s="4" t="s">
        <v>3775</v>
      </c>
      <c r="F2747" s="127" t="n">
        <v>46588</v>
      </c>
      <c r="G2747" s="127" t="n">
        <v>46594</v>
      </c>
      <c r="H2747" s="127" t="n">
        <v>46293</v>
      </c>
      <c r="I2747" s="4" t="n">
        <v>0</v>
      </c>
      <c r="J2747" s="4" t="n">
        <v>0</v>
      </c>
      <c r="K2747" s="4" t="n">
        <v>0</v>
      </c>
      <c r="M2747" s="2" t="str">
        <f aca="false">IF(C2747="","",IFERROR(INDEX($S$5:$S$304,MATCH(C2747,$R$5:$R$304,0))&amp;"","?"))</f>
        <v>25</v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>CONCLUÍDA</v>
      </c>
    </row>
    <row r="2748" customFormat="false" ht="15" hidden="false" customHeight="false" outlineLevel="0" collapsed="false">
      <c r="B2748" s="4" t="n">
        <v>26707667</v>
      </c>
      <c r="C2748" s="4" t="s">
        <v>2997</v>
      </c>
      <c r="D2748" s="4" t="s">
        <v>433</v>
      </c>
      <c r="E2748" s="4" t="s">
        <v>3777</v>
      </c>
      <c r="F2748" s="127" t="n">
        <v>46588</v>
      </c>
      <c r="G2748" s="127" t="n">
        <v>46608</v>
      </c>
      <c r="H2748" s="127" t="n">
        <v>46293</v>
      </c>
      <c r="I2748" s="4" t="n">
        <v>0</v>
      </c>
      <c r="J2748" s="4" t="n">
        <v>0</v>
      </c>
      <c r="K2748" s="4" t="n">
        <v>0</v>
      </c>
      <c r="M2748" s="2" t="str">
        <f aca="false">IF(C2748="","",IFERROR(INDEX($S$5:$S$304,MATCH(C2748,$R$5:$R$304,0))&amp;"","?"))</f>
        <v>35</v>
      </c>
      <c r="N2748" s="2" t="n">
        <f aca="false">IF(E2748="","",IF(ISNUMBER(SEARCH("SUBSOLO",E2748)),IFERROR(-VALUE(LEFT(E2748,FIND("º",SUBSTITUTE(E2748,"°","º"))-1)),-1),IF(LEFT(E2748,6)="TÉRREO",0,IFERROR(VALUE(LEFT(E2748,FIND("º",SUBSTITUTE(E2748,"°","º"))-1)),""))))</f>
        <v>1</v>
      </c>
      <c r="O2748" s="2" t="str">
        <f aca="false">IF(OR(F2748="",G2748=""),"",IF(G2748&lt;='RETRATO 2027'!$K$5,"CONCLUÍDA",IF(F2748&lt;='RETRATO 2027'!$K$5,"EM ANDAMENTO","A INICIAR")))</f>
        <v>CONCLUÍDA</v>
      </c>
    </row>
    <row r="2749" customFormat="false" ht="15" hidden="false" customHeight="false" outlineLevel="0" collapsed="false">
      <c r="B2749" s="4" t="n">
        <v>26744785</v>
      </c>
      <c r="C2749" s="4" t="s">
        <v>2956</v>
      </c>
      <c r="D2749" s="4" t="s">
        <v>433</v>
      </c>
      <c r="E2749" s="4" t="s">
        <v>3769</v>
      </c>
      <c r="F2749" s="127" t="n">
        <v>46588</v>
      </c>
      <c r="G2749" s="127" t="n">
        <v>46596</v>
      </c>
      <c r="H2749" s="127" t="n">
        <v>46293</v>
      </c>
      <c r="I2749" s="4" t="n">
        <v>0</v>
      </c>
      <c r="J2749" s="4" t="n">
        <v>0</v>
      </c>
      <c r="K2749" s="4" t="n">
        <v>0</v>
      </c>
      <c r="M2749" s="2" t="str">
        <f aca="false">IF(C2749="","",IFERROR(INDEX($S$5:$S$304,MATCH(C2749,$R$5:$R$304,0))&amp;"","?"))</f>
        <v>18</v>
      </c>
      <c r="N2749" s="2" t="n">
        <f aca="false">IF(E2749="","",IF(ISNUMBER(SEARCH("SUBSOLO",E2749)),IFERROR(-VALUE(LEFT(E2749,FIND("º",SUBSTITUTE(E2749,"°","º"))-1)),-1),IF(LEFT(E2749,6)="TÉRREO",0,IFERROR(VALUE(LEFT(E2749,FIND("º",SUBSTITUTE(E2749,"°","º"))-1)),""))))</f>
        <v>3</v>
      </c>
      <c r="O2749" s="2" t="str">
        <f aca="false">IF(OR(F2749="",G2749=""),"",IF(G2749&lt;='RETRATO 2027'!$K$5,"CONCLUÍDA",IF(F2749&lt;='RETRATO 2027'!$K$5,"EM ANDAMENTO","A INICIAR")))</f>
        <v>CONCLUÍDA</v>
      </c>
    </row>
    <row r="2750" customFormat="false" ht="15" hidden="false" customHeight="false" outlineLevel="0" collapsed="false">
      <c r="B2750" s="4" t="n">
        <v>26707629</v>
      </c>
      <c r="C2750" s="4" t="s">
        <v>2869</v>
      </c>
      <c r="D2750" s="4" t="s">
        <v>433</v>
      </c>
      <c r="E2750" s="4" t="s">
        <v>3811</v>
      </c>
      <c r="F2750" s="127" t="n">
        <v>46589</v>
      </c>
      <c r="G2750" s="127" t="n">
        <v>46609</v>
      </c>
      <c r="H2750" s="127" t="n">
        <v>46293</v>
      </c>
      <c r="I2750" s="4" t="n">
        <v>0</v>
      </c>
      <c r="J2750" s="4" t="n">
        <v>0</v>
      </c>
      <c r="K2750" s="4" t="n">
        <v>0</v>
      </c>
      <c r="M2750" s="2" t="str">
        <f aca="false">IF(C2750="","",IFERROR(INDEX($S$5:$S$304,MATCH(C2750,$R$5:$R$304,0))&amp;"","?"))</f>
        <v>22</v>
      </c>
      <c r="N2750" s="2" t="n">
        <f aca="false">IF(E2750="","",IF(ISNUMBER(SEARCH("SUBSOLO",E2750)),IFERROR(-VALUE(LEFT(E2750,FIND("º",SUBSTITUTE(E2750,"°","º"))-1)),-1),IF(LEFT(E2750,6)="TÉRREO",0,IFERROR(VALUE(LEFT(E2750,FIND("º",SUBSTITUTE(E2750,"°","º"))-1)),""))))</f>
        <v>2</v>
      </c>
      <c r="O2750" s="2" t="str">
        <f aca="false">IF(OR(F2750="",G2750=""),"",IF(G2750&lt;='RETRATO 2027'!$K$5,"CONCLUÍDA",IF(F2750&lt;='RETRATO 2027'!$K$5,"EM ANDAMENTO","A INICIAR")))</f>
        <v>CONCLUÍDA</v>
      </c>
    </row>
    <row r="2751" customFormat="false" ht="15" hidden="false" customHeight="false" outlineLevel="0" collapsed="false">
      <c r="B2751" s="4" t="n">
        <v>26707609</v>
      </c>
      <c r="C2751" s="4" t="s">
        <v>163</v>
      </c>
      <c r="D2751" s="4" t="s">
        <v>433</v>
      </c>
      <c r="E2751" s="4" t="s">
        <v>3812</v>
      </c>
      <c r="F2751" s="127" t="n">
        <v>46589</v>
      </c>
      <c r="G2751" s="127" t="n">
        <v>46618</v>
      </c>
      <c r="H2751" s="127" t="n">
        <v>46293</v>
      </c>
      <c r="I2751" s="4" t="n">
        <v>0</v>
      </c>
      <c r="J2751" s="4" t="n">
        <v>0</v>
      </c>
      <c r="K2751" s="4" t="n">
        <v>0</v>
      </c>
      <c r="M2751" s="2" t="str">
        <f aca="false">IF(C2751="","",IFERROR(INDEX($S$5:$S$304,MATCH(C2751,$R$5:$R$304,0))&amp;"","?"))</f>
        <v>18</v>
      </c>
      <c r="N2751" s="2" t="n">
        <f aca="false">IF(E2751="","",IF(ISNUMBER(SEARCH("SUBSOLO",E2751)),IFERROR(-VALUE(LEFT(E2751,FIND("º",SUBSTITUTE(E2751,"°","º"))-1)),-1),IF(LEFT(E2751,6)="TÉRREO",0,IFERROR(VALUE(LEFT(E2751,FIND("º",SUBSTITUTE(E2751,"°","º"))-1)),""))))</f>
        <v>2</v>
      </c>
      <c r="O2751" s="2" t="str">
        <f aca="false">IF(OR(F2751="",G2751=""),"",IF(G2751&lt;='RETRATO 2027'!$K$5,"CONCLUÍDA",IF(F2751&lt;='RETRATO 2027'!$K$5,"EM ANDAMENTO","A INICIAR")))</f>
        <v>CONCLUÍDA</v>
      </c>
    </row>
    <row r="2752" customFormat="false" ht="15" hidden="false" customHeight="false" outlineLevel="0" collapsed="false">
      <c r="B2752" s="4" t="n">
        <v>26743385</v>
      </c>
      <c r="C2752" s="4" t="s">
        <v>2997</v>
      </c>
      <c r="D2752" s="4" t="s">
        <v>433</v>
      </c>
      <c r="E2752" s="4" t="s">
        <v>3762</v>
      </c>
      <c r="F2752" s="127" t="n">
        <v>46589</v>
      </c>
      <c r="G2752" s="127" t="n">
        <v>46598</v>
      </c>
      <c r="H2752" s="127" t="n">
        <v>46293</v>
      </c>
      <c r="I2752" s="4" t="n">
        <v>0</v>
      </c>
      <c r="J2752" s="4" t="n">
        <v>0</v>
      </c>
      <c r="K2752" s="4" t="n">
        <v>0</v>
      </c>
      <c r="M2752" s="2" t="str">
        <f aca="false">IF(C2752="","",IFERROR(INDEX($S$5:$S$304,MATCH(C2752,$R$5:$R$304,0))&amp;"","?"))</f>
        <v>35</v>
      </c>
      <c r="N2752" s="2" t="n">
        <f aca="false">IF(E2752="","",IF(ISNUMBER(SEARCH("SUBSOLO",E2752)),IFERROR(-VALUE(LEFT(E2752,FIND("º",SUBSTITUTE(E2752,"°","º"))-1)),-1),IF(LEFT(E2752,6)="TÉRREO",0,IFERROR(VALUE(LEFT(E2752,FIND("º",SUBSTITUTE(E2752,"°","º"))-1)),""))))</f>
        <v>11</v>
      </c>
      <c r="O2752" s="2" t="str">
        <f aca="false">IF(OR(F2752="",G2752=""),"",IF(G2752&lt;='RETRATO 2027'!$K$5,"CONCLUÍDA",IF(F2752&lt;='RETRATO 2027'!$K$5,"EM ANDAMENTO","A INICIAR")))</f>
        <v>CONCLUÍDA</v>
      </c>
    </row>
    <row r="2753" customFormat="false" ht="15" hidden="false" customHeight="false" outlineLevel="0" collapsed="false">
      <c r="B2753" s="4" t="n">
        <v>26743347</v>
      </c>
      <c r="C2753" s="4" t="s">
        <v>2980</v>
      </c>
      <c r="D2753" s="4" t="s">
        <v>433</v>
      </c>
      <c r="E2753" s="4" t="s">
        <v>3763</v>
      </c>
      <c r="F2753" s="127" t="n">
        <v>46589</v>
      </c>
      <c r="G2753" s="127" t="n">
        <v>46598</v>
      </c>
      <c r="H2753" s="127" t="n">
        <v>46293</v>
      </c>
      <c r="I2753" s="4" t="n">
        <v>0</v>
      </c>
      <c r="J2753" s="4" t="n">
        <v>0</v>
      </c>
      <c r="K2753" s="4" t="n">
        <v>0</v>
      </c>
      <c r="M2753" s="2" t="str">
        <f aca="false">IF(C2753="","",IFERROR(INDEX($S$5:$S$304,MATCH(C2753,$R$5:$R$304,0))&amp;"","?"))</f>
        <v>35</v>
      </c>
      <c r="N2753" s="2" t="n">
        <f aca="false">IF(E2753="","",IF(ISNUMBER(SEARCH("SUBSOLO",E2753)),IFERROR(-VALUE(LEFT(E2753,FIND("º",SUBSTITUTE(E2753,"°","º"))-1)),-1),IF(LEFT(E2753,6)="TÉRREO",0,IFERROR(VALUE(LEFT(E2753,FIND("º",SUBSTITUTE(E2753,"°","º"))-1)),""))))</f>
        <v>12</v>
      </c>
      <c r="O2753" s="2" t="str">
        <f aca="false">IF(OR(F2753="",G2753=""),"",IF(G2753&lt;='RETRATO 2027'!$K$5,"CONCLUÍDA",IF(F2753&lt;='RETRATO 2027'!$K$5,"EM ANDAMENTO","A INICIAR")))</f>
        <v>CONCLUÍDA</v>
      </c>
    </row>
    <row r="2754" customFormat="false" ht="15" hidden="false" customHeight="false" outlineLevel="0" collapsed="false">
      <c r="B2754" s="4" t="n">
        <v>26743317</v>
      </c>
      <c r="C2754" s="4" t="s">
        <v>208</v>
      </c>
      <c r="D2754" s="4" t="s">
        <v>433</v>
      </c>
      <c r="E2754" s="4" t="s">
        <v>3764</v>
      </c>
      <c r="F2754" s="127" t="n">
        <v>46589</v>
      </c>
      <c r="G2754" s="127" t="n">
        <v>46598</v>
      </c>
      <c r="H2754" s="127" t="n">
        <v>46293</v>
      </c>
      <c r="I2754" s="4" t="n">
        <v>0</v>
      </c>
      <c r="J2754" s="4" t="n">
        <v>0</v>
      </c>
      <c r="K2754" s="4" t="n">
        <v>0</v>
      </c>
      <c r="M2754" s="2" t="str">
        <f aca="false">IF(C2754="","",IFERROR(INDEX($S$5:$S$304,MATCH(C2754,$R$5:$R$304,0))&amp;"","?"))</f>
        <v>33</v>
      </c>
      <c r="N2754" s="2" t="n">
        <f aca="false">IF(E2754="","",IF(ISNUMBER(SEARCH("SUBSOLO",E2754)),IFERROR(-VALUE(LEFT(E2754,FIND("º",SUBSTITUTE(E2754,"°","º"))-1)),-1),IF(LEFT(E2754,6)="TÉRREO",0,IFERROR(VALUE(LEFT(E2754,FIND("º",SUBSTITUTE(E2754,"°","º"))-1)),""))))</f>
        <v>13</v>
      </c>
      <c r="O2754" s="2" t="str">
        <f aca="false">IF(OR(F2754="",G2754=""),"",IF(G2754&lt;='RETRATO 2027'!$K$5,"CONCLUÍDA",IF(F2754&lt;='RETRATO 2027'!$K$5,"EM ANDAMENTO","A INICIAR")))</f>
        <v>CONCLUÍDA</v>
      </c>
    </row>
    <row r="2755" customFormat="false" ht="15" hidden="false" customHeight="false" outlineLevel="0" collapsed="false">
      <c r="B2755" s="4" t="n">
        <v>29844395</v>
      </c>
      <c r="C2755" s="4" t="s">
        <v>2890</v>
      </c>
      <c r="D2755" s="4" t="s">
        <v>433</v>
      </c>
      <c r="E2755" s="4" t="s">
        <v>3799</v>
      </c>
      <c r="F2755" s="127" t="n">
        <v>46589</v>
      </c>
      <c r="G2755" s="127" t="n">
        <v>46598</v>
      </c>
      <c r="H2755" s="127" t="n">
        <v>46293</v>
      </c>
      <c r="I2755" s="4" t="n">
        <v>0</v>
      </c>
      <c r="J2755" s="4" t="n">
        <v>0</v>
      </c>
      <c r="K2755" s="4" t="n">
        <v>0</v>
      </c>
      <c r="M2755" s="2" t="str">
        <f aca="false">IF(C2755="","",IFERROR(INDEX($S$5:$S$304,MATCH(C2755,$R$5:$R$304,0))&amp;"","?"))</f>
        <v>18</v>
      </c>
      <c r="N2755" s="2" t="n">
        <f aca="false">IF(E2755="","",IF(ISNUMBER(SEARCH("SUBSOLO",E2755)),IFERROR(-VALUE(LEFT(E2755,FIND("º",SUBSTITUTE(E2755,"°","º"))-1)),-1),IF(LEFT(E2755,6)="TÉRREO",0,IFERROR(VALUE(LEFT(E2755,FIND("º",SUBSTITUTE(E2755,"°","º"))-1)),""))))</f>
        <v>27</v>
      </c>
      <c r="O2755" s="2" t="str">
        <f aca="false">IF(OR(F2755="",G2755=""),"",IF(G2755&lt;='RETRATO 2027'!$K$5,"CONCLUÍDA",IF(F2755&lt;='RETRATO 2027'!$K$5,"EM ANDAMENTO","A INICIAR")))</f>
        <v>CONCLUÍDA</v>
      </c>
    </row>
    <row r="2756" customFormat="false" ht="15" hidden="false" customHeight="false" outlineLevel="0" collapsed="false">
      <c r="B2756" s="4" t="n">
        <v>26744738</v>
      </c>
      <c r="C2756" s="4" t="s">
        <v>2974</v>
      </c>
      <c r="D2756" s="4" t="s">
        <v>433</v>
      </c>
      <c r="E2756" s="4" t="s">
        <v>3800</v>
      </c>
      <c r="F2756" s="127" t="n">
        <v>46590</v>
      </c>
      <c r="G2756" s="127" t="n">
        <v>46603</v>
      </c>
      <c r="H2756" s="127" t="n">
        <v>46293</v>
      </c>
      <c r="I2756" s="4" t="n">
        <v>0</v>
      </c>
      <c r="J2756" s="4" t="n">
        <v>0</v>
      </c>
      <c r="K2756" s="4" t="n">
        <v>0</v>
      </c>
      <c r="M2756" s="2" t="str">
        <f aca="false">IF(C2756="","",IFERROR(INDEX($S$5:$S$304,MATCH(C2756,$R$5:$R$304,0))&amp;"","?"))</f>
        <v>21</v>
      </c>
      <c r="N2756" s="2" t="n">
        <f aca="false">IF(E2756="","",IF(ISNUMBER(SEARCH("SUBSOLO",E2756)),IFERROR(-VALUE(LEFT(E2756,FIND("º",SUBSTITUTE(E2756,"°","º"))-1)),-1),IF(LEFT(E2756,6)="TÉRREO",0,IFERROR(VALUE(LEFT(E2756,FIND("º",SUBSTITUTE(E2756,"°","º"))-1)),""))))</f>
        <v>3</v>
      </c>
      <c r="O2756" s="2" t="str">
        <f aca="false">IF(OR(F2756="",G2756=""),"",IF(G2756&lt;='RETRATO 2027'!$K$5,"CONCLUÍDA",IF(F2756&lt;='RETRATO 2027'!$K$5,"EM ANDAMENTO","A INICIAR")))</f>
        <v>CONCLUÍDA</v>
      </c>
    </row>
    <row r="2757" customFormat="false" ht="15" hidden="false" customHeight="false" outlineLevel="0" collapsed="false">
      <c r="B2757" s="4" t="n">
        <v>29845961</v>
      </c>
      <c r="C2757" s="4" t="s">
        <v>2983</v>
      </c>
      <c r="D2757" s="4" t="s">
        <v>433</v>
      </c>
      <c r="E2757" s="4" t="s">
        <v>3765</v>
      </c>
      <c r="F2757" s="127" t="n">
        <v>46590</v>
      </c>
      <c r="G2757" s="127" t="n">
        <v>46598</v>
      </c>
      <c r="H2757" s="127" t="n">
        <v>46293</v>
      </c>
      <c r="I2757" s="4" t="n">
        <v>0</v>
      </c>
      <c r="J2757" s="4" t="n">
        <v>0</v>
      </c>
      <c r="K2757" s="4" t="n">
        <v>0</v>
      </c>
      <c r="M2757" s="2" t="str">
        <f aca="false">IF(C2757="","",IFERROR(INDEX($S$5:$S$304,MATCH(C2757,$R$5:$R$304,0))&amp;"","?"))</f>
        <v>20</v>
      </c>
      <c r="N2757" s="2" t="n">
        <f aca="false">IF(E2757="","",IF(ISNUMBER(SEARCH("SUBSOLO",E2757)),IFERROR(-VALUE(LEFT(E2757,FIND("º",SUBSTITUTE(E2757,"°","º"))-1)),-1),IF(LEFT(E2757,6)="TÉRREO",0,IFERROR(VALUE(LEFT(E2757,FIND("º",SUBSTITUTE(E2757,"°","º"))-1)),""))))</f>
        <v>14</v>
      </c>
      <c r="O2757" s="2" t="str">
        <f aca="false">IF(OR(F2757="",G2757=""),"",IF(G2757&lt;='RETRATO 2027'!$K$5,"CONCLUÍDA",IF(F2757&lt;='RETRATO 2027'!$K$5,"EM ANDAMENTO","A INICIAR")))</f>
        <v>CONCLUÍDA</v>
      </c>
    </row>
    <row r="2758" customFormat="false" ht="15" hidden="false" customHeight="false" outlineLevel="0" collapsed="false">
      <c r="B2758" s="4" t="n">
        <v>29845900</v>
      </c>
      <c r="C2758" s="4" t="s">
        <v>2986</v>
      </c>
      <c r="D2758" s="4" t="s">
        <v>433</v>
      </c>
      <c r="E2758" s="4" t="s">
        <v>3765</v>
      </c>
      <c r="F2758" s="127" t="n">
        <v>46590</v>
      </c>
      <c r="G2758" s="127" t="n">
        <v>46601</v>
      </c>
      <c r="H2758" s="127" t="n">
        <v>46293</v>
      </c>
      <c r="I2758" s="4" t="n">
        <v>0</v>
      </c>
      <c r="J2758" s="4" t="n">
        <v>0</v>
      </c>
      <c r="K2758" s="4" t="n">
        <v>0</v>
      </c>
      <c r="M2758" s="2" t="str">
        <f aca="false">IF(C2758="","",IFERROR(INDEX($S$5:$S$304,MATCH(C2758,$R$5:$R$304,0))&amp;"","?"))</f>
        <v>20</v>
      </c>
      <c r="N2758" s="2" t="n">
        <f aca="false">IF(E2758="","",IF(ISNUMBER(SEARCH("SUBSOLO",E2758)),IFERROR(-VALUE(LEFT(E2758,FIND("º",SUBSTITUTE(E2758,"°","º"))-1)),-1),IF(LEFT(E2758,6)="TÉRREO",0,IFERROR(VALUE(LEFT(E2758,FIND("º",SUBSTITUTE(E2758,"°","º"))-1)),""))))</f>
        <v>14</v>
      </c>
      <c r="O2758" s="2" t="str">
        <f aca="false">IF(OR(F2758="",G2758=""),"",IF(G2758&lt;='RETRATO 2027'!$K$5,"CONCLUÍDA",IF(F2758&lt;='RETRATO 2027'!$K$5,"EM ANDAMENTO","A INICIAR")))</f>
        <v>CONCLUÍDA</v>
      </c>
    </row>
    <row r="2759" customFormat="false" ht="15" hidden="false" customHeight="false" outlineLevel="0" collapsed="false">
      <c r="B2759" s="4" t="n">
        <v>26743245</v>
      </c>
      <c r="C2759" s="4" t="s">
        <v>2977</v>
      </c>
      <c r="D2759" s="4" t="s">
        <v>433</v>
      </c>
      <c r="E2759" s="4" t="s">
        <v>3768</v>
      </c>
      <c r="F2759" s="127" t="n">
        <v>46590</v>
      </c>
      <c r="G2759" s="127" t="n">
        <v>46601</v>
      </c>
      <c r="H2759" s="127" t="n">
        <v>46293</v>
      </c>
      <c r="I2759" s="4" t="n">
        <v>0</v>
      </c>
      <c r="J2759" s="4" t="n">
        <v>0</v>
      </c>
      <c r="K2759" s="4" t="n">
        <v>0</v>
      </c>
      <c r="M2759" s="2" t="str">
        <f aca="false">IF(C2759="","",IFERROR(INDEX($S$5:$S$304,MATCH(C2759,$R$5:$R$304,0))&amp;"","?"))</f>
        <v>30</v>
      </c>
      <c r="N2759" s="2" t="n">
        <f aca="false">IF(E2759="","",IF(ISNUMBER(SEARCH("SUBSOLO",E2759)),IFERROR(-VALUE(LEFT(E2759,FIND("º",SUBSTITUTE(E2759,"°","º"))-1)),-1),IF(LEFT(E2759,6)="TÉRREO",0,IFERROR(VALUE(LEFT(E2759,FIND("º",SUBSTITUTE(E2759,"°","º"))-1)),""))))</f>
        <v>15</v>
      </c>
      <c r="O2759" s="2" t="str">
        <f aca="false">IF(OR(F2759="",G2759=""),"",IF(G2759&lt;='RETRATO 2027'!$K$5,"CONCLUÍDA",IF(F2759&lt;='RETRATO 2027'!$K$5,"EM ANDAMENTO","A INICIAR")))</f>
        <v>CONCLUÍDA</v>
      </c>
    </row>
    <row r="2760" customFormat="false" ht="15" hidden="false" customHeight="false" outlineLevel="0" collapsed="false">
      <c r="B2760" s="4" t="n">
        <v>26743148</v>
      </c>
      <c r="C2760" s="4" t="s">
        <v>2938</v>
      </c>
      <c r="D2760" s="4" t="s">
        <v>433</v>
      </c>
      <c r="E2760" s="4" t="s">
        <v>3773</v>
      </c>
      <c r="F2760" s="127" t="n">
        <v>46590</v>
      </c>
      <c r="G2760" s="127" t="n">
        <v>46601</v>
      </c>
      <c r="H2760" s="127" t="n">
        <v>46293</v>
      </c>
      <c r="I2760" s="4" t="n">
        <v>0</v>
      </c>
      <c r="J2760" s="4" t="n">
        <v>0</v>
      </c>
      <c r="K2760" s="4" t="n">
        <v>0</v>
      </c>
      <c r="M2760" s="2" t="str">
        <f aca="false">IF(C2760="","",IFERROR(INDEX($S$5:$S$304,MATCH(C2760,$R$5:$R$304,0))&amp;"","?"))</f>
        <v>30</v>
      </c>
      <c r="N2760" s="2" t="n">
        <f aca="false">IF(E2760="","",IF(ISNUMBER(SEARCH("SUBSOLO",E2760)),IFERROR(-VALUE(LEFT(E2760,FIND("º",SUBSTITUTE(E2760,"°","º"))-1)),-1),IF(LEFT(E2760,6)="TÉRREO",0,IFERROR(VALUE(LEFT(E2760,FIND("º",SUBSTITUTE(E2760,"°","º"))-1)),""))))</f>
        <v>17</v>
      </c>
      <c r="O2760" s="2" t="str">
        <f aca="false">IF(OR(F2760="",G2760=""),"",IF(G2760&lt;='RETRATO 2027'!$K$5,"CONCLUÍDA",IF(F2760&lt;='RETRATO 2027'!$K$5,"EM ANDAMENTO","A INICIAR")))</f>
        <v>CONCLUÍDA</v>
      </c>
    </row>
    <row r="2761" customFormat="false" ht="15" hidden="false" customHeight="false" outlineLevel="0" collapsed="false">
      <c r="B2761" s="4" t="n">
        <v>26743110</v>
      </c>
      <c r="C2761" s="4" t="s">
        <v>166</v>
      </c>
      <c r="D2761" s="4" t="s">
        <v>433</v>
      </c>
      <c r="E2761" s="4" t="s">
        <v>3776</v>
      </c>
      <c r="F2761" s="127" t="n">
        <v>46590</v>
      </c>
      <c r="G2761" s="127" t="n">
        <v>46601</v>
      </c>
      <c r="H2761" s="127" t="n">
        <v>46293</v>
      </c>
      <c r="I2761" s="4" t="n">
        <v>0</v>
      </c>
      <c r="J2761" s="4" t="n">
        <v>0</v>
      </c>
      <c r="K2761" s="4" t="n">
        <v>0</v>
      </c>
      <c r="M2761" s="2" t="str">
        <f aca="false">IF(C2761="","",IFERROR(INDEX($S$5:$S$304,MATCH(C2761,$R$5:$R$304,0))&amp;"","?"))</f>
        <v>19</v>
      </c>
      <c r="N2761" s="2" t="n">
        <f aca="false">IF(E2761="","",IF(ISNUMBER(SEARCH("SUBSOLO",E2761)),IFERROR(-VALUE(LEFT(E2761,FIND("º",SUBSTITUTE(E2761,"°","º"))-1)),-1),IF(LEFT(E2761,6)="TÉRREO",0,IFERROR(VALUE(LEFT(E2761,FIND("º",SUBSTITUTE(E2761,"°","º"))-1)),""))))</f>
        <v>18</v>
      </c>
      <c r="O2761" s="2" t="str">
        <f aca="false">IF(OR(F2761="",G2761=""),"",IF(G2761&lt;='RETRATO 2027'!$K$5,"CONCLUÍDA",IF(F2761&lt;='RETRATO 2027'!$K$5,"EM ANDAMENTO","A INICIAR")))</f>
        <v>CONCLUÍDA</v>
      </c>
    </row>
    <row r="2762" customFormat="false" ht="15" hidden="false" customHeight="false" outlineLevel="0" collapsed="false">
      <c r="B2762" s="4" t="n">
        <v>26743083</v>
      </c>
      <c r="C2762" s="4" t="s">
        <v>2941</v>
      </c>
      <c r="D2762" s="4" t="s">
        <v>433</v>
      </c>
      <c r="E2762" s="4" t="s">
        <v>3779</v>
      </c>
      <c r="F2762" s="127" t="n">
        <v>46590</v>
      </c>
      <c r="G2762" s="127" t="n">
        <v>46601</v>
      </c>
      <c r="H2762" s="127" t="n">
        <v>46293</v>
      </c>
      <c r="I2762" s="4" t="n">
        <v>0</v>
      </c>
      <c r="J2762" s="4" t="n">
        <v>0</v>
      </c>
      <c r="K2762" s="4" t="n">
        <v>0</v>
      </c>
      <c r="M2762" s="2" t="str">
        <f aca="false">IF(C2762="","",IFERROR(INDEX($S$5:$S$304,MATCH(C2762,$R$5:$R$304,0))&amp;"","?"))</f>
        <v>18</v>
      </c>
      <c r="N2762" s="2" t="n">
        <f aca="false">IF(E2762="","",IF(ISNUMBER(SEARCH("SUBSOLO",E2762)),IFERROR(-VALUE(LEFT(E2762,FIND("º",SUBSTITUTE(E2762,"°","º"))-1)),-1),IF(LEFT(E2762,6)="TÉRREO",0,IFERROR(VALUE(LEFT(E2762,FIND("º",SUBSTITUTE(E2762,"°","º"))-1)),""))))</f>
        <v>19</v>
      </c>
      <c r="O2762" s="2" t="str">
        <f aca="false">IF(OR(F2762="",G2762=""),"",IF(G2762&lt;='RETRATO 2027'!$K$5,"CONCLUÍDA",IF(F2762&lt;='RETRATO 2027'!$K$5,"EM ANDAMENTO","A INICIAR")))</f>
        <v>CONCLUÍDA</v>
      </c>
    </row>
    <row r="2763" customFormat="false" ht="15" hidden="false" customHeight="false" outlineLevel="0" collapsed="false">
      <c r="B2763" s="4" t="n">
        <v>26743047</v>
      </c>
      <c r="C2763" s="4" t="s">
        <v>2924</v>
      </c>
      <c r="D2763" s="4" t="s">
        <v>433</v>
      </c>
      <c r="E2763" s="4" t="s">
        <v>3781</v>
      </c>
      <c r="F2763" s="127" t="n">
        <v>46590</v>
      </c>
      <c r="G2763" s="127" t="n">
        <v>46601</v>
      </c>
      <c r="H2763" s="127" t="n">
        <v>46293</v>
      </c>
      <c r="I2763" s="4" t="n">
        <v>0</v>
      </c>
      <c r="J2763" s="4" t="n">
        <v>0</v>
      </c>
      <c r="K2763" s="4" t="n">
        <v>0</v>
      </c>
      <c r="M2763" s="2" t="str">
        <f aca="false">IF(C2763="","",IFERROR(INDEX($S$5:$S$304,MATCH(C2763,$R$5:$R$304,0))&amp;"","?"))</f>
        <v>21</v>
      </c>
      <c r="N2763" s="2" t="n">
        <f aca="false">IF(E2763="","",IF(ISNUMBER(SEARCH("SUBSOLO",E2763)),IFERROR(-VALUE(LEFT(E2763,FIND("º",SUBSTITUTE(E2763,"°","º"))-1)),-1),IF(LEFT(E2763,6)="TÉRREO",0,IFERROR(VALUE(LEFT(E2763,FIND("º",SUBSTITUTE(E2763,"°","º"))-1)),""))))</f>
        <v>20</v>
      </c>
      <c r="O2763" s="2" t="str">
        <f aca="false">IF(OR(F2763="",G2763=""),"",IF(G2763&lt;='RETRATO 2027'!$K$5,"CONCLUÍDA",IF(F2763&lt;='RETRATO 2027'!$K$5,"EM ANDAMENTO","A INICIAR")))</f>
        <v>CONCLUÍDA</v>
      </c>
    </row>
    <row r="2764" customFormat="false" ht="15" hidden="false" customHeight="false" outlineLevel="0" collapsed="false">
      <c r="B2764" s="4" t="n">
        <v>26743030</v>
      </c>
      <c r="C2764" s="4" t="s">
        <v>2926</v>
      </c>
      <c r="D2764" s="4" t="s">
        <v>433</v>
      </c>
      <c r="E2764" s="4" t="s">
        <v>3781</v>
      </c>
      <c r="F2764" s="127" t="n">
        <v>46590</v>
      </c>
      <c r="G2764" s="127" t="n">
        <v>46601</v>
      </c>
      <c r="H2764" s="127" t="n">
        <v>46293</v>
      </c>
      <c r="I2764" s="4" t="n">
        <v>0</v>
      </c>
      <c r="J2764" s="4" t="n">
        <v>0</v>
      </c>
      <c r="K2764" s="4" t="n">
        <v>0</v>
      </c>
      <c r="M2764" s="2" t="str">
        <f aca="false">IF(C2764="","",IFERROR(INDEX($S$5:$S$304,MATCH(C2764,$R$5:$R$304,0))&amp;"","?"))</f>
        <v>20</v>
      </c>
      <c r="N2764" s="2" t="n">
        <f aca="false">IF(E2764="","",IF(ISNUMBER(SEARCH("SUBSOLO",E2764)),IFERROR(-VALUE(LEFT(E2764,FIND("º",SUBSTITUTE(E2764,"°","º"))-1)),-1),IF(LEFT(E2764,6)="TÉRREO",0,IFERROR(VALUE(LEFT(E2764,FIND("º",SUBSTITUTE(E2764,"°","º"))-1)),""))))</f>
        <v>20</v>
      </c>
      <c r="O2764" s="2" t="str">
        <f aca="false">IF(OR(F2764="",G2764=""),"",IF(G2764&lt;='RETRATO 2027'!$K$5,"CONCLUÍDA",IF(F2764&lt;='RETRATO 2027'!$K$5,"EM ANDAMENTO","A INICIAR")))</f>
        <v>CONCLUÍDA</v>
      </c>
    </row>
    <row r="2765" customFormat="false" ht="15" hidden="false" customHeight="false" outlineLevel="0" collapsed="false">
      <c r="B2765" s="4" t="n">
        <v>26743029</v>
      </c>
      <c r="C2765" s="4" t="s">
        <v>2928</v>
      </c>
      <c r="D2765" s="4" t="s">
        <v>433</v>
      </c>
      <c r="E2765" s="4" t="s">
        <v>3781</v>
      </c>
      <c r="F2765" s="127" t="n">
        <v>46590</v>
      </c>
      <c r="G2765" s="127" t="n">
        <v>46601</v>
      </c>
      <c r="H2765" s="127" t="n">
        <v>46293</v>
      </c>
      <c r="I2765" s="4" t="n">
        <v>0</v>
      </c>
      <c r="J2765" s="4" t="n">
        <v>0</v>
      </c>
      <c r="K2765" s="4" t="n">
        <v>0</v>
      </c>
      <c r="M2765" s="2" t="str">
        <f aca="false">IF(C2765="","",IFERROR(INDEX($S$5:$S$304,MATCH(C2765,$R$5:$R$304,0))&amp;"","?"))</f>
        <v>23</v>
      </c>
      <c r="N2765" s="2" t="n">
        <f aca="false">IF(E2765="","",IF(ISNUMBER(SEARCH("SUBSOLO",E2765)),IFERROR(-VALUE(LEFT(E2765,FIND("º",SUBSTITUTE(E2765,"°","º"))-1)),-1),IF(LEFT(E2765,6)="TÉRREO",0,IFERROR(VALUE(LEFT(E2765,FIND("º",SUBSTITUTE(E2765,"°","º"))-1)),""))))</f>
        <v>20</v>
      </c>
      <c r="O2765" s="2" t="str">
        <f aca="false">IF(OR(F2765="",G2765=""),"",IF(G2765&lt;='RETRATO 2027'!$K$5,"CONCLUÍDA",IF(F2765&lt;='RETRATO 2027'!$K$5,"EM ANDAMENTO","A INICIAR")))</f>
        <v>CONCLUÍDA</v>
      </c>
    </row>
    <row r="2766" customFormat="false" ht="15" hidden="false" customHeight="false" outlineLevel="0" collapsed="false">
      <c r="B2766" s="4" t="n">
        <v>26743048</v>
      </c>
      <c r="C2766" s="4" t="s">
        <v>2930</v>
      </c>
      <c r="D2766" s="4" t="s">
        <v>433</v>
      </c>
      <c r="E2766" s="4" t="s">
        <v>3781</v>
      </c>
      <c r="F2766" s="127" t="n">
        <v>46590</v>
      </c>
      <c r="G2766" s="127" t="n">
        <v>46601</v>
      </c>
      <c r="H2766" s="127" t="n">
        <v>46293</v>
      </c>
      <c r="I2766" s="4" t="n">
        <v>0</v>
      </c>
      <c r="J2766" s="4" t="n">
        <v>0</v>
      </c>
      <c r="K2766" s="4" t="n">
        <v>0</v>
      </c>
      <c r="M2766" s="2" t="str">
        <f aca="false">IF(C2766="","",IFERROR(INDEX($S$5:$S$304,MATCH(C2766,$R$5:$R$304,0))&amp;"","?"))</f>
        <v>21</v>
      </c>
      <c r="N2766" s="2" t="n">
        <f aca="false">IF(E2766="","",IF(ISNUMBER(SEARCH("SUBSOLO",E2766)),IFERROR(-VALUE(LEFT(E2766,FIND("º",SUBSTITUTE(E2766,"°","º"))-1)),-1),IF(LEFT(E2766,6)="TÉRREO",0,IFERROR(VALUE(LEFT(E2766,FIND("º",SUBSTITUTE(E2766,"°","º"))-1)),""))))</f>
        <v>20</v>
      </c>
      <c r="O2766" s="2" t="str">
        <f aca="false">IF(OR(F2766="",G2766=""),"",IF(G2766&lt;='RETRATO 2027'!$K$5,"CONCLUÍDA",IF(F2766&lt;='RETRATO 2027'!$K$5,"EM ANDAMENTO","A INICIAR")))</f>
        <v>CONCLUÍDA</v>
      </c>
    </row>
    <row r="2767" customFormat="false" ht="15" hidden="false" customHeight="false" outlineLevel="0" collapsed="false">
      <c r="B2767" s="4" t="n">
        <v>26743049</v>
      </c>
      <c r="C2767" s="4" t="s">
        <v>2933</v>
      </c>
      <c r="D2767" s="4" t="s">
        <v>433</v>
      </c>
      <c r="E2767" s="4" t="s">
        <v>3781</v>
      </c>
      <c r="F2767" s="127" t="n">
        <v>46590</v>
      </c>
      <c r="G2767" s="127" t="n">
        <v>46601</v>
      </c>
      <c r="H2767" s="127" t="n">
        <v>46293</v>
      </c>
      <c r="I2767" s="4" t="n">
        <v>0</v>
      </c>
      <c r="J2767" s="4" t="n">
        <v>0</v>
      </c>
      <c r="K2767" s="4" t="n">
        <v>0</v>
      </c>
      <c r="M2767" s="2" t="str">
        <f aca="false">IF(C2767="","",IFERROR(INDEX($S$5:$S$304,MATCH(C2767,$R$5:$R$304,0))&amp;"","?"))</f>
        <v>21</v>
      </c>
      <c r="N2767" s="2" t="n">
        <f aca="false">IF(E2767="","",IF(ISNUMBER(SEARCH("SUBSOLO",E2767)),IFERROR(-VALUE(LEFT(E2767,FIND("º",SUBSTITUTE(E2767,"°","º"))-1)),-1),IF(LEFT(E2767,6)="TÉRREO",0,IFERROR(VALUE(LEFT(E2767,FIND("º",SUBSTITUTE(E2767,"°","º"))-1)),""))))</f>
        <v>20</v>
      </c>
      <c r="O2767" s="2" t="str">
        <f aca="false">IF(OR(F2767="",G2767=""),"",IF(G2767&lt;='RETRATO 2027'!$K$5,"CONCLUÍDA",IF(F2767&lt;='RETRATO 2027'!$K$5,"EM ANDAMENTO","A INICIAR")))</f>
        <v>CONCLUÍDA</v>
      </c>
    </row>
    <row r="2768" customFormat="false" ht="15" hidden="false" customHeight="false" outlineLevel="0" collapsed="false">
      <c r="B2768" s="4" t="n">
        <v>26742991</v>
      </c>
      <c r="C2768" s="4" t="s">
        <v>2922</v>
      </c>
      <c r="D2768" s="4" t="s">
        <v>433</v>
      </c>
      <c r="E2768" s="4" t="s">
        <v>3783</v>
      </c>
      <c r="F2768" s="127" t="n">
        <v>46590</v>
      </c>
      <c r="G2768" s="127" t="n">
        <v>46601</v>
      </c>
      <c r="H2768" s="127" t="n">
        <v>46293</v>
      </c>
      <c r="I2768" s="4" t="n">
        <v>0</v>
      </c>
      <c r="J2768" s="4" t="n">
        <v>0</v>
      </c>
      <c r="K2768" s="4" t="n">
        <v>0</v>
      </c>
      <c r="M2768" s="2" t="str">
        <f aca="false">IF(C2768="","",IFERROR(INDEX($S$5:$S$304,MATCH(C2768,$R$5:$R$304,0))&amp;"","?"))</f>
        <v>18</v>
      </c>
      <c r="N2768" s="2" t="n">
        <f aca="false">IF(E2768="","",IF(ISNUMBER(SEARCH("SUBSOLO",E2768)),IFERROR(-VALUE(LEFT(E2768,FIND("º",SUBSTITUTE(E2768,"°","º"))-1)),-1),IF(LEFT(E2768,6)="TÉRREO",0,IFERROR(VALUE(LEFT(E2768,FIND("º",SUBSTITUTE(E2768,"°","º"))-1)),""))))</f>
        <v>21</v>
      </c>
      <c r="O2768" s="2" t="str">
        <f aca="false">IF(OR(F2768="",G2768=""),"",IF(G2768&lt;='RETRATO 2027'!$K$5,"CONCLUÍDA",IF(F2768&lt;='RETRATO 2027'!$K$5,"EM ANDAMENTO","A INICIAR")))</f>
        <v>CONCLUÍDA</v>
      </c>
    </row>
    <row r="2769" customFormat="false" ht="15" hidden="false" customHeight="false" outlineLevel="0" collapsed="false">
      <c r="B2769" s="4" t="n">
        <v>26742761</v>
      </c>
      <c r="C2769" s="4" t="s">
        <v>2869</v>
      </c>
      <c r="D2769" s="4" t="s">
        <v>433</v>
      </c>
      <c r="E2769" s="4" t="s">
        <v>3802</v>
      </c>
      <c r="F2769" s="127" t="n">
        <v>46591</v>
      </c>
      <c r="G2769" s="127" t="n">
        <v>46602</v>
      </c>
      <c r="H2769" s="127" t="n">
        <v>46293</v>
      </c>
      <c r="I2769" s="4" t="n">
        <v>0</v>
      </c>
      <c r="J2769" s="4" t="n">
        <v>0</v>
      </c>
      <c r="K2769" s="4" t="n">
        <v>0</v>
      </c>
      <c r="M2769" s="2" t="str">
        <f aca="false">IF(C2769="","",IFERROR(INDEX($S$5:$S$304,MATCH(C2769,$R$5:$R$304,0))&amp;"","?"))</f>
        <v>22</v>
      </c>
      <c r="N2769" s="2" t="n">
        <f aca="false">IF(E2769="","",IF(ISNUMBER(SEARCH("SUBSOLO",E2769)),IFERROR(-VALUE(LEFT(E2769,FIND("º",SUBSTITUTE(E2769,"°","º"))-1)),-1),IF(LEFT(E2769,6)="TÉRREO",0,IFERROR(VALUE(LEFT(E2769,FIND("º",SUBSTITUTE(E2769,"°","º"))-1)),""))))</f>
        <v>28</v>
      </c>
      <c r="O2769" s="2" t="str">
        <f aca="false">IF(OR(F2769="",G2769=""),"",IF(G2769&lt;='RETRATO 2027'!$K$5,"CONCLUÍDA",IF(F2769&lt;='RETRATO 2027'!$K$5,"EM ANDAMENTO","A INICIAR")))</f>
        <v>CONCLUÍDA</v>
      </c>
    </row>
    <row r="2770" customFormat="false" ht="15" hidden="false" customHeight="false" outlineLevel="0" collapsed="false">
      <c r="B2770" s="4" t="n">
        <v>26742722</v>
      </c>
      <c r="C2770" s="4" t="s">
        <v>163</v>
      </c>
      <c r="D2770" s="4" t="s">
        <v>433</v>
      </c>
      <c r="E2770" s="4" t="s">
        <v>3803</v>
      </c>
      <c r="F2770" s="127" t="n">
        <v>46591</v>
      </c>
      <c r="G2770" s="127" t="n">
        <v>46602</v>
      </c>
      <c r="H2770" s="127" t="n">
        <v>46293</v>
      </c>
      <c r="I2770" s="4" t="n">
        <v>0</v>
      </c>
      <c r="J2770" s="4" t="n">
        <v>0</v>
      </c>
      <c r="K2770" s="4" t="n">
        <v>0</v>
      </c>
      <c r="M2770" s="2" t="str">
        <f aca="false">IF(C2770="","",IFERROR(INDEX($S$5:$S$304,MATCH(C2770,$R$5:$R$304,0))&amp;"","?"))</f>
        <v>18</v>
      </c>
      <c r="N2770" s="2" t="n">
        <f aca="false">IF(E2770="","",IF(ISNUMBER(SEARCH("SUBSOLO",E2770)),IFERROR(-VALUE(LEFT(E2770,FIND("º",SUBSTITUTE(E2770,"°","º"))-1)),-1),IF(LEFT(E2770,6)="TÉRREO",0,IFERROR(VALUE(LEFT(E2770,FIND("º",SUBSTITUTE(E2770,"°","º"))-1)),""))))</f>
        <v>29</v>
      </c>
      <c r="O2770" s="2" t="str">
        <f aca="false">IF(OR(F2770="",G2770=""),"",IF(G2770&lt;='RETRATO 2027'!$K$5,"CONCLUÍDA",IF(F2770&lt;='RETRATO 2027'!$K$5,"EM ANDAMENTO","A INICIAR")))</f>
        <v>CONCLUÍDA</v>
      </c>
    </row>
    <row r="2771" customFormat="false" ht="15" hidden="false" customHeight="false" outlineLevel="0" collapsed="false">
      <c r="B2771" s="4" t="n">
        <v>26745134</v>
      </c>
      <c r="C2771" s="4" t="s">
        <v>2935</v>
      </c>
      <c r="D2771" s="4" t="s">
        <v>433</v>
      </c>
      <c r="E2771" s="4" t="s">
        <v>3807</v>
      </c>
      <c r="F2771" s="127" t="n">
        <v>46594</v>
      </c>
      <c r="G2771" s="127" t="n">
        <v>46603</v>
      </c>
      <c r="H2771" s="127" t="n">
        <v>46293</v>
      </c>
      <c r="I2771" s="4" t="n">
        <v>0</v>
      </c>
      <c r="J2771" s="4" t="n">
        <v>0</v>
      </c>
      <c r="K2771" s="4" t="n">
        <v>0</v>
      </c>
      <c r="M2771" s="2" t="str">
        <f aca="false">IF(C2771="","",IFERROR(INDEX($S$5:$S$304,MATCH(C2771,$R$5:$R$304,0))&amp;"","?"))</f>
        <v>30</v>
      </c>
      <c r="N2771" s="2" t="n">
        <f aca="false">IF(E2771="","",IF(ISNUMBER(SEARCH("SUBSOLO",E2771)),IFERROR(-VALUE(LEFT(E2771,FIND("º",SUBSTITUTE(E2771,"°","º"))-1)),-1),IF(LEFT(E2771,6)="TÉRREO",0,IFERROR(VALUE(LEFT(E2771,FIND("º",SUBSTITUTE(E2771,"°","º"))-1)),""))))</f>
        <v>2</v>
      </c>
      <c r="O2771" s="2" t="str">
        <f aca="false">IF(OR(F2771="",G2771=""),"",IF(G2771&lt;='RETRATO 2027'!$K$5,"CONCLUÍDA",IF(F2771&lt;='RETRATO 2027'!$K$5,"EM ANDAMENTO","A INICIAR")))</f>
        <v>CONCLUÍDA</v>
      </c>
    </row>
    <row r="2772" customFormat="false" ht="15" hidden="false" customHeight="false" outlineLevel="0" collapsed="false">
      <c r="B2772" s="4" t="n">
        <v>26742971</v>
      </c>
      <c r="C2772" s="4" t="s">
        <v>2916</v>
      </c>
      <c r="D2772" s="4" t="s">
        <v>433</v>
      </c>
      <c r="E2772" s="4" t="s">
        <v>3786</v>
      </c>
      <c r="F2772" s="127" t="n">
        <v>46594</v>
      </c>
      <c r="G2772" s="127" t="n">
        <v>46601</v>
      </c>
      <c r="H2772" s="127" t="n">
        <v>46293</v>
      </c>
      <c r="I2772" s="4" t="n">
        <v>0</v>
      </c>
      <c r="J2772" s="4" t="n">
        <v>0</v>
      </c>
      <c r="K2772" s="4" t="n">
        <v>0</v>
      </c>
      <c r="M2772" s="2" t="str">
        <f aca="false">IF(C2772="","",IFERROR(INDEX($S$5:$S$304,MATCH(C2772,$R$5:$R$304,0))&amp;"","?"))</f>
        <v>18</v>
      </c>
      <c r="N2772" s="2" t="n">
        <f aca="false">IF(E2772="","",IF(ISNUMBER(SEARCH("SUBSOLO",E2772)),IFERROR(-VALUE(LEFT(E2772,FIND("º",SUBSTITUTE(E2772,"°","º"))-1)),-1),IF(LEFT(E2772,6)="TÉRREO",0,IFERROR(VALUE(LEFT(E2772,FIND("º",SUBSTITUTE(E2772,"°","º"))-1)),""))))</f>
        <v>22</v>
      </c>
      <c r="O2772" s="2" t="str">
        <f aca="false">IF(OR(F2772="",G2772=""),"",IF(G2772&lt;='RETRATO 2027'!$K$5,"CONCLUÍDA",IF(F2772&lt;='RETRATO 2027'!$K$5,"EM ANDAMENTO","A INICIAR")))</f>
        <v>CONCLUÍDA</v>
      </c>
    </row>
    <row r="2773" customFormat="false" ht="15" hidden="false" customHeight="false" outlineLevel="0" collapsed="false">
      <c r="B2773" s="4" t="n">
        <v>26743720</v>
      </c>
      <c r="C2773" s="4" t="s">
        <v>3018</v>
      </c>
      <c r="D2773" s="4" t="s">
        <v>433</v>
      </c>
      <c r="E2773" s="4" t="s">
        <v>3466</v>
      </c>
      <c r="F2773" s="127" t="n">
        <v>46595</v>
      </c>
      <c r="G2773" s="127" t="n">
        <v>46624</v>
      </c>
      <c r="H2773" s="127" t="n">
        <v>46293</v>
      </c>
      <c r="I2773" s="4" t="n">
        <v>0</v>
      </c>
      <c r="J2773" s="4" t="n">
        <v>0</v>
      </c>
      <c r="K2773" s="4" t="n">
        <v>0</v>
      </c>
      <c r="M2773" s="2" t="str">
        <f aca="false">IF(C2773="","",IFERROR(INDEX($S$5:$S$304,MATCH(C2773,$R$5:$R$304,0))&amp;"","?"))</f>
        <v>30</v>
      </c>
      <c r="N2773" s="2" t="n">
        <f aca="false">IF(E2773="","",IF(ISNUMBER(SEARCH("SUBSOLO",E2773)),IFERROR(-VALUE(LEFT(E2773,FIND("º",SUBSTITUTE(E2773,"°","º"))-1)),-1),IF(LEFT(E2773,6)="TÉRREO",0,IFERROR(VALUE(LEFT(E2773,FIND("º",SUBSTITUTE(E2773,"°","º"))-1)),""))))</f>
        <v>-1</v>
      </c>
      <c r="O2773" s="2" t="str">
        <f aca="false">IF(OR(F2773="",G2773=""),"",IF(G2773&lt;='RETRATO 2027'!$K$5,"CONCLUÍDA",IF(F2773&lt;='RETRATO 2027'!$K$5,"EM ANDAMENTO","A INICIAR")))</f>
        <v>CONCLUÍDA</v>
      </c>
    </row>
    <row r="2774" customFormat="false" ht="15" hidden="false" customHeight="false" outlineLevel="0" collapsed="false">
      <c r="B2774" s="4" t="n">
        <v>26744937</v>
      </c>
      <c r="C2774" s="4" t="s">
        <v>3003</v>
      </c>
      <c r="D2774" s="4" t="s">
        <v>433</v>
      </c>
      <c r="E2774" s="4" t="s">
        <v>3612</v>
      </c>
      <c r="F2774" s="127" t="n">
        <v>46595</v>
      </c>
      <c r="G2774" s="127" t="n">
        <v>46603</v>
      </c>
      <c r="H2774" s="127" t="n">
        <v>46293</v>
      </c>
      <c r="I2774" s="4" t="n">
        <v>0</v>
      </c>
      <c r="J2774" s="4" t="n">
        <v>0</v>
      </c>
      <c r="K2774" s="4" t="n">
        <v>0</v>
      </c>
      <c r="M2774" s="2" t="str">
        <f aca="false">IF(C2774="","",IFERROR(INDEX($S$5:$S$304,MATCH(C2774,$R$5:$R$304,0))&amp;"","?"))</f>
        <v>20</v>
      </c>
      <c r="N2774" s="2" t="n">
        <f aca="false">IF(E2774="","",IF(ISNUMBER(SEARCH("SUBSOLO",E2774)),IFERROR(-VALUE(LEFT(E2774,FIND("º",SUBSTITUTE(E2774,"°","º"))-1)),-1),IF(LEFT(E2774,6)="TÉRREO",0,IFERROR(VALUE(LEFT(E2774,FIND("º",SUBSTITUTE(E2774,"°","º"))-1)),""))))</f>
        <v>-1</v>
      </c>
      <c r="O2774" s="2" t="str">
        <f aca="false">IF(OR(F2774="",G2774=""),"",IF(G2774&lt;='RETRATO 2027'!$K$5,"CONCLUÍDA",IF(F2774&lt;='RETRATO 2027'!$K$5,"EM ANDAMENTO","A INICIAR")))</f>
        <v>CONCLUÍDA</v>
      </c>
    </row>
    <row r="2775" customFormat="false" ht="15" hidden="false" customHeight="false" outlineLevel="0" collapsed="false">
      <c r="B2775" s="4" t="n">
        <v>26750516</v>
      </c>
      <c r="C2775" s="4" t="s">
        <v>2938</v>
      </c>
      <c r="D2775" s="4" t="s">
        <v>433</v>
      </c>
      <c r="E2775" s="4" t="s">
        <v>3767</v>
      </c>
      <c r="F2775" s="127" t="n">
        <v>46595</v>
      </c>
      <c r="G2775" s="127" t="n">
        <v>46601</v>
      </c>
      <c r="H2775" s="127" t="n">
        <v>46293</v>
      </c>
      <c r="I2775" s="4" t="n">
        <v>0</v>
      </c>
      <c r="J2775" s="4" t="n">
        <v>0</v>
      </c>
      <c r="K2775" s="4" t="n">
        <v>0</v>
      </c>
      <c r="M2775" s="2" t="str">
        <f aca="false">IF(C2775="","",IFERROR(INDEX($S$5:$S$304,MATCH(C2775,$R$5:$R$304,0))&amp;"","?"))</f>
        <v>30</v>
      </c>
      <c r="N2775" s="2" t="n">
        <f aca="false">IF(E2775="","",IF(ISNUMBER(SEARCH("SUBSOLO",E2775)),IFERROR(-VALUE(LEFT(E2775,FIND("º",SUBSTITUTE(E2775,"°","º"))-1)),-1),IF(LEFT(E2775,6)="TÉRREO",0,IFERROR(VALUE(LEFT(E2775,FIND("º",SUBSTITUTE(E2775,"°","º"))-1)),""))))</f>
        <v>-1</v>
      </c>
      <c r="O2775" s="2" t="str">
        <f aca="false">IF(OR(F2775="",G2775=""),"",IF(G2775&lt;='RETRATO 2027'!$K$5,"CONCLUÍDA",IF(F2775&lt;='RETRATO 2027'!$K$5,"EM ANDAMENTO","A INICIAR")))</f>
        <v>CONCLUÍDA</v>
      </c>
    </row>
    <row r="2776" customFormat="false" ht="15" hidden="false" customHeight="false" outlineLevel="0" collapsed="false">
      <c r="B2776" s="4" t="n">
        <v>26745167</v>
      </c>
      <c r="C2776" s="4" t="s">
        <v>3003</v>
      </c>
      <c r="D2776" s="4" t="s">
        <v>433</v>
      </c>
      <c r="E2776" s="4" t="s">
        <v>3770</v>
      </c>
      <c r="F2776" s="127" t="n">
        <v>46595</v>
      </c>
      <c r="G2776" s="127" t="n">
        <v>46603</v>
      </c>
      <c r="H2776" s="127" t="n">
        <v>46293</v>
      </c>
      <c r="I2776" s="4" t="n">
        <v>0</v>
      </c>
      <c r="J2776" s="4" t="n">
        <v>0</v>
      </c>
      <c r="K2776" s="4" t="n">
        <v>0</v>
      </c>
      <c r="M2776" s="2" t="str">
        <f aca="false">IF(C2776="","",IFERROR(INDEX($S$5:$S$304,MATCH(C2776,$R$5:$R$304,0))&amp;"","?"))</f>
        <v>20</v>
      </c>
      <c r="N2776" s="2" t="n">
        <f aca="false">IF(E2776="","",IF(ISNUMBER(SEARCH("SUBSOLO",E2776)),IFERROR(-VALUE(LEFT(E2776,FIND("º",SUBSTITUTE(E2776,"°","º"))-1)),-1),IF(LEFT(E2776,6)="TÉRREO",0,IFERROR(VALUE(LEFT(E2776,FIND("º",SUBSTITUTE(E2776,"°","º"))-1)),""))))</f>
        <v>-1</v>
      </c>
      <c r="O2776" s="2" t="str">
        <f aca="false">IF(OR(F2776="",G2776=""),"",IF(G2776&lt;='RETRATO 2027'!$K$5,"CONCLUÍDA",IF(F2776&lt;='RETRATO 2027'!$K$5,"EM ANDAMENTO","A INICIAR")))</f>
        <v>CONCLUÍDA</v>
      </c>
    </row>
    <row r="2777" customFormat="false" ht="15" hidden="false" customHeight="false" outlineLevel="0" collapsed="false">
      <c r="B2777" s="4" t="n">
        <v>26743704</v>
      </c>
      <c r="C2777" s="4" t="s">
        <v>214</v>
      </c>
      <c r="D2777" s="4" t="s">
        <v>433</v>
      </c>
      <c r="E2777" s="4" t="s">
        <v>3482</v>
      </c>
      <c r="F2777" s="127" t="n">
        <v>46595</v>
      </c>
      <c r="G2777" s="127" t="n">
        <v>46624</v>
      </c>
      <c r="H2777" s="127" t="n">
        <v>46293</v>
      </c>
      <c r="I2777" s="4" t="n">
        <v>0</v>
      </c>
      <c r="J2777" s="4" t="n">
        <v>0</v>
      </c>
      <c r="K2777" s="4" t="n">
        <v>0</v>
      </c>
      <c r="M2777" s="2" t="str">
        <f aca="false">IF(C2777="","",IFERROR(INDEX($S$5:$S$304,MATCH(C2777,$R$5:$R$304,0))&amp;"","?"))</f>
        <v>35</v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>CONCLUÍDA</v>
      </c>
    </row>
    <row r="2778" customFormat="false" ht="15" hidden="false" customHeight="false" outlineLevel="0" collapsed="false">
      <c r="B2778" s="4" t="n">
        <v>26745155</v>
      </c>
      <c r="C2778" s="4" t="s">
        <v>2980</v>
      </c>
      <c r="D2778" s="4" t="s">
        <v>433</v>
      </c>
      <c r="E2778" s="4" t="s">
        <v>3652</v>
      </c>
      <c r="F2778" s="127" t="n">
        <v>46595</v>
      </c>
      <c r="G2778" s="127" t="n">
        <v>46604</v>
      </c>
      <c r="H2778" s="127" t="n">
        <v>46293</v>
      </c>
      <c r="I2778" s="4" t="n">
        <v>0</v>
      </c>
      <c r="J2778" s="4" t="n">
        <v>0</v>
      </c>
      <c r="K2778" s="4" t="n">
        <v>0</v>
      </c>
      <c r="M2778" s="2" t="str">
        <f aca="false">IF(C2778="","",IFERROR(INDEX($S$5:$S$304,MATCH(C2778,$R$5:$R$304,0))&amp;"","?"))</f>
        <v>35</v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>CONCLUÍDA</v>
      </c>
    </row>
    <row r="2779" customFormat="false" ht="15" hidden="false" customHeight="false" outlineLevel="0" collapsed="false">
      <c r="B2779" s="4" t="n">
        <v>26750506</v>
      </c>
      <c r="C2779" s="4" t="s">
        <v>2951</v>
      </c>
      <c r="D2779" s="4" t="s">
        <v>433</v>
      </c>
      <c r="E2779" s="4" t="s">
        <v>3775</v>
      </c>
      <c r="F2779" s="127" t="n">
        <v>46595</v>
      </c>
      <c r="G2779" s="127" t="n">
        <v>46601</v>
      </c>
      <c r="H2779" s="127" t="n">
        <v>46293</v>
      </c>
      <c r="I2779" s="4" t="n">
        <v>0</v>
      </c>
      <c r="J2779" s="4" t="n">
        <v>0</v>
      </c>
      <c r="K2779" s="4" t="n">
        <v>0</v>
      </c>
      <c r="M2779" s="2" t="str">
        <f aca="false">IF(C2779="","",IFERROR(INDEX($S$5:$S$304,MATCH(C2779,$R$5:$R$304,0))&amp;"","?"))</f>
        <v>32</v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>CONCLUÍDA</v>
      </c>
    </row>
    <row r="2780" customFormat="false" ht="15" hidden="false" customHeight="false" outlineLevel="0" collapsed="false">
      <c r="B2780" s="4" t="n">
        <v>26745032</v>
      </c>
      <c r="C2780" s="4" t="s">
        <v>2997</v>
      </c>
      <c r="D2780" s="4" t="s">
        <v>433</v>
      </c>
      <c r="E2780" s="4" t="s">
        <v>3801</v>
      </c>
      <c r="F2780" s="127" t="n">
        <v>46595</v>
      </c>
      <c r="G2780" s="127" t="n">
        <v>46604</v>
      </c>
      <c r="H2780" s="127" t="n">
        <v>46293</v>
      </c>
      <c r="I2780" s="4" t="n">
        <v>0</v>
      </c>
      <c r="J2780" s="4" t="n">
        <v>0</v>
      </c>
      <c r="K2780" s="4" t="n">
        <v>0</v>
      </c>
      <c r="M2780" s="2" t="str">
        <f aca="false">IF(C2780="","",IFERROR(INDEX($S$5:$S$304,MATCH(C2780,$R$5:$R$304,0))&amp;"","?"))</f>
        <v>35</v>
      </c>
      <c r="N2780" s="2" t="n">
        <f aca="false">IF(E2780="","",IF(ISNUMBER(SEARCH("SUBSOLO",E2780)),IFERROR(-VALUE(LEFT(E2780,FIND("º",SUBSTITUTE(E2780,"°","º"))-1)),-1),IF(LEFT(E2780,6)="TÉRREO",0,IFERROR(VALUE(LEFT(E2780,FIND("º",SUBSTITUTE(E2780,"°","º"))-1)),""))))</f>
        <v>1</v>
      </c>
      <c r="O2780" s="2" t="str">
        <f aca="false">IF(OR(F2780="",G2780=""),"",IF(G2780&lt;='RETRATO 2027'!$K$5,"CONCLUÍDA",IF(F2780&lt;='RETRATO 2027'!$K$5,"EM ANDAMENTO","A INICIAR")))</f>
        <v>CONCLUÍDA</v>
      </c>
    </row>
    <row r="2781" customFormat="false" ht="15" hidden="false" customHeight="false" outlineLevel="0" collapsed="false">
      <c r="B2781" s="4" t="n">
        <v>26707628</v>
      </c>
      <c r="C2781" s="4" t="s">
        <v>2886</v>
      </c>
      <c r="D2781" s="4" t="s">
        <v>433</v>
      </c>
      <c r="E2781" s="4" t="s">
        <v>3811</v>
      </c>
      <c r="F2781" s="127" t="n">
        <v>46595</v>
      </c>
      <c r="G2781" s="127" t="n">
        <v>46615</v>
      </c>
      <c r="H2781" s="127" t="n">
        <v>46293</v>
      </c>
      <c r="I2781" s="4" t="n">
        <v>0</v>
      </c>
      <c r="J2781" s="4" t="n">
        <v>0</v>
      </c>
      <c r="K2781" s="4" t="n">
        <v>0</v>
      </c>
      <c r="M2781" s="2" t="str">
        <f aca="false">IF(C2781="","",IFERROR(INDEX($S$5:$S$304,MATCH(C2781,$R$5:$R$304,0))&amp;"","?"))</f>
        <v>21</v>
      </c>
      <c r="N2781" s="2" t="n">
        <f aca="false">IF(E2781="","",IF(ISNUMBER(SEARCH("SUBSOLO",E2781)),IFERROR(-VALUE(LEFT(E2781,FIND("º",SUBSTITUTE(E2781,"°","º"))-1)),-1),IF(LEFT(E2781,6)="TÉRREO",0,IFERROR(VALUE(LEFT(E2781,FIND("º",SUBSTITUTE(E2781,"°","º"))-1)),""))))</f>
        <v>2</v>
      </c>
      <c r="O2781" s="2" t="str">
        <f aca="false">IF(OR(F2781="",G2781=""),"",IF(G2781&lt;='RETRATO 2027'!$K$5,"CONCLUÍDA",IF(F2781&lt;='RETRATO 2027'!$K$5,"EM ANDAMENTO","A INICIAR")))</f>
        <v>CONCLUÍDA</v>
      </c>
    </row>
    <row r="2782" customFormat="false" ht="15" hidden="false" customHeight="false" outlineLevel="0" collapsed="false">
      <c r="B2782" s="4" t="n">
        <v>26745050</v>
      </c>
      <c r="C2782" s="4" t="s">
        <v>3021</v>
      </c>
      <c r="D2782" s="4" t="s">
        <v>433</v>
      </c>
      <c r="E2782" s="4" t="s">
        <v>3659</v>
      </c>
      <c r="F2782" s="127" t="n">
        <v>46596</v>
      </c>
      <c r="G2782" s="127" t="n">
        <v>46605</v>
      </c>
      <c r="H2782" s="127" t="n">
        <v>46293</v>
      </c>
      <c r="I2782" s="4" t="n">
        <v>0</v>
      </c>
      <c r="J2782" s="4" t="n">
        <v>0</v>
      </c>
      <c r="K2782" s="4" t="n">
        <v>0</v>
      </c>
      <c r="M2782" s="2" t="str">
        <f aca="false">IF(C2782="","",IFERROR(INDEX($S$5:$S$304,MATCH(C2782,$R$5:$R$304,0))&amp;"","?"))</f>
        <v>35</v>
      </c>
      <c r="N2782" s="2" t="n">
        <f aca="false">IF(E2782="","",IF(ISNUMBER(SEARCH("SUBSOLO",E2782)),IFERROR(-VALUE(LEFT(E2782,FIND("º",SUBSTITUTE(E2782,"°","º"))-1)),-1),IF(LEFT(E2782,6)="TÉRREO",0,IFERROR(VALUE(LEFT(E2782,FIND("º",SUBSTITUTE(E2782,"°","º"))-1)),""))))</f>
        <v>1</v>
      </c>
      <c r="O2782" s="2" t="str">
        <f aca="false">IF(OR(F2782="",G2782=""),"",IF(G2782&lt;='RETRATO 2027'!$K$5,"CONCLUÍDA",IF(F2782&lt;='RETRATO 2027'!$K$5,"EM ANDAMENTO","A INICIAR")))</f>
        <v>CONCLUÍDA</v>
      </c>
    </row>
    <row r="2783" customFormat="false" ht="15" hidden="false" customHeight="false" outlineLevel="0" collapsed="false">
      <c r="B2783" s="4" t="n">
        <v>26742933</v>
      </c>
      <c r="C2783" s="4" t="s">
        <v>2814</v>
      </c>
      <c r="D2783" s="4" t="s">
        <v>433</v>
      </c>
      <c r="E2783" s="4" t="s">
        <v>3787</v>
      </c>
      <c r="F2783" s="127" t="n">
        <v>46596</v>
      </c>
      <c r="G2783" s="127" t="n">
        <v>46603</v>
      </c>
      <c r="H2783" s="127" t="n">
        <v>46293</v>
      </c>
      <c r="I2783" s="4" t="n">
        <v>0</v>
      </c>
      <c r="J2783" s="4" t="n">
        <v>0</v>
      </c>
      <c r="K2783" s="4" t="n">
        <v>0</v>
      </c>
      <c r="M2783" s="2" t="str">
        <f aca="false">IF(C2783="","",IFERROR(INDEX($S$5:$S$304,MATCH(C2783,$R$5:$R$304,0))&amp;"","?"))</f>
        <v>28</v>
      </c>
      <c r="N2783" s="2" t="n">
        <f aca="false">IF(E2783="","",IF(ISNUMBER(SEARCH("SUBSOLO",E2783)),IFERROR(-VALUE(LEFT(E2783,FIND("º",SUBSTITUTE(E2783,"°","º"))-1)),-1),IF(LEFT(E2783,6)="TÉRREO",0,IFERROR(VALUE(LEFT(E2783,FIND("º",SUBSTITUTE(E2783,"°","º"))-1)),""))))</f>
        <v>23</v>
      </c>
      <c r="O2783" s="2" t="str">
        <f aca="false">IF(OR(F2783="",G2783=""),"",IF(G2783&lt;='RETRATO 2027'!$K$5,"CONCLUÍDA",IF(F2783&lt;='RETRATO 2027'!$K$5,"EM ANDAMENTO","A INICIAR")))</f>
        <v>CONCLUÍDA</v>
      </c>
    </row>
    <row r="2784" customFormat="false" ht="15" hidden="false" customHeight="false" outlineLevel="0" collapsed="false">
      <c r="B2784" s="4" t="n">
        <v>26742902</v>
      </c>
      <c r="C2784" s="4" t="s">
        <v>2914</v>
      </c>
      <c r="D2784" s="4" t="s">
        <v>433</v>
      </c>
      <c r="E2784" s="4" t="s">
        <v>3788</v>
      </c>
      <c r="F2784" s="127" t="n">
        <v>46596</v>
      </c>
      <c r="G2784" s="127" t="n">
        <v>46605</v>
      </c>
      <c r="H2784" s="127" t="n">
        <v>46293</v>
      </c>
      <c r="I2784" s="4" t="n">
        <v>0</v>
      </c>
      <c r="J2784" s="4" t="n">
        <v>0</v>
      </c>
      <c r="K2784" s="4" t="n">
        <v>0</v>
      </c>
      <c r="M2784" s="2" t="str">
        <f aca="false">IF(C2784="","",IFERROR(INDEX($S$5:$S$304,MATCH(C2784,$R$5:$R$304,0))&amp;"","?"))</f>
        <v>21</v>
      </c>
      <c r="N2784" s="2" t="n">
        <f aca="false">IF(E2784="","",IF(ISNUMBER(SEARCH("SUBSOLO",E2784)),IFERROR(-VALUE(LEFT(E2784,FIND("º",SUBSTITUTE(E2784,"°","º"))-1)),-1),IF(LEFT(E2784,6)="TÉRREO",0,IFERROR(VALUE(LEFT(E2784,FIND("º",SUBSTITUTE(E2784,"°","º"))-1)),""))))</f>
        <v>24</v>
      </c>
      <c r="O2784" s="2" t="str">
        <f aca="false">IF(OR(F2784="",G2784=""),"",IF(G2784&lt;='RETRATO 2027'!$K$5,"CONCLUÍDA",IF(F2784&lt;='RETRATO 2027'!$K$5,"EM ANDAMENTO","A INICIAR")))</f>
        <v>CONCLUÍDA</v>
      </c>
    </row>
    <row r="2785" customFormat="false" ht="15" hidden="false" customHeight="false" outlineLevel="0" collapsed="false">
      <c r="B2785" s="4" t="n">
        <v>26742858</v>
      </c>
      <c r="C2785" s="4" t="s">
        <v>2808</v>
      </c>
      <c r="D2785" s="4" t="s">
        <v>433</v>
      </c>
      <c r="E2785" s="4" t="s">
        <v>3794</v>
      </c>
      <c r="F2785" s="127" t="n">
        <v>46596</v>
      </c>
      <c r="G2785" s="127" t="n">
        <v>46605</v>
      </c>
      <c r="H2785" s="127" t="n">
        <v>46293</v>
      </c>
      <c r="I2785" s="4" t="n">
        <v>0</v>
      </c>
      <c r="J2785" s="4" t="n">
        <v>0</v>
      </c>
      <c r="K2785" s="4" t="n">
        <v>0</v>
      </c>
      <c r="M2785" s="2" t="str">
        <f aca="false">IF(C2785="","",IFERROR(INDEX($S$5:$S$304,MATCH(C2785,$R$5:$R$304,0))&amp;"","?"))</f>
        <v>29</v>
      </c>
      <c r="N2785" s="2" t="n">
        <f aca="false">IF(E2785="","",IF(ISNUMBER(SEARCH("SUBSOLO",E2785)),IFERROR(-VALUE(LEFT(E2785,FIND("º",SUBSTITUTE(E2785,"°","º"))-1)),-1),IF(LEFT(E2785,6)="TÉRREO",0,IFERROR(VALUE(LEFT(E2785,FIND("º",SUBSTITUTE(E2785,"°","º"))-1)),""))))</f>
        <v>25</v>
      </c>
      <c r="O2785" s="2" t="str">
        <f aca="false">IF(OR(F2785="",G2785=""),"",IF(G2785&lt;='RETRATO 2027'!$K$5,"CONCLUÍDA",IF(F2785&lt;='RETRATO 2027'!$K$5,"EM ANDAMENTO","A INICIAR")))</f>
        <v>CONCLUÍDA</v>
      </c>
    </row>
    <row r="2786" customFormat="false" ht="15" hidden="false" customHeight="false" outlineLevel="0" collapsed="false">
      <c r="B2786" s="4" t="n">
        <v>26742820</v>
      </c>
      <c r="C2786" s="4" t="s">
        <v>2910</v>
      </c>
      <c r="D2786" s="4" t="s">
        <v>433</v>
      </c>
      <c r="E2786" s="4" t="s">
        <v>3797</v>
      </c>
      <c r="F2786" s="127" t="n">
        <v>46596</v>
      </c>
      <c r="G2786" s="127" t="n">
        <v>46605</v>
      </c>
      <c r="H2786" s="127" t="n">
        <v>46293</v>
      </c>
      <c r="I2786" s="4" t="n">
        <v>0</v>
      </c>
      <c r="J2786" s="4" t="n">
        <v>0</v>
      </c>
      <c r="K2786" s="4" t="n">
        <v>0</v>
      </c>
      <c r="M2786" s="2" t="str">
        <f aca="false">IF(C2786="","",IFERROR(INDEX($S$5:$S$304,MATCH(C2786,$R$5:$R$304,0))&amp;"","?"))</f>
        <v>25</v>
      </c>
      <c r="N2786" s="2" t="n">
        <f aca="false">IF(E2786="","",IF(ISNUMBER(SEARCH("SUBSOLO",E2786)),IFERROR(-VALUE(LEFT(E2786,FIND("º",SUBSTITUTE(E2786,"°","º"))-1)),-1),IF(LEFT(E2786,6)="TÉRREO",0,IFERROR(VALUE(LEFT(E2786,FIND("º",SUBSTITUTE(E2786,"°","º"))-1)),""))))</f>
        <v>26</v>
      </c>
      <c r="O2786" s="2" t="str">
        <f aca="false">IF(OR(F2786="",G2786=""),"",IF(G2786&lt;='RETRATO 2027'!$K$5,"CONCLUÍDA",IF(F2786&lt;='RETRATO 2027'!$K$5,"EM ANDAMENTO","A INICIAR")))</f>
        <v>CONCLUÍDA</v>
      </c>
    </row>
    <row r="2787" customFormat="false" ht="15" hidden="false" customHeight="false" outlineLevel="0" collapsed="false">
      <c r="B2787" s="4" t="n">
        <v>26707653</v>
      </c>
      <c r="C2787" s="4" t="s">
        <v>2948</v>
      </c>
      <c r="D2787" s="4" t="s">
        <v>433</v>
      </c>
      <c r="E2787" s="4" t="s">
        <v>3785</v>
      </c>
      <c r="F2787" s="127" t="n">
        <v>46597</v>
      </c>
      <c r="G2787" s="127" t="n">
        <v>46617</v>
      </c>
      <c r="H2787" s="127" t="n">
        <v>46293</v>
      </c>
      <c r="I2787" s="4" t="n">
        <v>0</v>
      </c>
      <c r="J2787" s="4" t="n">
        <v>0</v>
      </c>
      <c r="K2787" s="4" t="n">
        <v>0</v>
      </c>
      <c r="M2787" s="2" t="str">
        <f aca="false">IF(C2787="","",IFERROR(INDEX($S$5:$S$304,MATCH(C2787,$R$5:$R$304,0))&amp;"","?"))</f>
        <v>25</v>
      </c>
      <c r="N2787" s="2" t="n">
        <f aca="false">IF(E2787="","",IF(ISNUMBER(SEARCH("SUBSOLO",E2787)),IFERROR(-VALUE(LEFT(E2787,FIND("º",SUBSTITUTE(E2787,"°","º"))-1)),-1),IF(LEFT(E2787,6)="TÉRREO",0,IFERROR(VALUE(LEFT(E2787,FIND("º",SUBSTITUTE(E2787,"°","º"))-1)),""))))</f>
        <v>1</v>
      </c>
      <c r="O2787" s="2" t="str">
        <f aca="false">IF(OR(F2787="",G2787=""),"",IF(G2787&lt;='RETRATO 2027'!$K$5,"CONCLUÍDA",IF(F2787&lt;='RETRATO 2027'!$K$5,"EM ANDAMENTO","A INICIAR")))</f>
        <v>CONCLUÍDA</v>
      </c>
    </row>
    <row r="2788" customFormat="false" ht="15" hidden="false" customHeight="false" outlineLevel="0" collapsed="false">
      <c r="B2788" s="4" t="n">
        <v>26742804</v>
      </c>
      <c r="C2788" s="4" t="s">
        <v>2896</v>
      </c>
      <c r="D2788" s="4" t="s">
        <v>433</v>
      </c>
      <c r="E2788" s="4" t="s">
        <v>3799</v>
      </c>
      <c r="F2788" s="127" t="n">
        <v>46597</v>
      </c>
      <c r="G2788" s="127" t="n">
        <v>46608</v>
      </c>
      <c r="H2788" s="127" t="n">
        <v>46293</v>
      </c>
      <c r="I2788" s="4" t="n">
        <v>0</v>
      </c>
      <c r="J2788" s="4" t="n">
        <v>0</v>
      </c>
      <c r="K2788" s="4" t="n">
        <v>0</v>
      </c>
      <c r="M2788" s="2" t="str">
        <f aca="false">IF(C2788="","",IFERROR(INDEX($S$5:$S$304,MATCH(C2788,$R$5:$R$304,0))&amp;"","?"))</f>
        <v>20</v>
      </c>
      <c r="N2788" s="2" t="n">
        <f aca="false">IF(E2788="","",IF(ISNUMBER(SEARCH("SUBSOLO",E2788)),IFERROR(-VALUE(LEFT(E2788,FIND("º",SUBSTITUTE(E2788,"°","º"))-1)),-1),IF(LEFT(E2788,6)="TÉRREO",0,IFERROR(VALUE(LEFT(E2788,FIND("º",SUBSTITUTE(E2788,"°","º"))-1)),""))))</f>
        <v>27</v>
      </c>
      <c r="O2788" s="2" t="str">
        <f aca="false">IF(OR(F2788="",G2788=""),"",IF(G2788&lt;='RETRATO 2027'!$K$5,"CONCLUÍDA",IF(F2788&lt;='RETRATO 2027'!$K$5,"EM ANDAMENTO","A INICIAR")))</f>
        <v>CONCLUÍDA</v>
      </c>
    </row>
    <row r="2789" customFormat="false" ht="15" hidden="false" customHeight="false" outlineLevel="0" collapsed="false">
      <c r="B2789" s="4" t="n">
        <v>29844481</v>
      </c>
      <c r="C2789" s="4" t="s">
        <v>2898</v>
      </c>
      <c r="D2789" s="4" t="s">
        <v>433</v>
      </c>
      <c r="E2789" s="4" t="s">
        <v>3799</v>
      </c>
      <c r="F2789" s="127" t="n">
        <v>46597</v>
      </c>
      <c r="G2789" s="127" t="n">
        <v>46605</v>
      </c>
      <c r="H2789" s="127" t="n">
        <v>46293</v>
      </c>
      <c r="I2789" s="4" t="n">
        <v>0</v>
      </c>
      <c r="J2789" s="4" t="n">
        <v>0</v>
      </c>
      <c r="K2789" s="4" t="n">
        <v>0</v>
      </c>
      <c r="M2789" s="2" t="str">
        <f aca="false">IF(C2789="","",IFERROR(INDEX($S$5:$S$304,MATCH(C2789,$R$5:$R$304,0))&amp;"","?"))</f>
        <v>29</v>
      </c>
      <c r="N2789" s="2" t="n">
        <f aca="false">IF(E2789="","",IF(ISNUMBER(SEARCH("SUBSOLO",E2789)),IFERROR(-VALUE(LEFT(E2789,FIND("º",SUBSTITUTE(E2789,"°","º"))-1)),-1),IF(LEFT(E2789,6)="TÉRREO",0,IFERROR(VALUE(LEFT(E2789,FIND("º",SUBSTITUTE(E2789,"°","º"))-1)),""))))</f>
        <v>27</v>
      </c>
      <c r="O2789" s="2" t="str">
        <f aca="false">IF(OR(F2789="",G2789=""),"",IF(G2789&lt;='RETRATO 2027'!$K$5,"CONCLUÍDA",IF(F2789&lt;='RETRATO 2027'!$K$5,"EM ANDAMENTO","A INICIAR")))</f>
        <v>CONCLUÍDA</v>
      </c>
    </row>
    <row r="2790" customFormat="false" ht="15" hidden="false" customHeight="false" outlineLevel="0" collapsed="false">
      <c r="B2790" s="4" t="n">
        <v>26742760</v>
      </c>
      <c r="C2790" s="4" t="s">
        <v>2886</v>
      </c>
      <c r="D2790" s="4" t="s">
        <v>433</v>
      </c>
      <c r="E2790" s="4" t="s">
        <v>3802</v>
      </c>
      <c r="F2790" s="127" t="n">
        <v>46597</v>
      </c>
      <c r="G2790" s="127" t="n">
        <v>46608</v>
      </c>
      <c r="H2790" s="127" t="n">
        <v>46293</v>
      </c>
      <c r="I2790" s="4" t="n">
        <v>0</v>
      </c>
      <c r="J2790" s="4" t="n">
        <v>0</v>
      </c>
      <c r="K2790" s="4" t="n">
        <v>0</v>
      </c>
      <c r="M2790" s="2" t="str">
        <f aca="false">IF(C2790="","",IFERROR(INDEX($S$5:$S$304,MATCH(C2790,$R$5:$R$304,0))&amp;"","?"))</f>
        <v>21</v>
      </c>
      <c r="N2790" s="2" t="n">
        <f aca="false">IF(E2790="","",IF(ISNUMBER(SEARCH("SUBSOLO",E2790)),IFERROR(-VALUE(LEFT(E2790,FIND("º",SUBSTITUTE(E2790,"°","º"))-1)),-1),IF(LEFT(E2790,6)="TÉRREO",0,IFERROR(VALUE(LEFT(E2790,FIND("º",SUBSTITUTE(E2790,"°","º"))-1)),""))))</f>
        <v>28</v>
      </c>
      <c r="O2790" s="2" t="str">
        <f aca="false">IF(OR(F2790="",G2790=""),"",IF(G2790&lt;='RETRATO 2027'!$K$5,"CONCLUÍDA",IF(F2790&lt;='RETRATO 2027'!$K$5,"EM ANDAMENTO","A INICIAR")))</f>
        <v>CONCLUÍDA</v>
      </c>
    </row>
    <row r="2791" customFormat="false" ht="15" hidden="false" customHeight="false" outlineLevel="0" collapsed="false">
      <c r="B2791" s="4" t="n">
        <v>29844657</v>
      </c>
      <c r="C2791" s="4" t="s">
        <v>2888</v>
      </c>
      <c r="D2791" s="4" t="s">
        <v>433</v>
      </c>
      <c r="E2791" s="4" t="s">
        <v>3802</v>
      </c>
      <c r="F2791" s="127" t="n">
        <v>46597</v>
      </c>
      <c r="G2791" s="127" t="n">
        <v>46608</v>
      </c>
      <c r="H2791" s="127" t="n">
        <v>46293</v>
      </c>
      <c r="I2791" s="4" t="n">
        <v>0</v>
      </c>
      <c r="J2791" s="4" t="n">
        <v>0</v>
      </c>
      <c r="K2791" s="4" t="n">
        <v>0</v>
      </c>
      <c r="M2791" s="2" t="str">
        <f aca="false">IF(C2791="","",IFERROR(INDEX($S$5:$S$304,MATCH(C2791,$R$5:$R$304,0))&amp;"","?"))</f>
        <v>20</v>
      </c>
      <c r="N2791" s="2" t="n">
        <f aca="false">IF(E2791="","",IF(ISNUMBER(SEARCH("SUBSOLO",E2791)),IFERROR(-VALUE(LEFT(E2791,FIND("º",SUBSTITUTE(E2791,"°","º"))-1)),-1),IF(LEFT(E2791,6)="TÉRREO",0,IFERROR(VALUE(LEFT(E2791,FIND("º",SUBSTITUTE(E2791,"°","º"))-1)),""))))</f>
        <v>28</v>
      </c>
      <c r="O2791" s="2" t="str">
        <f aca="false">IF(OR(F2791="",G2791=""),"",IF(G2791&lt;='RETRATO 2027'!$K$5,"CONCLUÍDA",IF(F2791&lt;='RETRATO 2027'!$K$5,"EM ANDAMENTO","A INICIAR")))</f>
        <v>CONCLUÍDA</v>
      </c>
    </row>
    <row r="2792" customFormat="false" ht="15" hidden="false" customHeight="false" outlineLevel="0" collapsed="false">
      <c r="B2792" s="4" t="n">
        <v>26714244</v>
      </c>
      <c r="C2792" s="4" t="s">
        <v>3026</v>
      </c>
      <c r="D2792" s="4" t="s">
        <v>433</v>
      </c>
      <c r="E2792" s="4" t="s">
        <v>3789</v>
      </c>
      <c r="F2792" s="127" t="n">
        <v>46597</v>
      </c>
      <c r="G2792" s="127" t="n">
        <v>46667</v>
      </c>
      <c r="H2792" s="127" t="n">
        <v>46293</v>
      </c>
      <c r="I2792" s="4" t="n">
        <v>0</v>
      </c>
      <c r="J2792" s="4" t="n">
        <v>0</v>
      </c>
      <c r="K2792" s="4" t="n">
        <v>0</v>
      </c>
      <c r="M2792" s="2" t="str">
        <f aca="false">IF(C2792="","",IFERROR(INDEX($S$5:$S$304,MATCH(C2792,$R$5:$R$304,0))&amp;"","?"))</f>
        <v>32</v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>CONCLUÍDA</v>
      </c>
    </row>
    <row r="2793" customFormat="false" ht="15" hidden="false" customHeight="false" outlineLevel="0" collapsed="false">
      <c r="B2793" s="4" t="n">
        <v>26707711</v>
      </c>
      <c r="C2793" s="4" t="s">
        <v>2971</v>
      </c>
      <c r="D2793" s="4" t="s">
        <v>433</v>
      </c>
      <c r="E2793" s="4" t="s">
        <v>3766</v>
      </c>
      <c r="F2793" s="127" t="n">
        <v>46598</v>
      </c>
      <c r="G2793" s="127" t="n">
        <v>46611</v>
      </c>
      <c r="H2793" s="127" t="n">
        <v>46293</v>
      </c>
      <c r="I2793" s="4" t="n">
        <v>0</v>
      </c>
      <c r="J2793" s="4" t="n">
        <v>0</v>
      </c>
      <c r="K2793" s="4" t="n">
        <v>0</v>
      </c>
      <c r="M2793" s="2" t="str">
        <f aca="false">IF(C2793="","",IFERROR(INDEX($S$5:$S$304,MATCH(C2793,$R$5:$R$304,0))&amp;"","?"))</f>
        <v>37</v>
      </c>
      <c r="N2793" s="2" t="n">
        <f aca="false">IF(E2793="","",IF(ISNUMBER(SEARCH("SUBSOLO",E2793)),IFERROR(-VALUE(LEFT(E2793,FIND("º",SUBSTITUTE(E2793,"°","º"))-1)),-1),IF(LEFT(E2793,6)="TÉRREO",0,IFERROR(VALUE(LEFT(E2793,FIND("º",SUBSTITUTE(E2793,"°","º"))-1)),""))))</f>
        <v>1</v>
      </c>
      <c r="O2793" s="2" t="str">
        <f aca="false">IF(OR(F2793="",G2793=""),"",IF(G2793&lt;='RETRATO 2027'!$K$5,"CONCLUÍDA",IF(F2793&lt;='RETRATO 2027'!$K$5,"EM ANDAMENTO","A INICIAR")))</f>
        <v>CONCLUÍDA</v>
      </c>
    </row>
    <row r="2794" customFormat="false" ht="15" hidden="false" customHeight="false" outlineLevel="0" collapsed="false">
      <c r="B2794" s="4" t="n">
        <v>26707692</v>
      </c>
      <c r="C2794" s="4" t="s">
        <v>3021</v>
      </c>
      <c r="D2794" s="4" t="s">
        <v>433</v>
      </c>
      <c r="E2794" s="4" t="s">
        <v>3772</v>
      </c>
      <c r="F2794" s="127" t="n">
        <v>46598</v>
      </c>
      <c r="G2794" s="127" t="n">
        <v>46618</v>
      </c>
      <c r="H2794" s="127" t="n">
        <v>46293</v>
      </c>
      <c r="I2794" s="4" t="n">
        <v>0</v>
      </c>
      <c r="J2794" s="4" t="n">
        <v>0</v>
      </c>
      <c r="K2794" s="4" t="n">
        <v>0</v>
      </c>
      <c r="M2794" s="2" t="str">
        <f aca="false">IF(C2794="","",IFERROR(INDEX($S$5:$S$304,MATCH(C2794,$R$5:$R$304,0))&amp;"","?"))</f>
        <v>35</v>
      </c>
      <c r="N2794" s="2" t="n">
        <f aca="false">IF(E2794="","",IF(ISNUMBER(SEARCH("SUBSOLO",E2794)),IFERROR(-VALUE(LEFT(E2794,FIND("º",SUBSTITUTE(E2794,"°","º"))-1)),-1),IF(LEFT(E2794,6)="TÉRREO",0,IFERROR(VALUE(LEFT(E2794,FIND("º",SUBSTITUTE(E2794,"°","º"))-1)),""))))</f>
        <v>1</v>
      </c>
      <c r="O2794" s="2" t="str">
        <f aca="false">IF(OR(F2794="",G2794=""),"",IF(G2794&lt;='RETRATO 2027'!$K$5,"CONCLUÍDA",IF(F2794&lt;='RETRATO 2027'!$K$5,"EM ANDAMENTO","A INICIAR")))</f>
        <v>CONCLUÍDA</v>
      </c>
    </row>
    <row r="2795" customFormat="false" ht="15" hidden="false" customHeight="false" outlineLevel="0" collapsed="false">
      <c r="B2795" s="4" t="n">
        <v>26743348</v>
      </c>
      <c r="C2795" s="4" t="s">
        <v>2997</v>
      </c>
      <c r="D2795" s="4" t="s">
        <v>433</v>
      </c>
      <c r="E2795" s="4" t="s">
        <v>3763</v>
      </c>
      <c r="F2795" s="127" t="n">
        <v>46601</v>
      </c>
      <c r="G2795" s="127" t="n">
        <v>46610</v>
      </c>
      <c r="H2795" s="127" t="n">
        <v>46293</v>
      </c>
      <c r="I2795" s="4" t="n">
        <v>0</v>
      </c>
      <c r="J2795" s="4" t="n">
        <v>0</v>
      </c>
      <c r="K2795" s="4" t="n">
        <v>0</v>
      </c>
      <c r="M2795" s="2" t="str">
        <f aca="false">IF(C2795="","",IFERROR(INDEX($S$5:$S$304,MATCH(C2795,$R$5:$R$304,0))&amp;"","?"))</f>
        <v>35</v>
      </c>
      <c r="N2795" s="2" t="n">
        <f aca="false">IF(E2795="","",IF(ISNUMBER(SEARCH("SUBSOLO",E2795)),IFERROR(-VALUE(LEFT(E2795,FIND("º",SUBSTITUTE(E2795,"°","º"))-1)),-1),IF(LEFT(E2795,6)="TÉRREO",0,IFERROR(VALUE(LEFT(E2795,FIND("º",SUBSTITUTE(E2795,"°","º"))-1)),""))))</f>
        <v>12</v>
      </c>
      <c r="O2795" s="2" t="str">
        <f aca="false">IF(OR(F2795="",G2795=""),"",IF(G2795&lt;='RETRATO 2027'!$K$5,"CONCLUÍDA",IF(F2795&lt;='RETRATO 2027'!$K$5,"EM ANDAMENTO","A INICIAR")))</f>
        <v>CONCLUÍDA</v>
      </c>
    </row>
    <row r="2796" customFormat="false" ht="15" hidden="false" customHeight="false" outlineLevel="0" collapsed="false">
      <c r="B2796" s="4" t="n">
        <v>26743310</v>
      </c>
      <c r="C2796" s="4" t="s">
        <v>2980</v>
      </c>
      <c r="D2796" s="4" t="s">
        <v>433</v>
      </c>
      <c r="E2796" s="4" t="s">
        <v>3764</v>
      </c>
      <c r="F2796" s="127" t="n">
        <v>46601</v>
      </c>
      <c r="G2796" s="127" t="n">
        <v>46610</v>
      </c>
      <c r="H2796" s="127" t="n">
        <v>46293</v>
      </c>
      <c r="I2796" s="4" t="n">
        <v>0</v>
      </c>
      <c r="J2796" s="4" t="n">
        <v>0</v>
      </c>
      <c r="K2796" s="4" t="n">
        <v>0</v>
      </c>
      <c r="M2796" s="2" t="str">
        <f aca="false">IF(C2796="","",IFERROR(INDEX($S$5:$S$304,MATCH(C2796,$R$5:$R$304,0))&amp;"","?"))</f>
        <v>35</v>
      </c>
      <c r="N2796" s="2" t="n">
        <f aca="false">IF(E2796="","",IF(ISNUMBER(SEARCH("SUBSOLO",E2796)),IFERROR(-VALUE(LEFT(E2796,FIND("º",SUBSTITUTE(E2796,"°","º"))-1)),-1),IF(LEFT(E2796,6)="TÉRREO",0,IFERROR(VALUE(LEFT(E2796,FIND("º",SUBSTITUTE(E2796,"°","º"))-1)),""))))</f>
        <v>13</v>
      </c>
      <c r="O2796" s="2" t="str">
        <f aca="false">IF(OR(F2796="",G2796=""),"",IF(G2796&lt;='RETRATO 2027'!$K$5,"CONCLUÍDA",IF(F2796&lt;='RETRATO 2027'!$K$5,"EM ANDAMENTO","A INICIAR")))</f>
        <v>CONCLUÍDA</v>
      </c>
    </row>
    <row r="2797" customFormat="false" ht="15" hidden="false" customHeight="false" outlineLevel="0" collapsed="false">
      <c r="B2797" s="4" t="n">
        <v>26743280</v>
      </c>
      <c r="C2797" s="4" t="s">
        <v>208</v>
      </c>
      <c r="D2797" s="4" t="s">
        <v>433</v>
      </c>
      <c r="E2797" s="4" t="s">
        <v>3765</v>
      </c>
      <c r="F2797" s="127" t="n">
        <v>46601</v>
      </c>
      <c r="G2797" s="127" t="n">
        <v>46610</v>
      </c>
      <c r="H2797" s="127" t="n">
        <v>46293</v>
      </c>
      <c r="I2797" s="4" t="n">
        <v>0</v>
      </c>
      <c r="J2797" s="4" t="n">
        <v>0</v>
      </c>
      <c r="K2797" s="4" t="n">
        <v>0</v>
      </c>
      <c r="M2797" s="2" t="str">
        <f aca="false">IF(C2797="","",IFERROR(INDEX($S$5:$S$304,MATCH(C2797,$R$5:$R$304,0))&amp;"","?"))</f>
        <v>33</v>
      </c>
      <c r="N2797" s="2" t="n">
        <f aca="false">IF(E2797="","",IF(ISNUMBER(SEARCH("SUBSOLO",E2797)),IFERROR(-VALUE(LEFT(E2797,FIND("º",SUBSTITUTE(E2797,"°","º"))-1)),-1),IF(LEFT(E2797,6)="TÉRREO",0,IFERROR(VALUE(LEFT(E2797,FIND("º",SUBSTITUTE(E2797,"°","º"))-1)),""))))</f>
        <v>14</v>
      </c>
      <c r="O2797" s="2" t="str">
        <f aca="false">IF(OR(F2797="",G2797=""),"",IF(G2797&lt;='RETRATO 2027'!$K$5,"CONCLUÍDA",IF(F2797&lt;='RETRATO 2027'!$K$5,"EM ANDAMENTO","A INICIAR")))</f>
        <v>CONCLUÍDA</v>
      </c>
    </row>
    <row r="2798" customFormat="false" ht="15" hidden="false" customHeight="false" outlineLevel="0" collapsed="false">
      <c r="B2798" s="4" t="n">
        <v>29844396</v>
      </c>
      <c r="C2798" s="4" t="s">
        <v>2890</v>
      </c>
      <c r="D2798" s="4" t="s">
        <v>433</v>
      </c>
      <c r="E2798" s="4" t="s">
        <v>3802</v>
      </c>
      <c r="F2798" s="127" t="n">
        <v>46601</v>
      </c>
      <c r="G2798" s="127" t="n">
        <v>46610</v>
      </c>
      <c r="H2798" s="127" t="n">
        <v>46293</v>
      </c>
      <c r="I2798" s="4" t="n">
        <v>0</v>
      </c>
      <c r="J2798" s="4" t="n">
        <v>0</v>
      </c>
      <c r="K2798" s="4" t="n">
        <v>0</v>
      </c>
      <c r="M2798" s="2" t="str">
        <f aca="false">IF(C2798="","",IFERROR(INDEX($S$5:$S$304,MATCH(C2798,$R$5:$R$304,0))&amp;"","?"))</f>
        <v>18</v>
      </c>
      <c r="N2798" s="2" t="n">
        <f aca="false">IF(E2798="","",IF(ISNUMBER(SEARCH("SUBSOLO",E2798)),IFERROR(-VALUE(LEFT(E2798,FIND("º",SUBSTITUTE(E2798,"°","º"))-1)),-1),IF(LEFT(E2798,6)="TÉRREO",0,IFERROR(VALUE(LEFT(E2798,FIND("º",SUBSTITUTE(E2798,"°","º"))-1)),""))))</f>
        <v>28</v>
      </c>
      <c r="O2798" s="2" t="str">
        <f aca="false">IF(OR(F2798="",G2798=""),"",IF(G2798&lt;='RETRATO 2027'!$K$5,"CONCLUÍDA",IF(F2798&lt;='RETRATO 2027'!$K$5,"EM ANDAMENTO","A INICIAR")))</f>
        <v>CONCLUÍDA</v>
      </c>
    </row>
    <row r="2799" customFormat="false" ht="15" hidden="false" customHeight="false" outlineLevel="0" collapsed="false">
      <c r="B2799" s="4" t="n">
        <v>26750512</v>
      </c>
      <c r="C2799" s="4" t="s">
        <v>208</v>
      </c>
      <c r="D2799" s="4" t="s">
        <v>433</v>
      </c>
      <c r="E2799" s="4" t="s">
        <v>3767</v>
      </c>
      <c r="F2799" s="127" t="n">
        <v>46602</v>
      </c>
      <c r="G2799" s="127" t="n">
        <v>46608</v>
      </c>
      <c r="H2799" s="127" t="n">
        <v>46293</v>
      </c>
      <c r="I2799" s="4" t="n">
        <v>0</v>
      </c>
      <c r="J2799" s="4" t="n">
        <v>0</v>
      </c>
      <c r="K2799" s="4" t="n">
        <v>0</v>
      </c>
      <c r="M2799" s="2" t="str">
        <f aca="false">IF(C2799="","",IFERROR(INDEX($S$5:$S$304,MATCH(C2799,$R$5:$R$304,0))&amp;"","?"))</f>
        <v>33</v>
      </c>
      <c r="N2799" s="2" t="n">
        <f aca="false">IF(E2799="","",IF(ISNUMBER(SEARCH("SUBSOLO",E2799)),IFERROR(-VALUE(LEFT(E2799,FIND("º",SUBSTITUTE(E2799,"°","º"))-1)),-1),IF(LEFT(E2799,6)="TÉRREO",0,IFERROR(VALUE(LEFT(E2799,FIND("º",SUBSTITUTE(E2799,"°","º"))-1)),""))))</f>
        <v>-1</v>
      </c>
      <c r="O2799" s="2" t="str">
        <f aca="false">IF(OR(F2799="",G2799=""),"",IF(G2799&lt;='RETRATO 2027'!$K$5,"CONCLUÍDA",IF(F2799&lt;='RETRATO 2027'!$K$5,"EM ANDAMENTO","A INICIAR")))</f>
        <v>CONCLUÍDA</v>
      </c>
    </row>
    <row r="2800" customFormat="false" ht="15" hidden="false" customHeight="false" outlineLevel="0" collapsed="false">
      <c r="B2800" s="4" t="n">
        <v>26750507</v>
      </c>
      <c r="C2800" s="4" t="s">
        <v>214</v>
      </c>
      <c r="D2800" s="4" t="s">
        <v>433</v>
      </c>
      <c r="E2800" s="4" t="s">
        <v>3775</v>
      </c>
      <c r="F2800" s="127" t="n">
        <v>46602</v>
      </c>
      <c r="G2800" s="127" t="n">
        <v>46608</v>
      </c>
      <c r="H2800" s="127" t="n">
        <v>46293</v>
      </c>
      <c r="I2800" s="4" t="n">
        <v>0</v>
      </c>
      <c r="J2800" s="4" t="n">
        <v>0</v>
      </c>
      <c r="K2800" s="4" t="n">
        <v>0</v>
      </c>
      <c r="M2800" s="2" t="str">
        <f aca="false">IF(C2800="","",IFERROR(INDEX($S$5:$S$304,MATCH(C2800,$R$5:$R$304,0))&amp;"","?"))</f>
        <v>35</v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>CONCLUÍDA</v>
      </c>
    </row>
    <row r="2801" customFormat="false" ht="15" hidden="false" customHeight="false" outlineLevel="0" collapsed="false">
      <c r="B2801" s="4" t="n">
        <v>29845962</v>
      </c>
      <c r="C2801" s="4" t="s">
        <v>2983</v>
      </c>
      <c r="D2801" s="4" t="s">
        <v>433</v>
      </c>
      <c r="E2801" s="4" t="s">
        <v>3768</v>
      </c>
      <c r="F2801" s="127" t="n">
        <v>46602</v>
      </c>
      <c r="G2801" s="127" t="n">
        <v>46610</v>
      </c>
      <c r="H2801" s="127" t="n">
        <v>46293</v>
      </c>
      <c r="I2801" s="4" t="n">
        <v>0</v>
      </c>
      <c r="J2801" s="4" t="n">
        <v>0</v>
      </c>
      <c r="K2801" s="4" t="n">
        <v>0</v>
      </c>
      <c r="M2801" s="2" t="str">
        <f aca="false">IF(C2801="","",IFERROR(INDEX($S$5:$S$304,MATCH(C2801,$R$5:$R$304,0))&amp;"","?"))</f>
        <v>20</v>
      </c>
      <c r="N2801" s="2" t="n">
        <f aca="false">IF(E2801="","",IF(ISNUMBER(SEARCH("SUBSOLO",E2801)),IFERROR(-VALUE(LEFT(E2801,FIND("º",SUBSTITUTE(E2801,"°","º"))-1)),-1),IF(LEFT(E2801,6)="TÉRREO",0,IFERROR(VALUE(LEFT(E2801,FIND("º",SUBSTITUTE(E2801,"°","º"))-1)),""))))</f>
        <v>15</v>
      </c>
      <c r="O2801" s="2" t="str">
        <f aca="false">IF(OR(F2801="",G2801=""),"",IF(G2801&lt;='RETRATO 2027'!$K$5,"CONCLUÍDA",IF(F2801&lt;='RETRATO 2027'!$K$5,"EM ANDAMENTO","A INICIAR")))</f>
        <v>CONCLUÍDA</v>
      </c>
    </row>
    <row r="2802" customFormat="false" ht="15" hidden="false" customHeight="false" outlineLevel="0" collapsed="false">
      <c r="B2802" s="4" t="n">
        <v>29845901</v>
      </c>
      <c r="C2802" s="4" t="s">
        <v>2986</v>
      </c>
      <c r="D2802" s="4" t="s">
        <v>433</v>
      </c>
      <c r="E2802" s="4" t="s">
        <v>3768</v>
      </c>
      <c r="F2802" s="127" t="n">
        <v>46602</v>
      </c>
      <c r="G2802" s="127" t="n">
        <v>46611</v>
      </c>
      <c r="H2802" s="127" t="n">
        <v>46293</v>
      </c>
      <c r="I2802" s="4" t="n">
        <v>0</v>
      </c>
      <c r="J2802" s="4" t="n">
        <v>0</v>
      </c>
      <c r="K2802" s="4" t="n">
        <v>0</v>
      </c>
      <c r="M2802" s="2" t="str">
        <f aca="false">IF(C2802="","",IFERROR(INDEX($S$5:$S$304,MATCH(C2802,$R$5:$R$304,0))&amp;"","?"))</f>
        <v>20</v>
      </c>
      <c r="N2802" s="2" t="n">
        <f aca="false">IF(E2802="","",IF(ISNUMBER(SEARCH("SUBSOLO",E2802)),IFERROR(-VALUE(LEFT(E2802,FIND("º",SUBSTITUTE(E2802,"°","º"))-1)),-1),IF(LEFT(E2802,6)="TÉRREO",0,IFERROR(VALUE(LEFT(E2802,FIND("º",SUBSTITUTE(E2802,"°","º"))-1)),""))))</f>
        <v>15</v>
      </c>
      <c r="O2802" s="2" t="str">
        <f aca="false">IF(OR(F2802="",G2802=""),"",IF(G2802&lt;='RETRATO 2027'!$K$5,"CONCLUÍDA",IF(F2802&lt;='RETRATO 2027'!$K$5,"EM ANDAMENTO","A INICIAR")))</f>
        <v>CONCLUÍDA</v>
      </c>
    </row>
    <row r="2803" customFormat="false" ht="15" hidden="false" customHeight="false" outlineLevel="0" collapsed="false">
      <c r="B2803" s="4" t="n">
        <v>26743164</v>
      </c>
      <c r="C2803" s="4" t="s">
        <v>2935</v>
      </c>
      <c r="D2803" s="4" t="s">
        <v>433</v>
      </c>
      <c r="E2803" s="4" t="s">
        <v>3773</v>
      </c>
      <c r="F2803" s="127" t="n">
        <v>46602</v>
      </c>
      <c r="G2803" s="127" t="n">
        <v>46611</v>
      </c>
      <c r="H2803" s="127" t="n">
        <v>46293</v>
      </c>
      <c r="I2803" s="4" t="n">
        <v>0</v>
      </c>
      <c r="J2803" s="4" t="n">
        <v>0</v>
      </c>
      <c r="K2803" s="4" t="n">
        <v>0</v>
      </c>
      <c r="M2803" s="2" t="str">
        <f aca="false">IF(C2803="","",IFERROR(INDEX($S$5:$S$304,MATCH(C2803,$R$5:$R$304,0))&amp;"","?"))</f>
        <v>30</v>
      </c>
      <c r="N2803" s="2" t="n">
        <f aca="false">IF(E2803="","",IF(ISNUMBER(SEARCH("SUBSOLO",E2803)),IFERROR(-VALUE(LEFT(E2803,FIND("º",SUBSTITUTE(E2803,"°","º"))-1)),-1),IF(LEFT(E2803,6)="TÉRREO",0,IFERROR(VALUE(LEFT(E2803,FIND("º",SUBSTITUTE(E2803,"°","º"))-1)),""))))</f>
        <v>17</v>
      </c>
      <c r="O2803" s="2" t="str">
        <f aca="false">IF(OR(F2803="",G2803=""),"",IF(G2803&lt;='RETRATO 2027'!$K$5,"CONCLUÍDA",IF(F2803&lt;='RETRATO 2027'!$K$5,"EM ANDAMENTO","A INICIAR")))</f>
        <v>CONCLUÍDA</v>
      </c>
    </row>
    <row r="2804" customFormat="false" ht="15" hidden="false" customHeight="false" outlineLevel="0" collapsed="false">
      <c r="B2804" s="4" t="n">
        <v>26743111</v>
      </c>
      <c r="C2804" s="4" t="s">
        <v>2938</v>
      </c>
      <c r="D2804" s="4" t="s">
        <v>433</v>
      </c>
      <c r="E2804" s="4" t="s">
        <v>3776</v>
      </c>
      <c r="F2804" s="127" t="n">
        <v>46602</v>
      </c>
      <c r="G2804" s="127" t="n">
        <v>46611</v>
      </c>
      <c r="H2804" s="127" t="n">
        <v>46293</v>
      </c>
      <c r="I2804" s="4" t="n">
        <v>0</v>
      </c>
      <c r="J2804" s="4" t="n">
        <v>0</v>
      </c>
      <c r="K2804" s="4" t="n">
        <v>0</v>
      </c>
      <c r="M2804" s="2" t="str">
        <f aca="false">IF(C2804="","",IFERROR(INDEX($S$5:$S$304,MATCH(C2804,$R$5:$R$304,0))&amp;"","?"))</f>
        <v>30</v>
      </c>
      <c r="N2804" s="2" t="n">
        <f aca="false">IF(E2804="","",IF(ISNUMBER(SEARCH("SUBSOLO",E2804)),IFERROR(-VALUE(LEFT(E2804,FIND("º",SUBSTITUTE(E2804,"°","º"))-1)),-1),IF(LEFT(E2804,6)="TÉRREO",0,IFERROR(VALUE(LEFT(E2804,FIND("º",SUBSTITUTE(E2804,"°","º"))-1)),""))))</f>
        <v>18</v>
      </c>
      <c r="O2804" s="2" t="str">
        <f aca="false">IF(OR(F2804="",G2804=""),"",IF(G2804&lt;='RETRATO 2027'!$K$5,"CONCLUÍDA",IF(F2804&lt;='RETRATO 2027'!$K$5,"EM ANDAMENTO","A INICIAR")))</f>
        <v>CONCLUÍDA</v>
      </c>
    </row>
    <row r="2805" customFormat="false" ht="15" hidden="false" customHeight="false" outlineLevel="0" collapsed="false">
      <c r="B2805" s="4" t="n">
        <v>26743073</v>
      </c>
      <c r="C2805" s="4" t="s">
        <v>166</v>
      </c>
      <c r="D2805" s="4" t="s">
        <v>433</v>
      </c>
      <c r="E2805" s="4" t="s">
        <v>3779</v>
      </c>
      <c r="F2805" s="127" t="n">
        <v>46602</v>
      </c>
      <c r="G2805" s="127" t="n">
        <v>46611</v>
      </c>
      <c r="H2805" s="127" t="n">
        <v>46293</v>
      </c>
      <c r="I2805" s="4" t="n">
        <v>0</v>
      </c>
      <c r="J2805" s="4" t="n">
        <v>0</v>
      </c>
      <c r="K2805" s="4" t="n">
        <v>0</v>
      </c>
      <c r="M2805" s="2" t="str">
        <f aca="false">IF(C2805="","",IFERROR(INDEX($S$5:$S$304,MATCH(C2805,$R$5:$R$304,0))&amp;"","?"))</f>
        <v>19</v>
      </c>
      <c r="N2805" s="2" t="n">
        <f aca="false">IF(E2805="","",IF(ISNUMBER(SEARCH("SUBSOLO",E2805)),IFERROR(-VALUE(LEFT(E2805,FIND("º",SUBSTITUTE(E2805,"°","º"))-1)),-1),IF(LEFT(E2805,6)="TÉRREO",0,IFERROR(VALUE(LEFT(E2805,FIND("º",SUBSTITUTE(E2805,"°","º"))-1)),""))))</f>
        <v>19</v>
      </c>
      <c r="O2805" s="2" t="str">
        <f aca="false">IF(OR(F2805="",G2805=""),"",IF(G2805&lt;='RETRATO 2027'!$K$5,"CONCLUÍDA",IF(F2805&lt;='RETRATO 2027'!$K$5,"EM ANDAMENTO","A INICIAR")))</f>
        <v>CONCLUÍDA</v>
      </c>
    </row>
    <row r="2806" customFormat="false" ht="15" hidden="false" customHeight="false" outlineLevel="0" collapsed="false">
      <c r="B2806" s="4" t="n">
        <v>26743046</v>
      </c>
      <c r="C2806" s="4" t="s">
        <v>2941</v>
      </c>
      <c r="D2806" s="4" t="s">
        <v>433</v>
      </c>
      <c r="E2806" s="4" t="s">
        <v>3781</v>
      </c>
      <c r="F2806" s="127" t="n">
        <v>46602</v>
      </c>
      <c r="G2806" s="127" t="n">
        <v>46611</v>
      </c>
      <c r="H2806" s="127" t="n">
        <v>46293</v>
      </c>
      <c r="I2806" s="4" t="n">
        <v>0</v>
      </c>
      <c r="J2806" s="4" t="n">
        <v>0</v>
      </c>
      <c r="K2806" s="4" t="n">
        <v>0</v>
      </c>
      <c r="M2806" s="2" t="str">
        <f aca="false">IF(C2806="","",IFERROR(INDEX($S$5:$S$304,MATCH(C2806,$R$5:$R$304,0))&amp;"","?"))</f>
        <v>18</v>
      </c>
      <c r="N2806" s="2" t="n">
        <f aca="false">IF(E2806="","",IF(ISNUMBER(SEARCH("SUBSOLO",E2806)),IFERROR(-VALUE(LEFT(E2806,FIND("º",SUBSTITUTE(E2806,"°","º"))-1)),-1),IF(LEFT(E2806,6)="TÉRREO",0,IFERROR(VALUE(LEFT(E2806,FIND("º",SUBSTITUTE(E2806,"°","º"))-1)),""))))</f>
        <v>20</v>
      </c>
      <c r="O2806" s="2" t="str">
        <f aca="false">IF(OR(F2806="",G2806=""),"",IF(G2806&lt;='RETRATO 2027'!$K$5,"CONCLUÍDA",IF(F2806&lt;='RETRATO 2027'!$K$5,"EM ANDAMENTO","A INICIAR")))</f>
        <v>CONCLUÍDA</v>
      </c>
    </row>
    <row r="2807" customFormat="false" ht="15" hidden="false" customHeight="false" outlineLevel="0" collapsed="false">
      <c r="B2807" s="4" t="n">
        <v>26743010</v>
      </c>
      <c r="C2807" s="4" t="s">
        <v>2924</v>
      </c>
      <c r="D2807" s="4" t="s">
        <v>433</v>
      </c>
      <c r="E2807" s="4" t="s">
        <v>3783</v>
      </c>
      <c r="F2807" s="127" t="n">
        <v>46602</v>
      </c>
      <c r="G2807" s="127" t="n">
        <v>46611</v>
      </c>
      <c r="H2807" s="127" t="n">
        <v>46293</v>
      </c>
      <c r="I2807" s="4" t="n">
        <v>0</v>
      </c>
      <c r="J2807" s="4" t="n">
        <v>0</v>
      </c>
      <c r="K2807" s="4" t="n">
        <v>0</v>
      </c>
      <c r="M2807" s="2" t="str">
        <f aca="false">IF(C2807="","",IFERROR(INDEX($S$5:$S$304,MATCH(C2807,$R$5:$R$304,0))&amp;"","?"))</f>
        <v>21</v>
      </c>
      <c r="N2807" s="2" t="n">
        <f aca="false">IF(E2807="","",IF(ISNUMBER(SEARCH("SUBSOLO",E2807)),IFERROR(-VALUE(LEFT(E2807,FIND("º",SUBSTITUTE(E2807,"°","º"))-1)),-1),IF(LEFT(E2807,6)="TÉRREO",0,IFERROR(VALUE(LEFT(E2807,FIND("º",SUBSTITUTE(E2807,"°","º"))-1)),""))))</f>
        <v>21</v>
      </c>
      <c r="O2807" s="2" t="str">
        <f aca="false">IF(OR(F2807="",G2807=""),"",IF(G2807&lt;='RETRATO 2027'!$K$5,"CONCLUÍDA",IF(F2807&lt;='RETRATO 2027'!$K$5,"EM ANDAMENTO","A INICIAR")))</f>
        <v>CONCLUÍDA</v>
      </c>
    </row>
    <row r="2808" customFormat="false" ht="15" hidden="false" customHeight="false" outlineLevel="0" collapsed="false">
      <c r="B2808" s="4" t="n">
        <v>26742993</v>
      </c>
      <c r="C2808" s="4" t="s">
        <v>2926</v>
      </c>
      <c r="D2808" s="4" t="s">
        <v>433</v>
      </c>
      <c r="E2808" s="4" t="s">
        <v>3783</v>
      </c>
      <c r="F2808" s="127" t="n">
        <v>46602</v>
      </c>
      <c r="G2808" s="127" t="n">
        <v>46611</v>
      </c>
      <c r="H2808" s="127" t="n">
        <v>46293</v>
      </c>
      <c r="I2808" s="4" t="n">
        <v>0</v>
      </c>
      <c r="J2808" s="4" t="n">
        <v>0</v>
      </c>
      <c r="K2808" s="4" t="n">
        <v>0</v>
      </c>
      <c r="M2808" s="2" t="str">
        <f aca="false">IF(C2808="","",IFERROR(INDEX($S$5:$S$304,MATCH(C2808,$R$5:$R$304,0))&amp;"","?"))</f>
        <v>20</v>
      </c>
      <c r="N2808" s="2" t="n">
        <f aca="false">IF(E2808="","",IF(ISNUMBER(SEARCH("SUBSOLO",E2808)),IFERROR(-VALUE(LEFT(E2808,FIND("º",SUBSTITUTE(E2808,"°","º"))-1)),-1),IF(LEFT(E2808,6)="TÉRREO",0,IFERROR(VALUE(LEFT(E2808,FIND("º",SUBSTITUTE(E2808,"°","º"))-1)),""))))</f>
        <v>21</v>
      </c>
      <c r="O2808" s="2" t="str">
        <f aca="false">IF(OR(F2808="",G2808=""),"",IF(G2808&lt;='RETRATO 2027'!$K$5,"CONCLUÍDA",IF(F2808&lt;='RETRATO 2027'!$K$5,"EM ANDAMENTO","A INICIAR")))</f>
        <v>CONCLUÍDA</v>
      </c>
    </row>
    <row r="2809" customFormat="false" ht="15" hidden="false" customHeight="false" outlineLevel="0" collapsed="false">
      <c r="B2809" s="4" t="n">
        <v>26742992</v>
      </c>
      <c r="C2809" s="4" t="s">
        <v>2928</v>
      </c>
      <c r="D2809" s="4" t="s">
        <v>433</v>
      </c>
      <c r="E2809" s="4" t="s">
        <v>3783</v>
      </c>
      <c r="F2809" s="127" t="n">
        <v>46602</v>
      </c>
      <c r="G2809" s="127" t="n">
        <v>46611</v>
      </c>
      <c r="H2809" s="127" t="n">
        <v>46293</v>
      </c>
      <c r="I2809" s="4" t="n">
        <v>0</v>
      </c>
      <c r="J2809" s="4" t="n">
        <v>0</v>
      </c>
      <c r="K2809" s="4" t="n">
        <v>0</v>
      </c>
      <c r="M2809" s="2" t="str">
        <f aca="false">IF(C2809="","",IFERROR(INDEX($S$5:$S$304,MATCH(C2809,$R$5:$R$304,0))&amp;"","?"))</f>
        <v>23</v>
      </c>
      <c r="N2809" s="2" t="n">
        <f aca="false">IF(E2809="","",IF(ISNUMBER(SEARCH("SUBSOLO",E2809)),IFERROR(-VALUE(LEFT(E2809,FIND("º",SUBSTITUTE(E2809,"°","º"))-1)),-1),IF(LEFT(E2809,6)="TÉRREO",0,IFERROR(VALUE(LEFT(E2809,FIND("º",SUBSTITUTE(E2809,"°","º"))-1)),""))))</f>
        <v>21</v>
      </c>
      <c r="O2809" s="2" t="str">
        <f aca="false">IF(OR(F2809="",G2809=""),"",IF(G2809&lt;='RETRATO 2027'!$K$5,"CONCLUÍDA",IF(F2809&lt;='RETRATO 2027'!$K$5,"EM ANDAMENTO","A INICIAR")))</f>
        <v>CONCLUÍDA</v>
      </c>
    </row>
    <row r="2810" customFormat="false" ht="15" hidden="false" customHeight="false" outlineLevel="0" collapsed="false">
      <c r="B2810" s="4" t="n">
        <v>26743011</v>
      </c>
      <c r="C2810" s="4" t="s">
        <v>2930</v>
      </c>
      <c r="D2810" s="4" t="s">
        <v>433</v>
      </c>
      <c r="E2810" s="4" t="s">
        <v>3783</v>
      </c>
      <c r="F2810" s="127" t="n">
        <v>46602</v>
      </c>
      <c r="G2810" s="127" t="n">
        <v>46611</v>
      </c>
      <c r="H2810" s="127" t="n">
        <v>46293</v>
      </c>
      <c r="I2810" s="4" t="n">
        <v>0</v>
      </c>
      <c r="J2810" s="4" t="n">
        <v>0</v>
      </c>
      <c r="K2810" s="4" t="n">
        <v>0</v>
      </c>
      <c r="M2810" s="2" t="str">
        <f aca="false">IF(C2810="","",IFERROR(INDEX($S$5:$S$304,MATCH(C2810,$R$5:$R$304,0))&amp;"","?"))</f>
        <v>21</v>
      </c>
      <c r="N2810" s="2" t="n">
        <f aca="false">IF(E2810="","",IF(ISNUMBER(SEARCH("SUBSOLO",E2810)),IFERROR(-VALUE(LEFT(E2810,FIND("º",SUBSTITUTE(E2810,"°","º"))-1)),-1),IF(LEFT(E2810,6)="TÉRREO",0,IFERROR(VALUE(LEFT(E2810,FIND("º",SUBSTITUTE(E2810,"°","º"))-1)),""))))</f>
        <v>21</v>
      </c>
      <c r="O2810" s="2" t="str">
        <f aca="false">IF(OR(F2810="",G2810=""),"",IF(G2810&lt;='RETRATO 2027'!$K$5,"CONCLUÍDA",IF(F2810&lt;='RETRATO 2027'!$K$5,"EM ANDAMENTO","A INICIAR")))</f>
        <v>CONCLUÍDA</v>
      </c>
    </row>
    <row r="2811" customFormat="false" ht="15" hidden="false" customHeight="false" outlineLevel="0" collapsed="false">
      <c r="B2811" s="4" t="n">
        <v>26743012</v>
      </c>
      <c r="C2811" s="4" t="s">
        <v>2933</v>
      </c>
      <c r="D2811" s="4" t="s">
        <v>433</v>
      </c>
      <c r="E2811" s="4" t="s">
        <v>3783</v>
      </c>
      <c r="F2811" s="127" t="n">
        <v>46602</v>
      </c>
      <c r="G2811" s="127" t="n">
        <v>46611</v>
      </c>
      <c r="H2811" s="127" t="n">
        <v>46293</v>
      </c>
      <c r="I2811" s="4" t="n">
        <v>0</v>
      </c>
      <c r="J2811" s="4" t="n">
        <v>0</v>
      </c>
      <c r="K2811" s="4" t="n">
        <v>0</v>
      </c>
      <c r="M2811" s="2" t="str">
        <f aca="false">IF(C2811="","",IFERROR(INDEX($S$5:$S$304,MATCH(C2811,$R$5:$R$304,0))&amp;"","?"))</f>
        <v>21</v>
      </c>
      <c r="N2811" s="2" t="n">
        <f aca="false">IF(E2811="","",IF(ISNUMBER(SEARCH("SUBSOLO",E2811)),IFERROR(-VALUE(LEFT(E2811,FIND("º",SUBSTITUTE(E2811,"°","º"))-1)),-1),IF(LEFT(E2811,6)="TÉRREO",0,IFERROR(VALUE(LEFT(E2811,FIND("º",SUBSTITUTE(E2811,"°","º"))-1)),""))))</f>
        <v>21</v>
      </c>
      <c r="O2811" s="2" t="str">
        <f aca="false">IF(OR(F2811="",G2811=""),"",IF(G2811&lt;='RETRATO 2027'!$K$5,"CONCLUÍDA",IF(F2811&lt;='RETRATO 2027'!$K$5,"EM ANDAMENTO","A INICIAR")))</f>
        <v>CONCLUÍDA</v>
      </c>
    </row>
    <row r="2812" customFormat="false" ht="15" hidden="false" customHeight="false" outlineLevel="0" collapsed="false">
      <c r="B2812" s="4" t="n">
        <v>26742954</v>
      </c>
      <c r="C2812" s="4" t="s">
        <v>2922</v>
      </c>
      <c r="D2812" s="4" t="s">
        <v>433</v>
      </c>
      <c r="E2812" s="4" t="s">
        <v>3786</v>
      </c>
      <c r="F2812" s="127" t="n">
        <v>46602</v>
      </c>
      <c r="G2812" s="127" t="n">
        <v>46611</v>
      </c>
      <c r="H2812" s="127" t="n">
        <v>46293</v>
      </c>
      <c r="I2812" s="4" t="n">
        <v>0</v>
      </c>
      <c r="J2812" s="4" t="n">
        <v>0</v>
      </c>
      <c r="K2812" s="4" t="n">
        <v>0</v>
      </c>
      <c r="M2812" s="2" t="str">
        <f aca="false">IF(C2812="","",IFERROR(INDEX($S$5:$S$304,MATCH(C2812,$R$5:$R$304,0))&amp;"","?"))</f>
        <v>18</v>
      </c>
      <c r="N2812" s="2" t="n">
        <f aca="false">IF(E2812="","",IF(ISNUMBER(SEARCH("SUBSOLO",E2812)),IFERROR(-VALUE(LEFT(E2812,FIND("º",SUBSTITUTE(E2812,"°","º"))-1)),-1),IF(LEFT(E2812,6)="TÉRREO",0,IFERROR(VALUE(LEFT(E2812,FIND("º",SUBSTITUTE(E2812,"°","º"))-1)),""))))</f>
        <v>22</v>
      </c>
      <c r="O2812" s="2" t="str">
        <f aca="false">IF(OR(F2812="",G2812=""),"",IF(G2812&lt;='RETRATO 2027'!$K$5,"CONCLUÍDA",IF(F2812&lt;='RETRATO 2027'!$K$5,"EM ANDAMENTO","A INICIAR")))</f>
        <v>CONCLUÍDA</v>
      </c>
    </row>
    <row r="2813" customFormat="false" ht="15" hidden="false" customHeight="false" outlineLevel="0" collapsed="false">
      <c r="B2813" s="4" t="n">
        <v>26742724</v>
      </c>
      <c r="C2813" s="4" t="s">
        <v>2869</v>
      </c>
      <c r="D2813" s="4" t="s">
        <v>433</v>
      </c>
      <c r="E2813" s="4" t="s">
        <v>3803</v>
      </c>
      <c r="F2813" s="127" t="n">
        <v>46603</v>
      </c>
      <c r="G2813" s="127" t="n">
        <v>46612</v>
      </c>
      <c r="H2813" s="127" t="n">
        <v>46293</v>
      </c>
      <c r="I2813" s="4" t="n">
        <v>0</v>
      </c>
      <c r="J2813" s="4" t="n">
        <v>0</v>
      </c>
      <c r="K2813" s="4" t="n">
        <v>0</v>
      </c>
      <c r="M2813" s="2" t="str">
        <f aca="false">IF(C2813="","",IFERROR(INDEX($S$5:$S$304,MATCH(C2813,$R$5:$R$304,0))&amp;"","?"))</f>
        <v>22</v>
      </c>
      <c r="N2813" s="2" t="n">
        <f aca="false">IF(E2813="","",IF(ISNUMBER(SEARCH("SUBSOLO",E2813)),IFERROR(-VALUE(LEFT(E2813,FIND("º",SUBSTITUTE(E2813,"°","º"))-1)),-1),IF(LEFT(E2813,6)="TÉRREO",0,IFERROR(VALUE(LEFT(E2813,FIND("º",SUBSTITUTE(E2813,"°","º"))-1)),""))))</f>
        <v>29</v>
      </c>
      <c r="O2813" s="2" t="str">
        <f aca="false">IF(OR(F2813="",G2813=""),"",IF(G2813&lt;='RETRATO 2027'!$K$5,"CONCLUÍDA",IF(F2813&lt;='RETRATO 2027'!$K$5,"EM ANDAMENTO","A INICIAR")))</f>
        <v>CONCLUÍDA</v>
      </c>
    </row>
    <row r="2814" customFormat="false" ht="15" hidden="false" customHeight="false" outlineLevel="0" collapsed="false">
      <c r="B2814" s="4" t="n">
        <v>26708178</v>
      </c>
      <c r="C2814" s="4" t="s">
        <v>2869</v>
      </c>
      <c r="D2814" s="4" t="s">
        <v>433</v>
      </c>
      <c r="E2814" s="4" t="s">
        <v>3628</v>
      </c>
      <c r="F2814" s="127" t="n">
        <v>46604</v>
      </c>
      <c r="G2814" s="127" t="n">
        <v>46615</v>
      </c>
      <c r="H2814" s="127" t="n">
        <v>46293</v>
      </c>
      <c r="I2814" s="4" t="n">
        <v>0</v>
      </c>
      <c r="J2814" s="4" t="n">
        <v>0</v>
      </c>
      <c r="K2814" s="4" t="n">
        <v>0</v>
      </c>
      <c r="M2814" s="2" t="str">
        <f aca="false">IF(C2814="","",IFERROR(INDEX($S$5:$S$304,MATCH(C2814,$R$5:$R$304,0))&amp;"","?"))</f>
        <v>22</v>
      </c>
      <c r="N2814" s="2" t="n">
        <f aca="false">IF(E2814="","",IF(ISNUMBER(SEARCH("SUBSOLO",E2814)),IFERROR(-VALUE(LEFT(E2814,FIND("º",SUBSTITUTE(E2814,"°","º"))-1)),-1),IF(LEFT(E2814,6)="TÉRREO",0,IFERROR(VALUE(LEFT(E2814,FIND("º",SUBSTITUTE(E2814,"°","º"))-1)),""))))</f>
        <v>-6</v>
      </c>
      <c r="O2814" s="2" t="str">
        <f aca="false">IF(OR(F2814="",G2814=""),"",IF(G2814&lt;='RETRATO 2027'!$K$5,"CONCLUÍDA",IF(F2814&lt;='RETRATO 2027'!$K$5,"EM ANDAMENTO","A INICIAR")))</f>
        <v>CONCLUÍDA</v>
      </c>
    </row>
    <row r="2815" customFormat="false" ht="15" hidden="false" customHeight="false" outlineLevel="0" collapsed="false">
      <c r="B2815" s="4" t="n">
        <v>26708144</v>
      </c>
      <c r="C2815" s="4" t="s">
        <v>163</v>
      </c>
      <c r="D2815" s="4" t="s">
        <v>433</v>
      </c>
      <c r="E2815" s="4" t="s">
        <v>3813</v>
      </c>
      <c r="F2815" s="127" t="n">
        <v>46604</v>
      </c>
      <c r="G2815" s="127" t="n">
        <v>46615</v>
      </c>
      <c r="H2815" s="127" t="n">
        <v>46293</v>
      </c>
      <c r="I2815" s="4" t="n">
        <v>0</v>
      </c>
      <c r="J2815" s="4" t="n">
        <v>0</v>
      </c>
      <c r="K2815" s="4" t="n">
        <v>0</v>
      </c>
      <c r="M2815" s="2" t="str">
        <f aca="false">IF(C2815="","",IFERROR(INDEX($S$5:$S$304,MATCH(C2815,$R$5:$R$304,0))&amp;"","?"))</f>
        <v>18</v>
      </c>
      <c r="N2815" s="2" t="n">
        <f aca="false">IF(E2815="","",IF(ISNUMBER(SEARCH("SUBSOLO",E2815)),IFERROR(-VALUE(LEFT(E2815,FIND("º",SUBSTITUTE(E2815,"°","º"))-1)),-1),IF(LEFT(E2815,6)="TÉRREO",0,IFERROR(VALUE(LEFT(E2815,FIND("º",SUBSTITUTE(E2815,"°","º"))-1)),""))))</f>
        <v>-6</v>
      </c>
      <c r="O2815" s="2" t="str">
        <f aca="false">IF(OR(F2815="",G2815=""),"",IF(G2815&lt;='RETRATO 2027'!$K$5,"CONCLUÍDA",IF(F2815&lt;='RETRATO 2027'!$K$5,"EM ANDAMENTO","A INICIAR")))</f>
        <v>CONCLUÍDA</v>
      </c>
    </row>
    <row r="2816" customFormat="false" ht="15" hidden="false" customHeight="false" outlineLevel="0" collapsed="false">
      <c r="B2816" s="4" t="n">
        <v>26744940</v>
      </c>
      <c r="C2816" s="4" t="s">
        <v>208</v>
      </c>
      <c r="D2816" s="4" t="s">
        <v>433</v>
      </c>
      <c r="E2816" s="4" t="s">
        <v>3612</v>
      </c>
      <c r="F2816" s="127" t="n">
        <v>46604</v>
      </c>
      <c r="G2816" s="127" t="n">
        <v>46612</v>
      </c>
      <c r="H2816" s="127" t="n">
        <v>46293</v>
      </c>
      <c r="I2816" s="4" t="n">
        <v>0</v>
      </c>
      <c r="J2816" s="4" t="n">
        <v>0</v>
      </c>
      <c r="K2816" s="4" t="n">
        <v>0</v>
      </c>
      <c r="M2816" s="2" t="str">
        <f aca="false">IF(C2816="","",IFERROR(INDEX($S$5:$S$304,MATCH(C2816,$R$5:$R$304,0))&amp;"","?"))</f>
        <v>33</v>
      </c>
      <c r="N2816" s="2" t="n">
        <f aca="false">IF(E2816="","",IF(ISNUMBER(SEARCH("SUBSOLO",E2816)),IFERROR(-VALUE(LEFT(E2816,FIND("º",SUBSTITUTE(E2816,"°","º"))-1)),-1),IF(LEFT(E2816,6)="TÉRREO",0,IFERROR(VALUE(LEFT(E2816,FIND("º",SUBSTITUTE(E2816,"°","º"))-1)),""))))</f>
        <v>-1</v>
      </c>
      <c r="O2816" s="2" t="str">
        <f aca="false">IF(OR(F2816="",G2816=""),"",IF(G2816&lt;='RETRATO 2027'!$K$5,"CONCLUÍDA",IF(F2816&lt;='RETRATO 2027'!$K$5,"EM ANDAMENTO","A INICIAR")))</f>
        <v>CONCLUÍDA</v>
      </c>
    </row>
    <row r="2817" customFormat="false" ht="15" hidden="false" customHeight="false" outlineLevel="0" collapsed="false">
      <c r="B2817" s="4" t="n">
        <v>26745170</v>
      </c>
      <c r="C2817" s="4" t="s">
        <v>208</v>
      </c>
      <c r="D2817" s="4" t="s">
        <v>433</v>
      </c>
      <c r="E2817" s="4" t="s">
        <v>3770</v>
      </c>
      <c r="F2817" s="127" t="n">
        <v>46604</v>
      </c>
      <c r="G2817" s="127" t="n">
        <v>46615</v>
      </c>
      <c r="H2817" s="127" t="n">
        <v>46293</v>
      </c>
      <c r="I2817" s="4" t="n">
        <v>0</v>
      </c>
      <c r="J2817" s="4" t="n">
        <v>0</v>
      </c>
      <c r="K2817" s="4" t="n">
        <v>0</v>
      </c>
      <c r="M2817" s="2" t="str">
        <f aca="false">IF(C2817="","",IFERROR(INDEX($S$5:$S$304,MATCH(C2817,$R$5:$R$304,0))&amp;"","?"))</f>
        <v>33</v>
      </c>
      <c r="N2817" s="2" t="n">
        <f aca="false">IF(E2817="","",IF(ISNUMBER(SEARCH("SUBSOLO",E2817)),IFERROR(-VALUE(LEFT(E2817,FIND("º",SUBSTITUTE(E2817,"°","º"))-1)),-1),IF(LEFT(E2817,6)="TÉRREO",0,IFERROR(VALUE(LEFT(E2817,FIND("º",SUBSTITUTE(E2817,"°","º"))-1)),""))))</f>
        <v>-1</v>
      </c>
      <c r="O2817" s="2" t="str">
        <f aca="false">IF(OR(F2817="",G2817=""),"",IF(G2817&lt;='RETRATO 2027'!$K$5,"CONCLUÍDA",IF(F2817&lt;='RETRATO 2027'!$K$5,"EM ANDAMENTO","A INICIAR")))</f>
        <v>CONCLUÍDA</v>
      </c>
    </row>
    <row r="2818" customFormat="false" ht="15" hidden="false" customHeight="false" outlineLevel="0" collapsed="false">
      <c r="B2818" s="4" t="n">
        <v>29845888</v>
      </c>
      <c r="C2818" s="4" t="s">
        <v>2986</v>
      </c>
      <c r="D2818" s="4" t="s">
        <v>433</v>
      </c>
      <c r="E2818" s="4" t="s">
        <v>3626</v>
      </c>
      <c r="F2818" s="127" t="n">
        <v>46604</v>
      </c>
      <c r="G2818" s="127" t="n">
        <v>46615</v>
      </c>
      <c r="H2818" s="127" t="n">
        <v>46293</v>
      </c>
      <c r="I2818" s="4" t="n">
        <v>0</v>
      </c>
      <c r="J2818" s="4" t="n">
        <v>0</v>
      </c>
      <c r="K2818" s="4" t="n">
        <v>0</v>
      </c>
      <c r="M2818" s="2" t="str">
        <f aca="false">IF(C2818="","",IFERROR(INDEX($S$5:$S$304,MATCH(C2818,$R$5:$R$304,0))&amp;"","?"))</f>
        <v>20</v>
      </c>
      <c r="N2818" s="2" t="n">
        <f aca="false">IF(E2818="","",IF(ISNUMBER(SEARCH("SUBSOLO",E2818)),IFERROR(-VALUE(LEFT(E2818,FIND("º",SUBSTITUTE(E2818,"°","º"))-1)),-1),IF(LEFT(E2818,6)="TÉRREO",0,IFERROR(VALUE(LEFT(E2818,FIND("º",SUBSTITUTE(E2818,"°","º"))-1)),""))))</f>
        <v>2</v>
      </c>
      <c r="O2818" s="2" t="str">
        <f aca="false">IF(OR(F2818="",G2818=""),"",IF(G2818&lt;='RETRATO 2027'!$K$5,"CONCLUÍDA",IF(F2818&lt;='RETRATO 2027'!$K$5,"EM ANDAMENTO","A INICIAR")))</f>
        <v>CONCLUÍDA</v>
      </c>
    </row>
    <row r="2819" customFormat="false" ht="15" hidden="false" customHeight="false" outlineLevel="0" collapsed="false">
      <c r="B2819" s="4" t="n">
        <v>26745135</v>
      </c>
      <c r="C2819" s="4" t="s">
        <v>3003</v>
      </c>
      <c r="D2819" s="4" t="s">
        <v>433</v>
      </c>
      <c r="E2819" s="4" t="s">
        <v>3807</v>
      </c>
      <c r="F2819" s="127" t="n">
        <v>46604</v>
      </c>
      <c r="G2819" s="127" t="n">
        <v>46612</v>
      </c>
      <c r="H2819" s="127" t="n">
        <v>46293</v>
      </c>
      <c r="I2819" s="4" t="n">
        <v>0</v>
      </c>
      <c r="J2819" s="4" t="n">
        <v>0</v>
      </c>
      <c r="K2819" s="4" t="n">
        <v>0</v>
      </c>
      <c r="M2819" s="2" t="str">
        <f aca="false">IF(C2819="","",IFERROR(INDEX($S$5:$S$304,MATCH(C2819,$R$5:$R$304,0))&amp;"","?"))</f>
        <v>20</v>
      </c>
      <c r="N2819" s="2" t="n">
        <f aca="false">IF(E2819="","",IF(ISNUMBER(SEARCH("SUBSOLO",E2819)),IFERROR(-VALUE(LEFT(E2819,FIND("º",SUBSTITUTE(E2819,"°","º"))-1)),-1),IF(LEFT(E2819,6)="TÉRREO",0,IFERROR(VALUE(LEFT(E2819,FIND("º",SUBSTITUTE(E2819,"°","º"))-1)),""))))</f>
        <v>2</v>
      </c>
      <c r="O2819" s="2" t="str">
        <f aca="false">IF(OR(F2819="",G2819=""),"",IF(G2819&lt;='RETRATO 2027'!$K$5,"CONCLUÍDA",IF(F2819&lt;='RETRATO 2027'!$K$5,"EM ANDAMENTO","A INICIAR")))</f>
        <v>CONCLUÍDA</v>
      </c>
    </row>
    <row r="2820" customFormat="false" ht="15" hidden="false" customHeight="false" outlineLevel="0" collapsed="false">
      <c r="B2820" s="4" t="n">
        <v>26744741</v>
      </c>
      <c r="C2820" s="4" t="s">
        <v>2910</v>
      </c>
      <c r="D2820" s="4" t="s">
        <v>433</v>
      </c>
      <c r="E2820" s="4" t="s">
        <v>3800</v>
      </c>
      <c r="F2820" s="127" t="n">
        <v>46604</v>
      </c>
      <c r="G2820" s="127" t="n">
        <v>46624</v>
      </c>
      <c r="H2820" s="127" t="n">
        <v>46293</v>
      </c>
      <c r="I2820" s="4" t="n">
        <v>0</v>
      </c>
      <c r="J2820" s="4" t="n">
        <v>0</v>
      </c>
      <c r="K2820" s="4" t="n">
        <v>0</v>
      </c>
      <c r="M2820" s="2" t="str">
        <f aca="false">IF(C2820="","",IFERROR(INDEX($S$5:$S$304,MATCH(C2820,$R$5:$R$304,0))&amp;"","?"))</f>
        <v>25</v>
      </c>
      <c r="N2820" s="2" t="n">
        <f aca="false">IF(E2820="","",IF(ISNUMBER(SEARCH("SUBSOLO",E2820)),IFERROR(-VALUE(LEFT(E2820,FIND("º",SUBSTITUTE(E2820,"°","º"))-1)),-1),IF(LEFT(E2820,6)="TÉRREO",0,IFERROR(VALUE(LEFT(E2820,FIND("º",SUBSTITUTE(E2820,"°","º"))-1)),""))))</f>
        <v>3</v>
      </c>
      <c r="O2820" s="2" t="str">
        <f aca="false">IF(OR(F2820="",G2820=""),"",IF(G2820&lt;='RETRATO 2027'!$K$5,"CONCLUÍDA",IF(F2820&lt;='RETRATO 2027'!$K$5,"EM ANDAMENTO","A INICIAR")))</f>
        <v>CONCLUÍDA</v>
      </c>
    </row>
    <row r="2821" customFormat="false" ht="15" hidden="false" customHeight="false" outlineLevel="0" collapsed="false">
      <c r="B2821" s="4" t="n">
        <v>26742934</v>
      </c>
      <c r="C2821" s="4" t="s">
        <v>2916</v>
      </c>
      <c r="D2821" s="4" t="s">
        <v>433</v>
      </c>
      <c r="E2821" s="4" t="s">
        <v>3787</v>
      </c>
      <c r="F2821" s="127" t="n">
        <v>46604</v>
      </c>
      <c r="G2821" s="127" t="n">
        <v>46611</v>
      </c>
      <c r="H2821" s="127" t="n">
        <v>46293</v>
      </c>
      <c r="I2821" s="4" t="n">
        <v>0</v>
      </c>
      <c r="J2821" s="4" t="n">
        <v>0</v>
      </c>
      <c r="K2821" s="4" t="n">
        <v>0</v>
      </c>
      <c r="M2821" s="2" t="str">
        <f aca="false">IF(C2821="","",IFERROR(INDEX($S$5:$S$304,MATCH(C2821,$R$5:$R$304,0))&amp;"","?"))</f>
        <v>18</v>
      </c>
      <c r="N2821" s="2" t="n">
        <f aca="false">IF(E2821="","",IF(ISNUMBER(SEARCH("SUBSOLO",E2821)),IFERROR(-VALUE(LEFT(E2821,FIND("º",SUBSTITUTE(E2821,"°","º"))-1)),-1),IF(LEFT(E2821,6)="TÉRREO",0,IFERROR(VALUE(LEFT(E2821,FIND("º",SUBSTITUTE(E2821,"°","º"))-1)),""))))</f>
        <v>23</v>
      </c>
      <c r="O2821" s="2" t="str">
        <f aca="false">IF(OR(F2821="",G2821=""),"",IF(G2821&lt;='RETRATO 2027'!$K$5,"CONCLUÍDA",IF(F2821&lt;='RETRATO 2027'!$K$5,"EM ANDAMENTO","A INICIAR")))</f>
        <v>CONCLUÍDA</v>
      </c>
    </row>
    <row r="2822" customFormat="false" ht="15" hidden="false" customHeight="false" outlineLevel="0" collapsed="false">
      <c r="B2822" s="4" t="n">
        <v>26745156</v>
      </c>
      <c r="C2822" s="4" t="s">
        <v>2997</v>
      </c>
      <c r="D2822" s="4" t="s">
        <v>433</v>
      </c>
      <c r="E2822" s="4" t="s">
        <v>3652</v>
      </c>
      <c r="F2822" s="127" t="n">
        <v>46605</v>
      </c>
      <c r="G2822" s="127" t="n">
        <v>46616</v>
      </c>
      <c r="H2822" s="127" t="n">
        <v>46293</v>
      </c>
      <c r="I2822" s="4" t="n">
        <v>0</v>
      </c>
      <c r="J2822" s="4" t="n">
        <v>0</v>
      </c>
      <c r="K2822" s="4" t="n">
        <v>0</v>
      </c>
      <c r="M2822" s="2" t="str">
        <f aca="false">IF(C2822="","",IFERROR(INDEX($S$5:$S$304,MATCH(C2822,$R$5:$R$304,0))&amp;"","?"))</f>
        <v>35</v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>CONCLUÍDA</v>
      </c>
    </row>
    <row r="2823" customFormat="false" ht="15" hidden="false" customHeight="false" outlineLevel="0" collapsed="false">
      <c r="B2823" s="4" t="n">
        <v>26745033</v>
      </c>
      <c r="C2823" s="4" t="s">
        <v>3006</v>
      </c>
      <c r="D2823" s="4" t="s">
        <v>433</v>
      </c>
      <c r="E2823" s="4" t="s">
        <v>3801</v>
      </c>
      <c r="F2823" s="127" t="n">
        <v>46605</v>
      </c>
      <c r="G2823" s="127" t="n">
        <v>46616</v>
      </c>
      <c r="H2823" s="127" t="n">
        <v>46293</v>
      </c>
      <c r="I2823" s="4" t="n">
        <v>0</v>
      </c>
      <c r="J2823" s="4" t="n">
        <v>0</v>
      </c>
      <c r="K2823" s="4" t="n">
        <v>0</v>
      </c>
      <c r="M2823" s="2" t="str">
        <f aca="false">IF(C2823="","",IFERROR(INDEX($S$5:$S$304,MATCH(C2823,$R$5:$R$304,0))&amp;"","?"))</f>
        <v>37</v>
      </c>
      <c r="N2823" s="2" t="n">
        <f aca="false">IF(E2823="","",IF(ISNUMBER(SEARCH("SUBSOLO",E2823)),IFERROR(-VALUE(LEFT(E2823,FIND("º",SUBSTITUTE(E2823,"°","º"))-1)),-1),IF(LEFT(E2823,6)="TÉRREO",0,IFERROR(VALUE(LEFT(E2823,FIND("º",SUBSTITUTE(E2823,"°","º"))-1)),""))))</f>
        <v>1</v>
      </c>
      <c r="O2823" s="2" t="str">
        <f aca="false">IF(OR(F2823="",G2823=""),"",IF(G2823&lt;='RETRATO 2027'!$K$5,"CONCLUÍDA",IF(F2823&lt;='RETRATO 2027'!$K$5,"EM ANDAMENTO","A INICIAR")))</f>
        <v>CONCLUÍDA</v>
      </c>
    </row>
    <row r="2824" customFormat="false" ht="15" hidden="false" customHeight="false" outlineLevel="0" collapsed="false">
      <c r="B2824" s="4" t="n">
        <v>26745051</v>
      </c>
      <c r="C2824" s="4" t="s">
        <v>2965</v>
      </c>
      <c r="D2824" s="4" t="s">
        <v>433</v>
      </c>
      <c r="E2824" s="4" t="s">
        <v>3659</v>
      </c>
      <c r="F2824" s="127" t="n">
        <v>46608</v>
      </c>
      <c r="G2824" s="127" t="n">
        <v>46617</v>
      </c>
      <c r="H2824" s="127" t="n">
        <v>46293</v>
      </c>
      <c r="I2824" s="4" t="n">
        <v>0</v>
      </c>
      <c r="J2824" s="4" t="n">
        <v>0</v>
      </c>
      <c r="K2824" s="4" t="n">
        <v>0</v>
      </c>
      <c r="M2824" s="2" t="str">
        <f aca="false">IF(C2824="","",IFERROR(INDEX($S$5:$S$304,MATCH(C2824,$R$5:$R$304,0))&amp;"","?"))</f>
        <v>20</v>
      </c>
      <c r="N2824" s="2" t="n">
        <f aca="false">IF(E2824="","",IF(ISNUMBER(SEARCH("SUBSOLO",E2824)),IFERROR(-VALUE(LEFT(E2824,FIND("º",SUBSTITUTE(E2824,"°","º"))-1)),-1),IF(LEFT(E2824,6)="TÉRREO",0,IFERROR(VALUE(LEFT(E2824,FIND("º",SUBSTITUTE(E2824,"°","º"))-1)),""))))</f>
        <v>1</v>
      </c>
      <c r="O2824" s="2" t="str">
        <f aca="false">IF(OR(F2824="",G2824=""),"",IF(G2824&lt;='RETRATO 2027'!$K$5,"CONCLUÍDA",IF(F2824&lt;='RETRATO 2027'!$K$5,"EM ANDAMENTO","A INICIAR")))</f>
        <v>CONCLUÍDA</v>
      </c>
    </row>
    <row r="2825" customFormat="false" ht="15" hidden="false" customHeight="false" outlineLevel="0" collapsed="false">
      <c r="B2825" s="4" t="n">
        <v>26742896</v>
      </c>
      <c r="C2825" s="4" t="s">
        <v>2814</v>
      </c>
      <c r="D2825" s="4" t="s">
        <v>433</v>
      </c>
      <c r="E2825" s="4" t="s">
        <v>3788</v>
      </c>
      <c r="F2825" s="127" t="n">
        <v>46608</v>
      </c>
      <c r="G2825" s="127" t="n">
        <v>46615</v>
      </c>
      <c r="H2825" s="127" t="n">
        <v>46293</v>
      </c>
      <c r="I2825" s="4" t="n">
        <v>0</v>
      </c>
      <c r="J2825" s="4" t="n">
        <v>0</v>
      </c>
      <c r="K2825" s="4" t="n">
        <v>0</v>
      </c>
      <c r="M2825" s="2" t="str">
        <f aca="false">IF(C2825="","",IFERROR(INDEX($S$5:$S$304,MATCH(C2825,$R$5:$R$304,0))&amp;"","?"))</f>
        <v>28</v>
      </c>
      <c r="N2825" s="2" t="n">
        <f aca="false">IF(E2825="","",IF(ISNUMBER(SEARCH("SUBSOLO",E2825)),IFERROR(-VALUE(LEFT(E2825,FIND("º",SUBSTITUTE(E2825,"°","º"))-1)),-1),IF(LEFT(E2825,6)="TÉRREO",0,IFERROR(VALUE(LEFT(E2825,FIND("º",SUBSTITUTE(E2825,"°","º"))-1)),""))))</f>
        <v>24</v>
      </c>
      <c r="O2825" s="2" t="str">
        <f aca="false">IF(OR(F2825="",G2825=""),"",IF(G2825&lt;='RETRATO 2027'!$K$5,"CONCLUÍDA",IF(F2825&lt;='RETRATO 2027'!$K$5,"EM ANDAMENTO","A INICIAR")))</f>
        <v>CONCLUÍDA</v>
      </c>
    </row>
    <row r="2826" customFormat="false" ht="15" hidden="false" customHeight="false" outlineLevel="0" collapsed="false">
      <c r="B2826" s="4" t="n">
        <v>26742865</v>
      </c>
      <c r="C2826" s="4" t="s">
        <v>2914</v>
      </c>
      <c r="D2826" s="4" t="s">
        <v>433</v>
      </c>
      <c r="E2826" s="4" t="s">
        <v>3794</v>
      </c>
      <c r="F2826" s="127" t="n">
        <v>46608</v>
      </c>
      <c r="G2826" s="127" t="n">
        <v>46617</v>
      </c>
      <c r="H2826" s="127" t="n">
        <v>46293</v>
      </c>
      <c r="I2826" s="4" t="n">
        <v>0</v>
      </c>
      <c r="J2826" s="4" t="n">
        <v>0</v>
      </c>
      <c r="K2826" s="4" t="n">
        <v>0</v>
      </c>
      <c r="M2826" s="2" t="str">
        <f aca="false">IF(C2826="","",IFERROR(INDEX($S$5:$S$304,MATCH(C2826,$R$5:$R$304,0))&amp;"","?"))</f>
        <v>21</v>
      </c>
      <c r="N2826" s="2" t="n">
        <f aca="false">IF(E2826="","",IF(ISNUMBER(SEARCH("SUBSOLO",E2826)),IFERROR(-VALUE(LEFT(E2826,FIND("º",SUBSTITUTE(E2826,"°","º"))-1)),-1),IF(LEFT(E2826,6)="TÉRREO",0,IFERROR(VALUE(LEFT(E2826,FIND("º",SUBSTITUTE(E2826,"°","º"))-1)),""))))</f>
        <v>25</v>
      </c>
      <c r="O2826" s="2" t="str">
        <f aca="false">IF(OR(F2826="",G2826=""),"",IF(G2826&lt;='RETRATO 2027'!$K$5,"CONCLUÍDA",IF(F2826&lt;='RETRATO 2027'!$K$5,"EM ANDAMENTO","A INICIAR")))</f>
        <v>CONCLUÍDA</v>
      </c>
    </row>
    <row r="2827" customFormat="false" ht="15" hidden="false" customHeight="false" outlineLevel="0" collapsed="false">
      <c r="B2827" s="4" t="n">
        <v>26742821</v>
      </c>
      <c r="C2827" s="4" t="s">
        <v>2808</v>
      </c>
      <c r="D2827" s="4" t="s">
        <v>433</v>
      </c>
      <c r="E2827" s="4" t="s">
        <v>3797</v>
      </c>
      <c r="F2827" s="127" t="n">
        <v>46608</v>
      </c>
      <c r="G2827" s="127" t="n">
        <v>46617</v>
      </c>
      <c r="H2827" s="127" t="n">
        <v>46293</v>
      </c>
      <c r="I2827" s="4" t="n">
        <v>0</v>
      </c>
      <c r="J2827" s="4" t="n">
        <v>0</v>
      </c>
      <c r="K2827" s="4" t="n">
        <v>0</v>
      </c>
      <c r="M2827" s="2" t="str">
        <f aca="false">IF(C2827="","",IFERROR(INDEX($S$5:$S$304,MATCH(C2827,$R$5:$R$304,0))&amp;"","?"))</f>
        <v>29</v>
      </c>
      <c r="N2827" s="2" t="n">
        <f aca="false">IF(E2827="","",IF(ISNUMBER(SEARCH("SUBSOLO",E2827)),IFERROR(-VALUE(LEFT(E2827,FIND("º",SUBSTITUTE(E2827,"°","º"))-1)),-1),IF(LEFT(E2827,6)="TÉRREO",0,IFERROR(VALUE(LEFT(E2827,FIND("º",SUBSTITUTE(E2827,"°","º"))-1)),""))))</f>
        <v>26</v>
      </c>
      <c r="O2827" s="2" t="str">
        <f aca="false">IF(OR(F2827="",G2827=""),"",IF(G2827&lt;='RETRATO 2027'!$K$5,"CONCLUÍDA",IF(F2827&lt;='RETRATO 2027'!$K$5,"EM ANDAMENTO","A INICIAR")))</f>
        <v>CONCLUÍDA</v>
      </c>
    </row>
    <row r="2828" customFormat="false" ht="15" hidden="false" customHeight="false" outlineLevel="0" collapsed="false">
      <c r="B2828" s="4" t="n">
        <v>26742783</v>
      </c>
      <c r="C2828" s="4" t="s">
        <v>2910</v>
      </c>
      <c r="D2828" s="4" t="s">
        <v>433</v>
      </c>
      <c r="E2828" s="4" t="s">
        <v>3799</v>
      </c>
      <c r="F2828" s="127" t="n">
        <v>46608</v>
      </c>
      <c r="G2828" s="127" t="n">
        <v>46617</v>
      </c>
      <c r="H2828" s="127" t="n">
        <v>46293</v>
      </c>
      <c r="I2828" s="4" t="n">
        <v>0</v>
      </c>
      <c r="J2828" s="4" t="n">
        <v>0</v>
      </c>
      <c r="K2828" s="4" t="n">
        <v>0</v>
      </c>
      <c r="M2828" s="2" t="str">
        <f aca="false">IF(C2828="","",IFERROR(INDEX($S$5:$S$304,MATCH(C2828,$R$5:$R$304,0))&amp;"","?"))</f>
        <v>25</v>
      </c>
      <c r="N2828" s="2" t="n">
        <f aca="false">IF(E2828="","",IF(ISNUMBER(SEARCH("SUBSOLO",E2828)),IFERROR(-VALUE(LEFT(E2828,FIND("º",SUBSTITUTE(E2828,"°","º"))-1)),-1),IF(LEFT(E2828,6)="TÉRREO",0,IFERROR(VALUE(LEFT(E2828,FIND("º",SUBSTITUTE(E2828,"°","º"))-1)),""))))</f>
        <v>27</v>
      </c>
      <c r="O2828" s="2" t="str">
        <f aca="false">IF(OR(F2828="",G2828=""),"",IF(G2828&lt;='RETRATO 2027'!$K$5,"CONCLUÍDA",IF(F2828&lt;='RETRATO 2027'!$K$5,"EM ANDAMENTO","A INICIAR")))</f>
        <v>CONCLUÍDA</v>
      </c>
    </row>
    <row r="2829" customFormat="false" ht="15" hidden="false" customHeight="false" outlineLevel="0" collapsed="false">
      <c r="B2829" s="4" t="n">
        <v>26750513</v>
      </c>
      <c r="C2829" s="4" t="s">
        <v>2948</v>
      </c>
      <c r="D2829" s="4" t="s">
        <v>433</v>
      </c>
      <c r="E2829" s="4" t="s">
        <v>3767</v>
      </c>
      <c r="F2829" s="127" t="n">
        <v>46609</v>
      </c>
      <c r="G2829" s="127" t="n">
        <v>46615</v>
      </c>
      <c r="H2829" s="127" t="n">
        <v>46293</v>
      </c>
      <c r="I2829" s="4" t="n">
        <v>0</v>
      </c>
      <c r="J2829" s="4" t="n">
        <v>0</v>
      </c>
      <c r="K2829" s="4" t="n">
        <v>0</v>
      </c>
      <c r="M2829" s="2" t="str">
        <f aca="false">IF(C2829="","",IFERROR(INDEX($S$5:$S$304,MATCH(C2829,$R$5:$R$304,0))&amp;"","?"))</f>
        <v>25</v>
      </c>
      <c r="N2829" s="2" t="n">
        <f aca="false">IF(E2829="","",IF(ISNUMBER(SEARCH("SUBSOLO",E2829)),IFERROR(-VALUE(LEFT(E2829,FIND("º",SUBSTITUTE(E2829,"°","º"))-1)),-1),IF(LEFT(E2829,6)="TÉRREO",0,IFERROR(VALUE(LEFT(E2829,FIND("º",SUBSTITUTE(E2829,"°","º"))-1)),""))))</f>
        <v>-1</v>
      </c>
      <c r="O2829" s="2" t="str">
        <f aca="false">IF(OR(F2829="",G2829=""),"",IF(G2829&lt;='RETRATO 2027'!$K$5,"CONCLUÍDA",IF(F2829&lt;='RETRATO 2027'!$K$5,"EM ANDAMENTO","A INICIAR")))</f>
        <v>CONCLUÍDA</v>
      </c>
    </row>
    <row r="2830" customFormat="false" ht="15" hidden="false" customHeight="false" outlineLevel="0" collapsed="false">
      <c r="B2830" s="4" t="n">
        <v>26750509</v>
      </c>
      <c r="C2830" s="4" t="s">
        <v>2965</v>
      </c>
      <c r="D2830" s="4" t="s">
        <v>433</v>
      </c>
      <c r="E2830" s="4" t="s">
        <v>3775</v>
      </c>
      <c r="F2830" s="127" t="n">
        <v>46609</v>
      </c>
      <c r="G2830" s="127" t="n">
        <v>46615</v>
      </c>
      <c r="H2830" s="127" t="n">
        <v>46293</v>
      </c>
      <c r="I2830" s="4" t="n">
        <v>0</v>
      </c>
      <c r="J2830" s="4" t="n">
        <v>0</v>
      </c>
      <c r="K2830" s="4" t="n">
        <v>0</v>
      </c>
      <c r="M2830" s="2" t="str">
        <f aca="false">IF(C2830="","",IFERROR(INDEX($S$5:$S$304,MATCH(C2830,$R$5:$R$304,0))&amp;"","?"))</f>
        <v>20</v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>CONCLUÍDA</v>
      </c>
    </row>
    <row r="2831" customFormat="false" ht="15" hidden="false" customHeight="false" outlineLevel="0" collapsed="false">
      <c r="B2831" s="4" t="n">
        <v>26707673</v>
      </c>
      <c r="C2831" s="4" t="s">
        <v>3006</v>
      </c>
      <c r="D2831" s="4" t="s">
        <v>433</v>
      </c>
      <c r="E2831" s="4" t="s">
        <v>3777</v>
      </c>
      <c r="F2831" s="127" t="n">
        <v>46609</v>
      </c>
      <c r="G2831" s="127" t="n">
        <v>46629</v>
      </c>
      <c r="H2831" s="127" t="n">
        <v>46293</v>
      </c>
      <c r="I2831" s="4" t="n">
        <v>0</v>
      </c>
      <c r="J2831" s="4" t="n">
        <v>0</v>
      </c>
      <c r="K2831" s="4" t="n">
        <v>0</v>
      </c>
      <c r="M2831" s="2" t="str">
        <f aca="false">IF(C2831="","",IFERROR(INDEX($S$5:$S$304,MATCH(C2831,$R$5:$R$304,0))&amp;"","?"))</f>
        <v>37</v>
      </c>
      <c r="N2831" s="2" t="n">
        <f aca="false">IF(E2831="","",IF(ISNUMBER(SEARCH("SUBSOLO",E2831)),IFERROR(-VALUE(LEFT(E2831,FIND("º",SUBSTITUTE(E2831,"°","º"))-1)),-1),IF(LEFT(E2831,6)="TÉRREO",0,IFERROR(VALUE(LEFT(E2831,FIND("º",SUBSTITUTE(E2831,"°","º"))-1)),""))))</f>
        <v>1</v>
      </c>
      <c r="O2831" s="2" t="str">
        <f aca="false">IF(OR(F2831="",G2831=""),"",IF(G2831&lt;='RETRATO 2027'!$K$5,"CONCLUÍDA",IF(F2831&lt;='RETRATO 2027'!$K$5,"EM ANDAMENTO","A INICIAR")))</f>
        <v>CONCLUÍDA</v>
      </c>
    </row>
    <row r="2832" customFormat="false" ht="15" hidden="false" customHeight="false" outlineLevel="0" collapsed="false">
      <c r="B2832" s="4" t="n">
        <v>26707668</v>
      </c>
      <c r="C2832" s="4" t="s">
        <v>3009</v>
      </c>
      <c r="D2832" s="4" t="s">
        <v>433</v>
      </c>
      <c r="E2832" s="4" t="s">
        <v>3777</v>
      </c>
      <c r="F2832" s="127" t="n">
        <v>46609</v>
      </c>
      <c r="G2832" s="127" t="n">
        <v>46629</v>
      </c>
      <c r="H2832" s="127" t="n">
        <v>46293</v>
      </c>
      <c r="I2832" s="4" t="n">
        <v>0</v>
      </c>
      <c r="J2832" s="4" t="n">
        <v>0</v>
      </c>
      <c r="K2832" s="4" t="n">
        <v>0</v>
      </c>
      <c r="M2832" s="2" t="str">
        <f aca="false">IF(C2832="","",IFERROR(INDEX($S$5:$S$304,MATCH(C2832,$R$5:$R$304,0))&amp;"","?"))</f>
        <v>23</v>
      </c>
      <c r="N2832" s="2" t="n">
        <f aca="false">IF(E2832="","",IF(ISNUMBER(SEARCH("SUBSOLO",E2832)),IFERROR(-VALUE(LEFT(E2832,FIND("º",SUBSTITUTE(E2832,"°","º"))-1)),-1),IF(LEFT(E2832,6)="TÉRREO",0,IFERROR(VALUE(LEFT(E2832,FIND("º",SUBSTITUTE(E2832,"°","º"))-1)),""))))</f>
        <v>1</v>
      </c>
      <c r="O2832" s="2" t="str">
        <f aca="false">IF(OR(F2832="",G2832=""),"",IF(G2832&lt;='RETRATO 2027'!$K$5,"CONCLUÍDA",IF(F2832&lt;='RETRATO 2027'!$K$5,"EM ANDAMENTO","A INICIAR")))</f>
        <v>CONCLUÍDA</v>
      </c>
    </row>
    <row r="2833" customFormat="false" ht="15" hidden="false" customHeight="false" outlineLevel="0" collapsed="false">
      <c r="B2833" s="4" t="n">
        <v>26742767</v>
      </c>
      <c r="C2833" s="4" t="s">
        <v>2896</v>
      </c>
      <c r="D2833" s="4" t="s">
        <v>433</v>
      </c>
      <c r="E2833" s="4" t="s">
        <v>3802</v>
      </c>
      <c r="F2833" s="127" t="n">
        <v>46609</v>
      </c>
      <c r="G2833" s="127" t="n">
        <v>46618</v>
      </c>
      <c r="H2833" s="127" t="n">
        <v>46293</v>
      </c>
      <c r="I2833" s="4" t="n">
        <v>0</v>
      </c>
      <c r="J2833" s="4" t="n">
        <v>0</v>
      </c>
      <c r="K2833" s="4" t="n">
        <v>0</v>
      </c>
      <c r="M2833" s="2" t="str">
        <f aca="false">IF(C2833="","",IFERROR(INDEX($S$5:$S$304,MATCH(C2833,$R$5:$R$304,0))&amp;"","?"))</f>
        <v>20</v>
      </c>
      <c r="N2833" s="2" t="n">
        <f aca="false">IF(E2833="","",IF(ISNUMBER(SEARCH("SUBSOLO",E2833)),IFERROR(-VALUE(LEFT(E2833,FIND("º",SUBSTITUTE(E2833,"°","º"))-1)),-1),IF(LEFT(E2833,6)="TÉRREO",0,IFERROR(VALUE(LEFT(E2833,FIND("º",SUBSTITUTE(E2833,"°","º"))-1)),""))))</f>
        <v>28</v>
      </c>
      <c r="O2833" s="2" t="str">
        <f aca="false">IF(OR(F2833="",G2833=""),"",IF(G2833&lt;='RETRATO 2027'!$K$5,"CONCLUÍDA",IF(F2833&lt;='RETRATO 2027'!$K$5,"EM ANDAMENTO","A INICIAR")))</f>
        <v>CONCLUÍDA</v>
      </c>
    </row>
    <row r="2834" customFormat="false" ht="15" hidden="false" customHeight="false" outlineLevel="0" collapsed="false">
      <c r="B2834" s="4" t="n">
        <v>29844482</v>
      </c>
      <c r="C2834" s="4" t="s">
        <v>2898</v>
      </c>
      <c r="D2834" s="4" t="s">
        <v>433</v>
      </c>
      <c r="E2834" s="4" t="s">
        <v>3802</v>
      </c>
      <c r="F2834" s="127" t="n">
        <v>46609</v>
      </c>
      <c r="G2834" s="127" t="n">
        <v>46617</v>
      </c>
      <c r="H2834" s="127" t="n">
        <v>46293</v>
      </c>
      <c r="I2834" s="4" t="n">
        <v>0</v>
      </c>
      <c r="J2834" s="4" t="n">
        <v>0</v>
      </c>
      <c r="K2834" s="4" t="n">
        <v>0</v>
      </c>
      <c r="M2834" s="2" t="str">
        <f aca="false">IF(C2834="","",IFERROR(INDEX($S$5:$S$304,MATCH(C2834,$R$5:$R$304,0))&amp;"","?"))</f>
        <v>29</v>
      </c>
      <c r="N2834" s="2" t="n">
        <f aca="false">IF(E2834="","",IF(ISNUMBER(SEARCH("SUBSOLO",E2834)),IFERROR(-VALUE(LEFT(E2834,FIND("º",SUBSTITUTE(E2834,"°","º"))-1)),-1),IF(LEFT(E2834,6)="TÉRREO",0,IFERROR(VALUE(LEFT(E2834,FIND("º",SUBSTITUTE(E2834,"°","º"))-1)),""))))</f>
        <v>28</v>
      </c>
      <c r="O2834" s="2" t="str">
        <f aca="false">IF(OR(F2834="",G2834=""),"",IF(G2834&lt;='RETRATO 2027'!$K$5,"CONCLUÍDA",IF(F2834&lt;='RETRATO 2027'!$K$5,"EM ANDAMENTO","A INICIAR")))</f>
        <v>CONCLUÍDA</v>
      </c>
    </row>
    <row r="2835" customFormat="false" ht="15" hidden="false" customHeight="false" outlineLevel="0" collapsed="false">
      <c r="B2835" s="4" t="n">
        <v>26742723</v>
      </c>
      <c r="C2835" s="4" t="s">
        <v>2886</v>
      </c>
      <c r="D2835" s="4" t="s">
        <v>433</v>
      </c>
      <c r="E2835" s="4" t="s">
        <v>3803</v>
      </c>
      <c r="F2835" s="127" t="n">
        <v>46609</v>
      </c>
      <c r="G2835" s="127" t="n">
        <v>46618</v>
      </c>
      <c r="H2835" s="127" t="n">
        <v>46293</v>
      </c>
      <c r="I2835" s="4" t="n">
        <v>0</v>
      </c>
      <c r="J2835" s="4" t="n">
        <v>0</v>
      </c>
      <c r="K2835" s="4" t="n">
        <v>0</v>
      </c>
      <c r="M2835" s="2" t="str">
        <f aca="false">IF(C2835="","",IFERROR(INDEX($S$5:$S$304,MATCH(C2835,$R$5:$R$304,0))&amp;"","?"))</f>
        <v>21</v>
      </c>
      <c r="N2835" s="2" t="n">
        <f aca="false">IF(E2835="","",IF(ISNUMBER(SEARCH("SUBSOLO",E2835)),IFERROR(-VALUE(LEFT(E2835,FIND("º",SUBSTITUTE(E2835,"°","º"))-1)),-1),IF(LEFT(E2835,6)="TÉRREO",0,IFERROR(VALUE(LEFT(E2835,FIND("º",SUBSTITUTE(E2835,"°","º"))-1)),""))))</f>
        <v>29</v>
      </c>
      <c r="O2835" s="2" t="str">
        <f aca="false">IF(OR(F2835="",G2835=""),"",IF(G2835&lt;='RETRATO 2027'!$K$5,"CONCLUÍDA",IF(F2835&lt;='RETRATO 2027'!$K$5,"EM ANDAMENTO","A INICIAR")))</f>
        <v>CONCLUÍDA</v>
      </c>
    </row>
    <row r="2836" customFormat="false" ht="15" hidden="false" customHeight="false" outlineLevel="0" collapsed="false">
      <c r="B2836" s="4" t="n">
        <v>29844658</v>
      </c>
      <c r="C2836" s="4" t="s">
        <v>2888</v>
      </c>
      <c r="D2836" s="4" t="s">
        <v>433</v>
      </c>
      <c r="E2836" s="4" t="s">
        <v>3803</v>
      </c>
      <c r="F2836" s="127" t="n">
        <v>46609</v>
      </c>
      <c r="G2836" s="127" t="n">
        <v>46618</v>
      </c>
      <c r="H2836" s="127" t="n">
        <v>46293</v>
      </c>
      <c r="I2836" s="4" t="n">
        <v>0</v>
      </c>
      <c r="J2836" s="4" t="n">
        <v>0</v>
      </c>
      <c r="K2836" s="4" t="n">
        <v>0</v>
      </c>
      <c r="M2836" s="2" t="str">
        <f aca="false">IF(C2836="","",IFERROR(INDEX($S$5:$S$304,MATCH(C2836,$R$5:$R$304,0))&amp;"","?"))</f>
        <v>20</v>
      </c>
      <c r="N2836" s="2" t="n">
        <f aca="false">IF(E2836="","",IF(ISNUMBER(SEARCH("SUBSOLO",E2836)),IFERROR(-VALUE(LEFT(E2836,FIND("º",SUBSTITUTE(E2836,"°","º"))-1)),-1),IF(LEFT(E2836,6)="TÉRREO",0,IFERROR(VALUE(LEFT(E2836,FIND("º",SUBSTITUTE(E2836,"°","º"))-1)),""))))</f>
        <v>29</v>
      </c>
      <c r="O2836" s="2" t="str">
        <f aca="false">IF(OR(F2836="",G2836=""),"",IF(G2836&lt;='RETRATO 2027'!$K$5,"CONCLUÍDA",IF(F2836&lt;='RETRATO 2027'!$K$5,"EM ANDAMENTO","A INICIAR")))</f>
        <v>CONCLUÍDA</v>
      </c>
    </row>
    <row r="2837" customFormat="false" ht="15" hidden="false" customHeight="false" outlineLevel="0" collapsed="false">
      <c r="B2837" s="4" t="n">
        <v>26708171</v>
      </c>
      <c r="C2837" s="4" t="s">
        <v>2886</v>
      </c>
      <c r="D2837" s="4" t="s">
        <v>433</v>
      </c>
      <c r="E2837" s="4" t="s">
        <v>3628</v>
      </c>
      <c r="F2837" s="127" t="n">
        <v>46610</v>
      </c>
      <c r="G2837" s="127" t="n">
        <v>46619</v>
      </c>
      <c r="H2837" s="127" t="n">
        <v>46293</v>
      </c>
      <c r="I2837" s="4" t="n">
        <v>0</v>
      </c>
      <c r="J2837" s="4" t="n">
        <v>0</v>
      </c>
      <c r="K2837" s="4" t="n">
        <v>0</v>
      </c>
      <c r="M2837" s="2" t="str">
        <f aca="false">IF(C2837="","",IFERROR(INDEX($S$5:$S$304,MATCH(C2837,$R$5:$R$304,0))&amp;"","?"))</f>
        <v>21</v>
      </c>
      <c r="N2837" s="2" t="n">
        <f aca="false">IF(E2837="","",IF(ISNUMBER(SEARCH("SUBSOLO",E2837)),IFERROR(-VALUE(LEFT(E2837,FIND("º",SUBSTITUTE(E2837,"°","º"))-1)),-1),IF(LEFT(E2837,6)="TÉRREO",0,IFERROR(VALUE(LEFT(E2837,FIND("º",SUBSTITUTE(E2837,"°","º"))-1)),""))))</f>
        <v>-6</v>
      </c>
      <c r="O2837" s="2" t="str">
        <f aca="false">IF(OR(F2837="",G2837=""),"",IF(G2837&lt;='RETRATO 2027'!$K$5,"CONCLUÍDA",IF(F2837&lt;='RETRATO 2027'!$K$5,"EM ANDAMENTO","A INICIAR")))</f>
        <v>CONCLUÍDA</v>
      </c>
    </row>
    <row r="2838" customFormat="false" ht="15" hidden="false" customHeight="false" outlineLevel="0" collapsed="false">
      <c r="B2838" s="4" t="n">
        <v>26743311</v>
      </c>
      <c r="C2838" s="4" t="s">
        <v>2997</v>
      </c>
      <c r="D2838" s="4" t="s">
        <v>433</v>
      </c>
      <c r="E2838" s="4" t="s">
        <v>3764</v>
      </c>
      <c r="F2838" s="127" t="n">
        <v>46611</v>
      </c>
      <c r="G2838" s="127" t="n">
        <v>46622</v>
      </c>
      <c r="H2838" s="127" t="n">
        <v>46293</v>
      </c>
      <c r="I2838" s="4" t="n">
        <v>0</v>
      </c>
      <c r="J2838" s="4" t="n">
        <v>0</v>
      </c>
      <c r="K2838" s="4" t="n">
        <v>0</v>
      </c>
      <c r="M2838" s="2" t="str">
        <f aca="false">IF(C2838="","",IFERROR(INDEX($S$5:$S$304,MATCH(C2838,$R$5:$R$304,0))&amp;"","?"))</f>
        <v>35</v>
      </c>
      <c r="N2838" s="2" t="n">
        <f aca="false">IF(E2838="","",IF(ISNUMBER(SEARCH("SUBSOLO",E2838)),IFERROR(-VALUE(LEFT(E2838,FIND("º",SUBSTITUTE(E2838,"°","º"))-1)),-1),IF(LEFT(E2838,6)="TÉRREO",0,IFERROR(VALUE(LEFT(E2838,FIND("º",SUBSTITUTE(E2838,"°","º"))-1)),""))))</f>
        <v>13</v>
      </c>
      <c r="O2838" s="2" t="str">
        <f aca="false">IF(OR(F2838="",G2838=""),"",IF(G2838&lt;='RETRATO 2027'!$K$5,"CONCLUÍDA",IF(F2838&lt;='RETRATO 2027'!$K$5,"EM ANDAMENTO","A INICIAR")))</f>
        <v>CONCLUÍDA</v>
      </c>
    </row>
    <row r="2839" customFormat="false" ht="15" hidden="false" customHeight="false" outlineLevel="0" collapsed="false">
      <c r="B2839" s="4" t="n">
        <v>26743273</v>
      </c>
      <c r="C2839" s="4" t="s">
        <v>2980</v>
      </c>
      <c r="D2839" s="4" t="s">
        <v>433</v>
      </c>
      <c r="E2839" s="4" t="s">
        <v>3765</v>
      </c>
      <c r="F2839" s="127" t="n">
        <v>46611</v>
      </c>
      <c r="G2839" s="127" t="n">
        <v>46622</v>
      </c>
      <c r="H2839" s="127" t="n">
        <v>46293</v>
      </c>
      <c r="I2839" s="4" t="n">
        <v>0</v>
      </c>
      <c r="J2839" s="4" t="n">
        <v>0</v>
      </c>
      <c r="K2839" s="4" t="n">
        <v>0</v>
      </c>
      <c r="M2839" s="2" t="str">
        <f aca="false">IF(C2839="","",IFERROR(INDEX($S$5:$S$304,MATCH(C2839,$R$5:$R$304,0))&amp;"","?"))</f>
        <v>35</v>
      </c>
      <c r="N2839" s="2" t="n">
        <f aca="false">IF(E2839="","",IF(ISNUMBER(SEARCH("SUBSOLO",E2839)),IFERROR(-VALUE(LEFT(E2839,FIND("º",SUBSTITUTE(E2839,"°","º"))-1)),-1),IF(LEFT(E2839,6)="TÉRREO",0,IFERROR(VALUE(LEFT(E2839,FIND("º",SUBSTITUTE(E2839,"°","º"))-1)),""))))</f>
        <v>14</v>
      </c>
      <c r="O2839" s="2" t="str">
        <f aca="false">IF(OR(F2839="",G2839=""),"",IF(G2839&lt;='RETRATO 2027'!$K$5,"CONCLUÍDA",IF(F2839&lt;='RETRATO 2027'!$K$5,"EM ANDAMENTO","A INICIAR")))</f>
        <v>CONCLUÍDA</v>
      </c>
    </row>
    <row r="2840" customFormat="false" ht="15" hidden="false" customHeight="false" outlineLevel="0" collapsed="false">
      <c r="B2840" s="4" t="n">
        <v>26743243</v>
      </c>
      <c r="C2840" s="4" t="s">
        <v>208</v>
      </c>
      <c r="D2840" s="4" t="s">
        <v>433</v>
      </c>
      <c r="E2840" s="4" t="s">
        <v>3768</v>
      </c>
      <c r="F2840" s="127" t="n">
        <v>46611</v>
      </c>
      <c r="G2840" s="127" t="n">
        <v>46622</v>
      </c>
      <c r="H2840" s="127" t="n">
        <v>46293</v>
      </c>
      <c r="I2840" s="4" t="n">
        <v>0</v>
      </c>
      <c r="J2840" s="4" t="n">
        <v>0</v>
      </c>
      <c r="K2840" s="4" t="n">
        <v>0</v>
      </c>
      <c r="M2840" s="2" t="str">
        <f aca="false">IF(C2840="","",IFERROR(INDEX($S$5:$S$304,MATCH(C2840,$R$5:$R$304,0))&amp;"","?"))</f>
        <v>33</v>
      </c>
      <c r="N2840" s="2" t="n">
        <f aca="false">IF(E2840="","",IF(ISNUMBER(SEARCH("SUBSOLO",E2840)),IFERROR(-VALUE(LEFT(E2840,FIND("º",SUBSTITUTE(E2840,"°","º"))-1)),-1),IF(LEFT(E2840,6)="TÉRREO",0,IFERROR(VALUE(LEFT(E2840,FIND("º",SUBSTITUTE(E2840,"°","º"))-1)),""))))</f>
        <v>15</v>
      </c>
      <c r="O2840" s="2" t="str">
        <f aca="false">IF(OR(F2840="",G2840=""),"",IF(G2840&lt;='RETRATO 2027'!$K$5,"CONCLUÍDA",IF(F2840&lt;='RETRATO 2027'!$K$5,"EM ANDAMENTO","A INICIAR")))</f>
        <v>CONCLUÍDA</v>
      </c>
    </row>
    <row r="2841" customFormat="false" ht="15" hidden="false" customHeight="false" outlineLevel="0" collapsed="false">
      <c r="B2841" s="4" t="n">
        <v>29844397</v>
      </c>
      <c r="C2841" s="4" t="s">
        <v>2890</v>
      </c>
      <c r="D2841" s="4" t="s">
        <v>433</v>
      </c>
      <c r="E2841" s="4" t="s">
        <v>3803</v>
      </c>
      <c r="F2841" s="127" t="n">
        <v>46611</v>
      </c>
      <c r="G2841" s="127" t="n">
        <v>46622</v>
      </c>
      <c r="H2841" s="127" t="n">
        <v>46293</v>
      </c>
      <c r="I2841" s="4" t="n">
        <v>0</v>
      </c>
      <c r="J2841" s="4" t="n">
        <v>0</v>
      </c>
      <c r="K2841" s="4" t="n">
        <v>0</v>
      </c>
      <c r="M2841" s="2" t="str">
        <f aca="false">IF(C2841="","",IFERROR(INDEX($S$5:$S$304,MATCH(C2841,$R$5:$R$304,0))&amp;"","?"))</f>
        <v>18</v>
      </c>
      <c r="N2841" s="2" t="n">
        <f aca="false">IF(E2841="","",IF(ISNUMBER(SEARCH("SUBSOLO",E2841)),IFERROR(-VALUE(LEFT(E2841,FIND("º",SUBSTITUTE(E2841,"°","º"))-1)),-1),IF(LEFT(E2841,6)="TÉRREO",0,IFERROR(VALUE(LEFT(E2841,FIND("º",SUBSTITUTE(E2841,"°","º"))-1)),""))))</f>
        <v>29</v>
      </c>
      <c r="O2841" s="2" t="str">
        <f aca="false">IF(OR(F2841="",G2841=""),"",IF(G2841&lt;='RETRATO 2027'!$K$5,"CONCLUÍDA",IF(F2841&lt;='RETRATO 2027'!$K$5,"EM ANDAMENTO","A INICIAR")))</f>
        <v>CONCLUÍDA</v>
      </c>
    </row>
    <row r="2842" customFormat="false" ht="15" hidden="false" customHeight="false" outlineLevel="0" collapsed="false">
      <c r="B2842" s="4" t="n">
        <v>26744922</v>
      </c>
      <c r="C2842" s="4" t="s">
        <v>163</v>
      </c>
      <c r="D2842" s="4" t="s">
        <v>433</v>
      </c>
      <c r="E2842" s="4" t="s">
        <v>3809</v>
      </c>
      <c r="F2842" s="127" t="n">
        <v>46611</v>
      </c>
      <c r="G2842" s="127" t="n">
        <v>46653</v>
      </c>
      <c r="H2842" s="127" t="n">
        <v>46293</v>
      </c>
      <c r="I2842" s="4" t="n">
        <v>0</v>
      </c>
      <c r="J2842" s="4" t="n">
        <v>0</v>
      </c>
      <c r="K2842" s="4" t="n">
        <v>0</v>
      </c>
      <c r="M2842" s="2" t="str">
        <f aca="false">IF(C2842="","",IFERROR(INDEX($S$5:$S$304,MATCH(C2842,$R$5:$R$304,0))&amp;"","?"))</f>
        <v>18</v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>CONCLUÍDA</v>
      </c>
    </row>
    <row r="2843" customFormat="false" ht="15" hidden="false" customHeight="false" outlineLevel="0" collapsed="false">
      <c r="B2843" s="4" t="n">
        <v>26707712</v>
      </c>
      <c r="C2843" s="4" t="s">
        <v>3029</v>
      </c>
      <c r="D2843" s="4" t="s">
        <v>433</v>
      </c>
      <c r="E2843" s="4" t="s">
        <v>3766</v>
      </c>
      <c r="F2843" s="127" t="n">
        <v>46612</v>
      </c>
      <c r="G2843" s="127" t="n">
        <v>46625</v>
      </c>
      <c r="H2843" s="127" t="n">
        <v>46293</v>
      </c>
      <c r="I2843" s="4" t="n">
        <v>0</v>
      </c>
      <c r="J2843" s="4" t="n">
        <v>0</v>
      </c>
      <c r="K2843" s="4" t="n">
        <v>0</v>
      </c>
      <c r="M2843" s="2" t="str">
        <f aca="false">IF(C2843="","",IFERROR(INDEX($S$5:$S$304,MATCH(C2843,$R$5:$R$304,0))&amp;"","?"))</f>
        <v/>
      </c>
      <c r="N2843" s="2" t="n">
        <f aca="false">IF(E2843="","",IF(ISNUMBER(SEARCH("SUBSOLO",E2843)),IFERROR(-VALUE(LEFT(E2843,FIND("º",SUBSTITUTE(E2843,"°","º"))-1)),-1),IF(LEFT(E2843,6)="TÉRREO",0,IFERROR(VALUE(LEFT(E2843,FIND("º",SUBSTITUTE(E2843,"°","º"))-1)),""))))</f>
        <v>1</v>
      </c>
      <c r="O2843" s="2" t="str">
        <f aca="false">IF(OR(F2843="",G2843=""),"",IF(G2843&lt;='RETRATO 2027'!$K$5,"CONCLUÍDA",IF(F2843&lt;='RETRATO 2027'!$K$5,"EM ANDAMENTO","A INICIAR")))</f>
        <v>CONCLUÍDA</v>
      </c>
    </row>
    <row r="2844" customFormat="false" ht="15" hidden="false" customHeight="false" outlineLevel="0" collapsed="false">
      <c r="B2844" s="4" t="n">
        <v>26743171</v>
      </c>
      <c r="C2844" s="4" t="s">
        <v>2977</v>
      </c>
      <c r="D2844" s="4" t="s">
        <v>433</v>
      </c>
      <c r="E2844" s="4" t="s">
        <v>3773</v>
      </c>
      <c r="F2844" s="127" t="n">
        <v>46612</v>
      </c>
      <c r="G2844" s="127" t="n">
        <v>46623</v>
      </c>
      <c r="H2844" s="127" t="n">
        <v>46293</v>
      </c>
      <c r="I2844" s="4" t="n">
        <v>0</v>
      </c>
      <c r="J2844" s="4" t="n">
        <v>0</v>
      </c>
      <c r="K2844" s="4" t="n">
        <v>0</v>
      </c>
      <c r="M2844" s="2" t="str">
        <f aca="false">IF(C2844="","",IFERROR(INDEX($S$5:$S$304,MATCH(C2844,$R$5:$R$304,0))&amp;"","?"))</f>
        <v>30</v>
      </c>
      <c r="N2844" s="2" t="n">
        <f aca="false">IF(E2844="","",IF(ISNUMBER(SEARCH("SUBSOLO",E2844)),IFERROR(-VALUE(LEFT(E2844,FIND("º",SUBSTITUTE(E2844,"°","º"))-1)),-1),IF(LEFT(E2844,6)="TÉRREO",0,IFERROR(VALUE(LEFT(E2844,FIND("º",SUBSTITUTE(E2844,"°","º"))-1)),""))))</f>
        <v>17</v>
      </c>
      <c r="O2844" s="2" t="str">
        <f aca="false">IF(OR(F2844="",G2844=""),"",IF(G2844&lt;='RETRATO 2027'!$K$5,"CONCLUÍDA",IF(F2844&lt;='RETRATO 2027'!$K$5,"EM ANDAMENTO","A INICIAR")))</f>
        <v>CONCLUÍDA</v>
      </c>
    </row>
    <row r="2845" customFormat="false" ht="15" hidden="false" customHeight="false" outlineLevel="0" collapsed="false">
      <c r="B2845" s="4" t="n">
        <v>26743127</v>
      </c>
      <c r="C2845" s="4" t="s">
        <v>2935</v>
      </c>
      <c r="D2845" s="4" t="s">
        <v>433</v>
      </c>
      <c r="E2845" s="4" t="s">
        <v>3776</v>
      </c>
      <c r="F2845" s="127" t="n">
        <v>46612</v>
      </c>
      <c r="G2845" s="127" t="n">
        <v>46623</v>
      </c>
      <c r="H2845" s="127" t="n">
        <v>46293</v>
      </c>
      <c r="I2845" s="4" t="n">
        <v>0</v>
      </c>
      <c r="J2845" s="4" t="n">
        <v>0</v>
      </c>
      <c r="K2845" s="4" t="n">
        <v>0</v>
      </c>
      <c r="M2845" s="2" t="str">
        <f aca="false">IF(C2845="","",IFERROR(INDEX($S$5:$S$304,MATCH(C2845,$R$5:$R$304,0))&amp;"","?"))</f>
        <v>30</v>
      </c>
      <c r="N2845" s="2" t="n">
        <f aca="false">IF(E2845="","",IF(ISNUMBER(SEARCH("SUBSOLO",E2845)),IFERROR(-VALUE(LEFT(E2845,FIND("º",SUBSTITUTE(E2845,"°","º"))-1)),-1),IF(LEFT(E2845,6)="TÉRREO",0,IFERROR(VALUE(LEFT(E2845,FIND("º",SUBSTITUTE(E2845,"°","º"))-1)),""))))</f>
        <v>18</v>
      </c>
      <c r="O2845" s="2" t="str">
        <f aca="false">IF(OR(F2845="",G2845=""),"",IF(G2845&lt;='RETRATO 2027'!$K$5,"CONCLUÍDA",IF(F2845&lt;='RETRATO 2027'!$K$5,"EM ANDAMENTO","A INICIAR")))</f>
        <v>CONCLUÍDA</v>
      </c>
    </row>
    <row r="2846" customFormat="false" ht="15" hidden="false" customHeight="false" outlineLevel="0" collapsed="false">
      <c r="B2846" s="4" t="n">
        <v>26743074</v>
      </c>
      <c r="C2846" s="4" t="s">
        <v>2938</v>
      </c>
      <c r="D2846" s="4" t="s">
        <v>433</v>
      </c>
      <c r="E2846" s="4" t="s">
        <v>3779</v>
      </c>
      <c r="F2846" s="127" t="n">
        <v>46612</v>
      </c>
      <c r="G2846" s="127" t="n">
        <v>46623</v>
      </c>
      <c r="H2846" s="127" t="n">
        <v>46293</v>
      </c>
      <c r="I2846" s="4" t="n">
        <v>0</v>
      </c>
      <c r="J2846" s="4" t="n">
        <v>0</v>
      </c>
      <c r="K2846" s="4" t="n">
        <v>0</v>
      </c>
      <c r="M2846" s="2" t="str">
        <f aca="false">IF(C2846="","",IFERROR(INDEX($S$5:$S$304,MATCH(C2846,$R$5:$R$304,0))&amp;"","?"))</f>
        <v>30</v>
      </c>
      <c r="N2846" s="2" t="n">
        <f aca="false">IF(E2846="","",IF(ISNUMBER(SEARCH("SUBSOLO",E2846)),IFERROR(-VALUE(LEFT(E2846,FIND("º",SUBSTITUTE(E2846,"°","º"))-1)),-1),IF(LEFT(E2846,6)="TÉRREO",0,IFERROR(VALUE(LEFT(E2846,FIND("º",SUBSTITUTE(E2846,"°","º"))-1)),""))))</f>
        <v>19</v>
      </c>
      <c r="O2846" s="2" t="str">
        <f aca="false">IF(OR(F2846="",G2846=""),"",IF(G2846&lt;='RETRATO 2027'!$K$5,"CONCLUÍDA",IF(F2846&lt;='RETRATO 2027'!$K$5,"EM ANDAMENTO","A INICIAR")))</f>
        <v>CONCLUÍDA</v>
      </c>
    </row>
    <row r="2847" customFormat="false" ht="15" hidden="false" customHeight="false" outlineLevel="0" collapsed="false">
      <c r="B2847" s="4" t="n">
        <v>26743036</v>
      </c>
      <c r="C2847" s="4" t="s">
        <v>166</v>
      </c>
      <c r="D2847" s="4" t="s">
        <v>433</v>
      </c>
      <c r="E2847" s="4" t="s">
        <v>3781</v>
      </c>
      <c r="F2847" s="127" t="n">
        <v>46612</v>
      </c>
      <c r="G2847" s="127" t="n">
        <v>46623</v>
      </c>
      <c r="H2847" s="127" t="n">
        <v>46293</v>
      </c>
      <c r="I2847" s="4" t="n">
        <v>0</v>
      </c>
      <c r="J2847" s="4" t="n">
        <v>0</v>
      </c>
      <c r="K2847" s="4" t="n">
        <v>0</v>
      </c>
      <c r="M2847" s="2" t="str">
        <f aca="false">IF(C2847="","",IFERROR(INDEX($S$5:$S$304,MATCH(C2847,$R$5:$R$304,0))&amp;"","?"))</f>
        <v>19</v>
      </c>
      <c r="N2847" s="2" t="n">
        <f aca="false">IF(E2847="","",IF(ISNUMBER(SEARCH("SUBSOLO",E2847)),IFERROR(-VALUE(LEFT(E2847,FIND("º",SUBSTITUTE(E2847,"°","º"))-1)),-1),IF(LEFT(E2847,6)="TÉRREO",0,IFERROR(VALUE(LEFT(E2847,FIND("º",SUBSTITUTE(E2847,"°","º"))-1)),""))))</f>
        <v>20</v>
      </c>
      <c r="O2847" s="2" t="str">
        <f aca="false">IF(OR(F2847="",G2847=""),"",IF(G2847&lt;='RETRATO 2027'!$K$5,"CONCLUÍDA",IF(F2847&lt;='RETRATO 2027'!$K$5,"EM ANDAMENTO","A INICIAR")))</f>
        <v>CONCLUÍDA</v>
      </c>
    </row>
    <row r="2848" customFormat="false" ht="15" hidden="false" customHeight="false" outlineLevel="0" collapsed="false">
      <c r="B2848" s="4" t="n">
        <v>26743009</v>
      </c>
      <c r="C2848" s="4" t="s">
        <v>2941</v>
      </c>
      <c r="D2848" s="4" t="s">
        <v>433</v>
      </c>
      <c r="E2848" s="4" t="s">
        <v>3783</v>
      </c>
      <c r="F2848" s="127" t="n">
        <v>46612</v>
      </c>
      <c r="G2848" s="127" t="n">
        <v>46623</v>
      </c>
      <c r="H2848" s="127" t="n">
        <v>46293</v>
      </c>
      <c r="I2848" s="4" t="n">
        <v>0</v>
      </c>
      <c r="J2848" s="4" t="n">
        <v>0</v>
      </c>
      <c r="K2848" s="4" t="n">
        <v>0</v>
      </c>
      <c r="M2848" s="2" t="str">
        <f aca="false">IF(C2848="","",IFERROR(INDEX($S$5:$S$304,MATCH(C2848,$R$5:$R$304,0))&amp;"","?"))</f>
        <v>18</v>
      </c>
      <c r="N2848" s="2" t="n">
        <f aca="false">IF(E2848="","",IF(ISNUMBER(SEARCH("SUBSOLO",E2848)),IFERROR(-VALUE(LEFT(E2848,FIND("º",SUBSTITUTE(E2848,"°","º"))-1)),-1),IF(LEFT(E2848,6)="TÉRREO",0,IFERROR(VALUE(LEFT(E2848,FIND("º",SUBSTITUTE(E2848,"°","º"))-1)),""))))</f>
        <v>21</v>
      </c>
      <c r="O2848" s="2" t="str">
        <f aca="false">IF(OR(F2848="",G2848=""),"",IF(G2848&lt;='RETRATO 2027'!$K$5,"CONCLUÍDA",IF(F2848&lt;='RETRATO 2027'!$K$5,"EM ANDAMENTO","A INICIAR")))</f>
        <v>CONCLUÍDA</v>
      </c>
    </row>
    <row r="2849" customFormat="false" ht="15" hidden="false" customHeight="false" outlineLevel="0" collapsed="false">
      <c r="B2849" s="4" t="n">
        <v>26742973</v>
      </c>
      <c r="C2849" s="4" t="s">
        <v>2924</v>
      </c>
      <c r="D2849" s="4" t="s">
        <v>433</v>
      </c>
      <c r="E2849" s="4" t="s">
        <v>3786</v>
      </c>
      <c r="F2849" s="127" t="n">
        <v>46612</v>
      </c>
      <c r="G2849" s="127" t="n">
        <v>46623</v>
      </c>
      <c r="H2849" s="127" t="n">
        <v>46293</v>
      </c>
      <c r="I2849" s="4" t="n">
        <v>0</v>
      </c>
      <c r="J2849" s="4" t="n">
        <v>0</v>
      </c>
      <c r="K2849" s="4" t="n">
        <v>0</v>
      </c>
      <c r="M2849" s="2" t="str">
        <f aca="false">IF(C2849="","",IFERROR(INDEX($S$5:$S$304,MATCH(C2849,$R$5:$R$304,0))&amp;"","?"))</f>
        <v>21</v>
      </c>
      <c r="N2849" s="2" t="n">
        <f aca="false">IF(E2849="","",IF(ISNUMBER(SEARCH("SUBSOLO",E2849)),IFERROR(-VALUE(LEFT(E2849,FIND("º",SUBSTITUTE(E2849,"°","º"))-1)),-1),IF(LEFT(E2849,6)="TÉRREO",0,IFERROR(VALUE(LEFT(E2849,FIND("º",SUBSTITUTE(E2849,"°","º"))-1)),""))))</f>
        <v>22</v>
      </c>
      <c r="O2849" s="2" t="str">
        <f aca="false">IF(OR(F2849="",G2849=""),"",IF(G2849&lt;='RETRATO 2027'!$K$5,"CONCLUÍDA",IF(F2849&lt;='RETRATO 2027'!$K$5,"EM ANDAMENTO","A INICIAR")))</f>
        <v>CONCLUÍDA</v>
      </c>
    </row>
    <row r="2850" customFormat="false" ht="15" hidden="false" customHeight="false" outlineLevel="0" collapsed="false">
      <c r="B2850" s="4" t="n">
        <v>26742956</v>
      </c>
      <c r="C2850" s="4" t="s">
        <v>2926</v>
      </c>
      <c r="D2850" s="4" t="s">
        <v>433</v>
      </c>
      <c r="E2850" s="4" t="s">
        <v>3786</v>
      </c>
      <c r="F2850" s="127" t="n">
        <v>46612</v>
      </c>
      <c r="G2850" s="127" t="n">
        <v>46623</v>
      </c>
      <c r="H2850" s="127" t="n">
        <v>46293</v>
      </c>
      <c r="I2850" s="4" t="n">
        <v>0</v>
      </c>
      <c r="J2850" s="4" t="n">
        <v>0</v>
      </c>
      <c r="K2850" s="4" t="n">
        <v>0</v>
      </c>
      <c r="M2850" s="2" t="str">
        <f aca="false">IF(C2850="","",IFERROR(INDEX($S$5:$S$304,MATCH(C2850,$R$5:$R$304,0))&amp;"","?"))</f>
        <v>20</v>
      </c>
      <c r="N2850" s="2" t="n">
        <f aca="false">IF(E2850="","",IF(ISNUMBER(SEARCH("SUBSOLO",E2850)),IFERROR(-VALUE(LEFT(E2850,FIND("º",SUBSTITUTE(E2850,"°","º"))-1)),-1),IF(LEFT(E2850,6)="TÉRREO",0,IFERROR(VALUE(LEFT(E2850,FIND("º",SUBSTITUTE(E2850,"°","º"))-1)),""))))</f>
        <v>22</v>
      </c>
      <c r="O2850" s="2" t="str">
        <f aca="false">IF(OR(F2850="",G2850=""),"",IF(G2850&lt;='RETRATO 2027'!$K$5,"CONCLUÍDA",IF(F2850&lt;='RETRATO 2027'!$K$5,"EM ANDAMENTO","A INICIAR")))</f>
        <v>CONCLUÍDA</v>
      </c>
    </row>
    <row r="2851" customFormat="false" ht="15" hidden="false" customHeight="false" outlineLevel="0" collapsed="false">
      <c r="B2851" s="4" t="n">
        <v>26742955</v>
      </c>
      <c r="C2851" s="4" t="s">
        <v>2928</v>
      </c>
      <c r="D2851" s="4" t="s">
        <v>433</v>
      </c>
      <c r="E2851" s="4" t="s">
        <v>3786</v>
      </c>
      <c r="F2851" s="127" t="n">
        <v>46612</v>
      </c>
      <c r="G2851" s="127" t="n">
        <v>46623</v>
      </c>
      <c r="H2851" s="127" t="n">
        <v>46293</v>
      </c>
      <c r="I2851" s="4" t="n">
        <v>0</v>
      </c>
      <c r="J2851" s="4" t="n">
        <v>0</v>
      </c>
      <c r="K2851" s="4" t="n">
        <v>0</v>
      </c>
      <c r="M2851" s="2" t="str">
        <f aca="false">IF(C2851="","",IFERROR(INDEX($S$5:$S$304,MATCH(C2851,$R$5:$R$304,0))&amp;"","?"))</f>
        <v>23</v>
      </c>
      <c r="N2851" s="2" t="n">
        <f aca="false">IF(E2851="","",IF(ISNUMBER(SEARCH("SUBSOLO",E2851)),IFERROR(-VALUE(LEFT(E2851,FIND("º",SUBSTITUTE(E2851,"°","º"))-1)),-1),IF(LEFT(E2851,6)="TÉRREO",0,IFERROR(VALUE(LEFT(E2851,FIND("º",SUBSTITUTE(E2851,"°","º"))-1)),""))))</f>
        <v>22</v>
      </c>
      <c r="O2851" s="2" t="str">
        <f aca="false">IF(OR(F2851="",G2851=""),"",IF(G2851&lt;='RETRATO 2027'!$K$5,"CONCLUÍDA",IF(F2851&lt;='RETRATO 2027'!$K$5,"EM ANDAMENTO","A INICIAR")))</f>
        <v>CONCLUÍDA</v>
      </c>
    </row>
    <row r="2852" customFormat="false" ht="15" hidden="false" customHeight="false" outlineLevel="0" collapsed="false">
      <c r="B2852" s="4" t="n">
        <v>26742974</v>
      </c>
      <c r="C2852" s="4" t="s">
        <v>2930</v>
      </c>
      <c r="D2852" s="4" t="s">
        <v>433</v>
      </c>
      <c r="E2852" s="4" t="s">
        <v>3786</v>
      </c>
      <c r="F2852" s="127" t="n">
        <v>46612</v>
      </c>
      <c r="G2852" s="127" t="n">
        <v>46623</v>
      </c>
      <c r="H2852" s="127" t="n">
        <v>46293</v>
      </c>
      <c r="I2852" s="4" t="n">
        <v>0</v>
      </c>
      <c r="J2852" s="4" t="n">
        <v>0</v>
      </c>
      <c r="K2852" s="4" t="n">
        <v>0</v>
      </c>
      <c r="M2852" s="2" t="str">
        <f aca="false">IF(C2852="","",IFERROR(INDEX($S$5:$S$304,MATCH(C2852,$R$5:$R$304,0))&amp;"","?"))</f>
        <v>21</v>
      </c>
      <c r="N2852" s="2" t="n">
        <f aca="false">IF(E2852="","",IF(ISNUMBER(SEARCH("SUBSOLO",E2852)),IFERROR(-VALUE(LEFT(E2852,FIND("º",SUBSTITUTE(E2852,"°","º"))-1)),-1),IF(LEFT(E2852,6)="TÉRREO",0,IFERROR(VALUE(LEFT(E2852,FIND("º",SUBSTITUTE(E2852,"°","º"))-1)),""))))</f>
        <v>22</v>
      </c>
      <c r="O2852" s="2" t="str">
        <f aca="false">IF(OR(F2852="",G2852=""),"",IF(G2852&lt;='RETRATO 2027'!$K$5,"CONCLUÍDA",IF(F2852&lt;='RETRATO 2027'!$K$5,"EM ANDAMENTO","A INICIAR")))</f>
        <v>CONCLUÍDA</v>
      </c>
    </row>
    <row r="2853" customFormat="false" ht="15" hidden="false" customHeight="false" outlineLevel="0" collapsed="false">
      <c r="B2853" s="4" t="n">
        <v>26742975</v>
      </c>
      <c r="C2853" s="4" t="s">
        <v>2933</v>
      </c>
      <c r="D2853" s="4" t="s">
        <v>433</v>
      </c>
      <c r="E2853" s="4" t="s">
        <v>3786</v>
      </c>
      <c r="F2853" s="127" t="n">
        <v>46612</v>
      </c>
      <c r="G2853" s="127" t="n">
        <v>46623</v>
      </c>
      <c r="H2853" s="127" t="n">
        <v>46293</v>
      </c>
      <c r="I2853" s="4" t="n">
        <v>0</v>
      </c>
      <c r="J2853" s="4" t="n">
        <v>0</v>
      </c>
      <c r="K2853" s="4" t="n">
        <v>0</v>
      </c>
      <c r="M2853" s="2" t="str">
        <f aca="false">IF(C2853="","",IFERROR(INDEX($S$5:$S$304,MATCH(C2853,$R$5:$R$304,0))&amp;"","?"))</f>
        <v>21</v>
      </c>
      <c r="N2853" s="2" t="n">
        <f aca="false">IF(E2853="","",IF(ISNUMBER(SEARCH("SUBSOLO",E2853)),IFERROR(-VALUE(LEFT(E2853,FIND("º",SUBSTITUTE(E2853,"°","º"))-1)),-1),IF(LEFT(E2853,6)="TÉRREO",0,IFERROR(VALUE(LEFT(E2853,FIND("º",SUBSTITUTE(E2853,"°","º"))-1)),""))))</f>
        <v>22</v>
      </c>
      <c r="O2853" s="2" t="str">
        <f aca="false">IF(OR(F2853="",G2853=""),"",IF(G2853&lt;='RETRATO 2027'!$K$5,"CONCLUÍDA",IF(F2853&lt;='RETRATO 2027'!$K$5,"EM ANDAMENTO","A INICIAR")))</f>
        <v>CONCLUÍDA</v>
      </c>
    </row>
    <row r="2854" customFormat="false" ht="15" hidden="false" customHeight="false" outlineLevel="0" collapsed="false">
      <c r="B2854" s="4" t="n">
        <v>26742917</v>
      </c>
      <c r="C2854" s="4" t="s">
        <v>2922</v>
      </c>
      <c r="D2854" s="4" t="s">
        <v>433</v>
      </c>
      <c r="E2854" s="4" t="s">
        <v>3787</v>
      </c>
      <c r="F2854" s="127" t="n">
        <v>46612</v>
      </c>
      <c r="G2854" s="127" t="n">
        <v>46623</v>
      </c>
      <c r="H2854" s="127" t="n">
        <v>46293</v>
      </c>
      <c r="I2854" s="4" t="n">
        <v>0</v>
      </c>
      <c r="J2854" s="4" t="n">
        <v>0</v>
      </c>
      <c r="K2854" s="4" t="n">
        <v>0</v>
      </c>
      <c r="M2854" s="2" t="str">
        <f aca="false">IF(C2854="","",IFERROR(INDEX($S$5:$S$304,MATCH(C2854,$R$5:$R$304,0))&amp;"","?"))</f>
        <v>18</v>
      </c>
      <c r="N2854" s="2" t="n">
        <f aca="false">IF(E2854="","",IF(ISNUMBER(SEARCH("SUBSOLO",E2854)),IFERROR(-VALUE(LEFT(E2854,FIND("º",SUBSTITUTE(E2854,"°","º"))-1)),-1),IF(LEFT(E2854,6)="TÉRREO",0,IFERROR(VALUE(LEFT(E2854,FIND("º",SUBSTITUTE(E2854,"°","º"))-1)),""))))</f>
        <v>23</v>
      </c>
      <c r="O2854" s="2" t="str">
        <f aca="false">IF(OR(F2854="",G2854=""),"",IF(G2854&lt;='RETRATO 2027'!$K$5,"CONCLUÍDA",IF(F2854&lt;='RETRATO 2027'!$K$5,"EM ANDAMENTO","A INICIAR")))</f>
        <v>CONCLUÍDA</v>
      </c>
    </row>
    <row r="2855" customFormat="false" ht="15" hidden="false" customHeight="false" outlineLevel="0" collapsed="false">
      <c r="B2855" s="4" t="n">
        <v>26744941</v>
      </c>
      <c r="C2855" s="4" t="s">
        <v>2980</v>
      </c>
      <c r="D2855" s="4" t="s">
        <v>433</v>
      </c>
      <c r="E2855" s="4" t="s">
        <v>3612</v>
      </c>
      <c r="F2855" s="127" t="n">
        <v>46615</v>
      </c>
      <c r="G2855" s="127" t="n">
        <v>46623</v>
      </c>
      <c r="H2855" s="127" t="n">
        <v>46293</v>
      </c>
      <c r="I2855" s="4" t="n">
        <v>0</v>
      </c>
      <c r="J2855" s="4" t="n">
        <v>0</v>
      </c>
      <c r="K2855" s="4" t="n">
        <v>0</v>
      </c>
      <c r="M2855" s="2" t="str">
        <f aca="false">IF(C2855="","",IFERROR(INDEX($S$5:$S$304,MATCH(C2855,$R$5:$R$304,0))&amp;"","?"))</f>
        <v>35</v>
      </c>
      <c r="N2855" s="2" t="n">
        <f aca="false">IF(E2855="","",IF(ISNUMBER(SEARCH("SUBSOLO",E2855)),IFERROR(-VALUE(LEFT(E2855,FIND("º",SUBSTITUTE(E2855,"°","º"))-1)),-1),IF(LEFT(E2855,6)="TÉRREO",0,IFERROR(VALUE(LEFT(E2855,FIND("º",SUBSTITUTE(E2855,"°","º"))-1)),""))))</f>
        <v>-1</v>
      </c>
      <c r="O2855" s="2" t="str">
        <f aca="false">IF(OR(F2855="",G2855=""),"",IF(G2855&lt;='RETRATO 2027'!$K$5,"CONCLUÍDA",IF(F2855&lt;='RETRATO 2027'!$K$5,"EM ANDAMENTO","A INICIAR")))</f>
        <v>CONCLUÍDA</v>
      </c>
    </row>
    <row r="2856" customFormat="false" ht="15" hidden="false" customHeight="false" outlineLevel="0" collapsed="false">
      <c r="B2856" s="4" t="n">
        <v>26745138</v>
      </c>
      <c r="C2856" s="4" t="s">
        <v>208</v>
      </c>
      <c r="D2856" s="4" t="s">
        <v>433</v>
      </c>
      <c r="E2856" s="4" t="s">
        <v>3807</v>
      </c>
      <c r="F2856" s="127" t="n">
        <v>46615</v>
      </c>
      <c r="G2856" s="127" t="n">
        <v>46624</v>
      </c>
      <c r="H2856" s="127" t="n">
        <v>46293</v>
      </c>
      <c r="I2856" s="4" t="n">
        <v>0</v>
      </c>
      <c r="J2856" s="4" t="n">
        <v>0</v>
      </c>
      <c r="K2856" s="4" t="n">
        <v>0</v>
      </c>
      <c r="M2856" s="2" t="str">
        <f aca="false">IF(C2856="","",IFERROR(INDEX($S$5:$S$304,MATCH(C2856,$R$5:$R$304,0))&amp;"","?"))</f>
        <v>33</v>
      </c>
      <c r="N2856" s="2" t="n">
        <f aca="false">IF(E2856="","",IF(ISNUMBER(SEARCH("SUBSOLO",E2856)),IFERROR(-VALUE(LEFT(E2856,FIND("º",SUBSTITUTE(E2856,"°","º"))-1)),-1),IF(LEFT(E2856,6)="TÉRREO",0,IFERROR(VALUE(LEFT(E2856,FIND("º",SUBSTITUTE(E2856,"°","º"))-1)),""))))</f>
        <v>2</v>
      </c>
      <c r="O2856" s="2" t="str">
        <f aca="false">IF(OR(F2856="",G2856=""),"",IF(G2856&lt;='RETRATO 2027'!$K$5,"CONCLUÍDA",IF(F2856&lt;='RETRATO 2027'!$K$5,"EM ANDAMENTO","A INICIAR")))</f>
        <v>CONCLUÍDA</v>
      </c>
    </row>
    <row r="2857" customFormat="false" ht="15" hidden="false" customHeight="false" outlineLevel="0" collapsed="false">
      <c r="B2857" s="4" t="n">
        <v>26708145</v>
      </c>
      <c r="C2857" s="4" t="s">
        <v>2869</v>
      </c>
      <c r="D2857" s="4" t="s">
        <v>433</v>
      </c>
      <c r="E2857" s="4" t="s">
        <v>3813</v>
      </c>
      <c r="F2857" s="127" t="n">
        <v>46616</v>
      </c>
      <c r="G2857" s="127" t="n">
        <v>46625</v>
      </c>
      <c r="H2857" s="127" t="n">
        <v>46293</v>
      </c>
      <c r="I2857" s="4" t="n">
        <v>0</v>
      </c>
      <c r="J2857" s="4" t="n">
        <v>0</v>
      </c>
      <c r="K2857" s="4" t="n">
        <v>0</v>
      </c>
      <c r="M2857" s="2" t="str">
        <f aca="false">IF(C2857="","",IFERROR(INDEX($S$5:$S$304,MATCH(C2857,$R$5:$R$304,0))&amp;"","?"))</f>
        <v>22</v>
      </c>
      <c r="N2857" s="2" t="n">
        <f aca="false">IF(E2857="","",IF(ISNUMBER(SEARCH("SUBSOLO",E2857)),IFERROR(-VALUE(LEFT(E2857,FIND("º",SUBSTITUTE(E2857,"°","º"))-1)),-1),IF(LEFT(E2857,6)="TÉRREO",0,IFERROR(VALUE(LEFT(E2857,FIND("º",SUBSTITUTE(E2857,"°","º"))-1)),""))))</f>
        <v>-6</v>
      </c>
      <c r="O2857" s="2" t="str">
        <f aca="false">IF(OR(F2857="",G2857=""),"",IF(G2857&lt;='RETRATO 2027'!$K$5,"CONCLUÍDA",IF(F2857&lt;='RETRATO 2027'!$K$5,"EM ANDAMENTO","A INICIAR")))</f>
        <v>CONCLUÍDA</v>
      </c>
    </row>
    <row r="2858" customFormat="false" ht="15" hidden="false" customHeight="false" outlineLevel="0" collapsed="false">
      <c r="B2858" s="4" t="n">
        <v>26750590</v>
      </c>
      <c r="C2858" s="4" t="s">
        <v>163</v>
      </c>
      <c r="D2858" s="4" t="s">
        <v>433</v>
      </c>
      <c r="E2858" s="4" t="s">
        <v>3814</v>
      </c>
      <c r="F2858" s="127" t="n">
        <v>46616</v>
      </c>
      <c r="G2858" s="127" t="n">
        <v>46625</v>
      </c>
      <c r="H2858" s="127" t="n">
        <v>46293</v>
      </c>
      <c r="I2858" s="4" t="n">
        <v>0</v>
      </c>
      <c r="J2858" s="4" t="n">
        <v>0</v>
      </c>
      <c r="K2858" s="4" t="n">
        <v>0</v>
      </c>
      <c r="M2858" s="2" t="str">
        <f aca="false">IF(C2858="","",IFERROR(INDEX($S$5:$S$304,MATCH(C2858,$R$5:$R$304,0))&amp;"","?"))</f>
        <v>18</v>
      </c>
      <c r="N2858" s="2" t="n">
        <f aca="false">IF(E2858="","",IF(ISNUMBER(SEARCH("SUBSOLO",E2858)),IFERROR(-VALUE(LEFT(E2858,FIND("º",SUBSTITUTE(E2858,"°","º"))-1)),-1),IF(LEFT(E2858,6)="TÉRREO",0,IFERROR(VALUE(LEFT(E2858,FIND("º",SUBSTITUTE(E2858,"°","º"))-1)),""))))</f>
        <v>-6</v>
      </c>
      <c r="O2858" s="2" t="str">
        <f aca="false">IF(OR(F2858="",G2858=""),"",IF(G2858&lt;='RETRATO 2027'!$K$5,"CONCLUÍDA",IF(F2858&lt;='RETRATO 2027'!$K$5,"EM ANDAMENTO","A INICIAR")))</f>
        <v>CONCLUÍDA</v>
      </c>
    </row>
    <row r="2859" customFormat="false" ht="15" hidden="false" customHeight="false" outlineLevel="0" collapsed="false">
      <c r="B2859" s="4" t="n">
        <v>26750517</v>
      </c>
      <c r="C2859" s="4" t="s">
        <v>2951</v>
      </c>
      <c r="D2859" s="4" t="s">
        <v>433</v>
      </c>
      <c r="E2859" s="4" t="s">
        <v>3767</v>
      </c>
      <c r="F2859" s="127" t="n">
        <v>46616</v>
      </c>
      <c r="G2859" s="127" t="n">
        <v>46622</v>
      </c>
      <c r="H2859" s="127" t="n">
        <v>46293</v>
      </c>
      <c r="I2859" s="4" t="n">
        <v>0</v>
      </c>
      <c r="J2859" s="4" t="n">
        <v>0</v>
      </c>
      <c r="K2859" s="4" t="n">
        <v>0</v>
      </c>
      <c r="M2859" s="2" t="str">
        <f aca="false">IF(C2859="","",IFERROR(INDEX($S$5:$S$304,MATCH(C2859,$R$5:$R$304,0))&amp;"","?"))</f>
        <v>32</v>
      </c>
      <c r="N2859" s="2" t="n">
        <f aca="false">IF(E2859="","",IF(ISNUMBER(SEARCH("SUBSOLO",E2859)),IFERROR(-VALUE(LEFT(E2859,FIND("º",SUBSTITUTE(E2859,"°","º"))-1)),-1),IF(LEFT(E2859,6)="TÉRREO",0,IFERROR(VALUE(LEFT(E2859,FIND("º",SUBSTITUTE(E2859,"°","º"))-1)),""))))</f>
        <v>-1</v>
      </c>
      <c r="O2859" s="2" t="str">
        <f aca="false">IF(OR(F2859="",G2859=""),"",IF(G2859&lt;='RETRATO 2027'!$K$5,"CONCLUÍDA",IF(F2859&lt;='RETRATO 2027'!$K$5,"EM ANDAMENTO","A INICIAR")))</f>
        <v>CONCLUÍDA</v>
      </c>
    </row>
    <row r="2860" customFormat="false" ht="15" hidden="false" customHeight="false" outlineLevel="0" collapsed="false">
      <c r="B2860" s="4" t="n">
        <v>26745171</v>
      </c>
      <c r="C2860" s="4" t="s">
        <v>2980</v>
      </c>
      <c r="D2860" s="4" t="s">
        <v>433</v>
      </c>
      <c r="E2860" s="4" t="s">
        <v>3770</v>
      </c>
      <c r="F2860" s="127" t="n">
        <v>46616</v>
      </c>
      <c r="G2860" s="127" t="n">
        <v>46625</v>
      </c>
      <c r="H2860" s="127" t="n">
        <v>46293</v>
      </c>
      <c r="I2860" s="4" t="n">
        <v>0</v>
      </c>
      <c r="J2860" s="4" t="n">
        <v>0</v>
      </c>
      <c r="K2860" s="4" t="n">
        <v>0</v>
      </c>
      <c r="M2860" s="2" t="str">
        <f aca="false">IF(C2860="","",IFERROR(INDEX($S$5:$S$304,MATCH(C2860,$R$5:$R$304,0))&amp;"","?"))</f>
        <v>35</v>
      </c>
      <c r="N2860" s="2" t="n">
        <f aca="false">IF(E2860="","",IF(ISNUMBER(SEARCH("SUBSOLO",E2860)),IFERROR(-VALUE(LEFT(E2860,FIND("º",SUBSTITUTE(E2860,"°","º"))-1)),-1),IF(LEFT(E2860,6)="TÉRREO",0,IFERROR(VALUE(LEFT(E2860,FIND("º",SUBSTITUTE(E2860,"°","º"))-1)),""))))</f>
        <v>-1</v>
      </c>
      <c r="O2860" s="2" t="str">
        <f aca="false">IF(OR(F2860="",G2860=""),"",IF(G2860&lt;='RETRATO 2027'!$K$5,"CONCLUÍDA",IF(F2860&lt;='RETRATO 2027'!$K$5,"EM ANDAMENTO","A INICIAR")))</f>
        <v>CONCLUÍDA</v>
      </c>
    </row>
    <row r="2861" customFormat="false" ht="15" hidden="false" customHeight="false" outlineLevel="0" collapsed="false">
      <c r="B2861" s="4" t="n">
        <v>26750510</v>
      </c>
      <c r="C2861" s="4" t="s">
        <v>2962</v>
      </c>
      <c r="D2861" s="4" t="s">
        <v>433</v>
      </c>
      <c r="E2861" s="4" t="s">
        <v>3775</v>
      </c>
      <c r="F2861" s="127" t="n">
        <v>46616</v>
      </c>
      <c r="G2861" s="127" t="n">
        <v>46622</v>
      </c>
      <c r="H2861" s="127" t="n">
        <v>46293</v>
      </c>
      <c r="I2861" s="4" t="n">
        <v>0</v>
      </c>
      <c r="J2861" s="4" t="n">
        <v>0</v>
      </c>
      <c r="K2861" s="4" t="n">
        <v>0</v>
      </c>
      <c r="M2861" s="2" t="str">
        <f aca="false">IF(C2861="","",IFERROR(INDEX($S$5:$S$304,MATCH(C2861,$R$5:$R$304,0))&amp;"","?"))</f>
        <v>34</v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>CONCLUÍDA</v>
      </c>
    </row>
    <row r="2862" customFormat="false" ht="15" hidden="false" customHeight="false" outlineLevel="0" collapsed="false">
      <c r="B2862" s="4" t="n">
        <v>26707633</v>
      </c>
      <c r="C2862" s="4" t="s">
        <v>2808</v>
      </c>
      <c r="D2862" s="4" t="s">
        <v>433</v>
      </c>
      <c r="E2862" s="4" t="s">
        <v>3811</v>
      </c>
      <c r="F2862" s="127" t="n">
        <v>46616</v>
      </c>
      <c r="G2862" s="127" t="n">
        <v>46636</v>
      </c>
      <c r="H2862" s="127" t="n">
        <v>46293</v>
      </c>
      <c r="I2862" s="4" t="n">
        <v>0</v>
      </c>
      <c r="J2862" s="4" t="n">
        <v>0</v>
      </c>
      <c r="K2862" s="4" t="n">
        <v>0</v>
      </c>
      <c r="M2862" s="2" t="str">
        <f aca="false">IF(C2862="","",IFERROR(INDEX($S$5:$S$304,MATCH(C2862,$R$5:$R$304,0))&amp;"","?"))</f>
        <v>29</v>
      </c>
      <c r="N2862" s="2" t="n">
        <f aca="false">IF(E2862="","",IF(ISNUMBER(SEARCH("SUBSOLO",E2862)),IFERROR(-VALUE(LEFT(E2862,FIND("º",SUBSTITUTE(E2862,"°","º"))-1)),-1),IF(LEFT(E2862,6)="TÉRREO",0,IFERROR(VALUE(LEFT(E2862,FIND("º",SUBSTITUTE(E2862,"°","º"))-1)),""))))</f>
        <v>2</v>
      </c>
      <c r="O2862" s="2" t="str">
        <f aca="false">IF(OR(F2862="",G2862=""),"",IF(G2862&lt;='RETRATO 2027'!$K$5,"CONCLUÍDA",IF(F2862&lt;='RETRATO 2027'!$K$5,"EM ANDAMENTO","A INICIAR")))</f>
        <v>CONCLUÍDA</v>
      </c>
    </row>
    <row r="2863" customFormat="false" ht="15" hidden="false" customHeight="false" outlineLevel="0" collapsed="false">
      <c r="B2863" s="4" t="n">
        <v>26742897</v>
      </c>
      <c r="C2863" s="4" t="s">
        <v>2916</v>
      </c>
      <c r="D2863" s="4" t="s">
        <v>433</v>
      </c>
      <c r="E2863" s="4" t="s">
        <v>3788</v>
      </c>
      <c r="F2863" s="127" t="n">
        <v>46616</v>
      </c>
      <c r="G2863" s="127" t="n">
        <v>46623</v>
      </c>
      <c r="H2863" s="127" t="n">
        <v>46293</v>
      </c>
      <c r="I2863" s="4" t="n">
        <v>0</v>
      </c>
      <c r="J2863" s="4" t="n">
        <v>0</v>
      </c>
      <c r="K2863" s="4" t="n">
        <v>0</v>
      </c>
      <c r="M2863" s="2" t="str">
        <f aca="false">IF(C2863="","",IFERROR(INDEX($S$5:$S$304,MATCH(C2863,$R$5:$R$304,0))&amp;"","?"))</f>
        <v>18</v>
      </c>
      <c r="N2863" s="2" t="n">
        <f aca="false">IF(E2863="","",IF(ISNUMBER(SEARCH("SUBSOLO",E2863)),IFERROR(-VALUE(LEFT(E2863,FIND("º",SUBSTITUTE(E2863,"°","º"))-1)),-1),IF(LEFT(E2863,6)="TÉRREO",0,IFERROR(VALUE(LEFT(E2863,FIND("º",SUBSTITUTE(E2863,"°","º"))-1)),""))))</f>
        <v>24</v>
      </c>
      <c r="O2863" s="2" t="str">
        <f aca="false">IF(OR(F2863="",G2863=""),"",IF(G2863&lt;='RETRATO 2027'!$K$5,"CONCLUÍDA",IF(F2863&lt;='RETRATO 2027'!$K$5,"EM ANDAMENTO","A INICIAR")))</f>
        <v>CONCLUÍDA</v>
      </c>
    </row>
    <row r="2864" customFormat="false" ht="15" hidden="false" customHeight="false" outlineLevel="0" collapsed="false">
      <c r="B2864" s="4" t="n">
        <v>26745157</v>
      </c>
      <c r="C2864" s="4" t="s">
        <v>2948</v>
      </c>
      <c r="D2864" s="4" t="s">
        <v>433</v>
      </c>
      <c r="E2864" s="4" t="s">
        <v>3652</v>
      </c>
      <c r="F2864" s="127" t="n">
        <v>46617</v>
      </c>
      <c r="G2864" s="127" t="n">
        <v>46626</v>
      </c>
      <c r="H2864" s="127" t="n">
        <v>46293</v>
      </c>
      <c r="I2864" s="4" t="n">
        <v>0</v>
      </c>
      <c r="J2864" s="4" t="n">
        <v>0</v>
      </c>
      <c r="K2864" s="4" t="n">
        <v>0</v>
      </c>
      <c r="M2864" s="2" t="str">
        <f aca="false">IF(C2864="","",IFERROR(INDEX($S$5:$S$304,MATCH(C2864,$R$5:$R$304,0))&amp;"","?"))</f>
        <v>25</v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>CONCLUÍDA</v>
      </c>
    </row>
    <row r="2865" customFormat="false" ht="15" hidden="false" customHeight="false" outlineLevel="0" collapsed="false">
      <c r="B2865" s="4" t="n">
        <v>26745034</v>
      </c>
      <c r="C2865" s="4" t="s">
        <v>189</v>
      </c>
      <c r="D2865" s="4" t="s">
        <v>433</v>
      </c>
      <c r="E2865" s="4" t="s">
        <v>3801</v>
      </c>
      <c r="F2865" s="127" t="n">
        <v>46617</v>
      </c>
      <c r="G2865" s="127" t="n">
        <v>46626</v>
      </c>
      <c r="H2865" s="127" t="n">
        <v>46293</v>
      </c>
      <c r="I2865" s="4" t="n">
        <v>0</v>
      </c>
      <c r="J2865" s="4" t="n">
        <v>0</v>
      </c>
      <c r="K2865" s="4" t="n">
        <v>0</v>
      </c>
      <c r="M2865" s="2" t="str">
        <f aca="false">IF(C2865="","",IFERROR(INDEX($S$5:$S$304,MATCH(C2865,$R$5:$R$304,0))&amp;"","?"))</f>
        <v>27</v>
      </c>
      <c r="N2865" s="2" t="n">
        <f aca="false">IF(E2865="","",IF(ISNUMBER(SEARCH("SUBSOLO",E2865)),IFERROR(-VALUE(LEFT(E2865,FIND("º",SUBSTITUTE(E2865,"°","º"))-1)),-1),IF(LEFT(E2865,6)="TÉRREO",0,IFERROR(VALUE(LEFT(E2865,FIND("º",SUBSTITUTE(E2865,"°","º"))-1)),""))))</f>
        <v>1</v>
      </c>
      <c r="O2865" s="2" t="str">
        <f aca="false">IF(OR(F2865="",G2865=""),"",IF(G2865&lt;='RETRATO 2027'!$K$5,"CONCLUÍDA",IF(F2865&lt;='RETRATO 2027'!$K$5,"EM ANDAMENTO","A INICIAR")))</f>
        <v>CONCLUÍDA</v>
      </c>
    </row>
    <row r="2866" customFormat="false" ht="15" hidden="false" customHeight="false" outlineLevel="0" collapsed="false">
      <c r="B2866" s="4" t="n">
        <v>26707649</v>
      </c>
      <c r="C2866" s="4" t="s">
        <v>2997</v>
      </c>
      <c r="D2866" s="4" t="s">
        <v>433</v>
      </c>
      <c r="E2866" s="4" t="s">
        <v>3785</v>
      </c>
      <c r="F2866" s="127" t="n">
        <v>46618</v>
      </c>
      <c r="G2866" s="127" t="n">
        <v>46639</v>
      </c>
      <c r="H2866" s="127" t="n">
        <v>46293</v>
      </c>
      <c r="I2866" s="4" t="n">
        <v>0</v>
      </c>
      <c r="J2866" s="4" t="n">
        <v>0</v>
      </c>
      <c r="K2866" s="4" t="n">
        <v>0</v>
      </c>
      <c r="M2866" s="2" t="str">
        <f aca="false">IF(C2866="","",IFERROR(INDEX($S$5:$S$304,MATCH(C2866,$R$5:$R$304,0))&amp;"","?"))</f>
        <v>35</v>
      </c>
      <c r="N2866" s="2" t="n">
        <f aca="false">IF(E2866="","",IF(ISNUMBER(SEARCH("SUBSOLO",E2866)),IFERROR(-VALUE(LEFT(E2866,FIND("º",SUBSTITUTE(E2866,"°","º"))-1)),-1),IF(LEFT(E2866,6)="TÉRREO",0,IFERROR(VALUE(LEFT(E2866,FIND("º",SUBSTITUTE(E2866,"°","º"))-1)),""))))</f>
        <v>1</v>
      </c>
      <c r="O2866" s="2" t="str">
        <f aca="false">IF(OR(F2866="",G2866=""),"",IF(G2866&lt;='RETRATO 2027'!$K$5,"CONCLUÍDA",IF(F2866&lt;='RETRATO 2027'!$K$5,"EM ANDAMENTO","A INICIAR")))</f>
        <v>CONCLUÍDA</v>
      </c>
    </row>
    <row r="2867" customFormat="false" ht="15" hidden="false" customHeight="false" outlineLevel="0" collapsed="false">
      <c r="B2867" s="4" t="n">
        <v>26745052</v>
      </c>
      <c r="C2867" s="4" t="s">
        <v>3032</v>
      </c>
      <c r="D2867" s="4" t="s">
        <v>433</v>
      </c>
      <c r="E2867" s="4" t="s">
        <v>3659</v>
      </c>
      <c r="F2867" s="127" t="n">
        <v>46618</v>
      </c>
      <c r="G2867" s="127" t="n">
        <v>46629</v>
      </c>
      <c r="H2867" s="127" t="n">
        <v>46293</v>
      </c>
      <c r="I2867" s="4" t="n">
        <v>0</v>
      </c>
      <c r="J2867" s="4" t="n">
        <v>0</v>
      </c>
      <c r="K2867" s="4" t="n">
        <v>0</v>
      </c>
      <c r="M2867" s="2" t="str">
        <f aca="false">IF(C2867="","",IFERROR(INDEX($S$5:$S$304,MATCH(C2867,$R$5:$R$304,0))&amp;"","?"))</f>
        <v>35</v>
      </c>
      <c r="N2867" s="2" t="n">
        <f aca="false">IF(E2867="","",IF(ISNUMBER(SEARCH("SUBSOLO",E2867)),IFERROR(-VALUE(LEFT(E2867,FIND("º",SUBSTITUTE(E2867,"°","º"))-1)),-1),IF(LEFT(E2867,6)="TÉRREO",0,IFERROR(VALUE(LEFT(E2867,FIND("º",SUBSTITUTE(E2867,"°","º"))-1)),""))))</f>
        <v>1</v>
      </c>
      <c r="O2867" s="2" t="str">
        <f aca="false">IF(OR(F2867="",G2867=""),"",IF(G2867&lt;='RETRATO 2027'!$K$5,"CONCLUÍDA",IF(F2867&lt;='RETRATO 2027'!$K$5,"EM ANDAMENTO","A INICIAR")))</f>
        <v>CONCLUÍDA</v>
      </c>
    </row>
    <row r="2868" customFormat="false" ht="15" hidden="false" customHeight="false" outlineLevel="0" collapsed="false">
      <c r="B2868" s="4" t="n">
        <v>26744695</v>
      </c>
      <c r="C2868" s="4" t="s">
        <v>2869</v>
      </c>
      <c r="D2868" s="4" t="s">
        <v>433</v>
      </c>
      <c r="E2868" s="4" t="s">
        <v>3810</v>
      </c>
      <c r="F2868" s="127" t="n">
        <v>46618</v>
      </c>
      <c r="G2868" s="127" t="n">
        <v>46631</v>
      </c>
      <c r="H2868" s="127" t="n">
        <v>46293</v>
      </c>
      <c r="I2868" s="4" t="n">
        <v>0</v>
      </c>
      <c r="J2868" s="4" t="n">
        <v>0</v>
      </c>
      <c r="K2868" s="4" t="n">
        <v>0</v>
      </c>
      <c r="M2868" s="2" t="str">
        <f aca="false">IF(C2868="","",IFERROR(INDEX($S$5:$S$304,MATCH(C2868,$R$5:$R$304,0))&amp;"","?"))</f>
        <v>22</v>
      </c>
      <c r="N2868" s="2" t="n">
        <f aca="false">IF(E2868="","",IF(ISNUMBER(SEARCH("SUBSOLO",E2868)),IFERROR(-VALUE(LEFT(E2868,FIND("º",SUBSTITUTE(E2868,"°","º"))-1)),-1),IF(LEFT(E2868,6)="TÉRREO",0,IFERROR(VALUE(LEFT(E2868,FIND("º",SUBSTITUTE(E2868,"°","º"))-1)),""))))</f>
        <v>3</v>
      </c>
      <c r="O2868" s="2" t="str">
        <f aca="false">IF(OR(F2868="",G2868=""),"",IF(G2868&lt;='RETRATO 2027'!$K$5,"CONCLUÍDA",IF(F2868&lt;='RETRATO 2027'!$K$5,"EM ANDAMENTO","A INICIAR")))</f>
        <v>CONCLUÍDA</v>
      </c>
    </row>
    <row r="2869" customFormat="false" ht="15" hidden="false" customHeight="false" outlineLevel="0" collapsed="false">
      <c r="B2869" s="4" t="n">
        <v>26744661</v>
      </c>
      <c r="C2869" s="4" t="s">
        <v>163</v>
      </c>
      <c r="D2869" s="4" t="s">
        <v>433</v>
      </c>
      <c r="E2869" s="4" t="s">
        <v>3774</v>
      </c>
      <c r="F2869" s="127" t="n">
        <v>46618</v>
      </c>
      <c r="G2869" s="127" t="n">
        <v>46681</v>
      </c>
      <c r="H2869" s="127" t="n">
        <v>46293</v>
      </c>
      <c r="I2869" s="4" t="n">
        <v>0</v>
      </c>
      <c r="J2869" s="4" t="n">
        <v>0</v>
      </c>
      <c r="K2869" s="4" t="n">
        <v>0</v>
      </c>
      <c r="M2869" s="2" t="str">
        <f aca="false">IF(C2869="","",IFERROR(INDEX($S$5:$S$304,MATCH(C2869,$R$5:$R$304,0))&amp;"","?"))</f>
        <v>18</v>
      </c>
      <c r="N2869" s="2" t="n">
        <f aca="false">IF(E2869="","",IF(ISNUMBER(SEARCH("SUBSOLO",E2869)),IFERROR(-VALUE(LEFT(E2869,FIND("º",SUBSTITUTE(E2869,"°","º"))-1)),-1),IF(LEFT(E2869,6)="TÉRREO",0,IFERROR(VALUE(LEFT(E2869,FIND("º",SUBSTITUTE(E2869,"°","º"))-1)),""))))</f>
        <v>3</v>
      </c>
      <c r="O2869" s="2" t="str">
        <f aca="false">IF(OR(F2869="",G2869=""),"",IF(G2869&lt;='RETRATO 2027'!$K$5,"CONCLUÍDA",IF(F2869&lt;='RETRATO 2027'!$K$5,"EM ANDAMENTO","A INICIAR")))</f>
        <v>CONCLUÍDA</v>
      </c>
    </row>
    <row r="2870" customFormat="false" ht="15" hidden="false" customHeight="false" outlineLevel="0" collapsed="false">
      <c r="B2870" s="4" t="n">
        <v>26742859</v>
      </c>
      <c r="C2870" s="4" t="s">
        <v>2814</v>
      </c>
      <c r="D2870" s="4" t="s">
        <v>433</v>
      </c>
      <c r="E2870" s="4" t="s">
        <v>3794</v>
      </c>
      <c r="F2870" s="127" t="n">
        <v>46618</v>
      </c>
      <c r="G2870" s="127" t="n">
        <v>46625</v>
      </c>
      <c r="H2870" s="127" t="n">
        <v>46293</v>
      </c>
      <c r="I2870" s="4" t="n">
        <v>0</v>
      </c>
      <c r="J2870" s="4" t="n">
        <v>0</v>
      </c>
      <c r="K2870" s="4" t="n">
        <v>0</v>
      </c>
      <c r="M2870" s="2" t="str">
        <f aca="false">IF(C2870="","",IFERROR(INDEX($S$5:$S$304,MATCH(C2870,$R$5:$R$304,0))&amp;"","?"))</f>
        <v>28</v>
      </c>
      <c r="N2870" s="2" t="n">
        <f aca="false">IF(E2870="","",IF(ISNUMBER(SEARCH("SUBSOLO",E2870)),IFERROR(-VALUE(LEFT(E2870,FIND("º",SUBSTITUTE(E2870,"°","º"))-1)),-1),IF(LEFT(E2870,6)="TÉRREO",0,IFERROR(VALUE(LEFT(E2870,FIND("º",SUBSTITUTE(E2870,"°","º"))-1)),""))))</f>
        <v>25</v>
      </c>
      <c r="O2870" s="2" t="str">
        <f aca="false">IF(OR(F2870="",G2870=""),"",IF(G2870&lt;='RETRATO 2027'!$K$5,"CONCLUÍDA",IF(F2870&lt;='RETRATO 2027'!$K$5,"EM ANDAMENTO","A INICIAR")))</f>
        <v>CONCLUÍDA</v>
      </c>
    </row>
    <row r="2871" customFormat="false" ht="15" hidden="false" customHeight="false" outlineLevel="0" collapsed="false">
      <c r="B2871" s="4" t="n">
        <v>26742828</v>
      </c>
      <c r="C2871" s="4" t="s">
        <v>2914</v>
      </c>
      <c r="D2871" s="4" t="s">
        <v>433</v>
      </c>
      <c r="E2871" s="4" t="s">
        <v>3797</v>
      </c>
      <c r="F2871" s="127" t="n">
        <v>46618</v>
      </c>
      <c r="G2871" s="127" t="n">
        <v>46629</v>
      </c>
      <c r="H2871" s="127" t="n">
        <v>46293</v>
      </c>
      <c r="I2871" s="4" t="n">
        <v>0</v>
      </c>
      <c r="J2871" s="4" t="n">
        <v>0</v>
      </c>
      <c r="K2871" s="4" t="n">
        <v>0</v>
      </c>
      <c r="M2871" s="2" t="str">
        <f aca="false">IF(C2871="","",IFERROR(INDEX($S$5:$S$304,MATCH(C2871,$R$5:$R$304,0))&amp;"","?"))</f>
        <v>21</v>
      </c>
      <c r="N2871" s="2" t="n">
        <f aca="false">IF(E2871="","",IF(ISNUMBER(SEARCH("SUBSOLO",E2871)),IFERROR(-VALUE(LEFT(E2871,FIND("º",SUBSTITUTE(E2871,"°","º"))-1)),-1),IF(LEFT(E2871,6)="TÉRREO",0,IFERROR(VALUE(LEFT(E2871,FIND("º",SUBSTITUTE(E2871,"°","º"))-1)),""))))</f>
        <v>26</v>
      </c>
      <c r="O2871" s="2" t="str">
        <f aca="false">IF(OR(F2871="",G2871=""),"",IF(G2871&lt;='RETRATO 2027'!$K$5,"CONCLUÍDA",IF(F2871&lt;='RETRATO 2027'!$K$5,"EM ANDAMENTO","A INICIAR")))</f>
        <v>CONCLUÍDA</v>
      </c>
    </row>
    <row r="2872" customFormat="false" ht="15" hidden="false" customHeight="false" outlineLevel="0" collapsed="false">
      <c r="B2872" s="4" t="n">
        <v>26742784</v>
      </c>
      <c r="C2872" s="4" t="s">
        <v>2808</v>
      </c>
      <c r="D2872" s="4" t="s">
        <v>433</v>
      </c>
      <c r="E2872" s="4" t="s">
        <v>3799</v>
      </c>
      <c r="F2872" s="127" t="n">
        <v>46618</v>
      </c>
      <c r="G2872" s="127" t="n">
        <v>46629</v>
      </c>
      <c r="H2872" s="127" t="n">
        <v>46293</v>
      </c>
      <c r="I2872" s="4" t="n">
        <v>0</v>
      </c>
      <c r="J2872" s="4" t="n">
        <v>0</v>
      </c>
      <c r="K2872" s="4" t="n">
        <v>0</v>
      </c>
      <c r="M2872" s="2" t="str">
        <f aca="false">IF(C2872="","",IFERROR(INDEX($S$5:$S$304,MATCH(C2872,$R$5:$R$304,0))&amp;"","?"))</f>
        <v>29</v>
      </c>
      <c r="N2872" s="2" t="n">
        <f aca="false">IF(E2872="","",IF(ISNUMBER(SEARCH("SUBSOLO",E2872)),IFERROR(-VALUE(LEFT(E2872,FIND("º",SUBSTITUTE(E2872,"°","º"))-1)),-1),IF(LEFT(E2872,6)="TÉRREO",0,IFERROR(VALUE(LEFT(E2872,FIND("º",SUBSTITUTE(E2872,"°","º"))-1)),""))))</f>
        <v>27</v>
      </c>
      <c r="O2872" s="2" t="str">
        <f aca="false">IF(OR(F2872="",G2872=""),"",IF(G2872&lt;='RETRATO 2027'!$K$5,"CONCLUÍDA",IF(F2872&lt;='RETRATO 2027'!$K$5,"EM ANDAMENTO","A INICIAR")))</f>
        <v>CONCLUÍDA</v>
      </c>
    </row>
    <row r="2873" customFormat="false" ht="15" hidden="false" customHeight="false" outlineLevel="0" collapsed="false">
      <c r="B2873" s="4" t="n">
        <v>26742746</v>
      </c>
      <c r="C2873" s="4" t="s">
        <v>2910</v>
      </c>
      <c r="D2873" s="4" t="s">
        <v>433</v>
      </c>
      <c r="E2873" s="4" t="s">
        <v>3802</v>
      </c>
      <c r="F2873" s="127" t="n">
        <v>46618</v>
      </c>
      <c r="G2873" s="127" t="n">
        <v>46629</v>
      </c>
      <c r="H2873" s="127" t="n">
        <v>46293</v>
      </c>
      <c r="I2873" s="4" t="n">
        <v>0</v>
      </c>
      <c r="J2873" s="4" t="n">
        <v>0</v>
      </c>
      <c r="K2873" s="4" t="n">
        <v>0</v>
      </c>
      <c r="M2873" s="2" t="str">
        <f aca="false">IF(C2873="","",IFERROR(INDEX($S$5:$S$304,MATCH(C2873,$R$5:$R$304,0))&amp;"","?"))</f>
        <v>25</v>
      </c>
      <c r="N2873" s="2" t="n">
        <f aca="false">IF(E2873="","",IF(ISNUMBER(SEARCH("SUBSOLO",E2873)),IFERROR(-VALUE(LEFT(E2873,FIND("º",SUBSTITUTE(E2873,"°","º"))-1)),-1),IF(LEFT(E2873,6)="TÉRREO",0,IFERROR(VALUE(LEFT(E2873,FIND("º",SUBSTITUTE(E2873,"°","º"))-1)),""))))</f>
        <v>28</v>
      </c>
      <c r="O2873" s="2" t="str">
        <f aca="false">IF(OR(F2873="",G2873=""),"",IF(G2873&lt;='RETRATO 2027'!$K$5,"CONCLUÍDA",IF(F2873&lt;='RETRATO 2027'!$K$5,"EM ANDAMENTO","A INICIAR")))</f>
        <v>CONCLUÍDA</v>
      </c>
    </row>
    <row r="2874" customFormat="false" ht="15" hidden="false" customHeight="false" outlineLevel="0" collapsed="false">
      <c r="B2874" s="4" t="n">
        <v>26707693</v>
      </c>
      <c r="C2874" s="4" t="s">
        <v>2971</v>
      </c>
      <c r="D2874" s="4" t="s">
        <v>433</v>
      </c>
      <c r="E2874" s="4" t="s">
        <v>3772</v>
      </c>
      <c r="F2874" s="127" t="n">
        <v>46619</v>
      </c>
      <c r="G2874" s="127" t="n">
        <v>46632</v>
      </c>
      <c r="H2874" s="127" t="n">
        <v>46293</v>
      </c>
      <c r="I2874" s="4" t="n">
        <v>0</v>
      </c>
      <c r="J2874" s="4" t="n">
        <v>0</v>
      </c>
      <c r="K2874" s="4" t="n">
        <v>0</v>
      </c>
      <c r="M2874" s="2" t="str">
        <f aca="false">IF(C2874="","",IFERROR(INDEX($S$5:$S$304,MATCH(C2874,$R$5:$R$304,0))&amp;"","?"))</f>
        <v>37</v>
      </c>
      <c r="N2874" s="2" t="n">
        <f aca="false">IF(E2874="","",IF(ISNUMBER(SEARCH("SUBSOLO",E2874)),IFERROR(-VALUE(LEFT(E2874,FIND("º",SUBSTITUTE(E2874,"°","º"))-1)),-1),IF(LEFT(E2874,6)="TÉRREO",0,IFERROR(VALUE(LEFT(E2874,FIND("º",SUBSTITUTE(E2874,"°","º"))-1)),""))))</f>
        <v>1</v>
      </c>
      <c r="O2874" s="2" t="str">
        <f aca="false">IF(OR(F2874="",G2874=""),"",IF(G2874&lt;='RETRATO 2027'!$K$5,"CONCLUÍDA",IF(F2874&lt;='RETRATO 2027'!$K$5,"EM ANDAMENTO","A INICIAR")))</f>
        <v>CONCLUÍDA</v>
      </c>
    </row>
    <row r="2875" customFormat="false" ht="15" hidden="false" customHeight="false" outlineLevel="0" collapsed="false">
      <c r="B2875" s="4" t="n">
        <v>26707611</v>
      </c>
      <c r="C2875" s="4" t="s">
        <v>2869</v>
      </c>
      <c r="D2875" s="4" t="s">
        <v>433</v>
      </c>
      <c r="E2875" s="4" t="s">
        <v>3812</v>
      </c>
      <c r="F2875" s="127" t="n">
        <v>46619</v>
      </c>
      <c r="G2875" s="127" t="n">
        <v>46640</v>
      </c>
      <c r="H2875" s="127" t="n">
        <v>46293</v>
      </c>
      <c r="I2875" s="4" t="n">
        <v>0</v>
      </c>
      <c r="J2875" s="4" t="n">
        <v>0</v>
      </c>
      <c r="K2875" s="4" t="n">
        <v>0</v>
      </c>
      <c r="M2875" s="2" t="str">
        <f aca="false">IF(C2875="","",IFERROR(INDEX($S$5:$S$304,MATCH(C2875,$R$5:$R$304,0))&amp;"","?"))</f>
        <v>22</v>
      </c>
      <c r="N2875" s="2" t="n">
        <f aca="false">IF(E2875="","",IF(ISNUMBER(SEARCH("SUBSOLO",E2875)),IFERROR(-VALUE(LEFT(E2875,FIND("º",SUBSTITUTE(E2875,"°","º"))-1)),-1),IF(LEFT(E2875,6)="TÉRREO",0,IFERROR(VALUE(LEFT(E2875,FIND("º",SUBSTITUTE(E2875,"°","º"))-1)),""))))</f>
        <v>2</v>
      </c>
      <c r="O2875" s="2" t="str">
        <f aca="false">IF(OR(F2875="",G2875=""),"",IF(G2875&lt;='RETRATO 2027'!$K$5,"CONCLUÍDA",IF(F2875&lt;='RETRATO 2027'!$K$5,"EM ANDAMENTO","A INICIAR")))</f>
        <v>CONCLUÍDA</v>
      </c>
    </row>
    <row r="2876" customFormat="false" ht="15" hidden="false" customHeight="false" outlineLevel="0" collapsed="false">
      <c r="B2876" s="4" t="n">
        <v>26707591</v>
      </c>
      <c r="C2876" s="4" t="s">
        <v>163</v>
      </c>
      <c r="D2876" s="4" t="s">
        <v>433</v>
      </c>
      <c r="E2876" s="4" t="s">
        <v>3815</v>
      </c>
      <c r="F2876" s="127" t="n">
        <v>46619</v>
      </c>
      <c r="G2876" s="127" t="n">
        <v>46651</v>
      </c>
      <c r="H2876" s="127" t="n">
        <v>46293</v>
      </c>
      <c r="I2876" s="4" t="n">
        <v>0</v>
      </c>
      <c r="J2876" s="4" t="n">
        <v>0</v>
      </c>
      <c r="K2876" s="4" t="n">
        <v>0</v>
      </c>
      <c r="M2876" s="2" t="str">
        <f aca="false">IF(C2876="","",IFERROR(INDEX($S$5:$S$304,MATCH(C2876,$R$5:$R$304,0))&amp;"","?"))</f>
        <v>18</v>
      </c>
      <c r="N2876" s="2" t="n">
        <f aca="false">IF(E2876="","",IF(ISNUMBER(SEARCH("SUBSOLO",E2876)),IFERROR(-VALUE(LEFT(E2876,FIND("º",SUBSTITUTE(E2876,"°","º"))-1)),-1),IF(LEFT(E2876,6)="TÉRREO",0,IFERROR(VALUE(LEFT(E2876,FIND("º",SUBSTITUTE(E2876,"°","º"))-1)),""))))</f>
        <v>2</v>
      </c>
      <c r="O2876" s="2" t="str">
        <f aca="false">IF(OR(F2876="",G2876=""),"",IF(G2876&lt;='RETRATO 2027'!$K$5,"CONCLUÍDA",IF(F2876&lt;='RETRATO 2027'!$K$5,"EM ANDAMENTO","A INICIAR")))</f>
        <v>CONCLUÍDA</v>
      </c>
    </row>
    <row r="2877" customFormat="false" ht="15" hidden="false" customHeight="false" outlineLevel="0" collapsed="false">
      <c r="B2877" s="4" t="n">
        <v>26742730</v>
      </c>
      <c r="C2877" s="4" t="s">
        <v>2896</v>
      </c>
      <c r="D2877" s="4" t="s">
        <v>433</v>
      </c>
      <c r="E2877" s="4" t="s">
        <v>3803</v>
      </c>
      <c r="F2877" s="127" t="n">
        <v>46619</v>
      </c>
      <c r="G2877" s="127" t="n">
        <v>46630</v>
      </c>
      <c r="H2877" s="127" t="n">
        <v>46293</v>
      </c>
      <c r="I2877" s="4" t="n">
        <v>0</v>
      </c>
      <c r="J2877" s="4" t="n">
        <v>0</v>
      </c>
      <c r="K2877" s="4" t="n">
        <v>0</v>
      </c>
      <c r="M2877" s="2" t="str">
        <f aca="false">IF(C2877="","",IFERROR(INDEX($S$5:$S$304,MATCH(C2877,$R$5:$R$304,0))&amp;"","?"))</f>
        <v>20</v>
      </c>
      <c r="N2877" s="2" t="n">
        <f aca="false">IF(E2877="","",IF(ISNUMBER(SEARCH("SUBSOLO",E2877)),IFERROR(-VALUE(LEFT(E2877,FIND("º",SUBSTITUTE(E2877,"°","º"))-1)),-1),IF(LEFT(E2877,6)="TÉRREO",0,IFERROR(VALUE(LEFT(E2877,FIND("º",SUBSTITUTE(E2877,"°","º"))-1)),""))))</f>
        <v>29</v>
      </c>
      <c r="O2877" s="2" t="str">
        <f aca="false">IF(OR(F2877="",G2877=""),"",IF(G2877&lt;='RETRATO 2027'!$K$5,"CONCLUÍDA",IF(F2877&lt;='RETRATO 2027'!$K$5,"EM ANDAMENTO","A INICIAR")))</f>
        <v>CONCLUÍDA</v>
      </c>
    </row>
    <row r="2878" customFormat="false" ht="15" hidden="false" customHeight="false" outlineLevel="0" collapsed="false">
      <c r="B2878" s="4" t="n">
        <v>29844483</v>
      </c>
      <c r="C2878" s="4" t="s">
        <v>2898</v>
      </c>
      <c r="D2878" s="4" t="s">
        <v>433</v>
      </c>
      <c r="E2878" s="4" t="s">
        <v>3803</v>
      </c>
      <c r="F2878" s="127" t="n">
        <v>46619</v>
      </c>
      <c r="G2878" s="127" t="n">
        <v>46629</v>
      </c>
      <c r="H2878" s="127" t="n">
        <v>46293</v>
      </c>
      <c r="I2878" s="4" t="n">
        <v>0</v>
      </c>
      <c r="J2878" s="4" t="n">
        <v>0</v>
      </c>
      <c r="K2878" s="4" t="n">
        <v>0</v>
      </c>
      <c r="M2878" s="2" t="str">
        <f aca="false">IF(C2878="","",IFERROR(INDEX($S$5:$S$304,MATCH(C2878,$R$5:$R$304,0))&amp;"","?"))</f>
        <v>29</v>
      </c>
      <c r="N2878" s="2" t="n">
        <f aca="false">IF(E2878="","",IF(ISNUMBER(SEARCH("SUBSOLO",E2878)),IFERROR(-VALUE(LEFT(E2878,FIND("º",SUBSTITUTE(E2878,"°","º"))-1)),-1),IF(LEFT(E2878,6)="TÉRREO",0,IFERROR(VALUE(LEFT(E2878,FIND("º",SUBSTITUTE(E2878,"°","º"))-1)),""))))</f>
        <v>29</v>
      </c>
      <c r="O2878" s="2" t="str">
        <f aca="false">IF(OR(F2878="",G2878=""),"",IF(G2878&lt;='RETRATO 2027'!$K$5,"CONCLUÍDA",IF(F2878&lt;='RETRATO 2027'!$K$5,"EM ANDAMENTO","A INICIAR")))</f>
        <v>CONCLUÍDA</v>
      </c>
    </row>
    <row r="2879" customFormat="false" ht="15" hidden="false" customHeight="false" outlineLevel="0" collapsed="false">
      <c r="B2879" s="4" t="n">
        <v>26708172</v>
      </c>
      <c r="C2879" s="4" t="s">
        <v>2896</v>
      </c>
      <c r="D2879" s="4" t="s">
        <v>433</v>
      </c>
      <c r="E2879" s="4" t="s">
        <v>3628</v>
      </c>
      <c r="F2879" s="127" t="n">
        <v>46622</v>
      </c>
      <c r="G2879" s="127" t="n">
        <v>46631</v>
      </c>
      <c r="H2879" s="127" t="n">
        <v>46293</v>
      </c>
      <c r="I2879" s="4" t="n">
        <v>0</v>
      </c>
      <c r="J2879" s="4" t="n">
        <v>0</v>
      </c>
      <c r="K2879" s="4" t="n">
        <v>0</v>
      </c>
      <c r="M2879" s="2" t="str">
        <f aca="false">IF(C2879="","",IFERROR(INDEX($S$5:$S$304,MATCH(C2879,$R$5:$R$304,0))&amp;"","?"))</f>
        <v>20</v>
      </c>
      <c r="N2879" s="2" t="n">
        <f aca="false">IF(E2879="","",IF(ISNUMBER(SEARCH("SUBSOLO",E2879)),IFERROR(-VALUE(LEFT(E2879,FIND("º",SUBSTITUTE(E2879,"°","º"))-1)),-1),IF(LEFT(E2879,6)="TÉRREO",0,IFERROR(VALUE(LEFT(E2879,FIND("º",SUBSTITUTE(E2879,"°","º"))-1)),""))))</f>
        <v>-6</v>
      </c>
      <c r="O2879" s="2" t="str">
        <f aca="false">IF(OR(F2879="",G2879=""),"",IF(G2879&lt;='RETRATO 2027'!$K$5,"CONCLUÍDA",IF(F2879&lt;='RETRATO 2027'!$K$5,"EM ANDAMENTO","A INICIAR")))</f>
        <v>CONCLUÍDA</v>
      </c>
    </row>
    <row r="2880" customFormat="false" ht="15" hidden="false" customHeight="false" outlineLevel="0" collapsed="false">
      <c r="B2880" s="4" t="n">
        <v>26708138</v>
      </c>
      <c r="C2880" s="4" t="s">
        <v>2886</v>
      </c>
      <c r="D2880" s="4" t="s">
        <v>433</v>
      </c>
      <c r="E2880" s="4" t="s">
        <v>3813</v>
      </c>
      <c r="F2880" s="127" t="n">
        <v>46622</v>
      </c>
      <c r="G2880" s="127" t="n">
        <v>46631</v>
      </c>
      <c r="H2880" s="127" t="n">
        <v>46293</v>
      </c>
      <c r="I2880" s="4" t="n">
        <v>0</v>
      </c>
      <c r="J2880" s="4" t="n">
        <v>0</v>
      </c>
      <c r="K2880" s="4" t="n">
        <v>0</v>
      </c>
      <c r="M2880" s="2" t="str">
        <f aca="false">IF(C2880="","",IFERROR(INDEX($S$5:$S$304,MATCH(C2880,$R$5:$R$304,0))&amp;"","?"))</f>
        <v>21</v>
      </c>
      <c r="N2880" s="2" t="n">
        <f aca="false">IF(E2880="","",IF(ISNUMBER(SEARCH("SUBSOLO",E2880)),IFERROR(-VALUE(LEFT(E2880,FIND("º",SUBSTITUTE(E2880,"°","º"))-1)),-1),IF(LEFT(E2880,6)="TÉRREO",0,IFERROR(VALUE(LEFT(E2880,FIND("º",SUBSTITUTE(E2880,"°","º"))-1)),""))))</f>
        <v>-6</v>
      </c>
      <c r="O2880" s="2" t="str">
        <f aca="false">IF(OR(F2880="",G2880=""),"",IF(G2880&lt;='RETRATO 2027'!$K$5,"CONCLUÍDA",IF(F2880&lt;='RETRATO 2027'!$K$5,"EM ANDAMENTO","A INICIAR")))</f>
        <v>CONCLUÍDA</v>
      </c>
    </row>
    <row r="2881" customFormat="false" ht="15" hidden="false" customHeight="false" outlineLevel="0" collapsed="false">
      <c r="B2881" s="4" t="n">
        <v>26750518</v>
      </c>
      <c r="C2881" s="4" t="s">
        <v>214</v>
      </c>
      <c r="D2881" s="4" t="s">
        <v>433</v>
      </c>
      <c r="E2881" s="4" t="s">
        <v>3767</v>
      </c>
      <c r="F2881" s="127" t="n">
        <v>46623</v>
      </c>
      <c r="G2881" s="127" t="n">
        <v>46629</v>
      </c>
      <c r="H2881" s="127" t="n">
        <v>46293</v>
      </c>
      <c r="I2881" s="4" t="n">
        <v>0</v>
      </c>
      <c r="J2881" s="4" t="n">
        <v>0</v>
      </c>
      <c r="K2881" s="4" t="n">
        <v>0</v>
      </c>
      <c r="M2881" s="2" t="str">
        <f aca="false">IF(C2881="","",IFERROR(INDEX($S$5:$S$304,MATCH(C2881,$R$5:$R$304,0))&amp;"","?"))</f>
        <v>35</v>
      </c>
      <c r="N2881" s="2" t="n">
        <f aca="false">IF(E2881="","",IF(ISNUMBER(SEARCH("SUBSOLO",E2881)),IFERROR(-VALUE(LEFT(E2881,FIND("º",SUBSTITUTE(E2881,"°","º"))-1)),-1),IF(LEFT(E2881,6)="TÉRREO",0,IFERROR(VALUE(LEFT(E2881,FIND("º",SUBSTITUTE(E2881,"°","º"))-1)),""))))</f>
        <v>-1</v>
      </c>
      <c r="O2881" s="2" t="str">
        <f aca="false">IF(OR(F2881="",G2881=""),"",IF(G2881&lt;='RETRATO 2027'!$K$5,"CONCLUÍDA",IF(F2881&lt;='RETRATO 2027'!$K$5,"EM ANDAMENTO","A INICIAR")))</f>
        <v>CONCLUÍDA</v>
      </c>
    </row>
    <row r="2882" customFormat="false" ht="15" hidden="false" customHeight="false" outlineLevel="0" collapsed="false">
      <c r="B2882" s="4" t="n">
        <v>26750511</v>
      </c>
      <c r="C2882" s="4" t="s">
        <v>2971</v>
      </c>
      <c r="D2882" s="4" t="s">
        <v>433</v>
      </c>
      <c r="E2882" s="4" t="s">
        <v>3775</v>
      </c>
      <c r="F2882" s="127" t="n">
        <v>46623</v>
      </c>
      <c r="G2882" s="127" t="n">
        <v>46629</v>
      </c>
      <c r="H2882" s="127" t="n">
        <v>46293</v>
      </c>
      <c r="I2882" s="4" t="n">
        <v>0</v>
      </c>
      <c r="J2882" s="4" t="n">
        <v>0</v>
      </c>
      <c r="K2882" s="4" t="n">
        <v>0</v>
      </c>
      <c r="M2882" s="2" t="str">
        <f aca="false">IF(C2882="","",IFERROR(INDEX($S$5:$S$304,MATCH(C2882,$R$5:$R$304,0))&amp;"","?"))</f>
        <v>37</v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>CONCLUÍDA</v>
      </c>
    </row>
    <row r="2883" customFormat="false" ht="15" hidden="false" customHeight="false" outlineLevel="0" collapsed="false">
      <c r="B2883" s="4" t="n">
        <v>26743274</v>
      </c>
      <c r="C2883" s="4" t="s">
        <v>2997</v>
      </c>
      <c r="D2883" s="4" t="s">
        <v>433</v>
      </c>
      <c r="E2883" s="4" t="s">
        <v>3765</v>
      </c>
      <c r="F2883" s="127" t="n">
        <v>46623</v>
      </c>
      <c r="G2883" s="127" t="n">
        <v>46632</v>
      </c>
      <c r="H2883" s="127" t="n">
        <v>46293</v>
      </c>
      <c r="I2883" s="4" t="n">
        <v>0</v>
      </c>
      <c r="J2883" s="4" t="n">
        <v>0</v>
      </c>
      <c r="K2883" s="4" t="n">
        <v>0</v>
      </c>
      <c r="M2883" s="2" t="str">
        <f aca="false">IF(C2883="","",IFERROR(INDEX($S$5:$S$304,MATCH(C2883,$R$5:$R$304,0))&amp;"","?"))</f>
        <v>35</v>
      </c>
      <c r="N2883" s="2" t="n">
        <f aca="false">IF(E2883="","",IF(ISNUMBER(SEARCH("SUBSOLO",E2883)),IFERROR(-VALUE(LEFT(E2883,FIND("º",SUBSTITUTE(E2883,"°","º"))-1)),-1),IF(LEFT(E2883,6)="TÉRREO",0,IFERROR(VALUE(LEFT(E2883,FIND("º",SUBSTITUTE(E2883,"°","º"))-1)),""))))</f>
        <v>14</v>
      </c>
      <c r="O2883" s="2" t="str">
        <f aca="false">IF(OR(F2883="",G2883=""),"",IF(G2883&lt;='RETRATO 2027'!$K$5,"CONCLUÍDA",IF(F2883&lt;='RETRATO 2027'!$K$5,"EM ANDAMENTO","A INICIAR")))</f>
        <v>CONCLUÍDA</v>
      </c>
    </row>
    <row r="2884" customFormat="false" ht="15" hidden="false" customHeight="false" outlineLevel="0" collapsed="false">
      <c r="B2884" s="4" t="n">
        <v>26743236</v>
      </c>
      <c r="C2884" s="4" t="s">
        <v>2980</v>
      </c>
      <c r="D2884" s="4" t="s">
        <v>433</v>
      </c>
      <c r="E2884" s="4" t="s">
        <v>3768</v>
      </c>
      <c r="F2884" s="127" t="n">
        <v>46623</v>
      </c>
      <c r="G2884" s="127" t="n">
        <v>46632</v>
      </c>
      <c r="H2884" s="127" t="n">
        <v>46293</v>
      </c>
      <c r="I2884" s="4" t="n">
        <v>0</v>
      </c>
      <c r="J2884" s="4" t="n">
        <v>0</v>
      </c>
      <c r="K2884" s="4" t="n">
        <v>0</v>
      </c>
      <c r="M2884" s="2" t="str">
        <f aca="false">IF(C2884="","",IFERROR(INDEX($S$5:$S$304,MATCH(C2884,$R$5:$R$304,0))&amp;"","?"))</f>
        <v>35</v>
      </c>
      <c r="N2884" s="2" t="n">
        <f aca="false">IF(E2884="","",IF(ISNUMBER(SEARCH("SUBSOLO",E2884)),IFERROR(-VALUE(LEFT(E2884,FIND("º",SUBSTITUTE(E2884,"°","º"))-1)),-1),IF(LEFT(E2884,6)="TÉRREO",0,IFERROR(VALUE(LEFT(E2884,FIND("º",SUBSTITUTE(E2884,"°","º"))-1)),""))))</f>
        <v>15</v>
      </c>
      <c r="O2884" s="2" t="str">
        <f aca="false">IF(OR(F2884="",G2884=""),"",IF(G2884&lt;='RETRATO 2027'!$K$5,"CONCLUÍDA",IF(F2884&lt;='RETRATO 2027'!$K$5,"EM ANDAMENTO","A INICIAR")))</f>
        <v>CONCLUÍDA</v>
      </c>
    </row>
    <row r="2885" customFormat="false" ht="15" hidden="false" customHeight="false" outlineLevel="0" collapsed="false">
      <c r="B2885" s="4" t="n">
        <v>26744942</v>
      </c>
      <c r="C2885" s="4" t="s">
        <v>2997</v>
      </c>
      <c r="D2885" s="4" t="s">
        <v>433</v>
      </c>
      <c r="E2885" s="4" t="s">
        <v>3612</v>
      </c>
      <c r="F2885" s="127" t="n">
        <v>46624</v>
      </c>
      <c r="G2885" s="127" t="n">
        <v>46632</v>
      </c>
      <c r="H2885" s="127" t="n">
        <v>46293</v>
      </c>
      <c r="I2885" s="4" t="n">
        <v>0</v>
      </c>
      <c r="J2885" s="4" t="n">
        <v>0</v>
      </c>
      <c r="K2885" s="4" t="n">
        <v>0</v>
      </c>
      <c r="M2885" s="2" t="str">
        <f aca="false">IF(C2885="","",IFERROR(INDEX($S$5:$S$304,MATCH(C2885,$R$5:$R$304,0))&amp;"","?"))</f>
        <v>35</v>
      </c>
      <c r="N2885" s="2" t="n">
        <f aca="false">IF(E2885="","",IF(ISNUMBER(SEARCH("SUBSOLO",E2885)),IFERROR(-VALUE(LEFT(E2885,FIND("º",SUBSTITUTE(E2885,"°","º"))-1)),-1),IF(LEFT(E2885,6)="TÉRREO",0,IFERROR(VALUE(LEFT(E2885,FIND("º",SUBSTITUTE(E2885,"°","º"))-1)),""))))</f>
        <v>-1</v>
      </c>
      <c r="O2885" s="2" t="str">
        <f aca="false">IF(OR(F2885="",G2885=""),"",IF(G2885&lt;='RETRATO 2027'!$K$5,"CONCLUÍDA",IF(F2885&lt;='RETRATO 2027'!$K$5,"EM ANDAMENTO","A INICIAR")))</f>
        <v>CONCLUÍDA</v>
      </c>
    </row>
    <row r="2886" customFormat="false" ht="15" hidden="false" customHeight="false" outlineLevel="0" collapsed="false">
      <c r="B2886" s="4" t="n">
        <v>26744694</v>
      </c>
      <c r="C2886" s="4" t="s">
        <v>2886</v>
      </c>
      <c r="D2886" s="4" t="s">
        <v>433</v>
      </c>
      <c r="E2886" s="4" t="s">
        <v>3810</v>
      </c>
      <c r="F2886" s="127" t="n">
        <v>46624</v>
      </c>
      <c r="G2886" s="127" t="n">
        <v>46638</v>
      </c>
      <c r="H2886" s="127" t="n">
        <v>46293</v>
      </c>
      <c r="I2886" s="4" t="n">
        <v>0</v>
      </c>
      <c r="J2886" s="4" t="n">
        <v>0</v>
      </c>
      <c r="K2886" s="4" t="n">
        <v>0</v>
      </c>
      <c r="M2886" s="2" t="str">
        <f aca="false">IF(C2886="","",IFERROR(INDEX($S$5:$S$304,MATCH(C2886,$R$5:$R$304,0))&amp;"","?"))</f>
        <v>21</v>
      </c>
      <c r="N2886" s="2" t="n">
        <f aca="false">IF(E2886="","",IF(ISNUMBER(SEARCH("SUBSOLO",E2886)),IFERROR(-VALUE(LEFT(E2886,FIND("º",SUBSTITUTE(E2886,"°","º"))-1)),-1),IF(LEFT(E2886,6)="TÉRREO",0,IFERROR(VALUE(LEFT(E2886,FIND("º",SUBSTITUTE(E2886,"°","º"))-1)),""))))</f>
        <v>3</v>
      </c>
      <c r="O2886" s="2" t="str">
        <f aca="false">IF(OR(F2886="",G2886=""),"",IF(G2886&lt;='RETRATO 2027'!$K$5,"CONCLUÍDA",IF(F2886&lt;='RETRATO 2027'!$K$5,"EM ANDAMENTO","A INICIAR")))</f>
        <v>CONCLUÍDA</v>
      </c>
    </row>
    <row r="2887" customFormat="false" ht="15" hidden="false" customHeight="false" outlineLevel="0" collapsed="false">
      <c r="B2887" s="4" t="n">
        <v>29845964</v>
      </c>
      <c r="C2887" s="4" t="s">
        <v>2983</v>
      </c>
      <c r="D2887" s="4" t="s">
        <v>433</v>
      </c>
      <c r="E2887" s="4" t="s">
        <v>3773</v>
      </c>
      <c r="F2887" s="127" t="n">
        <v>46624</v>
      </c>
      <c r="G2887" s="127" t="n">
        <v>46632</v>
      </c>
      <c r="H2887" s="127" t="n">
        <v>46293</v>
      </c>
      <c r="I2887" s="4" t="n">
        <v>0</v>
      </c>
      <c r="J2887" s="4" t="n">
        <v>0</v>
      </c>
      <c r="K2887" s="4" t="n">
        <v>0</v>
      </c>
      <c r="M2887" s="2" t="str">
        <f aca="false">IF(C2887="","",IFERROR(INDEX($S$5:$S$304,MATCH(C2887,$R$5:$R$304,0))&amp;"","?"))</f>
        <v>20</v>
      </c>
      <c r="N2887" s="2" t="n">
        <f aca="false">IF(E2887="","",IF(ISNUMBER(SEARCH("SUBSOLO",E2887)),IFERROR(-VALUE(LEFT(E2887,FIND("º",SUBSTITUTE(E2887,"°","º"))-1)),-1),IF(LEFT(E2887,6)="TÉRREO",0,IFERROR(VALUE(LEFT(E2887,FIND("º",SUBSTITUTE(E2887,"°","º"))-1)),""))))</f>
        <v>17</v>
      </c>
      <c r="O2887" s="2" t="str">
        <f aca="false">IF(OR(F2887="",G2887=""),"",IF(G2887&lt;='RETRATO 2027'!$K$5,"CONCLUÍDA",IF(F2887&lt;='RETRATO 2027'!$K$5,"EM ANDAMENTO","A INICIAR")))</f>
        <v>CONCLUÍDA</v>
      </c>
    </row>
    <row r="2888" customFormat="false" ht="15" hidden="false" customHeight="false" outlineLevel="0" collapsed="false">
      <c r="B2888" s="4" t="n">
        <v>29845903</v>
      </c>
      <c r="C2888" s="4" t="s">
        <v>2986</v>
      </c>
      <c r="D2888" s="4" t="s">
        <v>433</v>
      </c>
      <c r="E2888" s="4" t="s">
        <v>3773</v>
      </c>
      <c r="F2888" s="127" t="n">
        <v>46624</v>
      </c>
      <c r="G2888" s="127" t="n">
        <v>46633</v>
      </c>
      <c r="H2888" s="127" t="n">
        <v>46293</v>
      </c>
      <c r="I2888" s="4" t="n">
        <v>0</v>
      </c>
      <c r="J2888" s="4" t="n">
        <v>0</v>
      </c>
      <c r="K2888" s="4" t="n">
        <v>0</v>
      </c>
      <c r="M2888" s="2" t="str">
        <f aca="false">IF(C2888="","",IFERROR(INDEX($S$5:$S$304,MATCH(C2888,$R$5:$R$304,0))&amp;"","?"))</f>
        <v>20</v>
      </c>
      <c r="N2888" s="2" t="n">
        <f aca="false">IF(E2888="","",IF(ISNUMBER(SEARCH("SUBSOLO",E2888)),IFERROR(-VALUE(LEFT(E2888,FIND("º",SUBSTITUTE(E2888,"°","º"))-1)),-1),IF(LEFT(E2888,6)="TÉRREO",0,IFERROR(VALUE(LEFT(E2888,FIND("º",SUBSTITUTE(E2888,"°","º"))-1)),""))))</f>
        <v>17</v>
      </c>
      <c r="O2888" s="2" t="str">
        <f aca="false">IF(OR(F2888="",G2888=""),"",IF(G2888&lt;='RETRATO 2027'!$K$5,"CONCLUÍDA",IF(F2888&lt;='RETRATO 2027'!$K$5,"EM ANDAMENTO","A INICIAR")))</f>
        <v>CONCLUÍDA</v>
      </c>
    </row>
    <row r="2889" customFormat="false" ht="15" hidden="false" customHeight="false" outlineLevel="0" collapsed="false">
      <c r="B2889" s="4" t="n">
        <v>26743134</v>
      </c>
      <c r="C2889" s="4" t="s">
        <v>2977</v>
      </c>
      <c r="D2889" s="4" t="s">
        <v>433</v>
      </c>
      <c r="E2889" s="4" t="s">
        <v>3776</v>
      </c>
      <c r="F2889" s="127" t="n">
        <v>46624</v>
      </c>
      <c r="G2889" s="127" t="n">
        <v>46633</v>
      </c>
      <c r="H2889" s="127" t="n">
        <v>46293</v>
      </c>
      <c r="I2889" s="4" t="n">
        <v>0</v>
      </c>
      <c r="J2889" s="4" t="n">
        <v>0</v>
      </c>
      <c r="K2889" s="4" t="n">
        <v>0</v>
      </c>
      <c r="M2889" s="2" t="str">
        <f aca="false">IF(C2889="","",IFERROR(INDEX($S$5:$S$304,MATCH(C2889,$R$5:$R$304,0))&amp;"","?"))</f>
        <v>30</v>
      </c>
      <c r="N2889" s="2" t="n">
        <f aca="false">IF(E2889="","",IF(ISNUMBER(SEARCH("SUBSOLO",E2889)),IFERROR(-VALUE(LEFT(E2889,FIND("º",SUBSTITUTE(E2889,"°","º"))-1)),-1),IF(LEFT(E2889,6)="TÉRREO",0,IFERROR(VALUE(LEFT(E2889,FIND("º",SUBSTITUTE(E2889,"°","º"))-1)),""))))</f>
        <v>18</v>
      </c>
      <c r="O2889" s="2" t="str">
        <f aca="false">IF(OR(F2889="",G2889=""),"",IF(G2889&lt;='RETRATO 2027'!$K$5,"CONCLUÍDA",IF(F2889&lt;='RETRATO 2027'!$K$5,"EM ANDAMENTO","A INICIAR")))</f>
        <v>CONCLUÍDA</v>
      </c>
    </row>
    <row r="2890" customFormat="false" ht="15" hidden="false" customHeight="false" outlineLevel="0" collapsed="false">
      <c r="B2890" s="4" t="n">
        <v>26743090</v>
      </c>
      <c r="C2890" s="4" t="s">
        <v>2935</v>
      </c>
      <c r="D2890" s="4" t="s">
        <v>433</v>
      </c>
      <c r="E2890" s="4" t="s">
        <v>3779</v>
      </c>
      <c r="F2890" s="127" t="n">
        <v>46624</v>
      </c>
      <c r="G2890" s="127" t="n">
        <v>46633</v>
      </c>
      <c r="H2890" s="127" t="n">
        <v>46293</v>
      </c>
      <c r="I2890" s="4" t="n">
        <v>0</v>
      </c>
      <c r="J2890" s="4" t="n">
        <v>0</v>
      </c>
      <c r="K2890" s="4" t="n">
        <v>0</v>
      </c>
      <c r="M2890" s="2" t="str">
        <f aca="false">IF(C2890="","",IFERROR(INDEX($S$5:$S$304,MATCH(C2890,$R$5:$R$304,0))&amp;"","?"))</f>
        <v>30</v>
      </c>
      <c r="N2890" s="2" t="n">
        <f aca="false">IF(E2890="","",IF(ISNUMBER(SEARCH("SUBSOLO",E2890)),IFERROR(-VALUE(LEFT(E2890,FIND("º",SUBSTITUTE(E2890,"°","º"))-1)),-1),IF(LEFT(E2890,6)="TÉRREO",0,IFERROR(VALUE(LEFT(E2890,FIND("º",SUBSTITUTE(E2890,"°","º"))-1)),""))))</f>
        <v>19</v>
      </c>
      <c r="O2890" s="2" t="str">
        <f aca="false">IF(OR(F2890="",G2890=""),"",IF(G2890&lt;='RETRATO 2027'!$K$5,"CONCLUÍDA",IF(F2890&lt;='RETRATO 2027'!$K$5,"EM ANDAMENTO","A INICIAR")))</f>
        <v>CONCLUÍDA</v>
      </c>
    </row>
    <row r="2891" customFormat="false" ht="15" hidden="false" customHeight="false" outlineLevel="0" collapsed="false">
      <c r="B2891" s="4" t="n">
        <v>26743037</v>
      </c>
      <c r="C2891" s="4" t="s">
        <v>2938</v>
      </c>
      <c r="D2891" s="4" t="s">
        <v>433</v>
      </c>
      <c r="E2891" s="4" t="s">
        <v>3781</v>
      </c>
      <c r="F2891" s="127" t="n">
        <v>46624</v>
      </c>
      <c r="G2891" s="127" t="n">
        <v>46633</v>
      </c>
      <c r="H2891" s="127" t="n">
        <v>46293</v>
      </c>
      <c r="I2891" s="4" t="n">
        <v>0</v>
      </c>
      <c r="J2891" s="4" t="n">
        <v>0</v>
      </c>
      <c r="K2891" s="4" t="n">
        <v>0</v>
      </c>
      <c r="M2891" s="2" t="str">
        <f aca="false">IF(C2891="","",IFERROR(INDEX($S$5:$S$304,MATCH(C2891,$R$5:$R$304,0))&amp;"","?"))</f>
        <v>30</v>
      </c>
      <c r="N2891" s="2" t="n">
        <f aca="false">IF(E2891="","",IF(ISNUMBER(SEARCH("SUBSOLO",E2891)),IFERROR(-VALUE(LEFT(E2891,FIND("º",SUBSTITUTE(E2891,"°","º"))-1)),-1),IF(LEFT(E2891,6)="TÉRREO",0,IFERROR(VALUE(LEFT(E2891,FIND("º",SUBSTITUTE(E2891,"°","º"))-1)),""))))</f>
        <v>20</v>
      </c>
      <c r="O2891" s="2" t="str">
        <f aca="false">IF(OR(F2891="",G2891=""),"",IF(G2891&lt;='RETRATO 2027'!$K$5,"CONCLUÍDA",IF(F2891&lt;='RETRATO 2027'!$K$5,"EM ANDAMENTO","A INICIAR")))</f>
        <v>CONCLUÍDA</v>
      </c>
    </row>
    <row r="2892" customFormat="false" ht="15" hidden="false" customHeight="false" outlineLevel="0" collapsed="false">
      <c r="B2892" s="4" t="n">
        <v>26742999</v>
      </c>
      <c r="C2892" s="4" t="s">
        <v>166</v>
      </c>
      <c r="D2892" s="4" t="s">
        <v>433</v>
      </c>
      <c r="E2892" s="4" t="s">
        <v>3783</v>
      </c>
      <c r="F2892" s="127" t="n">
        <v>46624</v>
      </c>
      <c r="G2892" s="127" t="n">
        <v>46633</v>
      </c>
      <c r="H2892" s="127" t="n">
        <v>46293</v>
      </c>
      <c r="I2892" s="4" t="n">
        <v>0</v>
      </c>
      <c r="J2892" s="4" t="n">
        <v>0</v>
      </c>
      <c r="K2892" s="4" t="n">
        <v>0</v>
      </c>
      <c r="M2892" s="2" t="str">
        <f aca="false">IF(C2892="","",IFERROR(INDEX($S$5:$S$304,MATCH(C2892,$R$5:$R$304,0))&amp;"","?"))</f>
        <v>19</v>
      </c>
      <c r="N2892" s="2" t="n">
        <f aca="false">IF(E2892="","",IF(ISNUMBER(SEARCH("SUBSOLO",E2892)),IFERROR(-VALUE(LEFT(E2892,FIND("º",SUBSTITUTE(E2892,"°","º"))-1)),-1),IF(LEFT(E2892,6)="TÉRREO",0,IFERROR(VALUE(LEFT(E2892,FIND("º",SUBSTITUTE(E2892,"°","º"))-1)),""))))</f>
        <v>21</v>
      </c>
      <c r="O2892" s="2" t="str">
        <f aca="false">IF(OR(F2892="",G2892=""),"",IF(G2892&lt;='RETRATO 2027'!$K$5,"CONCLUÍDA",IF(F2892&lt;='RETRATO 2027'!$K$5,"EM ANDAMENTO","A INICIAR")))</f>
        <v>CONCLUÍDA</v>
      </c>
    </row>
    <row r="2893" customFormat="false" ht="15" hidden="false" customHeight="false" outlineLevel="0" collapsed="false">
      <c r="B2893" s="4" t="n">
        <v>26742972</v>
      </c>
      <c r="C2893" s="4" t="s">
        <v>2941</v>
      </c>
      <c r="D2893" s="4" t="s">
        <v>433</v>
      </c>
      <c r="E2893" s="4" t="s">
        <v>3786</v>
      </c>
      <c r="F2893" s="127" t="n">
        <v>46624</v>
      </c>
      <c r="G2893" s="127" t="n">
        <v>46633</v>
      </c>
      <c r="H2893" s="127" t="n">
        <v>46293</v>
      </c>
      <c r="I2893" s="4" t="n">
        <v>0</v>
      </c>
      <c r="J2893" s="4" t="n">
        <v>0</v>
      </c>
      <c r="K2893" s="4" t="n">
        <v>0</v>
      </c>
      <c r="M2893" s="2" t="str">
        <f aca="false">IF(C2893="","",IFERROR(INDEX($S$5:$S$304,MATCH(C2893,$R$5:$R$304,0))&amp;"","?"))</f>
        <v>18</v>
      </c>
      <c r="N2893" s="2" t="n">
        <f aca="false">IF(E2893="","",IF(ISNUMBER(SEARCH("SUBSOLO",E2893)),IFERROR(-VALUE(LEFT(E2893,FIND("º",SUBSTITUTE(E2893,"°","º"))-1)),-1),IF(LEFT(E2893,6)="TÉRREO",0,IFERROR(VALUE(LEFT(E2893,FIND("º",SUBSTITUTE(E2893,"°","º"))-1)),""))))</f>
        <v>22</v>
      </c>
      <c r="O2893" s="2" t="str">
        <f aca="false">IF(OR(F2893="",G2893=""),"",IF(G2893&lt;='RETRATO 2027'!$K$5,"CONCLUÍDA",IF(F2893&lt;='RETRATO 2027'!$K$5,"EM ANDAMENTO","A INICIAR")))</f>
        <v>CONCLUÍDA</v>
      </c>
    </row>
    <row r="2894" customFormat="false" ht="15" hidden="false" customHeight="false" outlineLevel="0" collapsed="false">
      <c r="B2894" s="4" t="n">
        <v>26742936</v>
      </c>
      <c r="C2894" s="4" t="s">
        <v>2924</v>
      </c>
      <c r="D2894" s="4" t="s">
        <v>433</v>
      </c>
      <c r="E2894" s="4" t="s">
        <v>3787</v>
      </c>
      <c r="F2894" s="127" t="n">
        <v>46624</v>
      </c>
      <c r="G2894" s="127" t="n">
        <v>46633</v>
      </c>
      <c r="H2894" s="127" t="n">
        <v>46293</v>
      </c>
      <c r="I2894" s="4" t="n">
        <v>0</v>
      </c>
      <c r="J2894" s="4" t="n">
        <v>0</v>
      </c>
      <c r="K2894" s="4" t="n">
        <v>0</v>
      </c>
      <c r="M2894" s="2" t="str">
        <f aca="false">IF(C2894="","",IFERROR(INDEX($S$5:$S$304,MATCH(C2894,$R$5:$R$304,0))&amp;"","?"))</f>
        <v>21</v>
      </c>
      <c r="N2894" s="2" t="n">
        <f aca="false">IF(E2894="","",IF(ISNUMBER(SEARCH("SUBSOLO",E2894)),IFERROR(-VALUE(LEFT(E2894,FIND("º",SUBSTITUTE(E2894,"°","º"))-1)),-1),IF(LEFT(E2894,6)="TÉRREO",0,IFERROR(VALUE(LEFT(E2894,FIND("º",SUBSTITUTE(E2894,"°","º"))-1)),""))))</f>
        <v>23</v>
      </c>
      <c r="O2894" s="2" t="str">
        <f aca="false">IF(OR(F2894="",G2894=""),"",IF(G2894&lt;='RETRATO 2027'!$K$5,"CONCLUÍDA",IF(F2894&lt;='RETRATO 2027'!$K$5,"EM ANDAMENTO","A INICIAR")))</f>
        <v>CONCLUÍDA</v>
      </c>
    </row>
    <row r="2895" customFormat="false" ht="15" hidden="false" customHeight="false" outlineLevel="0" collapsed="false">
      <c r="B2895" s="4" t="n">
        <v>26742919</v>
      </c>
      <c r="C2895" s="4" t="s">
        <v>2926</v>
      </c>
      <c r="D2895" s="4" t="s">
        <v>433</v>
      </c>
      <c r="E2895" s="4" t="s">
        <v>3787</v>
      </c>
      <c r="F2895" s="127" t="n">
        <v>46624</v>
      </c>
      <c r="G2895" s="127" t="n">
        <v>46633</v>
      </c>
      <c r="H2895" s="127" t="n">
        <v>46293</v>
      </c>
      <c r="I2895" s="4" t="n">
        <v>0</v>
      </c>
      <c r="J2895" s="4" t="n">
        <v>0</v>
      </c>
      <c r="K2895" s="4" t="n">
        <v>0</v>
      </c>
      <c r="M2895" s="2" t="str">
        <f aca="false">IF(C2895="","",IFERROR(INDEX($S$5:$S$304,MATCH(C2895,$R$5:$R$304,0))&amp;"","?"))</f>
        <v>20</v>
      </c>
      <c r="N2895" s="2" t="n">
        <f aca="false">IF(E2895="","",IF(ISNUMBER(SEARCH("SUBSOLO",E2895)),IFERROR(-VALUE(LEFT(E2895,FIND("º",SUBSTITUTE(E2895,"°","º"))-1)),-1),IF(LEFT(E2895,6)="TÉRREO",0,IFERROR(VALUE(LEFT(E2895,FIND("º",SUBSTITUTE(E2895,"°","º"))-1)),""))))</f>
        <v>23</v>
      </c>
      <c r="O2895" s="2" t="str">
        <f aca="false">IF(OR(F2895="",G2895=""),"",IF(G2895&lt;='RETRATO 2027'!$K$5,"CONCLUÍDA",IF(F2895&lt;='RETRATO 2027'!$K$5,"EM ANDAMENTO","A INICIAR")))</f>
        <v>CONCLUÍDA</v>
      </c>
    </row>
    <row r="2896" customFormat="false" ht="15" hidden="false" customHeight="false" outlineLevel="0" collapsed="false">
      <c r="B2896" s="4" t="n">
        <v>26742918</v>
      </c>
      <c r="C2896" s="4" t="s">
        <v>2928</v>
      </c>
      <c r="D2896" s="4" t="s">
        <v>433</v>
      </c>
      <c r="E2896" s="4" t="s">
        <v>3787</v>
      </c>
      <c r="F2896" s="127" t="n">
        <v>46624</v>
      </c>
      <c r="G2896" s="127" t="n">
        <v>46633</v>
      </c>
      <c r="H2896" s="127" t="n">
        <v>46293</v>
      </c>
      <c r="I2896" s="4" t="n">
        <v>0</v>
      </c>
      <c r="J2896" s="4" t="n">
        <v>0</v>
      </c>
      <c r="K2896" s="4" t="n">
        <v>0</v>
      </c>
      <c r="M2896" s="2" t="str">
        <f aca="false">IF(C2896="","",IFERROR(INDEX($S$5:$S$304,MATCH(C2896,$R$5:$R$304,0))&amp;"","?"))</f>
        <v>23</v>
      </c>
      <c r="N2896" s="2" t="n">
        <f aca="false">IF(E2896="","",IF(ISNUMBER(SEARCH("SUBSOLO",E2896)),IFERROR(-VALUE(LEFT(E2896,FIND("º",SUBSTITUTE(E2896,"°","º"))-1)),-1),IF(LEFT(E2896,6)="TÉRREO",0,IFERROR(VALUE(LEFT(E2896,FIND("º",SUBSTITUTE(E2896,"°","º"))-1)),""))))</f>
        <v>23</v>
      </c>
      <c r="O2896" s="2" t="str">
        <f aca="false">IF(OR(F2896="",G2896=""),"",IF(G2896&lt;='RETRATO 2027'!$K$5,"CONCLUÍDA",IF(F2896&lt;='RETRATO 2027'!$K$5,"EM ANDAMENTO","A INICIAR")))</f>
        <v>CONCLUÍDA</v>
      </c>
    </row>
    <row r="2897" customFormat="false" ht="15" hidden="false" customHeight="false" outlineLevel="0" collapsed="false">
      <c r="B2897" s="4" t="n">
        <v>26742937</v>
      </c>
      <c r="C2897" s="4" t="s">
        <v>2930</v>
      </c>
      <c r="D2897" s="4" t="s">
        <v>433</v>
      </c>
      <c r="E2897" s="4" t="s">
        <v>3787</v>
      </c>
      <c r="F2897" s="127" t="n">
        <v>46624</v>
      </c>
      <c r="G2897" s="127" t="n">
        <v>46633</v>
      </c>
      <c r="H2897" s="127" t="n">
        <v>46293</v>
      </c>
      <c r="I2897" s="4" t="n">
        <v>0</v>
      </c>
      <c r="J2897" s="4" t="n">
        <v>0</v>
      </c>
      <c r="K2897" s="4" t="n">
        <v>0</v>
      </c>
      <c r="M2897" s="2" t="str">
        <f aca="false">IF(C2897="","",IFERROR(INDEX($S$5:$S$304,MATCH(C2897,$R$5:$R$304,0))&amp;"","?"))</f>
        <v>21</v>
      </c>
      <c r="N2897" s="2" t="n">
        <f aca="false">IF(E2897="","",IF(ISNUMBER(SEARCH("SUBSOLO",E2897)),IFERROR(-VALUE(LEFT(E2897,FIND("º",SUBSTITUTE(E2897,"°","º"))-1)),-1),IF(LEFT(E2897,6)="TÉRREO",0,IFERROR(VALUE(LEFT(E2897,FIND("º",SUBSTITUTE(E2897,"°","º"))-1)),""))))</f>
        <v>23</v>
      </c>
      <c r="O2897" s="2" t="str">
        <f aca="false">IF(OR(F2897="",G2897=""),"",IF(G2897&lt;='RETRATO 2027'!$K$5,"CONCLUÍDA",IF(F2897&lt;='RETRATO 2027'!$K$5,"EM ANDAMENTO","A INICIAR")))</f>
        <v>CONCLUÍDA</v>
      </c>
    </row>
    <row r="2898" customFormat="false" ht="15" hidden="false" customHeight="false" outlineLevel="0" collapsed="false">
      <c r="B2898" s="4" t="n">
        <v>26742938</v>
      </c>
      <c r="C2898" s="4" t="s">
        <v>2933</v>
      </c>
      <c r="D2898" s="4" t="s">
        <v>433</v>
      </c>
      <c r="E2898" s="4" t="s">
        <v>3787</v>
      </c>
      <c r="F2898" s="127" t="n">
        <v>46624</v>
      </c>
      <c r="G2898" s="127" t="n">
        <v>46633</v>
      </c>
      <c r="H2898" s="127" t="n">
        <v>46293</v>
      </c>
      <c r="I2898" s="4" t="n">
        <v>0</v>
      </c>
      <c r="J2898" s="4" t="n">
        <v>0</v>
      </c>
      <c r="K2898" s="4" t="n">
        <v>0</v>
      </c>
      <c r="M2898" s="2" t="str">
        <f aca="false">IF(C2898="","",IFERROR(INDEX($S$5:$S$304,MATCH(C2898,$R$5:$R$304,0))&amp;"","?"))</f>
        <v>21</v>
      </c>
      <c r="N2898" s="2" t="n">
        <f aca="false">IF(E2898="","",IF(ISNUMBER(SEARCH("SUBSOLO",E2898)),IFERROR(-VALUE(LEFT(E2898,FIND("º",SUBSTITUTE(E2898,"°","º"))-1)),-1),IF(LEFT(E2898,6)="TÉRREO",0,IFERROR(VALUE(LEFT(E2898,FIND("º",SUBSTITUTE(E2898,"°","º"))-1)),""))))</f>
        <v>23</v>
      </c>
      <c r="O2898" s="2" t="str">
        <f aca="false">IF(OR(F2898="",G2898=""),"",IF(G2898&lt;='RETRATO 2027'!$K$5,"CONCLUÍDA",IF(F2898&lt;='RETRATO 2027'!$K$5,"EM ANDAMENTO","A INICIAR")))</f>
        <v>CONCLUÍDA</v>
      </c>
    </row>
    <row r="2899" customFormat="false" ht="15" hidden="false" customHeight="false" outlineLevel="0" collapsed="false">
      <c r="B2899" s="4" t="n">
        <v>26742880</v>
      </c>
      <c r="C2899" s="4" t="s">
        <v>2922</v>
      </c>
      <c r="D2899" s="4" t="s">
        <v>433</v>
      </c>
      <c r="E2899" s="4" t="s">
        <v>3788</v>
      </c>
      <c r="F2899" s="127" t="n">
        <v>46624</v>
      </c>
      <c r="G2899" s="127" t="n">
        <v>46633</v>
      </c>
      <c r="H2899" s="127" t="n">
        <v>46293</v>
      </c>
      <c r="I2899" s="4" t="n">
        <v>0</v>
      </c>
      <c r="J2899" s="4" t="n">
        <v>0</v>
      </c>
      <c r="K2899" s="4" t="n">
        <v>0</v>
      </c>
      <c r="M2899" s="2" t="str">
        <f aca="false">IF(C2899="","",IFERROR(INDEX($S$5:$S$304,MATCH(C2899,$R$5:$R$304,0))&amp;"","?"))</f>
        <v>18</v>
      </c>
      <c r="N2899" s="2" t="n">
        <f aca="false">IF(E2899="","",IF(ISNUMBER(SEARCH("SUBSOLO",E2899)),IFERROR(-VALUE(LEFT(E2899,FIND("º",SUBSTITUTE(E2899,"°","º"))-1)),-1),IF(LEFT(E2899,6)="TÉRREO",0,IFERROR(VALUE(LEFT(E2899,FIND("º",SUBSTITUTE(E2899,"°","º"))-1)),""))))</f>
        <v>24</v>
      </c>
      <c r="O2899" s="2" t="str">
        <f aca="false">IF(OR(F2899="",G2899=""),"",IF(G2899&lt;='RETRATO 2027'!$K$5,"CONCLUÍDA",IF(F2899&lt;='RETRATO 2027'!$K$5,"EM ANDAMENTO","A INICIAR")))</f>
        <v>CONCLUÍDA</v>
      </c>
    </row>
    <row r="2900" customFormat="false" ht="15" hidden="false" customHeight="false" outlineLevel="0" collapsed="false">
      <c r="B2900" s="4" t="n">
        <v>26252385</v>
      </c>
      <c r="C2900" s="4" t="s">
        <v>3035</v>
      </c>
      <c r="D2900" s="4" t="s">
        <v>433</v>
      </c>
      <c r="E2900" s="4" t="s">
        <v>3789</v>
      </c>
      <c r="F2900" s="127" t="n">
        <v>46624</v>
      </c>
      <c r="G2900" s="127" t="n">
        <v>46700</v>
      </c>
      <c r="H2900" s="127" t="n">
        <v>46293</v>
      </c>
      <c r="I2900" s="4" t="n">
        <v>0</v>
      </c>
      <c r="J2900" s="4" t="n">
        <v>0</v>
      </c>
      <c r="K2900" s="4" t="n">
        <v>0</v>
      </c>
      <c r="M2900" s="2" t="str">
        <f aca="false">IF(C2900="","",IFERROR(INDEX($S$5:$S$304,MATCH(C2900,$R$5:$R$304,0))&amp;"","?"))</f>
        <v>32</v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>CONCLUÍDA</v>
      </c>
    </row>
    <row r="2901" customFormat="false" ht="15" hidden="false" customHeight="false" outlineLevel="0" collapsed="false">
      <c r="B2901" s="4" t="n">
        <v>26743735</v>
      </c>
      <c r="C2901" s="4" t="s">
        <v>3018</v>
      </c>
      <c r="D2901" s="4" t="s">
        <v>433</v>
      </c>
      <c r="E2901" s="4" t="s">
        <v>3449</v>
      </c>
      <c r="F2901" s="127" t="n">
        <v>46625</v>
      </c>
      <c r="G2901" s="127" t="n">
        <v>46657</v>
      </c>
      <c r="H2901" s="127" t="n">
        <v>46293</v>
      </c>
      <c r="I2901" s="4" t="n">
        <v>0</v>
      </c>
      <c r="J2901" s="4" t="n">
        <v>0</v>
      </c>
      <c r="K2901" s="4" t="n">
        <v>0</v>
      </c>
      <c r="M2901" s="2" t="str">
        <f aca="false">IF(C2901="","",IFERROR(INDEX($S$5:$S$304,MATCH(C2901,$R$5:$R$304,0))&amp;"","?"))</f>
        <v>30</v>
      </c>
      <c r="N2901" s="2" t="n">
        <f aca="false">IF(E2901="","",IF(ISNUMBER(SEARCH("SUBSOLO",E2901)),IFERROR(-VALUE(LEFT(E2901,FIND("º",SUBSTITUTE(E2901,"°","º"))-1)),-1),IF(LEFT(E2901,6)="TÉRREO",0,IFERROR(VALUE(LEFT(E2901,FIND("º",SUBSTITUTE(E2901,"°","º"))-1)),""))))</f>
        <v>-2</v>
      </c>
      <c r="O2901" s="2" t="str">
        <f aca="false">IF(OR(F2901="",G2901=""),"",IF(G2901&lt;='RETRATO 2027'!$K$5,"CONCLUÍDA",IF(F2901&lt;='RETRATO 2027'!$K$5,"EM ANDAMENTO","A INICIAR")))</f>
        <v>CONCLUÍDA</v>
      </c>
    </row>
    <row r="2902" customFormat="false" ht="15" hidden="false" customHeight="false" outlineLevel="0" collapsed="false">
      <c r="B2902" s="4" t="n">
        <v>26743719</v>
      </c>
      <c r="C2902" s="4" t="s">
        <v>214</v>
      </c>
      <c r="D2902" s="4" t="s">
        <v>433</v>
      </c>
      <c r="E2902" s="4" t="s">
        <v>3466</v>
      </c>
      <c r="F2902" s="127" t="n">
        <v>46625</v>
      </c>
      <c r="G2902" s="127" t="n">
        <v>46657</v>
      </c>
      <c r="H2902" s="127" t="n">
        <v>46293</v>
      </c>
      <c r="I2902" s="4" t="n">
        <v>0</v>
      </c>
      <c r="J2902" s="4" t="n">
        <v>0</v>
      </c>
      <c r="K2902" s="4" t="n">
        <v>0</v>
      </c>
      <c r="M2902" s="2" t="str">
        <f aca="false">IF(C2902="","",IFERROR(INDEX($S$5:$S$304,MATCH(C2902,$R$5:$R$304,0))&amp;"","?"))</f>
        <v>35</v>
      </c>
      <c r="N2902" s="2" t="n">
        <f aca="false">IF(E2902="","",IF(ISNUMBER(SEARCH("SUBSOLO",E2902)),IFERROR(-VALUE(LEFT(E2902,FIND("º",SUBSTITUTE(E2902,"°","º"))-1)),-1),IF(LEFT(E2902,6)="TÉRREO",0,IFERROR(VALUE(LEFT(E2902,FIND("º",SUBSTITUTE(E2902,"°","º"))-1)),""))))</f>
        <v>-1</v>
      </c>
      <c r="O2902" s="2" t="str">
        <f aca="false">IF(OR(F2902="",G2902=""),"",IF(G2902&lt;='RETRATO 2027'!$K$5,"CONCLUÍDA",IF(F2902&lt;='RETRATO 2027'!$K$5,"EM ANDAMENTO","A INICIAR")))</f>
        <v>CONCLUÍDA</v>
      </c>
    </row>
    <row r="2903" customFormat="false" ht="15" hidden="false" customHeight="false" outlineLevel="0" collapsed="false">
      <c r="B2903" s="4" t="n">
        <v>26743711</v>
      </c>
      <c r="C2903" s="4" t="s">
        <v>2983</v>
      </c>
      <c r="D2903" s="4" t="s">
        <v>433</v>
      </c>
      <c r="E2903" s="4" t="s">
        <v>3482</v>
      </c>
      <c r="F2903" s="127" t="n">
        <v>46625</v>
      </c>
      <c r="G2903" s="127" t="n">
        <v>46653</v>
      </c>
      <c r="H2903" s="127" t="n">
        <v>46293</v>
      </c>
      <c r="I2903" s="4" t="n">
        <v>0</v>
      </c>
      <c r="J2903" s="4" t="n">
        <v>0</v>
      </c>
      <c r="K2903" s="4" t="n">
        <v>0</v>
      </c>
      <c r="M2903" s="2" t="str">
        <f aca="false">IF(C2903="","",IFERROR(INDEX($S$5:$S$304,MATCH(C2903,$R$5:$R$304,0))&amp;"","?"))</f>
        <v>20</v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>CONCLUÍDA</v>
      </c>
    </row>
    <row r="2904" customFormat="false" ht="15" hidden="false" customHeight="false" outlineLevel="0" collapsed="false">
      <c r="B2904" s="4" t="n">
        <v>29845886</v>
      </c>
      <c r="C2904" s="4" t="s">
        <v>2986</v>
      </c>
      <c r="D2904" s="4" t="s">
        <v>433</v>
      </c>
      <c r="E2904" s="4" t="s">
        <v>3482</v>
      </c>
      <c r="F2904" s="127" t="n">
        <v>46625</v>
      </c>
      <c r="G2904" s="127" t="n">
        <v>46631</v>
      </c>
      <c r="H2904" s="127" t="n">
        <v>46293</v>
      </c>
      <c r="I2904" s="4" t="n">
        <v>0</v>
      </c>
      <c r="J2904" s="4" t="n">
        <v>0</v>
      </c>
      <c r="K2904" s="4" t="n">
        <v>0</v>
      </c>
      <c r="M2904" s="2" t="str">
        <f aca="false">IF(C2904="","",IFERROR(INDEX($S$5:$S$304,MATCH(C2904,$R$5:$R$304,0))&amp;"","?"))</f>
        <v>20</v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>CONCLUÍDA</v>
      </c>
    </row>
    <row r="2905" customFormat="false" ht="15" hidden="false" customHeight="false" outlineLevel="0" collapsed="false">
      <c r="B2905" s="4" t="n">
        <v>36118609</v>
      </c>
      <c r="C2905" s="4" t="s">
        <v>3038</v>
      </c>
      <c r="D2905" s="4" t="s">
        <v>433</v>
      </c>
      <c r="E2905" s="4" t="s">
        <v>3482</v>
      </c>
      <c r="F2905" s="127" t="n">
        <v>46625</v>
      </c>
      <c r="G2905" s="127" t="n">
        <v>46639</v>
      </c>
      <c r="H2905" s="127" t="n">
        <v>46293</v>
      </c>
      <c r="I2905" s="4" t="n">
        <v>0</v>
      </c>
      <c r="J2905" s="4" t="n">
        <v>0</v>
      </c>
      <c r="K2905" s="4" t="n">
        <v>0</v>
      </c>
      <c r="M2905" s="2" t="str">
        <f aca="false">IF(C2905="","",IFERROR(INDEX($S$5:$S$304,MATCH(C2905,$R$5:$R$304,0))&amp;"","?"))</f>
        <v>26</v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>CONCLUÍDA</v>
      </c>
    </row>
    <row r="2906" customFormat="false" ht="15" hidden="false" customHeight="false" outlineLevel="0" collapsed="false">
      <c r="B2906" s="4" t="n">
        <v>26745139</v>
      </c>
      <c r="C2906" s="4" t="s">
        <v>2980</v>
      </c>
      <c r="D2906" s="4" t="s">
        <v>433</v>
      </c>
      <c r="E2906" s="4" t="s">
        <v>3807</v>
      </c>
      <c r="F2906" s="127" t="n">
        <v>46625</v>
      </c>
      <c r="G2906" s="127" t="n">
        <v>46636</v>
      </c>
      <c r="H2906" s="127" t="n">
        <v>46293</v>
      </c>
      <c r="I2906" s="4" t="n">
        <v>0</v>
      </c>
      <c r="J2906" s="4" t="n">
        <v>0</v>
      </c>
      <c r="K2906" s="4" t="n">
        <v>0</v>
      </c>
      <c r="M2906" s="2" t="str">
        <f aca="false">IF(C2906="","",IFERROR(INDEX($S$5:$S$304,MATCH(C2906,$R$5:$R$304,0))&amp;"","?"))</f>
        <v>35</v>
      </c>
      <c r="N2906" s="2" t="n">
        <f aca="false">IF(E2906="","",IF(ISNUMBER(SEARCH("SUBSOLO",E2906)),IFERROR(-VALUE(LEFT(E2906,FIND("º",SUBSTITUTE(E2906,"°","º"))-1)),-1),IF(LEFT(E2906,6)="TÉRREO",0,IFERROR(VALUE(LEFT(E2906,FIND("º",SUBSTITUTE(E2906,"°","º"))-1)),""))))</f>
        <v>2</v>
      </c>
      <c r="O2906" s="2" t="str">
        <f aca="false">IF(OR(F2906="",G2906=""),"",IF(G2906&lt;='RETRATO 2027'!$K$5,"CONCLUÍDA",IF(F2906&lt;='RETRATO 2027'!$K$5,"EM ANDAMENTO","A INICIAR")))</f>
        <v>CONCLUÍDA</v>
      </c>
    </row>
    <row r="2907" customFormat="false" ht="15" hidden="false" customHeight="false" outlineLevel="0" collapsed="false">
      <c r="B2907" s="4" t="n">
        <v>26707610</v>
      </c>
      <c r="C2907" s="4" t="s">
        <v>2886</v>
      </c>
      <c r="D2907" s="4" t="s">
        <v>433</v>
      </c>
      <c r="E2907" s="4" t="s">
        <v>3812</v>
      </c>
      <c r="F2907" s="127" t="n">
        <v>46625</v>
      </c>
      <c r="G2907" s="127" t="n">
        <v>46646</v>
      </c>
      <c r="H2907" s="127" t="n">
        <v>46293</v>
      </c>
      <c r="I2907" s="4" t="n">
        <v>0</v>
      </c>
      <c r="J2907" s="4" t="n">
        <v>0</v>
      </c>
      <c r="K2907" s="4" t="n">
        <v>0</v>
      </c>
      <c r="M2907" s="2" t="str">
        <f aca="false">IF(C2907="","",IFERROR(INDEX($S$5:$S$304,MATCH(C2907,$R$5:$R$304,0))&amp;"","?"))</f>
        <v>21</v>
      </c>
      <c r="N2907" s="2" t="n">
        <f aca="false">IF(E2907="","",IF(ISNUMBER(SEARCH("SUBSOLO",E2907)),IFERROR(-VALUE(LEFT(E2907,FIND("º",SUBSTITUTE(E2907,"°","º"))-1)),-1),IF(LEFT(E2907,6)="TÉRREO",0,IFERROR(VALUE(LEFT(E2907,FIND("º",SUBSTITUTE(E2907,"°","º"))-1)),""))))</f>
        <v>2</v>
      </c>
      <c r="O2907" s="2" t="str">
        <f aca="false">IF(OR(F2907="",G2907=""),"",IF(G2907&lt;='RETRATO 2027'!$K$5,"CONCLUÍDA",IF(F2907&lt;='RETRATO 2027'!$K$5,"EM ANDAMENTO","A INICIAR")))</f>
        <v>CONCLUÍDA</v>
      </c>
    </row>
    <row r="2908" customFormat="false" ht="15" hidden="false" customHeight="false" outlineLevel="0" collapsed="false">
      <c r="B2908" s="4" t="n">
        <v>26744762</v>
      </c>
      <c r="C2908" s="4" t="s">
        <v>166</v>
      </c>
      <c r="D2908" s="4" t="s">
        <v>433</v>
      </c>
      <c r="E2908" s="4" t="s">
        <v>3784</v>
      </c>
      <c r="F2908" s="127" t="n">
        <v>46625</v>
      </c>
      <c r="G2908" s="127" t="n">
        <v>46633</v>
      </c>
      <c r="H2908" s="127" t="n">
        <v>46293</v>
      </c>
      <c r="I2908" s="4" t="n">
        <v>0</v>
      </c>
      <c r="J2908" s="4" t="n">
        <v>0</v>
      </c>
      <c r="K2908" s="4" t="n">
        <v>0</v>
      </c>
      <c r="M2908" s="2" t="str">
        <f aca="false">IF(C2908="","",IFERROR(INDEX($S$5:$S$304,MATCH(C2908,$R$5:$R$304,0))&amp;"","?"))</f>
        <v>19</v>
      </c>
      <c r="N2908" s="2" t="n">
        <f aca="false">IF(E2908="","",IF(ISNUMBER(SEARCH("SUBSOLO",E2908)),IFERROR(-VALUE(LEFT(E2908,FIND("º",SUBSTITUTE(E2908,"°","º"))-1)),-1),IF(LEFT(E2908,6)="TÉRREO",0,IFERROR(VALUE(LEFT(E2908,FIND("º",SUBSTITUTE(E2908,"°","º"))-1)),""))))</f>
        <v>3</v>
      </c>
      <c r="O2908" s="2" t="str">
        <f aca="false">IF(OR(F2908="",G2908=""),"",IF(G2908&lt;='RETRATO 2027'!$K$5,"CONCLUÍDA",IF(F2908&lt;='RETRATO 2027'!$K$5,"EM ANDAMENTO","A INICIAR")))</f>
        <v>CONCLUÍDA</v>
      </c>
    </row>
    <row r="2909" customFormat="false" ht="15" hidden="false" customHeight="false" outlineLevel="0" collapsed="false">
      <c r="B2909" s="4" t="n">
        <v>26744734</v>
      </c>
      <c r="C2909" s="4" t="s">
        <v>2808</v>
      </c>
      <c r="D2909" s="4" t="s">
        <v>433</v>
      </c>
      <c r="E2909" s="4" t="s">
        <v>3800</v>
      </c>
      <c r="F2909" s="127" t="n">
        <v>46625</v>
      </c>
      <c r="G2909" s="127" t="n">
        <v>46688</v>
      </c>
      <c r="H2909" s="127" t="n">
        <v>46293</v>
      </c>
      <c r="I2909" s="4" t="n">
        <v>0</v>
      </c>
      <c r="J2909" s="4" t="n">
        <v>0</v>
      </c>
      <c r="K2909" s="4" t="n">
        <v>0</v>
      </c>
      <c r="M2909" s="2" t="str">
        <f aca="false">IF(C2909="","",IFERROR(INDEX($S$5:$S$304,MATCH(C2909,$R$5:$R$304,0))&amp;"","?"))</f>
        <v>29</v>
      </c>
      <c r="N2909" s="2" t="n">
        <f aca="false">IF(E2909="","",IF(ISNUMBER(SEARCH("SUBSOLO",E2909)),IFERROR(-VALUE(LEFT(E2909,FIND("º",SUBSTITUTE(E2909,"°","º"))-1)),-1),IF(LEFT(E2909,6)="TÉRREO",0,IFERROR(VALUE(LEFT(E2909,FIND("º",SUBSTITUTE(E2909,"°","º"))-1)),""))))</f>
        <v>3</v>
      </c>
      <c r="O2909" s="2" t="str">
        <f aca="false">IF(OR(F2909="",G2909=""),"",IF(G2909&lt;='RETRATO 2027'!$K$5,"CONCLUÍDA",IF(F2909&lt;='RETRATO 2027'!$K$5,"EM ANDAMENTO","A INICIAR")))</f>
        <v>CONCLUÍDA</v>
      </c>
    </row>
    <row r="2910" customFormat="false" ht="15" hidden="false" customHeight="false" outlineLevel="0" collapsed="false">
      <c r="B2910" s="4" t="n">
        <v>36118602</v>
      </c>
      <c r="C2910" s="4" t="s">
        <v>2848</v>
      </c>
      <c r="D2910" s="4" t="s">
        <v>433</v>
      </c>
      <c r="E2910" s="4" t="s">
        <v>3583</v>
      </c>
      <c r="F2910" s="127" t="n">
        <v>46626</v>
      </c>
      <c r="G2910" s="127" t="n">
        <v>46647</v>
      </c>
      <c r="H2910" s="127" t="n">
        <v>46293</v>
      </c>
      <c r="I2910" s="4" t="n">
        <v>0</v>
      </c>
      <c r="J2910" s="4" t="n">
        <v>0</v>
      </c>
      <c r="K2910" s="4" t="n">
        <v>0</v>
      </c>
      <c r="M2910" s="2" t="str">
        <f aca="false">IF(C2910="","",IFERROR(INDEX($S$5:$S$304,MATCH(C2910,$R$5:$R$304,0))&amp;"","?"))</f>
        <v>26</v>
      </c>
      <c r="N2910" s="2" t="n">
        <f aca="false">IF(E2910="","",IF(ISNUMBER(SEARCH("SUBSOLO",E2910)),IFERROR(-VALUE(LEFT(E2910,FIND("º",SUBSTITUTE(E2910,"°","º"))-1)),-1),IF(LEFT(E2910,6)="TÉRREO",0,IFERROR(VALUE(LEFT(E2910,FIND("º",SUBSTITUTE(E2910,"°","º"))-1)),""))))</f>
        <v>-6</v>
      </c>
      <c r="O2910" s="2" t="str">
        <f aca="false">IF(OR(F2910="",G2910=""),"",IF(G2910&lt;='RETRATO 2027'!$K$5,"CONCLUÍDA",IF(F2910&lt;='RETRATO 2027'!$K$5,"EM ANDAMENTO","A INICIAR")))</f>
        <v>CONCLUÍDA</v>
      </c>
    </row>
    <row r="2911" customFormat="false" ht="15" hidden="false" customHeight="false" outlineLevel="0" collapsed="false">
      <c r="B2911" s="4" t="n">
        <v>29844937</v>
      </c>
      <c r="C2911" s="4" t="s">
        <v>2926</v>
      </c>
      <c r="D2911" s="4" t="s">
        <v>433</v>
      </c>
      <c r="E2911" s="4" t="s">
        <v>3814</v>
      </c>
      <c r="F2911" s="127" t="n">
        <v>46626</v>
      </c>
      <c r="G2911" s="127" t="n">
        <v>46632</v>
      </c>
      <c r="H2911" s="127" t="n">
        <v>46293</v>
      </c>
      <c r="I2911" s="4" t="n">
        <v>0</v>
      </c>
      <c r="J2911" s="4" t="n">
        <v>0</v>
      </c>
      <c r="K2911" s="4" t="n">
        <v>0</v>
      </c>
      <c r="M2911" s="2" t="str">
        <f aca="false">IF(C2911="","",IFERROR(INDEX($S$5:$S$304,MATCH(C2911,$R$5:$R$304,0))&amp;"","?"))</f>
        <v>20</v>
      </c>
      <c r="N2911" s="2" t="n">
        <f aca="false">IF(E2911="","",IF(ISNUMBER(SEARCH("SUBSOLO",E2911)),IFERROR(-VALUE(LEFT(E2911,FIND("º",SUBSTITUTE(E2911,"°","º"))-1)),-1),IF(LEFT(E2911,6)="TÉRREO",0,IFERROR(VALUE(LEFT(E2911,FIND("º",SUBSTITUTE(E2911,"°","º"))-1)),""))))</f>
        <v>-6</v>
      </c>
      <c r="O2911" s="2" t="str">
        <f aca="false">IF(OR(F2911="",G2911=""),"",IF(G2911&lt;='RETRATO 2027'!$K$5,"CONCLUÍDA",IF(F2911&lt;='RETRATO 2027'!$K$5,"EM ANDAMENTO","A INICIAR")))</f>
        <v>CONCLUÍDA</v>
      </c>
    </row>
    <row r="2912" customFormat="false" ht="15" hidden="false" customHeight="false" outlineLevel="0" collapsed="false">
      <c r="B2912" s="4" t="n">
        <v>26745010</v>
      </c>
      <c r="C2912" s="4" t="s">
        <v>163</v>
      </c>
      <c r="D2912" s="4" t="s">
        <v>433</v>
      </c>
      <c r="E2912" s="4" t="s">
        <v>3816</v>
      </c>
      <c r="F2912" s="127" t="n">
        <v>46626</v>
      </c>
      <c r="G2912" s="127" t="n">
        <v>46638</v>
      </c>
      <c r="H2912" s="127" t="n">
        <v>46293</v>
      </c>
      <c r="I2912" s="4" t="n">
        <v>0</v>
      </c>
      <c r="J2912" s="4" t="n">
        <v>0</v>
      </c>
      <c r="K2912" s="4" t="n">
        <v>0</v>
      </c>
      <c r="M2912" s="2" t="str">
        <f aca="false">IF(C2912="","",IFERROR(INDEX($S$5:$S$304,MATCH(C2912,$R$5:$R$304,0))&amp;"","?"))</f>
        <v>18</v>
      </c>
      <c r="N2912" s="2" t="n">
        <f aca="false">IF(E2912="","",IF(ISNUMBER(SEARCH("SUBSOLO",E2912)),IFERROR(-VALUE(LEFT(E2912,FIND("º",SUBSTITUTE(E2912,"°","º"))-1)),-1),IF(LEFT(E2912,6)="TÉRREO",0,IFERROR(VALUE(LEFT(E2912,FIND("º",SUBSTITUTE(E2912,"°","º"))-1)),""))))</f>
        <v>-6</v>
      </c>
      <c r="O2912" s="2" t="str">
        <f aca="false">IF(OR(F2912="",G2912=""),"",IF(G2912&lt;='RETRATO 2027'!$K$5,"CONCLUÍDA",IF(F2912&lt;='RETRATO 2027'!$K$5,"EM ANDAMENTO","A INICIAR")))</f>
        <v>CONCLUÍDA</v>
      </c>
    </row>
    <row r="2913" customFormat="false" ht="15" hidden="false" customHeight="false" outlineLevel="0" collapsed="false">
      <c r="B2913" s="4" t="n">
        <v>26745172</v>
      </c>
      <c r="C2913" s="4" t="s">
        <v>2997</v>
      </c>
      <c r="D2913" s="4" t="s">
        <v>433</v>
      </c>
      <c r="E2913" s="4" t="s">
        <v>3770</v>
      </c>
      <c r="F2913" s="127" t="n">
        <v>46626</v>
      </c>
      <c r="G2913" s="127" t="n">
        <v>46638</v>
      </c>
      <c r="H2913" s="127" t="n">
        <v>46293</v>
      </c>
      <c r="I2913" s="4" t="n">
        <v>0</v>
      </c>
      <c r="J2913" s="4" t="n">
        <v>0</v>
      </c>
      <c r="K2913" s="4" t="n">
        <v>0</v>
      </c>
      <c r="M2913" s="2" t="str">
        <f aca="false">IF(C2913="","",IFERROR(INDEX($S$5:$S$304,MATCH(C2913,$R$5:$R$304,0))&amp;"","?"))</f>
        <v>35</v>
      </c>
      <c r="N2913" s="2" t="n">
        <f aca="false">IF(E2913="","",IF(ISNUMBER(SEARCH("SUBSOLO",E2913)),IFERROR(-VALUE(LEFT(E2913,FIND("º",SUBSTITUTE(E2913,"°","º"))-1)),-1),IF(LEFT(E2913,6)="TÉRREO",0,IFERROR(VALUE(LEFT(E2913,FIND("º",SUBSTITUTE(E2913,"°","º"))-1)),""))))</f>
        <v>-1</v>
      </c>
      <c r="O2913" s="2" t="str">
        <f aca="false">IF(OR(F2913="",G2913=""),"",IF(G2913&lt;='RETRATO 2027'!$K$5,"CONCLUÍDA",IF(F2913&lt;='RETRATO 2027'!$K$5,"EM ANDAMENTO","A INICIAR")))</f>
        <v>CONCLUÍDA</v>
      </c>
    </row>
    <row r="2914" customFormat="false" ht="15" hidden="false" customHeight="false" outlineLevel="0" collapsed="false">
      <c r="B2914" s="4" t="n">
        <v>26742860</v>
      </c>
      <c r="C2914" s="4" t="s">
        <v>2916</v>
      </c>
      <c r="D2914" s="4" t="s">
        <v>433</v>
      </c>
      <c r="E2914" s="4" t="s">
        <v>3794</v>
      </c>
      <c r="F2914" s="127" t="n">
        <v>46626</v>
      </c>
      <c r="G2914" s="127" t="n">
        <v>46633</v>
      </c>
      <c r="H2914" s="127" t="n">
        <v>46293</v>
      </c>
      <c r="I2914" s="4" t="n">
        <v>0</v>
      </c>
      <c r="J2914" s="4" t="n">
        <v>0</v>
      </c>
      <c r="K2914" s="4" t="n">
        <v>0</v>
      </c>
      <c r="M2914" s="2" t="str">
        <f aca="false">IF(C2914="","",IFERROR(INDEX($S$5:$S$304,MATCH(C2914,$R$5:$R$304,0))&amp;"","?"))</f>
        <v>18</v>
      </c>
      <c r="N2914" s="2" t="n">
        <f aca="false">IF(E2914="","",IF(ISNUMBER(SEARCH("SUBSOLO",E2914)),IFERROR(-VALUE(LEFT(E2914,FIND("º",SUBSTITUTE(E2914,"°","º"))-1)),-1),IF(LEFT(E2914,6)="TÉRREO",0,IFERROR(VALUE(LEFT(E2914,FIND("º",SUBSTITUTE(E2914,"°","º"))-1)),""))))</f>
        <v>25</v>
      </c>
      <c r="O2914" s="2" t="str">
        <f aca="false">IF(OR(F2914="",G2914=""),"",IF(G2914&lt;='RETRATO 2027'!$K$5,"CONCLUÍDA",IF(F2914&lt;='RETRATO 2027'!$K$5,"EM ANDAMENTO","A INICIAR")))</f>
        <v>CONCLUÍDA</v>
      </c>
    </row>
    <row r="2915" customFormat="false" ht="15" hidden="false" customHeight="false" outlineLevel="0" collapsed="false">
      <c r="B2915" s="4" t="n">
        <v>26250189</v>
      </c>
      <c r="C2915" s="4" t="s">
        <v>3012</v>
      </c>
      <c r="D2915" s="4" t="s">
        <v>433</v>
      </c>
      <c r="E2915" s="4" t="s">
        <v>3795</v>
      </c>
      <c r="F2915" s="127" t="n">
        <v>46626</v>
      </c>
      <c r="G2915" s="127" t="n">
        <v>46791</v>
      </c>
      <c r="H2915" s="127" t="n">
        <v>46293</v>
      </c>
      <c r="I2915" s="4" t="n">
        <v>0</v>
      </c>
      <c r="J2915" s="4" t="n">
        <v>0</v>
      </c>
      <c r="K2915" s="4" t="n">
        <v>0</v>
      </c>
      <c r="M2915" s="2" t="str">
        <f aca="false">IF(C2915="","",IFERROR(INDEX($S$5:$S$304,MATCH(C2915,$R$5:$R$304,0))&amp;"","?"))</f>
        <v>32</v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>EM ANDAMENTO</v>
      </c>
    </row>
    <row r="2916" customFormat="false" ht="15" hidden="false" customHeight="false" outlineLevel="0" collapsed="false">
      <c r="B2916" s="4" t="n">
        <v>9370879</v>
      </c>
      <c r="C2916" s="4" t="s">
        <v>3012</v>
      </c>
      <c r="D2916" s="4" t="s">
        <v>3817</v>
      </c>
      <c r="E2916" s="4" t="s">
        <v>3795</v>
      </c>
      <c r="F2916" s="127" t="n">
        <v>46626</v>
      </c>
      <c r="G2916" s="127" t="n">
        <v>46786</v>
      </c>
      <c r="H2916" s="127" t="n">
        <v>46293</v>
      </c>
      <c r="I2916" s="4" t="n">
        <v>0</v>
      </c>
      <c r="J2916" s="4" t="n">
        <v>0</v>
      </c>
      <c r="K2916" s="4" t="n">
        <v>0</v>
      </c>
      <c r="M2916" s="2" t="str">
        <f aca="false">IF(C2916="","",IFERROR(INDEX($S$5:$S$304,MATCH(C2916,$R$5:$R$304,0))&amp;"","?"))</f>
        <v>32</v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>EM ANDAMENTO</v>
      </c>
    </row>
    <row r="2917" customFormat="false" ht="15" hidden="false" customHeight="false" outlineLevel="0" collapsed="false">
      <c r="B2917" s="4" t="n">
        <v>9370880</v>
      </c>
      <c r="C2917" s="4" t="s">
        <v>3012</v>
      </c>
      <c r="D2917" s="4" t="s">
        <v>3818</v>
      </c>
      <c r="E2917" s="4" t="s">
        <v>3795</v>
      </c>
      <c r="F2917" s="127" t="n">
        <v>46631</v>
      </c>
      <c r="G2917" s="127" t="n">
        <v>46791</v>
      </c>
      <c r="H2917" s="127" t="n">
        <v>46293</v>
      </c>
      <c r="I2917" s="4" t="n">
        <v>0</v>
      </c>
      <c r="J2917" s="4" t="n">
        <v>0</v>
      </c>
      <c r="K2917" s="4" t="n">
        <v>0</v>
      </c>
      <c r="M2917" s="2" t="str">
        <f aca="false">IF(C2917="","",IFERROR(INDEX($S$5:$S$304,MATCH(C2917,$R$5:$R$304,0))&amp;"","?"))</f>
        <v>32</v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>EM ANDAMENTO</v>
      </c>
    </row>
    <row r="2918" customFormat="false" ht="15" hidden="false" customHeight="false" outlineLevel="0" collapsed="false">
      <c r="B2918" s="4" t="n">
        <v>9370881</v>
      </c>
      <c r="C2918" s="4" t="s">
        <v>3012</v>
      </c>
      <c r="D2918" s="4" t="s">
        <v>3819</v>
      </c>
      <c r="E2918" s="4" t="s">
        <v>3795</v>
      </c>
      <c r="F2918" s="127" t="n">
        <v>46666</v>
      </c>
      <c r="G2918" s="127" t="n">
        <v>46742</v>
      </c>
      <c r="H2918" s="127" t="n">
        <v>46293</v>
      </c>
      <c r="I2918" s="4" t="n">
        <v>0</v>
      </c>
      <c r="J2918" s="4" t="n">
        <v>0</v>
      </c>
      <c r="K2918" s="4" t="n">
        <v>0</v>
      </c>
      <c r="M2918" s="2" t="str">
        <f aca="false">IF(C2918="","",IFERROR(INDEX($S$5:$S$304,MATCH(C2918,$R$5:$R$304,0))&amp;"","?"))</f>
        <v>32</v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>CONCLUÍDA</v>
      </c>
    </row>
    <row r="2919" customFormat="false" ht="15" hidden="false" customHeight="false" outlineLevel="0" collapsed="false">
      <c r="B2919" s="4" t="n">
        <v>9370882</v>
      </c>
      <c r="C2919" s="4" t="s">
        <v>3012</v>
      </c>
      <c r="D2919" s="4" t="s">
        <v>3820</v>
      </c>
      <c r="E2919" s="4" t="s">
        <v>3795</v>
      </c>
      <c r="F2919" s="127" t="n">
        <v>46671</v>
      </c>
      <c r="G2919" s="127" t="n">
        <v>46757</v>
      </c>
      <c r="H2919" s="127" t="n">
        <v>46293</v>
      </c>
      <c r="I2919" s="4" t="n">
        <v>0</v>
      </c>
      <c r="J2919" s="4" t="n">
        <v>0</v>
      </c>
      <c r="K2919" s="4" t="n">
        <v>0</v>
      </c>
      <c r="M2919" s="2" t="str">
        <f aca="false">IF(C2919="","",IFERROR(INDEX($S$5:$S$304,MATCH(C2919,$R$5:$R$304,0))&amp;"","?"))</f>
        <v>32</v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>EM ANDAMENTO</v>
      </c>
    </row>
    <row r="2920" customFormat="false" ht="15" hidden="false" customHeight="false" outlineLevel="0" collapsed="false">
      <c r="B2920" s="4" t="n">
        <v>26745158</v>
      </c>
      <c r="C2920" s="4" t="s">
        <v>3006</v>
      </c>
      <c r="D2920" s="4" t="s">
        <v>433</v>
      </c>
      <c r="E2920" s="4" t="s">
        <v>3652</v>
      </c>
      <c r="F2920" s="127" t="n">
        <v>46629</v>
      </c>
      <c r="G2920" s="127" t="n">
        <v>46639</v>
      </c>
      <c r="H2920" s="127" t="n">
        <v>46293</v>
      </c>
      <c r="I2920" s="4" t="n">
        <v>0</v>
      </c>
      <c r="J2920" s="4" t="n">
        <v>0</v>
      </c>
      <c r="K2920" s="4" t="n">
        <v>0</v>
      </c>
      <c r="M2920" s="2" t="str">
        <f aca="false">IF(C2920="","",IFERROR(INDEX($S$5:$S$304,MATCH(C2920,$R$5:$R$304,0))&amp;"","?"))</f>
        <v>37</v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>CONCLUÍDA</v>
      </c>
    </row>
    <row r="2921" customFormat="false" ht="15" hidden="false" customHeight="false" outlineLevel="0" collapsed="false">
      <c r="B2921" s="4" t="n">
        <v>26745035</v>
      </c>
      <c r="C2921" s="4" t="s">
        <v>3021</v>
      </c>
      <c r="D2921" s="4" t="s">
        <v>433</v>
      </c>
      <c r="E2921" s="4" t="s">
        <v>3801</v>
      </c>
      <c r="F2921" s="127" t="n">
        <v>46629</v>
      </c>
      <c r="G2921" s="127" t="n">
        <v>46639</v>
      </c>
      <c r="H2921" s="127" t="n">
        <v>46293</v>
      </c>
      <c r="I2921" s="4" t="n">
        <v>0</v>
      </c>
      <c r="J2921" s="4" t="n">
        <v>0</v>
      </c>
      <c r="K2921" s="4" t="n">
        <v>0</v>
      </c>
      <c r="M2921" s="2" t="str">
        <f aca="false">IF(C2921="","",IFERROR(INDEX($S$5:$S$304,MATCH(C2921,$R$5:$R$304,0))&amp;"","?"))</f>
        <v>35</v>
      </c>
      <c r="N2921" s="2" t="n">
        <f aca="false">IF(E2921="","",IF(ISNUMBER(SEARCH("SUBSOLO",E2921)),IFERROR(-VALUE(LEFT(E2921,FIND("º",SUBSTITUTE(E2921,"°","º"))-1)),-1),IF(LEFT(E2921,6)="TÉRREO",0,IFERROR(VALUE(LEFT(E2921,FIND("º",SUBSTITUTE(E2921,"°","º"))-1)),""))))</f>
        <v>1</v>
      </c>
      <c r="O2921" s="2" t="str">
        <f aca="false">IF(OR(F2921="",G2921=""),"",IF(G2921&lt;='RETRATO 2027'!$K$5,"CONCLUÍDA",IF(F2921&lt;='RETRATO 2027'!$K$5,"EM ANDAMENTO","A INICIAR")))</f>
        <v>CONCLUÍDA</v>
      </c>
    </row>
    <row r="2922" customFormat="false" ht="15" hidden="false" customHeight="false" outlineLevel="0" collapsed="false">
      <c r="B2922" s="4" t="n">
        <v>26750519</v>
      </c>
      <c r="C2922" s="4" t="s">
        <v>2965</v>
      </c>
      <c r="D2922" s="4" t="s">
        <v>433</v>
      </c>
      <c r="E2922" s="4" t="s">
        <v>3767</v>
      </c>
      <c r="F2922" s="127" t="n">
        <v>46630</v>
      </c>
      <c r="G2922" s="127" t="n">
        <v>46636</v>
      </c>
      <c r="H2922" s="127" t="n">
        <v>46293</v>
      </c>
      <c r="I2922" s="4" t="n">
        <v>0</v>
      </c>
      <c r="J2922" s="4" t="n">
        <v>0</v>
      </c>
      <c r="K2922" s="4" t="n">
        <v>0</v>
      </c>
      <c r="M2922" s="2" t="str">
        <f aca="false">IF(C2922="","",IFERROR(INDEX($S$5:$S$304,MATCH(C2922,$R$5:$R$304,0))&amp;"","?"))</f>
        <v>20</v>
      </c>
      <c r="N2922" s="2" t="n">
        <f aca="false">IF(E2922="","",IF(ISNUMBER(SEARCH("SUBSOLO",E2922)),IFERROR(-VALUE(LEFT(E2922,FIND("º",SUBSTITUTE(E2922,"°","º"))-1)),-1),IF(LEFT(E2922,6)="TÉRREO",0,IFERROR(VALUE(LEFT(E2922,FIND("º",SUBSTITUTE(E2922,"°","º"))-1)),""))))</f>
        <v>-1</v>
      </c>
      <c r="O2922" s="2" t="str">
        <f aca="false">IF(OR(F2922="",G2922=""),"",IF(G2922&lt;='RETRATO 2027'!$K$5,"CONCLUÍDA",IF(F2922&lt;='RETRATO 2027'!$K$5,"EM ANDAMENTO","A INICIAR")))</f>
        <v>CONCLUÍDA</v>
      </c>
    </row>
    <row r="2923" customFormat="false" ht="15" hidden="false" customHeight="false" outlineLevel="0" collapsed="false">
      <c r="B2923" s="4" t="n">
        <v>26750521</v>
      </c>
      <c r="C2923" s="4" t="s">
        <v>3041</v>
      </c>
      <c r="D2923" s="4" t="s">
        <v>433</v>
      </c>
      <c r="E2923" s="4" t="s">
        <v>3767</v>
      </c>
      <c r="F2923" s="127" t="n">
        <v>46630</v>
      </c>
      <c r="G2923" s="127" t="n">
        <v>46636</v>
      </c>
      <c r="H2923" s="127" t="n">
        <v>46293</v>
      </c>
      <c r="I2923" s="4" t="n">
        <v>0</v>
      </c>
      <c r="J2923" s="4" t="n">
        <v>0</v>
      </c>
      <c r="K2923" s="4" t="n">
        <v>0</v>
      </c>
      <c r="M2923" s="2" t="str">
        <f aca="false">IF(C2923="","",IFERROR(INDEX($S$5:$S$304,MATCH(C2923,$R$5:$R$304,0))&amp;"","?"))</f>
        <v>20</v>
      </c>
      <c r="N2923" s="2" t="n">
        <f aca="false">IF(E2923="","",IF(ISNUMBER(SEARCH("SUBSOLO",E2923)),IFERROR(-VALUE(LEFT(E2923,FIND("º",SUBSTITUTE(E2923,"°","º"))-1)),-1),IF(LEFT(E2923,6)="TÉRREO",0,IFERROR(VALUE(LEFT(E2923,FIND("º",SUBSTITUTE(E2923,"°","º"))-1)),""))))</f>
        <v>-1</v>
      </c>
      <c r="O2923" s="2" t="str">
        <f aca="false">IF(OR(F2923="",G2923=""),"",IF(G2923&lt;='RETRATO 2027'!$K$5,"CONCLUÍDA",IF(F2923&lt;='RETRATO 2027'!$K$5,"EM ANDAMENTO","A INICIAR")))</f>
        <v>CONCLUÍDA</v>
      </c>
    </row>
    <row r="2924" customFormat="false" ht="15" hidden="false" customHeight="false" outlineLevel="0" collapsed="false">
      <c r="B2924" s="4" t="n">
        <v>26707674</v>
      </c>
      <c r="C2924" s="4" t="s">
        <v>3021</v>
      </c>
      <c r="D2924" s="4" t="s">
        <v>433</v>
      </c>
      <c r="E2924" s="4" t="s">
        <v>3777</v>
      </c>
      <c r="F2924" s="127" t="n">
        <v>46630</v>
      </c>
      <c r="G2924" s="127" t="n">
        <v>46651</v>
      </c>
      <c r="H2924" s="127" t="n">
        <v>46293</v>
      </c>
      <c r="I2924" s="4" t="n">
        <v>0</v>
      </c>
      <c r="J2924" s="4" t="n">
        <v>0</v>
      </c>
      <c r="K2924" s="4" t="n">
        <v>0</v>
      </c>
      <c r="M2924" s="2" t="str">
        <f aca="false">IF(C2924="","",IFERROR(INDEX($S$5:$S$304,MATCH(C2924,$R$5:$R$304,0))&amp;"","?"))</f>
        <v>35</v>
      </c>
      <c r="N2924" s="2" t="n">
        <f aca="false">IF(E2924="","",IF(ISNUMBER(SEARCH("SUBSOLO",E2924)),IFERROR(-VALUE(LEFT(E2924,FIND("º",SUBSTITUTE(E2924,"°","º"))-1)),-1),IF(LEFT(E2924,6)="TÉRREO",0,IFERROR(VALUE(LEFT(E2924,FIND("º",SUBSTITUTE(E2924,"°","º"))-1)),""))))</f>
        <v>1</v>
      </c>
      <c r="O2924" s="2" t="str">
        <f aca="false">IF(OR(F2924="",G2924=""),"",IF(G2924&lt;='RETRATO 2027'!$K$5,"CONCLUÍDA",IF(F2924&lt;='RETRATO 2027'!$K$5,"EM ANDAMENTO","A INICIAR")))</f>
        <v>CONCLUÍDA</v>
      </c>
    </row>
    <row r="2925" customFormat="false" ht="15" hidden="false" customHeight="false" outlineLevel="0" collapsed="false">
      <c r="B2925" s="4" t="n">
        <v>26745053</v>
      </c>
      <c r="C2925" s="4" t="s">
        <v>2971</v>
      </c>
      <c r="D2925" s="4" t="s">
        <v>433</v>
      </c>
      <c r="E2925" s="4" t="s">
        <v>3659</v>
      </c>
      <c r="F2925" s="127" t="n">
        <v>46630</v>
      </c>
      <c r="G2925" s="127" t="n">
        <v>46640</v>
      </c>
      <c r="H2925" s="127" t="n">
        <v>46293</v>
      </c>
      <c r="I2925" s="4" t="n">
        <v>0</v>
      </c>
      <c r="J2925" s="4" t="n">
        <v>0</v>
      </c>
      <c r="K2925" s="4" t="n">
        <v>0</v>
      </c>
      <c r="M2925" s="2" t="str">
        <f aca="false">IF(C2925="","",IFERROR(INDEX($S$5:$S$304,MATCH(C2925,$R$5:$R$304,0))&amp;"","?"))</f>
        <v>37</v>
      </c>
      <c r="N2925" s="2" t="n">
        <f aca="false">IF(E2925="","",IF(ISNUMBER(SEARCH("SUBSOLO",E2925)),IFERROR(-VALUE(LEFT(E2925,FIND("º",SUBSTITUTE(E2925,"°","º"))-1)),-1),IF(LEFT(E2925,6)="TÉRREO",0,IFERROR(VALUE(LEFT(E2925,FIND("º",SUBSTITUTE(E2925,"°","º"))-1)),""))))</f>
        <v>1</v>
      </c>
      <c r="O2925" s="2" t="str">
        <f aca="false">IF(OR(F2925="",G2925=""),"",IF(G2925&lt;='RETRATO 2027'!$K$5,"CONCLUÍDA",IF(F2925&lt;='RETRATO 2027'!$K$5,"EM ANDAMENTO","A INICIAR")))</f>
        <v>CONCLUÍDA</v>
      </c>
    </row>
    <row r="2926" customFormat="false" ht="15" hidden="false" customHeight="false" outlineLevel="0" collapsed="false">
      <c r="B2926" s="4" t="n">
        <v>26742822</v>
      </c>
      <c r="C2926" s="4" t="s">
        <v>2814</v>
      </c>
      <c r="D2926" s="4" t="s">
        <v>433</v>
      </c>
      <c r="E2926" s="4" t="s">
        <v>3797</v>
      </c>
      <c r="F2926" s="127" t="n">
        <v>46630</v>
      </c>
      <c r="G2926" s="127" t="n">
        <v>46638</v>
      </c>
      <c r="H2926" s="127" t="n">
        <v>46293</v>
      </c>
      <c r="I2926" s="4" t="n">
        <v>0</v>
      </c>
      <c r="J2926" s="4" t="n">
        <v>0</v>
      </c>
      <c r="K2926" s="4" t="n">
        <v>0</v>
      </c>
      <c r="M2926" s="2" t="str">
        <f aca="false">IF(C2926="","",IFERROR(INDEX($S$5:$S$304,MATCH(C2926,$R$5:$R$304,0))&amp;"","?"))</f>
        <v>28</v>
      </c>
      <c r="N2926" s="2" t="n">
        <f aca="false">IF(E2926="","",IF(ISNUMBER(SEARCH("SUBSOLO",E2926)),IFERROR(-VALUE(LEFT(E2926,FIND("º",SUBSTITUTE(E2926,"°","º"))-1)),-1),IF(LEFT(E2926,6)="TÉRREO",0,IFERROR(VALUE(LEFT(E2926,FIND("º",SUBSTITUTE(E2926,"°","º"))-1)),""))))</f>
        <v>26</v>
      </c>
      <c r="O2926" s="2" t="str">
        <f aca="false">IF(OR(F2926="",G2926=""),"",IF(G2926&lt;='RETRATO 2027'!$K$5,"CONCLUÍDA",IF(F2926&lt;='RETRATO 2027'!$K$5,"EM ANDAMENTO","A INICIAR")))</f>
        <v>CONCLUÍDA</v>
      </c>
    </row>
    <row r="2927" customFormat="false" ht="15" hidden="false" customHeight="false" outlineLevel="0" collapsed="false">
      <c r="B2927" s="4" t="n">
        <v>26742791</v>
      </c>
      <c r="C2927" s="4" t="s">
        <v>2914</v>
      </c>
      <c r="D2927" s="4" t="s">
        <v>433</v>
      </c>
      <c r="E2927" s="4" t="s">
        <v>3799</v>
      </c>
      <c r="F2927" s="127" t="n">
        <v>46630</v>
      </c>
      <c r="G2927" s="127" t="n">
        <v>46640</v>
      </c>
      <c r="H2927" s="127" t="n">
        <v>46293</v>
      </c>
      <c r="I2927" s="4" t="n">
        <v>0</v>
      </c>
      <c r="J2927" s="4" t="n">
        <v>0</v>
      </c>
      <c r="K2927" s="4" t="n">
        <v>0</v>
      </c>
      <c r="M2927" s="2" t="str">
        <f aca="false">IF(C2927="","",IFERROR(INDEX($S$5:$S$304,MATCH(C2927,$R$5:$R$304,0))&amp;"","?"))</f>
        <v>21</v>
      </c>
      <c r="N2927" s="2" t="n">
        <f aca="false">IF(E2927="","",IF(ISNUMBER(SEARCH("SUBSOLO",E2927)),IFERROR(-VALUE(LEFT(E2927,FIND("º",SUBSTITUTE(E2927,"°","º"))-1)),-1),IF(LEFT(E2927,6)="TÉRREO",0,IFERROR(VALUE(LEFT(E2927,FIND("º",SUBSTITUTE(E2927,"°","º"))-1)),""))))</f>
        <v>27</v>
      </c>
      <c r="O2927" s="2" t="str">
        <f aca="false">IF(OR(F2927="",G2927=""),"",IF(G2927&lt;='RETRATO 2027'!$K$5,"CONCLUÍDA",IF(F2927&lt;='RETRATO 2027'!$K$5,"EM ANDAMENTO","A INICIAR")))</f>
        <v>CONCLUÍDA</v>
      </c>
    </row>
    <row r="2928" customFormat="false" ht="15" hidden="false" customHeight="false" outlineLevel="0" collapsed="false">
      <c r="B2928" s="4" t="n">
        <v>26742747</v>
      </c>
      <c r="C2928" s="4" t="s">
        <v>2808</v>
      </c>
      <c r="D2928" s="4" t="s">
        <v>433</v>
      </c>
      <c r="E2928" s="4" t="s">
        <v>3802</v>
      </c>
      <c r="F2928" s="127" t="n">
        <v>46630</v>
      </c>
      <c r="G2928" s="127" t="n">
        <v>46640</v>
      </c>
      <c r="H2928" s="127" t="n">
        <v>46293</v>
      </c>
      <c r="I2928" s="4" t="n">
        <v>0</v>
      </c>
      <c r="J2928" s="4" t="n">
        <v>0</v>
      </c>
      <c r="K2928" s="4" t="n">
        <v>0</v>
      </c>
      <c r="M2928" s="2" t="str">
        <f aca="false">IF(C2928="","",IFERROR(INDEX($S$5:$S$304,MATCH(C2928,$R$5:$R$304,0))&amp;"","?"))</f>
        <v>29</v>
      </c>
      <c r="N2928" s="2" t="n">
        <f aca="false">IF(E2928="","",IF(ISNUMBER(SEARCH("SUBSOLO",E2928)),IFERROR(-VALUE(LEFT(E2928,FIND("º",SUBSTITUTE(E2928,"°","º"))-1)),-1),IF(LEFT(E2928,6)="TÉRREO",0,IFERROR(VALUE(LEFT(E2928,FIND("º",SUBSTITUTE(E2928,"°","º"))-1)),""))))</f>
        <v>28</v>
      </c>
      <c r="O2928" s="2" t="str">
        <f aca="false">IF(OR(F2928="",G2928=""),"",IF(G2928&lt;='RETRATO 2027'!$K$5,"CONCLUÍDA",IF(F2928&lt;='RETRATO 2027'!$K$5,"EM ANDAMENTO","A INICIAR")))</f>
        <v>CONCLUÍDA</v>
      </c>
    </row>
    <row r="2929" customFormat="false" ht="15" hidden="false" customHeight="false" outlineLevel="0" collapsed="false">
      <c r="B2929" s="4" t="n">
        <v>26742709</v>
      </c>
      <c r="C2929" s="4" t="s">
        <v>2910</v>
      </c>
      <c r="D2929" s="4" t="s">
        <v>433</v>
      </c>
      <c r="E2929" s="4" t="s">
        <v>3803</v>
      </c>
      <c r="F2929" s="127" t="n">
        <v>46630</v>
      </c>
      <c r="G2929" s="127" t="n">
        <v>46640</v>
      </c>
      <c r="H2929" s="127" t="n">
        <v>46293</v>
      </c>
      <c r="I2929" s="4" t="n">
        <v>0</v>
      </c>
      <c r="J2929" s="4" t="n">
        <v>0</v>
      </c>
      <c r="K2929" s="4" t="n">
        <v>0</v>
      </c>
      <c r="M2929" s="2" t="str">
        <f aca="false">IF(C2929="","",IFERROR(INDEX($S$5:$S$304,MATCH(C2929,$R$5:$R$304,0))&amp;"","?"))</f>
        <v>25</v>
      </c>
      <c r="N2929" s="2" t="n">
        <f aca="false">IF(E2929="","",IF(ISNUMBER(SEARCH("SUBSOLO",E2929)),IFERROR(-VALUE(LEFT(E2929,FIND("º",SUBSTITUTE(E2929,"°","º"))-1)),-1),IF(LEFT(E2929,6)="TÉRREO",0,IFERROR(VALUE(LEFT(E2929,FIND("º",SUBSTITUTE(E2929,"°","º"))-1)),""))))</f>
        <v>29</v>
      </c>
      <c r="O2929" s="2" t="str">
        <f aca="false">IF(OR(F2929="",G2929=""),"",IF(G2929&lt;='RETRATO 2027'!$K$5,"CONCLUÍDA",IF(F2929&lt;='RETRATO 2027'!$K$5,"EM ANDAMENTO","A INICIAR")))</f>
        <v>CONCLUÍDA</v>
      </c>
    </row>
    <row r="2930" customFormat="false" ht="15" hidden="false" customHeight="false" outlineLevel="0" collapsed="false">
      <c r="B2930" s="4" t="n">
        <v>26708185</v>
      </c>
      <c r="C2930" s="4" t="s">
        <v>2808</v>
      </c>
      <c r="D2930" s="4" t="s">
        <v>433</v>
      </c>
      <c r="E2930" s="4" t="s">
        <v>3628</v>
      </c>
      <c r="F2930" s="127" t="n">
        <v>46632</v>
      </c>
      <c r="G2930" s="127" t="n">
        <v>46644</v>
      </c>
      <c r="H2930" s="127" t="n">
        <v>46293</v>
      </c>
      <c r="I2930" s="4" t="n">
        <v>0</v>
      </c>
      <c r="J2930" s="4" t="n">
        <v>0</v>
      </c>
      <c r="K2930" s="4" t="n">
        <v>0</v>
      </c>
      <c r="M2930" s="2" t="str">
        <f aca="false">IF(C2930="","",IFERROR(INDEX($S$5:$S$304,MATCH(C2930,$R$5:$R$304,0))&amp;"","?"))</f>
        <v>29</v>
      </c>
      <c r="N2930" s="2" t="n">
        <f aca="false">IF(E2930="","",IF(ISNUMBER(SEARCH("SUBSOLO",E2930)),IFERROR(-VALUE(LEFT(E2930,FIND("º",SUBSTITUTE(E2930,"°","º"))-1)),-1),IF(LEFT(E2930,6)="TÉRREO",0,IFERROR(VALUE(LEFT(E2930,FIND("º",SUBSTITUTE(E2930,"°","º"))-1)),""))))</f>
        <v>-6</v>
      </c>
      <c r="O2930" s="2" t="str">
        <f aca="false">IF(OR(F2930="",G2930=""),"",IF(G2930&lt;='RETRATO 2027'!$K$5,"CONCLUÍDA",IF(F2930&lt;='RETRATO 2027'!$K$5,"EM ANDAMENTO","A INICIAR")))</f>
        <v>CONCLUÍDA</v>
      </c>
    </row>
    <row r="2931" customFormat="false" ht="15" hidden="false" customHeight="false" outlineLevel="0" collapsed="false">
      <c r="B2931" s="4" t="n">
        <v>26708139</v>
      </c>
      <c r="C2931" s="4" t="s">
        <v>2896</v>
      </c>
      <c r="D2931" s="4" t="s">
        <v>433</v>
      </c>
      <c r="E2931" s="4" t="s">
        <v>3813</v>
      </c>
      <c r="F2931" s="127" t="n">
        <v>46632</v>
      </c>
      <c r="G2931" s="127" t="n">
        <v>46644</v>
      </c>
      <c r="H2931" s="127" t="n">
        <v>46293</v>
      </c>
      <c r="I2931" s="4" t="n">
        <v>0</v>
      </c>
      <c r="J2931" s="4" t="n">
        <v>0</v>
      </c>
      <c r="K2931" s="4" t="n">
        <v>0</v>
      </c>
      <c r="M2931" s="2" t="str">
        <f aca="false">IF(C2931="","",IFERROR(INDEX($S$5:$S$304,MATCH(C2931,$R$5:$R$304,0))&amp;"","?"))</f>
        <v>20</v>
      </c>
      <c r="N2931" s="2" t="n">
        <f aca="false">IF(E2931="","",IF(ISNUMBER(SEARCH("SUBSOLO",E2931)),IFERROR(-VALUE(LEFT(E2931,FIND("º",SUBSTITUTE(E2931,"°","º"))-1)),-1),IF(LEFT(E2931,6)="TÉRREO",0,IFERROR(VALUE(LEFT(E2931,FIND("º",SUBSTITUTE(E2931,"°","º"))-1)),""))))</f>
        <v>-6</v>
      </c>
      <c r="O2931" s="2" t="str">
        <f aca="false">IF(OR(F2931="",G2931=""),"",IF(G2931&lt;='RETRATO 2027'!$K$5,"CONCLUÍDA",IF(F2931&lt;='RETRATO 2027'!$K$5,"EM ANDAMENTO","A INICIAR")))</f>
        <v>CONCLUÍDA</v>
      </c>
    </row>
    <row r="2932" customFormat="false" ht="15" hidden="false" customHeight="false" outlineLevel="0" collapsed="false">
      <c r="B2932" s="4" t="n">
        <v>26744396</v>
      </c>
      <c r="C2932" s="4" t="s">
        <v>77</v>
      </c>
      <c r="D2932" s="4" t="s">
        <v>433</v>
      </c>
      <c r="E2932" s="4" t="s">
        <v>3780</v>
      </c>
      <c r="F2932" s="127" t="n">
        <v>46632</v>
      </c>
      <c r="G2932" s="127" t="n">
        <v>46664</v>
      </c>
      <c r="H2932" s="127" t="n">
        <v>46293</v>
      </c>
      <c r="I2932" s="4" t="n">
        <v>0</v>
      </c>
      <c r="J2932" s="4" t="n">
        <v>0</v>
      </c>
      <c r="K2932" s="4" t="n">
        <v>0</v>
      </c>
      <c r="M2932" s="2" t="str">
        <f aca="false">IF(C2932="","",IFERROR(INDEX($S$5:$S$304,MATCH(C2932,$R$5:$R$304,0))&amp;"","?"))</f>
        <v>20</v>
      </c>
      <c r="N2932" s="2" t="n">
        <f aca="false">IF(E2932="","",IF(ISNUMBER(SEARCH("SUBSOLO",E2932)),IFERROR(-VALUE(LEFT(E2932,FIND("º",SUBSTITUTE(E2932,"°","º"))-1)),-1),IF(LEFT(E2932,6)="TÉRREO",0,IFERROR(VALUE(LEFT(E2932,FIND("º",SUBSTITUTE(E2932,"°","º"))-1)),""))))</f>
        <v>3</v>
      </c>
      <c r="O2932" s="2" t="str">
        <f aca="false">IF(OR(F2932="",G2932=""),"",IF(G2932&lt;='RETRATO 2027'!$K$5,"CONCLUÍDA",IF(F2932&lt;='RETRATO 2027'!$K$5,"EM ANDAMENTO","A INICIAR")))</f>
        <v>CONCLUÍDA</v>
      </c>
    </row>
    <row r="2933" customFormat="false" ht="15" hidden="false" customHeight="false" outlineLevel="0" collapsed="false">
      <c r="B2933" s="4" t="n">
        <v>26744394</v>
      </c>
      <c r="C2933" s="4" t="s">
        <v>3043</v>
      </c>
      <c r="D2933" s="4" t="s">
        <v>433</v>
      </c>
      <c r="E2933" s="4" t="s">
        <v>3780</v>
      </c>
      <c r="F2933" s="127" t="n">
        <v>46632</v>
      </c>
      <c r="G2933" s="127" t="n">
        <v>46664</v>
      </c>
      <c r="H2933" s="127" t="n">
        <v>46293</v>
      </c>
      <c r="I2933" s="4" t="n">
        <v>0</v>
      </c>
      <c r="J2933" s="4" t="n">
        <v>0</v>
      </c>
      <c r="K2933" s="4" t="n">
        <v>0</v>
      </c>
      <c r="M2933" s="2" t="str">
        <f aca="false">IF(C2933="","",IFERROR(INDEX($S$5:$S$304,MATCH(C2933,$R$5:$R$304,0))&amp;"","?"))</f>
        <v>30</v>
      </c>
      <c r="N2933" s="2" t="n">
        <f aca="false">IF(E2933="","",IF(ISNUMBER(SEARCH("SUBSOLO",E2933)),IFERROR(-VALUE(LEFT(E2933,FIND("º",SUBSTITUTE(E2933,"°","º"))-1)),-1),IF(LEFT(E2933,6)="TÉRREO",0,IFERROR(VALUE(LEFT(E2933,FIND("º",SUBSTITUTE(E2933,"°","º"))-1)),""))))</f>
        <v>3</v>
      </c>
      <c r="O2933" s="2" t="str">
        <f aca="false">IF(OR(F2933="",G2933=""),"",IF(G2933&lt;='RETRATO 2027'!$K$5,"CONCLUÍDA",IF(F2933&lt;='RETRATO 2027'!$K$5,"EM ANDAMENTO","A INICIAR")))</f>
        <v>CONCLUÍDA</v>
      </c>
    </row>
    <row r="2934" customFormat="false" ht="15" hidden="false" customHeight="false" outlineLevel="0" collapsed="false">
      <c r="B2934" s="4" t="n">
        <v>26750577</v>
      </c>
      <c r="C2934" s="4" t="s">
        <v>2808</v>
      </c>
      <c r="D2934" s="4" t="s">
        <v>433</v>
      </c>
      <c r="E2934" s="4" t="s">
        <v>3814</v>
      </c>
      <c r="F2934" s="127" t="n">
        <v>46633</v>
      </c>
      <c r="G2934" s="127" t="n">
        <v>46645</v>
      </c>
      <c r="H2934" s="127" t="n">
        <v>46293</v>
      </c>
      <c r="I2934" s="4" t="n">
        <v>0</v>
      </c>
      <c r="J2934" s="4" t="n">
        <v>0</v>
      </c>
      <c r="K2934" s="4" t="n">
        <v>0</v>
      </c>
      <c r="M2934" s="2" t="str">
        <f aca="false">IF(C2934="","",IFERROR(INDEX($S$5:$S$304,MATCH(C2934,$R$5:$R$304,0))&amp;"","?"))</f>
        <v>29</v>
      </c>
      <c r="N2934" s="2" t="n">
        <f aca="false">IF(E2934="","",IF(ISNUMBER(SEARCH("SUBSOLO",E2934)),IFERROR(-VALUE(LEFT(E2934,FIND("º",SUBSTITUTE(E2934,"°","º"))-1)),-1),IF(LEFT(E2934,6)="TÉRREO",0,IFERROR(VALUE(LEFT(E2934,FIND("º",SUBSTITUTE(E2934,"°","º"))-1)),""))))</f>
        <v>-6</v>
      </c>
      <c r="O2934" s="2" t="str">
        <f aca="false">IF(OR(F2934="",G2934=""),"",IF(G2934&lt;='RETRATO 2027'!$K$5,"CONCLUÍDA",IF(F2934&lt;='RETRATO 2027'!$K$5,"EM ANDAMENTO","A INICIAR")))</f>
        <v>CONCLUÍDA</v>
      </c>
    </row>
    <row r="2935" customFormat="false" ht="15" hidden="false" customHeight="false" outlineLevel="0" collapsed="false">
      <c r="B2935" s="4" t="n">
        <v>26744943</v>
      </c>
      <c r="C2935" s="4" t="s">
        <v>3006</v>
      </c>
      <c r="D2935" s="4" t="s">
        <v>433</v>
      </c>
      <c r="E2935" s="4" t="s">
        <v>3612</v>
      </c>
      <c r="F2935" s="127" t="n">
        <v>46633</v>
      </c>
      <c r="G2935" s="127" t="n">
        <v>46644</v>
      </c>
      <c r="H2935" s="127" t="n">
        <v>46293</v>
      </c>
      <c r="I2935" s="4" t="n">
        <v>0</v>
      </c>
      <c r="J2935" s="4" t="n">
        <v>0</v>
      </c>
      <c r="K2935" s="4" t="n">
        <v>0</v>
      </c>
      <c r="M2935" s="2" t="str">
        <f aca="false">IF(C2935="","",IFERROR(INDEX($S$5:$S$304,MATCH(C2935,$R$5:$R$304,0))&amp;"","?"))</f>
        <v>37</v>
      </c>
      <c r="N2935" s="2" t="n">
        <f aca="false">IF(E2935="","",IF(ISNUMBER(SEARCH("SUBSOLO",E2935)),IFERROR(-VALUE(LEFT(E2935,FIND("º",SUBSTITUTE(E2935,"°","º"))-1)),-1),IF(LEFT(E2935,6)="TÉRREO",0,IFERROR(VALUE(LEFT(E2935,FIND("º",SUBSTITUTE(E2935,"°","º"))-1)),""))))</f>
        <v>-1</v>
      </c>
      <c r="O2935" s="2" t="str">
        <f aca="false">IF(OR(F2935="",G2935=""),"",IF(G2935&lt;='RETRATO 2027'!$K$5,"CONCLUÍDA",IF(F2935&lt;='RETRATO 2027'!$K$5,"EM ANDAMENTO","A INICIAR")))</f>
        <v>CONCLUÍDA</v>
      </c>
    </row>
    <row r="2936" customFormat="false" ht="15" hidden="false" customHeight="false" outlineLevel="0" collapsed="false">
      <c r="B2936" s="4" t="n">
        <v>26707694</v>
      </c>
      <c r="C2936" s="4" t="s">
        <v>3029</v>
      </c>
      <c r="D2936" s="4" t="s">
        <v>433</v>
      </c>
      <c r="E2936" s="4" t="s">
        <v>3772</v>
      </c>
      <c r="F2936" s="127" t="n">
        <v>46633</v>
      </c>
      <c r="G2936" s="127" t="n">
        <v>46647</v>
      </c>
      <c r="H2936" s="127" t="n">
        <v>46293</v>
      </c>
      <c r="I2936" s="4" t="n">
        <v>0</v>
      </c>
      <c r="J2936" s="4" t="n">
        <v>0</v>
      </c>
      <c r="K2936" s="4" t="n">
        <v>0</v>
      </c>
      <c r="M2936" s="2" t="str">
        <f aca="false">IF(C2936="","",IFERROR(INDEX($S$5:$S$304,MATCH(C2936,$R$5:$R$304,0))&amp;"","?"))</f>
        <v/>
      </c>
      <c r="N2936" s="2" t="n">
        <f aca="false">IF(E2936="","",IF(ISNUMBER(SEARCH("SUBSOLO",E2936)),IFERROR(-VALUE(LEFT(E2936,FIND("º",SUBSTITUTE(E2936,"°","º"))-1)),-1),IF(LEFT(E2936,6)="TÉRREO",0,IFERROR(VALUE(LEFT(E2936,FIND("º",SUBSTITUTE(E2936,"°","º"))-1)),""))))</f>
        <v>1</v>
      </c>
      <c r="O2936" s="2" t="str">
        <f aca="false">IF(OR(F2936="",G2936=""),"",IF(G2936&lt;='RETRATO 2027'!$K$5,"CONCLUÍDA",IF(F2936&lt;='RETRATO 2027'!$K$5,"EM ANDAMENTO","A INICIAR")))</f>
        <v>CONCLUÍDA</v>
      </c>
    </row>
    <row r="2937" customFormat="false" ht="15" hidden="false" customHeight="false" outlineLevel="0" collapsed="false">
      <c r="B2937" s="4" t="n">
        <v>26743237</v>
      </c>
      <c r="C2937" s="4" t="s">
        <v>2997</v>
      </c>
      <c r="D2937" s="4" t="s">
        <v>433</v>
      </c>
      <c r="E2937" s="4" t="s">
        <v>3768</v>
      </c>
      <c r="F2937" s="127" t="n">
        <v>46633</v>
      </c>
      <c r="G2937" s="127" t="n">
        <v>46645</v>
      </c>
      <c r="H2937" s="127" t="n">
        <v>46293</v>
      </c>
      <c r="I2937" s="4" t="n">
        <v>0</v>
      </c>
      <c r="J2937" s="4" t="n">
        <v>0</v>
      </c>
      <c r="K2937" s="4" t="n">
        <v>0</v>
      </c>
      <c r="M2937" s="2" t="str">
        <f aca="false">IF(C2937="","",IFERROR(INDEX($S$5:$S$304,MATCH(C2937,$R$5:$R$304,0))&amp;"","?"))</f>
        <v>35</v>
      </c>
      <c r="N2937" s="2" t="n">
        <f aca="false">IF(E2937="","",IF(ISNUMBER(SEARCH("SUBSOLO",E2937)),IFERROR(-VALUE(LEFT(E2937,FIND("º",SUBSTITUTE(E2937,"°","º"))-1)),-1),IF(LEFT(E2937,6)="TÉRREO",0,IFERROR(VALUE(LEFT(E2937,FIND("º",SUBSTITUTE(E2937,"°","º"))-1)),""))))</f>
        <v>15</v>
      </c>
      <c r="O2937" s="2" t="str">
        <f aca="false">IF(OR(F2937="",G2937=""),"",IF(G2937&lt;='RETRATO 2027'!$K$5,"CONCLUÍDA",IF(F2937&lt;='RETRATO 2027'!$K$5,"EM ANDAMENTO","A INICIAR")))</f>
        <v>CONCLUÍDA</v>
      </c>
    </row>
    <row r="2938" customFormat="false" ht="15" hidden="false" customHeight="false" outlineLevel="0" collapsed="false">
      <c r="B2938" s="4" t="n">
        <v>26743169</v>
      </c>
      <c r="C2938" s="4" t="s">
        <v>208</v>
      </c>
      <c r="D2938" s="4" t="s">
        <v>433</v>
      </c>
      <c r="E2938" s="4" t="s">
        <v>3773</v>
      </c>
      <c r="F2938" s="127" t="n">
        <v>46633</v>
      </c>
      <c r="G2938" s="127" t="n">
        <v>46645</v>
      </c>
      <c r="H2938" s="127" t="n">
        <v>46293</v>
      </c>
      <c r="I2938" s="4" t="n">
        <v>0</v>
      </c>
      <c r="J2938" s="4" t="n">
        <v>0</v>
      </c>
      <c r="K2938" s="4" t="n">
        <v>0</v>
      </c>
      <c r="M2938" s="2" t="str">
        <f aca="false">IF(C2938="","",IFERROR(INDEX($S$5:$S$304,MATCH(C2938,$R$5:$R$304,0))&amp;"","?"))</f>
        <v>33</v>
      </c>
      <c r="N2938" s="2" t="n">
        <f aca="false">IF(E2938="","",IF(ISNUMBER(SEARCH("SUBSOLO",E2938)),IFERROR(-VALUE(LEFT(E2938,FIND("º",SUBSTITUTE(E2938,"°","º"))-1)),-1),IF(LEFT(E2938,6)="TÉRREO",0,IFERROR(VALUE(LEFT(E2938,FIND("º",SUBSTITUTE(E2938,"°","º"))-1)),""))))</f>
        <v>17</v>
      </c>
      <c r="O2938" s="2" t="str">
        <f aca="false">IF(OR(F2938="",G2938=""),"",IF(G2938&lt;='RETRATO 2027'!$K$5,"CONCLUÍDA",IF(F2938&lt;='RETRATO 2027'!$K$5,"EM ANDAMENTO","A INICIAR")))</f>
        <v>CONCLUÍDA</v>
      </c>
    </row>
    <row r="2939" customFormat="false" ht="15" hidden="false" customHeight="false" outlineLevel="0" collapsed="false">
      <c r="B2939" s="4" t="n">
        <v>26744763</v>
      </c>
      <c r="C2939" s="4" t="s">
        <v>2814</v>
      </c>
      <c r="D2939" s="4" t="s">
        <v>433</v>
      </c>
      <c r="E2939" s="4" t="s">
        <v>3784</v>
      </c>
      <c r="F2939" s="127" t="n">
        <v>46636</v>
      </c>
      <c r="G2939" s="127" t="n">
        <v>46650</v>
      </c>
      <c r="H2939" s="127" t="n">
        <v>46293</v>
      </c>
      <c r="I2939" s="4" t="n">
        <v>0</v>
      </c>
      <c r="J2939" s="4" t="n">
        <v>0</v>
      </c>
      <c r="K2939" s="4" t="n">
        <v>0</v>
      </c>
      <c r="M2939" s="2" t="str">
        <f aca="false">IF(C2939="","",IFERROR(INDEX($S$5:$S$304,MATCH(C2939,$R$5:$R$304,0))&amp;"","?"))</f>
        <v>28</v>
      </c>
      <c r="N2939" s="2" t="n">
        <f aca="false">IF(E2939="","",IF(ISNUMBER(SEARCH("SUBSOLO",E2939)),IFERROR(-VALUE(LEFT(E2939,FIND("º",SUBSTITUTE(E2939,"°","º"))-1)),-1),IF(LEFT(E2939,6)="TÉRREO",0,IFERROR(VALUE(LEFT(E2939,FIND("º",SUBSTITUTE(E2939,"°","º"))-1)),""))))</f>
        <v>3</v>
      </c>
      <c r="O2939" s="2" t="str">
        <f aca="false">IF(OR(F2939="",G2939=""),"",IF(G2939&lt;='RETRATO 2027'!$K$5,"CONCLUÍDA",IF(F2939&lt;='RETRATO 2027'!$K$5,"EM ANDAMENTO","A INICIAR")))</f>
        <v>CONCLUÍDA</v>
      </c>
    </row>
    <row r="2940" customFormat="false" ht="15" hidden="false" customHeight="false" outlineLevel="0" collapsed="false">
      <c r="B2940" s="4" t="n">
        <v>29845965</v>
      </c>
      <c r="C2940" s="4" t="s">
        <v>2983</v>
      </c>
      <c r="D2940" s="4" t="s">
        <v>433</v>
      </c>
      <c r="E2940" s="4" t="s">
        <v>3776</v>
      </c>
      <c r="F2940" s="127" t="n">
        <v>46636</v>
      </c>
      <c r="G2940" s="127" t="n">
        <v>46645</v>
      </c>
      <c r="H2940" s="127" t="n">
        <v>46293</v>
      </c>
      <c r="I2940" s="4" t="n">
        <v>0</v>
      </c>
      <c r="J2940" s="4" t="n">
        <v>0</v>
      </c>
      <c r="K2940" s="4" t="n">
        <v>0</v>
      </c>
      <c r="M2940" s="2" t="str">
        <f aca="false">IF(C2940="","",IFERROR(INDEX($S$5:$S$304,MATCH(C2940,$R$5:$R$304,0))&amp;"","?"))</f>
        <v>20</v>
      </c>
      <c r="N2940" s="2" t="n">
        <f aca="false">IF(E2940="","",IF(ISNUMBER(SEARCH("SUBSOLO",E2940)),IFERROR(-VALUE(LEFT(E2940,FIND("º",SUBSTITUTE(E2940,"°","º"))-1)),-1),IF(LEFT(E2940,6)="TÉRREO",0,IFERROR(VALUE(LEFT(E2940,FIND("º",SUBSTITUTE(E2940,"°","º"))-1)),""))))</f>
        <v>18</v>
      </c>
      <c r="O2940" s="2" t="str">
        <f aca="false">IF(OR(F2940="",G2940=""),"",IF(G2940&lt;='RETRATO 2027'!$K$5,"CONCLUÍDA",IF(F2940&lt;='RETRATO 2027'!$K$5,"EM ANDAMENTO","A INICIAR")))</f>
        <v>CONCLUÍDA</v>
      </c>
    </row>
    <row r="2941" customFormat="false" ht="15" hidden="false" customHeight="false" outlineLevel="0" collapsed="false">
      <c r="B2941" s="4" t="n">
        <v>29845904</v>
      </c>
      <c r="C2941" s="4" t="s">
        <v>2986</v>
      </c>
      <c r="D2941" s="4" t="s">
        <v>433</v>
      </c>
      <c r="E2941" s="4" t="s">
        <v>3776</v>
      </c>
      <c r="F2941" s="127" t="n">
        <v>46636</v>
      </c>
      <c r="G2941" s="127" t="n">
        <v>46646</v>
      </c>
      <c r="H2941" s="127" t="n">
        <v>46293</v>
      </c>
      <c r="I2941" s="4" t="n">
        <v>0</v>
      </c>
      <c r="J2941" s="4" t="n">
        <v>0</v>
      </c>
      <c r="K2941" s="4" t="n">
        <v>0</v>
      </c>
      <c r="M2941" s="2" t="str">
        <f aca="false">IF(C2941="","",IFERROR(INDEX($S$5:$S$304,MATCH(C2941,$R$5:$R$304,0))&amp;"","?"))</f>
        <v>20</v>
      </c>
      <c r="N2941" s="2" t="n">
        <f aca="false">IF(E2941="","",IF(ISNUMBER(SEARCH("SUBSOLO",E2941)),IFERROR(-VALUE(LEFT(E2941,FIND("º",SUBSTITUTE(E2941,"°","º"))-1)),-1),IF(LEFT(E2941,6)="TÉRREO",0,IFERROR(VALUE(LEFT(E2941,FIND("º",SUBSTITUTE(E2941,"°","º"))-1)),""))))</f>
        <v>18</v>
      </c>
      <c r="O2941" s="2" t="str">
        <f aca="false">IF(OR(F2941="",G2941=""),"",IF(G2941&lt;='RETRATO 2027'!$K$5,"CONCLUÍDA",IF(F2941&lt;='RETRATO 2027'!$K$5,"EM ANDAMENTO","A INICIAR")))</f>
        <v>CONCLUÍDA</v>
      </c>
    </row>
    <row r="2942" customFormat="false" ht="15" hidden="false" customHeight="false" outlineLevel="0" collapsed="false">
      <c r="B2942" s="4" t="n">
        <v>26743097</v>
      </c>
      <c r="C2942" s="4" t="s">
        <v>2977</v>
      </c>
      <c r="D2942" s="4" t="s">
        <v>433</v>
      </c>
      <c r="E2942" s="4" t="s">
        <v>3779</v>
      </c>
      <c r="F2942" s="127" t="n">
        <v>46636</v>
      </c>
      <c r="G2942" s="127" t="n">
        <v>46646</v>
      </c>
      <c r="H2942" s="127" t="n">
        <v>46293</v>
      </c>
      <c r="I2942" s="4" t="n">
        <v>0</v>
      </c>
      <c r="J2942" s="4" t="n">
        <v>0</v>
      </c>
      <c r="K2942" s="4" t="n">
        <v>0</v>
      </c>
      <c r="M2942" s="2" t="str">
        <f aca="false">IF(C2942="","",IFERROR(INDEX($S$5:$S$304,MATCH(C2942,$R$5:$R$304,0))&amp;"","?"))</f>
        <v>30</v>
      </c>
      <c r="N2942" s="2" t="n">
        <f aca="false">IF(E2942="","",IF(ISNUMBER(SEARCH("SUBSOLO",E2942)),IFERROR(-VALUE(LEFT(E2942,FIND("º",SUBSTITUTE(E2942,"°","º"))-1)),-1),IF(LEFT(E2942,6)="TÉRREO",0,IFERROR(VALUE(LEFT(E2942,FIND("º",SUBSTITUTE(E2942,"°","º"))-1)),""))))</f>
        <v>19</v>
      </c>
      <c r="O2942" s="2" t="str">
        <f aca="false">IF(OR(F2942="",G2942=""),"",IF(G2942&lt;='RETRATO 2027'!$K$5,"CONCLUÍDA",IF(F2942&lt;='RETRATO 2027'!$K$5,"EM ANDAMENTO","A INICIAR")))</f>
        <v>CONCLUÍDA</v>
      </c>
    </row>
    <row r="2943" customFormat="false" ht="15" hidden="false" customHeight="false" outlineLevel="0" collapsed="false">
      <c r="B2943" s="4" t="n">
        <v>26743053</v>
      </c>
      <c r="C2943" s="4" t="s">
        <v>2935</v>
      </c>
      <c r="D2943" s="4" t="s">
        <v>433</v>
      </c>
      <c r="E2943" s="4" t="s">
        <v>3781</v>
      </c>
      <c r="F2943" s="127" t="n">
        <v>46636</v>
      </c>
      <c r="G2943" s="127" t="n">
        <v>46646</v>
      </c>
      <c r="H2943" s="127" t="n">
        <v>46293</v>
      </c>
      <c r="I2943" s="4" t="n">
        <v>0</v>
      </c>
      <c r="J2943" s="4" t="n">
        <v>0</v>
      </c>
      <c r="K2943" s="4" t="n">
        <v>0</v>
      </c>
      <c r="M2943" s="2" t="str">
        <f aca="false">IF(C2943="","",IFERROR(INDEX($S$5:$S$304,MATCH(C2943,$R$5:$R$304,0))&amp;"","?"))</f>
        <v>30</v>
      </c>
      <c r="N2943" s="2" t="n">
        <f aca="false">IF(E2943="","",IF(ISNUMBER(SEARCH("SUBSOLO",E2943)),IFERROR(-VALUE(LEFT(E2943,FIND("º",SUBSTITUTE(E2943,"°","º"))-1)),-1),IF(LEFT(E2943,6)="TÉRREO",0,IFERROR(VALUE(LEFT(E2943,FIND("º",SUBSTITUTE(E2943,"°","º"))-1)),""))))</f>
        <v>20</v>
      </c>
      <c r="O2943" s="2" t="str">
        <f aca="false">IF(OR(F2943="",G2943=""),"",IF(G2943&lt;='RETRATO 2027'!$K$5,"CONCLUÍDA",IF(F2943&lt;='RETRATO 2027'!$K$5,"EM ANDAMENTO","A INICIAR")))</f>
        <v>CONCLUÍDA</v>
      </c>
    </row>
    <row r="2944" customFormat="false" ht="15" hidden="false" customHeight="false" outlineLevel="0" collapsed="false">
      <c r="B2944" s="4" t="n">
        <v>26743000</v>
      </c>
      <c r="C2944" s="4" t="s">
        <v>2938</v>
      </c>
      <c r="D2944" s="4" t="s">
        <v>433</v>
      </c>
      <c r="E2944" s="4" t="s">
        <v>3783</v>
      </c>
      <c r="F2944" s="127" t="n">
        <v>46636</v>
      </c>
      <c r="G2944" s="127" t="n">
        <v>46646</v>
      </c>
      <c r="H2944" s="127" t="n">
        <v>46293</v>
      </c>
      <c r="I2944" s="4" t="n">
        <v>0</v>
      </c>
      <c r="J2944" s="4" t="n">
        <v>0</v>
      </c>
      <c r="K2944" s="4" t="n">
        <v>0</v>
      </c>
      <c r="M2944" s="2" t="str">
        <f aca="false">IF(C2944="","",IFERROR(INDEX($S$5:$S$304,MATCH(C2944,$R$5:$R$304,0))&amp;"","?"))</f>
        <v>30</v>
      </c>
      <c r="N2944" s="2" t="n">
        <f aca="false">IF(E2944="","",IF(ISNUMBER(SEARCH("SUBSOLO",E2944)),IFERROR(-VALUE(LEFT(E2944,FIND("º",SUBSTITUTE(E2944,"°","º"))-1)),-1),IF(LEFT(E2944,6)="TÉRREO",0,IFERROR(VALUE(LEFT(E2944,FIND("º",SUBSTITUTE(E2944,"°","º"))-1)),""))))</f>
        <v>21</v>
      </c>
      <c r="O2944" s="2" t="str">
        <f aca="false">IF(OR(F2944="",G2944=""),"",IF(G2944&lt;='RETRATO 2027'!$K$5,"CONCLUÍDA",IF(F2944&lt;='RETRATO 2027'!$K$5,"EM ANDAMENTO","A INICIAR")))</f>
        <v>CONCLUÍDA</v>
      </c>
    </row>
    <row r="2945" customFormat="false" ht="15" hidden="false" customHeight="false" outlineLevel="0" collapsed="false">
      <c r="B2945" s="4" t="n">
        <v>26742962</v>
      </c>
      <c r="C2945" s="4" t="s">
        <v>166</v>
      </c>
      <c r="D2945" s="4" t="s">
        <v>433</v>
      </c>
      <c r="E2945" s="4" t="s">
        <v>3786</v>
      </c>
      <c r="F2945" s="127" t="n">
        <v>46636</v>
      </c>
      <c r="G2945" s="127" t="n">
        <v>46646</v>
      </c>
      <c r="H2945" s="127" t="n">
        <v>46293</v>
      </c>
      <c r="I2945" s="4" t="n">
        <v>0</v>
      </c>
      <c r="J2945" s="4" t="n">
        <v>0</v>
      </c>
      <c r="K2945" s="4" t="n">
        <v>0</v>
      </c>
      <c r="M2945" s="2" t="str">
        <f aca="false">IF(C2945="","",IFERROR(INDEX($S$5:$S$304,MATCH(C2945,$R$5:$R$304,0))&amp;"","?"))</f>
        <v>19</v>
      </c>
      <c r="N2945" s="2" t="n">
        <f aca="false">IF(E2945="","",IF(ISNUMBER(SEARCH("SUBSOLO",E2945)),IFERROR(-VALUE(LEFT(E2945,FIND("º",SUBSTITUTE(E2945,"°","º"))-1)),-1),IF(LEFT(E2945,6)="TÉRREO",0,IFERROR(VALUE(LEFT(E2945,FIND("º",SUBSTITUTE(E2945,"°","º"))-1)),""))))</f>
        <v>22</v>
      </c>
      <c r="O2945" s="2" t="str">
        <f aca="false">IF(OR(F2945="",G2945=""),"",IF(G2945&lt;='RETRATO 2027'!$K$5,"CONCLUÍDA",IF(F2945&lt;='RETRATO 2027'!$K$5,"EM ANDAMENTO","A INICIAR")))</f>
        <v>CONCLUÍDA</v>
      </c>
    </row>
    <row r="2946" customFormat="false" ht="15" hidden="false" customHeight="false" outlineLevel="0" collapsed="false">
      <c r="B2946" s="4" t="n">
        <v>26742935</v>
      </c>
      <c r="C2946" s="4" t="s">
        <v>2941</v>
      </c>
      <c r="D2946" s="4" t="s">
        <v>433</v>
      </c>
      <c r="E2946" s="4" t="s">
        <v>3787</v>
      </c>
      <c r="F2946" s="127" t="n">
        <v>46636</v>
      </c>
      <c r="G2946" s="127" t="n">
        <v>46646</v>
      </c>
      <c r="H2946" s="127" t="n">
        <v>46293</v>
      </c>
      <c r="I2946" s="4" t="n">
        <v>0</v>
      </c>
      <c r="J2946" s="4" t="n">
        <v>0</v>
      </c>
      <c r="K2946" s="4" t="n">
        <v>0</v>
      </c>
      <c r="M2946" s="2" t="str">
        <f aca="false">IF(C2946="","",IFERROR(INDEX($S$5:$S$304,MATCH(C2946,$R$5:$R$304,0))&amp;"","?"))</f>
        <v>18</v>
      </c>
      <c r="N2946" s="2" t="n">
        <f aca="false">IF(E2946="","",IF(ISNUMBER(SEARCH("SUBSOLO",E2946)),IFERROR(-VALUE(LEFT(E2946,FIND("º",SUBSTITUTE(E2946,"°","º"))-1)),-1),IF(LEFT(E2946,6)="TÉRREO",0,IFERROR(VALUE(LEFT(E2946,FIND("º",SUBSTITUTE(E2946,"°","º"))-1)),""))))</f>
        <v>23</v>
      </c>
      <c r="O2946" s="2" t="str">
        <f aca="false">IF(OR(F2946="",G2946=""),"",IF(G2946&lt;='RETRATO 2027'!$K$5,"CONCLUÍDA",IF(F2946&lt;='RETRATO 2027'!$K$5,"EM ANDAMENTO","A INICIAR")))</f>
        <v>CONCLUÍDA</v>
      </c>
    </row>
    <row r="2947" customFormat="false" ht="15" hidden="false" customHeight="false" outlineLevel="0" collapsed="false">
      <c r="B2947" s="4" t="n">
        <v>26742899</v>
      </c>
      <c r="C2947" s="4" t="s">
        <v>2924</v>
      </c>
      <c r="D2947" s="4" t="s">
        <v>433</v>
      </c>
      <c r="E2947" s="4" t="s">
        <v>3788</v>
      </c>
      <c r="F2947" s="127" t="n">
        <v>46636</v>
      </c>
      <c r="G2947" s="127" t="n">
        <v>46646</v>
      </c>
      <c r="H2947" s="127" t="n">
        <v>46293</v>
      </c>
      <c r="I2947" s="4" t="n">
        <v>0</v>
      </c>
      <c r="J2947" s="4" t="n">
        <v>0</v>
      </c>
      <c r="K2947" s="4" t="n">
        <v>0</v>
      </c>
      <c r="M2947" s="2" t="str">
        <f aca="false">IF(C2947="","",IFERROR(INDEX($S$5:$S$304,MATCH(C2947,$R$5:$R$304,0))&amp;"","?"))</f>
        <v>21</v>
      </c>
      <c r="N2947" s="2" t="n">
        <f aca="false">IF(E2947="","",IF(ISNUMBER(SEARCH("SUBSOLO",E2947)),IFERROR(-VALUE(LEFT(E2947,FIND("º",SUBSTITUTE(E2947,"°","º"))-1)),-1),IF(LEFT(E2947,6)="TÉRREO",0,IFERROR(VALUE(LEFT(E2947,FIND("º",SUBSTITUTE(E2947,"°","º"))-1)),""))))</f>
        <v>24</v>
      </c>
      <c r="O2947" s="2" t="str">
        <f aca="false">IF(OR(F2947="",G2947=""),"",IF(G2947&lt;='RETRATO 2027'!$K$5,"CONCLUÍDA",IF(F2947&lt;='RETRATO 2027'!$K$5,"EM ANDAMENTO","A INICIAR")))</f>
        <v>CONCLUÍDA</v>
      </c>
    </row>
    <row r="2948" customFormat="false" ht="15" hidden="false" customHeight="false" outlineLevel="0" collapsed="false">
      <c r="B2948" s="4" t="n">
        <v>26742882</v>
      </c>
      <c r="C2948" s="4" t="s">
        <v>2926</v>
      </c>
      <c r="D2948" s="4" t="s">
        <v>433</v>
      </c>
      <c r="E2948" s="4" t="s">
        <v>3788</v>
      </c>
      <c r="F2948" s="127" t="n">
        <v>46636</v>
      </c>
      <c r="G2948" s="127" t="n">
        <v>46646</v>
      </c>
      <c r="H2948" s="127" t="n">
        <v>46293</v>
      </c>
      <c r="I2948" s="4" t="n">
        <v>0</v>
      </c>
      <c r="J2948" s="4" t="n">
        <v>0</v>
      </c>
      <c r="K2948" s="4" t="n">
        <v>0</v>
      </c>
      <c r="M2948" s="2" t="str">
        <f aca="false">IF(C2948="","",IFERROR(INDEX($S$5:$S$304,MATCH(C2948,$R$5:$R$304,0))&amp;"","?"))</f>
        <v>20</v>
      </c>
      <c r="N2948" s="2" t="n">
        <f aca="false">IF(E2948="","",IF(ISNUMBER(SEARCH("SUBSOLO",E2948)),IFERROR(-VALUE(LEFT(E2948,FIND("º",SUBSTITUTE(E2948,"°","º"))-1)),-1),IF(LEFT(E2948,6)="TÉRREO",0,IFERROR(VALUE(LEFT(E2948,FIND("º",SUBSTITUTE(E2948,"°","º"))-1)),""))))</f>
        <v>24</v>
      </c>
      <c r="O2948" s="2" t="str">
        <f aca="false">IF(OR(F2948="",G2948=""),"",IF(G2948&lt;='RETRATO 2027'!$K$5,"CONCLUÍDA",IF(F2948&lt;='RETRATO 2027'!$K$5,"EM ANDAMENTO","A INICIAR")))</f>
        <v>CONCLUÍDA</v>
      </c>
    </row>
    <row r="2949" customFormat="false" ht="15" hidden="false" customHeight="false" outlineLevel="0" collapsed="false">
      <c r="B2949" s="4" t="n">
        <v>26742881</v>
      </c>
      <c r="C2949" s="4" t="s">
        <v>2928</v>
      </c>
      <c r="D2949" s="4" t="s">
        <v>433</v>
      </c>
      <c r="E2949" s="4" t="s">
        <v>3788</v>
      </c>
      <c r="F2949" s="127" t="n">
        <v>46636</v>
      </c>
      <c r="G2949" s="127" t="n">
        <v>46646</v>
      </c>
      <c r="H2949" s="127" t="n">
        <v>46293</v>
      </c>
      <c r="I2949" s="4" t="n">
        <v>0</v>
      </c>
      <c r="J2949" s="4" t="n">
        <v>0</v>
      </c>
      <c r="K2949" s="4" t="n">
        <v>0</v>
      </c>
      <c r="M2949" s="2" t="str">
        <f aca="false">IF(C2949="","",IFERROR(INDEX($S$5:$S$304,MATCH(C2949,$R$5:$R$304,0))&amp;"","?"))</f>
        <v>23</v>
      </c>
      <c r="N2949" s="2" t="n">
        <f aca="false">IF(E2949="","",IF(ISNUMBER(SEARCH("SUBSOLO",E2949)),IFERROR(-VALUE(LEFT(E2949,FIND("º",SUBSTITUTE(E2949,"°","º"))-1)),-1),IF(LEFT(E2949,6)="TÉRREO",0,IFERROR(VALUE(LEFT(E2949,FIND("º",SUBSTITUTE(E2949,"°","º"))-1)),""))))</f>
        <v>24</v>
      </c>
      <c r="O2949" s="2" t="str">
        <f aca="false">IF(OR(F2949="",G2949=""),"",IF(G2949&lt;='RETRATO 2027'!$K$5,"CONCLUÍDA",IF(F2949&lt;='RETRATO 2027'!$K$5,"EM ANDAMENTO","A INICIAR")))</f>
        <v>CONCLUÍDA</v>
      </c>
    </row>
    <row r="2950" customFormat="false" ht="15" hidden="false" customHeight="false" outlineLevel="0" collapsed="false">
      <c r="B2950" s="4" t="n">
        <v>26742900</v>
      </c>
      <c r="C2950" s="4" t="s">
        <v>2930</v>
      </c>
      <c r="D2950" s="4" t="s">
        <v>433</v>
      </c>
      <c r="E2950" s="4" t="s">
        <v>3788</v>
      </c>
      <c r="F2950" s="127" t="n">
        <v>46636</v>
      </c>
      <c r="G2950" s="127" t="n">
        <v>46646</v>
      </c>
      <c r="H2950" s="127" t="n">
        <v>46293</v>
      </c>
      <c r="I2950" s="4" t="n">
        <v>0</v>
      </c>
      <c r="J2950" s="4" t="n">
        <v>0</v>
      </c>
      <c r="K2950" s="4" t="n">
        <v>0</v>
      </c>
      <c r="M2950" s="2" t="str">
        <f aca="false">IF(C2950="","",IFERROR(INDEX($S$5:$S$304,MATCH(C2950,$R$5:$R$304,0))&amp;"","?"))</f>
        <v>21</v>
      </c>
      <c r="N2950" s="2" t="n">
        <f aca="false">IF(E2950="","",IF(ISNUMBER(SEARCH("SUBSOLO",E2950)),IFERROR(-VALUE(LEFT(E2950,FIND("º",SUBSTITUTE(E2950,"°","º"))-1)),-1),IF(LEFT(E2950,6)="TÉRREO",0,IFERROR(VALUE(LEFT(E2950,FIND("º",SUBSTITUTE(E2950,"°","º"))-1)),""))))</f>
        <v>24</v>
      </c>
      <c r="O2950" s="2" t="str">
        <f aca="false">IF(OR(F2950="",G2950=""),"",IF(G2950&lt;='RETRATO 2027'!$K$5,"CONCLUÍDA",IF(F2950&lt;='RETRATO 2027'!$K$5,"EM ANDAMENTO","A INICIAR")))</f>
        <v>CONCLUÍDA</v>
      </c>
    </row>
    <row r="2951" customFormat="false" ht="15" hidden="false" customHeight="false" outlineLevel="0" collapsed="false">
      <c r="B2951" s="4" t="n">
        <v>26742901</v>
      </c>
      <c r="C2951" s="4" t="s">
        <v>2933</v>
      </c>
      <c r="D2951" s="4" t="s">
        <v>433</v>
      </c>
      <c r="E2951" s="4" t="s">
        <v>3788</v>
      </c>
      <c r="F2951" s="127" t="n">
        <v>46636</v>
      </c>
      <c r="G2951" s="127" t="n">
        <v>46646</v>
      </c>
      <c r="H2951" s="127" t="n">
        <v>46293</v>
      </c>
      <c r="I2951" s="4" t="n">
        <v>0</v>
      </c>
      <c r="J2951" s="4" t="n">
        <v>0</v>
      </c>
      <c r="K2951" s="4" t="n">
        <v>0</v>
      </c>
      <c r="M2951" s="2" t="str">
        <f aca="false">IF(C2951="","",IFERROR(INDEX($S$5:$S$304,MATCH(C2951,$R$5:$R$304,0))&amp;"","?"))</f>
        <v>21</v>
      </c>
      <c r="N2951" s="2" t="n">
        <f aca="false">IF(E2951="","",IF(ISNUMBER(SEARCH("SUBSOLO",E2951)),IFERROR(-VALUE(LEFT(E2951,FIND("º",SUBSTITUTE(E2951,"°","º"))-1)),-1),IF(LEFT(E2951,6)="TÉRREO",0,IFERROR(VALUE(LEFT(E2951,FIND("º",SUBSTITUTE(E2951,"°","º"))-1)),""))))</f>
        <v>24</v>
      </c>
      <c r="O2951" s="2" t="str">
        <f aca="false">IF(OR(F2951="",G2951=""),"",IF(G2951&lt;='RETRATO 2027'!$K$5,"CONCLUÍDA",IF(F2951&lt;='RETRATO 2027'!$K$5,"EM ANDAMENTO","A INICIAR")))</f>
        <v>CONCLUÍDA</v>
      </c>
    </row>
    <row r="2952" customFormat="false" ht="15" hidden="false" customHeight="false" outlineLevel="0" collapsed="false">
      <c r="B2952" s="4" t="n">
        <v>26742843</v>
      </c>
      <c r="C2952" s="4" t="s">
        <v>2922</v>
      </c>
      <c r="D2952" s="4" t="s">
        <v>433</v>
      </c>
      <c r="E2952" s="4" t="s">
        <v>3794</v>
      </c>
      <c r="F2952" s="127" t="n">
        <v>46636</v>
      </c>
      <c r="G2952" s="127" t="n">
        <v>46646</v>
      </c>
      <c r="H2952" s="127" t="n">
        <v>46293</v>
      </c>
      <c r="I2952" s="4" t="n">
        <v>0</v>
      </c>
      <c r="J2952" s="4" t="n">
        <v>0</v>
      </c>
      <c r="K2952" s="4" t="n">
        <v>0</v>
      </c>
      <c r="M2952" s="2" t="str">
        <f aca="false">IF(C2952="","",IFERROR(INDEX($S$5:$S$304,MATCH(C2952,$R$5:$R$304,0))&amp;"","?"))</f>
        <v>18</v>
      </c>
      <c r="N2952" s="2" t="n">
        <f aca="false">IF(E2952="","",IF(ISNUMBER(SEARCH("SUBSOLO",E2952)),IFERROR(-VALUE(LEFT(E2952,FIND("º",SUBSTITUTE(E2952,"°","º"))-1)),-1),IF(LEFT(E2952,6)="TÉRREO",0,IFERROR(VALUE(LEFT(E2952,FIND("º",SUBSTITUTE(E2952,"°","º"))-1)),""))))</f>
        <v>25</v>
      </c>
      <c r="O2952" s="2" t="str">
        <f aca="false">IF(OR(F2952="",G2952=""),"",IF(G2952&lt;='RETRATO 2027'!$K$5,"CONCLUÍDA",IF(F2952&lt;='RETRATO 2027'!$K$5,"EM ANDAMENTO","A INICIAR")))</f>
        <v>CONCLUÍDA</v>
      </c>
    </row>
    <row r="2953" customFormat="false" ht="15" hidden="false" customHeight="false" outlineLevel="0" collapsed="false">
      <c r="B2953" s="4" t="n">
        <v>26750563</v>
      </c>
      <c r="C2953" s="4" t="s">
        <v>3041</v>
      </c>
      <c r="D2953" s="4" t="s">
        <v>433</v>
      </c>
      <c r="E2953" s="4" t="s">
        <v>3782</v>
      </c>
      <c r="F2953" s="127" t="n">
        <v>46638</v>
      </c>
      <c r="G2953" s="127" t="n">
        <v>46644</v>
      </c>
      <c r="H2953" s="127" t="n">
        <v>46293</v>
      </c>
      <c r="I2953" s="4" t="n">
        <v>0</v>
      </c>
      <c r="J2953" s="4" t="n">
        <v>0</v>
      </c>
      <c r="K2953" s="4" t="n">
        <v>0</v>
      </c>
      <c r="M2953" s="2" t="str">
        <f aca="false">IF(C2953="","",IFERROR(INDEX($S$5:$S$304,MATCH(C2953,$R$5:$R$304,0))&amp;"","?"))</f>
        <v>20</v>
      </c>
      <c r="N2953" s="2" t="n">
        <f aca="false">IF(E2953="","",IF(ISNUMBER(SEARCH("SUBSOLO",E2953)),IFERROR(-VALUE(LEFT(E2953,FIND("º",SUBSTITUTE(E2953,"°","º"))-1)),-1),IF(LEFT(E2953,6)="TÉRREO",0,IFERROR(VALUE(LEFT(E2953,FIND("º",SUBSTITUTE(E2953,"°","º"))-1)),""))))</f>
        <v>-4</v>
      </c>
      <c r="O2953" s="2" t="str">
        <f aca="false">IF(OR(F2953="",G2953=""),"",IF(G2953&lt;='RETRATO 2027'!$K$5,"CONCLUÍDA",IF(F2953&lt;='RETRATO 2027'!$K$5,"EM ANDAMENTO","A INICIAR")))</f>
        <v>CONCLUÍDA</v>
      </c>
    </row>
    <row r="2954" customFormat="false" ht="15" hidden="false" customHeight="false" outlineLevel="0" collapsed="false">
      <c r="B2954" s="4" t="n">
        <v>26750520</v>
      </c>
      <c r="C2954" s="4" t="s">
        <v>2971</v>
      </c>
      <c r="D2954" s="4" t="s">
        <v>433</v>
      </c>
      <c r="E2954" s="4" t="s">
        <v>3767</v>
      </c>
      <c r="F2954" s="127" t="n">
        <v>46638</v>
      </c>
      <c r="G2954" s="127" t="n">
        <v>46644</v>
      </c>
      <c r="H2954" s="127" t="n">
        <v>46293</v>
      </c>
      <c r="I2954" s="4" t="n">
        <v>0</v>
      </c>
      <c r="J2954" s="4" t="n">
        <v>0</v>
      </c>
      <c r="K2954" s="4" t="n">
        <v>0</v>
      </c>
      <c r="M2954" s="2" t="str">
        <f aca="false">IF(C2954="","",IFERROR(INDEX($S$5:$S$304,MATCH(C2954,$R$5:$R$304,0))&amp;"","?"))</f>
        <v>37</v>
      </c>
      <c r="N2954" s="2" t="n">
        <f aca="false">IF(E2954="","",IF(ISNUMBER(SEARCH("SUBSOLO",E2954)),IFERROR(-VALUE(LEFT(E2954,FIND("º",SUBSTITUTE(E2954,"°","º"))-1)),-1),IF(LEFT(E2954,6)="TÉRREO",0,IFERROR(VALUE(LEFT(E2954,FIND("º",SUBSTITUTE(E2954,"°","º"))-1)),""))))</f>
        <v>-1</v>
      </c>
      <c r="O2954" s="2" t="str">
        <f aca="false">IF(OR(F2954="",G2954=""),"",IF(G2954&lt;='RETRATO 2027'!$K$5,"CONCLUÍDA",IF(F2954&lt;='RETRATO 2027'!$K$5,"EM ANDAMENTO","A INICIAR")))</f>
        <v>CONCLUÍDA</v>
      </c>
    </row>
    <row r="2955" customFormat="false" ht="15" hidden="false" customHeight="false" outlineLevel="0" collapsed="false">
      <c r="B2955" s="4" t="n">
        <v>26745140</v>
      </c>
      <c r="C2955" s="4" t="s">
        <v>2997</v>
      </c>
      <c r="D2955" s="4" t="s">
        <v>433</v>
      </c>
      <c r="E2955" s="4" t="s">
        <v>3807</v>
      </c>
      <c r="F2955" s="127" t="n">
        <v>46638</v>
      </c>
      <c r="G2955" s="127" t="n">
        <v>46647</v>
      </c>
      <c r="H2955" s="127" t="n">
        <v>46293</v>
      </c>
      <c r="I2955" s="4" t="n">
        <v>0</v>
      </c>
      <c r="J2955" s="4" t="n">
        <v>0</v>
      </c>
      <c r="K2955" s="4" t="n">
        <v>0</v>
      </c>
      <c r="M2955" s="2" t="str">
        <f aca="false">IF(C2955="","",IFERROR(INDEX($S$5:$S$304,MATCH(C2955,$R$5:$R$304,0))&amp;"","?"))</f>
        <v>35</v>
      </c>
      <c r="N2955" s="2" t="n">
        <f aca="false">IF(E2955="","",IF(ISNUMBER(SEARCH("SUBSOLO",E2955)),IFERROR(-VALUE(LEFT(E2955,FIND("º",SUBSTITUTE(E2955,"°","º"))-1)),-1),IF(LEFT(E2955,6)="TÉRREO",0,IFERROR(VALUE(LEFT(E2955,FIND("º",SUBSTITUTE(E2955,"°","º"))-1)),""))))</f>
        <v>2</v>
      </c>
      <c r="O2955" s="2" t="str">
        <f aca="false">IF(OR(F2955="",G2955=""),"",IF(G2955&lt;='RETRATO 2027'!$K$5,"CONCLUÍDA",IF(F2955&lt;='RETRATO 2027'!$K$5,"EM ANDAMENTO","A INICIAR")))</f>
        <v>CONCLUÍDA</v>
      </c>
    </row>
    <row r="2956" customFormat="false" ht="15" hidden="false" customHeight="false" outlineLevel="0" collapsed="false">
      <c r="B2956" s="4" t="n">
        <v>26707634</v>
      </c>
      <c r="C2956" s="4" t="s">
        <v>2916</v>
      </c>
      <c r="D2956" s="4" t="s">
        <v>433</v>
      </c>
      <c r="E2956" s="4" t="s">
        <v>3811</v>
      </c>
      <c r="F2956" s="127" t="n">
        <v>46638</v>
      </c>
      <c r="G2956" s="127" t="n">
        <v>46658</v>
      </c>
      <c r="H2956" s="127" t="n">
        <v>46293</v>
      </c>
      <c r="I2956" s="4" t="n">
        <v>0</v>
      </c>
      <c r="J2956" s="4" t="n">
        <v>0</v>
      </c>
      <c r="K2956" s="4" t="n">
        <v>0</v>
      </c>
      <c r="M2956" s="2" t="str">
        <f aca="false">IF(C2956="","",IFERROR(INDEX($S$5:$S$304,MATCH(C2956,$R$5:$R$304,0))&amp;"","?"))</f>
        <v>18</v>
      </c>
      <c r="N2956" s="2" t="n">
        <f aca="false">IF(E2956="","",IF(ISNUMBER(SEARCH("SUBSOLO",E2956)),IFERROR(-VALUE(LEFT(E2956,FIND("º",SUBSTITUTE(E2956,"°","º"))-1)),-1),IF(LEFT(E2956,6)="TÉRREO",0,IFERROR(VALUE(LEFT(E2956,FIND("º",SUBSTITUTE(E2956,"°","º"))-1)),""))))</f>
        <v>2</v>
      </c>
      <c r="O2956" s="2" t="str">
        <f aca="false">IF(OR(F2956="",G2956=""),"",IF(G2956&lt;='RETRATO 2027'!$K$5,"CONCLUÍDA",IF(F2956&lt;='RETRATO 2027'!$K$5,"EM ANDAMENTO","A INICIAR")))</f>
        <v>CONCLUÍDA</v>
      </c>
    </row>
    <row r="2957" customFormat="false" ht="15" hidden="false" customHeight="false" outlineLevel="0" collapsed="false">
      <c r="B2957" s="4" t="n">
        <v>26744912</v>
      </c>
      <c r="C2957" s="4" t="s">
        <v>2751</v>
      </c>
      <c r="D2957" s="4" t="s">
        <v>433</v>
      </c>
      <c r="E2957" s="4" t="s">
        <v>3805</v>
      </c>
      <c r="F2957" s="127" t="n">
        <v>46638</v>
      </c>
      <c r="G2957" s="127" t="n">
        <v>46658</v>
      </c>
      <c r="H2957" s="127" t="n">
        <v>46293</v>
      </c>
      <c r="I2957" s="4" t="n">
        <v>0</v>
      </c>
      <c r="J2957" s="4" t="n">
        <v>0</v>
      </c>
      <c r="K2957" s="4" t="n">
        <v>0</v>
      </c>
      <c r="M2957" s="2" t="str">
        <f aca="false">IF(C2957="","",IFERROR(INDEX($S$5:$S$304,MATCH(C2957,$R$5:$R$304,0))&amp;"","?"))</f>
        <v>35</v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>CONCLUÍDA</v>
      </c>
    </row>
    <row r="2958" customFormat="false" ht="15" hidden="false" customHeight="false" outlineLevel="0" collapsed="false">
      <c r="B2958" s="4" t="n">
        <v>29844971</v>
      </c>
      <c r="C2958" s="4" t="s">
        <v>2926</v>
      </c>
      <c r="D2958" s="4" t="s">
        <v>433</v>
      </c>
      <c r="E2958" s="4" t="s">
        <v>3816</v>
      </c>
      <c r="F2958" s="127" t="n">
        <v>46639</v>
      </c>
      <c r="G2958" s="127" t="n">
        <v>46645</v>
      </c>
      <c r="H2958" s="127" t="n">
        <v>46293</v>
      </c>
      <c r="I2958" s="4" t="n">
        <v>0</v>
      </c>
      <c r="J2958" s="4" t="n">
        <v>0</v>
      </c>
      <c r="K2958" s="4" t="n">
        <v>0</v>
      </c>
      <c r="M2958" s="2" t="str">
        <f aca="false">IF(C2958="","",IFERROR(INDEX($S$5:$S$304,MATCH(C2958,$R$5:$R$304,0))&amp;"","?"))</f>
        <v>20</v>
      </c>
      <c r="N2958" s="2" t="n">
        <f aca="false">IF(E2958="","",IF(ISNUMBER(SEARCH("SUBSOLO",E2958)),IFERROR(-VALUE(LEFT(E2958,FIND("º",SUBSTITUTE(E2958,"°","º"))-1)),-1),IF(LEFT(E2958,6)="TÉRREO",0,IFERROR(VALUE(LEFT(E2958,FIND("º",SUBSTITUTE(E2958,"°","º"))-1)),""))))</f>
        <v>-6</v>
      </c>
      <c r="O2958" s="2" t="str">
        <f aca="false">IF(OR(F2958="",G2958=""),"",IF(G2958&lt;='RETRATO 2027'!$K$5,"CONCLUÍDA",IF(F2958&lt;='RETRATO 2027'!$K$5,"EM ANDAMENTO","A INICIAR")))</f>
        <v>CONCLUÍDA</v>
      </c>
    </row>
    <row r="2959" customFormat="false" ht="15" hidden="false" customHeight="false" outlineLevel="0" collapsed="false">
      <c r="B2959" s="4" t="n">
        <v>36118369</v>
      </c>
      <c r="C2959" s="4" t="s">
        <v>163</v>
      </c>
      <c r="D2959" s="4" t="s">
        <v>433</v>
      </c>
      <c r="E2959" s="4" t="s">
        <v>3821</v>
      </c>
      <c r="F2959" s="127" t="n">
        <v>46639</v>
      </c>
      <c r="G2959" s="127" t="n">
        <v>46659</v>
      </c>
      <c r="H2959" s="127" t="n">
        <v>46293</v>
      </c>
      <c r="I2959" s="4" t="n">
        <v>0</v>
      </c>
      <c r="J2959" s="4" t="n">
        <v>0</v>
      </c>
      <c r="K2959" s="4" t="n">
        <v>0</v>
      </c>
      <c r="M2959" s="2" t="str">
        <f aca="false">IF(C2959="","",IFERROR(INDEX($S$5:$S$304,MATCH(C2959,$R$5:$R$304,0))&amp;"","?"))</f>
        <v>18</v>
      </c>
      <c r="N2959" s="2" t="n">
        <f aca="false">IF(E2959="","",IF(ISNUMBER(SEARCH("SUBSOLO",E2959)),IFERROR(-VALUE(LEFT(E2959,FIND("º",SUBSTITUTE(E2959,"°","º"))-1)),-1),IF(LEFT(E2959,6)="TÉRREO",0,IFERROR(VALUE(LEFT(E2959,FIND("º",SUBSTITUTE(E2959,"°","º"))-1)),""))))</f>
        <v>-6</v>
      </c>
      <c r="O2959" s="2" t="str">
        <f aca="false">IF(OR(F2959="",G2959=""),"",IF(G2959&lt;='RETRATO 2027'!$K$5,"CONCLUÍDA",IF(F2959&lt;='RETRATO 2027'!$K$5,"EM ANDAMENTO","A INICIAR")))</f>
        <v>CONCLUÍDA</v>
      </c>
    </row>
    <row r="2960" customFormat="false" ht="15" hidden="false" customHeight="false" outlineLevel="0" collapsed="false">
      <c r="B2960" s="4" t="n">
        <v>26745173</v>
      </c>
      <c r="C2960" s="4" t="s">
        <v>2948</v>
      </c>
      <c r="D2960" s="4" t="s">
        <v>433</v>
      </c>
      <c r="E2960" s="4" t="s">
        <v>3770</v>
      </c>
      <c r="F2960" s="127" t="n">
        <v>46639</v>
      </c>
      <c r="G2960" s="127" t="n">
        <v>46650</v>
      </c>
      <c r="H2960" s="127" t="n">
        <v>46293</v>
      </c>
      <c r="I2960" s="4" t="n">
        <v>0</v>
      </c>
      <c r="J2960" s="4" t="n">
        <v>0</v>
      </c>
      <c r="K2960" s="4" t="n">
        <v>0</v>
      </c>
      <c r="M2960" s="2" t="str">
        <f aca="false">IF(C2960="","",IFERROR(INDEX($S$5:$S$304,MATCH(C2960,$R$5:$R$304,0))&amp;"","?"))</f>
        <v>25</v>
      </c>
      <c r="N2960" s="2" t="n">
        <f aca="false">IF(E2960="","",IF(ISNUMBER(SEARCH("SUBSOLO",E2960)),IFERROR(-VALUE(LEFT(E2960,FIND("º",SUBSTITUTE(E2960,"°","º"))-1)),-1),IF(LEFT(E2960,6)="TÉRREO",0,IFERROR(VALUE(LEFT(E2960,FIND("º",SUBSTITUTE(E2960,"°","º"))-1)),""))))</f>
        <v>-1</v>
      </c>
      <c r="O2960" s="2" t="str">
        <f aca="false">IF(OR(F2960="",G2960=""),"",IF(G2960&lt;='RETRATO 2027'!$K$5,"CONCLUÍDA",IF(F2960&lt;='RETRATO 2027'!$K$5,"EM ANDAMENTO","A INICIAR")))</f>
        <v>CONCLUÍDA</v>
      </c>
    </row>
    <row r="2961" customFormat="false" ht="15" hidden="false" customHeight="false" outlineLevel="0" collapsed="false">
      <c r="B2961" s="4" t="n">
        <v>26744705</v>
      </c>
      <c r="C2961" s="4" t="s">
        <v>2924</v>
      </c>
      <c r="D2961" s="4" t="s">
        <v>433</v>
      </c>
      <c r="E2961" s="4" t="s">
        <v>3810</v>
      </c>
      <c r="F2961" s="127" t="n">
        <v>46639</v>
      </c>
      <c r="G2961" s="127" t="n">
        <v>46652</v>
      </c>
      <c r="H2961" s="127" t="n">
        <v>46293</v>
      </c>
      <c r="I2961" s="4" t="n">
        <v>0</v>
      </c>
      <c r="J2961" s="4" t="n">
        <v>0</v>
      </c>
      <c r="K2961" s="4" t="n">
        <v>0</v>
      </c>
      <c r="M2961" s="2" t="str">
        <f aca="false">IF(C2961="","",IFERROR(INDEX($S$5:$S$304,MATCH(C2961,$R$5:$R$304,0))&amp;"","?"))</f>
        <v>21</v>
      </c>
      <c r="N2961" s="2" t="n">
        <f aca="false">IF(E2961="","",IF(ISNUMBER(SEARCH("SUBSOLO",E2961)),IFERROR(-VALUE(LEFT(E2961,FIND("º",SUBSTITUTE(E2961,"°","º"))-1)),-1),IF(LEFT(E2961,6)="TÉRREO",0,IFERROR(VALUE(LEFT(E2961,FIND("º",SUBSTITUTE(E2961,"°","º"))-1)),""))))</f>
        <v>3</v>
      </c>
      <c r="O2961" s="2" t="str">
        <f aca="false">IF(OR(F2961="",G2961=""),"",IF(G2961&lt;='RETRATO 2027'!$K$5,"CONCLUÍDA",IF(F2961&lt;='RETRATO 2027'!$K$5,"EM ANDAMENTO","A INICIAR")))</f>
        <v>CONCLUÍDA</v>
      </c>
    </row>
    <row r="2962" customFormat="false" ht="15" hidden="false" customHeight="false" outlineLevel="0" collapsed="false">
      <c r="B2962" s="4" t="n">
        <v>26744708</v>
      </c>
      <c r="C2962" s="4" t="s">
        <v>2926</v>
      </c>
      <c r="D2962" s="4" t="s">
        <v>433</v>
      </c>
      <c r="E2962" s="4" t="s">
        <v>3810</v>
      </c>
      <c r="F2962" s="127" t="n">
        <v>46639</v>
      </c>
      <c r="G2962" s="127" t="n">
        <v>46652</v>
      </c>
      <c r="H2962" s="127" t="n">
        <v>46293</v>
      </c>
      <c r="I2962" s="4" t="n">
        <v>0</v>
      </c>
      <c r="J2962" s="4" t="n">
        <v>0</v>
      </c>
      <c r="K2962" s="4" t="n">
        <v>0</v>
      </c>
      <c r="M2962" s="2" t="str">
        <f aca="false">IF(C2962="","",IFERROR(INDEX($S$5:$S$304,MATCH(C2962,$R$5:$R$304,0))&amp;"","?"))</f>
        <v>20</v>
      </c>
      <c r="N2962" s="2" t="n">
        <f aca="false">IF(E2962="","",IF(ISNUMBER(SEARCH("SUBSOLO",E2962)),IFERROR(-VALUE(LEFT(E2962,FIND("º",SUBSTITUTE(E2962,"°","º"))-1)),-1),IF(LEFT(E2962,6)="TÉRREO",0,IFERROR(VALUE(LEFT(E2962,FIND("º",SUBSTITUTE(E2962,"°","º"))-1)),""))))</f>
        <v>3</v>
      </c>
      <c r="O2962" s="2" t="str">
        <f aca="false">IF(OR(F2962="",G2962=""),"",IF(G2962&lt;='RETRATO 2027'!$K$5,"CONCLUÍDA",IF(F2962&lt;='RETRATO 2027'!$K$5,"EM ANDAMENTO","A INICIAR")))</f>
        <v>CONCLUÍDA</v>
      </c>
    </row>
    <row r="2963" customFormat="false" ht="15" hidden="false" customHeight="false" outlineLevel="0" collapsed="false">
      <c r="B2963" s="4" t="n">
        <v>26744707</v>
      </c>
      <c r="C2963" s="4" t="s">
        <v>2959</v>
      </c>
      <c r="D2963" s="4" t="s">
        <v>433</v>
      </c>
      <c r="E2963" s="4" t="s">
        <v>3810</v>
      </c>
      <c r="F2963" s="127" t="n">
        <v>46639</v>
      </c>
      <c r="G2963" s="127" t="n">
        <v>46652</v>
      </c>
      <c r="H2963" s="127" t="n">
        <v>46293</v>
      </c>
      <c r="I2963" s="4" t="n">
        <v>0</v>
      </c>
      <c r="J2963" s="4" t="n">
        <v>0</v>
      </c>
      <c r="K2963" s="4" t="n">
        <v>0</v>
      </c>
      <c r="M2963" s="2" t="str">
        <f aca="false">IF(C2963="","",IFERROR(INDEX($S$5:$S$304,MATCH(C2963,$R$5:$R$304,0))&amp;"","?"))</f>
        <v>21</v>
      </c>
      <c r="N2963" s="2" t="n">
        <f aca="false">IF(E2963="","",IF(ISNUMBER(SEARCH("SUBSOLO",E2963)),IFERROR(-VALUE(LEFT(E2963,FIND("º",SUBSTITUTE(E2963,"°","º"))-1)),-1),IF(LEFT(E2963,6)="TÉRREO",0,IFERROR(VALUE(LEFT(E2963,FIND("º",SUBSTITUTE(E2963,"°","º"))-1)),""))))</f>
        <v>3</v>
      </c>
      <c r="O2963" s="2" t="str">
        <f aca="false">IF(OR(F2963="",G2963=""),"",IF(G2963&lt;='RETRATO 2027'!$K$5,"CONCLUÍDA",IF(F2963&lt;='RETRATO 2027'!$K$5,"EM ANDAMENTO","A INICIAR")))</f>
        <v>CONCLUÍDA</v>
      </c>
    </row>
    <row r="2964" customFormat="false" ht="15" hidden="false" customHeight="false" outlineLevel="0" collapsed="false">
      <c r="B2964" s="4" t="n">
        <v>26742823</v>
      </c>
      <c r="C2964" s="4" t="s">
        <v>2916</v>
      </c>
      <c r="D2964" s="4" t="s">
        <v>433</v>
      </c>
      <c r="E2964" s="4" t="s">
        <v>3797</v>
      </c>
      <c r="F2964" s="127" t="n">
        <v>46639</v>
      </c>
      <c r="G2964" s="127" t="n">
        <v>46646</v>
      </c>
      <c r="H2964" s="127" t="n">
        <v>46293</v>
      </c>
      <c r="I2964" s="4" t="n">
        <v>0</v>
      </c>
      <c r="J2964" s="4" t="n">
        <v>0</v>
      </c>
      <c r="K2964" s="4" t="n">
        <v>0</v>
      </c>
      <c r="M2964" s="2" t="str">
        <f aca="false">IF(C2964="","",IFERROR(INDEX($S$5:$S$304,MATCH(C2964,$R$5:$R$304,0))&amp;"","?"))</f>
        <v>18</v>
      </c>
      <c r="N2964" s="2" t="n">
        <f aca="false">IF(E2964="","",IF(ISNUMBER(SEARCH("SUBSOLO",E2964)),IFERROR(-VALUE(LEFT(E2964,FIND("º",SUBSTITUTE(E2964,"°","º"))-1)),-1),IF(LEFT(E2964,6)="TÉRREO",0,IFERROR(VALUE(LEFT(E2964,FIND("º",SUBSTITUTE(E2964,"°","º"))-1)),""))))</f>
        <v>26</v>
      </c>
      <c r="O2964" s="2" t="str">
        <f aca="false">IF(OR(F2964="",G2964=""),"",IF(G2964&lt;='RETRATO 2027'!$K$5,"CONCLUÍDA",IF(F2964&lt;='RETRATO 2027'!$K$5,"EM ANDAMENTO","A INICIAR")))</f>
        <v>CONCLUÍDA</v>
      </c>
    </row>
    <row r="2965" customFormat="false" ht="15" hidden="false" customHeight="false" outlineLevel="0" collapsed="false">
      <c r="B2965" s="4" t="n">
        <v>26745159</v>
      </c>
      <c r="C2965" s="4" t="s">
        <v>3021</v>
      </c>
      <c r="D2965" s="4" t="s">
        <v>433</v>
      </c>
      <c r="E2965" s="4" t="s">
        <v>3652</v>
      </c>
      <c r="F2965" s="127" t="n">
        <v>46640</v>
      </c>
      <c r="G2965" s="127" t="n">
        <v>46651</v>
      </c>
      <c r="H2965" s="127" t="n">
        <v>46293</v>
      </c>
      <c r="I2965" s="4" t="n">
        <v>0</v>
      </c>
      <c r="J2965" s="4" t="n">
        <v>0</v>
      </c>
      <c r="K2965" s="4" t="n">
        <v>0</v>
      </c>
      <c r="M2965" s="2" t="str">
        <f aca="false">IF(C2965="","",IFERROR(INDEX($S$5:$S$304,MATCH(C2965,$R$5:$R$304,0))&amp;"","?"))</f>
        <v>35</v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>CONCLUÍDA</v>
      </c>
    </row>
    <row r="2966" customFormat="false" ht="15" hidden="false" customHeight="false" outlineLevel="0" collapsed="false">
      <c r="B2966" s="4" t="n">
        <v>26707655</v>
      </c>
      <c r="C2966" s="4" t="s">
        <v>3006</v>
      </c>
      <c r="D2966" s="4" t="s">
        <v>433</v>
      </c>
      <c r="E2966" s="4" t="s">
        <v>3785</v>
      </c>
      <c r="F2966" s="127" t="n">
        <v>46640</v>
      </c>
      <c r="G2966" s="127" t="n">
        <v>46660</v>
      </c>
      <c r="H2966" s="127" t="n">
        <v>46293</v>
      </c>
      <c r="I2966" s="4" t="n">
        <v>0</v>
      </c>
      <c r="J2966" s="4" t="n">
        <v>0</v>
      </c>
      <c r="K2966" s="4" t="n">
        <v>0</v>
      </c>
      <c r="M2966" s="2" t="str">
        <f aca="false">IF(C2966="","",IFERROR(INDEX($S$5:$S$304,MATCH(C2966,$R$5:$R$304,0))&amp;"","?"))</f>
        <v>37</v>
      </c>
      <c r="N2966" s="2" t="n">
        <f aca="false">IF(E2966="","",IF(ISNUMBER(SEARCH("SUBSOLO",E2966)),IFERROR(-VALUE(LEFT(E2966,FIND("º",SUBSTITUTE(E2966,"°","º"))-1)),-1),IF(LEFT(E2966,6)="TÉRREO",0,IFERROR(VALUE(LEFT(E2966,FIND("º",SUBSTITUTE(E2966,"°","º"))-1)),""))))</f>
        <v>1</v>
      </c>
      <c r="O2966" s="2" t="str">
        <f aca="false">IF(OR(F2966="",G2966=""),"",IF(G2966&lt;='RETRATO 2027'!$K$5,"CONCLUÍDA",IF(F2966&lt;='RETRATO 2027'!$K$5,"EM ANDAMENTO","A INICIAR")))</f>
        <v>CONCLUÍDA</v>
      </c>
    </row>
    <row r="2967" customFormat="false" ht="15" hidden="false" customHeight="false" outlineLevel="0" collapsed="false">
      <c r="B2967" s="4" t="n">
        <v>26707650</v>
      </c>
      <c r="C2967" s="4" t="s">
        <v>3009</v>
      </c>
      <c r="D2967" s="4" t="s">
        <v>433</v>
      </c>
      <c r="E2967" s="4" t="s">
        <v>3785</v>
      </c>
      <c r="F2967" s="127" t="n">
        <v>46640</v>
      </c>
      <c r="G2967" s="127" t="n">
        <v>46660</v>
      </c>
      <c r="H2967" s="127" t="n">
        <v>46293</v>
      </c>
      <c r="I2967" s="4" t="n">
        <v>0</v>
      </c>
      <c r="J2967" s="4" t="n">
        <v>0</v>
      </c>
      <c r="K2967" s="4" t="n">
        <v>0</v>
      </c>
      <c r="M2967" s="2" t="str">
        <f aca="false">IF(C2967="","",IFERROR(INDEX($S$5:$S$304,MATCH(C2967,$R$5:$R$304,0))&amp;"","?"))</f>
        <v>23</v>
      </c>
      <c r="N2967" s="2" t="n">
        <f aca="false">IF(E2967="","",IF(ISNUMBER(SEARCH("SUBSOLO",E2967)),IFERROR(-VALUE(LEFT(E2967,FIND("º",SUBSTITUTE(E2967,"°","º"))-1)),-1),IF(LEFT(E2967,6)="TÉRREO",0,IFERROR(VALUE(LEFT(E2967,FIND("º",SUBSTITUTE(E2967,"°","º"))-1)),""))))</f>
        <v>1</v>
      </c>
      <c r="O2967" s="2" t="str">
        <f aca="false">IF(OR(F2967="",G2967=""),"",IF(G2967&lt;='RETRATO 2027'!$K$5,"CONCLUÍDA",IF(F2967&lt;='RETRATO 2027'!$K$5,"EM ANDAMENTO","A INICIAR")))</f>
        <v>CONCLUÍDA</v>
      </c>
    </row>
    <row r="2968" customFormat="false" ht="15" hidden="false" customHeight="false" outlineLevel="0" collapsed="false">
      <c r="B2968" s="4" t="n">
        <v>26745036</v>
      </c>
      <c r="C2968" s="4" t="s">
        <v>2965</v>
      </c>
      <c r="D2968" s="4" t="s">
        <v>433</v>
      </c>
      <c r="E2968" s="4" t="s">
        <v>3801</v>
      </c>
      <c r="F2968" s="127" t="n">
        <v>46640</v>
      </c>
      <c r="G2968" s="127" t="n">
        <v>46651</v>
      </c>
      <c r="H2968" s="127" t="n">
        <v>46293</v>
      </c>
      <c r="I2968" s="4" t="n">
        <v>0</v>
      </c>
      <c r="J2968" s="4" t="n">
        <v>0</v>
      </c>
      <c r="K2968" s="4" t="n">
        <v>0</v>
      </c>
      <c r="M2968" s="2" t="str">
        <f aca="false">IF(C2968="","",IFERROR(INDEX($S$5:$S$304,MATCH(C2968,$R$5:$R$304,0))&amp;"","?"))</f>
        <v>20</v>
      </c>
      <c r="N2968" s="2" t="n">
        <f aca="false">IF(E2968="","",IF(ISNUMBER(SEARCH("SUBSOLO",E2968)),IFERROR(-VALUE(LEFT(E2968,FIND("º",SUBSTITUTE(E2968,"°","º"))-1)),-1),IF(LEFT(E2968,6)="TÉRREO",0,IFERROR(VALUE(LEFT(E2968,FIND("º",SUBSTITUTE(E2968,"°","º"))-1)),""))))</f>
        <v>1</v>
      </c>
      <c r="O2968" s="2" t="str">
        <f aca="false">IF(OR(F2968="",G2968=""),"",IF(G2968&lt;='RETRATO 2027'!$K$5,"CONCLUÍDA",IF(F2968&lt;='RETRATO 2027'!$K$5,"EM ANDAMENTO","A INICIAR")))</f>
        <v>CONCLUÍDA</v>
      </c>
    </row>
    <row r="2969" customFormat="false" ht="15" hidden="false" customHeight="false" outlineLevel="0" collapsed="false">
      <c r="B2969" s="4" t="n">
        <v>26745054</v>
      </c>
      <c r="C2969" s="4" t="s">
        <v>3029</v>
      </c>
      <c r="D2969" s="4" t="s">
        <v>433</v>
      </c>
      <c r="E2969" s="4" t="s">
        <v>3659</v>
      </c>
      <c r="F2969" s="127" t="n">
        <v>46643</v>
      </c>
      <c r="G2969" s="127" t="n">
        <v>46652</v>
      </c>
      <c r="H2969" s="127" t="n">
        <v>46293</v>
      </c>
      <c r="I2969" s="4" t="n">
        <v>0</v>
      </c>
      <c r="J2969" s="4" t="n">
        <v>0</v>
      </c>
      <c r="K2969" s="4" t="n">
        <v>0</v>
      </c>
      <c r="M2969" s="2" t="str">
        <f aca="false">IF(C2969="","",IFERROR(INDEX($S$5:$S$304,MATCH(C2969,$R$5:$R$304,0))&amp;"","?"))</f>
        <v/>
      </c>
      <c r="N2969" s="2" t="n">
        <f aca="false">IF(E2969="","",IF(ISNUMBER(SEARCH("SUBSOLO",E2969)),IFERROR(-VALUE(LEFT(E2969,FIND("º",SUBSTITUTE(E2969,"°","º"))-1)),-1),IF(LEFT(E2969,6)="TÉRREO",0,IFERROR(VALUE(LEFT(E2969,FIND("º",SUBSTITUTE(E2969,"°","º"))-1)),""))))</f>
        <v>1</v>
      </c>
      <c r="O2969" s="2" t="str">
        <f aca="false">IF(OR(F2969="",G2969=""),"",IF(G2969&lt;='RETRATO 2027'!$K$5,"CONCLUÍDA",IF(F2969&lt;='RETRATO 2027'!$K$5,"EM ANDAMENTO","A INICIAR")))</f>
        <v>CONCLUÍDA</v>
      </c>
    </row>
    <row r="2970" customFormat="false" ht="15" hidden="false" customHeight="false" outlineLevel="0" collapsed="false">
      <c r="B2970" s="4" t="n">
        <v>26742785</v>
      </c>
      <c r="C2970" s="4" t="s">
        <v>2814</v>
      </c>
      <c r="D2970" s="4" t="s">
        <v>433</v>
      </c>
      <c r="E2970" s="4" t="s">
        <v>3799</v>
      </c>
      <c r="F2970" s="127" t="n">
        <v>46643</v>
      </c>
      <c r="G2970" s="127" t="n">
        <v>46650</v>
      </c>
      <c r="H2970" s="127" t="n">
        <v>46293</v>
      </c>
      <c r="I2970" s="4" t="n">
        <v>0</v>
      </c>
      <c r="J2970" s="4" t="n">
        <v>0</v>
      </c>
      <c r="K2970" s="4" t="n">
        <v>0</v>
      </c>
      <c r="M2970" s="2" t="str">
        <f aca="false">IF(C2970="","",IFERROR(INDEX($S$5:$S$304,MATCH(C2970,$R$5:$R$304,0))&amp;"","?"))</f>
        <v>28</v>
      </c>
      <c r="N2970" s="2" t="n">
        <f aca="false">IF(E2970="","",IF(ISNUMBER(SEARCH("SUBSOLO",E2970)),IFERROR(-VALUE(LEFT(E2970,FIND("º",SUBSTITUTE(E2970,"°","º"))-1)),-1),IF(LEFT(E2970,6)="TÉRREO",0,IFERROR(VALUE(LEFT(E2970,FIND("º",SUBSTITUTE(E2970,"°","º"))-1)),""))))</f>
        <v>27</v>
      </c>
      <c r="O2970" s="2" t="str">
        <f aca="false">IF(OR(F2970="",G2970=""),"",IF(G2970&lt;='RETRATO 2027'!$K$5,"CONCLUÍDA",IF(F2970&lt;='RETRATO 2027'!$K$5,"EM ANDAMENTO","A INICIAR")))</f>
        <v>CONCLUÍDA</v>
      </c>
    </row>
    <row r="2971" customFormat="false" ht="15" hidden="false" customHeight="false" outlineLevel="0" collapsed="false">
      <c r="B2971" s="4" t="n">
        <v>26742754</v>
      </c>
      <c r="C2971" s="4" t="s">
        <v>2914</v>
      </c>
      <c r="D2971" s="4" t="s">
        <v>433</v>
      </c>
      <c r="E2971" s="4" t="s">
        <v>3802</v>
      </c>
      <c r="F2971" s="127" t="n">
        <v>46643</v>
      </c>
      <c r="G2971" s="127" t="n">
        <v>46652</v>
      </c>
      <c r="H2971" s="127" t="n">
        <v>46293</v>
      </c>
      <c r="I2971" s="4" t="n">
        <v>0</v>
      </c>
      <c r="J2971" s="4" t="n">
        <v>0</v>
      </c>
      <c r="K2971" s="4" t="n">
        <v>0</v>
      </c>
      <c r="M2971" s="2" t="str">
        <f aca="false">IF(C2971="","",IFERROR(INDEX($S$5:$S$304,MATCH(C2971,$R$5:$R$304,0))&amp;"","?"))</f>
        <v>21</v>
      </c>
      <c r="N2971" s="2" t="n">
        <f aca="false">IF(E2971="","",IF(ISNUMBER(SEARCH("SUBSOLO",E2971)),IFERROR(-VALUE(LEFT(E2971,FIND("º",SUBSTITUTE(E2971,"°","º"))-1)),-1),IF(LEFT(E2971,6)="TÉRREO",0,IFERROR(VALUE(LEFT(E2971,FIND("º",SUBSTITUTE(E2971,"°","º"))-1)),""))))</f>
        <v>28</v>
      </c>
      <c r="O2971" s="2" t="str">
        <f aca="false">IF(OR(F2971="",G2971=""),"",IF(G2971&lt;='RETRATO 2027'!$K$5,"CONCLUÍDA",IF(F2971&lt;='RETRATO 2027'!$K$5,"EM ANDAMENTO","A INICIAR")))</f>
        <v>CONCLUÍDA</v>
      </c>
    </row>
    <row r="2972" customFormat="false" ht="15" hidden="false" customHeight="false" outlineLevel="0" collapsed="false">
      <c r="B2972" s="4" t="n">
        <v>26742710</v>
      </c>
      <c r="C2972" s="4" t="s">
        <v>2808</v>
      </c>
      <c r="D2972" s="4" t="s">
        <v>433</v>
      </c>
      <c r="E2972" s="4" t="s">
        <v>3803</v>
      </c>
      <c r="F2972" s="127" t="n">
        <v>46643</v>
      </c>
      <c r="G2972" s="127" t="n">
        <v>46652</v>
      </c>
      <c r="H2972" s="127" t="n">
        <v>46293</v>
      </c>
      <c r="I2972" s="4" t="n">
        <v>0</v>
      </c>
      <c r="J2972" s="4" t="n">
        <v>0</v>
      </c>
      <c r="K2972" s="4" t="n">
        <v>0</v>
      </c>
      <c r="M2972" s="2" t="str">
        <f aca="false">IF(C2972="","",IFERROR(INDEX($S$5:$S$304,MATCH(C2972,$R$5:$R$304,0))&amp;"","?"))</f>
        <v>29</v>
      </c>
      <c r="N2972" s="2" t="n">
        <f aca="false">IF(E2972="","",IF(ISNUMBER(SEARCH("SUBSOLO",E2972)),IFERROR(-VALUE(LEFT(E2972,FIND("º",SUBSTITUTE(E2972,"°","º"))-1)),-1),IF(LEFT(E2972,6)="TÉRREO",0,IFERROR(VALUE(LEFT(E2972,FIND("º",SUBSTITUTE(E2972,"°","º"))-1)),""))))</f>
        <v>29</v>
      </c>
      <c r="O2972" s="2" t="str">
        <f aca="false">IF(OR(F2972="",G2972=""),"",IF(G2972&lt;='RETRATO 2027'!$K$5,"CONCLUÍDA",IF(F2972&lt;='RETRATO 2027'!$K$5,"EM ANDAMENTO","A INICIAR")))</f>
        <v>CONCLUÍDA</v>
      </c>
    </row>
    <row r="2973" customFormat="false" ht="15" hidden="false" customHeight="false" outlineLevel="0" collapsed="false">
      <c r="B2973" s="4" t="n">
        <v>26714237</v>
      </c>
      <c r="C2973" s="4" t="s">
        <v>3000</v>
      </c>
      <c r="D2973" s="4" t="s">
        <v>433</v>
      </c>
      <c r="E2973" s="4" t="s">
        <v>3789</v>
      </c>
      <c r="F2973" s="127" t="n">
        <v>46643</v>
      </c>
      <c r="G2973" s="127" t="n">
        <v>46715</v>
      </c>
      <c r="H2973" s="127" t="n">
        <v>46293</v>
      </c>
      <c r="I2973" s="4" t="n">
        <v>0</v>
      </c>
      <c r="J2973" s="4" t="n">
        <v>0</v>
      </c>
      <c r="K2973" s="4" t="n">
        <v>0</v>
      </c>
      <c r="M2973" s="2" t="str">
        <f aca="false">IF(C2973="","",IFERROR(INDEX($S$5:$S$304,MATCH(C2973,$R$5:$R$304,0))&amp;"","?"))</f>
        <v>32</v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>CONCLUÍDA</v>
      </c>
    </row>
    <row r="2974" customFormat="false" ht="15" hidden="false" customHeight="false" outlineLevel="0" collapsed="false">
      <c r="B2974" s="4" t="n">
        <v>34053127</v>
      </c>
      <c r="C2974" s="4" t="s">
        <v>3046</v>
      </c>
      <c r="D2974" s="4" t="s">
        <v>433</v>
      </c>
      <c r="E2974" s="4" t="s">
        <v>3809</v>
      </c>
      <c r="F2974" s="127" t="n">
        <v>46644</v>
      </c>
      <c r="G2974" s="127" t="n">
        <v>46664</v>
      </c>
      <c r="H2974" s="127" t="n">
        <v>46293</v>
      </c>
      <c r="I2974" s="4" t="n">
        <v>0</v>
      </c>
      <c r="J2974" s="4" t="n">
        <v>0</v>
      </c>
      <c r="K2974" s="4" t="n">
        <v>0</v>
      </c>
      <c r="M2974" s="2" t="str">
        <f aca="false">IF(C2974="","",IFERROR(INDEX($S$5:$S$304,MATCH(C2974,$R$5:$R$304,0))&amp;"","?"))</f>
        <v>26</v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>CONCLUÍDA</v>
      </c>
    </row>
    <row r="2975" customFormat="false" ht="15" hidden="false" customHeight="false" outlineLevel="0" collapsed="false">
      <c r="B2975" s="4" t="n">
        <v>26708180</v>
      </c>
      <c r="C2975" s="4" t="s">
        <v>2914</v>
      </c>
      <c r="D2975" s="4" t="s">
        <v>433</v>
      </c>
      <c r="E2975" s="4" t="s">
        <v>3628</v>
      </c>
      <c r="F2975" s="127" t="n">
        <v>46645</v>
      </c>
      <c r="G2975" s="127" t="n">
        <v>46654</v>
      </c>
      <c r="H2975" s="127" t="n">
        <v>46293</v>
      </c>
      <c r="I2975" s="4" t="n">
        <v>0</v>
      </c>
      <c r="J2975" s="4" t="n">
        <v>0</v>
      </c>
      <c r="K2975" s="4" t="n">
        <v>0</v>
      </c>
      <c r="M2975" s="2" t="str">
        <f aca="false">IF(C2975="","",IFERROR(INDEX($S$5:$S$304,MATCH(C2975,$R$5:$R$304,0))&amp;"","?"))</f>
        <v>21</v>
      </c>
      <c r="N2975" s="2" t="n">
        <f aca="false">IF(E2975="","",IF(ISNUMBER(SEARCH("SUBSOLO",E2975)),IFERROR(-VALUE(LEFT(E2975,FIND("º",SUBSTITUTE(E2975,"°","º"))-1)),-1),IF(LEFT(E2975,6)="TÉRREO",0,IFERROR(VALUE(LEFT(E2975,FIND("º",SUBSTITUTE(E2975,"°","º"))-1)),""))))</f>
        <v>-6</v>
      </c>
      <c r="O2975" s="2" t="str">
        <f aca="false">IF(OR(F2975="",G2975=""),"",IF(G2975&lt;='RETRATO 2027'!$K$5,"CONCLUÍDA",IF(F2975&lt;='RETRATO 2027'!$K$5,"EM ANDAMENTO","A INICIAR")))</f>
        <v>CONCLUÍDA</v>
      </c>
    </row>
    <row r="2976" customFormat="false" ht="15" hidden="false" customHeight="false" outlineLevel="0" collapsed="false">
      <c r="B2976" s="4" t="n">
        <v>26708152</v>
      </c>
      <c r="C2976" s="4" t="s">
        <v>2808</v>
      </c>
      <c r="D2976" s="4" t="s">
        <v>433</v>
      </c>
      <c r="E2976" s="4" t="s">
        <v>3813</v>
      </c>
      <c r="F2976" s="127" t="n">
        <v>46645</v>
      </c>
      <c r="G2976" s="127" t="n">
        <v>46654</v>
      </c>
      <c r="H2976" s="127" t="n">
        <v>46293</v>
      </c>
      <c r="I2976" s="4" t="n">
        <v>0</v>
      </c>
      <c r="J2976" s="4" t="n">
        <v>0</v>
      </c>
      <c r="K2976" s="4" t="n">
        <v>0</v>
      </c>
      <c r="M2976" s="2" t="str">
        <f aca="false">IF(C2976="","",IFERROR(INDEX($S$5:$S$304,MATCH(C2976,$R$5:$R$304,0))&amp;"","?"))</f>
        <v>29</v>
      </c>
      <c r="N2976" s="2" t="n">
        <f aca="false">IF(E2976="","",IF(ISNUMBER(SEARCH("SUBSOLO",E2976)),IFERROR(-VALUE(LEFT(E2976,FIND("º",SUBSTITUTE(E2976,"°","º"))-1)),-1),IF(LEFT(E2976,6)="TÉRREO",0,IFERROR(VALUE(LEFT(E2976,FIND("º",SUBSTITUTE(E2976,"°","º"))-1)),""))))</f>
        <v>-6</v>
      </c>
      <c r="O2976" s="2" t="str">
        <f aca="false">IF(OR(F2976="",G2976=""),"",IF(G2976&lt;='RETRATO 2027'!$K$5,"CONCLUÍDA",IF(F2976&lt;='RETRATO 2027'!$K$5,"EM ANDAMENTO","A INICIAR")))</f>
        <v>CONCLUÍDA</v>
      </c>
    </row>
    <row r="2977" customFormat="false" ht="15" hidden="false" customHeight="false" outlineLevel="0" collapsed="false">
      <c r="B2977" s="4" t="n">
        <v>26744944</v>
      </c>
      <c r="C2977" s="4" t="s">
        <v>189</v>
      </c>
      <c r="D2977" s="4" t="s">
        <v>433</v>
      </c>
      <c r="E2977" s="4" t="s">
        <v>3612</v>
      </c>
      <c r="F2977" s="127" t="n">
        <v>46645</v>
      </c>
      <c r="G2977" s="127" t="n">
        <v>46653</v>
      </c>
      <c r="H2977" s="127" t="n">
        <v>46293</v>
      </c>
      <c r="I2977" s="4" t="n">
        <v>0</v>
      </c>
      <c r="J2977" s="4" t="n">
        <v>0</v>
      </c>
      <c r="K2977" s="4" t="n">
        <v>0</v>
      </c>
      <c r="M2977" s="2" t="str">
        <f aca="false">IF(C2977="","",IFERROR(INDEX($S$5:$S$304,MATCH(C2977,$R$5:$R$304,0))&amp;"","?"))</f>
        <v>27</v>
      </c>
      <c r="N2977" s="2" t="n">
        <f aca="false">IF(E2977="","",IF(ISNUMBER(SEARCH("SUBSOLO",E2977)),IFERROR(-VALUE(LEFT(E2977,FIND("º",SUBSTITUTE(E2977,"°","º"))-1)),-1),IF(LEFT(E2977,6)="TÉRREO",0,IFERROR(VALUE(LEFT(E2977,FIND("º",SUBSTITUTE(E2977,"°","º"))-1)),""))))</f>
        <v>-1</v>
      </c>
      <c r="O2977" s="2" t="str">
        <f aca="false">IF(OR(F2977="",G2977=""),"",IF(G2977&lt;='RETRATO 2027'!$K$5,"CONCLUÍDA",IF(F2977&lt;='RETRATO 2027'!$K$5,"EM ANDAMENTO","A INICIAR")))</f>
        <v>CONCLUÍDA</v>
      </c>
    </row>
    <row r="2978" customFormat="false" ht="15" hidden="false" customHeight="false" outlineLevel="0" collapsed="false">
      <c r="B2978" s="4" t="n">
        <v>26259410</v>
      </c>
      <c r="C2978" s="4" t="s">
        <v>3049</v>
      </c>
      <c r="D2978" s="4" t="s">
        <v>433</v>
      </c>
      <c r="E2978" s="4" t="s">
        <v>180</v>
      </c>
      <c r="F2978" s="127" t="n">
        <v>46645</v>
      </c>
      <c r="G2978" s="127" t="n">
        <v>46675</v>
      </c>
      <c r="H2978" s="127" t="n">
        <v>46293</v>
      </c>
      <c r="I2978" s="4" t="n">
        <v>0</v>
      </c>
      <c r="J2978" s="4" t="n">
        <v>0</v>
      </c>
      <c r="K2978" s="4" t="n">
        <v>0</v>
      </c>
      <c r="M2978" s="2" t="str">
        <f aca="false">IF(C2978="","",IFERROR(INDEX($S$5:$S$304,MATCH(C2978,$R$5:$R$304,0))&amp;"","?"))</f>
        <v>24</v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>CONCLUÍDA</v>
      </c>
    </row>
    <row r="2979" customFormat="false" ht="15" hidden="false" customHeight="false" outlineLevel="0" collapsed="false">
      <c r="B2979" s="4" t="n">
        <v>26259464</v>
      </c>
      <c r="C2979" s="4" t="s">
        <v>3052</v>
      </c>
      <c r="D2979" s="4" t="s">
        <v>433</v>
      </c>
      <c r="E2979" s="4" t="s">
        <v>180</v>
      </c>
      <c r="F2979" s="127" t="n">
        <v>46645</v>
      </c>
      <c r="G2979" s="127" t="n">
        <v>46675</v>
      </c>
      <c r="H2979" s="127" t="n">
        <v>46293</v>
      </c>
      <c r="I2979" s="4" t="n">
        <v>0</v>
      </c>
      <c r="J2979" s="4" t="n">
        <v>0</v>
      </c>
      <c r="K2979" s="4" t="n">
        <v>0</v>
      </c>
      <c r="M2979" s="2" t="str">
        <f aca="false">IF(C2979="","",IFERROR(INDEX($S$5:$S$304,MATCH(C2979,$R$5:$R$304,0))&amp;"","?"))</f>
        <v>24</v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>CONCLUÍDA</v>
      </c>
    </row>
    <row r="2980" customFormat="false" ht="15" hidden="false" customHeight="false" outlineLevel="0" collapsed="false">
      <c r="B2980" s="4" t="n">
        <v>26750578</v>
      </c>
      <c r="C2980" s="4" t="s">
        <v>2814</v>
      </c>
      <c r="D2980" s="4" t="s">
        <v>433</v>
      </c>
      <c r="E2980" s="4" t="s">
        <v>3814</v>
      </c>
      <c r="F2980" s="127" t="n">
        <v>46646</v>
      </c>
      <c r="G2980" s="127" t="n">
        <v>46657</v>
      </c>
      <c r="H2980" s="127" t="n">
        <v>46293</v>
      </c>
      <c r="I2980" s="4" t="n">
        <v>0</v>
      </c>
      <c r="J2980" s="4" t="n">
        <v>0</v>
      </c>
      <c r="K2980" s="4" t="n">
        <v>0</v>
      </c>
      <c r="M2980" s="2" t="str">
        <f aca="false">IF(C2980="","",IFERROR(INDEX($S$5:$S$304,MATCH(C2980,$R$5:$R$304,0))&amp;"","?"))</f>
        <v>28</v>
      </c>
      <c r="N2980" s="2" t="n">
        <f aca="false">IF(E2980="","",IF(ISNUMBER(SEARCH("SUBSOLO",E2980)),IFERROR(-VALUE(LEFT(E2980,FIND("º",SUBSTITUTE(E2980,"°","º"))-1)),-1),IF(LEFT(E2980,6)="TÉRREO",0,IFERROR(VALUE(LEFT(E2980,FIND("º",SUBSTITUTE(E2980,"°","º"))-1)),""))))</f>
        <v>-6</v>
      </c>
      <c r="O2980" s="2" t="str">
        <f aca="false">IF(OR(F2980="",G2980=""),"",IF(G2980&lt;='RETRATO 2027'!$K$5,"CONCLUÍDA",IF(F2980&lt;='RETRATO 2027'!$K$5,"EM ANDAMENTO","A INICIAR")))</f>
        <v>CONCLUÍDA</v>
      </c>
    </row>
    <row r="2981" customFormat="false" ht="15" hidden="false" customHeight="false" outlineLevel="0" collapsed="false">
      <c r="B2981" s="4" t="n">
        <v>26744998</v>
      </c>
      <c r="C2981" s="4" t="s">
        <v>2808</v>
      </c>
      <c r="D2981" s="4" t="s">
        <v>433</v>
      </c>
      <c r="E2981" s="4" t="s">
        <v>3816</v>
      </c>
      <c r="F2981" s="127" t="n">
        <v>46646</v>
      </c>
      <c r="G2981" s="127" t="n">
        <v>46657</v>
      </c>
      <c r="H2981" s="127" t="n">
        <v>46293</v>
      </c>
      <c r="I2981" s="4" t="n">
        <v>0</v>
      </c>
      <c r="J2981" s="4" t="n">
        <v>0</v>
      </c>
      <c r="K2981" s="4" t="n">
        <v>0</v>
      </c>
      <c r="M2981" s="2" t="str">
        <f aca="false">IF(C2981="","",IFERROR(INDEX($S$5:$S$304,MATCH(C2981,$R$5:$R$304,0))&amp;"","?"))</f>
        <v>29</v>
      </c>
      <c r="N2981" s="2" t="n">
        <f aca="false">IF(E2981="","",IF(ISNUMBER(SEARCH("SUBSOLO",E2981)),IFERROR(-VALUE(LEFT(E2981,FIND("º",SUBSTITUTE(E2981,"°","º"))-1)),-1),IF(LEFT(E2981,6)="TÉRREO",0,IFERROR(VALUE(LEFT(E2981,FIND("º",SUBSTITUTE(E2981,"°","º"))-1)),""))))</f>
        <v>-6</v>
      </c>
      <c r="O2981" s="2" t="str">
        <f aca="false">IF(OR(F2981="",G2981=""),"",IF(G2981&lt;='RETRATO 2027'!$K$5,"CONCLUÍDA",IF(F2981&lt;='RETRATO 2027'!$K$5,"EM ANDAMENTO","A INICIAR")))</f>
        <v>CONCLUÍDA</v>
      </c>
    </row>
    <row r="2982" customFormat="false" ht="15" hidden="false" customHeight="false" outlineLevel="0" collapsed="false">
      <c r="B2982" s="4" t="n">
        <v>26790174</v>
      </c>
      <c r="C2982" s="4" t="s">
        <v>2995</v>
      </c>
      <c r="D2982" s="4" t="s">
        <v>433</v>
      </c>
      <c r="E2982" s="4" t="s">
        <v>3816</v>
      </c>
      <c r="F2982" s="127" t="n">
        <v>46646</v>
      </c>
      <c r="G2982" s="127" t="n">
        <v>46743</v>
      </c>
      <c r="H2982" s="127" t="n">
        <v>46293</v>
      </c>
      <c r="I2982" s="4" t="n">
        <v>0</v>
      </c>
      <c r="J2982" s="4" t="n">
        <v>0</v>
      </c>
      <c r="K2982" s="4" t="n">
        <v>0</v>
      </c>
      <c r="M2982" s="2" t="str">
        <f aca="false">IF(C2982="","",IFERROR(INDEX($S$5:$S$304,MATCH(C2982,$R$5:$R$304,0))&amp;"","?"))</f>
        <v>31</v>
      </c>
      <c r="N2982" s="2" t="n">
        <f aca="false">IF(E2982="","",IF(ISNUMBER(SEARCH("SUBSOLO",E2982)),IFERROR(-VALUE(LEFT(E2982,FIND("º",SUBSTITUTE(E2982,"°","º"))-1)),-1),IF(LEFT(E2982,6)="TÉRREO",0,IFERROR(VALUE(LEFT(E2982,FIND("º",SUBSTITUTE(E2982,"°","º"))-1)),""))))</f>
        <v>-6</v>
      </c>
      <c r="O2982" s="2" t="str">
        <f aca="false">IF(OR(F2982="",G2982=""),"",IF(G2982&lt;='RETRATO 2027'!$K$5,"CONCLUÍDA",IF(F2982&lt;='RETRATO 2027'!$K$5,"EM ANDAMENTO","A INICIAR")))</f>
        <v>CONCLUÍDA</v>
      </c>
    </row>
    <row r="2983" customFormat="false" ht="15" hidden="false" customHeight="false" outlineLevel="0" collapsed="false">
      <c r="B2983" s="4" t="n">
        <v>26744951</v>
      </c>
      <c r="C2983" s="4" t="s">
        <v>2935</v>
      </c>
      <c r="D2983" s="4" t="s">
        <v>433</v>
      </c>
      <c r="E2983" s="4" t="s">
        <v>3671</v>
      </c>
      <c r="F2983" s="127" t="n">
        <v>46646</v>
      </c>
      <c r="G2983" s="127" t="n">
        <v>46657</v>
      </c>
      <c r="H2983" s="127" t="n">
        <v>46293</v>
      </c>
      <c r="I2983" s="4" t="n">
        <v>0</v>
      </c>
      <c r="J2983" s="4" t="n">
        <v>0</v>
      </c>
      <c r="K2983" s="4" t="n">
        <v>0</v>
      </c>
      <c r="M2983" s="2" t="str">
        <f aca="false">IF(C2983="","",IFERROR(INDEX($S$5:$S$304,MATCH(C2983,$R$5:$R$304,0))&amp;"","?"))</f>
        <v>30</v>
      </c>
      <c r="N2983" s="2" t="n">
        <f aca="false">IF(E2983="","",IF(ISNUMBER(SEARCH("SUBSOLO",E2983)),IFERROR(-VALUE(LEFT(E2983,FIND("º",SUBSTITUTE(E2983,"°","º"))-1)),-1),IF(LEFT(E2983,6)="TÉRREO",0,IFERROR(VALUE(LEFT(E2983,FIND("º",SUBSTITUTE(E2983,"°","º"))-1)),""))))</f>
        <v>-3</v>
      </c>
      <c r="O2983" s="2" t="str">
        <f aca="false">IF(OR(F2983="",G2983=""),"",IF(G2983&lt;='RETRATO 2027'!$K$5,"CONCLUÍDA",IF(F2983&lt;='RETRATO 2027'!$K$5,"EM ANDAMENTO","A INICIAR")))</f>
        <v>CONCLUÍDA</v>
      </c>
    </row>
    <row r="2984" customFormat="false" ht="15" hidden="false" customHeight="false" outlineLevel="0" collapsed="false">
      <c r="B2984" s="4" t="n">
        <v>26743162</v>
      </c>
      <c r="C2984" s="4" t="s">
        <v>2980</v>
      </c>
      <c r="D2984" s="4" t="s">
        <v>433</v>
      </c>
      <c r="E2984" s="4" t="s">
        <v>3773</v>
      </c>
      <c r="F2984" s="127" t="n">
        <v>46646</v>
      </c>
      <c r="G2984" s="127" t="n">
        <v>46657</v>
      </c>
      <c r="H2984" s="127" t="n">
        <v>46293</v>
      </c>
      <c r="I2984" s="4" t="n">
        <v>0</v>
      </c>
      <c r="J2984" s="4" t="n">
        <v>0</v>
      </c>
      <c r="K2984" s="4" t="n">
        <v>0</v>
      </c>
      <c r="M2984" s="2" t="str">
        <f aca="false">IF(C2984="","",IFERROR(INDEX($S$5:$S$304,MATCH(C2984,$R$5:$R$304,0))&amp;"","?"))</f>
        <v>35</v>
      </c>
      <c r="N2984" s="2" t="n">
        <f aca="false">IF(E2984="","",IF(ISNUMBER(SEARCH("SUBSOLO",E2984)),IFERROR(-VALUE(LEFT(E2984,FIND("º",SUBSTITUTE(E2984,"°","º"))-1)),-1),IF(LEFT(E2984,6)="TÉRREO",0,IFERROR(VALUE(LEFT(E2984,FIND("º",SUBSTITUTE(E2984,"°","º"))-1)),""))))</f>
        <v>17</v>
      </c>
      <c r="O2984" s="2" t="str">
        <f aca="false">IF(OR(F2984="",G2984=""),"",IF(G2984&lt;='RETRATO 2027'!$K$5,"CONCLUÍDA",IF(F2984&lt;='RETRATO 2027'!$K$5,"EM ANDAMENTO","A INICIAR")))</f>
        <v>CONCLUÍDA</v>
      </c>
    </row>
    <row r="2985" customFormat="false" ht="15" hidden="false" customHeight="false" outlineLevel="0" collapsed="false">
      <c r="B2985" s="4" t="n">
        <v>26743132</v>
      </c>
      <c r="C2985" s="4" t="s">
        <v>208</v>
      </c>
      <c r="D2985" s="4" t="s">
        <v>433</v>
      </c>
      <c r="E2985" s="4" t="s">
        <v>3776</v>
      </c>
      <c r="F2985" s="127" t="n">
        <v>46646</v>
      </c>
      <c r="G2985" s="127" t="n">
        <v>46657</v>
      </c>
      <c r="H2985" s="127" t="n">
        <v>46293</v>
      </c>
      <c r="I2985" s="4" t="n">
        <v>0</v>
      </c>
      <c r="J2985" s="4" t="n">
        <v>0</v>
      </c>
      <c r="K2985" s="4" t="n">
        <v>0</v>
      </c>
      <c r="M2985" s="2" t="str">
        <f aca="false">IF(C2985="","",IFERROR(INDEX($S$5:$S$304,MATCH(C2985,$R$5:$R$304,0))&amp;"","?"))</f>
        <v>33</v>
      </c>
      <c r="N2985" s="2" t="n">
        <f aca="false">IF(E2985="","",IF(ISNUMBER(SEARCH("SUBSOLO",E2985)),IFERROR(-VALUE(LEFT(E2985,FIND("º",SUBSTITUTE(E2985,"°","º"))-1)),-1),IF(LEFT(E2985,6)="TÉRREO",0,IFERROR(VALUE(LEFT(E2985,FIND("º",SUBSTITUTE(E2985,"°","º"))-1)),""))))</f>
        <v>18</v>
      </c>
      <c r="O2985" s="2" t="str">
        <f aca="false">IF(OR(F2985="",G2985=""),"",IF(G2985&lt;='RETRATO 2027'!$K$5,"CONCLUÍDA",IF(F2985&lt;='RETRATO 2027'!$K$5,"EM ANDAMENTO","A INICIAR")))</f>
        <v>CONCLUÍDA</v>
      </c>
    </row>
    <row r="2986" customFormat="false" ht="15" hidden="false" customHeight="false" outlineLevel="0" collapsed="false">
      <c r="B2986" s="4" t="n">
        <v>26707615</v>
      </c>
      <c r="C2986" s="4" t="s">
        <v>2808</v>
      </c>
      <c r="D2986" s="4" t="s">
        <v>433</v>
      </c>
      <c r="E2986" s="4" t="s">
        <v>3812</v>
      </c>
      <c r="F2986" s="127" t="n">
        <v>46647</v>
      </c>
      <c r="G2986" s="127" t="n">
        <v>46667</v>
      </c>
      <c r="H2986" s="127" t="n">
        <v>46293</v>
      </c>
      <c r="I2986" s="4" t="n">
        <v>0</v>
      </c>
      <c r="J2986" s="4" t="n">
        <v>0</v>
      </c>
      <c r="K2986" s="4" t="n">
        <v>0</v>
      </c>
      <c r="M2986" s="2" t="str">
        <f aca="false">IF(C2986="","",IFERROR(INDEX($S$5:$S$304,MATCH(C2986,$R$5:$R$304,0))&amp;"","?"))</f>
        <v>29</v>
      </c>
      <c r="N2986" s="2" t="n">
        <f aca="false">IF(E2986="","",IF(ISNUMBER(SEARCH("SUBSOLO",E2986)),IFERROR(-VALUE(LEFT(E2986,FIND("º",SUBSTITUTE(E2986,"°","º"))-1)),-1),IF(LEFT(E2986,6)="TÉRREO",0,IFERROR(VALUE(LEFT(E2986,FIND("º",SUBSTITUTE(E2986,"°","º"))-1)),""))))</f>
        <v>2</v>
      </c>
      <c r="O2986" s="2" t="str">
        <f aca="false">IF(OR(F2986="",G2986=""),"",IF(G2986&lt;='RETRATO 2027'!$K$5,"CONCLUÍDA",IF(F2986&lt;='RETRATO 2027'!$K$5,"EM ANDAMENTO","A INICIAR")))</f>
        <v>CONCLUÍDA</v>
      </c>
    </row>
    <row r="2987" customFormat="false" ht="15" hidden="false" customHeight="false" outlineLevel="0" collapsed="false">
      <c r="B2987" s="4" t="n">
        <v>29845966</v>
      </c>
      <c r="C2987" s="4" t="s">
        <v>2983</v>
      </c>
      <c r="D2987" s="4" t="s">
        <v>433</v>
      </c>
      <c r="E2987" s="4" t="s">
        <v>3779</v>
      </c>
      <c r="F2987" s="127" t="n">
        <v>46647</v>
      </c>
      <c r="G2987" s="127" t="n">
        <v>46657</v>
      </c>
      <c r="H2987" s="127" t="n">
        <v>46293</v>
      </c>
      <c r="I2987" s="4" t="n">
        <v>0</v>
      </c>
      <c r="J2987" s="4" t="n">
        <v>0</v>
      </c>
      <c r="K2987" s="4" t="n">
        <v>0</v>
      </c>
      <c r="M2987" s="2" t="str">
        <f aca="false">IF(C2987="","",IFERROR(INDEX($S$5:$S$304,MATCH(C2987,$R$5:$R$304,0))&amp;"","?"))</f>
        <v>20</v>
      </c>
      <c r="N2987" s="2" t="n">
        <f aca="false">IF(E2987="","",IF(ISNUMBER(SEARCH("SUBSOLO",E2987)),IFERROR(-VALUE(LEFT(E2987,FIND("º",SUBSTITUTE(E2987,"°","º"))-1)),-1),IF(LEFT(E2987,6)="TÉRREO",0,IFERROR(VALUE(LEFT(E2987,FIND("º",SUBSTITUTE(E2987,"°","º"))-1)),""))))</f>
        <v>19</v>
      </c>
      <c r="O2987" s="2" t="str">
        <f aca="false">IF(OR(F2987="",G2987=""),"",IF(G2987&lt;='RETRATO 2027'!$K$5,"CONCLUÍDA",IF(F2987&lt;='RETRATO 2027'!$K$5,"EM ANDAMENTO","A INICIAR")))</f>
        <v>CONCLUÍDA</v>
      </c>
    </row>
    <row r="2988" customFormat="false" ht="15" hidden="false" customHeight="false" outlineLevel="0" collapsed="false">
      <c r="B2988" s="4" t="n">
        <v>29845905</v>
      </c>
      <c r="C2988" s="4" t="s">
        <v>2986</v>
      </c>
      <c r="D2988" s="4" t="s">
        <v>433</v>
      </c>
      <c r="E2988" s="4" t="s">
        <v>3779</v>
      </c>
      <c r="F2988" s="127" t="n">
        <v>46647</v>
      </c>
      <c r="G2988" s="127" t="n">
        <v>46658</v>
      </c>
      <c r="H2988" s="127" t="n">
        <v>46293</v>
      </c>
      <c r="I2988" s="4" t="n">
        <v>0</v>
      </c>
      <c r="J2988" s="4" t="n">
        <v>0</v>
      </c>
      <c r="K2988" s="4" t="n">
        <v>0</v>
      </c>
      <c r="M2988" s="2" t="str">
        <f aca="false">IF(C2988="","",IFERROR(INDEX($S$5:$S$304,MATCH(C2988,$R$5:$R$304,0))&amp;"","?"))</f>
        <v>20</v>
      </c>
      <c r="N2988" s="2" t="n">
        <f aca="false">IF(E2988="","",IF(ISNUMBER(SEARCH("SUBSOLO",E2988)),IFERROR(-VALUE(LEFT(E2988,FIND("º",SUBSTITUTE(E2988,"°","º"))-1)),-1),IF(LEFT(E2988,6)="TÉRREO",0,IFERROR(VALUE(LEFT(E2988,FIND("º",SUBSTITUTE(E2988,"°","º"))-1)),""))))</f>
        <v>19</v>
      </c>
      <c r="O2988" s="2" t="str">
        <f aca="false">IF(OR(F2988="",G2988=""),"",IF(G2988&lt;='RETRATO 2027'!$K$5,"CONCLUÍDA",IF(F2988&lt;='RETRATO 2027'!$K$5,"EM ANDAMENTO","A INICIAR")))</f>
        <v>CONCLUÍDA</v>
      </c>
    </row>
    <row r="2989" customFormat="false" ht="15" hidden="false" customHeight="false" outlineLevel="0" collapsed="false">
      <c r="B2989" s="4" t="n">
        <v>26743060</v>
      </c>
      <c r="C2989" s="4" t="s">
        <v>2977</v>
      </c>
      <c r="D2989" s="4" t="s">
        <v>433</v>
      </c>
      <c r="E2989" s="4" t="s">
        <v>3781</v>
      </c>
      <c r="F2989" s="127" t="n">
        <v>46647</v>
      </c>
      <c r="G2989" s="127" t="n">
        <v>46658</v>
      </c>
      <c r="H2989" s="127" t="n">
        <v>46293</v>
      </c>
      <c r="I2989" s="4" t="n">
        <v>0</v>
      </c>
      <c r="J2989" s="4" t="n">
        <v>0</v>
      </c>
      <c r="K2989" s="4" t="n">
        <v>0</v>
      </c>
      <c r="M2989" s="2" t="str">
        <f aca="false">IF(C2989="","",IFERROR(INDEX($S$5:$S$304,MATCH(C2989,$R$5:$R$304,0))&amp;"","?"))</f>
        <v>30</v>
      </c>
      <c r="N2989" s="2" t="n">
        <f aca="false">IF(E2989="","",IF(ISNUMBER(SEARCH("SUBSOLO",E2989)),IFERROR(-VALUE(LEFT(E2989,FIND("º",SUBSTITUTE(E2989,"°","º"))-1)),-1),IF(LEFT(E2989,6)="TÉRREO",0,IFERROR(VALUE(LEFT(E2989,FIND("º",SUBSTITUTE(E2989,"°","º"))-1)),""))))</f>
        <v>20</v>
      </c>
      <c r="O2989" s="2" t="str">
        <f aca="false">IF(OR(F2989="",G2989=""),"",IF(G2989&lt;='RETRATO 2027'!$K$5,"CONCLUÍDA",IF(F2989&lt;='RETRATO 2027'!$K$5,"EM ANDAMENTO","A INICIAR")))</f>
        <v>CONCLUÍDA</v>
      </c>
    </row>
    <row r="2990" customFormat="false" ht="15" hidden="false" customHeight="false" outlineLevel="0" collapsed="false">
      <c r="B2990" s="4" t="n">
        <v>26743016</v>
      </c>
      <c r="C2990" s="4" t="s">
        <v>2935</v>
      </c>
      <c r="D2990" s="4" t="s">
        <v>433</v>
      </c>
      <c r="E2990" s="4" t="s">
        <v>3783</v>
      </c>
      <c r="F2990" s="127" t="n">
        <v>46647</v>
      </c>
      <c r="G2990" s="127" t="n">
        <v>46658</v>
      </c>
      <c r="H2990" s="127" t="n">
        <v>46293</v>
      </c>
      <c r="I2990" s="4" t="n">
        <v>0</v>
      </c>
      <c r="J2990" s="4" t="n">
        <v>0</v>
      </c>
      <c r="K2990" s="4" t="n">
        <v>0</v>
      </c>
      <c r="M2990" s="2" t="str">
        <f aca="false">IF(C2990="","",IFERROR(INDEX($S$5:$S$304,MATCH(C2990,$R$5:$R$304,0))&amp;"","?"))</f>
        <v>30</v>
      </c>
      <c r="N2990" s="2" t="n">
        <f aca="false">IF(E2990="","",IF(ISNUMBER(SEARCH("SUBSOLO",E2990)),IFERROR(-VALUE(LEFT(E2990,FIND("º",SUBSTITUTE(E2990,"°","º"))-1)),-1),IF(LEFT(E2990,6)="TÉRREO",0,IFERROR(VALUE(LEFT(E2990,FIND("º",SUBSTITUTE(E2990,"°","º"))-1)),""))))</f>
        <v>21</v>
      </c>
      <c r="O2990" s="2" t="str">
        <f aca="false">IF(OR(F2990="",G2990=""),"",IF(G2990&lt;='RETRATO 2027'!$K$5,"CONCLUÍDA",IF(F2990&lt;='RETRATO 2027'!$K$5,"EM ANDAMENTO","A INICIAR")))</f>
        <v>CONCLUÍDA</v>
      </c>
    </row>
    <row r="2991" customFormat="false" ht="15" hidden="false" customHeight="false" outlineLevel="0" collapsed="false">
      <c r="B2991" s="4" t="n">
        <v>26742963</v>
      </c>
      <c r="C2991" s="4" t="s">
        <v>2938</v>
      </c>
      <c r="D2991" s="4" t="s">
        <v>433</v>
      </c>
      <c r="E2991" s="4" t="s">
        <v>3786</v>
      </c>
      <c r="F2991" s="127" t="n">
        <v>46647</v>
      </c>
      <c r="G2991" s="127" t="n">
        <v>46658</v>
      </c>
      <c r="H2991" s="127" t="n">
        <v>46293</v>
      </c>
      <c r="I2991" s="4" t="n">
        <v>0</v>
      </c>
      <c r="J2991" s="4" t="n">
        <v>0</v>
      </c>
      <c r="K2991" s="4" t="n">
        <v>0</v>
      </c>
      <c r="M2991" s="2" t="str">
        <f aca="false">IF(C2991="","",IFERROR(INDEX($S$5:$S$304,MATCH(C2991,$R$5:$R$304,0))&amp;"","?"))</f>
        <v>30</v>
      </c>
      <c r="N2991" s="2" t="n">
        <f aca="false">IF(E2991="","",IF(ISNUMBER(SEARCH("SUBSOLO",E2991)),IFERROR(-VALUE(LEFT(E2991,FIND("º",SUBSTITUTE(E2991,"°","º"))-1)),-1),IF(LEFT(E2991,6)="TÉRREO",0,IFERROR(VALUE(LEFT(E2991,FIND("º",SUBSTITUTE(E2991,"°","º"))-1)),""))))</f>
        <v>22</v>
      </c>
      <c r="O2991" s="2" t="str">
        <f aca="false">IF(OR(F2991="",G2991=""),"",IF(G2991&lt;='RETRATO 2027'!$K$5,"CONCLUÍDA",IF(F2991&lt;='RETRATO 2027'!$K$5,"EM ANDAMENTO","A INICIAR")))</f>
        <v>CONCLUÍDA</v>
      </c>
    </row>
    <row r="2992" customFormat="false" ht="15" hidden="false" customHeight="false" outlineLevel="0" collapsed="false">
      <c r="B2992" s="4" t="n">
        <v>26742925</v>
      </c>
      <c r="C2992" s="4" t="s">
        <v>166</v>
      </c>
      <c r="D2992" s="4" t="s">
        <v>433</v>
      </c>
      <c r="E2992" s="4" t="s">
        <v>3787</v>
      </c>
      <c r="F2992" s="127" t="n">
        <v>46647</v>
      </c>
      <c r="G2992" s="127" t="n">
        <v>46658</v>
      </c>
      <c r="H2992" s="127" t="n">
        <v>46293</v>
      </c>
      <c r="I2992" s="4" t="n">
        <v>0</v>
      </c>
      <c r="J2992" s="4" t="n">
        <v>0</v>
      </c>
      <c r="K2992" s="4" t="n">
        <v>0</v>
      </c>
      <c r="M2992" s="2" t="str">
        <f aca="false">IF(C2992="","",IFERROR(INDEX($S$5:$S$304,MATCH(C2992,$R$5:$R$304,0))&amp;"","?"))</f>
        <v>19</v>
      </c>
      <c r="N2992" s="2" t="n">
        <f aca="false">IF(E2992="","",IF(ISNUMBER(SEARCH("SUBSOLO",E2992)),IFERROR(-VALUE(LEFT(E2992,FIND("º",SUBSTITUTE(E2992,"°","º"))-1)),-1),IF(LEFT(E2992,6)="TÉRREO",0,IFERROR(VALUE(LEFT(E2992,FIND("º",SUBSTITUTE(E2992,"°","º"))-1)),""))))</f>
        <v>23</v>
      </c>
      <c r="O2992" s="2" t="str">
        <f aca="false">IF(OR(F2992="",G2992=""),"",IF(G2992&lt;='RETRATO 2027'!$K$5,"CONCLUÍDA",IF(F2992&lt;='RETRATO 2027'!$K$5,"EM ANDAMENTO","A INICIAR")))</f>
        <v>CONCLUÍDA</v>
      </c>
    </row>
    <row r="2993" customFormat="false" ht="15" hidden="false" customHeight="false" outlineLevel="0" collapsed="false">
      <c r="B2993" s="4" t="n">
        <v>26742898</v>
      </c>
      <c r="C2993" s="4" t="s">
        <v>2941</v>
      </c>
      <c r="D2993" s="4" t="s">
        <v>433</v>
      </c>
      <c r="E2993" s="4" t="s">
        <v>3788</v>
      </c>
      <c r="F2993" s="127" t="n">
        <v>46647</v>
      </c>
      <c r="G2993" s="127" t="n">
        <v>46658</v>
      </c>
      <c r="H2993" s="127" t="n">
        <v>46293</v>
      </c>
      <c r="I2993" s="4" t="n">
        <v>0</v>
      </c>
      <c r="J2993" s="4" t="n">
        <v>0</v>
      </c>
      <c r="K2993" s="4" t="n">
        <v>0</v>
      </c>
      <c r="M2993" s="2" t="str">
        <f aca="false">IF(C2993="","",IFERROR(INDEX($S$5:$S$304,MATCH(C2993,$R$5:$R$304,0))&amp;"","?"))</f>
        <v>18</v>
      </c>
      <c r="N2993" s="2" t="n">
        <f aca="false">IF(E2993="","",IF(ISNUMBER(SEARCH("SUBSOLO",E2993)),IFERROR(-VALUE(LEFT(E2993,FIND("º",SUBSTITUTE(E2993,"°","º"))-1)),-1),IF(LEFT(E2993,6)="TÉRREO",0,IFERROR(VALUE(LEFT(E2993,FIND("º",SUBSTITUTE(E2993,"°","º"))-1)),""))))</f>
        <v>24</v>
      </c>
      <c r="O2993" s="2" t="str">
        <f aca="false">IF(OR(F2993="",G2993=""),"",IF(G2993&lt;='RETRATO 2027'!$K$5,"CONCLUÍDA",IF(F2993&lt;='RETRATO 2027'!$K$5,"EM ANDAMENTO","A INICIAR")))</f>
        <v>CONCLUÍDA</v>
      </c>
    </row>
    <row r="2994" customFormat="false" ht="15" hidden="false" customHeight="false" outlineLevel="0" collapsed="false">
      <c r="B2994" s="4" t="n">
        <v>26742862</v>
      </c>
      <c r="C2994" s="4" t="s">
        <v>2924</v>
      </c>
      <c r="D2994" s="4" t="s">
        <v>433</v>
      </c>
      <c r="E2994" s="4" t="s">
        <v>3794</v>
      </c>
      <c r="F2994" s="127" t="n">
        <v>46647</v>
      </c>
      <c r="G2994" s="127" t="n">
        <v>46658</v>
      </c>
      <c r="H2994" s="127" t="n">
        <v>46293</v>
      </c>
      <c r="I2994" s="4" t="n">
        <v>0</v>
      </c>
      <c r="J2994" s="4" t="n">
        <v>0</v>
      </c>
      <c r="K2994" s="4" t="n">
        <v>0</v>
      </c>
      <c r="M2994" s="2" t="str">
        <f aca="false">IF(C2994="","",IFERROR(INDEX($S$5:$S$304,MATCH(C2994,$R$5:$R$304,0))&amp;"","?"))</f>
        <v>21</v>
      </c>
      <c r="N2994" s="2" t="n">
        <f aca="false">IF(E2994="","",IF(ISNUMBER(SEARCH("SUBSOLO",E2994)),IFERROR(-VALUE(LEFT(E2994,FIND("º",SUBSTITUTE(E2994,"°","º"))-1)),-1),IF(LEFT(E2994,6)="TÉRREO",0,IFERROR(VALUE(LEFT(E2994,FIND("º",SUBSTITUTE(E2994,"°","º"))-1)),""))))</f>
        <v>25</v>
      </c>
      <c r="O2994" s="2" t="str">
        <f aca="false">IF(OR(F2994="",G2994=""),"",IF(G2994&lt;='RETRATO 2027'!$K$5,"CONCLUÍDA",IF(F2994&lt;='RETRATO 2027'!$K$5,"EM ANDAMENTO","A INICIAR")))</f>
        <v>CONCLUÍDA</v>
      </c>
    </row>
    <row r="2995" customFormat="false" ht="15" hidden="false" customHeight="false" outlineLevel="0" collapsed="false">
      <c r="B2995" s="4" t="n">
        <v>26742845</v>
      </c>
      <c r="C2995" s="4" t="s">
        <v>2926</v>
      </c>
      <c r="D2995" s="4" t="s">
        <v>433</v>
      </c>
      <c r="E2995" s="4" t="s">
        <v>3794</v>
      </c>
      <c r="F2995" s="127" t="n">
        <v>46647</v>
      </c>
      <c r="G2995" s="127" t="n">
        <v>46658</v>
      </c>
      <c r="H2995" s="127" t="n">
        <v>46293</v>
      </c>
      <c r="I2995" s="4" t="n">
        <v>0</v>
      </c>
      <c r="J2995" s="4" t="n">
        <v>0</v>
      </c>
      <c r="K2995" s="4" t="n">
        <v>0</v>
      </c>
      <c r="M2995" s="2" t="str">
        <f aca="false">IF(C2995="","",IFERROR(INDEX($S$5:$S$304,MATCH(C2995,$R$5:$R$304,0))&amp;"","?"))</f>
        <v>20</v>
      </c>
      <c r="N2995" s="2" t="n">
        <f aca="false">IF(E2995="","",IF(ISNUMBER(SEARCH("SUBSOLO",E2995)),IFERROR(-VALUE(LEFT(E2995,FIND("º",SUBSTITUTE(E2995,"°","º"))-1)),-1),IF(LEFT(E2995,6)="TÉRREO",0,IFERROR(VALUE(LEFT(E2995,FIND("º",SUBSTITUTE(E2995,"°","º"))-1)),""))))</f>
        <v>25</v>
      </c>
      <c r="O2995" s="2" t="str">
        <f aca="false">IF(OR(F2995="",G2995=""),"",IF(G2995&lt;='RETRATO 2027'!$K$5,"CONCLUÍDA",IF(F2995&lt;='RETRATO 2027'!$K$5,"EM ANDAMENTO","A INICIAR")))</f>
        <v>CONCLUÍDA</v>
      </c>
    </row>
    <row r="2996" customFormat="false" ht="15" hidden="false" customHeight="false" outlineLevel="0" collapsed="false">
      <c r="B2996" s="4" t="n">
        <v>26742844</v>
      </c>
      <c r="C2996" s="4" t="s">
        <v>2928</v>
      </c>
      <c r="D2996" s="4" t="s">
        <v>433</v>
      </c>
      <c r="E2996" s="4" t="s">
        <v>3794</v>
      </c>
      <c r="F2996" s="127" t="n">
        <v>46647</v>
      </c>
      <c r="G2996" s="127" t="n">
        <v>46658</v>
      </c>
      <c r="H2996" s="127" t="n">
        <v>46293</v>
      </c>
      <c r="I2996" s="4" t="n">
        <v>0</v>
      </c>
      <c r="J2996" s="4" t="n">
        <v>0</v>
      </c>
      <c r="K2996" s="4" t="n">
        <v>0</v>
      </c>
      <c r="M2996" s="2" t="str">
        <f aca="false">IF(C2996="","",IFERROR(INDEX($S$5:$S$304,MATCH(C2996,$R$5:$R$304,0))&amp;"","?"))</f>
        <v>23</v>
      </c>
      <c r="N2996" s="2" t="n">
        <f aca="false">IF(E2996="","",IF(ISNUMBER(SEARCH("SUBSOLO",E2996)),IFERROR(-VALUE(LEFT(E2996,FIND("º",SUBSTITUTE(E2996,"°","º"))-1)),-1),IF(LEFT(E2996,6)="TÉRREO",0,IFERROR(VALUE(LEFT(E2996,FIND("º",SUBSTITUTE(E2996,"°","º"))-1)),""))))</f>
        <v>25</v>
      </c>
      <c r="O2996" s="2" t="str">
        <f aca="false">IF(OR(F2996="",G2996=""),"",IF(G2996&lt;='RETRATO 2027'!$K$5,"CONCLUÍDA",IF(F2996&lt;='RETRATO 2027'!$K$5,"EM ANDAMENTO","A INICIAR")))</f>
        <v>CONCLUÍDA</v>
      </c>
    </row>
    <row r="2997" customFormat="false" ht="15" hidden="false" customHeight="false" outlineLevel="0" collapsed="false">
      <c r="B2997" s="4" t="n">
        <v>26742863</v>
      </c>
      <c r="C2997" s="4" t="s">
        <v>2930</v>
      </c>
      <c r="D2997" s="4" t="s">
        <v>433</v>
      </c>
      <c r="E2997" s="4" t="s">
        <v>3794</v>
      </c>
      <c r="F2997" s="127" t="n">
        <v>46647</v>
      </c>
      <c r="G2997" s="127" t="n">
        <v>46658</v>
      </c>
      <c r="H2997" s="127" t="n">
        <v>46293</v>
      </c>
      <c r="I2997" s="4" t="n">
        <v>0</v>
      </c>
      <c r="J2997" s="4" t="n">
        <v>0</v>
      </c>
      <c r="K2997" s="4" t="n">
        <v>0</v>
      </c>
      <c r="M2997" s="2" t="str">
        <f aca="false">IF(C2997="","",IFERROR(INDEX($S$5:$S$304,MATCH(C2997,$R$5:$R$304,0))&amp;"","?"))</f>
        <v>21</v>
      </c>
      <c r="N2997" s="2" t="n">
        <f aca="false">IF(E2997="","",IF(ISNUMBER(SEARCH("SUBSOLO",E2997)),IFERROR(-VALUE(LEFT(E2997,FIND("º",SUBSTITUTE(E2997,"°","º"))-1)),-1),IF(LEFT(E2997,6)="TÉRREO",0,IFERROR(VALUE(LEFT(E2997,FIND("º",SUBSTITUTE(E2997,"°","º"))-1)),""))))</f>
        <v>25</v>
      </c>
      <c r="O2997" s="2" t="str">
        <f aca="false">IF(OR(F2997="",G2997=""),"",IF(G2997&lt;='RETRATO 2027'!$K$5,"CONCLUÍDA",IF(F2997&lt;='RETRATO 2027'!$K$5,"EM ANDAMENTO","A INICIAR")))</f>
        <v>CONCLUÍDA</v>
      </c>
    </row>
    <row r="2998" customFormat="false" ht="15" hidden="false" customHeight="false" outlineLevel="0" collapsed="false">
      <c r="B2998" s="4" t="n">
        <v>26742864</v>
      </c>
      <c r="C2998" s="4" t="s">
        <v>2933</v>
      </c>
      <c r="D2998" s="4" t="s">
        <v>433</v>
      </c>
      <c r="E2998" s="4" t="s">
        <v>3794</v>
      </c>
      <c r="F2998" s="127" t="n">
        <v>46647</v>
      </c>
      <c r="G2998" s="127" t="n">
        <v>46658</v>
      </c>
      <c r="H2998" s="127" t="n">
        <v>46293</v>
      </c>
      <c r="I2998" s="4" t="n">
        <v>0</v>
      </c>
      <c r="J2998" s="4" t="n">
        <v>0</v>
      </c>
      <c r="K2998" s="4" t="n">
        <v>0</v>
      </c>
      <c r="M2998" s="2" t="str">
        <f aca="false">IF(C2998="","",IFERROR(INDEX($S$5:$S$304,MATCH(C2998,$R$5:$R$304,0))&amp;"","?"))</f>
        <v>21</v>
      </c>
      <c r="N2998" s="2" t="n">
        <f aca="false">IF(E2998="","",IF(ISNUMBER(SEARCH("SUBSOLO",E2998)),IFERROR(-VALUE(LEFT(E2998,FIND("º",SUBSTITUTE(E2998,"°","º"))-1)),-1),IF(LEFT(E2998,6)="TÉRREO",0,IFERROR(VALUE(LEFT(E2998,FIND("º",SUBSTITUTE(E2998,"°","º"))-1)),""))))</f>
        <v>25</v>
      </c>
      <c r="O2998" s="2" t="str">
        <f aca="false">IF(OR(F2998="",G2998=""),"",IF(G2998&lt;='RETRATO 2027'!$K$5,"CONCLUÍDA",IF(F2998&lt;='RETRATO 2027'!$K$5,"EM ANDAMENTO","A INICIAR")))</f>
        <v>CONCLUÍDA</v>
      </c>
    </row>
    <row r="2999" customFormat="false" ht="15" hidden="false" customHeight="false" outlineLevel="0" collapsed="false">
      <c r="B2999" s="4" t="n">
        <v>26742806</v>
      </c>
      <c r="C2999" s="4" t="s">
        <v>2922</v>
      </c>
      <c r="D2999" s="4" t="s">
        <v>433</v>
      </c>
      <c r="E2999" s="4" t="s">
        <v>3797</v>
      </c>
      <c r="F2999" s="127" t="n">
        <v>46647</v>
      </c>
      <c r="G2999" s="127" t="n">
        <v>46658</v>
      </c>
      <c r="H2999" s="127" t="n">
        <v>46293</v>
      </c>
      <c r="I2999" s="4" t="n">
        <v>0</v>
      </c>
      <c r="J2999" s="4" t="n">
        <v>0</v>
      </c>
      <c r="K2999" s="4" t="n">
        <v>0</v>
      </c>
      <c r="M2999" s="2" t="str">
        <f aca="false">IF(C2999="","",IFERROR(INDEX($S$5:$S$304,MATCH(C2999,$R$5:$R$304,0))&amp;"","?"))</f>
        <v>18</v>
      </c>
      <c r="N2999" s="2" t="n">
        <f aca="false">IF(E2999="","",IF(ISNUMBER(SEARCH("SUBSOLO",E2999)),IFERROR(-VALUE(LEFT(E2999,FIND("º",SUBSTITUTE(E2999,"°","º"))-1)),-1),IF(LEFT(E2999,6)="TÉRREO",0,IFERROR(VALUE(LEFT(E2999,FIND("º",SUBSTITUTE(E2999,"°","º"))-1)),""))))</f>
        <v>26</v>
      </c>
      <c r="O2999" s="2" t="str">
        <f aca="false">IF(OR(F2999="",G2999=""),"",IF(G2999&lt;='RETRATO 2027'!$K$5,"CONCLUÍDA",IF(F2999&lt;='RETRATO 2027'!$K$5,"EM ANDAMENTO","A INICIAR")))</f>
        <v>CONCLUÍDA</v>
      </c>
    </row>
    <row r="3000" customFormat="false" ht="15" hidden="false" customHeight="false" outlineLevel="0" collapsed="false">
      <c r="B3000" s="4" t="n">
        <v>26745141</v>
      </c>
      <c r="C3000" s="4" t="s">
        <v>2948</v>
      </c>
      <c r="D3000" s="4" t="s">
        <v>433</v>
      </c>
      <c r="E3000" s="4" t="s">
        <v>3807</v>
      </c>
      <c r="F3000" s="127" t="n">
        <v>46650</v>
      </c>
      <c r="G3000" s="127" t="n">
        <v>46659</v>
      </c>
      <c r="H3000" s="127" t="n">
        <v>46293</v>
      </c>
      <c r="I3000" s="4" t="n">
        <v>0</v>
      </c>
      <c r="J3000" s="4" t="n">
        <v>0</v>
      </c>
      <c r="K3000" s="4" t="n">
        <v>0</v>
      </c>
      <c r="M3000" s="2" t="str">
        <f aca="false">IF(C3000="","",IFERROR(INDEX($S$5:$S$304,MATCH(C3000,$R$5:$R$304,0))&amp;"","?"))</f>
        <v>25</v>
      </c>
      <c r="N3000" s="2" t="n">
        <f aca="false">IF(E3000="","",IF(ISNUMBER(SEARCH("SUBSOLO",E3000)),IFERROR(-VALUE(LEFT(E3000,FIND("º",SUBSTITUTE(E3000,"°","º"))-1)),-1),IF(LEFT(E3000,6)="TÉRREO",0,IFERROR(VALUE(LEFT(E3000,FIND("º",SUBSTITUTE(E3000,"°","º"))-1)),""))))</f>
        <v>2</v>
      </c>
      <c r="O3000" s="2" t="str">
        <f aca="false">IF(OR(F3000="",G3000=""),"",IF(G3000&lt;='RETRATO 2027'!$K$5,"CONCLUÍDA",IF(F3000&lt;='RETRATO 2027'!$K$5,"EM ANDAMENTO","A INICIAR")))</f>
        <v>CONCLUÍDA</v>
      </c>
    </row>
    <row r="3001" customFormat="false" ht="15" hidden="false" customHeight="false" outlineLevel="0" collapsed="false">
      <c r="B3001" s="4" t="n">
        <v>26750548</v>
      </c>
      <c r="C3001" s="4" t="s">
        <v>2935</v>
      </c>
      <c r="D3001" s="4" t="s">
        <v>433</v>
      </c>
      <c r="E3001" s="4" t="s">
        <v>3676</v>
      </c>
      <c r="F3001" s="127" t="n">
        <v>46651</v>
      </c>
      <c r="G3001" s="127" t="n">
        <v>46657</v>
      </c>
      <c r="H3001" s="127" t="n">
        <v>46293</v>
      </c>
      <c r="I3001" s="4" t="n">
        <v>0</v>
      </c>
      <c r="J3001" s="4" t="n">
        <v>0</v>
      </c>
      <c r="K3001" s="4" t="n">
        <v>0</v>
      </c>
      <c r="M3001" s="2" t="str">
        <f aca="false">IF(C3001="","",IFERROR(INDEX($S$5:$S$304,MATCH(C3001,$R$5:$R$304,0))&amp;"","?"))</f>
        <v>30</v>
      </c>
      <c r="N3001" s="2" t="n">
        <f aca="false">IF(E3001="","",IF(ISNUMBER(SEARCH("SUBSOLO",E3001)),IFERROR(-VALUE(LEFT(E3001,FIND("º",SUBSTITUTE(E3001,"°","º"))-1)),-1),IF(LEFT(E3001,6)="TÉRREO",0,IFERROR(VALUE(LEFT(E3001,FIND("º",SUBSTITUTE(E3001,"°","º"))-1)),""))))</f>
        <v>-3</v>
      </c>
      <c r="O3001" s="2" t="str">
        <f aca="false">IF(OR(F3001="",G3001=""),"",IF(G3001&lt;='RETRATO 2027'!$K$5,"CONCLUÍDA",IF(F3001&lt;='RETRATO 2027'!$K$5,"EM ANDAMENTO","A INICIAR")))</f>
        <v>CONCLUÍDA</v>
      </c>
    </row>
    <row r="3002" customFormat="false" ht="15" hidden="false" customHeight="false" outlineLevel="0" collapsed="false">
      <c r="B3002" s="4" t="n">
        <v>26745174</v>
      </c>
      <c r="C3002" s="4" t="s">
        <v>3006</v>
      </c>
      <c r="D3002" s="4" t="s">
        <v>433</v>
      </c>
      <c r="E3002" s="4" t="s">
        <v>3770</v>
      </c>
      <c r="F3002" s="127" t="n">
        <v>46651</v>
      </c>
      <c r="G3002" s="127" t="n">
        <v>46660</v>
      </c>
      <c r="H3002" s="127" t="n">
        <v>46293</v>
      </c>
      <c r="I3002" s="4" t="n">
        <v>0</v>
      </c>
      <c r="J3002" s="4" t="n">
        <v>0</v>
      </c>
      <c r="K3002" s="4" t="n">
        <v>0</v>
      </c>
      <c r="M3002" s="2" t="str">
        <f aca="false">IF(C3002="","",IFERROR(INDEX($S$5:$S$304,MATCH(C3002,$R$5:$R$304,0))&amp;"","?"))</f>
        <v>37</v>
      </c>
      <c r="N3002" s="2" t="n">
        <f aca="false">IF(E3002="","",IF(ISNUMBER(SEARCH("SUBSOLO",E3002)),IFERROR(-VALUE(LEFT(E3002,FIND("º",SUBSTITUTE(E3002,"°","º"))-1)),-1),IF(LEFT(E3002,6)="TÉRREO",0,IFERROR(VALUE(LEFT(E3002,FIND("º",SUBSTITUTE(E3002,"°","º"))-1)),""))))</f>
        <v>-1</v>
      </c>
      <c r="O3002" s="2" t="str">
        <f aca="false">IF(OR(F3002="",G3002=""),"",IF(G3002&lt;='RETRATO 2027'!$K$5,"CONCLUÍDA",IF(F3002&lt;='RETRATO 2027'!$K$5,"EM ANDAMENTO","A INICIAR")))</f>
        <v>CONCLUÍDA</v>
      </c>
    </row>
    <row r="3003" customFormat="false" ht="15" hidden="false" customHeight="false" outlineLevel="0" collapsed="false">
      <c r="B3003" s="4" t="n">
        <v>26744753</v>
      </c>
      <c r="C3003" s="4" t="s">
        <v>2956</v>
      </c>
      <c r="D3003" s="4" t="s">
        <v>433</v>
      </c>
      <c r="E3003" s="4" t="s">
        <v>3784</v>
      </c>
      <c r="F3003" s="127" t="n">
        <v>46651</v>
      </c>
      <c r="G3003" s="127" t="n">
        <v>46659</v>
      </c>
      <c r="H3003" s="127" t="n">
        <v>46293</v>
      </c>
      <c r="I3003" s="4" t="n">
        <v>0</v>
      </c>
      <c r="J3003" s="4" t="n">
        <v>0</v>
      </c>
      <c r="K3003" s="4" t="n">
        <v>0</v>
      </c>
      <c r="M3003" s="2" t="str">
        <f aca="false">IF(C3003="","",IFERROR(INDEX($S$5:$S$304,MATCH(C3003,$R$5:$R$304,0))&amp;"","?"))</f>
        <v>18</v>
      </c>
      <c r="N3003" s="2" t="n">
        <f aca="false">IF(E3003="","",IF(ISNUMBER(SEARCH("SUBSOLO",E3003)),IFERROR(-VALUE(LEFT(E3003,FIND("º",SUBSTITUTE(E3003,"°","º"))-1)),-1),IF(LEFT(E3003,6)="TÉRREO",0,IFERROR(VALUE(LEFT(E3003,FIND("º",SUBSTITUTE(E3003,"°","º"))-1)),""))))</f>
        <v>3</v>
      </c>
      <c r="O3003" s="2" t="str">
        <f aca="false">IF(OR(F3003="",G3003=""),"",IF(G3003&lt;='RETRATO 2027'!$K$5,"CONCLUÍDA",IF(F3003&lt;='RETRATO 2027'!$K$5,"EM ANDAMENTO","A INICIAR")))</f>
        <v>CONCLUÍDA</v>
      </c>
    </row>
    <row r="3004" customFormat="false" ht="15" hidden="false" customHeight="false" outlineLevel="0" collapsed="false">
      <c r="B3004" s="4" t="n">
        <v>26742786</v>
      </c>
      <c r="C3004" s="4" t="s">
        <v>2916</v>
      </c>
      <c r="D3004" s="4" t="s">
        <v>433</v>
      </c>
      <c r="E3004" s="4" t="s">
        <v>3799</v>
      </c>
      <c r="F3004" s="127" t="n">
        <v>46651</v>
      </c>
      <c r="G3004" s="127" t="n">
        <v>46658</v>
      </c>
      <c r="H3004" s="127" t="n">
        <v>46293</v>
      </c>
      <c r="I3004" s="4" t="n">
        <v>0</v>
      </c>
      <c r="J3004" s="4" t="n">
        <v>0</v>
      </c>
      <c r="K3004" s="4" t="n">
        <v>0</v>
      </c>
      <c r="M3004" s="2" t="str">
        <f aca="false">IF(C3004="","",IFERROR(INDEX($S$5:$S$304,MATCH(C3004,$R$5:$R$304,0))&amp;"","?"))</f>
        <v>18</v>
      </c>
      <c r="N3004" s="2" t="n">
        <f aca="false">IF(E3004="","",IF(ISNUMBER(SEARCH("SUBSOLO",E3004)),IFERROR(-VALUE(LEFT(E3004,FIND("º",SUBSTITUTE(E3004,"°","º"))-1)),-1),IF(LEFT(E3004,6)="TÉRREO",0,IFERROR(VALUE(LEFT(E3004,FIND("º",SUBSTITUTE(E3004,"°","º"))-1)),""))))</f>
        <v>27</v>
      </c>
      <c r="O3004" s="2" t="str">
        <f aca="false">IF(OR(F3004="",G3004=""),"",IF(G3004&lt;='RETRATO 2027'!$K$5,"CONCLUÍDA",IF(F3004&lt;='RETRATO 2027'!$K$5,"EM ANDAMENTO","A INICIAR")))</f>
        <v>CONCLUÍDA</v>
      </c>
    </row>
    <row r="3005" customFormat="false" ht="15" hidden="false" customHeight="false" outlineLevel="0" collapsed="false">
      <c r="B3005" s="4" t="n">
        <v>26745160</v>
      </c>
      <c r="C3005" s="4" t="s">
        <v>2965</v>
      </c>
      <c r="D3005" s="4" t="s">
        <v>433</v>
      </c>
      <c r="E3005" s="4" t="s">
        <v>3652</v>
      </c>
      <c r="F3005" s="127" t="n">
        <v>46652</v>
      </c>
      <c r="G3005" s="127" t="n">
        <v>46661</v>
      </c>
      <c r="H3005" s="127" t="n">
        <v>46293</v>
      </c>
      <c r="I3005" s="4" t="n">
        <v>0</v>
      </c>
      <c r="J3005" s="4" t="n">
        <v>0</v>
      </c>
      <c r="K3005" s="4" t="n">
        <v>0</v>
      </c>
      <c r="M3005" s="2" t="str">
        <f aca="false">IF(C3005="","",IFERROR(INDEX($S$5:$S$304,MATCH(C3005,$R$5:$R$304,0))&amp;"","?"))</f>
        <v>20</v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>CONCLUÍDA</v>
      </c>
    </row>
    <row r="3006" customFormat="false" ht="15" hidden="false" customHeight="false" outlineLevel="0" collapsed="false">
      <c r="B3006" s="4" t="n">
        <v>26707675</v>
      </c>
      <c r="C3006" s="4" t="s">
        <v>2971</v>
      </c>
      <c r="D3006" s="4" t="s">
        <v>433</v>
      </c>
      <c r="E3006" s="4" t="s">
        <v>3777</v>
      </c>
      <c r="F3006" s="127" t="n">
        <v>46652</v>
      </c>
      <c r="G3006" s="127" t="n">
        <v>46665</v>
      </c>
      <c r="H3006" s="127" t="n">
        <v>46293</v>
      </c>
      <c r="I3006" s="4" t="n">
        <v>0</v>
      </c>
      <c r="J3006" s="4" t="n">
        <v>0</v>
      </c>
      <c r="K3006" s="4" t="n">
        <v>0</v>
      </c>
      <c r="M3006" s="2" t="str">
        <f aca="false">IF(C3006="","",IFERROR(INDEX($S$5:$S$304,MATCH(C3006,$R$5:$R$304,0))&amp;"","?"))</f>
        <v>37</v>
      </c>
      <c r="N3006" s="2" t="n">
        <f aca="false">IF(E3006="","",IF(ISNUMBER(SEARCH("SUBSOLO",E3006)),IFERROR(-VALUE(LEFT(E3006,FIND("º",SUBSTITUTE(E3006,"°","º"))-1)),-1),IF(LEFT(E3006,6)="TÉRREO",0,IFERROR(VALUE(LEFT(E3006,FIND("º",SUBSTITUTE(E3006,"°","º"))-1)),""))))</f>
        <v>1</v>
      </c>
      <c r="O3006" s="2" t="str">
        <f aca="false">IF(OR(F3006="",G3006=""),"",IF(G3006&lt;='RETRATO 2027'!$K$5,"CONCLUÍDA",IF(F3006&lt;='RETRATO 2027'!$K$5,"EM ANDAMENTO","A INICIAR")))</f>
        <v>CONCLUÍDA</v>
      </c>
    </row>
    <row r="3007" customFormat="false" ht="15" hidden="false" customHeight="false" outlineLevel="0" collapsed="false">
      <c r="B3007" s="4" t="n">
        <v>26745037</v>
      </c>
      <c r="C3007" s="4" t="s">
        <v>3032</v>
      </c>
      <c r="D3007" s="4" t="s">
        <v>433</v>
      </c>
      <c r="E3007" s="4" t="s">
        <v>3801</v>
      </c>
      <c r="F3007" s="127" t="n">
        <v>46652</v>
      </c>
      <c r="G3007" s="127" t="n">
        <v>46661</v>
      </c>
      <c r="H3007" s="127" t="n">
        <v>46293</v>
      </c>
      <c r="I3007" s="4" t="n">
        <v>0</v>
      </c>
      <c r="J3007" s="4" t="n">
        <v>0</v>
      </c>
      <c r="K3007" s="4" t="n">
        <v>0</v>
      </c>
      <c r="M3007" s="2" t="str">
        <f aca="false">IF(C3007="","",IFERROR(INDEX($S$5:$S$304,MATCH(C3007,$R$5:$R$304,0))&amp;"","?"))</f>
        <v>35</v>
      </c>
      <c r="N3007" s="2" t="n">
        <f aca="false">IF(E3007="","",IF(ISNUMBER(SEARCH("SUBSOLO",E3007)),IFERROR(-VALUE(LEFT(E3007,FIND("º",SUBSTITUTE(E3007,"°","º"))-1)),-1),IF(LEFT(E3007,6)="TÉRREO",0,IFERROR(VALUE(LEFT(E3007,FIND("º",SUBSTITUTE(E3007,"°","º"))-1)),""))))</f>
        <v>1</v>
      </c>
      <c r="O3007" s="2" t="str">
        <f aca="false">IF(OR(F3007="",G3007=""),"",IF(G3007&lt;='RETRATO 2027'!$K$5,"CONCLUÍDA",IF(F3007&lt;='RETRATO 2027'!$K$5,"EM ANDAMENTO","A INICIAR")))</f>
        <v>CONCLUÍDA</v>
      </c>
    </row>
    <row r="3008" customFormat="false" ht="15" hidden="false" customHeight="false" outlineLevel="0" collapsed="false">
      <c r="B3008" s="4" t="n">
        <v>26707593</v>
      </c>
      <c r="C3008" s="4" t="s">
        <v>2869</v>
      </c>
      <c r="D3008" s="4" t="s">
        <v>433</v>
      </c>
      <c r="E3008" s="4" t="s">
        <v>3815</v>
      </c>
      <c r="F3008" s="127" t="n">
        <v>46652</v>
      </c>
      <c r="G3008" s="127" t="n">
        <v>46673</v>
      </c>
      <c r="H3008" s="127" t="n">
        <v>46293</v>
      </c>
      <c r="I3008" s="4" t="n">
        <v>0</v>
      </c>
      <c r="J3008" s="4" t="n">
        <v>0</v>
      </c>
      <c r="K3008" s="4" t="n">
        <v>0</v>
      </c>
      <c r="M3008" s="2" t="str">
        <f aca="false">IF(C3008="","",IFERROR(INDEX($S$5:$S$304,MATCH(C3008,$R$5:$R$304,0))&amp;"","?"))</f>
        <v>22</v>
      </c>
      <c r="N3008" s="2" t="n">
        <f aca="false">IF(E3008="","",IF(ISNUMBER(SEARCH("SUBSOLO",E3008)),IFERROR(-VALUE(LEFT(E3008,FIND("º",SUBSTITUTE(E3008,"°","º"))-1)),-1),IF(LEFT(E3008,6)="TÉRREO",0,IFERROR(VALUE(LEFT(E3008,FIND("º",SUBSTITUTE(E3008,"°","º"))-1)),""))))</f>
        <v>2</v>
      </c>
      <c r="O3008" s="2" t="str">
        <f aca="false">IF(OR(F3008="",G3008=""),"",IF(G3008&lt;='RETRATO 2027'!$K$5,"CONCLUÍDA",IF(F3008&lt;='RETRATO 2027'!$K$5,"EM ANDAMENTO","A INICIAR")))</f>
        <v>CONCLUÍDA</v>
      </c>
    </row>
    <row r="3009" customFormat="false" ht="15" hidden="false" customHeight="false" outlineLevel="0" collapsed="false">
      <c r="B3009" s="4" t="n">
        <v>26707573</v>
      </c>
      <c r="C3009" s="4" t="s">
        <v>163</v>
      </c>
      <c r="D3009" s="4" t="s">
        <v>433</v>
      </c>
      <c r="E3009" s="4" t="s">
        <v>3822</v>
      </c>
      <c r="F3009" s="127" t="n">
        <v>46652</v>
      </c>
      <c r="G3009" s="127" t="n">
        <v>46682</v>
      </c>
      <c r="H3009" s="127" t="n">
        <v>46293</v>
      </c>
      <c r="I3009" s="4" t="n">
        <v>0</v>
      </c>
      <c r="J3009" s="4" t="n">
        <v>0</v>
      </c>
      <c r="K3009" s="4" t="n">
        <v>0</v>
      </c>
      <c r="M3009" s="2" t="str">
        <f aca="false">IF(C3009="","",IFERROR(INDEX($S$5:$S$304,MATCH(C3009,$R$5:$R$304,0))&amp;"","?"))</f>
        <v>18</v>
      </c>
      <c r="N3009" s="2" t="n">
        <f aca="false">IF(E3009="","",IF(ISNUMBER(SEARCH("SUBSOLO",E3009)),IFERROR(-VALUE(LEFT(E3009,FIND("º",SUBSTITUTE(E3009,"°","º"))-1)),-1),IF(LEFT(E3009,6)="TÉRREO",0,IFERROR(VALUE(LEFT(E3009,FIND("º",SUBSTITUTE(E3009,"°","º"))-1)),""))))</f>
        <v>2</v>
      </c>
      <c r="O3009" s="2" t="str">
        <f aca="false">IF(OR(F3009="",G3009=""),"",IF(G3009&lt;='RETRATO 2027'!$K$5,"CONCLUÍDA",IF(F3009&lt;='RETRATO 2027'!$K$5,"EM ANDAMENTO","A INICIAR")))</f>
        <v>CONCLUÍDA</v>
      </c>
    </row>
    <row r="3010" customFormat="false" ht="15" hidden="false" customHeight="false" outlineLevel="0" collapsed="false">
      <c r="B3010" s="4" t="n">
        <v>26744706</v>
      </c>
      <c r="C3010" s="4" t="s">
        <v>2974</v>
      </c>
      <c r="D3010" s="4" t="s">
        <v>433</v>
      </c>
      <c r="E3010" s="4" t="s">
        <v>3810</v>
      </c>
      <c r="F3010" s="127" t="n">
        <v>46653</v>
      </c>
      <c r="G3010" s="127" t="n">
        <v>46666</v>
      </c>
      <c r="H3010" s="127" t="n">
        <v>46293</v>
      </c>
      <c r="I3010" s="4" t="n">
        <v>0</v>
      </c>
      <c r="J3010" s="4" t="n">
        <v>0</v>
      </c>
      <c r="K3010" s="4" t="n">
        <v>0</v>
      </c>
      <c r="M3010" s="2" t="str">
        <f aca="false">IF(C3010="","",IFERROR(INDEX($S$5:$S$304,MATCH(C3010,$R$5:$R$304,0))&amp;"","?"))</f>
        <v>21</v>
      </c>
      <c r="N3010" s="2" t="n">
        <f aca="false">IF(E3010="","",IF(ISNUMBER(SEARCH("SUBSOLO",E3010)),IFERROR(-VALUE(LEFT(E3010,FIND("º",SUBSTITUTE(E3010,"°","º"))-1)),-1),IF(LEFT(E3010,6)="TÉRREO",0,IFERROR(VALUE(LEFT(E3010,FIND("º",SUBSTITUTE(E3010,"°","º"))-1)),""))))</f>
        <v>3</v>
      </c>
      <c r="O3010" s="2" t="str">
        <f aca="false">IF(OR(F3010="",G3010=""),"",IF(G3010&lt;='RETRATO 2027'!$K$5,"CONCLUÍDA",IF(F3010&lt;='RETRATO 2027'!$K$5,"EM ANDAMENTO","A INICIAR")))</f>
        <v>CONCLUÍDA</v>
      </c>
    </row>
    <row r="3011" customFormat="false" ht="15" hidden="false" customHeight="false" outlineLevel="0" collapsed="false">
      <c r="B3011" s="4" t="n">
        <v>26742748</v>
      </c>
      <c r="C3011" s="4" t="s">
        <v>2814</v>
      </c>
      <c r="D3011" s="4" t="s">
        <v>433</v>
      </c>
      <c r="E3011" s="4" t="s">
        <v>3802</v>
      </c>
      <c r="F3011" s="127" t="n">
        <v>46653</v>
      </c>
      <c r="G3011" s="127" t="n">
        <v>46660</v>
      </c>
      <c r="H3011" s="127" t="n">
        <v>46293</v>
      </c>
      <c r="I3011" s="4" t="n">
        <v>0</v>
      </c>
      <c r="J3011" s="4" t="n">
        <v>0</v>
      </c>
      <c r="K3011" s="4" t="n">
        <v>0</v>
      </c>
      <c r="M3011" s="2" t="str">
        <f aca="false">IF(C3011="","",IFERROR(INDEX($S$5:$S$304,MATCH(C3011,$R$5:$R$304,0))&amp;"","?"))</f>
        <v>28</v>
      </c>
      <c r="N3011" s="2" t="n">
        <f aca="false">IF(E3011="","",IF(ISNUMBER(SEARCH("SUBSOLO",E3011)),IFERROR(-VALUE(LEFT(E3011,FIND("º",SUBSTITUTE(E3011,"°","º"))-1)),-1),IF(LEFT(E3011,6)="TÉRREO",0,IFERROR(VALUE(LEFT(E3011,FIND("º",SUBSTITUTE(E3011,"°","º"))-1)),""))))</f>
        <v>28</v>
      </c>
      <c r="O3011" s="2" t="str">
        <f aca="false">IF(OR(F3011="",G3011=""),"",IF(G3011&lt;='RETRATO 2027'!$K$5,"CONCLUÍDA",IF(F3011&lt;='RETRATO 2027'!$K$5,"EM ANDAMENTO","A INICIAR")))</f>
        <v>CONCLUÍDA</v>
      </c>
    </row>
    <row r="3012" customFormat="false" ht="15" hidden="false" customHeight="false" outlineLevel="0" collapsed="false">
      <c r="B3012" s="4" t="n">
        <v>26742717</v>
      </c>
      <c r="C3012" s="4" t="s">
        <v>2914</v>
      </c>
      <c r="D3012" s="4" t="s">
        <v>433</v>
      </c>
      <c r="E3012" s="4" t="s">
        <v>3803</v>
      </c>
      <c r="F3012" s="127" t="n">
        <v>46653</v>
      </c>
      <c r="G3012" s="127" t="n">
        <v>46664</v>
      </c>
      <c r="H3012" s="127" t="n">
        <v>46293</v>
      </c>
      <c r="I3012" s="4" t="n">
        <v>0</v>
      </c>
      <c r="J3012" s="4" t="n">
        <v>0</v>
      </c>
      <c r="K3012" s="4" t="n">
        <v>0</v>
      </c>
      <c r="M3012" s="2" t="str">
        <f aca="false">IF(C3012="","",IFERROR(INDEX($S$5:$S$304,MATCH(C3012,$R$5:$R$304,0))&amp;"","?"))</f>
        <v>21</v>
      </c>
      <c r="N3012" s="2" t="n">
        <f aca="false">IF(E3012="","",IF(ISNUMBER(SEARCH("SUBSOLO",E3012)),IFERROR(-VALUE(LEFT(E3012,FIND("º",SUBSTITUTE(E3012,"°","º"))-1)),-1),IF(LEFT(E3012,6)="TÉRREO",0,IFERROR(VALUE(LEFT(E3012,FIND("º",SUBSTITUTE(E3012,"°","º"))-1)),""))))</f>
        <v>29</v>
      </c>
      <c r="O3012" s="2" t="str">
        <f aca="false">IF(OR(F3012="",G3012=""),"",IF(G3012&lt;='RETRATO 2027'!$K$5,"CONCLUÍDA",IF(F3012&lt;='RETRATO 2027'!$K$5,"EM ANDAMENTO","A INICIAR")))</f>
        <v>CONCLUÍDA</v>
      </c>
    </row>
    <row r="3013" customFormat="false" ht="15" hidden="false" customHeight="false" outlineLevel="0" collapsed="false">
      <c r="B3013" s="4" t="n">
        <v>26744945</v>
      </c>
      <c r="C3013" s="4" t="s">
        <v>3021</v>
      </c>
      <c r="D3013" s="4" t="s">
        <v>433</v>
      </c>
      <c r="E3013" s="4" t="s">
        <v>3612</v>
      </c>
      <c r="F3013" s="127" t="n">
        <v>46654</v>
      </c>
      <c r="G3013" s="127" t="n">
        <v>46664</v>
      </c>
      <c r="H3013" s="127" t="n">
        <v>46293</v>
      </c>
      <c r="I3013" s="4" t="n">
        <v>0</v>
      </c>
      <c r="J3013" s="4" t="n">
        <v>0</v>
      </c>
      <c r="K3013" s="4" t="n">
        <v>0</v>
      </c>
      <c r="M3013" s="2" t="str">
        <f aca="false">IF(C3013="","",IFERROR(INDEX($S$5:$S$304,MATCH(C3013,$R$5:$R$304,0))&amp;"","?"))</f>
        <v>35</v>
      </c>
      <c r="N3013" s="2" t="n">
        <f aca="false">IF(E3013="","",IF(ISNUMBER(SEARCH("SUBSOLO",E3013)),IFERROR(-VALUE(LEFT(E3013,FIND("º",SUBSTITUTE(E3013,"°","º"))-1)),-1),IF(LEFT(E3013,6)="TÉRREO",0,IFERROR(VALUE(LEFT(E3013,FIND("º",SUBSTITUTE(E3013,"°","º"))-1)),""))))</f>
        <v>-1</v>
      </c>
      <c r="O3013" s="2" t="str">
        <f aca="false">IF(OR(F3013="",G3013=""),"",IF(G3013&lt;='RETRATO 2027'!$K$5,"CONCLUÍDA",IF(F3013&lt;='RETRATO 2027'!$K$5,"EM ANDAMENTO","A INICIAR")))</f>
        <v>CONCLUÍDA</v>
      </c>
    </row>
    <row r="3014" customFormat="false" ht="15" hidden="false" customHeight="false" outlineLevel="0" collapsed="false">
      <c r="B3014" s="4" t="n">
        <v>26743701</v>
      </c>
      <c r="C3014" s="4" t="s">
        <v>3006</v>
      </c>
      <c r="D3014" s="4" t="s">
        <v>433</v>
      </c>
      <c r="E3014" s="4" t="s">
        <v>3482</v>
      </c>
      <c r="F3014" s="127" t="n">
        <v>46654</v>
      </c>
      <c r="G3014" s="127" t="n">
        <v>46675</v>
      </c>
      <c r="H3014" s="127" t="n">
        <v>46293</v>
      </c>
      <c r="I3014" s="4" t="n">
        <v>0</v>
      </c>
      <c r="J3014" s="4" t="n">
        <v>0</v>
      </c>
      <c r="K3014" s="4" t="n">
        <v>0</v>
      </c>
      <c r="M3014" s="2" t="str">
        <f aca="false">IF(C3014="","",IFERROR(INDEX($S$5:$S$304,MATCH(C3014,$R$5:$R$304,0))&amp;"","?"))</f>
        <v>37</v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>CONCLUÍDA</v>
      </c>
    </row>
    <row r="3015" customFormat="false" ht="15" hidden="false" customHeight="false" outlineLevel="0" collapsed="false">
      <c r="B3015" s="4" t="n">
        <v>26708181</v>
      </c>
      <c r="C3015" s="4" t="s">
        <v>2814</v>
      </c>
      <c r="D3015" s="4" t="s">
        <v>433</v>
      </c>
      <c r="E3015" s="4" t="s">
        <v>3628</v>
      </c>
      <c r="F3015" s="127" t="n">
        <v>46657</v>
      </c>
      <c r="G3015" s="127" t="n">
        <v>46666</v>
      </c>
      <c r="H3015" s="127" t="n">
        <v>46293</v>
      </c>
      <c r="I3015" s="4" t="n">
        <v>0</v>
      </c>
      <c r="J3015" s="4" t="n">
        <v>0</v>
      </c>
      <c r="K3015" s="4" t="n">
        <v>0</v>
      </c>
      <c r="M3015" s="2" t="str">
        <f aca="false">IF(C3015="","",IFERROR(INDEX($S$5:$S$304,MATCH(C3015,$R$5:$R$304,0))&amp;"","?"))</f>
        <v>28</v>
      </c>
      <c r="N3015" s="2" t="n">
        <f aca="false">IF(E3015="","",IF(ISNUMBER(SEARCH("SUBSOLO",E3015)),IFERROR(-VALUE(LEFT(E3015,FIND("º",SUBSTITUTE(E3015,"°","º"))-1)),-1),IF(LEFT(E3015,6)="TÉRREO",0,IFERROR(VALUE(LEFT(E3015,FIND("º",SUBSTITUTE(E3015,"°","º"))-1)),""))))</f>
        <v>-6</v>
      </c>
      <c r="O3015" s="2" t="str">
        <f aca="false">IF(OR(F3015="",G3015=""),"",IF(G3015&lt;='RETRATO 2027'!$K$5,"CONCLUÍDA",IF(F3015&lt;='RETRATO 2027'!$K$5,"EM ANDAMENTO","A INICIAR")))</f>
        <v>CONCLUÍDA</v>
      </c>
    </row>
    <row r="3016" customFormat="false" ht="15" hidden="false" customHeight="false" outlineLevel="0" collapsed="false">
      <c r="B3016" s="4" t="n">
        <v>26708147</v>
      </c>
      <c r="C3016" s="4" t="s">
        <v>2914</v>
      </c>
      <c r="D3016" s="4" t="s">
        <v>433</v>
      </c>
      <c r="E3016" s="4" t="s">
        <v>3813</v>
      </c>
      <c r="F3016" s="127" t="n">
        <v>46657</v>
      </c>
      <c r="G3016" s="127" t="n">
        <v>46666</v>
      </c>
      <c r="H3016" s="127" t="n">
        <v>46293</v>
      </c>
      <c r="I3016" s="4" t="n">
        <v>0</v>
      </c>
      <c r="J3016" s="4" t="n">
        <v>0</v>
      </c>
      <c r="K3016" s="4" t="n">
        <v>0</v>
      </c>
      <c r="M3016" s="2" t="str">
        <f aca="false">IF(C3016="","",IFERROR(INDEX($S$5:$S$304,MATCH(C3016,$R$5:$R$304,0))&amp;"","?"))</f>
        <v>21</v>
      </c>
      <c r="N3016" s="2" t="n">
        <f aca="false">IF(E3016="","",IF(ISNUMBER(SEARCH("SUBSOLO",E3016)),IFERROR(-VALUE(LEFT(E3016,FIND("º",SUBSTITUTE(E3016,"°","º"))-1)),-1),IF(LEFT(E3016,6)="TÉRREO",0,IFERROR(VALUE(LEFT(E3016,FIND("º",SUBSTITUTE(E3016,"°","º"))-1)),""))))</f>
        <v>-6</v>
      </c>
      <c r="O3016" s="2" t="str">
        <f aca="false">IF(OR(F3016="",G3016=""),"",IF(G3016&lt;='RETRATO 2027'!$K$5,"CONCLUÍDA",IF(F3016&lt;='RETRATO 2027'!$K$5,"EM ANDAMENTO","A INICIAR")))</f>
        <v>CONCLUÍDA</v>
      </c>
    </row>
    <row r="3017" customFormat="false" ht="15" hidden="false" customHeight="false" outlineLevel="0" collapsed="false">
      <c r="B3017" s="4" t="n">
        <v>26750575</v>
      </c>
      <c r="C3017" s="4" t="s">
        <v>2935</v>
      </c>
      <c r="D3017" s="4" t="s">
        <v>433</v>
      </c>
      <c r="E3017" s="4" t="s">
        <v>3814</v>
      </c>
      <c r="F3017" s="127" t="n">
        <v>46658</v>
      </c>
      <c r="G3017" s="127" t="n">
        <v>46667</v>
      </c>
      <c r="H3017" s="127" t="n">
        <v>46293</v>
      </c>
      <c r="I3017" s="4" t="n">
        <v>0</v>
      </c>
      <c r="J3017" s="4" t="n">
        <v>0</v>
      </c>
      <c r="K3017" s="4" t="n">
        <v>0</v>
      </c>
      <c r="M3017" s="2" t="str">
        <f aca="false">IF(C3017="","",IFERROR(INDEX($S$5:$S$304,MATCH(C3017,$R$5:$R$304,0))&amp;"","?"))</f>
        <v>30</v>
      </c>
      <c r="N3017" s="2" t="n">
        <f aca="false">IF(E3017="","",IF(ISNUMBER(SEARCH("SUBSOLO",E3017)),IFERROR(-VALUE(LEFT(E3017,FIND("º",SUBSTITUTE(E3017,"°","º"))-1)),-1),IF(LEFT(E3017,6)="TÉRREO",0,IFERROR(VALUE(LEFT(E3017,FIND("º",SUBSTITUTE(E3017,"°","º"))-1)),""))))</f>
        <v>-6</v>
      </c>
      <c r="O3017" s="2" t="str">
        <f aca="false">IF(OR(F3017="",G3017=""),"",IF(G3017&lt;='RETRATO 2027'!$K$5,"CONCLUÍDA",IF(F3017&lt;='RETRATO 2027'!$K$5,"EM ANDAMENTO","A INICIAR")))</f>
        <v>CONCLUÍDA</v>
      </c>
    </row>
    <row r="3018" customFormat="false" ht="15" hidden="false" customHeight="false" outlineLevel="0" collapsed="false">
      <c r="B3018" s="4" t="n">
        <v>26744999</v>
      </c>
      <c r="C3018" s="4" t="s">
        <v>2814</v>
      </c>
      <c r="D3018" s="4" t="s">
        <v>433</v>
      </c>
      <c r="E3018" s="4" t="s">
        <v>3816</v>
      </c>
      <c r="F3018" s="127" t="n">
        <v>46658</v>
      </c>
      <c r="G3018" s="127" t="n">
        <v>46666</v>
      </c>
      <c r="H3018" s="127" t="n">
        <v>46293</v>
      </c>
      <c r="I3018" s="4" t="n">
        <v>0</v>
      </c>
      <c r="J3018" s="4" t="n">
        <v>0</v>
      </c>
      <c r="K3018" s="4" t="n">
        <v>0</v>
      </c>
      <c r="M3018" s="2" t="str">
        <f aca="false">IF(C3018="","",IFERROR(INDEX($S$5:$S$304,MATCH(C3018,$R$5:$R$304,0))&amp;"","?"))</f>
        <v>28</v>
      </c>
      <c r="N3018" s="2" t="n">
        <f aca="false">IF(E3018="","",IF(ISNUMBER(SEARCH("SUBSOLO",E3018)),IFERROR(-VALUE(LEFT(E3018,FIND("º",SUBSTITUTE(E3018,"°","º"))-1)),-1),IF(LEFT(E3018,6)="TÉRREO",0,IFERROR(VALUE(LEFT(E3018,FIND("º",SUBSTITUTE(E3018,"°","º"))-1)),""))))</f>
        <v>-6</v>
      </c>
      <c r="O3018" s="2" t="str">
        <f aca="false">IF(OR(F3018="",G3018=""),"",IF(G3018&lt;='RETRATO 2027'!$K$5,"CONCLUÍDA",IF(F3018&lt;='RETRATO 2027'!$K$5,"EM ANDAMENTO","A INICIAR")))</f>
        <v>CONCLUÍDA</v>
      </c>
    </row>
    <row r="3019" customFormat="false" ht="15" hidden="false" customHeight="false" outlineLevel="0" collapsed="false">
      <c r="B3019" s="4" t="n">
        <v>26743750</v>
      </c>
      <c r="C3019" s="4" t="s">
        <v>3018</v>
      </c>
      <c r="D3019" s="4" t="s">
        <v>433</v>
      </c>
      <c r="E3019" s="4" t="s">
        <v>3375</v>
      </c>
      <c r="F3019" s="127" t="n">
        <v>46658</v>
      </c>
      <c r="G3019" s="127" t="n">
        <v>46688</v>
      </c>
      <c r="H3019" s="127" t="n">
        <v>46293</v>
      </c>
      <c r="I3019" s="4" t="n">
        <v>0</v>
      </c>
      <c r="J3019" s="4" t="n">
        <v>0</v>
      </c>
      <c r="K3019" s="4" t="n">
        <v>0</v>
      </c>
      <c r="M3019" s="2" t="str">
        <f aca="false">IF(C3019="","",IFERROR(INDEX($S$5:$S$304,MATCH(C3019,$R$5:$R$304,0))&amp;"","?"))</f>
        <v>30</v>
      </c>
      <c r="N3019" s="2" t="n">
        <f aca="false">IF(E3019="","",IF(ISNUMBER(SEARCH("SUBSOLO",E3019)),IFERROR(-VALUE(LEFT(E3019,FIND("º",SUBSTITUTE(E3019,"°","º"))-1)),-1),IF(LEFT(E3019,6)="TÉRREO",0,IFERROR(VALUE(LEFT(E3019,FIND("º",SUBSTITUTE(E3019,"°","º"))-1)),""))))</f>
        <v>-3</v>
      </c>
      <c r="O3019" s="2" t="str">
        <f aca="false">IF(OR(F3019="",G3019=""),"",IF(G3019&lt;='RETRATO 2027'!$K$5,"CONCLUÍDA",IF(F3019&lt;='RETRATO 2027'!$K$5,"EM ANDAMENTO","A INICIAR")))</f>
        <v>CONCLUÍDA</v>
      </c>
    </row>
    <row r="3020" customFormat="false" ht="15" hidden="false" customHeight="false" outlineLevel="0" collapsed="false">
      <c r="B3020" s="4" t="n">
        <v>26744952</v>
      </c>
      <c r="C3020" s="4" t="s">
        <v>3003</v>
      </c>
      <c r="D3020" s="4" t="s">
        <v>433</v>
      </c>
      <c r="E3020" s="4" t="s">
        <v>3671</v>
      </c>
      <c r="F3020" s="127" t="n">
        <v>46658</v>
      </c>
      <c r="G3020" s="127" t="n">
        <v>46667</v>
      </c>
      <c r="H3020" s="127" t="n">
        <v>46293</v>
      </c>
      <c r="I3020" s="4" t="n">
        <v>0</v>
      </c>
      <c r="J3020" s="4" t="n">
        <v>0</v>
      </c>
      <c r="K3020" s="4" t="n">
        <v>0</v>
      </c>
      <c r="M3020" s="2" t="str">
        <f aca="false">IF(C3020="","",IFERROR(INDEX($S$5:$S$304,MATCH(C3020,$R$5:$R$304,0))&amp;"","?"))</f>
        <v>20</v>
      </c>
      <c r="N3020" s="2" t="n">
        <f aca="false">IF(E3020="","",IF(ISNUMBER(SEARCH("SUBSOLO",E3020)),IFERROR(-VALUE(LEFT(E3020,FIND("º",SUBSTITUTE(E3020,"°","º"))-1)),-1),IF(LEFT(E3020,6)="TÉRREO",0,IFERROR(VALUE(LEFT(E3020,FIND("º",SUBSTITUTE(E3020,"°","º"))-1)),""))))</f>
        <v>-3</v>
      </c>
      <c r="O3020" s="2" t="str">
        <f aca="false">IF(OR(F3020="",G3020=""),"",IF(G3020&lt;='RETRATO 2027'!$K$5,"CONCLUÍDA",IF(F3020&lt;='RETRATO 2027'!$K$5,"EM ANDAMENTO","A INICIAR")))</f>
        <v>CONCLUÍDA</v>
      </c>
    </row>
    <row r="3021" customFormat="false" ht="15" hidden="false" customHeight="false" outlineLevel="0" collapsed="false">
      <c r="B3021" s="4" t="n">
        <v>26750549</v>
      </c>
      <c r="C3021" s="4" t="s">
        <v>2938</v>
      </c>
      <c r="D3021" s="4" t="s">
        <v>433</v>
      </c>
      <c r="E3021" s="4" t="s">
        <v>3676</v>
      </c>
      <c r="F3021" s="127" t="n">
        <v>46658</v>
      </c>
      <c r="G3021" s="127" t="n">
        <v>46664</v>
      </c>
      <c r="H3021" s="127" t="n">
        <v>46293</v>
      </c>
      <c r="I3021" s="4" t="n">
        <v>0</v>
      </c>
      <c r="J3021" s="4" t="n">
        <v>0</v>
      </c>
      <c r="K3021" s="4" t="n">
        <v>0</v>
      </c>
      <c r="M3021" s="2" t="str">
        <f aca="false">IF(C3021="","",IFERROR(INDEX($S$5:$S$304,MATCH(C3021,$R$5:$R$304,0))&amp;"","?"))</f>
        <v>30</v>
      </c>
      <c r="N3021" s="2" t="n">
        <f aca="false">IF(E3021="","",IF(ISNUMBER(SEARCH("SUBSOLO",E3021)),IFERROR(-VALUE(LEFT(E3021,FIND("º",SUBSTITUTE(E3021,"°","º"))-1)),-1),IF(LEFT(E3021,6)="TÉRREO",0,IFERROR(VALUE(LEFT(E3021,FIND("º",SUBSTITUTE(E3021,"°","º"))-1)),""))))</f>
        <v>-3</v>
      </c>
      <c r="O3021" s="2" t="str">
        <f aca="false">IF(OR(F3021="",G3021=""),"",IF(G3021&lt;='RETRATO 2027'!$K$5,"CONCLUÍDA",IF(F3021&lt;='RETRATO 2027'!$K$5,"EM ANDAMENTO","A INICIAR")))</f>
        <v>CONCLUÍDA</v>
      </c>
    </row>
    <row r="3022" customFormat="false" ht="15" hidden="false" customHeight="false" outlineLevel="0" collapsed="false">
      <c r="B3022" s="4" t="n">
        <v>26743734</v>
      </c>
      <c r="C3022" s="4" t="s">
        <v>214</v>
      </c>
      <c r="D3022" s="4" t="s">
        <v>433</v>
      </c>
      <c r="E3022" s="4" t="s">
        <v>3449</v>
      </c>
      <c r="F3022" s="127" t="n">
        <v>46658</v>
      </c>
      <c r="G3022" s="127" t="n">
        <v>46688</v>
      </c>
      <c r="H3022" s="127" t="n">
        <v>46293</v>
      </c>
      <c r="I3022" s="4" t="n">
        <v>0</v>
      </c>
      <c r="J3022" s="4" t="n">
        <v>0</v>
      </c>
      <c r="K3022" s="4" t="n">
        <v>0</v>
      </c>
      <c r="M3022" s="2" t="str">
        <f aca="false">IF(C3022="","",IFERROR(INDEX($S$5:$S$304,MATCH(C3022,$R$5:$R$304,0))&amp;"","?"))</f>
        <v>35</v>
      </c>
      <c r="N3022" s="2" t="n">
        <f aca="false">IF(E3022="","",IF(ISNUMBER(SEARCH("SUBSOLO",E3022)),IFERROR(-VALUE(LEFT(E3022,FIND("º",SUBSTITUTE(E3022,"°","º"))-1)),-1),IF(LEFT(E3022,6)="TÉRREO",0,IFERROR(VALUE(LEFT(E3022,FIND("º",SUBSTITUTE(E3022,"°","º"))-1)),""))))</f>
        <v>-2</v>
      </c>
      <c r="O3022" s="2" t="str">
        <f aca="false">IF(OR(F3022="",G3022=""),"",IF(G3022&lt;='RETRATO 2027'!$K$5,"CONCLUÍDA",IF(F3022&lt;='RETRATO 2027'!$K$5,"EM ANDAMENTO","A INICIAR")))</f>
        <v>CONCLUÍDA</v>
      </c>
    </row>
    <row r="3023" customFormat="false" ht="15" hidden="false" customHeight="false" outlineLevel="0" collapsed="false">
      <c r="B3023" s="4" t="n">
        <v>26750528</v>
      </c>
      <c r="C3023" s="4" t="s">
        <v>3055</v>
      </c>
      <c r="D3023" s="4" t="s">
        <v>433</v>
      </c>
      <c r="E3023" s="4" t="s">
        <v>3597</v>
      </c>
      <c r="F3023" s="127" t="n">
        <v>46658</v>
      </c>
      <c r="G3023" s="127" t="n">
        <v>46667</v>
      </c>
      <c r="H3023" s="127" t="n">
        <v>46293</v>
      </c>
      <c r="I3023" s="4" t="n">
        <v>0</v>
      </c>
      <c r="J3023" s="4" t="n">
        <v>0</v>
      </c>
      <c r="K3023" s="4" t="n">
        <v>0</v>
      </c>
      <c r="M3023" s="2" t="str">
        <f aca="false">IF(C3023="","",IFERROR(INDEX($S$5:$S$304,MATCH(C3023,$R$5:$R$304,0))&amp;"","?"))</f>
        <v>25</v>
      </c>
      <c r="N3023" s="2" t="n">
        <f aca="false">IF(E3023="","",IF(ISNUMBER(SEARCH("SUBSOLO",E3023)),IFERROR(-VALUE(LEFT(E3023,FIND("º",SUBSTITUTE(E3023,"°","º"))-1)),-1),IF(LEFT(E3023,6)="TÉRREO",0,IFERROR(VALUE(LEFT(E3023,FIND("º",SUBSTITUTE(E3023,"°","º"))-1)),""))))</f>
        <v>-2</v>
      </c>
      <c r="O3023" s="2" t="str">
        <f aca="false">IF(OR(F3023="",G3023=""),"",IF(G3023&lt;='RETRATO 2027'!$K$5,"CONCLUÍDA",IF(F3023&lt;='RETRATO 2027'!$K$5,"EM ANDAMENTO","A INICIAR")))</f>
        <v>CONCLUÍDA</v>
      </c>
    </row>
    <row r="3024" customFormat="false" ht="15" hidden="false" customHeight="false" outlineLevel="0" collapsed="false">
      <c r="B3024" s="4" t="n">
        <v>26743726</v>
      </c>
      <c r="C3024" s="4" t="s">
        <v>2983</v>
      </c>
      <c r="D3024" s="4" t="s">
        <v>433</v>
      </c>
      <c r="E3024" s="4" t="s">
        <v>3466</v>
      </c>
      <c r="F3024" s="127" t="n">
        <v>46658</v>
      </c>
      <c r="G3024" s="127" t="n">
        <v>46686</v>
      </c>
      <c r="H3024" s="127" t="n">
        <v>46293</v>
      </c>
      <c r="I3024" s="4" t="n">
        <v>0</v>
      </c>
      <c r="J3024" s="4" t="n">
        <v>0</v>
      </c>
      <c r="K3024" s="4" t="n">
        <v>0</v>
      </c>
      <c r="M3024" s="2" t="str">
        <f aca="false">IF(C3024="","",IFERROR(INDEX($S$5:$S$304,MATCH(C3024,$R$5:$R$304,0))&amp;"","?"))</f>
        <v>20</v>
      </c>
      <c r="N3024" s="2" t="n">
        <f aca="false">IF(E3024="","",IF(ISNUMBER(SEARCH("SUBSOLO",E3024)),IFERROR(-VALUE(LEFT(E3024,FIND("º",SUBSTITUTE(E3024,"°","º"))-1)),-1),IF(LEFT(E3024,6)="TÉRREO",0,IFERROR(VALUE(LEFT(E3024,FIND("º",SUBSTITUTE(E3024,"°","º"))-1)),""))))</f>
        <v>-1</v>
      </c>
      <c r="O3024" s="2" t="str">
        <f aca="false">IF(OR(F3024="",G3024=""),"",IF(G3024&lt;='RETRATO 2027'!$K$5,"CONCLUÍDA",IF(F3024&lt;='RETRATO 2027'!$K$5,"EM ANDAMENTO","A INICIAR")))</f>
        <v>CONCLUÍDA</v>
      </c>
    </row>
    <row r="3025" customFormat="false" ht="15" hidden="false" customHeight="false" outlineLevel="0" collapsed="false">
      <c r="B3025" s="4" t="n">
        <v>29845885</v>
      </c>
      <c r="C3025" s="4" t="s">
        <v>2986</v>
      </c>
      <c r="D3025" s="4" t="s">
        <v>433</v>
      </c>
      <c r="E3025" s="4" t="s">
        <v>3466</v>
      </c>
      <c r="F3025" s="127" t="n">
        <v>46658</v>
      </c>
      <c r="G3025" s="127" t="n">
        <v>46664</v>
      </c>
      <c r="H3025" s="127" t="n">
        <v>46293</v>
      </c>
      <c r="I3025" s="4" t="n">
        <v>0</v>
      </c>
      <c r="J3025" s="4" t="n">
        <v>0</v>
      </c>
      <c r="K3025" s="4" t="n">
        <v>0</v>
      </c>
      <c r="M3025" s="2" t="str">
        <f aca="false">IF(C3025="","",IFERROR(INDEX($S$5:$S$304,MATCH(C3025,$R$5:$R$304,0))&amp;"","?"))</f>
        <v>20</v>
      </c>
      <c r="N3025" s="2" t="n">
        <f aca="false">IF(E3025="","",IF(ISNUMBER(SEARCH("SUBSOLO",E3025)),IFERROR(-VALUE(LEFT(E3025,FIND("º",SUBSTITUTE(E3025,"°","º"))-1)),-1),IF(LEFT(E3025,6)="TÉRREO",0,IFERROR(VALUE(LEFT(E3025,FIND("º",SUBSTITUTE(E3025,"°","º"))-1)),""))))</f>
        <v>-1</v>
      </c>
      <c r="O3025" s="2" t="str">
        <f aca="false">IF(OR(F3025="",G3025=""),"",IF(G3025&lt;='RETRATO 2027'!$K$5,"CONCLUÍDA",IF(F3025&lt;='RETRATO 2027'!$K$5,"EM ANDAMENTO","A INICIAR")))</f>
        <v>CONCLUÍDA</v>
      </c>
    </row>
    <row r="3026" customFormat="false" ht="15" hidden="false" customHeight="false" outlineLevel="0" collapsed="false">
      <c r="B3026" s="4" t="n">
        <v>36118608</v>
      </c>
      <c r="C3026" s="4" t="s">
        <v>3038</v>
      </c>
      <c r="D3026" s="4" t="s">
        <v>433</v>
      </c>
      <c r="E3026" s="4" t="s">
        <v>3466</v>
      </c>
      <c r="F3026" s="127" t="n">
        <v>46658</v>
      </c>
      <c r="G3026" s="127" t="n">
        <v>46671</v>
      </c>
      <c r="H3026" s="127" t="n">
        <v>46293</v>
      </c>
      <c r="I3026" s="4" t="n">
        <v>0</v>
      </c>
      <c r="J3026" s="4" t="n">
        <v>0</v>
      </c>
      <c r="K3026" s="4" t="n">
        <v>0</v>
      </c>
      <c r="M3026" s="2" t="str">
        <f aca="false">IF(C3026="","",IFERROR(INDEX($S$5:$S$304,MATCH(C3026,$R$5:$R$304,0))&amp;"","?"))</f>
        <v>26</v>
      </c>
      <c r="N3026" s="2" t="n">
        <f aca="false">IF(E3026="","",IF(ISNUMBER(SEARCH("SUBSOLO",E3026)),IFERROR(-VALUE(LEFT(E3026,FIND("º",SUBSTITUTE(E3026,"°","º"))-1)),-1),IF(LEFT(E3026,6)="TÉRREO",0,IFERROR(VALUE(LEFT(E3026,FIND("º",SUBSTITUTE(E3026,"°","º"))-1)),""))))</f>
        <v>-1</v>
      </c>
      <c r="O3026" s="2" t="str">
        <f aca="false">IF(OR(F3026="",G3026=""),"",IF(G3026&lt;='RETRATO 2027'!$K$5,"CONCLUÍDA",IF(F3026&lt;='RETRATO 2027'!$K$5,"EM ANDAMENTO","A INICIAR")))</f>
        <v>CONCLUÍDA</v>
      </c>
    </row>
    <row r="3027" customFormat="false" ht="15" hidden="false" customHeight="false" outlineLevel="0" collapsed="false">
      <c r="B3027" s="4" t="n">
        <v>26707592</v>
      </c>
      <c r="C3027" s="4" t="s">
        <v>2886</v>
      </c>
      <c r="D3027" s="4" t="s">
        <v>433</v>
      </c>
      <c r="E3027" s="4" t="s">
        <v>3815</v>
      </c>
      <c r="F3027" s="127" t="n">
        <v>46658</v>
      </c>
      <c r="G3027" s="127" t="n">
        <v>46679</v>
      </c>
      <c r="H3027" s="127" t="n">
        <v>46293</v>
      </c>
      <c r="I3027" s="4" t="n">
        <v>0</v>
      </c>
      <c r="J3027" s="4" t="n">
        <v>0</v>
      </c>
      <c r="K3027" s="4" t="n">
        <v>0</v>
      </c>
      <c r="M3027" s="2" t="str">
        <f aca="false">IF(C3027="","",IFERROR(INDEX($S$5:$S$304,MATCH(C3027,$R$5:$R$304,0))&amp;"","?"))</f>
        <v>21</v>
      </c>
      <c r="N3027" s="2" t="n">
        <f aca="false">IF(E3027="","",IF(ISNUMBER(SEARCH("SUBSOLO",E3027)),IFERROR(-VALUE(LEFT(E3027,FIND("º",SUBSTITUTE(E3027,"°","º"))-1)),-1),IF(LEFT(E3027,6)="TÉRREO",0,IFERROR(VALUE(LEFT(E3027,FIND("º",SUBSTITUTE(E3027,"°","º"))-1)),""))))</f>
        <v>2</v>
      </c>
      <c r="O3027" s="2" t="str">
        <f aca="false">IF(OR(F3027="",G3027=""),"",IF(G3027&lt;='RETRATO 2027'!$K$5,"CONCLUÍDA",IF(F3027&lt;='RETRATO 2027'!$K$5,"EM ANDAMENTO","A INICIAR")))</f>
        <v>CONCLUÍDA</v>
      </c>
    </row>
    <row r="3028" customFormat="false" ht="15" hidden="false" customHeight="false" outlineLevel="0" collapsed="false">
      <c r="B3028" s="4" t="n">
        <v>26743163</v>
      </c>
      <c r="C3028" s="4" t="s">
        <v>2997</v>
      </c>
      <c r="D3028" s="4" t="s">
        <v>433</v>
      </c>
      <c r="E3028" s="4" t="s">
        <v>3773</v>
      </c>
      <c r="F3028" s="127" t="n">
        <v>46658</v>
      </c>
      <c r="G3028" s="127" t="n">
        <v>46667</v>
      </c>
      <c r="H3028" s="127" t="n">
        <v>46293</v>
      </c>
      <c r="I3028" s="4" t="n">
        <v>0</v>
      </c>
      <c r="J3028" s="4" t="n">
        <v>0</v>
      </c>
      <c r="K3028" s="4" t="n">
        <v>0</v>
      </c>
      <c r="M3028" s="2" t="str">
        <f aca="false">IF(C3028="","",IFERROR(INDEX($S$5:$S$304,MATCH(C3028,$R$5:$R$304,0))&amp;"","?"))</f>
        <v>35</v>
      </c>
      <c r="N3028" s="2" t="n">
        <f aca="false">IF(E3028="","",IF(ISNUMBER(SEARCH("SUBSOLO",E3028)),IFERROR(-VALUE(LEFT(E3028,FIND("º",SUBSTITUTE(E3028,"°","º"))-1)),-1),IF(LEFT(E3028,6)="TÉRREO",0,IFERROR(VALUE(LEFT(E3028,FIND("º",SUBSTITUTE(E3028,"°","º"))-1)),""))))</f>
        <v>17</v>
      </c>
      <c r="O3028" s="2" t="str">
        <f aca="false">IF(OR(F3028="",G3028=""),"",IF(G3028&lt;='RETRATO 2027'!$K$5,"CONCLUÍDA",IF(F3028&lt;='RETRATO 2027'!$K$5,"EM ANDAMENTO","A INICIAR")))</f>
        <v>CONCLUÍDA</v>
      </c>
    </row>
    <row r="3029" customFormat="false" ht="15" hidden="false" customHeight="false" outlineLevel="0" collapsed="false">
      <c r="B3029" s="4" t="n">
        <v>26743125</v>
      </c>
      <c r="C3029" s="4" t="s">
        <v>2980</v>
      </c>
      <c r="D3029" s="4" t="s">
        <v>433</v>
      </c>
      <c r="E3029" s="4" t="s">
        <v>3776</v>
      </c>
      <c r="F3029" s="127" t="n">
        <v>46658</v>
      </c>
      <c r="G3029" s="127" t="n">
        <v>46667</v>
      </c>
      <c r="H3029" s="127" t="n">
        <v>46293</v>
      </c>
      <c r="I3029" s="4" t="n">
        <v>0</v>
      </c>
      <c r="J3029" s="4" t="n">
        <v>0</v>
      </c>
      <c r="K3029" s="4" t="n">
        <v>0</v>
      </c>
      <c r="M3029" s="2" t="str">
        <f aca="false">IF(C3029="","",IFERROR(INDEX($S$5:$S$304,MATCH(C3029,$R$5:$R$304,0))&amp;"","?"))</f>
        <v>35</v>
      </c>
      <c r="N3029" s="2" t="n">
        <f aca="false">IF(E3029="","",IF(ISNUMBER(SEARCH("SUBSOLO",E3029)),IFERROR(-VALUE(LEFT(E3029,FIND("º",SUBSTITUTE(E3029,"°","º"))-1)),-1),IF(LEFT(E3029,6)="TÉRREO",0,IFERROR(VALUE(LEFT(E3029,FIND("º",SUBSTITUTE(E3029,"°","º"))-1)),""))))</f>
        <v>18</v>
      </c>
      <c r="O3029" s="2" t="str">
        <f aca="false">IF(OR(F3029="",G3029=""),"",IF(G3029&lt;='RETRATO 2027'!$K$5,"CONCLUÍDA",IF(F3029&lt;='RETRATO 2027'!$K$5,"EM ANDAMENTO","A INICIAR")))</f>
        <v>CONCLUÍDA</v>
      </c>
    </row>
    <row r="3030" customFormat="false" ht="15" hidden="false" customHeight="false" outlineLevel="0" collapsed="false">
      <c r="B3030" s="4" t="n">
        <v>26743095</v>
      </c>
      <c r="C3030" s="4" t="s">
        <v>208</v>
      </c>
      <c r="D3030" s="4" t="s">
        <v>433</v>
      </c>
      <c r="E3030" s="4" t="s">
        <v>3779</v>
      </c>
      <c r="F3030" s="127" t="n">
        <v>46658</v>
      </c>
      <c r="G3030" s="127" t="n">
        <v>46667</v>
      </c>
      <c r="H3030" s="127" t="n">
        <v>46293</v>
      </c>
      <c r="I3030" s="4" t="n">
        <v>0</v>
      </c>
      <c r="J3030" s="4" t="n">
        <v>0</v>
      </c>
      <c r="K3030" s="4" t="n">
        <v>0</v>
      </c>
      <c r="M3030" s="2" t="str">
        <f aca="false">IF(C3030="","",IFERROR(INDEX($S$5:$S$304,MATCH(C3030,$R$5:$R$304,0))&amp;"","?"))</f>
        <v>33</v>
      </c>
      <c r="N3030" s="2" t="n">
        <f aca="false">IF(E3030="","",IF(ISNUMBER(SEARCH("SUBSOLO",E3030)),IFERROR(-VALUE(LEFT(E3030,FIND("º",SUBSTITUTE(E3030,"°","º"))-1)),-1),IF(LEFT(E3030,6)="TÉRREO",0,IFERROR(VALUE(LEFT(E3030,FIND("º",SUBSTITUTE(E3030,"°","º"))-1)),""))))</f>
        <v>19</v>
      </c>
      <c r="O3030" s="2" t="str">
        <f aca="false">IF(OR(F3030="",G3030=""),"",IF(G3030&lt;='RETRATO 2027'!$K$5,"CONCLUÍDA",IF(F3030&lt;='RETRATO 2027'!$K$5,"EM ANDAMENTO","A INICIAR")))</f>
        <v>CONCLUÍDA</v>
      </c>
    </row>
    <row r="3031" customFormat="false" ht="15" hidden="false" customHeight="false" outlineLevel="0" collapsed="false">
      <c r="B3031" s="4" t="n">
        <v>26707630</v>
      </c>
      <c r="C3031" s="4" t="s">
        <v>2956</v>
      </c>
      <c r="D3031" s="4" t="s">
        <v>433</v>
      </c>
      <c r="E3031" s="4" t="s">
        <v>3811</v>
      </c>
      <c r="F3031" s="127" t="n">
        <v>46659</v>
      </c>
      <c r="G3031" s="127" t="n">
        <v>46680</v>
      </c>
      <c r="H3031" s="127" t="n">
        <v>46293</v>
      </c>
      <c r="I3031" s="4" t="n">
        <v>0</v>
      </c>
      <c r="J3031" s="4" t="n">
        <v>0</v>
      </c>
      <c r="K3031" s="4" t="n">
        <v>0</v>
      </c>
      <c r="M3031" s="2" t="str">
        <f aca="false">IF(C3031="","",IFERROR(INDEX($S$5:$S$304,MATCH(C3031,$R$5:$R$304,0))&amp;"","?"))</f>
        <v>18</v>
      </c>
      <c r="N3031" s="2" t="n">
        <f aca="false">IF(E3031="","",IF(ISNUMBER(SEARCH("SUBSOLO",E3031)),IFERROR(-VALUE(LEFT(E3031,FIND("º",SUBSTITUTE(E3031,"°","º"))-1)),-1),IF(LEFT(E3031,6)="TÉRREO",0,IFERROR(VALUE(LEFT(E3031,FIND("º",SUBSTITUTE(E3031,"°","º"))-1)),""))))</f>
        <v>2</v>
      </c>
      <c r="O3031" s="2" t="str">
        <f aca="false">IF(OR(F3031="",G3031=""),"",IF(G3031&lt;='RETRATO 2027'!$K$5,"CONCLUÍDA",IF(F3031&lt;='RETRATO 2027'!$K$5,"EM ANDAMENTO","A INICIAR")))</f>
        <v>CONCLUÍDA</v>
      </c>
    </row>
    <row r="3032" customFormat="false" ht="15" hidden="false" customHeight="false" outlineLevel="0" collapsed="false">
      <c r="B3032" s="4" t="n">
        <v>29845967</v>
      </c>
      <c r="C3032" s="4" t="s">
        <v>2983</v>
      </c>
      <c r="D3032" s="4" t="s">
        <v>433</v>
      </c>
      <c r="E3032" s="4" t="s">
        <v>3781</v>
      </c>
      <c r="F3032" s="127" t="n">
        <v>46659</v>
      </c>
      <c r="G3032" s="127" t="n">
        <v>46667</v>
      </c>
      <c r="H3032" s="127" t="n">
        <v>46293</v>
      </c>
      <c r="I3032" s="4" t="n">
        <v>0</v>
      </c>
      <c r="J3032" s="4" t="n">
        <v>0</v>
      </c>
      <c r="K3032" s="4" t="n">
        <v>0</v>
      </c>
      <c r="M3032" s="2" t="str">
        <f aca="false">IF(C3032="","",IFERROR(INDEX($S$5:$S$304,MATCH(C3032,$R$5:$R$304,0))&amp;"","?"))</f>
        <v>20</v>
      </c>
      <c r="N3032" s="2" t="n">
        <f aca="false">IF(E3032="","",IF(ISNUMBER(SEARCH("SUBSOLO",E3032)),IFERROR(-VALUE(LEFT(E3032,FIND("º",SUBSTITUTE(E3032,"°","º"))-1)),-1),IF(LEFT(E3032,6)="TÉRREO",0,IFERROR(VALUE(LEFT(E3032,FIND("º",SUBSTITUTE(E3032,"°","º"))-1)),""))))</f>
        <v>20</v>
      </c>
      <c r="O3032" s="2" t="str">
        <f aca="false">IF(OR(F3032="",G3032=""),"",IF(G3032&lt;='RETRATO 2027'!$K$5,"CONCLUÍDA",IF(F3032&lt;='RETRATO 2027'!$K$5,"EM ANDAMENTO","A INICIAR")))</f>
        <v>CONCLUÍDA</v>
      </c>
    </row>
    <row r="3033" customFormat="false" ht="15" hidden="false" customHeight="false" outlineLevel="0" collapsed="false">
      <c r="B3033" s="4" t="n">
        <v>29845906</v>
      </c>
      <c r="C3033" s="4" t="s">
        <v>2986</v>
      </c>
      <c r="D3033" s="4" t="s">
        <v>433</v>
      </c>
      <c r="E3033" s="4" t="s">
        <v>3781</v>
      </c>
      <c r="F3033" s="127" t="n">
        <v>46659</v>
      </c>
      <c r="G3033" s="127" t="n">
        <v>46668</v>
      </c>
      <c r="H3033" s="127" t="n">
        <v>46293</v>
      </c>
      <c r="I3033" s="4" t="n">
        <v>0</v>
      </c>
      <c r="J3033" s="4" t="n">
        <v>0</v>
      </c>
      <c r="K3033" s="4" t="n">
        <v>0</v>
      </c>
      <c r="M3033" s="2" t="str">
        <f aca="false">IF(C3033="","",IFERROR(INDEX($S$5:$S$304,MATCH(C3033,$R$5:$R$304,0))&amp;"","?"))</f>
        <v>20</v>
      </c>
      <c r="N3033" s="2" t="n">
        <f aca="false">IF(E3033="","",IF(ISNUMBER(SEARCH("SUBSOLO",E3033)),IFERROR(-VALUE(LEFT(E3033,FIND("º",SUBSTITUTE(E3033,"°","º"))-1)),-1),IF(LEFT(E3033,6)="TÉRREO",0,IFERROR(VALUE(LEFT(E3033,FIND("º",SUBSTITUTE(E3033,"°","º"))-1)),""))))</f>
        <v>20</v>
      </c>
      <c r="O3033" s="2" t="str">
        <f aca="false">IF(OR(F3033="",G3033=""),"",IF(G3033&lt;='RETRATO 2027'!$K$5,"CONCLUÍDA",IF(F3033&lt;='RETRATO 2027'!$K$5,"EM ANDAMENTO","A INICIAR")))</f>
        <v>CONCLUÍDA</v>
      </c>
    </row>
    <row r="3034" customFormat="false" ht="15" hidden="false" customHeight="false" outlineLevel="0" collapsed="false">
      <c r="B3034" s="4" t="n">
        <v>26743023</v>
      </c>
      <c r="C3034" s="4" t="s">
        <v>2977</v>
      </c>
      <c r="D3034" s="4" t="s">
        <v>433</v>
      </c>
      <c r="E3034" s="4" t="s">
        <v>3783</v>
      </c>
      <c r="F3034" s="127" t="n">
        <v>46659</v>
      </c>
      <c r="G3034" s="127" t="n">
        <v>46668</v>
      </c>
      <c r="H3034" s="127" t="n">
        <v>46293</v>
      </c>
      <c r="I3034" s="4" t="n">
        <v>0</v>
      </c>
      <c r="J3034" s="4" t="n">
        <v>0</v>
      </c>
      <c r="K3034" s="4" t="n">
        <v>0</v>
      </c>
      <c r="M3034" s="2" t="str">
        <f aca="false">IF(C3034="","",IFERROR(INDEX($S$5:$S$304,MATCH(C3034,$R$5:$R$304,0))&amp;"","?"))</f>
        <v>30</v>
      </c>
      <c r="N3034" s="2" t="n">
        <f aca="false">IF(E3034="","",IF(ISNUMBER(SEARCH("SUBSOLO",E3034)),IFERROR(-VALUE(LEFT(E3034,FIND("º",SUBSTITUTE(E3034,"°","º"))-1)),-1),IF(LEFT(E3034,6)="TÉRREO",0,IFERROR(VALUE(LEFT(E3034,FIND("º",SUBSTITUTE(E3034,"°","º"))-1)),""))))</f>
        <v>21</v>
      </c>
      <c r="O3034" s="2" t="str">
        <f aca="false">IF(OR(F3034="",G3034=""),"",IF(G3034&lt;='RETRATO 2027'!$K$5,"CONCLUÍDA",IF(F3034&lt;='RETRATO 2027'!$K$5,"EM ANDAMENTO","A INICIAR")))</f>
        <v>CONCLUÍDA</v>
      </c>
    </row>
    <row r="3035" customFormat="false" ht="15" hidden="false" customHeight="false" outlineLevel="0" collapsed="false">
      <c r="B3035" s="4" t="n">
        <v>26742979</v>
      </c>
      <c r="C3035" s="4" t="s">
        <v>2935</v>
      </c>
      <c r="D3035" s="4" t="s">
        <v>433</v>
      </c>
      <c r="E3035" s="4" t="s">
        <v>3786</v>
      </c>
      <c r="F3035" s="127" t="n">
        <v>46659</v>
      </c>
      <c r="G3035" s="127" t="n">
        <v>46668</v>
      </c>
      <c r="H3035" s="127" t="n">
        <v>46293</v>
      </c>
      <c r="I3035" s="4" t="n">
        <v>0</v>
      </c>
      <c r="J3035" s="4" t="n">
        <v>0</v>
      </c>
      <c r="K3035" s="4" t="n">
        <v>0</v>
      </c>
      <c r="M3035" s="2" t="str">
        <f aca="false">IF(C3035="","",IFERROR(INDEX($S$5:$S$304,MATCH(C3035,$R$5:$R$304,0))&amp;"","?"))</f>
        <v>30</v>
      </c>
      <c r="N3035" s="2" t="n">
        <f aca="false">IF(E3035="","",IF(ISNUMBER(SEARCH("SUBSOLO",E3035)),IFERROR(-VALUE(LEFT(E3035,FIND("º",SUBSTITUTE(E3035,"°","º"))-1)),-1),IF(LEFT(E3035,6)="TÉRREO",0,IFERROR(VALUE(LEFT(E3035,FIND("º",SUBSTITUTE(E3035,"°","º"))-1)),""))))</f>
        <v>22</v>
      </c>
      <c r="O3035" s="2" t="str">
        <f aca="false">IF(OR(F3035="",G3035=""),"",IF(G3035&lt;='RETRATO 2027'!$K$5,"CONCLUÍDA",IF(F3035&lt;='RETRATO 2027'!$K$5,"EM ANDAMENTO","A INICIAR")))</f>
        <v>CONCLUÍDA</v>
      </c>
    </row>
    <row r="3036" customFormat="false" ht="15" hidden="false" customHeight="false" outlineLevel="0" collapsed="false">
      <c r="B3036" s="4" t="n">
        <v>26742926</v>
      </c>
      <c r="C3036" s="4" t="s">
        <v>2938</v>
      </c>
      <c r="D3036" s="4" t="s">
        <v>433</v>
      </c>
      <c r="E3036" s="4" t="s">
        <v>3787</v>
      </c>
      <c r="F3036" s="127" t="n">
        <v>46659</v>
      </c>
      <c r="G3036" s="127" t="n">
        <v>46668</v>
      </c>
      <c r="H3036" s="127" t="n">
        <v>46293</v>
      </c>
      <c r="I3036" s="4" t="n">
        <v>0</v>
      </c>
      <c r="J3036" s="4" t="n">
        <v>0</v>
      </c>
      <c r="K3036" s="4" t="n">
        <v>0</v>
      </c>
      <c r="M3036" s="2" t="str">
        <f aca="false">IF(C3036="","",IFERROR(INDEX($S$5:$S$304,MATCH(C3036,$R$5:$R$304,0))&amp;"","?"))</f>
        <v>30</v>
      </c>
      <c r="N3036" s="2" t="n">
        <f aca="false">IF(E3036="","",IF(ISNUMBER(SEARCH("SUBSOLO",E3036)),IFERROR(-VALUE(LEFT(E3036,FIND("º",SUBSTITUTE(E3036,"°","º"))-1)),-1),IF(LEFT(E3036,6)="TÉRREO",0,IFERROR(VALUE(LEFT(E3036,FIND("º",SUBSTITUTE(E3036,"°","º"))-1)),""))))</f>
        <v>23</v>
      </c>
      <c r="O3036" s="2" t="str">
        <f aca="false">IF(OR(F3036="",G3036=""),"",IF(G3036&lt;='RETRATO 2027'!$K$5,"CONCLUÍDA",IF(F3036&lt;='RETRATO 2027'!$K$5,"EM ANDAMENTO","A INICIAR")))</f>
        <v>CONCLUÍDA</v>
      </c>
    </row>
    <row r="3037" customFormat="false" ht="15" hidden="false" customHeight="false" outlineLevel="0" collapsed="false">
      <c r="B3037" s="4" t="n">
        <v>26742888</v>
      </c>
      <c r="C3037" s="4" t="s">
        <v>166</v>
      </c>
      <c r="D3037" s="4" t="s">
        <v>433</v>
      </c>
      <c r="E3037" s="4" t="s">
        <v>3788</v>
      </c>
      <c r="F3037" s="127" t="n">
        <v>46659</v>
      </c>
      <c r="G3037" s="127" t="n">
        <v>46668</v>
      </c>
      <c r="H3037" s="127" t="n">
        <v>46293</v>
      </c>
      <c r="I3037" s="4" t="n">
        <v>0</v>
      </c>
      <c r="J3037" s="4" t="n">
        <v>0</v>
      </c>
      <c r="K3037" s="4" t="n">
        <v>0</v>
      </c>
      <c r="M3037" s="2" t="str">
        <f aca="false">IF(C3037="","",IFERROR(INDEX($S$5:$S$304,MATCH(C3037,$R$5:$R$304,0))&amp;"","?"))</f>
        <v>19</v>
      </c>
      <c r="N3037" s="2" t="n">
        <f aca="false">IF(E3037="","",IF(ISNUMBER(SEARCH("SUBSOLO",E3037)),IFERROR(-VALUE(LEFT(E3037,FIND("º",SUBSTITUTE(E3037,"°","º"))-1)),-1),IF(LEFT(E3037,6)="TÉRREO",0,IFERROR(VALUE(LEFT(E3037,FIND("º",SUBSTITUTE(E3037,"°","º"))-1)),""))))</f>
        <v>24</v>
      </c>
      <c r="O3037" s="2" t="str">
        <f aca="false">IF(OR(F3037="",G3037=""),"",IF(G3037&lt;='RETRATO 2027'!$K$5,"CONCLUÍDA",IF(F3037&lt;='RETRATO 2027'!$K$5,"EM ANDAMENTO","A INICIAR")))</f>
        <v>CONCLUÍDA</v>
      </c>
    </row>
    <row r="3038" customFormat="false" ht="15" hidden="false" customHeight="false" outlineLevel="0" collapsed="false">
      <c r="B3038" s="4" t="n">
        <v>26742861</v>
      </c>
      <c r="C3038" s="4" t="s">
        <v>2941</v>
      </c>
      <c r="D3038" s="4" t="s">
        <v>433</v>
      </c>
      <c r="E3038" s="4" t="s">
        <v>3794</v>
      </c>
      <c r="F3038" s="127" t="n">
        <v>46659</v>
      </c>
      <c r="G3038" s="127" t="n">
        <v>46668</v>
      </c>
      <c r="H3038" s="127" t="n">
        <v>46293</v>
      </c>
      <c r="I3038" s="4" t="n">
        <v>0</v>
      </c>
      <c r="J3038" s="4" t="n">
        <v>0</v>
      </c>
      <c r="K3038" s="4" t="n">
        <v>0</v>
      </c>
      <c r="M3038" s="2" t="str">
        <f aca="false">IF(C3038="","",IFERROR(INDEX($S$5:$S$304,MATCH(C3038,$R$5:$R$304,0))&amp;"","?"))</f>
        <v>18</v>
      </c>
      <c r="N3038" s="2" t="n">
        <f aca="false">IF(E3038="","",IF(ISNUMBER(SEARCH("SUBSOLO",E3038)),IFERROR(-VALUE(LEFT(E3038,FIND("º",SUBSTITUTE(E3038,"°","º"))-1)),-1),IF(LEFT(E3038,6)="TÉRREO",0,IFERROR(VALUE(LEFT(E3038,FIND("º",SUBSTITUTE(E3038,"°","º"))-1)),""))))</f>
        <v>25</v>
      </c>
      <c r="O3038" s="2" t="str">
        <f aca="false">IF(OR(F3038="",G3038=""),"",IF(G3038&lt;='RETRATO 2027'!$K$5,"CONCLUÍDA",IF(F3038&lt;='RETRATO 2027'!$K$5,"EM ANDAMENTO","A INICIAR")))</f>
        <v>CONCLUÍDA</v>
      </c>
    </row>
    <row r="3039" customFormat="false" ht="15" hidden="false" customHeight="false" outlineLevel="0" collapsed="false">
      <c r="B3039" s="4" t="n">
        <v>26742825</v>
      </c>
      <c r="C3039" s="4" t="s">
        <v>2924</v>
      </c>
      <c r="D3039" s="4" t="s">
        <v>433</v>
      </c>
      <c r="E3039" s="4" t="s">
        <v>3797</v>
      </c>
      <c r="F3039" s="127" t="n">
        <v>46659</v>
      </c>
      <c r="G3039" s="127" t="n">
        <v>46668</v>
      </c>
      <c r="H3039" s="127" t="n">
        <v>46293</v>
      </c>
      <c r="I3039" s="4" t="n">
        <v>0</v>
      </c>
      <c r="J3039" s="4" t="n">
        <v>0</v>
      </c>
      <c r="K3039" s="4" t="n">
        <v>0</v>
      </c>
      <c r="M3039" s="2" t="str">
        <f aca="false">IF(C3039="","",IFERROR(INDEX($S$5:$S$304,MATCH(C3039,$R$5:$R$304,0))&amp;"","?"))</f>
        <v>21</v>
      </c>
      <c r="N3039" s="2" t="n">
        <f aca="false">IF(E3039="","",IF(ISNUMBER(SEARCH("SUBSOLO",E3039)),IFERROR(-VALUE(LEFT(E3039,FIND("º",SUBSTITUTE(E3039,"°","º"))-1)),-1),IF(LEFT(E3039,6)="TÉRREO",0,IFERROR(VALUE(LEFT(E3039,FIND("º",SUBSTITUTE(E3039,"°","º"))-1)),""))))</f>
        <v>26</v>
      </c>
      <c r="O3039" s="2" t="str">
        <f aca="false">IF(OR(F3039="",G3039=""),"",IF(G3039&lt;='RETRATO 2027'!$K$5,"CONCLUÍDA",IF(F3039&lt;='RETRATO 2027'!$K$5,"EM ANDAMENTO","A INICIAR")))</f>
        <v>CONCLUÍDA</v>
      </c>
    </row>
    <row r="3040" customFormat="false" ht="15" hidden="false" customHeight="false" outlineLevel="0" collapsed="false">
      <c r="B3040" s="4" t="n">
        <v>26742808</v>
      </c>
      <c r="C3040" s="4" t="s">
        <v>2926</v>
      </c>
      <c r="D3040" s="4" t="s">
        <v>433</v>
      </c>
      <c r="E3040" s="4" t="s">
        <v>3797</v>
      </c>
      <c r="F3040" s="127" t="n">
        <v>46659</v>
      </c>
      <c r="G3040" s="127" t="n">
        <v>46668</v>
      </c>
      <c r="H3040" s="127" t="n">
        <v>46293</v>
      </c>
      <c r="I3040" s="4" t="n">
        <v>0</v>
      </c>
      <c r="J3040" s="4" t="n">
        <v>0</v>
      </c>
      <c r="K3040" s="4" t="n">
        <v>0</v>
      </c>
      <c r="M3040" s="2" t="str">
        <f aca="false">IF(C3040="","",IFERROR(INDEX($S$5:$S$304,MATCH(C3040,$R$5:$R$304,0))&amp;"","?"))</f>
        <v>20</v>
      </c>
      <c r="N3040" s="2" t="n">
        <f aca="false">IF(E3040="","",IF(ISNUMBER(SEARCH("SUBSOLO",E3040)),IFERROR(-VALUE(LEFT(E3040,FIND("º",SUBSTITUTE(E3040,"°","º"))-1)),-1),IF(LEFT(E3040,6)="TÉRREO",0,IFERROR(VALUE(LEFT(E3040,FIND("º",SUBSTITUTE(E3040,"°","º"))-1)),""))))</f>
        <v>26</v>
      </c>
      <c r="O3040" s="2" t="str">
        <f aca="false">IF(OR(F3040="",G3040=""),"",IF(G3040&lt;='RETRATO 2027'!$K$5,"CONCLUÍDA",IF(F3040&lt;='RETRATO 2027'!$K$5,"EM ANDAMENTO","A INICIAR")))</f>
        <v>CONCLUÍDA</v>
      </c>
    </row>
    <row r="3041" customFormat="false" ht="15" hidden="false" customHeight="false" outlineLevel="0" collapsed="false">
      <c r="B3041" s="4" t="n">
        <v>26742807</v>
      </c>
      <c r="C3041" s="4" t="s">
        <v>2928</v>
      </c>
      <c r="D3041" s="4" t="s">
        <v>433</v>
      </c>
      <c r="E3041" s="4" t="s">
        <v>3797</v>
      </c>
      <c r="F3041" s="127" t="n">
        <v>46659</v>
      </c>
      <c r="G3041" s="127" t="n">
        <v>46668</v>
      </c>
      <c r="H3041" s="127" t="n">
        <v>46293</v>
      </c>
      <c r="I3041" s="4" t="n">
        <v>0</v>
      </c>
      <c r="J3041" s="4" t="n">
        <v>0</v>
      </c>
      <c r="K3041" s="4" t="n">
        <v>0</v>
      </c>
      <c r="M3041" s="2" t="str">
        <f aca="false">IF(C3041="","",IFERROR(INDEX($S$5:$S$304,MATCH(C3041,$R$5:$R$304,0))&amp;"","?"))</f>
        <v>23</v>
      </c>
      <c r="N3041" s="2" t="n">
        <f aca="false">IF(E3041="","",IF(ISNUMBER(SEARCH("SUBSOLO",E3041)),IFERROR(-VALUE(LEFT(E3041,FIND("º",SUBSTITUTE(E3041,"°","º"))-1)),-1),IF(LEFT(E3041,6)="TÉRREO",0,IFERROR(VALUE(LEFT(E3041,FIND("º",SUBSTITUTE(E3041,"°","º"))-1)),""))))</f>
        <v>26</v>
      </c>
      <c r="O3041" s="2" t="str">
        <f aca="false">IF(OR(F3041="",G3041=""),"",IF(G3041&lt;='RETRATO 2027'!$K$5,"CONCLUÍDA",IF(F3041&lt;='RETRATO 2027'!$K$5,"EM ANDAMENTO","A INICIAR")))</f>
        <v>CONCLUÍDA</v>
      </c>
    </row>
    <row r="3042" customFormat="false" ht="15" hidden="false" customHeight="false" outlineLevel="0" collapsed="false">
      <c r="B3042" s="4" t="n">
        <v>26742826</v>
      </c>
      <c r="C3042" s="4" t="s">
        <v>2930</v>
      </c>
      <c r="D3042" s="4" t="s">
        <v>433</v>
      </c>
      <c r="E3042" s="4" t="s">
        <v>3797</v>
      </c>
      <c r="F3042" s="127" t="n">
        <v>46659</v>
      </c>
      <c r="G3042" s="127" t="n">
        <v>46668</v>
      </c>
      <c r="H3042" s="127" t="n">
        <v>46293</v>
      </c>
      <c r="I3042" s="4" t="n">
        <v>0</v>
      </c>
      <c r="J3042" s="4" t="n">
        <v>0</v>
      </c>
      <c r="K3042" s="4" t="n">
        <v>0</v>
      </c>
      <c r="M3042" s="2" t="str">
        <f aca="false">IF(C3042="","",IFERROR(INDEX($S$5:$S$304,MATCH(C3042,$R$5:$R$304,0))&amp;"","?"))</f>
        <v>21</v>
      </c>
      <c r="N3042" s="2" t="n">
        <f aca="false">IF(E3042="","",IF(ISNUMBER(SEARCH("SUBSOLO",E3042)),IFERROR(-VALUE(LEFT(E3042,FIND("º",SUBSTITUTE(E3042,"°","º"))-1)),-1),IF(LEFT(E3042,6)="TÉRREO",0,IFERROR(VALUE(LEFT(E3042,FIND("º",SUBSTITUTE(E3042,"°","º"))-1)),""))))</f>
        <v>26</v>
      </c>
      <c r="O3042" s="2" t="str">
        <f aca="false">IF(OR(F3042="",G3042=""),"",IF(G3042&lt;='RETRATO 2027'!$K$5,"CONCLUÍDA",IF(F3042&lt;='RETRATO 2027'!$K$5,"EM ANDAMENTO","A INICIAR")))</f>
        <v>CONCLUÍDA</v>
      </c>
    </row>
    <row r="3043" customFormat="false" ht="15" hidden="false" customHeight="false" outlineLevel="0" collapsed="false">
      <c r="B3043" s="4" t="n">
        <v>26742827</v>
      </c>
      <c r="C3043" s="4" t="s">
        <v>2933</v>
      </c>
      <c r="D3043" s="4" t="s">
        <v>433</v>
      </c>
      <c r="E3043" s="4" t="s">
        <v>3797</v>
      </c>
      <c r="F3043" s="127" t="n">
        <v>46659</v>
      </c>
      <c r="G3043" s="127" t="n">
        <v>46668</v>
      </c>
      <c r="H3043" s="127" t="n">
        <v>46293</v>
      </c>
      <c r="I3043" s="4" t="n">
        <v>0</v>
      </c>
      <c r="J3043" s="4" t="n">
        <v>0</v>
      </c>
      <c r="K3043" s="4" t="n">
        <v>0</v>
      </c>
      <c r="M3043" s="2" t="str">
        <f aca="false">IF(C3043="","",IFERROR(INDEX($S$5:$S$304,MATCH(C3043,$R$5:$R$304,0))&amp;"","?"))</f>
        <v>21</v>
      </c>
      <c r="N3043" s="2" t="n">
        <f aca="false">IF(E3043="","",IF(ISNUMBER(SEARCH("SUBSOLO",E3043)),IFERROR(-VALUE(LEFT(E3043,FIND("º",SUBSTITUTE(E3043,"°","º"))-1)),-1),IF(LEFT(E3043,6)="TÉRREO",0,IFERROR(VALUE(LEFT(E3043,FIND("º",SUBSTITUTE(E3043,"°","º"))-1)),""))))</f>
        <v>26</v>
      </c>
      <c r="O3043" s="2" t="str">
        <f aca="false">IF(OR(F3043="",G3043=""),"",IF(G3043&lt;='RETRATO 2027'!$K$5,"CONCLUÍDA",IF(F3043&lt;='RETRATO 2027'!$K$5,"EM ANDAMENTO","A INICIAR")))</f>
        <v>CONCLUÍDA</v>
      </c>
    </row>
    <row r="3044" customFormat="false" ht="15" hidden="false" customHeight="false" outlineLevel="0" collapsed="false">
      <c r="B3044" s="4" t="n">
        <v>26742769</v>
      </c>
      <c r="C3044" s="4" t="s">
        <v>2922</v>
      </c>
      <c r="D3044" s="4" t="s">
        <v>433</v>
      </c>
      <c r="E3044" s="4" t="s">
        <v>3799</v>
      </c>
      <c r="F3044" s="127" t="n">
        <v>46659</v>
      </c>
      <c r="G3044" s="127" t="n">
        <v>46668</v>
      </c>
      <c r="H3044" s="127" t="n">
        <v>46293</v>
      </c>
      <c r="I3044" s="4" t="n">
        <v>0</v>
      </c>
      <c r="J3044" s="4" t="n">
        <v>0</v>
      </c>
      <c r="K3044" s="4" t="n">
        <v>0</v>
      </c>
      <c r="M3044" s="2" t="str">
        <f aca="false">IF(C3044="","",IFERROR(INDEX($S$5:$S$304,MATCH(C3044,$R$5:$R$304,0))&amp;"","?"))</f>
        <v>18</v>
      </c>
      <c r="N3044" s="2" t="n">
        <f aca="false">IF(E3044="","",IF(ISNUMBER(SEARCH("SUBSOLO",E3044)),IFERROR(-VALUE(LEFT(E3044,FIND("º",SUBSTITUTE(E3044,"°","º"))-1)),-1),IF(LEFT(E3044,6)="TÉRREO",0,IFERROR(VALUE(LEFT(E3044,FIND("º",SUBSTITUTE(E3044,"°","º"))-1)),""))))</f>
        <v>27</v>
      </c>
      <c r="O3044" s="2" t="str">
        <f aca="false">IF(OR(F3044="",G3044=""),"",IF(G3044&lt;='RETRATO 2027'!$K$5,"CONCLUÍDA",IF(F3044&lt;='RETRATO 2027'!$K$5,"EM ANDAMENTO","A INICIAR")))</f>
        <v>CONCLUÍDA</v>
      </c>
    </row>
    <row r="3045" customFormat="false" ht="15" hidden="false" customHeight="false" outlineLevel="0" collapsed="false">
      <c r="B3045" s="4" t="n">
        <v>26744899</v>
      </c>
      <c r="C3045" s="4" t="s">
        <v>77</v>
      </c>
      <c r="D3045" s="4" t="s">
        <v>433</v>
      </c>
      <c r="E3045" s="4" t="s">
        <v>3805</v>
      </c>
      <c r="F3045" s="127" t="n">
        <v>46659</v>
      </c>
      <c r="G3045" s="127" t="n">
        <v>46687</v>
      </c>
      <c r="H3045" s="127" t="n">
        <v>46293</v>
      </c>
      <c r="I3045" s="4" t="n">
        <v>0</v>
      </c>
      <c r="J3045" s="4" t="n">
        <v>0</v>
      </c>
      <c r="K3045" s="4" t="n">
        <v>0</v>
      </c>
      <c r="M3045" s="2" t="str">
        <f aca="false">IF(C3045="","",IFERROR(INDEX($S$5:$S$304,MATCH(C3045,$R$5:$R$304,0))&amp;"","?"))</f>
        <v>20</v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>CONCLUÍDA</v>
      </c>
    </row>
    <row r="3046" customFormat="false" ht="15" hidden="false" customHeight="false" outlineLevel="0" collapsed="false">
      <c r="B3046" s="4" t="n">
        <v>26744913</v>
      </c>
      <c r="C3046" s="4" t="s">
        <v>2829</v>
      </c>
      <c r="D3046" s="4" t="s">
        <v>433</v>
      </c>
      <c r="E3046" s="4" t="s">
        <v>3805</v>
      </c>
      <c r="F3046" s="127" t="n">
        <v>46659</v>
      </c>
      <c r="G3046" s="127" t="n">
        <v>46687</v>
      </c>
      <c r="H3046" s="127" t="n">
        <v>46293</v>
      </c>
      <c r="I3046" s="4" t="n">
        <v>0</v>
      </c>
      <c r="J3046" s="4" t="n">
        <v>0</v>
      </c>
      <c r="K3046" s="4" t="n">
        <v>0</v>
      </c>
      <c r="M3046" s="2" t="str">
        <f aca="false">IF(C3046="","",IFERROR(INDEX($S$5:$S$304,MATCH(C3046,$R$5:$R$304,0))&amp;"","?"))</f>
        <v>21</v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>CONCLUÍDA</v>
      </c>
    </row>
    <row r="3047" customFormat="false" ht="15" hidden="false" customHeight="false" outlineLevel="0" collapsed="false">
      <c r="B3047" s="4" t="n">
        <v>26744914</v>
      </c>
      <c r="C3047" s="4" t="s">
        <v>2900</v>
      </c>
      <c r="D3047" s="4" t="s">
        <v>433</v>
      </c>
      <c r="E3047" s="4" t="s">
        <v>3805</v>
      </c>
      <c r="F3047" s="127" t="n">
        <v>46659</v>
      </c>
      <c r="G3047" s="127" t="n">
        <v>46687</v>
      </c>
      <c r="H3047" s="127" t="n">
        <v>46293</v>
      </c>
      <c r="I3047" s="4" t="n">
        <v>0</v>
      </c>
      <c r="J3047" s="4" t="n">
        <v>0</v>
      </c>
      <c r="K3047" s="4" t="n">
        <v>0</v>
      </c>
      <c r="M3047" s="2" t="str">
        <f aca="false">IF(C3047="","",IFERROR(INDEX($S$5:$S$304,MATCH(C3047,$R$5:$R$304,0))&amp;"","?"))</f>
        <v>22</v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>CONCLUÍDA</v>
      </c>
    </row>
    <row r="3048" customFormat="false" ht="15" hidden="false" customHeight="false" outlineLevel="0" collapsed="false">
      <c r="B3048" s="4" t="n">
        <v>26744915</v>
      </c>
      <c r="C3048" s="4" t="s">
        <v>177</v>
      </c>
      <c r="D3048" s="4" t="s">
        <v>433</v>
      </c>
      <c r="E3048" s="4" t="s">
        <v>3805</v>
      </c>
      <c r="F3048" s="127" t="n">
        <v>46659</v>
      </c>
      <c r="G3048" s="127" t="n">
        <v>46687</v>
      </c>
      <c r="H3048" s="127" t="n">
        <v>46293</v>
      </c>
      <c r="I3048" s="4" t="n">
        <v>0</v>
      </c>
      <c r="J3048" s="4" t="n">
        <v>0</v>
      </c>
      <c r="K3048" s="4" t="n">
        <v>0</v>
      </c>
      <c r="M3048" s="2" t="str">
        <f aca="false">IF(C3048="","",IFERROR(INDEX($S$5:$S$304,MATCH(C3048,$R$5:$R$304,0))&amp;"","?"))</f>
        <v>23</v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>CONCLUÍDA</v>
      </c>
    </row>
    <row r="3049" customFormat="false" ht="15" hidden="false" customHeight="false" outlineLevel="0" collapsed="false">
      <c r="B3049" s="4" t="n">
        <v>36118370</v>
      </c>
      <c r="C3049" s="4" t="s">
        <v>77</v>
      </c>
      <c r="D3049" s="4" t="s">
        <v>433</v>
      </c>
      <c r="E3049" s="4" t="s">
        <v>3821</v>
      </c>
      <c r="F3049" s="127" t="n">
        <v>46660</v>
      </c>
      <c r="G3049" s="127" t="n">
        <v>46681</v>
      </c>
      <c r="H3049" s="127" t="n">
        <v>46293</v>
      </c>
      <c r="I3049" s="4" t="n">
        <v>0</v>
      </c>
      <c r="J3049" s="4" t="n">
        <v>0</v>
      </c>
      <c r="K3049" s="4" t="n">
        <v>0</v>
      </c>
      <c r="M3049" s="2" t="str">
        <f aca="false">IF(C3049="","",IFERROR(INDEX($S$5:$S$304,MATCH(C3049,$R$5:$R$304,0))&amp;"","?"))</f>
        <v>20</v>
      </c>
      <c r="N3049" s="2" t="n">
        <f aca="false">IF(E3049="","",IF(ISNUMBER(SEARCH("SUBSOLO",E3049)),IFERROR(-VALUE(LEFT(E3049,FIND("º",SUBSTITUTE(E3049,"°","º"))-1)),-1),IF(LEFT(E3049,6)="TÉRREO",0,IFERROR(VALUE(LEFT(E3049,FIND("º",SUBSTITUTE(E3049,"°","º"))-1)),""))))</f>
        <v>-6</v>
      </c>
      <c r="O3049" s="2" t="str">
        <f aca="false">IF(OR(F3049="",G3049=""),"",IF(G3049&lt;='RETRATO 2027'!$K$5,"CONCLUÍDA",IF(F3049&lt;='RETRATO 2027'!$K$5,"EM ANDAMENTO","A INICIAR")))</f>
        <v>CONCLUÍDA</v>
      </c>
    </row>
    <row r="3050" customFormat="false" ht="15" hidden="false" customHeight="false" outlineLevel="0" collapsed="false">
      <c r="B3050" s="4" t="n">
        <v>26745142</v>
      </c>
      <c r="C3050" s="4" t="s">
        <v>3006</v>
      </c>
      <c r="D3050" s="4" t="s">
        <v>433</v>
      </c>
      <c r="E3050" s="4" t="s">
        <v>3807</v>
      </c>
      <c r="F3050" s="127" t="n">
        <v>46660</v>
      </c>
      <c r="G3050" s="127" t="n">
        <v>46671</v>
      </c>
      <c r="H3050" s="127" t="n">
        <v>46293</v>
      </c>
      <c r="I3050" s="4" t="n">
        <v>0</v>
      </c>
      <c r="J3050" s="4" t="n">
        <v>0</v>
      </c>
      <c r="K3050" s="4" t="n">
        <v>0</v>
      </c>
      <c r="M3050" s="2" t="str">
        <f aca="false">IF(C3050="","",IFERROR(INDEX($S$5:$S$304,MATCH(C3050,$R$5:$R$304,0))&amp;"","?"))</f>
        <v>37</v>
      </c>
      <c r="N3050" s="2" t="n">
        <f aca="false">IF(E3050="","",IF(ISNUMBER(SEARCH("SUBSOLO",E3050)),IFERROR(-VALUE(LEFT(E3050,FIND("º",SUBSTITUTE(E3050,"°","º"))-1)),-1),IF(LEFT(E3050,6)="TÉRREO",0,IFERROR(VALUE(LEFT(E3050,FIND("º",SUBSTITUTE(E3050,"°","º"))-1)),""))))</f>
        <v>2</v>
      </c>
      <c r="O3050" s="2" t="str">
        <f aca="false">IF(OR(F3050="",G3050=""),"",IF(G3050&lt;='RETRATO 2027'!$K$5,"CONCLUÍDA",IF(F3050&lt;='RETRATO 2027'!$K$5,"EM ANDAMENTO","A INICIAR")))</f>
        <v>CONCLUÍDA</v>
      </c>
    </row>
    <row r="3051" customFormat="false" ht="15" hidden="false" customHeight="false" outlineLevel="0" collapsed="false">
      <c r="B3051" s="4" t="n">
        <v>26745175</v>
      </c>
      <c r="C3051" s="4" t="s">
        <v>3021</v>
      </c>
      <c r="D3051" s="4" t="s">
        <v>433</v>
      </c>
      <c r="E3051" s="4" t="s">
        <v>3770</v>
      </c>
      <c r="F3051" s="127" t="n">
        <v>46661</v>
      </c>
      <c r="G3051" s="127" t="n">
        <v>46673</v>
      </c>
      <c r="H3051" s="127" t="n">
        <v>46293</v>
      </c>
      <c r="I3051" s="4" t="n">
        <v>0</v>
      </c>
      <c r="J3051" s="4" t="n">
        <v>0</v>
      </c>
      <c r="K3051" s="4" t="n">
        <v>0</v>
      </c>
      <c r="M3051" s="2" t="str">
        <f aca="false">IF(C3051="","",IFERROR(INDEX($S$5:$S$304,MATCH(C3051,$R$5:$R$304,0))&amp;"","?"))</f>
        <v>35</v>
      </c>
      <c r="N3051" s="2" t="n">
        <f aca="false">IF(E3051="","",IF(ISNUMBER(SEARCH("SUBSOLO",E3051)),IFERROR(-VALUE(LEFT(E3051,FIND("º",SUBSTITUTE(E3051,"°","º"))-1)),-1),IF(LEFT(E3051,6)="TÉRREO",0,IFERROR(VALUE(LEFT(E3051,FIND("º",SUBSTITUTE(E3051,"°","º"))-1)),""))))</f>
        <v>-1</v>
      </c>
      <c r="O3051" s="2" t="str">
        <f aca="false">IF(OR(F3051="",G3051=""),"",IF(G3051&lt;='RETRATO 2027'!$K$5,"CONCLUÍDA",IF(F3051&lt;='RETRATO 2027'!$K$5,"EM ANDAMENTO","A INICIAR")))</f>
        <v>CONCLUÍDA</v>
      </c>
    </row>
    <row r="3052" customFormat="false" ht="15" hidden="false" customHeight="false" outlineLevel="0" collapsed="false">
      <c r="B3052" s="4" t="n">
        <v>26707656</v>
      </c>
      <c r="C3052" s="4" t="s">
        <v>3021</v>
      </c>
      <c r="D3052" s="4" t="s">
        <v>433</v>
      </c>
      <c r="E3052" s="4" t="s">
        <v>3785</v>
      </c>
      <c r="F3052" s="127" t="n">
        <v>46661</v>
      </c>
      <c r="G3052" s="127" t="n">
        <v>46682</v>
      </c>
      <c r="H3052" s="127" t="n">
        <v>46293</v>
      </c>
      <c r="I3052" s="4" t="n">
        <v>0</v>
      </c>
      <c r="J3052" s="4" t="n">
        <v>0</v>
      </c>
      <c r="K3052" s="4" t="n">
        <v>0</v>
      </c>
      <c r="M3052" s="2" t="str">
        <f aca="false">IF(C3052="","",IFERROR(INDEX($S$5:$S$304,MATCH(C3052,$R$5:$R$304,0))&amp;"","?"))</f>
        <v>35</v>
      </c>
      <c r="N3052" s="2" t="n">
        <f aca="false">IF(E3052="","",IF(ISNUMBER(SEARCH("SUBSOLO",E3052)),IFERROR(-VALUE(LEFT(E3052,FIND("º",SUBSTITUTE(E3052,"°","º"))-1)),-1),IF(LEFT(E3052,6)="TÉRREO",0,IFERROR(VALUE(LEFT(E3052,FIND("º",SUBSTITUTE(E3052,"°","º"))-1)),""))))</f>
        <v>1</v>
      </c>
      <c r="O3052" s="2" t="str">
        <f aca="false">IF(OR(F3052="",G3052=""),"",IF(G3052&lt;='RETRATO 2027'!$K$5,"CONCLUÍDA",IF(F3052&lt;='RETRATO 2027'!$K$5,"EM ANDAMENTO","A INICIAR")))</f>
        <v>CONCLUÍDA</v>
      </c>
    </row>
    <row r="3053" customFormat="false" ht="15" hidden="false" customHeight="false" outlineLevel="0" collapsed="false">
      <c r="B3053" s="4" t="n">
        <v>26742749</v>
      </c>
      <c r="C3053" s="4" t="s">
        <v>2916</v>
      </c>
      <c r="D3053" s="4" t="s">
        <v>433</v>
      </c>
      <c r="E3053" s="4" t="s">
        <v>3802</v>
      </c>
      <c r="F3053" s="127" t="n">
        <v>46661</v>
      </c>
      <c r="G3053" s="127" t="n">
        <v>46668</v>
      </c>
      <c r="H3053" s="127" t="n">
        <v>46293</v>
      </c>
      <c r="I3053" s="4" t="n">
        <v>0</v>
      </c>
      <c r="J3053" s="4" t="n">
        <v>0</v>
      </c>
      <c r="K3053" s="4" t="n">
        <v>0</v>
      </c>
      <c r="M3053" s="2" t="str">
        <f aca="false">IF(C3053="","",IFERROR(INDEX($S$5:$S$304,MATCH(C3053,$R$5:$R$304,0))&amp;"","?"))</f>
        <v>18</v>
      </c>
      <c r="N3053" s="2" t="n">
        <f aca="false">IF(E3053="","",IF(ISNUMBER(SEARCH("SUBSOLO",E3053)),IFERROR(-VALUE(LEFT(E3053,FIND("º",SUBSTITUTE(E3053,"°","º"))-1)),-1),IF(LEFT(E3053,6)="TÉRREO",0,IFERROR(VALUE(LEFT(E3053,FIND("º",SUBSTITUTE(E3053,"°","º"))-1)),""))))</f>
        <v>28</v>
      </c>
      <c r="O3053" s="2" t="str">
        <f aca="false">IF(OR(F3053="",G3053=""),"",IF(G3053&lt;='RETRATO 2027'!$K$5,"CONCLUÍDA",IF(F3053&lt;='RETRATO 2027'!$K$5,"EM ANDAMENTO","A INICIAR")))</f>
        <v>CONCLUÍDA</v>
      </c>
    </row>
    <row r="3054" customFormat="false" ht="15" hidden="false" customHeight="false" outlineLevel="0" collapsed="false">
      <c r="B3054" s="4" t="n">
        <v>26745161</v>
      </c>
      <c r="C3054" s="4" t="s">
        <v>3057</v>
      </c>
      <c r="D3054" s="4" t="s">
        <v>433</v>
      </c>
      <c r="E3054" s="4" t="s">
        <v>3652</v>
      </c>
      <c r="F3054" s="127" t="n">
        <v>46664</v>
      </c>
      <c r="G3054" s="127" t="n">
        <v>46674</v>
      </c>
      <c r="H3054" s="127" t="n">
        <v>46293</v>
      </c>
      <c r="I3054" s="4" t="n">
        <v>0</v>
      </c>
      <c r="J3054" s="4" t="n">
        <v>0</v>
      </c>
      <c r="K3054" s="4" t="n">
        <v>0</v>
      </c>
      <c r="M3054" s="2" t="str">
        <f aca="false">IF(C3054="","",IFERROR(INDEX($S$5:$S$304,MATCH(C3054,$R$5:$R$304,0))&amp;"","?"))</f>
        <v>26</v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>CONCLUÍDA</v>
      </c>
    </row>
    <row r="3055" customFormat="false" ht="15" hidden="false" customHeight="false" outlineLevel="0" collapsed="false">
      <c r="B3055" s="4" t="n">
        <v>26745038</v>
      </c>
      <c r="C3055" s="4" t="s">
        <v>2971</v>
      </c>
      <c r="D3055" s="4" t="s">
        <v>433</v>
      </c>
      <c r="E3055" s="4" t="s">
        <v>3801</v>
      </c>
      <c r="F3055" s="127" t="n">
        <v>46664</v>
      </c>
      <c r="G3055" s="127" t="n">
        <v>46674</v>
      </c>
      <c r="H3055" s="127" t="n">
        <v>46293</v>
      </c>
      <c r="I3055" s="4" t="n">
        <v>0</v>
      </c>
      <c r="J3055" s="4" t="n">
        <v>0</v>
      </c>
      <c r="K3055" s="4" t="n">
        <v>0</v>
      </c>
      <c r="M3055" s="2" t="str">
        <f aca="false">IF(C3055="","",IFERROR(INDEX($S$5:$S$304,MATCH(C3055,$R$5:$R$304,0))&amp;"","?"))</f>
        <v>37</v>
      </c>
      <c r="N3055" s="2" t="n">
        <f aca="false">IF(E3055="","",IF(ISNUMBER(SEARCH("SUBSOLO",E3055)),IFERROR(-VALUE(LEFT(E3055,FIND("º",SUBSTITUTE(E3055,"°","º"))-1)),-1),IF(LEFT(E3055,6)="TÉRREO",0,IFERROR(VALUE(LEFT(E3055,FIND("º",SUBSTITUTE(E3055,"°","º"))-1)),""))))</f>
        <v>1</v>
      </c>
      <c r="O3055" s="2" t="str">
        <f aca="false">IF(OR(F3055="",G3055=""),"",IF(G3055&lt;='RETRATO 2027'!$K$5,"CONCLUÍDA",IF(F3055&lt;='RETRATO 2027'!$K$5,"EM ANDAMENTO","A INICIAR")))</f>
        <v>CONCLUÍDA</v>
      </c>
    </row>
    <row r="3056" customFormat="false" ht="15" hidden="false" customHeight="false" outlineLevel="0" collapsed="false">
      <c r="B3056" s="4" t="n">
        <v>26750545</v>
      </c>
      <c r="C3056" s="4" t="s">
        <v>208</v>
      </c>
      <c r="D3056" s="4" t="s">
        <v>433</v>
      </c>
      <c r="E3056" s="4" t="s">
        <v>3676</v>
      </c>
      <c r="F3056" s="127" t="n">
        <v>46665</v>
      </c>
      <c r="G3056" s="127" t="n">
        <v>46671</v>
      </c>
      <c r="H3056" s="127" t="n">
        <v>46293</v>
      </c>
      <c r="I3056" s="4" t="n">
        <v>0</v>
      </c>
      <c r="J3056" s="4" t="n">
        <v>0</v>
      </c>
      <c r="K3056" s="4" t="n">
        <v>0</v>
      </c>
      <c r="M3056" s="2" t="str">
        <f aca="false">IF(C3056="","",IFERROR(INDEX($S$5:$S$304,MATCH(C3056,$R$5:$R$304,0))&amp;"","?"))</f>
        <v>33</v>
      </c>
      <c r="N3056" s="2" t="n">
        <f aca="false">IF(E3056="","",IF(ISNUMBER(SEARCH("SUBSOLO",E3056)),IFERROR(-VALUE(LEFT(E3056,FIND("º",SUBSTITUTE(E3056,"°","º"))-1)),-1),IF(LEFT(E3056,6)="TÉRREO",0,IFERROR(VALUE(LEFT(E3056,FIND("º",SUBSTITUTE(E3056,"°","º"))-1)),""))))</f>
        <v>-3</v>
      </c>
      <c r="O3056" s="2" t="str">
        <f aca="false">IF(OR(F3056="",G3056=""),"",IF(G3056&lt;='RETRATO 2027'!$K$5,"CONCLUÍDA",IF(F3056&lt;='RETRATO 2027'!$K$5,"EM ANDAMENTO","A INICIAR")))</f>
        <v>CONCLUÍDA</v>
      </c>
    </row>
    <row r="3057" customFormat="false" ht="15" hidden="false" customHeight="false" outlineLevel="0" collapsed="false">
      <c r="B3057" s="4" t="n">
        <v>26744946</v>
      </c>
      <c r="C3057" s="4" t="s">
        <v>2965</v>
      </c>
      <c r="D3057" s="4" t="s">
        <v>433</v>
      </c>
      <c r="E3057" s="4" t="s">
        <v>3612</v>
      </c>
      <c r="F3057" s="127" t="n">
        <v>46665</v>
      </c>
      <c r="G3057" s="127" t="n">
        <v>46674</v>
      </c>
      <c r="H3057" s="127" t="n">
        <v>46293</v>
      </c>
      <c r="I3057" s="4" t="n">
        <v>0</v>
      </c>
      <c r="J3057" s="4" t="n">
        <v>0</v>
      </c>
      <c r="K3057" s="4" t="n">
        <v>0</v>
      </c>
      <c r="M3057" s="2" t="str">
        <f aca="false">IF(C3057="","",IFERROR(INDEX($S$5:$S$304,MATCH(C3057,$R$5:$R$304,0))&amp;"","?"))</f>
        <v>20</v>
      </c>
      <c r="N3057" s="2" t="n">
        <f aca="false">IF(E3057="","",IF(ISNUMBER(SEARCH("SUBSOLO",E3057)),IFERROR(-VALUE(LEFT(E3057,FIND("º",SUBSTITUTE(E3057,"°","º"))-1)),-1),IF(LEFT(E3057,6)="TÉRREO",0,IFERROR(VALUE(LEFT(E3057,FIND("º",SUBSTITUTE(E3057,"°","º"))-1)),""))))</f>
        <v>-1</v>
      </c>
      <c r="O3057" s="2" t="str">
        <f aca="false">IF(OR(F3057="",G3057=""),"",IF(G3057&lt;='RETRATO 2027'!$K$5,"CONCLUÍDA",IF(F3057&lt;='RETRATO 2027'!$K$5,"EM ANDAMENTO","A INICIAR")))</f>
        <v>CONCLUÍDA</v>
      </c>
    </row>
    <row r="3058" customFormat="false" ht="15" hidden="false" customHeight="false" outlineLevel="0" collapsed="false">
      <c r="B3058" s="4" t="n">
        <v>26744393</v>
      </c>
      <c r="C3058" s="4" t="s">
        <v>3060</v>
      </c>
      <c r="D3058" s="4" t="s">
        <v>433</v>
      </c>
      <c r="E3058" s="4" t="s">
        <v>3780</v>
      </c>
      <c r="F3058" s="127" t="n">
        <v>46665</v>
      </c>
      <c r="G3058" s="127" t="n">
        <v>46714</v>
      </c>
      <c r="H3058" s="127" t="n">
        <v>46293</v>
      </c>
      <c r="I3058" s="4" t="n">
        <v>0</v>
      </c>
      <c r="J3058" s="4" t="n">
        <v>0</v>
      </c>
      <c r="K3058" s="4" t="n">
        <v>0</v>
      </c>
      <c r="M3058" s="2" t="str">
        <f aca="false">IF(C3058="","",IFERROR(INDEX($S$5:$S$304,MATCH(C3058,$R$5:$R$304,0))&amp;"","?"))</f>
        <v>30</v>
      </c>
      <c r="N3058" s="2" t="n">
        <f aca="false">IF(E3058="","",IF(ISNUMBER(SEARCH("SUBSOLO",E3058)),IFERROR(-VALUE(LEFT(E3058,FIND("º",SUBSTITUTE(E3058,"°","º"))-1)),-1),IF(LEFT(E3058,6)="TÉRREO",0,IFERROR(VALUE(LEFT(E3058,FIND("º",SUBSTITUTE(E3058,"°","º"))-1)),""))))</f>
        <v>3</v>
      </c>
      <c r="O3058" s="2" t="str">
        <f aca="false">IF(OR(F3058="",G3058=""),"",IF(G3058&lt;='RETRATO 2027'!$K$5,"CONCLUÍDA",IF(F3058&lt;='RETRATO 2027'!$K$5,"EM ANDAMENTO","A INICIAR")))</f>
        <v>CONCLUÍDA</v>
      </c>
    </row>
    <row r="3059" customFormat="false" ht="15" hidden="false" customHeight="false" outlineLevel="0" collapsed="false">
      <c r="B3059" s="4" t="n">
        <v>26742711</v>
      </c>
      <c r="C3059" s="4" t="s">
        <v>2814</v>
      </c>
      <c r="D3059" s="4" t="s">
        <v>433</v>
      </c>
      <c r="E3059" s="4" t="s">
        <v>3803</v>
      </c>
      <c r="F3059" s="127" t="n">
        <v>46665</v>
      </c>
      <c r="G3059" s="127" t="n">
        <v>46673</v>
      </c>
      <c r="H3059" s="127" t="n">
        <v>46293</v>
      </c>
      <c r="I3059" s="4" t="n">
        <v>0</v>
      </c>
      <c r="J3059" s="4" t="n">
        <v>0</v>
      </c>
      <c r="K3059" s="4" t="n">
        <v>0</v>
      </c>
      <c r="M3059" s="2" t="str">
        <f aca="false">IF(C3059="","",IFERROR(INDEX($S$5:$S$304,MATCH(C3059,$R$5:$R$304,0))&amp;"","?"))</f>
        <v>28</v>
      </c>
      <c r="N3059" s="2" t="n">
        <f aca="false">IF(E3059="","",IF(ISNUMBER(SEARCH("SUBSOLO",E3059)),IFERROR(-VALUE(LEFT(E3059,FIND("º",SUBSTITUTE(E3059,"°","º"))-1)),-1),IF(LEFT(E3059,6)="TÉRREO",0,IFERROR(VALUE(LEFT(E3059,FIND("º",SUBSTITUTE(E3059,"°","º"))-1)),""))))</f>
        <v>29</v>
      </c>
      <c r="O3059" s="2" t="str">
        <f aca="false">IF(OR(F3059="",G3059=""),"",IF(G3059&lt;='RETRATO 2027'!$K$5,"CONCLUÍDA",IF(F3059&lt;='RETRATO 2027'!$K$5,"EM ANDAMENTO","A INICIAR")))</f>
        <v>CONCLUÍDA</v>
      </c>
    </row>
    <row r="3060" customFormat="false" ht="15" hidden="false" customHeight="false" outlineLevel="0" collapsed="false">
      <c r="B3060" s="4" t="n">
        <v>26707676</v>
      </c>
      <c r="C3060" s="4" t="s">
        <v>3029</v>
      </c>
      <c r="D3060" s="4" t="s">
        <v>433</v>
      </c>
      <c r="E3060" s="4" t="s">
        <v>3777</v>
      </c>
      <c r="F3060" s="127" t="n">
        <v>46666</v>
      </c>
      <c r="G3060" s="127" t="n">
        <v>46680</v>
      </c>
      <c r="H3060" s="127" t="n">
        <v>46293</v>
      </c>
      <c r="I3060" s="4" t="n">
        <v>0</v>
      </c>
      <c r="J3060" s="4" t="n">
        <v>0</v>
      </c>
      <c r="K3060" s="4" t="n">
        <v>0</v>
      </c>
      <c r="M3060" s="2" t="str">
        <f aca="false">IF(C3060="","",IFERROR(INDEX($S$5:$S$304,MATCH(C3060,$R$5:$R$304,0))&amp;"","?"))</f>
        <v/>
      </c>
      <c r="N3060" s="2" t="n">
        <f aca="false">IF(E3060="","",IF(ISNUMBER(SEARCH("SUBSOLO",E3060)),IFERROR(-VALUE(LEFT(E3060,FIND("º",SUBSTITUTE(E3060,"°","º"))-1)),-1),IF(LEFT(E3060,6)="TÉRREO",0,IFERROR(VALUE(LEFT(E3060,FIND("º",SUBSTITUTE(E3060,"°","º"))-1)),""))))</f>
        <v>1</v>
      </c>
      <c r="O3060" s="2" t="str">
        <f aca="false">IF(OR(F3060="",G3060=""),"",IF(G3060&lt;='RETRATO 2027'!$K$5,"CONCLUÍDA",IF(F3060&lt;='RETRATO 2027'!$K$5,"EM ANDAMENTO","A INICIAR")))</f>
        <v>CONCLUÍDA</v>
      </c>
    </row>
    <row r="3061" customFormat="false" ht="15" hidden="false" customHeight="false" outlineLevel="0" collapsed="false">
      <c r="B3061" s="4" t="n">
        <v>26708186</v>
      </c>
      <c r="C3061" s="4" t="s">
        <v>2916</v>
      </c>
      <c r="D3061" s="4" t="s">
        <v>433</v>
      </c>
      <c r="E3061" s="4" t="s">
        <v>3628</v>
      </c>
      <c r="F3061" s="127" t="n">
        <v>46667</v>
      </c>
      <c r="G3061" s="127" t="n">
        <v>46679</v>
      </c>
      <c r="H3061" s="127" t="n">
        <v>46293</v>
      </c>
      <c r="I3061" s="4" t="n">
        <v>0</v>
      </c>
      <c r="J3061" s="4" t="n">
        <v>0</v>
      </c>
      <c r="K3061" s="4" t="n">
        <v>0</v>
      </c>
      <c r="M3061" s="2" t="str">
        <f aca="false">IF(C3061="","",IFERROR(INDEX($S$5:$S$304,MATCH(C3061,$R$5:$R$304,0))&amp;"","?"))</f>
        <v>18</v>
      </c>
      <c r="N3061" s="2" t="n">
        <f aca="false">IF(E3061="","",IF(ISNUMBER(SEARCH("SUBSOLO",E3061)),IFERROR(-VALUE(LEFT(E3061,FIND("º",SUBSTITUTE(E3061,"°","º"))-1)),-1),IF(LEFT(E3061,6)="TÉRREO",0,IFERROR(VALUE(LEFT(E3061,FIND("º",SUBSTITUTE(E3061,"°","º"))-1)),""))))</f>
        <v>-6</v>
      </c>
      <c r="O3061" s="2" t="str">
        <f aca="false">IF(OR(F3061="",G3061=""),"",IF(G3061&lt;='RETRATO 2027'!$K$5,"CONCLUÍDA",IF(F3061&lt;='RETRATO 2027'!$K$5,"EM ANDAMENTO","A INICIAR")))</f>
        <v>CONCLUÍDA</v>
      </c>
    </row>
    <row r="3062" customFormat="false" ht="15" hidden="false" customHeight="false" outlineLevel="0" collapsed="false">
      <c r="B3062" s="4" t="n">
        <v>26708148</v>
      </c>
      <c r="C3062" s="4" t="s">
        <v>2814</v>
      </c>
      <c r="D3062" s="4" t="s">
        <v>433</v>
      </c>
      <c r="E3062" s="4" t="s">
        <v>3813</v>
      </c>
      <c r="F3062" s="127" t="n">
        <v>46667</v>
      </c>
      <c r="G3062" s="127" t="n">
        <v>46679</v>
      </c>
      <c r="H3062" s="127" t="n">
        <v>46293</v>
      </c>
      <c r="I3062" s="4" t="n">
        <v>0</v>
      </c>
      <c r="J3062" s="4" t="n">
        <v>0</v>
      </c>
      <c r="K3062" s="4" t="n">
        <v>0</v>
      </c>
      <c r="M3062" s="2" t="str">
        <f aca="false">IF(C3062="","",IFERROR(INDEX($S$5:$S$304,MATCH(C3062,$R$5:$R$304,0))&amp;"","?"))</f>
        <v>28</v>
      </c>
      <c r="N3062" s="2" t="n">
        <f aca="false">IF(E3062="","",IF(ISNUMBER(SEARCH("SUBSOLO",E3062)),IFERROR(-VALUE(LEFT(E3062,FIND("º",SUBSTITUTE(E3062,"°","º"))-1)),-1),IF(LEFT(E3062,6)="TÉRREO",0,IFERROR(VALUE(LEFT(E3062,FIND("º",SUBSTITUTE(E3062,"°","º"))-1)),""))))</f>
        <v>-6</v>
      </c>
      <c r="O3062" s="2" t="str">
        <f aca="false">IF(OR(F3062="",G3062=""),"",IF(G3062&lt;='RETRATO 2027'!$K$5,"CONCLUÍDA",IF(F3062&lt;='RETRATO 2027'!$K$5,"EM ANDAMENTO","A INICIAR")))</f>
        <v>CONCLUÍDA</v>
      </c>
    </row>
    <row r="3063" customFormat="false" ht="15" hidden="false" customHeight="false" outlineLevel="0" collapsed="false">
      <c r="B3063" s="4" t="n">
        <v>26744996</v>
      </c>
      <c r="C3063" s="4" t="s">
        <v>2935</v>
      </c>
      <c r="D3063" s="4" t="s">
        <v>433</v>
      </c>
      <c r="E3063" s="4" t="s">
        <v>3816</v>
      </c>
      <c r="F3063" s="127" t="n">
        <v>46667</v>
      </c>
      <c r="G3063" s="127" t="n">
        <v>46678</v>
      </c>
      <c r="H3063" s="127" t="n">
        <v>46293</v>
      </c>
      <c r="I3063" s="4" t="n">
        <v>0</v>
      </c>
      <c r="J3063" s="4" t="n">
        <v>0</v>
      </c>
      <c r="K3063" s="4" t="n">
        <v>0</v>
      </c>
      <c r="M3063" s="2" t="str">
        <f aca="false">IF(C3063="","",IFERROR(INDEX($S$5:$S$304,MATCH(C3063,$R$5:$R$304,0))&amp;"","?"))</f>
        <v>30</v>
      </c>
      <c r="N3063" s="2" t="n">
        <f aca="false">IF(E3063="","",IF(ISNUMBER(SEARCH("SUBSOLO",E3063)),IFERROR(-VALUE(LEFT(E3063,FIND("º",SUBSTITUTE(E3063,"°","º"))-1)),-1),IF(LEFT(E3063,6)="TÉRREO",0,IFERROR(VALUE(LEFT(E3063,FIND("º",SUBSTITUTE(E3063,"°","º"))-1)),""))))</f>
        <v>-6</v>
      </c>
      <c r="O3063" s="2" t="str">
        <f aca="false">IF(OR(F3063="",G3063=""),"",IF(G3063&lt;='RETRATO 2027'!$K$5,"CONCLUÍDA",IF(F3063&lt;='RETRATO 2027'!$K$5,"EM ANDAMENTO","A INICIAR")))</f>
        <v>CONCLUÍDA</v>
      </c>
    </row>
    <row r="3064" customFormat="false" ht="15" hidden="false" customHeight="false" outlineLevel="0" collapsed="false">
      <c r="B3064" s="4" t="n">
        <v>26744386</v>
      </c>
      <c r="C3064" s="4" t="s">
        <v>77</v>
      </c>
      <c r="D3064" s="4" t="s">
        <v>433</v>
      </c>
      <c r="E3064" s="4" t="s">
        <v>3243</v>
      </c>
      <c r="F3064" s="127" t="n">
        <v>46667</v>
      </c>
      <c r="G3064" s="127" t="n">
        <v>46805</v>
      </c>
      <c r="H3064" s="127" t="n">
        <v>46293</v>
      </c>
      <c r="I3064" s="4" t="n">
        <v>0</v>
      </c>
      <c r="J3064" s="4" t="n">
        <v>0</v>
      </c>
      <c r="K3064" s="4" t="n">
        <v>0</v>
      </c>
      <c r="M3064" s="2" t="str">
        <f aca="false">IF(C3064="","",IFERROR(INDEX($S$5:$S$304,MATCH(C3064,$R$5:$R$304,0))&amp;"","?"))</f>
        <v>20</v>
      </c>
      <c r="N3064" s="2" t="n">
        <f aca="false">IF(E3064="","",IF(ISNUMBER(SEARCH("SUBSOLO",E3064)),IFERROR(-VALUE(LEFT(E3064,FIND("º",SUBSTITUTE(E3064,"°","º"))-1)),-1),IF(LEFT(E3064,6)="TÉRREO",0,IFERROR(VALUE(LEFT(E3064,FIND("º",SUBSTITUTE(E3064,"°","º"))-1)),""))))</f>
        <v>1</v>
      </c>
      <c r="O3064" s="2" t="str">
        <f aca="false">IF(OR(F3064="",G3064=""),"",IF(G3064&lt;='RETRATO 2027'!$K$5,"CONCLUÍDA",IF(F3064&lt;='RETRATO 2027'!$K$5,"EM ANDAMENTO","A INICIAR")))</f>
        <v>EM ANDAMENTO</v>
      </c>
    </row>
    <row r="3065" customFormat="false" ht="15" hidden="false" customHeight="false" outlineLevel="0" collapsed="false">
      <c r="B3065" s="4" t="n">
        <v>26744709</v>
      </c>
      <c r="C3065" s="4" t="s">
        <v>2910</v>
      </c>
      <c r="D3065" s="4" t="s">
        <v>433</v>
      </c>
      <c r="E3065" s="4" t="s">
        <v>3810</v>
      </c>
      <c r="F3065" s="127" t="n">
        <v>46667</v>
      </c>
      <c r="G3065" s="127" t="n">
        <v>46688</v>
      </c>
      <c r="H3065" s="127" t="n">
        <v>46293</v>
      </c>
      <c r="I3065" s="4" t="n">
        <v>0</v>
      </c>
      <c r="J3065" s="4" t="n">
        <v>0</v>
      </c>
      <c r="K3065" s="4" t="n">
        <v>0</v>
      </c>
      <c r="M3065" s="2" t="str">
        <f aca="false">IF(C3065="","",IFERROR(INDEX($S$5:$S$304,MATCH(C3065,$R$5:$R$304,0))&amp;"","?"))</f>
        <v>25</v>
      </c>
      <c r="N3065" s="2" t="n">
        <f aca="false">IF(E3065="","",IF(ISNUMBER(SEARCH("SUBSOLO",E3065)),IFERROR(-VALUE(LEFT(E3065,FIND("º",SUBSTITUTE(E3065,"°","º"))-1)),-1),IF(LEFT(E3065,6)="TÉRREO",0,IFERROR(VALUE(LEFT(E3065,FIND("º",SUBSTITUTE(E3065,"°","º"))-1)),""))))</f>
        <v>3</v>
      </c>
      <c r="O3065" s="2" t="str">
        <f aca="false">IF(OR(F3065="",G3065=""),"",IF(G3065&lt;='RETRATO 2027'!$K$5,"CONCLUÍDA",IF(F3065&lt;='RETRATO 2027'!$K$5,"EM ANDAMENTO","A INICIAR")))</f>
        <v>CONCLUÍDA</v>
      </c>
    </row>
    <row r="3066" customFormat="false" ht="15" hidden="false" customHeight="false" outlineLevel="0" collapsed="false">
      <c r="B3066" s="4" t="n">
        <v>26714249</v>
      </c>
      <c r="C3066" s="4" t="s">
        <v>3026</v>
      </c>
      <c r="D3066" s="4" t="s">
        <v>433</v>
      </c>
      <c r="E3066" s="4" t="s">
        <v>3795</v>
      </c>
      <c r="F3066" s="127" t="n">
        <v>46667</v>
      </c>
      <c r="G3066" s="127" t="n">
        <v>46742</v>
      </c>
      <c r="H3066" s="127" t="n">
        <v>46293</v>
      </c>
      <c r="I3066" s="4" t="n">
        <v>0</v>
      </c>
      <c r="J3066" s="4" t="n">
        <v>0</v>
      </c>
      <c r="K3066" s="4" t="n">
        <v>0</v>
      </c>
      <c r="M3066" s="2" t="str">
        <f aca="false">IF(C3066="","",IFERROR(INDEX($S$5:$S$304,MATCH(C3066,$R$5:$R$304,0))&amp;"","?"))</f>
        <v>32</v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>CONCLUÍDA</v>
      </c>
    </row>
    <row r="3067" customFormat="false" ht="15" hidden="false" customHeight="false" outlineLevel="0" collapsed="false">
      <c r="B3067" s="4" t="n">
        <v>26750576</v>
      </c>
      <c r="C3067" s="4" t="s">
        <v>3003</v>
      </c>
      <c r="D3067" s="4" t="s">
        <v>433</v>
      </c>
      <c r="E3067" s="4" t="s">
        <v>3814</v>
      </c>
      <c r="F3067" s="127" t="n">
        <v>46668</v>
      </c>
      <c r="G3067" s="127" t="n">
        <v>46679</v>
      </c>
      <c r="H3067" s="127" t="n">
        <v>46293</v>
      </c>
      <c r="I3067" s="4" t="n">
        <v>0</v>
      </c>
      <c r="J3067" s="4" t="n">
        <v>0</v>
      </c>
      <c r="K3067" s="4" t="n">
        <v>0</v>
      </c>
      <c r="M3067" s="2" t="str">
        <f aca="false">IF(C3067="","",IFERROR(INDEX($S$5:$S$304,MATCH(C3067,$R$5:$R$304,0))&amp;"","?"))</f>
        <v>20</v>
      </c>
      <c r="N3067" s="2" t="n">
        <f aca="false">IF(E3067="","",IF(ISNUMBER(SEARCH("SUBSOLO",E3067)),IFERROR(-VALUE(LEFT(E3067,FIND("º",SUBSTITUTE(E3067,"°","º"))-1)),-1),IF(LEFT(E3067,6)="TÉRREO",0,IFERROR(VALUE(LEFT(E3067,FIND("º",SUBSTITUTE(E3067,"°","º"))-1)),""))))</f>
        <v>-6</v>
      </c>
      <c r="O3067" s="2" t="str">
        <f aca="false">IF(OR(F3067="",G3067=""),"",IF(G3067&lt;='RETRATO 2027'!$K$5,"CONCLUÍDA",IF(F3067&lt;='RETRATO 2027'!$K$5,"EM ANDAMENTO","A INICIAR")))</f>
        <v>CONCLUÍDA</v>
      </c>
    </row>
    <row r="3068" customFormat="false" ht="15" hidden="false" customHeight="false" outlineLevel="0" collapsed="false">
      <c r="B3068" s="4" t="n">
        <v>26744955</v>
      </c>
      <c r="C3068" s="4" t="s">
        <v>208</v>
      </c>
      <c r="D3068" s="4" t="s">
        <v>433</v>
      </c>
      <c r="E3068" s="4" t="s">
        <v>3671</v>
      </c>
      <c r="F3068" s="127" t="n">
        <v>46668</v>
      </c>
      <c r="G3068" s="127" t="n">
        <v>46680</v>
      </c>
      <c r="H3068" s="127" t="n">
        <v>46293</v>
      </c>
      <c r="I3068" s="4" t="n">
        <v>0</v>
      </c>
      <c r="J3068" s="4" t="n">
        <v>0</v>
      </c>
      <c r="K3068" s="4" t="n">
        <v>0</v>
      </c>
      <c r="M3068" s="2" t="str">
        <f aca="false">IF(C3068="","",IFERROR(INDEX($S$5:$S$304,MATCH(C3068,$R$5:$R$304,0))&amp;"","?"))</f>
        <v>33</v>
      </c>
      <c r="N3068" s="2" t="n">
        <f aca="false">IF(E3068="","",IF(ISNUMBER(SEARCH("SUBSOLO",E3068)),IFERROR(-VALUE(LEFT(E3068,FIND("º",SUBSTITUTE(E3068,"°","º"))-1)),-1),IF(LEFT(E3068,6)="TÉRREO",0,IFERROR(VALUE(LEFT(E3068,FIND("º",SUBSTITUTE(E3068,"°","º"))-1)),""))))</f>
        <v>-3</v>
      </c>
      <c r="O3068" s="2" t="str">
        <f aca="false">IF(OR(F3068="",G3068=""),"",IF(G3068&lt;='RETRATO 2027'!$K$5,"CONCLUÍDA",IF(F3068&lt;='RETRATO 2027'!$K$5,"EM ANDAMENTO","A INICIAR")))</f>
        <v>CONCLUÍDA</v>
      </c>
    </row>
    <row r="3069" customFormat="false" ht="15" hidden="false" customHeight="false" outlineLevel="0" collapsed="false">
      <c r="B3069" s="4" t="n">
        <v>26750524</v>
      </c>
      <c r="C3069" s="4" t="s">
        <v>2997</v>
      </c>
      <c r="D3069" s="4" t="s">
        <v>433</v>
      </c>
      <c r="E3069" s="4" t="s">
        <v>3597</v>
      </c>
      <c r="F3069" s="127" t="n">
        <v>46668</v>
      </c>
      <c r="G3069" s="127" t="n">
        <v>46680</v>
      </c>
      <c r="H3069" s="127" t="n">
        <v>46293</v>
      </c>
      <c r="I3069" s="4" t="n">
        <v>0</v>
      </c>
      <c r="J3069" s="4" t="n">
        <v>0</v>
      </c>
      <c r="K3069" s="4" t="n">
        <v>0</v>
      </c>
      <c r="M3069" s="2" t="str">
        <f aca="false">IF(C3069="","",IFERROR(INDEX($S$5:$S$304,MATCH(C3069,$R$5:$R$304,0))&amp;"","?"))</f>
        <v>35</v>
      </c>
      <c r="N3069" s="2" t="n">
        <f aca="false">IF(E3069="","",IF(ISNUMBER(SEARCH("SUBSOLO",E3069)),IFERROR(-VALUE(LEFT(E3069,FIND("º",SUBSTITUTE(E3069,"°","º"))-1)),-1),IF(LEFT(E3069,6)="TÉRREO",0,IFERROR(VALUE(LEFT(E3069,FIND("º",SUBSTITUTE(E3069,"°","º"))-1)),""))))</f>
        <v>-2</v>
      </c>
      <c r="O3069" s="2" t="str">
        <f aca="false">IF(OR(F3069="",G3069=""),"",IF(G3069&lt;='RETRATO 2027'!$K$5,"CONCLUÍDA",IF(F3069&lt;='RETRATO 2027'!$K$5,"EM ANDAMENTO","A INICIAR")))</f>
        <v>CONCLUÍDA</v>
      </c>
    </row>
    <row r="3070" customFormat="false" ht="15" hidden="false" customHeight="false" outlineLevel="0" collapsed="false">
      <c r="B3070" s="4" t="n">
        <v>29844630</v>
      </c>
      <c r="C3070" s="4" t="s">
        <v>2888</v>
      </c>
      <c r="D3070" s="4" t="s">
        <v>433</v>
      </c>
      <c r="E3070" s="4" t="s">
        <v>3243</v>
      </c>
      <c r="F3070" s="127" t="n">
        <v>46668</v>
      </c>
      <c r="G3070" s="127" t="n">
        <v>46680</v>
      </c>
      <c r="H3070" s="127" t="n">
        <v>46293</v>
      </c>
      <c r="I3070" s="4" t="n">
        <v>0</v>
      </c>
      <c r="J3070" s="4" t="n">
        <v>0</v>
      </c>
      <c r="K3070" s="4" t="n">
        <v>0</v>
      </c>
      <c r="M3070" s="2" t="str">
        <f aca="false">IF(C3070="","",IFERROR(INDEX($S$5:$S$304,MATCH(C3070,$R$5:$R$304,0))&amp;"","?"))</f>
        <v>20</v>
      </c>
      <c r="N3070" s="2" t="n">
        <f aca="false">IF(E3070="","",IF(ISNUMBER(SEARCH("SUBSOLO",E3070)),IFERROR(-VALUE(LEFT(E3070,FIND("º",SUBSTITUTE(E3070,"°","º"))-1)),-1),IF(LEFT(E3070,6)="TÉRREO",0,IFERROR(VALUE(LEFT(E3070,FIND("º",SUBSTITUTE(E3070,"°","º"))-1)),""))))</f>
        <v>1</v>
      </c>
      <c r="O3070" s="2" t="str">
        <f aca="false">IF(OR(F3070="",G3070=""),"",IF(G3070&lt;='RETRATO 2027'!$K$5,"CONCLUÍDA",IF(F3070&lt;='RETRATO 2027'!$K$5,"EM ANDAMENTO","A INICIAR")))</f>
        <v>CONCLUÍDA</v>
      </c>
    </row>
    <row r="3071" customFormat="false" ht="15" hidden="false" customHeight="false" outlineLevel="0" collapsed="false">
      <c r="B3071" s="4" t="n">
        <v>26707616</v>
      </c>
      <c r="C3071" s="4" t="s">
        <v>2916</v>
      </c>
      <c r="D3071" s="4" t="s">
        <v>433</v>
      </c>
      <c r="E3071" s="4" t="s">
        <v>3812</v>
      </c>
      <c r="F3071" s="127" t="n">
        <v>46668</v>
      </c>
      <c r="G3071" s="127" t="n">
        <v>46689</v>
      </c>
      <c r="H3071" s="127" t="n">
        <v>46293</v>
      </c>
      <c r="I3071" s="4" t="n">
        <v>0</v>
      </c>
      <c r="J3071" s="4" t="n">
        <v>0</v>
      </c>
      <c r="K3071" s="4" t="n">
        <v>0</v>
      </c>
      <c r="M3071" s="2" t="str">
        <f aca="false">IF(C3071="","",IFERROR(INDEX($S$5:$S$304,MATCH(C3071,$R$5:$R$304,0))&amp;"","?"))</f>
        <v>18</v>
      </c>
      <c r="N3071" s="2" t="n">
        <f aca="false">IF(E3071="","",IF(ISNUMBER(SEARCH("SUBSOLO",E3071)),IFERROR(-VALUE(LEFT(E3071,FIND("º",SUBSTITUTE(E3071,"°","º"))-1)),-1),IF(LEFT(E3071,6)="TÉRREO",0,IFERROR(VALUE(LEFT(E3071,FIND("º",SUBSTITUTE(E3071,"°","º"))-1)),""))))</f>
        <v>2</v>
      </c>
      <c r="O3071" s="2" t="str">
        <f aca="false">IF(OR(F3071="",G3071=""),"",IF(G3071&lt;='RETRATO 2027'!$K$5,"CONCLUÍDA",IF(F3071&lt;='RETRATO 2027'!$K$5,"EM ANDAMENTO","A INICIAR")))</f>
        <v>CONCLUÍDA</v>
      </c>
    </row>
    <row r="3072" customFormat="false" ht="15" hidden="false" customHeight="false" outlineLevel="0" collapsed="false">
      <c r="B3072" s="4" t="n">
        <v>26743126</v>
      </c>
      <c r="C3072" s="4" t="s">
        <v>2997</v>
      </c>
      <c r="D3072" s="4" t="s">
        <v>433</v>
      </c>
      <c r="E3072" s="4" t="s">
        <v>3776</v>
      </c>
      <c r="F3072" s="127" t="n">
        <v>46668</v>
      </c>
      <c r="G3072" s="127" t="n">
        <v>46680</v>
      </c>
      <c r="H3072" s="127" t="n">
        <v>46293</v>
      </c>
      <c r="I3072" s="4" t="n">
        <v>0</v>
      </c>
      <c r="J3072" s="4" t="n">
        <v>0</v>
      </c>
      <c r="K3072" s="4" t="n">
        <v>0</v>
      </c>
      <c r="M3072" s="2" t="str">
        <f aca="false">IF(C3072="","",IFERROR(INDEX($S$5:$S$304,MATCH(C3072,$R$5:$R$304,0))&amp;"","?"))</f>
        <v>35</v>
      </c>
      <c r="N3072" s="2" t="n">
        <f aca="false">IF(E3072="","",IF(ISNUMBER(SEARCH("SUBSOLO",E3072)),IFERROR(-VALUE(LEFT(E3072,FIND("º",SUBSTITUTE(E3072,"°","º"))-1)),-1),IF(LEFT(E3072,6)="TÉRREO",0,IFERROR(VALUE(LEFT(E3072,FIND("º",SUBSTITUTE(E3072,"°","º"))-1)),""))))</f>
        <v>18</v>
      </c>
      <c r="O3072" s="2" t="str">
        <f aca="false">IF(OR(F3072="",G3072=""),"",IF(G3072&lt;='RETRATO 2027'!$K$5,"CONCLUÍDA",IF(F3072&lt;='RETRATO 2027'!$K$5,"EM ANDAMENTO","A INICIAR")))</f>
        <v>CONCLUÍDA</v>
      </c>
    </row>
    <row r="3073" customFormat="false" ht="15" hidden="false" customHeight="false" outlineLevel="0" collapsed="false">
      <c r="B3073" s="4" t="n">
        <v>26743088</v>
      </c>
      <c r="C3073" s="4" t="s">
        <v>2980</v>
      </c>
      <c r="D3073" s="4" t="s">
        <v>433</v>
      </c>
      <c r="E3073" s="4" t="s">
        <v>3779</v>
      </c>
      <c r="F3073" s="127" t="n">
        <v>46668</v>
      </c>
      <c r="G3073" s="127" t="n">
        <v>46680</v>
      </c>
      <c r="H3073" s="127" t="n">
        <v>46293</v>
      </c>
      <c r="I3073" s="4" t="n">
        <v>0</v>
      </c>
      <c r="J3073" s="4" t="n">
        <v>0</v>
      </c>
      <c r="K3073" s="4" t="n">
        <v>0</v>
      </c>
      <c r="M3073" s="2" t="str">
        <f aca="false">IF(C3073="","",IFERROR(INDEX($S$5:$S$304,MATCH(C3073,$R$5:$R$304,0))&amp;"","?"))</f>
        <v>35</v>
      </c>
      <c r="N3073" s="2" t="n">
        <f aca="false">IF(E3073="","",IF(ISNUMBER(SEARCH("SUBSOLO",E3073)),IFERROR(-VALUE(LEFT(E3073,FIND("º",SUBSTITUTE(E3073,"°","º"))-1)),-1),IF(LEFT(E3073,6)="TÉRREO",0,IFERROR(VALUE(LEFT(E3073,FIND("º",SUBSTITUTE(E3073,"°","º"))-1)),""))))</f>
        <v>19</v>
      </c>
      <c r="O3073" s="2" t="str">
        <f aca="false">IF(OR(F3073="",G3073=""),"",IF(G3073&lt;='RETRATO 2027'!$K$5,"CONCLUÍDA",IF(F3073&lt;='RETRATO 2027'!$K$5,"EM ANDAMENTO","A INICIAR")))</f>
        <v>CONCLUÍDA</v>
      </c>
    </row>
    <row r="3074" customFormat="false" ht="15" hidden="false" customHeight="false" outlineLevel="0" collapsed="false">
      <c r="B3074" s="4" t="n">
        <v>26743058</v>
      </c>
      <c r="C3074" s="4" t="s">
        <v>208</v>
      </c>
      <c r="D3074" s="4" t="s">
        <v>433</v>
      </c>
      <c r="E3074" s="4" t="s">
        <v>3781</v>
      </c>
      <c r="F3074" s="127" t="n">
        <v>46668</v>
      </c>
      <c r="G3074" s="127" t="n">
        <v>46680</v>
      </c>
      <c r="H3074" s="127" t="n">
        <v>46293</v>
      </c>
      <c r="I3074" s="4" t="n">
        <v>0</v>
      </c>
      <c r="J3074" s="4" t="n">
        <v>0</v>
      </c>
      <c r="K3074" s="4" t="n">
        <v>0</v>
      </c>
      <c r="M3074" s="2" t="str">
        <f aca="false">IF(C3074="","",IFERROR(INDEX($S$5:$S$304,MATCH(C3074,$R$5:$R$304,0))&amp;"","?"))</f>
        <v>33</v>
      </c>
      <c r="N3074" s="2" t="n">
        <f aca="false">IF(E3074="","",IF(ISNUMBER(SEARCH("SUBSOLO",E3074)),IFERROR(-VALUE(LEFT(E3074,FIND("º",SUBSTITUTE(E3074,"°","º"))-1)),-1),IF(LEFT(E3074,6)="TÉRREO",0,IFERROR(VALUE(LEFT(E3074,FIND("º",SUBSTITUTE(E3074,"°","º"))-1)),""))))</f>
        <v>20</v>
      </c>
      <c r="O3074" s="2" t="str">
        <f aca="false">IF(OR(F3074="",G3074=""),"",IF(G3074&lt;='RETRATO 2027'!$K$5,"CONCLUÍDA",IF(F3074&lt;='RETRATO 2027'!$K$5,"EM ANDAMENTO","A INICIAR")))</f>
        <v>CONCLUÍDA</v>
      </c>
    </row>
    <row r="3075" customFormat="false" ht="15" hidden="false" customHeight="false" outlineLevel="0" collapsed="false">
      <c r="B3075" s="4" t="n">
        <v>26250839</v>
      </c>
      <c r="C3075" s="4" t="s">
        <v>3012</v>
      </c>
      <c r="D3075" s="4" t="s">
        <v>433</v>
      </c>
      <c r="E3075" s="4" t="s">
        <v>3798</v>
      </c>
      <c r="F3075" s="127" t="n">
        <v>46668</v>
      </c>
      <c r="G3075" s="127" t="n">
        <v>46870</v>
      </c>
      <c r="H3075" s="127" t="n">
        <v>46293</v>
      </c>
      <c r="I3075" s="4" t="n">
        <v>0</v>
      </c>
      <c r="J3075" s="4" t="n">
        <v>0</v>
      </c>
      <c r="K3075" s="4" t="n">
        <v>0</v>
      </c>
      <c r="M3075" s="2" t="str">
        <f aca="false">IF(C3075="","",IFERROR(INDEX($S$5:$S$304,MATCH(C3075,$R$5:$R$304,0))&amp;"","?"))</f>
        <v>32</v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>EM ANDAMENTO</v>
      </c>
    </row>
    <row r="3076" customFormat="false" ht="15" hidden="false" customHeight="false" outlineLevel="0" collapsed="false">
      <c r="B3076" s="4" t="n">
        <v>9370938</v>
      </c>
      <c r="C3076" s="4" t="s">
        <v>3012</v>
      </c>
      <c r="D3076" s="4" t="s">
        <v>3823</v>
      </c>
      <c r="E3076" s="4" t="s">
        <v>3798</v>
      </c>
      <c r="F3076" s="127" t="n">
        <v>46668</v>
      </c>
      <c r="G3076" s="127" t="n">
        <v>46867</v>
      </c>
      <c r="H3076" s="127" t="n">
        <v>46293</v>
      </c>
      <c r="I3076" s="4" t="n">
        <v>0</v>
      </c>
      <c r="J3076" s="4" t="n">
        <v>0</v>
      </c>
      <c r="K3076" s="4" t="n">
        <v>0</v>
      </c>
      <c r="M3076" s="2" t="str">
        <f aca="false">IF(C3076="","",IFERROR(INDEX($S$5:$S$304,MATCH(C3076,$R$5:$R$304,0))&amp;"","?"))</f>
        <v>32</v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>EM ANDAMENTO</v>
      </c>
    </row>
    <row r="3077" customFormat="false" ht="15" hidden="false" customHeight="false" outlineLevel="0" collapsed="false">
      <c r="B3077" s="4" t="n">
        <v>9370939</v>
      </c>
      <c r="C3077" s="4" t="s">
        <v>3012</v>
      </c>
      <c r="D3077" s="4" t="s">
        <v>3824</v>
      </c>
      <c r="E3077" s="4" t="s">
        <v>3798</v>
      </c>
      <c r="F3077" s="127" t="n">
        <v>46673</v>
      </c>
      <c r="G3077" s="127" t="n">
        <v>46870</v>
      </c>
      <c r="H3077" s="127" t="n">
        <v>46293</v>
      </c>
      <c r="I3077" s="4" t="n">
        <v>0</v>
      </c>
      <c r="J3077" s="4" t="n">
        <v>0</v>
      </c>
      <c r="K3077" s="4" t="n">
        <v>0</v>
      </c>
      <c r="M3077" s="2" t="str">
        <f aca="false">IF(C3077="","",IFERROR(INDEX($S$5:$S$304,MATCH(C3077,$R$5:$R$304,0))&amp;"","?"))</f>
        <v>32</v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>EM ANDAMENTO</v>
      </c>
    </row>
    <row r="3078" customFormat="false" ht="15" hidden="false" customHeight="false" outlineLevel="0" collapsed="false">
      <c r="B3078" s="4" t="n">
        <v>9370940</v>
      </c>
      <c r="C3078" s="4" t="s">
        <v>3012</v>
      </c>
      <c r="D3078" s="4" t="s">
        <v>3825</v>
      </c>
      <c r="E3078" s="4" t="s">
        <v>3798</v>
      </c>
      <c r="F3078" s="127" t="n">
        <v>46710</v>
      </c>
      <c r="G3078" s="127" t="n">
        <v>46815</v>
      </c>
      <c r="H3078" s="127" t="n">
        <v>46293</v>
      </c>
      <c r="I3078" s="4" t="n">
        <v>0</v>
      </c>
      <c r="J3078" s="4" t="n">
        <v>0</v>
      </c>
      <c r="K3078" s="4" t="n">
        <v>0</v>
      </c>
      <c r="M3078" s="2" t="str">
        <f aca="false">IF(C3078="","",IFERROR(INDEX($S$5:$S$304,MATCH(C3078,$R$5:$R$304,0))&amp;"","?"))</f>
        <v>32</v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>EM ANDAMENTO</v>
      </c>
    </row>
    <row r="3079" customFormat="false" ht="15" hidden="false" customHeight="false" outlineLevel="0" collapsed="false">
      <c r="B3079" s="4" t="n">
        <v>9370941</v>
      </c>
      <c r="C3079" s="4" t="s">
        <v>3012</v>
      </c>
      <c r="D3079" s="4" t="s">
        <v>3826</v>
      </c>
      <c r="E3079" s="4" t="s">
        <v>3798</v>
      </c>
      <c r="F3079" s="127" t="n">
        <v>46714</v>
      </c>
      <c r="G3079" s="127" t="n">
        <v>46818</v>
      </c>
      <c r="H3079" s="127" t="n">
        <v>46293</v>
      </c>
      <c r="I3079" s="4" t="n">
        <v>0</v>
      </c>
      <c r="J3079" s="4" t="n">
        <v>0</v>
      </c>
      <c r="K3079" s="4" t="n">
        <v>0</v>
      </c>
      <c r="M3079" s="2" t="str">
        <f aca="false">IF(C3079="","",IFERROR(INDEX($S$5:$S$304,MATCH(C3079,$R$5:$R$304,0))&amp;"","?"))</f>
        <v>32</v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>EM ANDAMENTO</v>
      </c>
    </row>
    <row r="3080" customFormat="false" ht="15" hidden="false" customHeight="false" outlineLevel="0" collapsed="false">
      <c r="B3080" s="4" t="n">
        <v>29845968</v>
      </c>
      <c r="C3080" s="4" t="s">
        <v>2983</v>
      </c>
      <c r="D3080" s="4" t="s">
        <v>433</v>
      </c>
      <c r="E3080" s="4" t="s">
        <v>3783</v>
      </c>
      <c r="F3080" s="127" t="n">
        <v>46671</v>
      </c>
      <c r="G3080" s="127" t="n">
        <v>46680</v>
      </c>
      <c r="H3080" s="127" t="n">
        <v>46293</v>
      </c>
      <c r="I3080" s="4" t="n">
        <v>0</v>
      </c>
      <c r="J3080" s="4" t="n">
        <v>0</v>
      </c>
      <c r="K3080" s="4" t="n">
        <v>0</v>
      </c>
      <c r="M3080" s="2" t="str">
        <f aca="false">IF(C3080="","",IFERROR(INDEX($S$5:$S$304,MATCH(C3080,$R$5:$R$304,0))&amp;"","?"))</f>
        <v>20</v>
      </c>
      <c r="N3080" s="2" t="n">
        <f aca="false">IF(E3080="","",IF(ISNUMBER(SEARCH("SUBSOLO",E3080)),IFERROR(-VALUE(LEFT(E3080,FIND("º",SUBSTITUTE(E3080,"°","º"))-1)),-1),IF(LEFT(E3080,6)="TÉRREO",0,IFERROR(VALUE(LEFT(E3080,FIND("º",SUBSTITUTE(E3080,"°","º"))-1)),""))))</f>
        <v>21</v>
      </c>
      <c r="O3080" s="2" t="str">
        <f aca="false">IF(OR(F3080="",G3080=""),"",IF(G3080&lt;='RETRATO 2027'!$K$5,"CONCLUÍDA",IF(F3080&lt;='RETRATO 2027'!$K$5,"EM ANDAMENTO","A INICIAR")))</f>
        <v>CONCLUÍDA</v>
      </c>
    </row>
    <row r="3081" customFormat="false" ht="15" hidden="false" customHeight="false" outlineLevel="0" collapsed="false">
      <c r="B3081" s="4" t="n">
        <v>29845907</v>
      </c>
      <c r="C3081" s="4" t="s">
        <v>2986</v>
      </c>
      <c r="D3081" s="4" t="s">
        <v>433</v>
      </c>
      <c r="E3081" s="4" t="s">
        <v>3783</v>
      </c>
      <c r="F3081" s="127" t="n">
        <v>46671</v>
      </c>
      <c r="G3081" s="127" t="n">
        <v>46681</v>
      </c>
      <c r="H3081" s="127" t="n">
        <v>46293</v>
      </c>
      <c r="I3081" s="4" t="n">
        <v>0</v>
      </c>
      <c r="J3081" s="4" t="n">
        <v>0</v>
      </c>
      <c r="K3081" s="4" t="n">
        <v>0</v>
      </c>
      <c r="M3081" s="2" t="str">
        <f aca="false">IF(C3081="","",IFERROR(INDEX($S$5:$S$304,MATCH(C3081,$R$5:$R$304,0))&amp;"","?"))</f>
        <v>20</v>
      </c>
      <c r="N3081" s="2" t="n">
        <f aca="false">IF(E3081="","",IF(ISNUMBER(SEARCH("SUBSOLO",E3081)),IFERROR(-VALUE(LEFT(E3081,FIND("º",SUBSTITUTE(E3081,"°","º"))-1)),-1),IF(LEFT(E3081,6)="TÉRREO",0,IFERROR(VALUE(LEFT(E3081,FIND("º",SUBSTITUTE(E3081,"°","º"))-1)),""))))</f>
        <v>21</v>
      </c>
      <c r="O3081" s="2" t="str">
        <f aca="false">IF(OR(F3081="",G3081=""),"",IF(G3081&lt;='RETRATO 2027'!$K$5,"CONCLUÍDA",IF(F3081&lt;='RETRATO 2027'!$K$5,"EM ANDAMENTO","A INICIAR")))</f>
        <v>CONCLUÍDA</v>
      </c>
    </row>
    <row r="3082" customFormat="false" ht="15" hidden="false" customHeight="false" outlineLevel="0" collapsed="false">
      <c r="B3082" s="4" t="n">
        <v>26742986</v>
      </c>
      <c r="C3082" s="4" t="s">
        <v>2977</v>
      </c>
      <c r="D3082" s="4" t="s">
        <v>433</v>
      </c>
      <c r="E3082" s="4" t="s">
        <v>3786</v>
      </c>
      <c r="F3082" s="127" t="n">
        <v>46671</v>
      </c>
      <c r="G3082" s="127" t="n">
        <v>46681</v>
      </c>
      <c r="H3082" s="127" t="n">
        <v>46293</v>
      </c>
      <c r="I3082" s="4" t="n">
        <v>0</v>
      </c>
      <c r="J3082" s="4" t="n">
        <v>0</v>
      </c>
      <c r="K3082" s="4" t="n">
        <v>0</v>
      </c>
      <c r="M3082" s="2" t="str">
        <f aca="false">IF(C3082="","",IFERROR(INDEX($S$5:$S$304,MATCH(C3082,$R$5:$R$304,0))&amp;"","?"))</f>
        <v>30</v>
      </c>
      <c r="N3082" s="2" t="n">
        <f aca="false">IF(E3082="","",IF(ISNUMBER(SEARCH("SUBSOLO",E3082)),IFERROR(-VALUE(LEFT(E3082,FIND("º",SUBSTITUTE(E3082,"°","º"))-1)),-1),IF(LEFT(E3082,6)="TÉRREO",0,IFERROR(VALUE(LEFT(E3082,FIND("º",SUBSTITUTE(E3082,"°","º"))-1)),""))))</f>
        <v>22</v>
      </c>
      <c r="O3082" s="2" t="str">
        <f aca="false">IF(OR(F3082="",G3082=""),"",IF(G3082&lt;='RETRATO 2027'!$K$5,"CONCLUÍDA",IF(F3082&lt;='RETRATO 2027'!$K$5,"EM ANDAMENTO","A INICIAR")))</f>
        <v>CONCLUÍDA</v>
      </c>
    </row>
    <row r="3083" customFormat="false" ht="15" hidden="false" customHeight="false" outlineLevel="0" collapsed="false">
      <c r="B3083" s="4" t="n">
        <v>26742942</v>
      </c>
      <c r="C3083" s="4" t="s">
        <v>2935</v>
      </c>
      <c r="D3083" s="4" t="s">
        <v>433</v>
      </c>
      <c r="E3083" s="4" t="s">
        <v>3787</v>
      </c>
      <c r="F3083" s="127" t="n">
        <v>46671</v>
      </c>
      <c r="G3083" s="127" t="n">
        <v>46681</v>
      </c>
      <c r="H3083" s="127" t="n">
        <v>46293</v>
      </c>
      <c r="I3083" s="4" t="n">
        <v>0</v>
      </c>
      <c r="J3083" s="4" t="n">
        <v>0</v>
      </c>
      <c r="K3083" s="4" t="n">
        <v>0</v>
      </c>
      <c r="M3083" s="2" t="str">
        <f aca="false">IF(C3083="","",IFERROR(INDEX($S$5:$S$304,MATCH(C3083,$R$5:$R$304,0))&amp;"","?"))</f>
        <v>30</v>
      </c>
      <c r="N3083" s="2" t="n">
        <f aca="false">IF(E3083="","",IF(ISNUMBER(SEARCH("SUBSOLO",E3083)),IFERROR(-VALUE(LEFT(E3083,FIND("º",SUBSTITUTE(E3083,"°","º"))-1)),-1),IF(LEFT(E3083,6)="TÉRREO",0,IFERROR(VALUE(LEFT(E3083,FIND("º",SUBSTITUTE(E3083,"°","º"))-1)),""))))</f>
        <v>23</v>
      </c>
      <c r="O3083" s="2" t="str">
        <f aca="false">IF(OR(F3083="",G3083=""),"",IF(G3083&lt;='RETRATO 2027'!$K$5,"CONCLUÍDA",IF(F3083&lt;='RETRATO 2027'!$K$5,"EM ANDAMENTO","A INICIAR")))</f>
        <v>CONCLUÍDA</v>
      </c>
    </row>
    <row r="3084" customFormat="false" ht="15" hidden="false" customHeight="false" outlineLevel="0" collapsed="false">
      <c r="B3084" s="4" t="n">
        <v>26742889</v>
      </c>
      <c r="C3084" s="4" t="s">
        <v>2938</v>
      </c>
      <c r="D3084" s="4" t="s">
        <v>433</v>
      </c>
      <c r="E3084" s="4" t="s">
        <v>3788</v>
      </c>
      <c r="F3084" s="127" t="n">
        <v>46671</v>
      </c>
      <c r="G3084" s="127" t="n">
        <v>46681</v>
      </c>
      <c r="H3084" s="127" t="n">
        <v>46293</v>
      </c>
      <c r="I3084" s="4" t="n">
        <v>0</v>
      </c>
      <c r="J3084" s="4" t="n">
        <v>0</v>
      </c>
      <c r="K3084" s="4" t="n">
        <v>0</v>
      </c>
      <c r="M3084" s="2" t="str">
        <f aca="false">IF(C3084="","",IFERROR(INDEX($S$5:$S$304,MATCH(C3084,$R$5:$R$304,0))&amp;"","?"))</f>
        <v>30</v>
      </c>
      <c r="N3084" s="2" t="n">
        <f aca="false">IF(E3084="","",IF(ISNUMBER(SEARCH("SUBSOLO",E3084)),IFERROR(-VALUE(LEFT(E3084,FIND("º",SUBSTITUTE(E3084,"°","º"))-1)),-1),IF(LEFT(E3084,6)="TÉRREO",0,IFERROR(VALUE(LEFT(E3084,FIND("º",SUBSTITUTE(E3084,"°","º"))-1)),""))))</f>
        <v>24</v>
      </c>
      <c r="O3084" s="2" t="str">
        <f aca="false">IF(OR(F3084="",G3084=""),"",IF(G3084&lt;='RETRATO 2027'!$K$5,"CONCLUÍDA",IF(F3084&lt;='RETRATO 2027'!$K$5,"EM ANDAMENTO","A INICIAR")))</f>
        <v>CONCLUÍDA</v>
      </c>
    </row>
    <row r="3085" customFormat="false" ht="15" hidden="false" customHeight="false" outlineLevel="0" collapsed="false">
      <c r="B3085" s="4" t="n">
        <v>26742851</v>
      </c>
      <c r="C3085" s="4" t="s">
        <v>166</v>
      </c>
      <c r="D3085" s="4" t="s">
        <v>433</v>
      </c>
      <c r="E3085" s="4" t="s">
        <v>3794</v>
      </c>
      <c r="F3085" s="127" t="n">
        <v>46671</v>
      </c>
      <c r="G3085" s="127" t="n">
        <v>46681</v>
      </c>
      <c r="H3085" s="127" t="n">
        <v>46293</v>
      </c>
      <c r="I3085" s="4" t="n">
        <v>0</v>
      </c>
      <c r="J3085" s="4" t="n">
        <v>0</v>
      </c>
      <c r="K3085" s="4" t="n">
        <v>0</v>
      </c>
      <c r="M3085" s="2" t="str">
        <f aca="false">IF(C3085="","",IFERROR(INDEX($S$5:$S$304,MATCH(C3085,$R$5:$R$304,0))&amp;"","?"))</f>
        <v>19</v>
      </c>
      <c r="N3085" s="2" t="n">
        <f aca="false">IF(E3085="","",IF(ISNUMBER(SEARCH("SUBSOLO",E3085)),IFERROR(-VALUE(LEFT(E3085,FIND("º",SUBSTITUTE(E3085,"°","º"))-1)),-1),IF(LEFT(E3085,6)="TÉRREO",0,IFERROR(VALUE(LEFT(E3085,FIND("º",SUBSTITUTE(E3085,"°","º"))-1)),""))))</f>
        <v>25</v>
      </c>
      <c r="O3085" s="2" t="str">
        <f aca="false">IF(OR(F3085="",G3085=""),"",IF(G3085&lt;='RETRATO 2027'!$K$5,"CONCLUÍDA",IF(F3085&lt;='RETRATO 2027'!$K$5,"EM ANDAMENTO","A INICIAR")))</f>
        <v>CONCLUÍDA</v>
      </c>
    </row>
    <row r="3086" customFormat="false" ht="15" hidden="false" customHeight="false" outlineLevel="0" collapsed="false">
      <c r="B3086" s="4" t="n">
        <v>26742824</v>
      </c>
      <c r="C3086" s="4" t="s">
        <v>2941</v>
      </c>
      <c r="D3086" s="4" t="s">
        <v>433</v>
      </c>
      <c r="E3086" s="4" t="s">
        <v>3797</v>
      </c>
      <c r="F3086" s="127" t="n">
        <v>46671</v>
      </c>
      <c r="G3086" s="127" t="n">
        <v>46681</v>
      </c>
      <c r="H3086" s="127" t="n">
        <v>46293</v>
      </c>
      <c r="I3086" s="4" t="n">
        <v>0</v>
      </c>
      <c r="J3086" s="4" t="n">
        <v>0</v>
      </c>
      <c r="K3086" s="4" t="n">
        <v>0</v>
      </c>
      <c r="M3086" s="2" t="str">
        <f aca="false">IF(C3086="","",IFERROR(INDEX($S$5:$S$304,MATCH(C3086,$R$5:$R$304,0))&amp;"","?"))</f>
        <v>18</v>
      </c>
      <c r="N3086" s="2" t="n">
        <f aca="false">IF(E3086="","",IF(ISNUMBER(SEARCH("SUBSOLO",E3086)),IFERROR(-VALUE(LEFT(E3086,FIND("º",SUBSTITUTE(E3086,"°","º"))-1)),-1),IF(LEFT(E3086,6)="TÉRREO",0,IFERROR(VALUE(LEFT(E3086,FIND("º",SUBSTITUTE(E3086,"°","º"))-1)),""))))</f>
        <v>26</v>
      </c>
      <c r="O3086" s="2" t="str">
        <f aca="false">IF(OR(F3086="",G3086=""),"",IF(G3086&lt;='RETRATO 2027'!$K$5,"CONCLUÍDA",IF(F3086&lt;='RETRATO 2027'!$K$5,"EM ANDAMENTO","A INICIAR")))</f>
        <v>CONCLUÍDA</v>
      </c>
    </row>
    <row r="3087" customFormat="false" ht="15" hidden="false" customHeight="false" outlineLevel="0" collapsed="false">
      <c r="B3087" s="4" t="n">
        <v>26742788</v>
      </c>
      <c r="C3087" s="4" t="s">
        <v>2924</v>
      </c>
      <c r="D3087" s="4" t="s">
        <v>433</v>
      </c>
      <c r="E3087" s="4" t="s">
        <v>3799</v>
      </c>
      <c r="F3087" s="127" t="n">
        <v>46671</v>
      </c>
      <c r="G3087" s="127" t="n">
        <v>46681</v>
      </c>
      <c r="H3087" s="127" t="n">
        <v>46293</v>
      </c>
      <c r="I3087" s="4" t="n">
        <v>0</v>
      </c>
      <c r="J3087" s="4" t="n">
        <v>0</v>
      </c>
      <c r="K3087" s="4" t="n">
        <v>0</v>
      </c>
      <c r="M3087" s="2" t="str">
        <f aca="false">IF(C3087="","",IFERROR(INDEX($S$5:$S$304,MATCH(C3087,$R$5:$R$304,0))&amp;"","?"))</f>
        <v>21</v>
      </c>
      <c r="N3087" s="2" t="n">
        <f aca="false">IF(E3087="","",IF(ISNUMBER(SEARCH("SUBSOLO",E3087)),IFERROR(-VALUE(LEFT(E3087,FIND("º",SUBSTITUTE(E3087,"°","º"))-1)),-1),IF(LEFT(E3087,6)="TÉRREO",0,IFERROR(VALUE(LEFT(E3087,FIND("º",SUBSTITUTE(E3087,"°","º"))-1)),""))))</f>
        <v>27</v>
      </c>
      <c r="O3087" s="2" t="str">
        <f aca="false">IF(OR(F3087="",G3087=""),"",IF(G3087&lt;='RETRATO 2027'!$K$5,"CONCLUÍDA",IF(F3087&lt;='RETRATO 2027'!$K$5,"EM ANDAMENTO","A INICIAR")))</f>
        <v>CONCLUÍDA</v>
      </c>
    </row>
    <row r="3088" customFormat="false" ht="15" hidden="false" customHeight="false" outlineLevel="0" collapsed="false">
      <c r="B3088" s="4" t="n">
        <v>26742771</v>
      </c>
      <c r="C3088" s="4" t="s">
        <v>2926</v>
      </c>
      <c r="D3088" s="4" t="s">
        <v>433</v>
      </c>
      <c r="E3088" s="4" t="s">
        <v>3799</v>
      </c>
      <c r="F3088" s="127" t="n">
        <v>46671</v>
      </c>
      <c r="G3088" s="127" t="n">
        <v>46681</v>
      </c>
      <c r="H3088" s="127" t="n">
        <v>46293</v>
      </c>
      <c r="I3088" s="4" t="n">
        <v>0</v>
      </c>
      <c r="J3088" s="4" t="n">
        <v>0</v>
      </c>
      <c r="K3088" s="4" t="n">
        <v>0</v>
      </c>
      <c r="M3088" s="2" t="str">
        <f aca="false">IF(C3088="","",IFERROR(INDEX($S$5:$S$304,MATCH(C3088,$R$5:$R$304,0))&amp;"","?"))</f>
        <v>20</v>
      </c>
      <c r="N3088" s="2" t="n">
        <f aca="false">IF(E3088="","",IF(ISNUMBER(SEARCH("SUBSOLO",E3088)),IFERROR(-VALUE(LEFT(E3088,FIND("º",SUBSTITUTE(E3088,"°","º"))-1)),-1),IF(LEFT(E3088,6)="TÉRREO",0,IFERROR(VALUE(LEFT(E3088,FIND("º",SUBSTITUTE(E3088,"°","º"))-1)),""))))</f>
        <v>27</v>
      </c>
      <c r="O3088" s="2" t="str">
        <f aca="false">IF(OR(F3088="",G3088=""),"",IF(G3088&lt;='RETRATO 2027'!$K$5,"CONCLUÍDA",IF(F3088&lt;='RETRATO 2027'!$K$5,"EM ANDAMENTO","A INICIAR")))</f>
        <v>CONCLUÍDA</v>
      </c>
    </row>
    <row r="3089" customFormat="false" ht="15" hidden="false" customHeight="false" outlineLevel="0" collapsed="false">
      <c r="B3089" s="4" t="n">
        <v>26742770</v>
      </c>
      <c r="C3089" s="4" t="s">
        <v>2928</v>
      </c>
      <c r="D3089" s="4" t="s">
        <v>433</v>
      </c>
      <c r="E3089" s="4" t="s">
        <v>3799</v>
      </c>
      <c r="F3089" s="127" t="n">
        <v>46671</v>
      </c>
      <c r="G3089" s="127" t="n">
        <v>46681</v>
      </c>
      <c r="H3089" s="127" t="n">
        <v>46293</v>
      </c>
      <c r="I3089" s="4" t="n">
        <v>0</v>
      </c>
      <c r="J3089" s="4" t="n">
        <v>0</v>
      </c>
      <c r="K3089" s="4" t="n">
        <v>0</v>
      </c>
      <c r="M3089" s="2" t="str">
        <f aca="false">IF(C3089="","",IFERROR(INDEX($S$5:$S$304,MATCH(C3089,$R$5:$R$304,0))&amp;"","?"))</f>
        <v>23</v>
      </c>
      <c r="N3089" s="2" t="n">
        <f aca="false">IF(E3089="","",IF(ISNUMBER(SEARCH("SUBSOLO",E3089)),IFERROR(-VALUE(LEFT(E3089,FIND("º",SUBSTITUTE(E3089,"°","º"))-1)),-1),IF(LEFT(E3089,6)="TÉRREO",0,IFERROR(VALUE(LEFT(E3089,FIND("º",SUBSTITUTE(E3089,"°","º"))-1)),""))))</f>
        <v>27</v>
      </c>
      <c r="O3089" s="2" t="str">
        <f aca="false">IF(OR(F3089="",G3089=""),"",IF(G3089&lt;='RETRATO 2027'!$K$5,"CONCLUÍDA",IF(F3089&lt;='RETRATO 2027'!$K$5,"EM ANDAMENTO","A INICIAR")))</f>
        <v>CONCLUÍDA</v>
      </c>
    </row>
    <row r="3090" customFormat="false" ht="15" hidden="false" customHeight="false" outlineLevel="0" collapsed="false">
      <c r="B3090" s="4" t="n">
        <v>26742789</v>
      </c>
      <c r="C3090" s="4" t="s">
        <v>2930</v>
      </c>
      <c r="D3090" s="4" t="s">
        <v>433</v>
      </c>
      <c r="E3090" s="4" t="s">
        <v>3799</v>
      </c>
      <c r="F3090" s="127" t="n">
        <v>46671</v>
      </c>
      <c r="G3090" s="127" t="n">
        <v>46681</v>
      </c>
      <c r="H3090" s="127" t="n">
        <v>46293</v>
      </c>
      <c r="I3090" s="4" t="n">
        <v>0</v>
      </c>
      <c r="J3090" s="4" t="n">
        <v>0</v>
      </c>
      <c r="K3090" s="4" t="n">
        <v>0</v>
      </c>
      <c r="M3090" s="2" t="str">
        <f aca="false">IF(C3090="","",IFERROR(INDEX($S$5:$S$304,MATCH(C3090,$R$5:$R$304,0))&amp;"","?"))</f>
        <v>21</v>
      </c>
      <c r="N3090" s="2" t="n">
        <f aca="false">IF(E3090="","",IF(ISNUMBER(SEARCH("SUBSOLO",E3090)),IFERROR(-VALUE(LEFT(E3090,FIND("º",SUBSTITUTE(E3090,"°","º"))-1)),-1),IF(LEFT(E3090,6)="TÉRREO",0,IFERROR(VALUE(LEFT(E3090,FIND("º",SUBSTITUTE(E3090,"°","º"))-1)),""))))</f>
        <v>27</v>
      </c>
      <c r="O3090" s="2" t="str">
        <f aca="false">IF(OR(F3090="",G3090=""),"",IF(G3090&lt;='RETRATO 2027'!$K$5,"CONCLUÍDA",IF(F3090&lt;='RETRATO 2027'!$K$5,"EM ANDAMENTO","A INICIAR")))</f>
        <v>CONCLUÍDA</v>
      </c>
    </row>
    <row r="3091" customFormat="false" ht="15" hidden="false" customHeight="false" outlineLevel="0" collapsed="false">
      <c r="B3091" s="4" t="n">
        <v>26742790</v>
      </c>
      <c r="C3091" s="4" t="s">
        <v>2933</v>
      </c>
      <c r="D3091" s="4" t="s">
        <v>433</v>
      </c>
      <c r="E3091" s="4" t="s">
        <v>3799</v>
      </c>
      <c r="F3091" s="127" t="n">
        <v>46671</v>
      </c>
      <c r="G3091" s="127" t="n">
        <v>46681</v>
      </c>
      <c r="H3091" s="127" t="n">
        <v>46293</v>
      </c>
      <c r="I3091" s="4" t="n">
        <v>0</v>
      </c>
      <c r="J3091" s="4" t="n">
        <v>0</v>
      </c>
      <c r="K3091" s="4" t="n">
        <v>0</v>
      </c>
      <c r="M3091" s="2" t="str">
        <f aca="false">IF(C3091="","",IFERROR(INDEX($S$5:$S$304,MATCH(C3091,$R$5:$R$304,0))&amp;"","?"))</f>
        <v>21</v>
      </c>
      <c r="N3091" s="2" t="n">
        <f aca="false">IF(E3091="","",IF(ISNUMBER(SEARCH("SUBSOLO",E3091)),IFERROR(-VALUE(LEFT(E3091,FIND("º",SUBSTITUTE(E3091,"°","º"))-1)),-1),IF(LEFT(E3091,6)="TÉRREO",0,IFERROR(VALUE(LEFT(E3091,FIND("º",SUBSTITUTE(E3091,"°","º"))-1)),""))))</f>
        <v>27</v>
      </c>
      <c r="O3091" s="2" t="str">
        <f aca="false">IF(OR(F3091="",G3091=""),"",IF(G3091&lt;='RETRATO 2027'!$K$5,"CONCLUÍDA",IF(F3091&lt;='RETRATO 2027'!$K$5,"EM ANDAMENTO","A INICIAR")))</f>
        <v>CONCLUÍDA</v>
      </c>
    </row>
    <row r="3092" customFormat="false" ht="15" hidden="false" customHeight="false" outlineLevel="0" collapsed="false">
      <c r="B3092" s="4" t="n">
        <v>26742732</v>
      </c>
      <c r="C3092" s="4" t="s">
        <v>2922</v>
      </c>
      <c r="D3092" s="4" t="s">
        <v>433</v>
      </c>
      <c r="E3092" s="4" t="s">
        <v>3802</v>
      </c>
      <c r="F3092" s="127" t="n">
        <v>46671</v>
      </c>
      <c r="G3092" s="127" t="n">
        <v>46681</v>
      </c>
      <c r="H3092" s="127" t="n">
        <v>46293</v>
      </c>
      <c r="I3092" s="4" t="n">
        <v>0</v>
      </c>
      <c r="J3092" s="4" t="n">
        <v>0</v>
      </c>
      <c r="K3092" s="4" t="n">
        <v>0</v>
      </c>
      <c r="M3092" s="2" t="str">
        <f aca="false">IF(C3092="","",IFERROR(INDEX($S$5:$S$304,MATCH(C3092,$R$5:$R$304,0))&amp;"","?"))</f>
        <v>18</v>
      </c>
      <c r="N3092" s="2" t="n">
        <f aca="false">IF(E3092="","",IF(ISNUMBER(SEARCH("SUBSOLO",E3092)),IFERROR(-VALUE(LEFT(E3092,FIND("º",SUBSTITUTE(E3092,"°","º"))-1)),-1),IF(LEFT(E3092,6)="TÉRREO",0,IFERROR(VALUE(LEFT(E3092,FIND("º",SUBSTITUTE(E3092,"°","º"))-1)),""))))</f>
        <v>28</v>
      </c>
      <c r="O3092" s="2" t="str">
        <f aca="false">IF(OR(F3092="",G3092=""),"",IF(G3092&lt;='RETRATO 2027'!$K$5,"CONCLUÍDA",IF(F3092&lt;='RETRATO 2027'!$K$5,"EM ANDAMENTO","A INICIAR")))</f>
        <v>CONCLUÍDA</v>
      </c>
    </row>
    <row r="3093" customFormat="false" ht="15" hidden="false" customHeight="false" outlineLevel="0" collapsed="false">
      <c r="B3093" s="4" t="n">
        <v>26750546</v>
      </c>
      <c r="C3093" s="4" t="s">
        <v>2948</v>
      </c>
      <c r="D3093" s="4" t="s">
        <v>433</v>
      </c>
      <c r="E3093" s="4" t="s">
        <v>3676</v>
      </c>
      <c r="F3093" s="127" t="n">
        <v>46673</v>
      </c>
      <c r="G3093" s="127" t="n">
        <v>46679</v>
      </c>
      <c r="H3093" s="127" t="n">
        <v>46293</v>
      </c>
      <c r="I3093" s="4" t="n">
        <v>0</v>
      </c>
      <c r="J3093" s="4" t="n">
        <v>0</v>
      </c>
      <c r="K3093" s="4" t="n">
        <v>0</v>
      </c>
      <c r="M3093" s="2" t="str">
        <f aca="false">IF(C3093="","",IFERROR(INDEX($S$5:$S$304,MATCH(C3093,$R$5:$R$304,0))&amp;"","?"))</f>
        <v>25</v>
      </c>
      <c r="N3093" s="2" t="n">
        <f aca="false">IF(E3093="","",IF(ISNUMBER(SEARCH("SUBSOLO",E3093)),IFERROR(-VALUE(LEFT(E3093,FIND("º",SUBSTITUTE(E3093,"°","º"))-1)),-1),IF(LEFT(E3093,6)="TÉRREO",0,IFERROR(VALUE(LEFT(E3093,FIND("º",SUBSTITUTE(E3093,"°","º"))-1)),""))))</f>
        <v>-3</v>
      </c>
      <c r="O3093" s="2" t="str">
        <f aca="false">IF(OR(F3093="",G3093=""),"",IF(G3093&lt;='RETRATO 2027'!$K$5,"CONCLUÍDA",IF(F3093&lt;='RETRATO 2027'!$K$5,"EM ANDAMENTO","A INICIAR")))</f>
        <v>CONCLUÍDA</v>
      </c>
    </row>
    <row r="3094" customFormat="false" ht="15" hidden="false" customHeight="false" outlineLevel="0" collapsed="false">
      <c r="B3094" s="4" t="n">
        <v>26745143</v>
      </c>
      <c r="C3094" s="4" t="s">
        <v>3021</v>
      </c>
      <c r="D3094" s="4" t="s">
        <v>433</v>
      </c>
      <c r="E3094" s="4" t="s">
        <v>3807</v>
      </c>
      <c r="F3094" s="127" t="n">
        <v>46673</v>
      </c>
      <c r="G3094" s="127" t="n">
        <v>46682</v>
      </c>
      <c r="H3094" s="127" t="n">
        <v>46293</v>
      </c>
      <c r="I3094" s="4" t="n">
        <v>0</v>
      </c>
      <c r="J3094" s="4" t="n">
        <v>0</v>
      </c>
      <c r="K3094" s="4" t="n">
        <v>0</v>
      </c>
      <c r="M3094" s="2" t="str">
        <f aca="false">IF(C3094="","",IFERROR(INDEX($S$5:$S$304,MATCH(C3094,$R$5:$R$304,0))&amp;"","?"))</f>
        <v>35</v>
      </c>
      <c r="N3094" s="2" t="n">
        <f aca="false">IF(E3094="","",IF(ISNUMBER(SEARCH("SUBSOLO",E3094)),IFERROR(-VALUE(LEFT(E3094,FIND("º",SUBSTITUTE(E3094,"°","º"))-1)),-1),IF(LEFT(E3094,6)="TÉRREO",0,IFERROR(VALUE(LEFT(E3094,FIND("º",SUBSTITUTE(E3094,"°","º"))-1)),""))))</f>
        <v>2</v>
      </c>
      <c r="O3094" s="2" t="str">
        <f aca="false">IF(OR(F3094="",G3094=""),"",IF(G3094&lt;='RETRATO 2027'!$K$5,"CONCLUÍDA",IF(F3094&lt;='RETRATO 2027'!$K$5,"EM ANDAMENTO","A INICIAR")))</f>
        <v>CONCLUÍDA</v>
      </c>
    </row>
    <row r="3095" customFormat="false" ht="15" hidden="false" customHeight="false" outlineLevel="0" collapsed="false">
      <c r="B3095" s="4" t="n">
        <v>26745176</v>
      </c>
      <c r="C3095" s="4" t="s">
        <v>2965</v>
      </c>
      <c r="D3095" s="4" t="s">
        <v>433</v>
      </c>
      <c r="E3095" s="4" t="s">
        <v>3770</v>
      </c>
      <c r="F3095" s="127" t="n">
        <v>46674</v>
      </c>
      <c r="G3095" s="127" t="n">
        <v>46685</v>
      </c>
      <c r="H3095" s="127" t="n">
        <v>46293</v>
      </c>
      <c r="I3095" s="4" t="n">
        <v>0</v>
      </c>
      <c r="J3095" s="4" t="n">
        <v>0</v>
      </c>
      <c r="K3095" s="4" t="n">
        <v>0</v>
      </c>
      <c r="M3095" s="2" t="str">
        <f aca="false">IF(C3095="","",IFERROR(INDEX($S$5:$S$304,MATCH(C3095,$R$5:$R$304,0))&amp;"","?"))</f>
        <v>20</v>
      </c>
      <c r="N3095" s="2" t="n">
        <f aca="false">IF(E3095="","",IF(ISNUMBER(SEARCH("SUBSOLO",E3095)),IFERROR(-VALUE(LEFT(E3095,FIND("º",SUBSTITUTE(E3095,"°","º"))-1)),-1),IF(LEFT(E3095,6)="TÉRREO",0,IFERROR(VALUE(LEFT(E3095,FIND("º",SUBSTITUTE(E3095,"°","º"))-1)),""))))</f>
        <v>-1</v>
      </c>
      <c r="O3095" s="2" t="str">
        <f aca="false">IF(OR(F3095="",G3095=""),"",IF(G3095&lt;='RETRATO 2027'!$K$5,"CONCLUÍDA",IF(F3095&lt;='RETRATO 2027'!$K$5,"EM ANDAMENTO","A INICIAR")))</f>
        <v>CONCLUÍDA</v>
      </c>
    </row>
    <row r="3096" customFormat="false" ht="15" hidden="false" customHeight="false" outlineLevel="0" collapsed="false">
      <c r="B3096" s="4" t="n">
        <v>26742712</v>
      </c>
      <c r="C3096" s="4" t="s">
        <v>2916</v>
      </c>
      <c r="D3096" s="4" t="s">
        <v>433</v>
      </c>
      <c r="E3096" s="4" t="s">
        <v>3803</v>
      </c>
      <c r="F3096" s="127" t="n">
        <v>46674</v>
      </c>
      <c r="G3096" s="127" t="n">
        <v>46681</v>
      </c>
      <c r="H3096" s="127" t="n">
        <v>46293</v>
      </c>
      <c r="I3096" s="4" t="n">
        <v>0</v>
      </c>
      <c r="J3096" s="4" t="n">
        <v>0</v>
      </c>
      <c r="K3096" s="4" t="n">
        <v>0</v>
      </c>
      <c r="M3096" s="2" t="str">
        <f aca="false">IF(C3096="","",IFERROR(INDEX($S$5:$S$304,MATCH(C3096,$R$5:$R$304,0))&amp;"","?"))</f>
        <v>18</v>
      </c>
      <c r="N3096" s="2" t="n">
        <f aca="false">IF(E3096="","",IF(ISNUMBER(SEARCH("SUBSOLO",E3096)),IFERROR(-VALUE(LEFT(E3096,FIND("º",SUBSTITUTE(E3096,"°","º"))-1)),-1),IF(LEFT(E3096,6)="TÉRREO",0,IFERROR(VALUE(LEFT(E3096,FIND("º",SUBSTITUTE(E3096,"°","º"))-1)),""))))</f>
        <v>29</v>
      </c>
      <c r="O3096" s="2" t="str">
        <f aca="false">IF(OR(F3096="",G3096=""),"",IF(G3096&lt;='RETRATO 2027'!$K$5,"CONCLUÍDA",IF(F3096&lt;='RETRATO 2027'!$K$5,"EM ANDAMENTO","A INICIAR")))</f>
        <v>CONCLUÍDA</v>
      </c>
    </row>
    <row r="3097" customFormat="false" ht="15" hidden="false" customHeight="false" outlineLevel="0" collapsed="false">
      <c r="B3097" s="4" t="n">
        <v>26744947</v>
      </c>
      <c r="C3097" s="4" t="s">
        <v>3032</v>
      </c>
      <c r="D3097" s="4" t="s">
        <v>433</v>
      </c>
      <c r="E3097" s="4" t="s">
        <v>3612</v>
      </c>
      <c r="F3097" s="127" t="n">
        <v>46675</v>
      </c>
      <c r="G3097" s="127" t="n">
        <v>46685</v>
      </c>
      <c r="H3097" s="127" t="n">
        <v>46293</v>
      </c>
      <c r="I3097" s="4" t="n">
        <v>0</v>
      </c>
      <c r="J3097" s="4" t="n">
        <v>0</v>
      </c>
      <c r="K3097" s="4" t="n">
        <v>0</v>
      </c>
      <c r="M3097" s="2" t="str">
        <f aca="false">IF(C3097="","",IFERROR(INDEX($S$5:$S$304,MATCH(C3097,$R$5:$R$304,0))&amp;"","?"))</f>
        <v>35</v>
      </c>
      <c r="N3097" s="2" t="n">
        <f aca="false">IF(E3097="","",IF(ISNUMBER(SEARCH("SUBSOLO",E3097)),IFERROR(-VALUE(LEFT(E3097,FIND("º",SUBSTITUTE(E3097,"°","º"))-1)),-1),IF(LEFT(E3097,6)="TÉRREO",0,IFERROR(VALUE(LEFT(E3097,FIND("º",SUBSTITUTE(E3097,"°","º"))-1)),""))))</f>
        <v>-1</v>
      </c>
      <c r="O3097" s="2" t="str">
        <f aca="false">IF(OR(F3097="",G3097=""),"",IF(G3097&lt;='RETRATO 2027'!$K$5,"CONCLUÍDA",IF(F3097&lt;='RETRATO 2027'!$K$5,"EM ANDAMENTO","A INICIAR")))</f>
        <v>CONCLUÍDA</v>
      </c>
    </row>
    <row r="3098" customFormat="false" ht="15" hidden="false" customHeight="false" outlineLevel="0" collapsed="false">
      <c r="B3098" s="4" t="n">
        <v>26745162</v>
      </c>
      <c r="C3098" s="4" t="s">
        <v>3032</v>
      </c>
      <c r="D3098" s="4" t="s">
        <v>433</v>
      </c>
      <c r="E3098" s="4" t="s">
        <v>3652</v>
      </c>
      <c r="F3098" s="127" t="n">
        <v>46675</v>
      </c>
      <c r="G3098" s="127" t="n">
        <v>46686</v>
      </c>
      <c r="H3098" s="127" t="n">
        <v>46293</v>
      </c>
      <c r="I3098" s="4" t="n">
        <v>0</v>
      </c>
      <c r="J3098" s="4" t="n">
        <v>0</v>
      </c>
      <c r="K3098" s="4" t="n">
        <v>0</v>
      </c>
      <c r="M3098" s="2" t="str">
        <f aca="false">IF(C3098="","",IFERROR(INDEX($S$5:$S$304,MATCH(C3098,$R$5:$R$304,0))&amp;"","?"))</f>
        <v>35</v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>CONCLUÍDA</v>
      </c>
    </row>
    <row r="3099" customFormat="false" ht="15" hidden="false" customHeight="false" outlineLevel="0" collapsed="false">
      <c r="B3099" s="4" t="n">
        <v>26745039</v>
      </c>
      <c r="C3099" s="4" t="s">
        <v>3029</v>
      </c>
      <c r="D3099" s="4" t="s">
        <v>433</v>
      </c>
      <c r="E3099" s="4" t="s">
        <v>3801</v>
      </c>
      <c r="F3099" s="127" t="n">
        <v>46675</v>
      </c>
      <c r="G3099" s="127" t="n">
        <v>46686</v>
      </c>
      <c r="H3099" s="127" t="n">
        <v>46293</v>
      </c>
      <c r="I3099" s="4" t="n">
        <v>0</v>
      </c>
      <c r="J3099" s="4" t="n">
        <v>0</v>
      </c>
      <c r="K3099" s="4" t="n">
        <v>0</v>
      </c>
      <c r="M3099" s="2" t="str">
        <f aca="false">IF(C3099="","",IFERROR(INDEX($S$5:$S$304,MATCH(C3099,$R$5:$R$304,0))&amp;"","?"))</f>
        <v/>
      </c>
      <c r="N3099" s="2" t="n">
        <f aca="false">IF(E3099="","",IF(ISNUMBER(SEARCH("SUBSOLO",E3099)),IFERROR(-VALUE(LEFT(E3099,FIND("º",SUBSTITUTE(E3099,"°","º"))-1)),-1),IF(LEFT(E3099,6)="TÉRREO",0,IFERROR(VALUE(LEFT(E3099,FIND("º",SUBSTITUTE(E3099,"°","º"))-1)),""))))</f>
        <v>1</v>
      </c>
      <c r="O3099" s="2" t="str">
        <f aca="false">IF(OR(F3099="",G3099=""),"",IF(G3099&lt;='RETRATO 2027'!$K$5,"CONCLUÍDA",IF(F3099&lt;='RETRATO 2027'!$K$5,"EM ANDAMENTO","A INICIAR")))</f>
        <v>CONCLUÍDA</v>
      </c>
    </row>
    <row r="3100" customFormat="false" ht="15" hidden="false" customHeight="false" outlineLevel="0" collapsed="false">
      <c r="B3100" s="4" t="n">
        <v>26743702</v>
      </c>
      <c r="C3100" s="4" t="s">
        <v>3063</v>
      </c>
      <c r="D3100" s="4" t="s">
        <v>433</v>
      </c>
      <c r="E3100" s="4" t="s">
        <v>3482</v>
      </c>
      <c r="F3100" s="127" t="n">
        <v>46678</v>
      </c>
      <c r="G3100" s="127" t="n">
        <v>46699</v>
      </c>
      <c r="H3100" s="127" t="n">
        <v>46293</v>
      </c>
      <c r="I3100" s="4" t="n">
        <v>0</v>
      </c>
      <c r="J3100" s="4" t="n">
        <v>0</v>
      </c>
      <c r="K3100" s="4" t="n">
        <v>0</v>
      </c>
      <c r="M3100" s="2" t="str">
        <f aca="false">IF(C3100="","",IFERROR(INDEX($S$5:$S$304,MATCH(C3100,$R$5:$R$304,0))&amp;"","?"))</f>
        <v>31</v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>CONCLUÍDA</v>
      </c>
    </row>
    <row r="3101" customFormat="false" ht="15" hidden="false" customHeight="false" outlineLevel="0" collapsed="false">
      <c r="B3101" s="4" t="n">
        <v>26744997</v>
      </c>
      <c r="C3101" s="4" t="s">
        <v>3003</v>
      </c>
      <c r="D3101" s="4" t="s">
        <v>433</v>
      </c>
      <c r="E3101" s="4" t="s">
        <v>3816</v>
      </c>
      <c r="F3101" s="127" t="n">
        <v>46679</v>
      </c>
      <c r="G3101" s="127" t="n">
        <v>46687</v>
      </c>
      <c r="H3101" s="127" t="n">
        <v>46293</v>
      </c>
      <c r="I3101" s="4" t="n">
        <v>0</v>
      </c>
      <c r="J3101" s="4" t="n">
        <v>0</v>
      </c>
      <c r="K3101" s="4" t="n">
        <v>0</v>
      </c>
      <c r="M3101" s="2" t="str">
        <f aca="false">IF(C3101="","",IFERROR(INDEX($S$5:$S$304,MATCH(C3101,$R$5:$R$304,0))&amp;"","?"))</f>
        <v>20</v>
      </c>
      <c r="N3101" s="2" t="n">
        <f aca="false">IF(E3101="","",IF(ISNUMBER(SEARCH("SUBSOLO",E3101)),IFERROR(-VALUE(LEFT(E3101,FIND("º",SUBSTITUTE(E3101,"°","º"))-1)),-1),IF(LEFT(E3101,6)="TÉRREO",0,IFERROR(VALUE(LEFT(E3101,FIND("º",SUBSTITUTE(E3101,"°","º"))-1)),""))))</f>
        <v>-6</v>
      </c>
      <c r="O3101" s="2" t="str">
        <f aca="false">IF(OR(F3101="",G3101=""),"",IF(G3101&lt;='RETRATO 2027'!$K$5,"CONCLUÍDA",IF(F3101&lt;='RETRATO 2027'!$K$5,"EM ANDAMENTO","A INICIAR")))</f>
        <v>CONCLUÍDA</v>
      </c>
    </row>
    <row r="3102" customFormat="false" ht="15" hidden="false" customHeight="false" outlineLevel="0" collapsed="false">
      <c r="B3102" s="4" t="n">
        <v>26744966</v>
      </c>
      <c r="C3102" s="4" t="s">
        <v>2935</v>
      </c>
      <c r="D3102" s="4" t="s">
        <v>433</v>
      </c>
      <c r="E3102" s="4" t="s">
        <v>3558</v>
      </c>
      <c r="F3102" s="127" t="n">
        <v>46679</v>
      </c>
      <c r="G3102" s="127" t="n">
        <v>46688</v>
      </c>
      <c r="H3102" s="127" t="n">
        <v>46293</v>
      </c>
      <c r="I3102" s="4" t="n">
        <v>0</v>
      </c>
      <c r="J3102" s="4" t="n">
        <v>0</v>
      </c>
      <c r="K3102" s="4" t="n">
        <v>0</v>
      </c>
      <c r="M3102" s="2" t="str">
        <f aca="false">IF(C3102="","",IFERROR(INDEX($S$5:$S$304,MATCH(C3102,$R$5:$R$304,0))&amp;"","?"))</f>
        <v>30</v>
      </c>
      <c r="N3102" s="2" t="n">
        <f aca="false">IF(E3102="","",IF(ISNUMBER(SEARCH("SUBSOLO",E3102)),IFERROR(-VALUE(LEFT(E3102,FIND("º",SUBSTITUTE(E3102,"°","º"))-1)),-1),IF(LEFT(E3102,6)="TÉRREO",0,IFERROR(VALUE(LEFT(E3102,FIND("º",SUBSTITUTE(E3102,"°","º"))-1)),""))))</f>
        <v>-4</v>
      </c>
      <c r="O3102" s="2" t="str">
        <f aca="false">IF(OR(F3102="",G3102=""),"",IF(G3102&lt;='RETRATO 2027'!$K$5,"CONCLUÍDA",IF(F3102&lt;='RETRATO 2027'!$K$5,"EM ANDAMENTO","A INICIAR")))</f>
        <v>CONCLUÍDA</v>
      </c>
    </row>
    <row r="3103" customFormat="false" ht="15" hidden="false" customHeight="false" outlineLevel="0" collapsed="false">
      <c r="B3103" s="4" t="n">
        <v>26708157</v>
      </c>
      <c r="C3103" s="4" t="s">
        <v>2922</v>
      </c>
      <c r="D3103" s="4" t="s">
        <v>433</v>
      </c>
      <c r="E3103" s="4" t="s">
        <v>3628</v>
      </c>
      <c r="F3103" s="127" t="n">
        <v>46680</v>
      </c>
      <c r="G3103" s="127" t="n">
        <v>46689</v>
      </c>
      <c r="H3103" s="127" t="n">
        <v>46293</v>
      </c>
      <c r="I3103" s="4" t="n">
        <v>0</v>
      </c>
      <c r="J3103" s="4" t="n">
        <v>0</v>
      </c>
      <c r="K3103" s="4" t="n">
        <v>0</v>
      </c>
      <c r="M3103" s="2" t="str">
        <f aca="false">IF(C3103="","",IFERROR(INDEX($S$5:$S$304,MATCH(C3103,$R$5:$R$304,0))&amp;"","?"))</f>
        <v>18</v>
      </c>
      <c r="N3103" s="2" t="n">
        <f aca="false">IF(E3103="","",IF(ISNUMBER(SEARCH("SUBSOLO",E3103)),IFERROR(-VALUE(LEFT(E3103,FIND("º",SUBSTITUTE(E3103,"°","º"))-1)),-1),IF(LEFT(E3103,6)="TÉRREO",0,IFERROR(VALUE(LEFT(E3103,FIND("º",SUBSTITUTE(E3103,"°","º"))-1)),""))))</f>
        <v>-6</v>
      </c>
      <c r="O3103" s="2" t="str">
        <f aca="false">IF(OR(F3103="",G3103=""),"",IF(G3103&lt;='RETRATO 2027'!$K$5,"CONCLUÍDA",IF(F3103&lt;='RETRATO 2027'!$K$5,"EM ANDAMENTO","A INICIAR")))</f>
        <v>CONCLUÍDA</v>
      </c>
    </row>
    <row r="3104" customFormat="false" ht="15" hidden="false" customHeight="false" outlineLevel="0" collapsed="false">
      <c r="B3104" s="4" t="n">
        <v>26708153</v>
      </c>
      <c r="C3104" s="4" t="s">
        <v>2916</v>
      </c>
      <c r="D3104" s="4" t="s">
        <v>433</v>
      </c>
      <c r="E3104" s="4" t="s">
        <v>3813</v>
      </c>
      <c r="F3104" s="127" t="n">
        <v>46680</v>
      </c>
      <c r="G3104" s="127" t="n">
        <v>46689</v>
      </c>
      <c r="H3104" s="127" t="n">
        <v>46293</v>
      </c>
      <c r="I3104" s="4" t="n">
        <v>0</v>
      </c>
      <c r="J3104" s="4" t="n">
        <v>0</v>
      </c>
      <c r="K3104" s="4" t="n">
        <v>0</v>
      </c>
      <c r="M3104" s="2" t="str">
        <f aca="false">IF(C3104="","",IFERROR(INDEX($S$5:$S$304,MATCH(C3104,$R$5:$R$304,0))&amp;"","?"))</f>
        <v>18</v>
      </c>
      <c r="N3104" s="2" t="n">
        <f aca="false">IF(E3104="","",IF(ISNUMBER(SEARCH("SUBSOLO",E3104)),IFERROR(-VALUE(LEFT(E3104,FIND("º",SUBSTITUTE(E3104,"°","º"))-1)),-1),IF(LEFT(E3104,6)="TÉRREO",0,IFERROR(VALUE(LEFT(E3104,FIND("º",SUBSTITUTE(E3104,"°","º"))-1)),""))))</f>
        <v>-6</v>
      </c>
      <c r="O3104" s="2" t="str">
        <f aca="false">IF(OR(F3104="",G3104=""),"",IF(G3104&lt;='RETRATO 2027'!$K$5,"CONCLUÍDA",IF(F3104&lt;='RETRATO 2027'!$K$5,"EM ANDAMENTO","A INICIAR")))</f>
        <v>CONCLUÍDA</v>
      </c>
    </row>
    <row r="3105" customFormat="false" ht="15" hidden="false" customHeight="false" outlineLevel="0" collapsed="false">
      <c r="B3105" s="4" t="n">
        <v>26750550</v>
      </c>
      <c r="C3105" s="4" t="s">
        <v>2951</v>
      </c>
      <c r="D3105" s="4" t="s">
        <v>433</v>
      </c>
      <c r="E3105" s="4" t="s">
        <v>3676</v>
      </c>
      <c r="F3105" s="127" t="n">
        <v>46680</v>
      </c>
      <c r="G3105" s="127" t="n">
        <v>46686</v>
      </c>
      <c r="H3105" s="127" t="n">
        <v>46293</v>
      </c>
      <c r="I3105" s="4" t="n">
        <v>0</v>
      </c>
      <c r="J3105" s="4" t="n">
        <v>0</v>
      </c>
      <c r="K3105" s="4" t="n">
        <v>0</v>
      </c>
      <c r="M3105" s="2" t="str">
        <f aca="false">IF(C3105="","",IFERROR(INDEX($S$5:$S$304,MATCH(C3105,$R$5:$R$304,0))&amp;"","?"))</f>
        <v>32</v>
      </c>
      <c r="N3105" s="2" t="n">
        <f aca="false">IF(E3105="","",IF(ISNUMBER(SEARCH("SUBSOLO",E3105)),IFERROR(-VALUE(LEFT(E3105,FIND("º",SUBSTITUTE(E3105,"°","º"))-1)),-1),IF(LEFT(E3105,6)="TÉRREO",0,IFERROR(VALUE(LEFT(E3105,FIND("º",SUBSTITUTE(E3105,"°","º"))-1)),""))))</f>
        <v>-3</v>
      </c>
      <c r="O3105" s="2" t="str">
        <f aca="false">IF(OR(F3105="",G3105=""),"",IF(G3105&lt;='RETRATO 2027'!$K$5,"CONCLUÍDA",IF(F3105&lt;='RETRATO 2027'!$K$5,"EM ANDAMENTO","A INICIAR")))</f>
        <v>CONCLUÍDA</v>
      </c>
    </row>
    <row r="3106" customFormat="false" ht="15" hidden="false" customHeight="false" outlineLevel="0" collapsed="false">
      <c r="B3106" s="4" t="n">
        <v>26707597</v>
      </c>
      <c r="C3106" s="4" t="s">
        <v>2808</v>
      </c>
      <c r="D3106" s="4" t="s">
        <v>433</v>
      </c>
      <c r="E3106" s="4" t="s">
        <v>3815</v>
      </c>
      <c r="F3106" s="127" t="n">
        <v>46680</v>
      </c>
      <c r="G3106" s="127" t="n">
        <v>46701</v>
      </c>
      <c r="H3106" s="127" t="n">
        <v>46293</v>
      </c>
      <c r="I3106" s="4" t="n">
        <v>0</v>
      </c>
      <c r="J3106" s="4" t="n">
        <v>0</v>
      </c>
      <c r="K3106" s="4" t="n">
        <v>0</v>
      </c>
      <c r="M3106" s="2" t="str">
        <f aca="false">IF(C3106="","",IFERROR(INDEX($S$5:$S$304,MATCH(C3106,$R$5:$R$304,0))&amp;"","?"))</f>
        <v>29</v>
      </c>
      <c r="N3106" s="2" t="n">
        <f aca="false">IF(E3106="","",IF(ISNUMBER(SEARCH("SUBSOLO",E3106)),IFERROR(-VALUE(LEFT(E3106,FIND("º",SUBSTITUTE(E3106,"°","º"))-1)),-1),IF(LEFT(E3106,6)="TÉRREO",0,IFERROR(VALUE(LEFT(E3106,FIND("º",SUBSTITUTE(E3106,"°","º"))-1)),""))))</f>
        <v>2</v>
      </c>
      <c r="O3106" s="2" t="str">
        <f aca="false">IF(OR(F3106="",G3106=""),"",IF(G3106&lt;='RETRATO 2027'!$K$5,"CONCLUÍDA",IF(F3106&lt;='RETRATO 2027'!$K$5,"EM ANDAMENTO","A INICIAR")))</f>
        <v>CONCLUÍDA</v>
      </c>
    </row>
    <row r="3107" customFormat="false" ht="15" hidden="false" customHeight="false" outlineLevel="0" collapsed="false">
      <c r="B3107" s="4" t="n">
        <v>26744956</v>
      </c>
      <c r="C3107" s="4" t="s">
        <v>2980</v>
      </c>
      <c r="D3107" s="4" t="s">
        <v>433</v>
      </c>
      <c r="E3107" s="4" t="s">
        <v>3671</v>
      </c>
      <c r="F3107" s="127" t="n">
        <v>46681</v>
      </c>
      <c r="G3107" s="127" t="n">
        <v>46692</v>
      </c>
      <c r="H3107" s="127" t="n">
        <v>46293</v>
      </c>
      <c r="I3107" s="4" t="n">
        <v>0</v>
      </c>
      <c r="J3107" s="4" t="n">
        <v>0</v>
      </c>
      <c r="K3107" s="4" t="n">
        <v>0</v>
      </c>
      <c r="M3107" s="2" t="str">
        <f aca="false">IF(C3107="","",IFERROR(INDEX($S$5:$S$304,MATCH(C3107,$R$5:$R$304,0))&amp;"","?"))</f>
        <v>35</v>
      </c>
      <c r="N3107" s="2" t="n">
        <f aca="false">IF(E3107="","",IF(ISNUMBER(SEARCH("SUBSOLO",E3107)),IFERROR(-VALUE(LEFT(E3107,FIND("º",SUBSTITUTE(E3107,"°","º"))-1)),-1),IF(LEFT(E3107,6)="TÉRREO",0,IFERROR(VALUE(LEFT(E3107,FIND("º",SUBSTITUTE(E3107,"°","º"))-1)),""))))</f>
        <v>-3</v>
      </c>
      <c r="O3107" s="2" t="str">
        <f aca="false">IF(OR(F3107="",G3107=""),"",IF(G3107&lt;='RETRATO 2027'!$K$5,"CONCLUÍDA",IF(F3107&lt;='RETRATO 2027'!$K$5,"EM ANDAMENTO","A INICIAR")))</f>
        <v>CONCLUÍDA</v>
      </c>
    </row>
    <row r="3108" customFormat="false" ht="15" hidden="false" customHeight="false" outlineLevel="0" collapsed="false">
      <c r="B3108" s="4" t="n">
        <v>26750525</v>
      </c>
      <c r="C3108" s="4" t="s">
        <v>2965</v>
      </c>
      <c r="D3108" s="4" t="s">
        <v>433</v>
      </c>
      <c r="E3108" s="4" t="s">
        <v>3597</v>
      </c>
      <c r="F3108" s="127" t="n">
        <v>46681</v>
      </c>
      <c r="G3108" s="127" t="n">
        <v>46692</v>
      </c>
      <c r="H3108" s="127" t="n">
        <v>46293</v>
      </c>
      <c r="I3108" s="4" t="n">
        <v>0</v>
      </c>
      <c r="J3108" s="4" t="n">
        <v>0</v>
      </c>
      <c r="K3108" s="4" t="n">
        <v>0</v>
      </c>
      <c r="M3108" s="2" t="str">
        <f aca="false">IF(C3108="","",IFERROR(INDEX($S$5:$S$304,MATCH(C3108,$R$5:$R$304,0))&amp;"","?"))</f>
        <v>20</v>
      </c>
      <c r="N3108" s="2" t="n">
        <f aca="false">IF(E3108="","",IF(ISNUMBER(SEARCH("SUBSOLO",E3108)),IFERROR(-VALUE(LEFT(E3108,FIND("º",SUBSTITUTE(E3108,"°","º"))-1)),-1),IF(LEFT(E3108,6)="TÉRREO",0,IFERROR(VALUE(LEFT(E3108,FIND("º",SUBSTITUTE(E3108,"°","º"))-1)),""))))</f>
        <v>-2</v>
      </c>
      <c r="O3108" s="2" t="str">
        <f aca="false">IF(OR(F3108="",G3108=""),"",IF(G3108&lt;='RETRATO 2027'!$K$5,"CONCLUÍDA",IF(F3108&lt;='RETRATO 2027'!$K$5,"EM ANDAMENTO","A INICIAR")))</f>
        <v>CONCLUÍDA</v>
      </c>
    </row>
    <row r="3109" customFormat="false" ht="15" hidden="false" customHeight="false" outlineLevel="0" collapsed="false">
      <c r="B3109" s="4" t="n">
        <v>29845887</v>
      </c>
      <c r="C3109" s="4" t="s">
        <v>2986</v>
      </c>
      <c r="D3109" s="4" t="s">
        <v>433</v>
      </c>
      <c r="E3109" s="4" t="s">
        <v>3243</v>
      </c>
      <c r="F3109" s="127" t="n">
        <v>46681</v>
      </c>
      <c r="G3109" s="127" t="n">
        <v>46687</v>
      </c>
      <c r="H3109" s="127" t="n">
        <v>46293</v>
      </c>
      <c r="I3109" s="4" t="n">
        <v>0</v>
      </c>
      <c r="J3109" s="4" t="n">
        <v>0</v>
      </c>
      <c r="K3109" s="4" t="n">
        <v>0</v>
      </c>
      <c r="M3109" s="2" t="str">
        <f aca="false">IF(C3109="","",IFERROR(INDEX($S$5:$S$304,MATCH(C3109,$R$5:$R$304,0))&amp;"","?"))</f>
        <v>20</v>
      </c>
      <c r="N3109" s="2" t="n">
        <f aca="false">IF(E3109="","",IF(ISNUMBER(SEARCH("SUBSOLO",E3109)),IFERROR(-VALUE(LEFT(E3109,FIND("º",SUBSTITUTE(E3109,"°","º"))-1)),-1),IF(LEFT(E3109,6)="TÉRREO",0,IFERROR(VALUE(LEFT(E3109,FIND("º",SUBSTITUTE(E3109,"°","º"))-1)),""))))</f>
        <v>1</v>
      </c>
      <c r="O3109" s="2" t="str">
        <f aca="false">IF(OR(F3109="",G3109=""),"",IF(G3109&lt;='RETRATO 2027'!$K$5,"CONCLUÍDA",IF(F3109&lt;='RETRATO 2027'!$K$5,"EM ANDAMENTO","A INICIAR")))</f>
        <v>CONCLUÍDA</v>
      </c>
    </row>
    <row r="3110" customFormat="false" ht="15" hidden="false" customHeight="false" outlineLevel="0" collapsed="false">
      <c r="B3110" s="4" t="n">
        <v>26707623</v>
      </c>
      <c r="C3110" s="4" t="s">
        <v>2980</v>
      </c>
      <c r="D3110" s="4" t="s">
        <v>433</v>
      </c>
      <c r="E3110" s="4" t="s">
        <v>3811</v>
      </c>
      <c r="F3110" s="127" t="n">
        <v>46681</v>
      </c>
      <c r="G3110" s="127" t="n">
        <v>46702</v>
      </c>
      <c r="H3110" s="127" t="n">
        <v>46293</v>
      </c>
      <c r="I3110" s="4" t="n">
        <v>0</v>
      </c>
      <c r="J3110" s="4" t="n">
        <v>0</v>
      </c>
      <c r="K3110" s="4" t="n">
        <v>0</v>
      </c>
      <c r="M3110" s="2" t="str">
        <f aca="false">IF(C3110="","",IFERROR(INDEX($S$5:$S$304,MATCH(C3110,$R$5:$R$304,0))&amp;"","?"))</f>
        <v>35</v>
      </c>
      <c r="N3110" s="2" t="n">
        <f aca="false">IF(E3110="","",IF(ISNUMBER(SEARCH("SUBSOLO",E3110)),IFERROR(-VALUE(LEFT(E3110,FIND("º",SUBSTITUTE(E3110,"°","º"))-1)),-1),IF(LEFT(E3110,6)="TÉRREO",0,IFERROR(VALUE(LEFT(E3110,FIND("º",SUBSTITUTE(E3110,"°","º"))-1)),""))))</f>
        <v>2</v>
      </c>
      <c r="O3110" s="2" t="str">
        <f aca="false">IF(OR(F3110="",G3110=""),"",IF(G3110&lt;='RETRATO 2027'!$K$5,"CONCLUÍDA",IF(F3110&lt;='RETRATO 2027'!$K$5,"EM ANDAMENTO","A INICIAR")))</f>
        <v>CONCLUÍDA</v>
      </c>
    </row>
    <row r="3111" customFormat="false" ht="15" hidden="false" customHeight="false" outlineLevel="0" collapsed="false">
      <c r="B3111" s="4" t="n">
        <v>26743089</v>
      </c>
      <c r="C3111" s="4" t="s">
        <v>2997</v>
      </c>
      <c r="D3111" s="4" t="s">
        <v>433</v>
      </c>
      <c r="E3111" s="4" t="s">
        <v>3779</v>
      </c>
      <c r="F3111" s="127" t="n">
        <v>46681</v>
      </c>
      <c r="G3111" s="127" t="n">
        <v>46692</v>
      </c>
      <c r="H3111" s="127" t="n">
        <v>46293</v>
      </c>
      <c r="I3111" s="4" t="n">
        <v>0</v>
      </c>
      <c r="J3111" s="4" t="n">
        <v>0</v>
      </c>
      <c r="K3111" s="4" t="n">
        <v>0</v>
      </c>
      <c r="M3111" s="2" t="str">
        <f aca="false">IF(C3111="","",IFERROR(INDEX($S$5:$S$304,MATCH(C3111,$R$5:$R$304,0))&amp;"","?"))</f>
        <v>35</v>
      </c>
      <c r="N3111" s="2" t="n">
        <f aca="false">IF(E3111="","",IF(ISNUMBER(SEARCH("SUBSOLO",E3111)),IFERROR(-VALUE(LEFT(E3111,FIND("º",SUBSTITUTE(E3111,"°","º"))-1)),-1),IF(LEFT(E3111,6)="TÉRREO",0,IFERROR(VALUE(LEFT(E3111,FIND("º",SUBSTITUTE(E3111,"°","º"))-1)),""))))</f>
        <v>19</v>
      </c>
      <c r="O3111" s="2" t="str">
        <f aca="false">IF(OR(F3111="",G3111=""),"",IF(G3111&lt;='RETRATO 2027'!$K$5,"CONCLUÍDA",IF(F3111&lt;='RETRATO 2027'!$K$5,"EM ANDAMENTO","A INICIAR")))</f>
        <v>CONCLUÍDA</v>
      </c>
    </row>
    <row r="3112" customFormat="false" ht="15" hidden="false" customHeight="false" outlineLevel="0" collapsed="false">
      <c r="B3112" s="4" t="n">
        <v>26743051</v>
      </c>
      <c r="C3112" s="4" t="s">
        <v>2980</v>
      </c>
      <c r="D3112" s="4" t="s">
        <v>433</v>
      </c>
      <c r="E3112" s="4" t="s">
        <v>3781</v>
      </c>
      <c r="F3112" s="127" t="n">
        <v>46681</v>
      </c>
      <c r="G3112" s="127" t="n">
        <v>46692</v>
      </c>
      <c r="H3112" s="127" t="n">
        <v>46293</v>
      </c>
      <c r="I3112" s="4" t="n">
        <v>0</v>
      </c>
      <c r="J3112" s="4" t="n">
        <v>0</v>
      </c>
      <c r="K3112" s="4" t="n">
        <v>0</v>
      </c>
      <c r="M3112" s="2" t="str">
        <f aca="false">IF(C3112="","",IFERROR(INDEX($S$5:$S$304,MATCH(C3112,$R$5:$R$304,0))&amp;"","?"))</f>
        <v>35</v>
      </c>
      <c r="N3112" s="2" t="n">
        <f aca="false">IF(E3112="","",IF(ISNUMBER(SEARCH("SUBSOLO",E3112)),IFERROR(-VALUE(LEFT(E3112,FIND("º",SUBSTITUTE(E3112,"°","º"))-1)),-1),IF(LEFT(E3112,6)="TÉRREO",0,IFERROR(VALUE(LEFT(E3112,FIND("º",SUBSTITUTE(E3112,"°","º"))-1)),""))))</f>
        <v>20</v>
      </c>
      <c r="O3112" s="2" t="str">
        <f aca="false">IF(OR(F3112="",G3112=""),"",IF(G3112&lt;='RETRATO 2027'!$K$5,"CONCLUÍDA",IF(F3112&lt;='RETRATO 2027'!$K$5,"EM ANDAMENTO","A INICIAR")))</f>
        <v>CONCLUÍDA</v>
      </c>
    </row>
    <row r="3113" customFormat="false" ht="15" hidden="false" customHeight="false" outlineLevel="0" collapsed="false">
      <c r="B3113" s="4" t="n">
        <v>26743021</v>
      </c>
      <c r="C3113" s="4" t="s">
        <v>208</v>
      </c>
      <c r="D3113" s="4" t="s">
        <v>433</v>
      </c>
      <c r="E3113" s="4" t="s">
        <v>3783</v>
      </c>
      <c r="F3113" s="127" t="n">
        <v>46681</v>
      </c>
      <c r="G3113" s="127" t="n">
        <v>46692</v>
      </c>
      <c r="H3113" s="127" t="n">
        <v>46293</v>
      </c>
      <c r="I3113" s="4" t="n">
        <v>0</v>
      </c>
      <c r="J3113" s="4" t="n">
        <v>0</v>
      </c>
      <c r="K3113" s="4" t="n">
        <v>0</v>
      </c>
      <c r="M3113" s="2" t="str">
        <f aca="false">IF(C3113="","",IFERROR(INDEX($S$5:$S$304,MATCH(C3113,$R$5:$R$304,0))&amp;"","?"))</f>
        <v>33</v>
      </c>
      <c r="N3113" s="2" t="n">
        <f aca="false">IF(E3113="","",IF(ISNUMBER(SEARCH("SUBSOLO",E3113)),IFERROR(-VALUE(LEFT(E3113,FIND("º",SUBSTITUTE(E3113,"°","º"))-1)),-1),IF(LEFT(E3113,6)="TÉRREO",0,IFERROR(VALUE(LEFT(E3113,FIND("º",SUBSTITUTE(E3113,"°","º"))-1)),""))))</f>
        <v>21</v>
      </c>
      <c r="O3113" s="2" t="str">
        <f aca="false">IF(OR(F3113="",G3113=""),"",IF(G3113&lt;='RETRATO 2027'!$K$5,"CONCLUÍDA",IF(F3113&lt;='RETRATO 2027'!$K$5,"EM ANDAMENTO","A INICIAR")))</f>
        <v>CONCLUÍDA</v>
      </c>
    </row>
    <row r="3114" customFormat="false" ht="15" hidden="false" customHeight="false" outlineLevel="0" collapsed="false">
      <c r="B3114" s="4" t="n">
        <v>36118371</v>
      </c>
      <c r="C3114" s="4" t="s">
        <v>2808</v>
      </c>
      <c r="D3114" s="4" t="s">
        <v>433</v>
      </c>
      <c r="E3114" s="4" t="s">
        <v>3821</v>
      </c>
      <c r="F3114" s="127" t="n">
        <v>46682</v>
      </c>
      <c r="G3114" s="127" t="n">
        <v>46688</v>
      </c>
      <c r="H3114" s="127" t="n">
        <v>46293</v>
      </c>
      <c r="I3114" s="4" t="n">
        <v>0</v>
      </c>
      <c r="J3114" s="4" t="n">
        <v>0</v>
      </c>
      <c r="K3114" s="4" t="n">
        <v>0</v>
      </c>
      <c r="M3114" s="2" t="str">
        <f aca="false">IF(C3114="","",IFERROR(INDEX($S$5:$S$304,MATCH(C3114,$R$5:$R$304,0))&amp;"","?"))</f>
        <v>29</v>
      </c>
      <c r="N3114" s="2" t="n">
        <f aca="false">IF(E3114="","",IF(ISNUMBER(SEARCH("SUBSOLO",E3114)),IFERROR(-VALUE(LEFT(E3114,FIND("º",SUBSTITUTE(E3114,"°","º"))-1)),-1),IF(LEFT(E3114,6)="TÉRREO",0,IFERROR(VALUE(LEFT(E3114,FIND("º",SUBSTITUTE(E3114,"°","º"))-1)),""))))</f>
        <v>-6</v>
      </c>
      <c r="O3114" s="2" t="str">
        <f aca="false">IF(OR(F3114="",G3114=""),"",IF(G3114&lt;='RETRATO 2027'!$K$5,"CONCLUÍDA",IF(F3114&lt;='RETRATO 2027'!$K$5,"EM ANDAMENTO","A INICIAR")))</f>
        <v>CONCLUÍDA</v>
      </c>
    </row>
    <row r="3115" customFormat="false" ht="15" hidden="false" customHeight="false" outlineLevel="0" collapsed="false">
      <c r="B3115" s="4" t="n">
        <v>26744488</v>
      </c>
      <c r="C3115" s="4" t="s">
        <v>163</v>
      </c>
      <c r="D3115" s="4" t="s">
        <v>433</v>
      </c>
      <c r="E3115" s="4" t="s">
        <v>3827</v>
      </c>
      <c r="F3115" s="127" t="n">
        <v>46682</v>
      </c>
      <c r="G3115" s="127" t="n">
        <v>46715</v>
      </c>
      <c r="H3115" s="127" t="n">
        <v>46293</v>
      </c>
      <c r="I3115" s="4" t="n">
        <v>0</v>
      </c>
      <c r="J3115" s="4" t="n">
        <v>0</v>
      </c>
      <c r="K3115" s="4" t="n">
        <v>0</v>
      </c>
      <c r="M3115" s="2" t="str">
        <f aca="false">IF(C3115="","",IFERROR(INDEX($S$5:$S$304,MATCH(C3115,$R$5:$R$304,0))&amp;"","?"))</f>
        <v>18</v>
      </c>
      <c r="N3115" s="2" t="n">
        <f aca="false">IF(E3115="","",IF(ISNUMBER(SEARCH("SUBSOLO",E3115)),IFERROR(-VALUE(LEFT(E3115,FIND("º",SUBSTITUTE(E3115,"°","º"))-1)),-1),IF(LEFT(E3115,6)="TÉRREO",0,IFERROR(VALUE(LEFT(E3115,FIND("º",SUBSTITUTE(E3115,"°","º"))-1)),""))))</f>
        <v>3</v>
      </c>
      <c r="O3115" s="2" t="str">
        <f aca="false">IF(OR(F3115="",G3115=""),"",IF(G3115&lt;='RETRATO 2027'!$K$5,"CONCLUÍDA",IF(F3115&lt;='RETRATO 2027'!$K$5,"EM ANDAMENTO","A INICIAR")))</f>
        <v>CONCLUÍDA</v>
      </c>
    </row>
    <row r="3116" customFormat="false" ht="15" hidden="false" customHeight="false" outlineLevel="0" collapsed="false">
      <c r="B3116" s="4" t="n">
        <v>26744663</v>
      </c>
      <c r="C3116" s="4" t="s">
        <v>2869</v>
      </c>
      <c r="D3116" s="4" t="s">
        <v>433</v>
      </c>
      <c r="E3116" s="4" t="s">
        <v>3774</v>
      </c>
      <c r="F3116" s="127" t="n">
        <v>46682</v>
      </c>
      <c r="G3116" s="127" t="n">
        <v>46696</v>
      </c>
      <c r="H3116" s="127" t="n">
        <v>46293</v>
      </c>
      <c r="I3116" s="4" t="n">
        <v>0</v>
      </c>
      <c r="J3116" s="4" t="n">
        <v>0</v>
      </c>
      <c r="K3116" s="4" t="n">
        <v>0</v>
      </c>
      <c r="M3116" s="2" t="str">
        <f aca="false">IF(C3116="","",IFERROR(INDEX($S$5:$S$304,MATCH(C3116,$R$5:$R$304,0))&amp;"","?"))</f>
        <v>22</v>
      </c>
      <c r="N3116" s="2" t="n">
        <f aca="false">IF(E3116="","",IF(ISNUMBER(SEARCH("SUBSOLO",E3116)),IFERROR(-VALUE(LEFT(E3116,FIND("º",SUBSTITUTE(E3116,"°","º"))-1)),-1),IF(LEFT(E3116,6)="TÉRREO",0,IFERROR(VALUE(LEFT(E3116,FIND("º",SUBSTITUTE(E3116,"°","º"))-1)),""))))</f>
        <v>3</v>
      </c>
      <c r="O3116" s="2" t="str">
        <f aca="false">IF(OR(F3116="",G3116=""),"",IF(G3116&lt;='RETRATO 2027'!$K$5,"CONCLUÍDA",IF(F3116&lt;='RETRATO 2027'!$K$5,"EM ANDAMENTO","A INICIAR")))</f>
        <v>CONCLUÍDA</v>
      </c>
    </row>
    <row r="3117" customFormat="false" ht="15" hidden="false" customHeight="false" outlineLevel="0" collapsed="false">
      <c r="B3117" s="4" t="n">
        <v>29845969</v>
      </c>
      <c r="C3117" s="4" t="s">
        <v>2983</v>
      </c>
      <c r="D3117" s="4" t="s">
        <v>433</v>
      </c>
      <c r="E3117" s="4" t="s">
        <v>3786</v>
      </c>
      <c r="F3117" s="127" t="n">
        <v>46682</v>
      </c>
      <c r="G3117" s="127" t="n">
        <v>46692</v>
      </c>
      <c r="H3117" s="127" t="n">
        <v>46293</v>
      </c>
      <c r="I3117" s="4" t="n">
        <v>0</v>
      </c>
      <c r="J3117" s="4" t="n">
        <v>0</v>
      </c>
      <c r="K3117" s="4" t="n">
        <v>0</v>
      </c>
      <c r="M3117" s="2" t="str">
        <f aca="false">IF(C3117="","",IFERROR(INDEX($S$5:$S$304,MATCH(C3117,$R$5:$R$304,0))&amp;"","?"))</f>
        <v>20</v>
      </c>
      <c r="N3117" s="2" t="n">
        <f aca="false">IF(E3117="","",IF(ISNUMBER(SEARCH("SUBSOLO",E3117)),IFERROR(-VALUE(LEFT(E3117,FIND("º",SUBSTITUTE(E3117,"°","º"))-1)),-1),IF(LEFT(E3117,6)="TÉRREO",0,IFERROR(VALUE(LEFT(E3117,FIND("º",SUBSTITUTE(E3117,"°","º"))-1)),""))))</f>
        <v>22</v>
      </c>
      <c r="O3117" s="2" t="str">
        <f aca="false">IF(OR(F3117="",G3117=""),"",IF(G3117&lt;='RETRATO 2027'!$K$5,"CONCLUÍDA",IF(F3117&lt;='RETRATO 2027'!$K$5,"EM ANDAMENTO","A INICIAR")))</f>
        <v>CONCLUÍDA</v>
      </c>
    </row>
    <row r="3118" customFormat="false" ht="15" hidden="false" customHeight="false" outlineLevel="0" collapsed="false">
      <c r="B3118" s="4" t="n">
        <v>29845908</v>
      </c>
      <c r="C3118" s="4" t="s">
        <v>2986</v>
      </c>
      <c r="D3118" s="4" t="s">
        <v>433</v>
      </c>
      <c r="E3118" s="4" t="s">
        <v>3786</v>
      </c>
      <c r="F3118" s="127" t="n">
        <v>46682</v>
      </c>
      <c r="G3118" s="127" t="n">
        <v>46694</v>
      </c>
      <c r="H3118" s="127" t="n">
        <v>46293</v>
      </c>
      <c r="I3118" s="4" t="n">
        <v>0</v>
      </c>
      <c r="J3118" s="4" t="n">
        <v>0</v>
      </c>
      <c r="K3118" s="4" t="n">
        <v>0</v>
      </c>
      <c r="M3118" s="2" t="str">
        <f aca="false">IF(C3118="","",IFERROR(INDEX($S$5:$S$304,MATCH(C3118,$R$5:$R$304,0))&amp;"","?"))</f>
        <v>20</v>
      </c>
      <c r="N3118" s="2" t="n">
        <f aca="false">IF(E3118="","",IF(ISNUMBER(SEARCH("SUBSOLO",E3118)),IFERROR(-VALUE(LEFT(E3118,FIND("º",SUBSTITUTE(E3118,"°","º"))-1)),-1),IF(LEFT(E3118,6)="TÉRREO",0,IFERROR(VALUE(LEFT(E3118,FIND("º",SUBSTITUTE(E3118,"°","º"))-1)),""))))</f>
        <v>22</v>
      </c>
      <c r="O3118" s="2" t="str">
        <f aca="false">IF(OR(F3118="",G3118=""),"",IF(G3118&lt;='RETRATO 2027'!$K$5,"CONCLUÍDA",IF(F3118&lt;='RETRATO 2027'!$K$5,"EM ANDAMENTO","A INICIAR")))</f>
        <v>CONCLUÍDA</v>
      </c>
    </row>
    <row r="3119" customFormat="false" ht="15" hidden="false" customHeight="false" outlineLevel="0" collapsed="false">
      <c r="B3119" s="4" t="n">
        <v>26742949</v>
      </c>
      <c r="C3119" s="4" t="s">
        <v>2977</v>
      </c>
      <c r="D3119" s="4" t="s">
        <v>433</v>
      </c>
      <c r="E3119" s="4" t="s">
        <v>3787</v>
      </c>
      <c r="F3119" s="127" t="n">
        <v>46682</v>
      </c>
      <c r="G3119" s="127" t="n">
        <v>46694</v>
      </c>
      <c r="H3119" s="127" t="n">
        <v>46293</v>
      </c>
      <c r="I3119" s="4" t="n">
        <v>0</v>
      </c>
      <c r="J3119" s="4" t="n">
        <v>0</v>
      </c>
      <c r="K3119" s="4" t="n">
        <v>0</v>
      </c>
      <c r="M3119" s="2" t="str">
        <f aca="false">IF(C3119="","",IFERROR(INDEX($S$5:$S$304,MATCH(C3119,$R$5:$R$304,0))&amp;"","?"))</f>
        <v>30</v>
      </c>
      <c r="N3119" s="2" t="n">
        <f aca="false">IF(E3119="","",IF(ISNUMBER(SEARCH("SUBSOLO",E3119)),IFERROR(-VALUE(LEFT(E3119,FIND("º",SUBSTITUTE(E3119,"°","º"))-1)),-1),IF(LEFT(E3119,6)="TÉRREO",0,IFERROR(VALUE(LEFT(E3119,FIND("º",SUBSTITUTE(E3119,"°","º"))-1)),""))))</f>
        <v>23</v>
      </c>
      <c r="O3119" s="2" t="str">
        <f aca="false">IF(OR(F3119="",G3119=""),"",IF(G3119&lt;='RETRATO 2027'!$K$5,"CONCLUÍDA",IF(F3119&lt;='RETRATO 2027'!$K$5,"EM ANDAMENTO","A INICIAR")))</f>
        <v>CONCLUÍDA</v>
      </c>
    </row>
    <row r="3120" customFormat="false" ht="15" hidden="false" customHeight="false" outlineLevel="0" collapsed="false">
      <c r="B3120" s="4" t="n">
        <v>26742905</v>
      </c>
      <c r="C3120" s="4" t="s">
        <v>2935</v>
      </c>
      <c r="D3120" s="4" t="s">
        <v>433</v>
      </c>
      <c r="E3120" s="4" t="s">
        <v>3788</v>
      </c>
      <c r="F3120" s="127" t="n">
        <v>46682</v>
      </c>
      <c r="G3120" s="127" t="n">
        <v>46694</v>
      </c>
      <c r="H3120" s="127" t="n">
        <v>46293</v>
      </c>
      <c r="I3120" s="4" t="n">
        <v>0</v>
      </c>
      <c r="J3120" s="4" t="n">
        <v>0</v>
      </c>
      <c r="K3120" s="4" t="n">
        <v>0</v>
      </c>
      <c r="M3120" s="2" t="str">
        <f aca="false">IF(C3120="","",IFERROR(INDEX($S$5:$S$304,MATCH(C3120,$R$5:$R$304,0))&amp;"","?"))</f>
        <v>30</v>
      </c>
      <c r="N3120" s="2" t="n">
        <f aca="false">IF(E3120="","",IF(ISNUMBER(SEARCH("SUBSOLO",E3120)),IFERROR(-VALUE(LEFT(E3120,FIND("º",SUBSTITUTE(E3120,"°","º"))-1)),-1),IF(LEFT(E3120,6)="TÉRREO",0,IFERROR(VALUE(LEFT(E3120,FIND("º",SUBSTITUTE(E3120,"°","º"))-1)),""))))</f>
        <v>24</v>
      </c>
      <c r="O3120" s="2" t="str">
        <f aca="false">IF(OR(F3120="",G3120=""),"",IF(G3120&lt;='RETRATO 2027'!$K$5,"CONCLUÍDA",IF(F3120&lt;='RETRATO 2027'!$K$5,"EM ANDAMENTO","A INICIAR")))</f>
        <v>CONCLUÍDA</v>
      </c>
    </row>
    <row r="3121" customFormat="false" ht="15" hidden="false" customHeight="false" outlineLevel="0" collapsed="false">
      <c r="B3121" s="4" t="n">
        <v>26742852</v>
      </c>
      <c r="C3121" s="4" t="s">
        <v>2938</v>
      </c>
      <c r="D3121" s="4" t="s">
        <v>433</v>
      </c>
      <c r="E3121" s="4" t="s">
        <v>3794</v>
      </c>
      <c r="F3121" s="127" t="n">
        <v>46682</v>
      </c>
      <c r="G3121" s="127" t="n">
        <v>46694</v>
      </c>
      <c r="H3121" s="127" t="n">
        <v>46293</v>
      </c>
      <c r="I3121" s="4" t="n">
        <v>0</v>
      </c>
      <c r="J3121" s="4" t="n">
        <v>0</v>
      </c>
      <c r="K3121" s="4" t="n">
        <v>0</v>
      </c>
      <c r="M3121" s="2" t="str">
        <f aca="false">IF(C3121="","",IFERROR(INDEX($S$5:$S$304,MATCH(C3121,$R$5:$R$304,0))&amp;"","?"))</f>
        <v>30</v>
      </c>
      <c r="N3121" s="2" t="n">
        <f aca="false">IF(E3121="","",IF(ISNUMBER(SEARCH("SUBSOLO",E3121)),IFERROR(-VALUE(LEFT(E3121,FIND("º",SUBSTITUTE(E3121,"°","º"))-1)),-1),IF(LEFT(E3121,6)="TÉRREO",0,IFERROR(VALUE(LEFT(E3121,FIND("º",SUBSTITUTE(E3121,"°","º"))-1)),""))))</f>
        <v>25</v>
      </c>
      <c r="O3121" s="2" t="str">
        <f aca="false">IF(OR(F3121="",G3121=""),"",IF(G3121&lt;='RETRATO 2027'!$K$5,"CONCLUÍDA",IF(F3121&lt;='RETRATO 2027'!$K$5,"EM ANDAMENTO","A INICIAR")))</f>
        <v>CONCLUÍDA</v>
      </c>
    </row>
    <row r="3122" customFormat="false" ht="15" hidden="false" customHeight="false" outlineLevel="0" collapsed="false">
      <c r="B3122" s="4" t="n">
        <v>26742814</v>
      </c>
      <c r="C3122" s="4" t="s">
        <v>166</v>
      </c>
      <c r="D3122" s="4" t="s">
        <v>433</v>
      </c>
      <c r="E3122" s="4" t="s">
        <v>3797</v>
      </c>
      <c r="F3122" s="127" t="n">
        <v>46682</v>
      </c>
      <c r="G3122" s="127" t="n">
        <v>46694</v>
      </c>
      <c r="H3122" s="127" t="n">
        <v>46293</v>
      </c>
      <c r="I3122" s="4" t="n">
        <v>0</v>
      </c>
      <c r="J3122" s="4" t="n">
        <v>0</v>
      </c>
      <c r="K3122" s="4" t="n">
        <v>0</v>
      </c>
      <c r="M3122" s="2" t="str">
        <f aca="false">IF(C3122="","",IFERROR(INDEX($S$5:$S$304,MATCH(C3122,$R$5:$R$304,0))&amp;"","?"))</f>
        <v>19</v>
      </c>
      <c r="N3122" s="2" t="n">
        <f aca="false">IF(E3122="","",IF(ISNUMBER(SEARCH("SUBSOLO",E3122)),IFERROR(-VALUE(LEFT(E3122,FIND("º",SUBSTITUTE(E3122,"°","º"))-1)),-1),IF(LEFT(E3122,6)="TÉRREO",0,IFERROR(VALUE(LEFT(E3122,FIND("º",SUBSTITUTE(E3122,"°","º"))-1)),""))))</f>
        <v>26</v>
      </c>
      <c r="O3122" s="2" t="str">
        <f aca="false">IF(OR(F3122="",G3122=""),"",IF(G3122&lt;='RETRATO 2027'!$K$5,"CONCLUÍDA",IF(F3122&lt;='RETRATO 2027'!$K$5,"EM ANDAMENTO","A INICIAR")))</f>
        <v>CONCLUÍDA</v>
      </c>
    </row>
    <row r="3123" customFormat="false" ht="15" hidden="false" customHeight="false" outlineLevel="0" collapsed="false">
      <c r="B3123" s="4" t="n">
        <v>26742787</v>
      </c>
      <c r="C3123" s="4" t="s">
        <v>2941</v>
      </c>
      <c r="D3123" s="4" t="s">
        <v>433</v>
      </c>
      <c r="E3123" s="4" t="s">
        <v>3799</v>
      </c>
      <c r="F3123" s="127" t="n">
        <v>46682</v>
      </c>
      <c r="G3123" s="127" t="n">
        <v>46694</v>
      </c>
      <c r="H3123" s="127" t="n">
        <v>46293</v>
      </c>
      <c r="I3123" s="4" t="n">
        <v>0</v>
      </c>
      <c r="J3123" s="4" t="n">
        <v>0</v>
      </c>
      <c r="K3123" s="4" t="n">
        <v>0</v>
      </c>
      <c r="M3123" s="2" t="str">
        <f aca="false">IF(C3123="","",IFERROR(INDEX($S$5:$S$304,MATCH(C3123,$R$5:$R$304,0))&amp;"","?"))</f>
        <v>18</v>
      </c>
      <c r="N3123" s="2" t="n">
        <f aca="false">IF(E3123="","",IF(ISNUMBER(SEARCH("SUBSOLO",E3123)),IFERROR(-VALUE(LEFT(E3123,FIND("º",SUBSTITUTE(E3123,"°","º"))-1)),-1),IF(LEFT(E3123,6)="TÉRREO",0,IFERROR(VALUE(LEFT(E3123,FIND("º",SUBSTITUTE(E3123,"°","º"))-1)),""))))</f>
        <v>27</v>
      </c>
      <c r="O3123" s="2" t="str">
        <f aca="false">IF(OR(F3123="",G3123=""),"",IF(G3123&lt;='RETRATO 2027'!$K$5,"CONCLUÍDA",IF(F3123&lt;='RETRATO 2027'!$K$5,"EM ANDAMENTO","A INICIAR")))</f>
        <v>CONCLUÍDA</v>
      </c>
    </row>
    <row r="3124" customFormat="false" ht="15" hidden="false" customHeight="false" outlineLevel="0" collapsed="false">
      <c r="B3124" s="4" t="n">
        <v>26742751</v>
      </c>
      <c r="C3124" s="4" t="s">
        <v>2924</v>
      </c>
      <c r="D3124" s="4" t="s">
        <v>433</v>
      </c>
      <c r="E3124" s="4" t="s">
        <v>3802</v>
      </c>
      <c r="F3124" s="127" t="n">
        <v>46682</v>
      </c>
      <c r="G3124" s="127" t="n">
        <v>46694</v>
      </c>
      <c r="H3124" s="127" t="n">
        <v>46293</v>
      </c>
      <c r="I3124" s="4" t="n">
        <v>0</v>
      </c>
      <c r="J3124" s="4" t="n">
        <v>0</v>
      </c>
      <c r="K3124" s="4" t="n">
        <v>0</v>
      </c>
      <c r="M3124" s="2" t="str">
        <f aca="false">IF(C3124="","",IFERROR(INDEX($S$5:$S$304,MATCH(C3124,$R$5:$R$304,0))&amp;"","?"))</f>
        <v>21</v>
      </c>
      <c r="N3124" s="2" t="n">
        <f aca="false">IF(E3124="","",IF(ISNUMBER(SEARCH("SUBSOLO",E3124)),IFERROR(-VALUE(LEFT(E3124,FIND("º",SUBSTITUTE(E3124,"°","º"))-1)),-1),IF(LEFT(E3124,6)="TÉRREO",0,IFERROR(VALUE(LEFT(E3124,FIND("º",SUBSTITUTE(E3124,"°","º"))-1)),""))))</f>
        <v>28</v>
      </c>
      <c r="O3124" s="2" t="str">
        <f aca="false">IF(OR(F3124="",G3124=""),"",IF(G3124&lt;='RETRATO 2027'!$K$5,"CONCLUÍDA",IF(F3124&lt;='RETRATO 2027'!$K$5,"EM ANDAMENTO","A INICIAR")))</f>
        <v>CONCLUÍDA</v>
      </c>
    </row>
    <row r="3125" customFormat="false" ht="15" hidden="false" customHeight="false" outlineLevel="0" collapsed="false">
      <c r="B3125" s="4" t="n">
        <v>26742734</v>
      </c>
      <c r="C3125" s="4" t="s">
        <v>2926</v>
      </c>
      <c r="D3125" s="4" t="s">
        <v>433</v>
      </c>
      <c r="E3125" s="4" t="s">
        <v>3802</v>
      </c>
      <c r="F3125" s="127" t="n">
        <v>46682</v>
      </c>
      <c r="G3125" s="127" t="n">
        <v>46694</v>
      </c>
      <c r="H3125" s="127" t="n">
        <v>46293</v>
      </c>
      <c r="I3125" s="4" t="n">
        <v>0</v>
      </c>
      <c r="J3125" s="4" t="n">
        <v>0</v>
      </c>
      <c r="K3125" s="4" t="n">
        <v>0</v>
      </c>
      <c r="M3125" s="2" t="str">
        <f aca="false">IF(C3125="","",IFERROR(INDEX($S$5:$S$304,MATCH(C3125,$R$5:$R$304,0))&amp;"","?"))</f>
        <v>20</v>
      </c>
      <c r="N3125" s="2" t="n">
        <f aca="false">IF(E3125="","",IF(ISNUMBER(SEARCH("SUBSOLO",E3125)),IFERROR(-VALUE(LEFT(E3125,FIND("º",SUBSTITUTE(E3125,"°","º"))-1)),-1),IF(LEFT(E3125,6)="TÉRREO",0,IFERROR(VALUE(LEFT(E3125,FIND("º",SUBSTITUTE(E3125,"°","º"))-1)),""))))</f>
        <v>28</v>
      </c>
      <c r="O3125" s="2" t="str">
        <f aca="false">IF(OR(F3125="",G3125=""),"",IF(G3125&lt;='RETRATO 2027'!$K$5,"CONCLUÍDA",IF(F3125&lt;='RETRATO 2027'!$K$5,"EM ANDAMENTO","A INICIAR")))</f>
        <v>CONCLUÍDA</v>
      </c>
    </row>
    <row r="3126" customFormat="false" ht="15" hidden="false" customHeight="false" outlineLevel="0" collapsed="false">
      <c r="B3126" s="4" t="n">
        <v>26742733</v>
      </c>
      <c r="C3126" s="4" t="s">
        <v>2928</v>
      </c>
      <c r="D3126" s="4" t="s">
        <v>433</v>
      </c>
      <c r="E3126" s="4" t="s">
        <v>3802</v>
      </c>
      <c r="F3126" s="127" t="n">
        <v>46682</v>
      </c>
      <c r="G3126" s="127" t="n">
        <v>46694</v>
      </c>
      <c r="H3126" s="127" t="n">
        <v>46293</v>
      </c>
      <c r="I3126" s="4" t="n">
        <v>0</v>
      </c>
      <c r="J3126" s="4" t="n">
        <v>0</v>
      </c>
      <c r="K3126" s="4" t="n">
        <v>0</v>
      </c>
      <c r="M3126" s="2" t="str">
        <f aca="false">IF(C3126="","",IFERROR(INDEX($S$5:$S$304,MATCH(C3126,$R$5:$R$304,0))&amp;"","?"))</f>
        <v>23</v>
      </c>
      <c r="N3126" s="2" t="n">
        <f aca="false">IF(E3126="","",IF(ISNUMBER(SEARCH("SUBSOLO",E3126)),IFERROR(-VALUE(LEFT(E3126,FIND("º",SUBSTITUTE(E3126,"°","º"))-1)),-1),IF(LEFT(E3126,6)="TÉRREO",0,IFERROR(VALUE(LEFT(E3126,FIND("º",SUBSTITUTE(E3126,"°","º"))-1)),""))))</f>
        <v>28</v>
      </c>
      <c r="O3126" s="2" t="str">
        <f aca="false">IF(OR(F3126="",G3126=""),"",IF(G3126&lt;='RETRATO 2027'!$K$5,"CONCLUÍDA",IF(F3126&lt;='RETRATO 2027'!$K$5,"EM ANDAMENTO","A INICIAR")))</f>
        <v>CONCLUÍDA</v>
      </c>
    </row>
    <row r="3127" customFormat="false" ht="15" hidden="false" customHeight="false" outlineLevel="0" collapsed="false">
      <c r="B3127" s="4" t="n">
        <v>26742752</v>
      </c>
      <c r="C3127" s="4" t="s">
        <v>2930</v>
      </c>
      <c r="D3127" s="4" t="s">
        <v>433</v>
      </c>
      <c r="E3127" s="4" t="s">
        <v>3802</v>
      </c>
      <c r="F3127" s="127" t="n">
        <v>46682</v>
      </c>
      <c r="G3127" s="127" t="n">
        <v>46694</v>
      </c>
      <c r="H3127" s="127" t="n">
        <v>46293</v>
      </c>
      <c r="I3127" s="4" t="n">
        <v>0</v>
      </c>
      <c r="J3127" s="4" t="n">
        <v>0</v>
      </c>
      <c r="K3127" s="4" t="n">
        <v>0</v>
      </c>
      <c r="M3127" s="2" t="str">
        <f aca="false">IF(C3127="","",IFERROR(INDEX($S$5:$S$304,MATCH(C3127,$R$5:$R$304,0))&amp;"","?"))</f>
        <v>21</v>
      </c>
      <c r="N3127" s="2" t="n">
        <f aca="false">IF(E3127="","",IF(ISNUMBER(SEARCH("SUBSOLO",E3127)),IFERROR(-VALUE(LEFT(E3127,FIND("º",SUBSTITUTE(E3127,"°","º"))-1)),-1),IF(LEFT(E3127,6)="TÉRREO",0,IFERROR(VALUE(LEFT(E3127,FIND("º",SUBSTITUTE(E3127,"°","º"))-1)),""))))</f>
        <v>28</v>
      </c>
      <c r="O3127" s="2" t="str">
        <f aca="false">IF(OR(F3127="",G3127=""),"",IF(G3127&lt;='RETRATO 2027'!$K$5,"CONCLUÍDA",IF(F3127&lt;='RETRATO 2027'!$K$5,"EM ANDAMENTO","A INICIAR")))</f>
        <v>CONCLUÍDA</v>
      </c>
    </row>
    <row r="3128" customFormat="false" ht="15" hidden="false" customHeight="false" outlineLevel="0" collapsed="false">
      <c r="B3128" s="4" t="n">
        <v>26742753</v>
      </c>
      <c r="C3128" s="4" t="s">
        <v>2933</v>
      </c>
      <c r="D3128" s="4" t="s">
        <v>433</v>
      </c>
      <c r="E3128" s="4" t="s">
        <v>3802</v>
      </c>
      <c r="F3128" s="127" t="n">
        <v>46682</v>
      </c>
      <c r="G3128" s="127" t="n">
        <v>46694</v>
      </c>
      <c r="H3128" s="127" t="n">
        <v>46293</v>
      </c>
      <c r="I3128" s="4" t="n">
        <v>0</v>
      </c>
      <c r="J3128" s="4" t="n">
        <v>0</v>
      </c>
      <c r="K3128" s="4" t="n">
        <v>0</v>
      </c>
      <c r="M3128" s="2" t="str">
        <f aca="false">IF(C3128="","",IFERROR(INDEX($S$5:$S$304,MATCH(C3128,$R$5:$R$304,0))&amp;"","?"))</f>
        <v>21</v>
      </c>
      <c r="N3128" s="2" t="n">
        <f aca="false">IF(E3128="","",IF(ISNUMBER(SEARCH("SUBSOLO",E3128)),IFERROR(-VALUE(LEFT(E3128,FIND("º",SUBSTITUTE(E3128,"°","º"))-1)),-1),IF(LEFT(E3128,6)="TÉRREO",0,IFERROR(VALUE(LEFT(E3128,FIND("º",SUBSTITUTE(E3128,"°","º"))-1)),""))))</f>
        <v>28</v>
      </c>
      <c r="O3128" s="2" t="str">
        <f aca="false">IF(OR(F3128="",G3128=""),"",IF(G3128&lt;='RETRATO 2027'!$K$5,"CONCLUÍDA",IF(F3128&lt;='RETRATO 2027'!$K$5,"EM ANDAMENTO","A INICIAR")))</f>
        <v>CONCLUÍDA</v>
      </c>
    </row>
    <row r="3129" customFormat="false" ht="15" hidden="false" customHeight="false" outlineLevel="0" collapsed="false">
      <c r="B3129" s="4" t="n">
        <v>26742695</v>
      </c>
      <c r="C3129" s="4" t="s">
        <v>2922</v>
      </c>
      <c r="D3129" s="4" t="s">
        <v>433</v>
      </c>
      <c r="E3129" s="4" t="s">
        <v>3803</v>
      </c>
      <c r="F3129" s="127" t="n">
        <v>46682</v>
      </c>
      <c r="G3129" s="127" t="n">
        <v>46694</v>
      </c>
      <c r="H3129" s="127" t="n">
        <v>46293</v>
      </c>
      <c r="I3129" s="4" t="n">
        <v>0</v>
      </c>
      <c r="J3129" s="4" t="n">
        <v>0</v>
      </c>
      <c r="K3129" s="4" t="n">
        <v>0</v>
      </c>
      <c r="M3129" s="2" t="str">
        <f aca="false">IF(C3129="","",IFERROR(INDEX($S$5:$S$304,MATCH(C3129,$R$5:$R$304,0))&amp;"","?"))</f>
        <v>18</v>
      </c>
      <c r="N3129" s="2" t="n">
        <f aca="false">IF(E3129="","",IF(ISNUMBER(SEARCH("SUBSOLO",E3129)),IFERROR(-VALUE(LEFT(E3129,FIND("º",SUBSTITUTE(E3129,"°","º"))-1)),-1),IF(LEFT(E3129,6)="TÉRREO",0,IFERROR(VALUE(LEFT(E3129,FIND("º",SUBSTITUTE(E3129,"°","º"))-1)),""))))</f>
        <v>29</v>
      </c>
      <c r="O3129" s="2" t="str">
        <f aca="false">IF(OR(F3129="",G3129=""),"",IF(G3129&lt;='RETRATO 2027'!$K$5,"CONCLUÍDA",IF(F3129&lt;='RETRATO 2027'!$K$5,"EM ANDAMENTO","A INICIAR")))</f>
        <v>CONCLUÍDA</v>
      </c>
    </row>
    <row r="3130" customFormat="false" ht="15" hidden="false" customHeight="false" outlineLevel="0" collapsed="false">
      <c r="B3130" s="4" t="n">
        <v>26714247</v>
      </c>
      <c r="C3130" s="4" t="s">
        <v>3000</v>
      </c>
      <c r="D3130" s="4" t="s">
        <v>433</v>
      </c>
      <c r="E3130" s="4" t="s">
        <v>3795</v>
      </c>
      <c r="F3130" s="127" t="n">
        <v>46682</v>
      </c>
      <c r="G3130" s="127" t="n">
        <v>46765</v>
      </c>
      <c r="H3130" s="127" t="n">
        <v>46293</v>
      </c>
      <c r="I3130" s="4" t="n">
        <v>0</v>
      </c>
      <c r="J3130" s="4" t="n">
        <v>0</v>
      </c>
      <c r="K3130" s="4" t="n">
        <v>0</v>
      </c>
      <c r="M3130" s="2" t="str">
        <f aca="false">IF(C3130="","",IFERROR(INDEX($S$5:$S$304,MATCH(C3130,$R$5:$R$304,0))&amp;"","?"))</f>
        <v>32</v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>EM ANDAMENTO</v>
      </c>
    </row>
    <row r="3131" customFormat="false" ht="15" hidden="false" customHeight="false" outlineLevel="0" collapsed="false">
      <c r="B3131" s="4" t="n">
        <v>26707657</v>
      </c>
      <c r="C3131" s="4" t="s">
        <v>2971</v>
      </c>
      <c r="D3131" s="4" t="s">
        <v>433</v>
      </c>
      <c r="E3131" s="4" t="s">
        <v>3785</v>
      </c>
      <c r="F3131" s="127" t="n">
        <v>46685</v>
      </c>
      <c r="G3131" s="127" t="n">
        <v>46699</v>
      </c>
      <c r="H3131" s="127" t="n">
        <v>46293</v>
      </c>
      <c r="I3131" s="4" t="n">
        <v>0</v>
      </c>
      <c r="J3131" s="4" t="n">
        <v>0</v>
      </c>
      <c r="K3131" s="4" t="n">
        <v>0</v>
      </c>
      <c r="M3131" s="2" t="str">
        <f aca="false">IF(C3131="","",IFERROR(INDEX($S$5:$S$304,MATCH(C3131,$R$5:$R$304,0))&amp;"","?"))</f>
        <v>37</v>
      </c>
      <c r="N3131" s="2" t="n">
        <f aca="false">IF(E3131="","",IF(ISNUMBER(SEARCH("SUBSOLO",E3131)),IFERROR(-VALUE(LEFT(E3131,FIND("º",SUBSTITUTE(E3131,"°","º"))-1)),-1),IF(LEFT(E3131,6)="TÉRREO",0,IFERROR(VALUE(LEFT(E3131,FIND("º",SUBSTITUTE(E3131,"°","º"))-1)),""))))</f>
        <v>1</v>
      </c>
      <c r="O3131" s="2" t="str">
        <f aca="false">IF(OR(F3131="",G3131=""),"",IF(G3131&lt;='RETRATO 2027'!$K$5,"CONCLUÍDA",IF(F3131&lt;='RETRATO 2027'!$K$5,"EM ANDAMENTO","A INICIAR")))</f>
        <v>CONCLUÍDA</v>
      </c>
    </row>
    <row r="3132" customFormat="false" ht="15" hidden="false" customHeight="false" outlineLevel="0" collapsed="false">
      <c r="B3132" s="4" t="n">
        <v>26745144</v>
      </c>
      <c r="C3132" s="4" t="s">
        <v>2965</v>
      </c>
      <c r="D3132" s="4" t="s">
        <v>433</v>
      </c>
      <c r="E3132" s="4" t="s">
        <v>3807</v>
      </c>
      <c r="F3132" s="127" t="n">
        <v>46685</v>
      </c>
      <c r="G3132" s="127" t="n">
        <v>46695</v>
      </c>
      <c r="H3132" s="127" t="n">
        <v>46293</v>
      </c>
      <c r="I3132" s="4" t="n">
        <v>0</v>
      </c>
      <c r="J3132" s="4" t="n">
        <v>0</v>
      </c>
      <c r="K3132" s="4" t="n">
        <v>0</v>
      </c>
      <c r="M3132" s="2" t="str">
        <f aca="false">IF(C3132="","",IFERROR(INDEX($S$5:$S$304,MATCH(C3132,$R$5:$R$304,0))&amp;"","?"))</f>
        <v>20</v>
      </c>
      <c r="N3132" s="2" t="n">
        <f aca="false">IF(E3132="","",IF(ISNUMBER(SEARCH("SUBSOLO",E3132)),IFERROR(-VALUE(LEFT(E3132,FIND("º",SUBSTITUTE(E3132,"°","º"))-1)),-1),IF(LEFT(E3132,6)="TÉRREO",0,IFERROR(VALUE(LEFT(E3132,FIND("º",SUBSTITUTE(E3132,"°","º"))-1)),""))))</f>
        <v>2</v>
      </c>
      <c r="O3132" s="2" t="str">
        <f aca="false">IF(OR(F3132="",G3132=""),"",IF(G3132&lt;='RETRATO 2027'!$K$5,"CONCLUÍDA",IF(F3132&lt;='RETRATO 2027'!$K$5,"EM ANDAMENTO","A INICIAR")))</f>
        <v>CONCLUÍDA</v>
      </c>
    </row>
    <row r="3133" customFormat="false" ht="15" hidden="false" customHeight="false" outlineLevel="0" collapsed="false">
      <c r="B3133" s="4" t="n">
        <v>26707575</v>
      </c>
      <c r="C3133" s="4" t="s">
        <v>2869</v>
      </c>
      <c r="D3133" s="4" t="s">
        <v>433</v>
      </c>
      <c r="E3133" s="4" t="s">
        <v>3822</v>
      </c>
      <c r="F3133" s="127" t="n">
        <v>46685</v>
      </c>
      <c r="G3133" s="127" t="n">
        <v>46707</v>
      </c>
      <c r="H3133" s="127" t="n">
        <v>46293</v>
      </c>
      <c r="I3133" s="4" t="n">
        <v>0</v>
      </c>
      <c r="J3133" s="4" t="n">
        <v>0</v>
      </c>
      <c r="K3133" s="4" t="n">
        <v>0</v>
      </c>
      <c r="M3133" s="2" t="str">
        <f aca="false">IF(C3133="","",IFERROR(INDEX($S$5:$S$304,MATCH(C3133,$R$5:$R$304,0))&amp;"","?"))</f>
        <v>22</v>
      </c>
      <c r="N3133" s="2" t="n">
        <f aca="false">IF(E3133="","",IF(ISNUMBER(SEARCH("SUBSOLO",E3133)),IFERROR(-VALUE(LEFT(E3133,FIND("º",SUBSTITUTE(E3133,"°","º"))-1)),-1),IF(LEFT(E3133,6)="TÉRREO",0,IFERROR(VALUE(LEFT(E3133,FIND("º",SUBSTITUTE(E3133,"°","º"))-1)),""))))</f>
        <v>2</v>
      </c>
      <c r="O3133" s="2" t="str">
        <f aca="false">IF(OR(F3133="",G3133=""),"",IF(G3133&lt;='RETRATO 2027'!$K$5,"CONCLUÍDA",IF(F3133&lt;='RETRATO 2027'!$K$5,"EM ANDAMENTO","A INICIAR")))</f>
        <v>CONCLUÍDA</v>
      </c>
    </row>
    <row r="3134" customFormat="false" ht="15" hidden="false" customHeight="false" outlineLevel="0" collapsed="false">
      <c r="B3134" s="4" t="n">
        <v>26745025</v>
      </c>
      <c r="C3134" s="4" t="s">
        <v>163</v>
      </c>
      <c r="D3134" s="4" t="s">
        <v>433</v>
      </c>
      <c r="E3134" s="4" t="s">
        <v>3828</v>
      </c>
      <c r="F3134" s="127" t="n">
        <v>46685</v>
      </c>
      <c r="G3134" s="127" t="n">
        <v>46716</v>
      </c>
      <c r="H3134" s="127" t="n">
        <v>46293</v>
      </c>
      <c r="I3134" s="4" t="n">
        <v>0</v>
      </c>
      <c r="J3134" s="4" t="n">
        <v>0</v>
      </c>
      <c r="K3134" s="4" t="n">
        <v>0</v>
      </c>
      <c r="M3134" s="2" t="str">
        <f aca="false">IF(C3134="","",IFERROR(INDEX($S$5:$S$304,MATCH(C3134,$R$5:$R$304,0))&amp;"","?"))</f>
        <v>18</v>
      </c>
      <c r="N3134" s="2" t="n">
        <f aca="false">IF(E3134="","",IF(ISNUMBER(SEARCH("SUBSOLO",E3134)),IFERROR(-VALUE(LEFT(E3134,FIND("º",SUBSTITUTE(E3134,"°","º"))-1)),-1),IF(LEFT(E3134,6)="TÉRREO",0,IFERROR(VALUE(LEFT(E3134,FIND("º",SUBSTITUTE(E3134,"°","º"))-1)),""))))</f>
        <v>2</v>
      </c>
      <c r="O3134" s="2" t="str">
        <f aca="false">IF(OR(F3134="",G3134=""),"",IF(G3134&lt;='RETRATO 2027'!$K$5,"CONCLUÍDA",IF(F3134&lt;='RETRATO 2027'!$K$5,"EM ANDAMENTO","A INICIAR")))</f>
        <v>CONCLUÍDA</v>
      </c>
    </row>
    <row r="3135" customFormat="false" ht="15" hidden="false" customHeight="false" outlineLevel="0" collapsed="false">
      <c r="B3135" s="4" t="n">
        <v>26744948</v>
      </c>
      <c r="C3135" s="4" t="s">
        <v>2971</v>
      </c>
      <c r="D3135" s="4" t="s">
        <v>433</v>
      </c>
      <c r="E3135" s="4" t="s">
        <v>3612</v>
      </c>
      <c r="F3135" s="127" t="n">
        <v>46686</v>
      </c>
      <c r="G3135" s="127" t="n">
        <v>46695</v>
      </c>
      <c r="H3135" s="127" t="n">
        <v>46293</v>
      </c>
      <c r="I3135" s="4" t="n">
        <v>0</v>
      </c>
      <c r="J3135" s="4" t="n">
        <v>0</v>
      </c>
      <c r="K3135" s="4" t="n">
        <v>0</v>
      </c>
      <c r="M3135" s="2" t="str">
        <f aca="false">IF(C3135="","",IFERROR(INDEX($S$5:$S$304,MATCH(C3135,$R$5:$R$304,0))&amp;"","?"))</f>
        <v>37</v>
      </c>
      <c r="N3135" s="2" t="n">
        <f aca="false">IF(E3135="","",IF(ISNUMBER(SEARCH("SUBSOLO",E3135)),IFERROR(-VALUE(LEFT(E3135,FIND("º",SUBSTITUTE(E3135,"°","º"))-1)),-1),IF(LEFT(E3135,6)="TÉRREO",0,IFERROR(VALUE(LEFT(E3135,FIND("º",SUBSTITUTE(E3135,"°","º"))-1)),""))))</f>
        <v>-1</v>
      </c>
      <c r="O3135" s="2" t="str">
        <f aca="false">IF(OR(F3135="",G3135=""),"",IF(G3135&lt;='RETRATO 2027'!$K$5,"CONCLUÍDA",IF(F3135&lt;='RETRATO 2027'!$K$5,"EM ANDAMENTO","A INICIAR")))</f>
        <v>CONCLUÍDA</v>
      </c>
    </row>
    <row r="3136" customFormat="false" ht="15" hidden="false" customHeight="false" outlineLevel="0" collapsed="false">
      <c r="B3136" s="4" t="n">
        <v>26745177</v>
      </c>
      <c r="C3136" s="4" t="s">
        <v>3057</v>
      </c>
      <c r="D3136" s="4" t="s">
        <v>433</v>
      </c>
      <c r="E3136" s="4" t="s">
        <v>3770</v>
      </c>
      <c r="F3136" s="127" t="n">
        <v>46686</v>
      </c>
      <c r="G3136" s="127" t="n">
        <v>46696</v>
      </c>
      <c r="H3136" s="127" t="n">
        <v>46293</v>
      </c>
      <c r="I3136" s="4" t="n">
        <v>0</v>
      </c>
      <c r="J3136" s="4" t="n">
        <v>0</v>
      </c>
      <c r="K3136" s="4" t="n">
        <v>0</v>
      </c>
      <c r="M3136" s="2" t="str">
        <f aca="false">IF(C3136="","",IFERROR(INDEX($S$5:$S$304,MATCH(C3136,$R$5:$R$304,0))&amp;"","?"))</f>
        <v>26</v>
      </c>
      <c r="N3136" s="2" t="n">
        <f aca="false">IF(E3136="","",IF(ISNUMBER(SEARCH("SUBSOLO",E3136)),IFERROR(-VALUE(LEFT(E3136,FIND("º",SUBSTITUTE(E3136,"°","º"))-1)),-1),IF(LEFT(E3136,6)="TÉRREO",0,IFERROR(VALUE(LEFT(E3136,FIND("º",SUBSTITUTE(E3136,"°","º"))-1)),""))))</f>
        <v>-1</v>
      </c>
      <c r="O3136" s="2" t="str">
        <f aca="false">IF(OR(F3136="",G3136=""),"",IF(G3136&lt;='RETRATO 2027'!$K$5,"CONCLUÍDA",IF(F3136&lt;='RETRATO 2027'!$K$5,"EM ANDAMENTO","A INICIAR")))</f>
        <v>CONCLUÍDA</v>
      </c>
    </row>
    <row r="3137" customFormat="false" ht="15" hidden="false" customHeight="false" outlineLevel="0" collapsed="false">
      <c r="B3137" s="4" t="n">
        <v>26750551</v>
      </c>
      <c r="C3137" s="4" t="s">
        <v>214</v>
      </c>
      <c r="D3137" s="4" t="s">
        <v>433</v>
      </c>
      <c r="E3137" s="4" t="s">
        <v>3676</v>
      </c>
      <c r="F3137" s="127" t="n">
        <v>46687</v>
      </c>
      <c r="G3137" s="127" t="n">
        <v>46694</v>
      </c>
      <c r="H3137" s="127" t="n">
        <v>46293</v>
      </c>
      <c r="I3137" s="4" t="n">
        <v>0</v>
      </c>
      <c r="J3137" s="4" t="n">
        <v>0</v>
      </c>
      <c r="K3137" s="4" t="n">
        <v>0</v>
      </c>
      <c r="M3137" s="2" t="str">
        <f aca="false">IF(C3137="","",IFERROR(INDEX($S$5:$S$304,MATCH(C3137,$R$5:$R$304,0))&amp;"","?"))</f>
        <v>35</v>
      </c>
      <c r="N3137" s="2" t="n">
        <f aca="false">IF(E3137="","",IF(ISNUMBER(SEARCH("SUBSOLO",E3137)),IFERROR(-VALUE(LEFT(E3137,FIND("º",SUBSTITUTE(E3137,"°","º"))-1)),-1),IF(LEFT(E3137,6)="TÉRREO",0,IFERROR(VALUE(LEFT(E3137,FIND("º",SUBSTITUTE(E3137,"°","º"))-1)),""))))</f>
        <v>-3</v>
      </c>
      <c r="O3137" s="2" t="str">
        <f aca="false">IF(OR(F3137="",G3137=""),"",IF(G3137&lt;='RETRATO 2027'!$K$5,"CONCLUÍDA",IF(F3137&lt;='RETRATO 2027'!$K$5,"EM ANDAMENTO","A INICIAR")))</f>
        <v>CONCLUÍDA</v>
      </c>
    </row>
    <row r="3138" customFormat="false" ht="15" hidden="false" customHeight="false" outlineLevel="0" collapsed="false">
      <c r="B3138" s="4" t="n">
        <v>26743716</v>
      </c>
      <c r="C3138" s="4" t="s">
        <v>3006</v>
      </c>
      <c r="D3138" s="4" t="s">
        <v>433</v>
      </c>
      <c r="E3138" s="4" t="s">
        <v>3466</v>
      </c>
      <c r="F3138" s="127" t="n">
        <v>46687</v>
      </c>
      <c r="G3138" s="127" t="n">
        <v>46709</v>
      </c>
      <c r="H3138" s="127" t="n">
        <v>46293</v>
      </c>
      <c r="I3138" s="4" t="n">
        <v>0</v>
      </c>
      <c r="J3138" s="4" t="n">
        <v>0</v>
      </c>
      <c r="K3138" s="4" t="n">
        <v>0</v>
      </c>
      <c r="M3138" s="2" t="str">
        <f aca="false">IF(C3138="","",IFERROR(INDEX($S$5:$S$304,MATCH(C3138,$R$5:$R$304,0))&amp;"","?"))</f>
        <v>37</v>
      </c>
      <c r="N3138" s="2" t="n">
        <f aca="false">IF(E3138="","",IF(ISNUMBER(SEARCH("SUBSOLO",E3138)),IFERROR(-VALUE(LEFT(E3138,FIND("º",SUBSTITUTE(E3138,"°","º"))-1)),-1),IF(LEFT(E3138,6)="TÉRREO",0,IFERROR(VALUE(LEFT(E3138,FIND("º",SUBSTITUTE(E3138,"°","º"))-1)),""))))</f>
        <v>-1</v>
      </c>
      <c r="O3138" s="2" t="str">
        <f aca="false">IF(OR(F3138="",G3138=""),"",IF(G3138&lt;='RETRATO 2027'!$K$5,"CONCLUÍDA",IF(F3138&lt;='RETRATO 2027'!$K$5,"EM ANDAMENTO","A INICIAR")))</f>
        <v>CONCLUÍDA</v>
      </c>
    </row>
    <row r="3139" customFormat="false" ht="15" hidden="false" customHeight="false" outlineLevel="0" collapsed="false">
      <c r="B3139" s="4" t="n">
        <v>26745163</v>
      </c>
      <c r="C3139" s="4" t="s">
        <v>2971</v>
      </c>
      <c r="D3139" s="4" t="s">
        <v>433</v>
      </c>
      <c r="E3139" s="4" t="s">
        <v>3652</v>
      </c>
      <c r="F3139" s="127" t="n">
        <v>46687</v>
      </c>
      <c r="G3139" s="127" t="n">
        <v>46699</v>
      </c>
      <c r="H3139" s="127" t="n">
        <v>46293</v>
      </c>
      <c r="I3139" s="4" t="n">
        <v>0</v>
      </c>
      <c r="J3139" s="4" t="n">
        <v>0</v>
      </c>
      <c r="K3139" s="4" t="n">
        <v>0</v>
      </c>
      <c r="M3139" s="2" t="str">
        <f aca="false">IF(C3139="","",IFERROR(INDEX($S$5:$S$304,MATCH(C3139,$R$5:$R$304,0))&amp;"","?"))</f>
        <v>37</v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>CONCLUÍDA</v>
      </c>
    </row>
    <row r="3140" customFormat="false" ht="15" hidden="false" customHeight="false" outlineLevel="0" collapsed="false">
      <c r="B3140" s="4" t="n">
        <v>26744662</v>
      </c>
      <c r="C3140" s="4" t="s">
        <v>2886</v>
      </c>
      <c r="D3140" s="4" t="s">
        <v>433</v>
      </c>
      <c r="E3140" s="4" t="s">
        <v>3774</v>
      </c>
      <c r="F3140" s="127" t="n">
        <v>46688</v>
      </c>
      <c r="G3140" s="127" t="n">
        <v>46702</v>
      </c>
      <c r="H3140" s="127" t="n">
        <v>46293</v>
      </c>
      <c r="I3140" s="4" t="n">
        <v>0</v>
      </c>
      <c r="J3140" s="4" t="n">
        <v>0</v>
      </c>
      <c r="K3140" s="4" t="n">
        <v>0</v>
      </c>
      <c r="M3140" s="2" t="str">
        <f aca="false">IF(C3140="","",IFERROR(INDEX($S$5:$S$304,MATCH(C3140,$R$5:$R$304,0))&amp;"","?"))</f>
        <v>21</v>
      </c>
      <c r="N3140" s="2" t="n">
        <f aca="false">IF(E3140="","",IF(ISNUMBER(SEARCH("SUBSOLO",E3140)),IFERROR(-VALUE(LEFT(E3140,FIND("º",SUBSTITUTE(E3140,"°","º"))-1)),-1),IF(LEFT(E3140,6)="TÉRREO",0,IFERROR(VALUE(LEFT(E3140,FIND("º",SUBSTITUTE(E3140,"°","º"))-1)),""))))</f>
        <v>3</v>
      </c>
      <c r="O3140" s="2" t="str">
        <f aca="false">IF(OR(F3140="",G3140=""),"",IF(G3140&lt;='RETRATO 2027'!$K$5,"CONCLUÍDA",IF(F3140&lt;='RETRATO 2027'!$K$5,"EM ANDAMENTO","A INICIAR")))</f>
        <v>CONCLUÍDA</v>
      </c>
    </row>
    <row r="3141" customFormat="false" ht="15" hidden="false" customHeight="false" outlineLevel="0" collapsed="false">
      <c r="B3141" s="4" t="n">
        <v>26744900</v>
      </c>
      <c r="C3141" s="4" t="s">
        <v>2808</v>
      </c>
      <c r="D3141" s="4" t="s">
        <v>433</v>
      </c>
      <c r="E3141" s="4" t="s">
        <v>3805</v>
      </c>
      <c r="F3141" s="127" t="n">
        <v>46688</v>
      </c>
      <c r="G3141" s="127" t="n">
        <v>46710</v>
      </c>
      <c r="H3141" s="127" t="n">
        <v>46293</v>
      </c>
      <c r="I3141" s="4" t="n">
        <v>0</v>
      </c>
      <c r="J3141" s="4" t="n">
        <v>0</v>
      </c>
      <c r="K3141" s="4" t="n">
        <v>0</v>
      </c>
      <c r="M3141" s="2" t="str">
        <f aca="false">IF(C3141="","",IFERROR(INDEX($S$5:$S$304,MATCH(C3141,$R$5:$R$304,0))&amp;"","?"))</f>
        <v>29</v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>CONCLUÍDA</v>
      </c>
    </row>
    <row r="3142" customFormat="false" ht="15" hidden="false" customHeight="false" outlineLevel="0" collapsed="false">
      <c r="B3142" s="4" t="n">
        <v>26750568</v>
      </c>
      <c r="C3142" s="4" t="s">
        <v>2814</v>
      </c>
      <c r="D3142" s="4" t="s">
        <v>433</v>
      </c>
      <c r="E3142" s="4" t="s">
        <v>3821</v>
      </c>
      <c r="F3142" s="127" t="n">
        <v>46689</v>
      </c>
      <c r="G3142" s="127" t="n">
        <v>46696</v>
      </c>
      <c r="H3142" s="127" t="n">
        <v>46293</v>
      </c>
      <c r="I3142" s="4" t="n">
        <v>0</v>
      </c>
      <c r="J3142" s="4" t="n">
        <v>0</v>
      </c>
      <c r="K3142" s="4" t="n">
        <v>0</v>
      </c>
      <c r="M3142" s="2" t="str">
        <f aca="false">IF(C3142="","",IFERROR(INDEX($S$5:$S$304,MATCH(C3142,$R$5:$R$304,0))&amp;"","?"))</f>
        <v>28</v>
      </c>
      <c r="N3142" s="2" t="n">
        <f aca="false">IF(E3142="","",IF(ISNUMBER(SEARCH("SUBSOLO",E3142)),IFERROR(-VALUE(LEFT(E3142,FIND("º",SUBSTITUTE(E3142,"°","º"))-1)),-1),IF(LEFT(E3142,6)="TÉRREO",0,IFERROR(VALUE(LEFT(E3142,FIND("º",SUBSTITUTE(E3142,"°","º"))-1)),""))))</f>
        <v>-6</v>
      </c>
      <c r="O3142" s="2" t="str">
        <f aca="false">IF(OR(F3142="",G3142=""),"",IF(G3142&lt;='RETRATO 2027'!$K$5,"CONCLUÍDA",IF(F3142&lt;='RETRATO 2027'!$K$5,"EM ANDAMENTO","A INICIAR")))</f>
        <v>CONCLUÍDA</v>
      </c>
    </row>
    <row r="3143" customFormat="false" ht="15" hidden="false" customHeight="false" outlineLevel="0" collapsed="false">
      <c r="B3143" s="4" t="n">
        <v>26743765</v>
      </c>
      <c r="C3143" s="4" t="s">
        <v>3018</v>
      </c>
      <c r="D3143" s="4" t="s">
        <v>433</v>
      </c>
      <c r="E3143" s="4" t="s">
        <v>3374</v>
      </c>
      <c r="F3143" s="127" t="n">
        <v>46689</v>
      </c>
      <c r="G3143" s="127" t="n">
        <v>46735</v>
      </c>
      <c r="H3143" s="127" t="n">
        <v>46293</v>
      </c>
      <c r="I3143" s="4" t="n">
        <v>0</v>
      </c>
      <c r="J3143" s="4" t="n">
        <v>0</v>
      </c>
      <c r="K3143" s="4" t="n">
        <v>0</v>
      </c>
      <c r="M3143" s="2" t="str">
        <f aca="false">IF(C3143="","",IFERROR(INDEX($S$5:$S$304,MATCH(C3143,$R$5:$R$304,0))&amp;"","?"))</f>
        <v>30</v>
      </c>
      <c r="N3143" s="2" t="n">
        <f aca="false">IF(E3143="","",IF(ISNUMBER(SEARCH("SUBSOLO",E3143)),IFERROR(-VALUE(LEFT(E3143,FIND("º",SUBSTITUTE(E3143,"°","º"))-1)),-1),IF(LEFT(E3143,6)="TÉRREO",0,IFERROR(VALUE(LEFT(E3143,FIND("º",SUBSTITUTE(E3143,"°","º"))-1)),""))))</f>
        <v>-4</v>
      </c>
      <c r="O3143" s="2" t="str">
        <f aca="false">IF(OR(F3143="",G3143=""),"",IF(G3143&lt;='RETRATO 2027'!$K$5,"CONCLUÍDA",IF(F3143&lt;='RETRATO 2027'!$K$5,"EM ANDAMENTO","A INICIAR")))</f>
        <v>CONCLUÍDA</v>
      </c>
    </row>
    <row r="3144" customFormat="false" ht="15" hidden="false" customHeight="false" outlineLevel="0" collapsed="false">
      <c r="B3144" s="4" t="n">
        <v>26744967</v>
      </c>
      <c r="C3144" s="4" t="s">
        <v>3003</v>
      </c>
      <c r="D3144" s="4" t="s">
        <v>433</v>
      </c>
      <c r="E3144" s="4" t="s">
        <v>3558</v>
      </c>
      <c r="F3144" s="127" t="n">
        <v>46689</v>
      </c>
      <c r="G3144" s="127" t="n">
        <v>46701</v>
      </c>
      <c r="H3144" s="127" t="n">
        <v>46293</v>
      </c>
      <c r="I3144" s="4" t="n">
        <v>0</v>
      </c>
      <c r="J3144" s="4" t="n">
        <v>0</v>
      </c>
      <c r="K3144" s="4" t="n">
        <v>0</v>
      </c>
      <c r="M3144" s="2" t="str">
        <f aca="false">IF(C3144="","",IFERROR(INDEX($S$5:$S$304,MATCH(C3144,$R$5:$R$304,0))&amp;"","?"))</f>
        <v>20</v>
      </c>
      <c r="N3144" s="2" t="n">
        <f aca="false">IF(E3144="","",IF(ISNUMBER(SEARCH("SUBSOLO",E3144)),IFERROR(-VALUE(LEFT(E3144,FIND("º",SUBSTITUTE(E3144,"°","º"))-1)),-1),IF(LEFT(E3144,6)="TÉRREO",0,IFERROR(VALUE(LEFT(E3144,FIND("º",SUBSTITUTE(E3144,"°","º"))-1)),""))))</f>
        <v>-4</v>
      </c>
      <c r="O3144" s="2" t="str">
        <f aca="false">IF(OR(F3144="",G3144=""),"",IF(G3144&lt;='RETRATO 2027'!$K$5,"CONCLUÍDA",IF(F3144&lt;='RETRATO 2027'!$K$5,"EM ANDAMENTO","A INICIAR")))</f>
        <v>CONCLUÍDA</v>
      </c>
    </row>
    <row r="3145" customFormat="false" ht="15" hidden="false" customHeight="false" outlineLevel="0" collapsed="false">
      <c r="B3145" s="4" t="n">
        <v>26743749</v>
      </c>
      <c r="C3145" s="4" t="s">
        <v>214</v>
      </c>
      <c r="D3145" s="4" t="s">
        <v>433</v>
      </c>
      <c r="E3145" s="4" t="s">
        <v>3375</v>
      </c>
      <c r="F3145" s="127" t="n">
        <v>46689</v>
      </c>
      <c r="G3145" s="127" t="n">
        <v>46722</v>
      </c>
      <c r="H3145" s="127" t="n">
        <v>46293</v>
      </c>
      <c r="I3145" s="4" t="n">
        <v>0</v>
      </c>
      <c r="J3145" s="4" t="n">
        <v>0</v>
      </c>
      <c r="K3145" s="4" t="n">
        <v>0</v>
      </c>
      <c r="M3145" s="2" t="str">
        <f aca="false">IF(C3145="","",IFERROR(INDEX($S$5:$S$304,MATCH(C3145,$R$5:$R$304,0))&amp;"","?"))</f>
        <v>35</v>
      </c>
      <c r="N3145" s="2" t="n">
        <f aca="false">IF(E3145="","",IF(ISNUMBER(SEARCH("SUBSOLO",E3145)),IFERROR(-VALUE(LEFT(E3145,FIND("º",SUBSTITUTE(E3145,"°","º"))-1)),-1),IF(LEFT(E3145,6)="TÉRREO",0,IFERROR(VALUE(LEFT(E3145,FIND("º",SUBSTITUTE(E3145,"°","º"))-1)),""))))</f>
        <v>-3</v>
      </c>
      <c r="O3145" s="2" t="str">
        <f aca="false">IF(OR(F3145="",G3145=""),"",IF(G3145&lt;='RETRATO 2027'!$K$5,"CONCLUÍDA",IF(F3145&lt;='RETRATO 2027'!$K$5,"EM ANDAMENTO","A INICIAR")))</f>
        <v>CONCLUÍDA</v>
      </c>
    </row>
    <row r="3146" customFormat="false" ht="15" hidden="false" customHeight="false" outlineLevel="0" collapsed="false">
      <c r="B3146" s="4" t="n">
        <v>26743741</v>
      </c>
      <c r="C3146" s="4" t="s">
        <v>2983</v>
      </c>
      <c r="D3146" s="4" t="s">
        <v>433</v>
      </c>
      <c r="E3146" s="4" t="s">
        <v>3449</v>
      </c>
      <c r="F3146" s="127" t="n">
        <v>46689</v>
      </c>
      <c r="G3146" s="127" t="n">
        <v>46720</v>
      </c>
      <c r="H3146" s="127" t="n">
        <v>46293</v>
      </c>
      <c r="I3146" s="4" t="n">
        <v>0</v>
      </c>
      <c r="J3146" s="4" t="n">
        <v>0</v>
      </c>
      <c r="K3146" s="4" t="n">
        <v>0</v>
      </c>
      <c r="M3146" s="2" t="str">
        <f aca="false">IF(C3146="","",IFERROR(INDEX($S$5:$S$304,MATCH(C3146,$R$5:$R$304,0))&amp;"","?"))</f>
        <v>20</v>
      </c>
      <c r="N3146" s="2" t="n">
        <f aca="false">IF(E3146="","",IF(ISNUMBER(SEARCH("SUBSOLO",E3146)),IFERROR(-VALUE(LEFT(E3146,FIND("º",SUBSTITUTE(E3146,"°","º"))-1)),-1),IF(LEFT(E3146,6)="TÉRREO",0,IFERROR(VALUE(LEFT(E3146,FIND("º",SUBSTITUTE(E3146,"°","º"))-1)),""))))</f>
        <v>-2</v>
      </c>
      <c r="O3146" s="2" t="str">
        <f aca="false">IF(OR(F3146="",G3146=""),"",IF(G3146&lt;='RETRATO 2027'!$K$5,"CONCLUÍDA",IF(F3146&lt;='RETRATO 2027'!$K$5,"EM ANDAMENTO","A INICIAR")))</f>
        <v>CONCLUÍDA</v>
      </c>
    </row>
    <row r="3147" customFormat="false" ht="15" hidden="false" customHeight="false" outlineLevel="0" collapsed="false">
      <c r="B3147" s="4" t="n">
        <v>29845884</v>
      </c>
      <c r="C3147" s="4" t="s">
        <v>2986</v>
      </c>
      <c r="D3147" s="4" t="s">
        <v>433</v>
      </c>
      <c r="E3147" s="4" t="s">
        <v>3449</v>
      </c>
      <c r="F3147" s="127" t="n">
        <v>46689</v>
      </c>
      <c r="G3147" s="127" t="n">
        <v>46696</v>
      </c>
      <c r="H3147" s="127" t="n">
        <v>46293</v>
      </c>
      <c r="I3147" s="4" t="n">
        <v>0</v>
      </c>
      <c r="J3147" s="4" t="n">
        <v>0</v>
      </c>
      <c r="K3147" s="4" t="n">
        <v>0</v>
      </c>
      <c r="M3147" s="2" t="str">
        <f aca="false">IF(C3147="","",IFERROR(INDEX($S$5:$S$304,MATCH(C3147,$R$5:$R$304,0))&amp;"","?"))</f>
        <v>20</v>
      </c>
      <c r="N3147" s="2" t="n">
        <f aca="false">IF(E3147="","",IF(ISNUMBER(SEARCH("SUBSOLO",E3147)),IFERROR(-VALUE(LEFT(E3147,FIND("º",SUBSTITUTE(E3147,"°","º"))-1)),-1),IF(LEFT(E3147,6)="TÉRREO",0,IFERROR(VALUE(LEFT(E3147,FIND("º",SUBSTITUTE(E3147,"°","º"))-1)),""))))</f>
        <v>-2</v>
      </c>
      <c r="O3147" s="2" t="str">
        <f aca="false">IF(OR(F3147="",G3147=""),"",IF(G3147&lt;='RETRATO 2027'!$K$5,"CONCLUÍDA",IF(F3147&lt;='RETRATO 2027'!$K$5,"EM ANDAMENTO","A INICIAR")))</f>
        <v>CONCLUÍDA</v>
      </c>
    </row>
    <row r="3148" customFormat="false" ht="15" hidden="false" customHeight="false" outlineLevel="0" collapsed="false">
      <c r="B3148" s="4" t="n">
        <v>36118607</v>
      </c>
      <c r="C3148" s="4" t="s">
        <v>3038</v>
      </c>
      <c r="D3148" s="4" t="s">
        <v>433</v>
      </c>
      <c r="E3148" s="4" t="s">
        <v>3449</v>
      </c>
      <c r="F3148" s="127" t="n">
        <v>46689</v>
      </c>
      <c r="G3148" s="127" t="n">
        <v>46703</v>
      </c>
      <c r="H3148" s="127" t="n">
        <v>46293</v>
      </c>
      <c r="I3148" s="4" t="n">
        <v>0</v>
      </c>
      <c r="J3148" s="4" t="n">
        <v>0</v>
      </c>
      <c r="K3148" s="4" t="n">
        <v>0</v>
      </c>
      <c r="M3148" s="2" t="str">
        <f aca="false">IF(C3148="","",IFERROR(INDEX($S$5:$S$304,MATCH(C3148,$R$5:$R$304,0))&amp;"","?"))</f>
        <v>26</v>
      </c>
      <c r="N3148" s="2" t="n">
        <f aca="false">IF(E3148="","",IF(ISNUMBER(SEARCH("SUBSOLO",E3148)),IFERROR(-VALUE(LEFT(E3148,FIND("º",SUBSTITUTE(E3148,"°","º"))-1)),-1),IF(LEFT(E3148,6)="TÉRREO",0,IFERROR(VALUE(LEFT(E3148,FIND("º",SUBSTITUTE(E3148,"°","º"))-1)),""))))</f>
        <v>-2</v>
      </c>
      <c r="O3148" s="2" t="str">
        <f aca="false">IF(OR(F3148="",G3148=""),"",IF(G3148&lt;='RETRATO 2027'!$K$5,"CONCLUÍDA",IF(F3148&lt;='RETRATO 2027'!$K$5,"EM ANDAMENTO","A INICIAR")))</f>
        <v>CONCLUÍDA</v>
      </c>
    </row>
    <row r="3149" customFormat="false" ht="15" hidden="false" customHeight="false" outlineLevel="0" collapsed="false">
      <c r="B3149" s="4" t="n">
        <v>26707574</v>
      </c>
      <c r="C3149" s="4" t="s">
        <v>2886</v>
      </c>
      <c r="D3149" s="4" t="s">
        <v>433</v>
      </c>
      <c r="E3149" s="4" t="s">
        <v>3822</v>
      </c>
      <c r="F3149" s="127" t="n">
        <v>46689</v>
      </c>
      <c r="G3149" s="127" t="n">
        <v>46713</v>
      </c>
      <c r="H3149" s="127" t="n">
        <v>46293</v>
      </c>
      <c r="I3149" s="4" t="n">
        <v>0</v>
      </c>
      <c r="J3149" s="4" t="n">
        <v>0</v>
      </c>
      <c r="K3149" s="4" t="n">
        <v>0</v>
      </c>
      <c r="M3149" s="2" t="str">
        <f aca="false">IF(C3149="","",IFERROR(INDEX($S$5:$S$304,MATCH(C3149,$R$5:$R$304,0))&amp;"","?"))</f>
        <v>21</v>
      </c>
      <c r="N3149" s="2" t="n">
        <f aca="false">IF(E3149="","",IF(ISNUMBER(SEARCH("SUBSOLO",E3149)),IFERROR(-VALUE(LEFT(E3149,FIND("º",SUBSTITUTE(E3149,"°","º"))-1)),-1),IF(LEFT(E3149,6)="TÉRREO",0,IFERROR(VALUE(LEFT(E3149,FIND("º",SUBSTITUTE(E3149,"°","º"))-1)),""))))</f>
        <v>2</v>
      </c>
      <c r="O3149" s="2" t="str">
        <f aca="false">IF(OR(F3149="",G3149=""),"",IF(G3149&lt;='RETRATO 2027'!$K$5,"CONCLUÍDA",IF(F3149&lt;='RETRATO 2027'!$K$5,"EM ANDAMENTO","A INICIAR")))</f>
        <v>CONCLUÍDA</v>
      </c>
    </row>
    <row r="3150" customFormat="false" ht="15" hidden="false" customHeight="false" outlineLevel="0" collapsed="false">
      <c r="B3150" s="4" t="n">
        <v>26744730</v>
      </c>
      <c r="C3150" s="4" t="s">
        <v>166</v>
      </c>
      <c r="D3150" s="4" t="s">
        <v>433</v>
      </c>
      <c r="E3150" s="4" t="s">
        <v>3800</v>
      </c>
      <c r="F3150" s="127" t="n">
        <v>46689</v>
      </c>
      <c r="G3150" s="127" t="n">
        <v>46700</v>
      </c>
      <c r="H3150" s="127" t="n">
        <v>46293</v>
      </c>
      <c r="I3150" s="4" t="n">
        <v>0</v>
      </c>
      <c r="J3150" s="4" t="n">
        <v>0</v>
      </c>
      <c r="K3150" s="4" t="n">
        <v>0</v>
      </c>
      <c r="M3150" s="2" t="str">
        <f aca="false">IF(C3150="","",IFERROR(INDEX($S$5:$S$304,MATCH(C3150,$R$5:$R$304,0))&amp;"","?"))</f>
        <v>19</v>
      </c>
      <c r="N3150" s="2" t="n">
        <f aca="false">IF(E3150="","",IF(ISNUMBER(SEARCH("SUBSOLO",E3150)),IFERROR(-VALUE(LEFT(E3150,FIND("º",SUBSTITUTE(E3150,"°","º"))-1)),-1),IF(LEFT(E3150,6)="TÉRREO",0,IFERROR(VALUE(LEFT(E3150,FIND("º",SUBSTITUTE(E3150,"°","º"))-1)),""))))</f>
        <v>3</v>
      </c>
      <c r="O3150" s="2" t="str">
        <f aca="false">IF(OR(F3150="",G3150=""),"",IF(G3150&lt;='RETRATO 2027'!$K$5,"CONCLUÍDA",IF(F3150&lt;='RETRATO 2027'!$K$5,"EM ANDAMENTO","A INICIAR")))</f>
        <v>CONCLUÍDA</v>
      </c>
    </row>
    <row r="3151" customFormat="false" ht="15" hidden="false" customHeight="false" outlineLevel="0" collapsed="false">
      <c r="B3151" s="4" t="n">
        <v>26744702</v>
      </c>
      <c r="C3151" s="4" t="s">
        <v>2808</v>
      </c>
      <c r="D3151" s="4" t="s">
        <v>433</v>
      </c>
      <c r="E3151" s="4" t="s">
        <v>3810</v>
      </c>
      <c r="F3151" s="127" t="n">
        <v>46689</v>
      </c>
      <c r="G3151" s="127" t="n">
        <v>46764</v>
      </c>
      <c r="H3151" s="127" t="n">
        <v>46293</v>
      </c>
      <c r="I3151" s="4" t="n">
        <v>0</v>
      </c>
      <c r="J3151" s="4" t="n">
        <v>0</v>
      </c>
      <c r="K3151" s="4" t="n">
        <v>0</v>
      </c>
      <c r="M3151" s="2" t="str">
        <f aca="false">IF(C3151="","",IFERROR(INDEX($S$5:$S$304,MATCH(C3151,$R$5:$R$304,0))&amp;"","?"))</f>
        <v>29</v>
      </c>
      <c r="N3151" s="2" t="n">
        <f aca="false">IF(E3151="","",IF(ISNUMBER(SEARCH("SUBSOLO",E3151)),IFERROR(-VALUE(LEFT(E3151,FIND("º",SUBSTITUTE(E3151,"°","º"))-1)),-1),IF(LEFT(E3151,6)="TÉRREO",0,IFERROR(VALUE(LEFT(E3151,FIND("º",SUBSTITUTE(E3151,"°","º"))-1)),""))))</f>
        <v>3</v>
      </c>
      <c r="O3151" s="2" t="str">
        <f aca="false">IF(OR(F3151="",G3151=""),"",IF(G3151&lt;='RETRATO 2027'!$K$5,"CONCLUÍDA",IF(F3151&lt;='RETRATO 2027'!$K$5,"EM ANDAMENTO","A INICIAR")))</f>
        <v>EM ANDAMENTO</v>
      </c>
    </row>
    <row r="3152" customFormat="false" ht="15" hidden="false" customHeight="false" outlineLevel="0" collapsed="false">
      <c r="B3152" s="4" t="n">
        <v>26708158</v>
      </c>
      <c r="C3152" s="4" t="s">
        <v>2924</v>
      </c>
      <c r="D3152" s="4" t="s">
        <v>433</v>
      </c>
      <c r="E3152" s="4" t="s">
        <v>3628</v>
      </c>
      <c r="F3152" s="127" t="n">
        <v>46692</v>
      </c>
      <c r="G3152" s="127" t="n">
        <v>46707</v>
      </c>
      <c r="H3152" s="127" t="n">
        <v>46293</v>
      </c>
      <c r="I3152" s="4" t="n">
        <v>0</v>
      </c>
      <c r="J3152" s="4" t="n">
        <v>0</v>
      </c>
      <c r="K3152" s="4" t="n">
        <v>0</v>
      </c>
      <c r="M3152" s="2" t="str">
        <f aca="false">IF(C3152="","",IFERROR(INDEX($S$5:$S$304,MATCH(C3152,$R$5:$R$304,0))&amp;"","?"))</f>
        <v>21</v>
      </c>
      <c r="N3152" s="2" t="n">
        <f aca="false">IF(E3152="","",IF(ISNUMBER(SEARCH("SUBSOLO",E3152)),IFERROR(-VALUE(LEFT(E3152,FIND("º",SUBSTITUTE(E3152,"°","º"))-1)),-1),IF(LEFT(E3152,6)="TÉRREO",0,IFERROR(VALUE(LEFT(E3152,FIND("º",SUBSTITUTE(E3152,"°","º"))-1)),""))))</f>
        <v>-6</v>
      </c>
      <c r="O3152" s="2" t="str">
        <f aca="false">IF(OR(F3152="",G3152=""),"",IF(G3152&lt;='RETRATO 2027'!$K$5,"CONCLUÍDA",IF(F3152&lt;='RETRATO 2027'!$K$5,"EM ANDAMENTO","A INICIAR")))</f>
        <v>CONCLUÍDA</v>
      </c>
    </row>
    <row r="3153" customFormat="false" ht="15" hidden="false" customHeight="false" outlineLevel="0" collapsed="false">
      <c r="B3153" s="4" t="n">
        <v>26708187</v>
      </c>
      <c r="C3153" s="4" t="s">
        <v>2926</v>
      </c>
      <c r="D3153" s="4" t="s">
        <v>433</v>
      </c>
      <c r="E3153" s="4" t="s">
        <v>3628</v>
      </c>
      <c r="F3153" s="127" t="n">
        <v>46692</v>
      </c>
      <c r="G3153" s="127" t="n">
        <v>46702</v>
      </c>
      <c r="H3153" s="127" t="n">
        <v>46293</v>
      </c>
      <c r="I3153" s="4" t="n">
        <v>0</v>
      </c>
      <c r="J3153" s="4" t="n">
        <v>0</v>
      </c>
      <c r="K3153" s="4" t="n">
        <v>0</v>
      </c>
      <c r="M3153" s="2" t="str">
        <f aca="false">IF(C3153="","",IFERROR(INDEX($S$5:$S$304,MATCH(C3153,$R$5:$R$304,0))&amp;"","?"))</f>
        <v>20</v>
      </c>
      <c r="N3153" s="2" t="n">
        <f aca="false">IF(E3153="","",IF(ISNUMBER(SEARCH("SUBSOLO",E3153)),IFERROR(-VALUE(LEFT(E3153,FIND("º",SUBSTITUTE(E3153,"°","º"))-1)),-1),IF(LEFT(E3153,6)="TÉRREO",0,IFERROR(VALUE(LEFT(E3153,FIND("º",SUBSTITUTE(E3153,"°","º"))-1)),""))))</f>
        <v>-6</v>
      </c>
      <c r="O3153" s="2" t="str">
        <f aca="false">IF(OR(F3153="",G3153=""),"",IF(G3153&lt;='RETRATO 2027'!$K$5,"CONCLUÍDA",IF(F3153&lt;='RETRATO 2027'!$K$5,"EM ANDAMENTO","A INICIAR")))</f>
        <v>CONCLUÍDA</v>
      </c>
    </row>
    <row r="3154" customFormat="false" ht="15" hidden="false" customHeight="false" outlineLevel="0" collapsed="false">
      <c r="B3154" s="4" t="n">
        <v>26708188</v>
      </c>
      <c r="C3154" s="4" t="s">
        <v>2928</v>
      </c>
      <c r="D3154" s="4" t="s">
        <v>433</v>
      </c>
      <c r="E3154" s="4" t="s">
        <v>3628</v>
      </c>
      <c r="F3154" s="127" t="n">
        <v>46692</v>
      </c>
      <c r="G3154" s="127" t="n">
        <v>46702</v>
      </c>
      <c r="H3154" s="127" t="n">
        <v>46293</v>
      </c>
      <c r="I3154" s="4" t="n">
        <v>0</v>
      </c>
      <c r="J3154" s="4" t="n">
        <v>0</v>
      </c>
      <c r="K3154" s="4" t="n">
        <v>0</v>
      </c>
      <c r="M3154" s="2" t="str">
        <f aca="false">IF(C3154="","",IFERROR(INDEX($S$5:$S$304,MATCH(C3154,$R$5:$R$304,0))&amp;"","?"))</f>
        <v>23</v>
      </c>
      <c r="N3154" s="2" t="n">
        <f aca="false">IF(E3154="","",IF(ISNUMBER(SEARCH("SUBSOLO",E3154)),IFERROR(-VALUE(LEFT(E3154,FIND("º",SUBSTITUTE(E3154,"°","º"))-1)),-1),IF(LEFT(E3154,6)="TÉRREO",0,IFERROR(VALUE(LEFT(E3154,FIND("º",SUBSTITUTE(E3154,"°","º"))-1)),""))))</f>
        <v>-6</v>
      </c>
      <c r="O3154" s="2" t="str">
        <f aca="false">IF(OR(F3154="",G3154=""),"",IF(G3154&lt;='RETRATO 2027'!$K$5,"CONCLUÍDA",IF(F3154&lt;='RETRATO 2027'!$K$5,"EM ANDAMENTO","A INICIAR")))</f>
        <v>CONCLUÍDA</v>
      </c>
    </row>
    <row r="3155" customFormat="false" ht="15" hidden="false" customHeight="false" outlineLevel="0" collapsed="false">
      <c r="B3155" s="4" t="n">
        <v>26708159</v>
      </c>
      <c r="C3155" s="4" t="s">
        <v>2930</v>
      </c>
      <c r="D3155" s="4" t="s">
        <v>433</v>
      </c>
      <c r="E3155" s="4" t="s">
        <v>3628</v>
      </c>
      <c r="F3155" s="127" t="n">
        <v>46692</v>
      </c>
      <c r="G3155" s="127" t="n">
        <v>46702</v>
      </c>
      <c r="H3155" s="127" t="n">
        <v>46293</v>
      </c>
      <c r="I3155" s="4" t="n">
        <v>0</v>
      </c>
      <c r="J3155" s="4" t="n">
        <v>0</v>
      </c>
      <c r="K3155" s="4" t="n">
        <v>0</v>
      </c>
      <c r="M3155" s="2" t="str">
        <f aca="false">IF(C3155="","",IFERROR(INDEX($S$5:$S$304,MATCH(C3155,$R$5:$R$304,0))&amp;"","?"))</f>
        <v>21</v>
      </c>
      <c r="N3155" s="2" t="n">
        <f aca="false">IF(E3155="","",IF(ISNUMBER(SEARCH("SUBSOLO",E3155)),IFERROR(-VALUE(LEFT(E3155,FIND("º",SUBSTITUTE(E3155,"°","º"))-1)),-1),IF(LEFT(E3155,6)="TÉRREO",0,IFERROR(VALUE(LEFT(E3155,FIND("º",SUBSTITUTE(E3155,"°","º"))-1)),""))))</f>
        <v>-6</v>
      </c>
      <c r="O3155" s="2" t="str">
        <f aca="false">IF(OR(F3155="",G3155=""),"",IF(G3155&lt;='RETRATO 2027'!$K$5,"CONCLUÍDA",IF(F3155&lt;='RETRATO 2027'!$K$5,"EM ANDAMENTO","A INICIAR")))</f>
        <v>CONCLUÍDA</v>
      </c>
    </row>
    <row r="3156" customFormat="false" ht="15" hidden="false" customHeight="false" outlineLevel="0" collapsed="false">
      <c r="B3156" s="4" t="n">
        <v>26708189</v>
      </c>
      <c r="C3156" s="4" t="s">
        <v>2933</v>
      </c>
      <c r="D3156" s="4" t="s">
        <v>433</v>
      </c>
      <c r="E3156" s="4" t="s">
        <v>3628</v>
      </c>
      <c r="F3156" s="127" t="n">
        <v>46692</v>
      </c>
      <c r="G3156" s="127" t="n">
        <v>46702</v>
      </c>
      <c r="H3156" s="127" t="n">
        <v>46293</v>
      </c>
      <c r="I3156" s="4" t="n">
        <v>0</v>
      </c>
      <c r="J3156" s="4" t="n">
        <v>0</v>
      </c>
      <c r="K3156" s="4" t="n">
        <v>0</v>
      </c>
      <c r="M3156" s="2" t="str">
        <f aca="false">IF(C3156="","",IFERROR(INDEX($S$5:$S$304,MATCH(C3156,$R$5:$R$304,0))&amp;"","?"))</f>
        <v>21</v>
      </c>
      <c r="N3156" s="2" t="n">
        <f aca="false">IF(E3156="","",IF(ISNUMBER(SEARCH("SUBSOLO",E3156)),IFERROR(-VALUE(LEFT(E3156,FIND("º",SUBSTITUTE(E3156,"°","º"))-1)),-1),IF(LEFT(E3156,6)="TÉRREO",0,IFERROR(VALUE(LEFT(E3156,FIND("º",SUBSTITUTE(E3156,"°","º"))-1)),""))))</f>
        <v>-6</v>
      </c>
      <c r="O3156" s="2" t="str">
        <f aca="false">IF(OR(F3156="",G3156=""),"",IF(G3156&lt;='RETRATO 2027'!$K$5,"CONCLUÍDA",IF(F3156&lt;='RETRATO 2027'!$K$5,"EM ANDAMENTO","A INICIAR")))</f>
        <v>CONCLUÍDA</v>
      </c>
    </row>
    <row r="3157" customFormat="false" ht="15" hidden="false" customHeight="false" outlineLevel="0" collapsed="false">
      <c r="B3157" s="4" t="n">
        <v>26708124</v>
      </c>
      <c r="C3157" s="4" t="s">
        <v>2922</v>
      </c>
      <c r="D3157" s="4" t="s">
        <v>433</v>
      </c>
      <c r="E3157" s="4" t="s">
        <v>3813</v>
      </c>
      <c r="F3157" s="127" t="n">
        <v>46692</v>
      </c>
      <c r="G3157" s="127" t="n">
        <v>46702</v>
      </c>
      <c r="H3157" s="127" t="n">
        <v>46293</v>
      </c>
      <c r="I3157" s="4" t="n">
        <v>0</v>
      </c>
      <c r="J3157" s="4" t="n">
        <v>0</v>
      </c>
      <c r="K3157" s="4" t="n">
        <v>0</v>
      </c>
      <c r="M3157" s="2" t="str">
        <f aca="false">IF(C3157="","",IFERROR(INDEX($S$5:$S$304,MATCH(C3157,$R$5:$R$304,0))&amp;"","?"))</f>
        <v>18</v>
      </c>
      <c r="N3157" s="2" t="n">
        <f aca="false">IF(E3157="","",IF(ISNUMBER(SEARCH("SUBSOLO",E3157)),IFERROR(-VALUE(LEFT(E3157,FIND("º",SUBSTITUTE(E3157,"°","º"))-1)),-1),IF(LEFT(E3157,6)="TÉRREO",0,IFERROR(VALUE(LEFT(E3157,FIND("º",SUBSTITUTE(E3157,"°","º"))-1)),""))))</f>
        <v>-6</v>
      </c>
      <c r="O3157" s="2" t="str">
        <f aca="false">IF(OR(F3157="",G3157=""),"",IF(G3157&lt;='RETRATO 2027'!$K$5,"CONCLUÍDA",IF(F3157&lt;='RETRATO 2027'!$K$5,"EM ANDAMENTO","A INICIAR")))</f>
        <v>CONCLUÍDA</v>
      </c>
    </row>
    <row r="3158" customFormat="false" ht="15" hidden="false" customHeight="false" outlineLevel="0" collapsed="false">
      <c r="B3158" s="4" t="n">
        <v>26707612</v>
      </c>
      <c r="C3158" s="4" t="s">
        <v>2956</v>
      </c>
      <c r="D3158" s="4" t="s">
        <v>433</v>
      </c>
      <c r="E3158" s="4" t="s">
        <v>3812</v>
      </c>
      <c r="F3158" s="127" t="n">
        <v>46692</v>
      </c>
      <c r="G3158" s="127" t="n">
        <v>46714</v>
      </c>
      <c r="H3158" s="127" t="n">
        <v>46293</v>
      </c>
      <c r="I3158" s="4" t="n">
        <v>0</v>
      </c>
      <c r="J3158" s="4" t="n">
        <v>0</v>
      </c>
      <c r="K3158" s="4" t="n">
        <v>0</v>
      </c>
      <c r="M3158" s="2" t="str">
        <f aca="false">IF(C3158="","",IFERROR(INDEX($S$5:$S$304,MATCH(C3158,$R$5:$R$304,0))&amp;"","?"))</f>
        <v>18</v>
      </c>
      <c r="N3158" s="2" t="n">
        <f aca="false">IF(E3158="","",IF(ISNUMBER(SEARCH("SUBSOLO",E3158)),IFERROR(-VALUE(LEFT(E3158,FIND("º",SUBSTITUTE(E3158,"°","º"))-1)),-1),IF(LEFT(E3158,6)="TÉRREO",0,IFERROR(VALUE(LEFT(E3158,FIND("º",SUBSTITUTE(E3158,"°","º"))-1)),""))))</f>
        <v>2</v>
      </c>
      <c r="O3158" s="2" t="str">
        <f aca="false">IF(OR(F3158="",G3158=""),"",IF(G3158&lt;='RETRATO 2027'!$K$5,"CONCLUÍDA",IF(F3158&lt;='RETRATO 2027'!$K$5,"EM ANDAMENTO","A INICIAR")))</f>
        <v>CONCLUÍDA</v>
      </c>
    </row>
    <row r="3159" customFormat="false" ht="15" hidden="false" customHeight="false" outlineLevel="0" collapsed="false">
      <c r="B3159" s="4" t="n">
        <v>26744957</v>
      </c>
      <c r="C3159" s="4" t="s">
        <v>2997</v>
      </c>
      <c r="D3159" s="4" t="s">
        <v>433</v>
      </c>
      <c r="E3159" s="4" t="s">
        <v>3671</v>
      </c>
      <c r="F3159" s="127" t="n">
        <v>46694</v>
      </c>
      <c r="G3159" s="127" t="n">
        <v>46703</v>
      </c>
      <c r="H3159" s="127" t="n">
        <v>46293</v>
      </c>
      <c r="I3159" s="4" t="n">
        <v>0</v>
      </c>
      <c r="J3159" s="4" t="n">
        <v>0</v>
      </c>
      <c r="K3159" s="4" t="n">
        <v>0</v>
      </c>
      <c r="M3159" s="2" t="str">
        <f aca="false">IF(C3159="","",IFERROR(INDEX($S$5:$S$304,MATCH(C3159,$R$5:$R$304,0))&amp;"","?"))</f>
        <v>35</v>
      </c>
      <c r="N3159" s="2" t="n">
        <f aca="false">IF(E3159="","",IF(ISNUMBER(SEARCH("SUBSOLO",E3159)),IFERROR(-VALUE(LEFT(E3159,FIND("º",SUBSTITUTE(E3159,"°","º"))-1)),-1),IF(LEFT(E3159,6)="TÉRREO",0,IFERROR(VALUE(LEFT(E3159,FIND("º",SUBSTITUTE(E3159,"°","º"))-1)),""))))</f>
        <v>-3</v>
      </c>
      <c r="O3159" s="2" t="str">
        <f aca="false">IF(OR(F3159="",G3159=""),"",IF(G3159&lt;='RETRATO 2027'!$K$5,"CONCLUÍDA",IF(F3159&lt;='RETRATO 2027'!$K$5,"EM ANDAMENTO","A INICIAR")))</f>
        <v>CONCLUÍDA</v>
      </c>
    </row>
    <row r="3160" customFormat="false" ht="15" hidden="false" customHeight="false" outlineLevel="0" collapsed="false">
      <c r="B3160" s="4" t="n">
        <v>26750526</v>
      </c>
      <c r="C3160" s="4" t="s">
        <v>3006</v>
      </c>
      <c r="D3160" s="4" t="s">
        <v>433</v>
      </c>
      <c r="E3160" s="4" t="s">
        <v>3597</v>
      </c>
      <c r="F3160" s="127" t="n">
        <v>46694</v>
      </c>
      <c r="G3160" s="127" t="n">
        <v>46699</v>
      </c>
      <c r="H3160" s="127" t="n">
        <v>46293</v>
      </c>
      <c r="I3160" s="4" t="n">
        <v>0</v>
      </c>
      <c r="J3160" s="4" t="n">
        <v>0</v>
      </c>
      <c r="K3160" s="4" t="n">
        <v>0</v>
      </c>
      <c r="M3160" s="2" t="str">
        <f aca="false">IF(C3160="","",IFERROR(INDEX($S$5:$S$304,MATCH(C3160,$R$5:$R$304,0))&amp;"","?"))</f>
        <v>37</v>
      </c>
      <c r="N3160" s="2" t="n">
        <f aca="false">IF(E3160="","",IF(ISNUMBER(SEARCH("SUBSOLO",E3160)),IFERROR(-VALUE(LEFT(E3160,FIND("º",SUBSTITUTE(E3160,"°","º"))-1)),-1),IF(LEFT(E3160,6)="TÉRREO",0,IFERROR(VALUE(LEFT(E3160,FIND("º",SUBSTITUTE(E3160,"°","º"))-1)),""))))</f>
        <v>-2</v>
      </c>
      <c r="O3160" s="2" t="str">
        <f aca="false">IF(OR(F3160="",G3160=""),"",IF(G3160&lt;='RETRATO 2027'!$K$5,"CONCLUÍDA",IF(F3160&lt;='RETRATO 2027'!$K$5,"EM ANDAMENTO","A INICIAR")))</f>
        <v>CONCLUÍDA</v>
      </c>
    </row>
    <row r="3161" customFormat="false" ht="15" hidden="false" customHeight="false" outlineLevel="0" collapsed="false">
      <c r="B3161" s="4" t="n">
        <v>26743052</v>
      </c>
      <c r="C3161" s="4" t="s">
        <v>2997</v>
      </c>
      <c r="D3161" s="4" t="s">
        <v>433</v>
      </c>
      <c r="E3161" s="4" t="s">
        <v>3781</v>
      </c>
      <c r="F3161" s="127" t="n">
        <v>46694</v>
      </c>
      <c r="G3161" s="127" t="n">
        <v>46703</v>
      </c>
      <c r="H3161" s="127" t="n">
        <v>46293</v>
      </c>
      <c r="I3161" s="4" t="n">
        <v>0</v>
      </c>
      <c r="J3161" s="4" t="n">
        <v>0</v>
      </c>
      <c r="K3161" s="4" t="n">
        <v>0</v>
      </c>
      <c r="M3161" s="2" t="str">
        <f aca="false">IF(C3161="","",IFERROR(INDEX($S$5:$S$304,MATCH(C3161,$R$5:$R$304,0))&amp;"","?"))</f>
        <v>35</v>
      </c>
      <c r="N3161" s="2" t="n">
        <f aca="false">IF(E3161="","",IF(ISNUMBER(SEARCH("SUBSOLO",E3161)),IFERROR(-VALUE(LEFT(E3161,FIND("º",SUBSTITUTE(E3161,"°","º"))-1)),-1),IF(LEFT(E3161,6)="TÉRREO",0,IFERROR(VALUE(LEFT(E3161,FIND("º",SUBSTITUTE(E3161,"°","º"))-1)),""))))</f>
        <v>20</v>
      </c>
      <c r="O3161" s="2" t="str">
        <f aca="false">IF(OR(F3161="",G3161=""),"",IF(G3161&lt;='RETRATO 2027'!$K$5,"CONCLUÍDA",IF(F3161&lt;='RETRATO 2027'!$K$5,"EM ANDAMENTO","A INICIAR")))</f>
        <v>CONCLUÍDA</v>
      </c>
    </row>
    <row r="3162" customFormat="false" ht="15" hidden="false" customHeight="false" outlineLevel="0" collapsed="false">
      <c r="B3162" s="4" t="n">
        <v>26743014</v>
      </c>
      <c r="C3162" s="4" t="s">
        <v>2980</v>
      </c>
      <c r="D3162" s="4" t="s">
        <v>433</v>
      </c>
      <c r="E3162" s="4" t="s">
        <v>3783</v>
      </c>
      <c r="F3162" s="127" t="n">
        <v>46694</v>
      </c>
      <c r="G3162" s="127" t="n">
        <v>46703</v>
      </c>
      <c r="H3162" s="127" t="n">
        <v>46293</v>
      </c>
      <c r="I3162" s="4" t="n">
        <v>0</v>
      </c>
      <c r="J3162" s="4" t="n">
        <v>0</v>
      </c>
      <c r="K3162" s="4" t="n">
        <v>0</v>
      </c>
      <c r="M3162" s="2" t="str">
        <f aca="false">IF(C3162="","",IFERROR(INDEX($S$5:$S$304,MATCH(C3162,$R$5:$R$304,0))&amp;"","?"))</f>
        <v>35</v>
      </c>
      <c r="N3162" s="2" t="n">
        <f aca="false">IF(E3162="","",IF(ISNUMBER(SEARCH("SUBSOLO",E3162)),IFERROR(-VALUE(LEFT(E3162,FIND("º",SUBSTITUTE(E3162,"°","º"))-1)),-1),IF(LEFT(E3162,6)="TÉRREO",0,IFERROR(VALUE(LEFT(E3162,FIND("º",SUBSTITUTE(E3162,"°","º"))-1)),""))))</f>
        <v>21</v>
      </c>
      <c r="O3162" s="2" t="str">
        <f aca="false">IF(OR(F3162="",G3162=""),"",IF(G3162&lt;='RETRATO 2027'!$K$5,"CONCLUÍDA",IF(F3162&lt;='RETRATO 2027'!$K$5,"EM ANDAMENTO","A INICIAR")))</f>
        <v>CONCLUÍDA</v>
      </c>
    </row>
    <row r="3163" customFormat="false" ht="15" hidden="false" customHeight="false" outlineLevel="0" collapsed="false">
      <c r="B3163" s="4" t="n">
        <v>26742984</v>
      </c>
      <c r="C3163" s="4" t="s">
        <v>208</v>
      </c>
      <c r="D3163" s="4" t="s">
        <v>433</v>
      </c>
      <c r="E3163" s="4" t="s">
        <v>3786</v>
      </c>
      <c r="F3163" s="127" t="n">
        <v>46694</v>
      </c>
      <c r="G3163" s="127" t="n">
        <v>46703</v>
      </c>
      <c r="H3163" s="127" t="n">
        <v>46293</v>
      </c>
      <c r="I3163" s="4" t="n">
        <v>0</v>
      </c>
      <c r="J3163" s="4" t="n">
        <v>0</v>
      </c>
      <c r="K3163" s="4" t="n">
        <v>0</v>
      </c>
      <c r="M3163" s="2" t="str">
        <f aca="false">IF(C3163="","",IFERROR(INDEX($S$5:$S$304,MATCH(C3163,$R$5:$R$304,0))&amp;"","?"))</f>
        <v>33</v>
      </c>
      <c r="N3163" s="2" t="n">
        <f aca="false">IF(E3163="","",IF(ISNUMBER(SEARCH("SUBSOLO",E3163)),IFERROR(-VALUE(LEFT(E3163,FIND("º",SUBSTITUTE(E3163,"°","º"))-1)),-1),IF(LEFT(E3163,6)="TÉRREO",0,IFERROR(VALUE(LEFT(E3163,FIND("º",SUBSTITUTE(E3163,"°","º"))-1)),""))))</f>
        <v>22</v>
      </c>
      <c r="O3163" s="2" t="str">
        <f aca="false">IF(OR(F3163="",G3163=""),"",IF(G3163&lt;='RETRATO 2027'!$K$5,"CONCLUÍDA",IF(F3163&lt;='RETRATO 2027'!$K$5,"EM ANDAMENTO","A INICIAR")))</f>
        <v>CONCLUÍDA</v>
      </c>
    </row>
    <row r="3164" customFormat="false" ht="15" hidden="false" customHeight="false" outlineLevel="0" collapsed="false">
      <c r="B3164" s="4" t="n">
        <v>26750552</v>
      </c>
      <c r="C3164" s="4" t="s">
        <v>2965</v>
      </c>
      <c r="D3164" s="4" t="s">
        <v>433</v>
      </c>
      <c r="E3164" s="4" t="s">
        <v>3676</v>
      </c>
      <c r="F3164" s="127" t="n">
        <v>46695</v>
      </c>
      <c r="G3164" s="127" t="n">
        <v>46701</v>
      </c>
      <c r="H3164" s="127" t="n">
        <v>46293</v>
      </c>
      <c r="I3164" s="4" t="n">
        <v>0</v>
      </c>
      <c r="J3164" s="4" t="n">
        <v>0</v>
      </c>
      <c r="K3164" s="4" t="n">
        <v>0</v>
      </c>
      <c r="M3164" s="2" t="str">
        <f aca="false">IF(C3164="","",IFERROR(INDEX($S$5:$S$304,MATCH(C3164,$R$5:$R$304,0))&amp;"","?"))</f>
        <v>20</v>
      </c>
      <c r="N3164" s="2" t="n">
        <f aca="false">IF(E3164="","",IF(ISNUMBER(SEARCH("SUBSOLO",E3164)),IFERROR(-VALUE(LEFT(E3164,FIND("º",SUBSTITUTE(E3164,"°","º"))-1)),-1),IF(LEFT(E3164,6)="TÉRREO",0,IFERROR(VALUE(LEFT(E3164,FIND("º",SUBSTITUTE(E3164,"°","º"))-1)),""))))</f>
        <v>-3</v>
      </c>
      <c r="O3164" s="2" t="str">
        <f aca="false">IF(OR(F3164="",G3164=""),"",IF(G3164&lt;='RETRATO 2027'!$K$5,"CONCLUÍDA",IF(F3164&lt;='RETRATO 2027'!$K$5,"EM ANDAMENTO","A INICIAR")))</f>
        <v>CONCLUÍDA</v>
      </c>
    </row>
    <row r="3165" customFormat="false" ht="15" hidden="false" customHeight="false" outlineLevel="0" collapsed="false">
      <c r="B3165" s="4" t="n">
        <v>29845970</v>
      </c>
      <c r="C3165" s="4" t="s">
        <v>2983</v>
      </c>
      <c r="D3165" s="4" t="s">
        <v>433</v>
      </c>
      <c r="E3165" s="4" t="s">
        <v>3787</v>
      </c>
      <c r="F3165" s="127" t="n">
        <v>46695</v>
      </c>
      <c r="G3165" s="127" t="n">
        <v>46703</v>
      </c>
      <c r="H3165" s="127" t="n">
        <v>46293</v>
      </c>
      <c r="I3165" s="4" t="n">
        <v>0</v>
      </c>
      <c r="J3165" s="4" t="n">
        <v>0</v>
      </c>
      <c r="K3165" s="4" t="n">
        <v>0</v>
      </c>
      <c r="M3165" s="2" t="str">
        <f aca="false">IF(C3165="","",IFERROR(INDEX($S$5:$S$304,MATCH(C3165,$R$5:$R$304,0))&amp;"","?"))</f>
        <v>20</v>
      </c>
      <c r="N3165" s="2" t="n">
        <f aca="false">IF(E3165="","",IF(ISNUMBER(SEARCH("SUBSOLO",E3165)),IFERROR(-VALUE(LEFT(E3165,FIND("º",SUBSTITUTE(E3165,"°","º"))-1)),-1),IF(LEFT(E3165,6)="TÉRREO",0,IFERROR(VALUE(LEFT(E3165,FIND("º",SUBSTITUTE(E3165,"°","º"))-1)),""))))</f>
        <v>23</v>
      </c>
      <c r="O3165" s="2" t="str">
        <f aca="false">IF(OR(F3165="",G3165=""),"",IF(G3165&lt;='RETRATO 2027'!$K$5,"CONCLUÍDA",IF(F3165&lt;='RETRATO 2027'!$K$5,"EM ANDAMENTO","A INICIAR")))</f>
        <v>CONCLUÍDA</v>
      </c>
    </row>
    <row r="3166" customFormat="false" ht="15" hidden="false" customHeight="false" outlineLevel="0" collapsed="false">
      <c r="B3166" s="4" t="n">
        <v>29845909</v>
      </c>
      <c r="C3166" s="4" t="s">
        <v>2986</v>
      </c>
      <c r="D3166" s="4" t="s">
        <v>433</v>
      </c>
      <c r="E3166" s="4" t="s">
        <v>3787</v>
      </c>
      <c r="F3166" s="127" t="n">
        <v>46695</v>
      </c>
      <c r="G3166" s="127" t="n">
        <v>46707</v>
      </c>
      <c r="H3166" s="127" t="n">
        <v>46293</v>
      </c>
      <c r="I3166" s="4" t="n">
        <v>0</v>
      </c>
      <c r="J3166" s="4" t="n">
        <v>0</v>
      </c>
      <c r="K3166" s="4" t="n">
        <v>0</v>
      </c>
      <c r="M3166" s="2" t="str">
        <f aca="false">IF(C3166="","",IFERROR(INDEX($S$5:$S$304,MATCH(C3166,$R$5:$R$304,0))&amp;"","?"))</f>
        <v>20</v>
      </c>
      <c r="N3166" s="2" t="n">
        <f aca="false">IF(E3166="","",IF(ISNUMBER(SEARCH("SUBSOLO",E3166)),IFERROR(-VALUE(LEFT(E3166,FIND("º",SUBSTITUTE(E3166,"°","º"))-1)),-1),IF(LEFT(E3166,6)="TÉRREO",0,IFERROR(VALUE(LEFT(E3166,FIND("º",SUBSTITUTE(E3166,"°","º"))-1)),""))))</f>
        <v>23</v>
      </c>
      <c r="O3166" s="2" t="str">
        <f aca="false">IF(OR(F3166="",G3166=""),"",IF(G3166&lt;='RETRATO 2027'!$K$5,"CONCLUÍDA",IF(F3166&lt;='RETRATO 2027'!$K$5,"EM ANDAMENTO","A INICIAR")))</f>
        <v>CONCLUÍDA</v>
      </c>
    </row>
    <row r="3167" customFormat="false" ht="15" hidden="false" customHeight="false" outlineLevel="0" collapsed="false">
      <c r="B3167" s="4" t="n">
        <v>26742912</v>
      </c>
      <c r="C3167" s="4" t="s">
        <v>2977</v>
      </c>
      <c r="D3167" s="4" t="s">
        <v>433</v>
      </c>
      <c r="E3167" s="4" t="s">
        <v>3788</v>
      </c>
      <c r="F3167" s="127" t="n">
        <v>46695</v>
      </c>
      <c r="G3167" s="127" t="n">
        <v>46707</v>
      </c>
      <c r="H3167" s="127" t="n">
        <v>46293</v>
      </c>
      <c r="I3167" s="4" t="n">
        <v>0</v>
      </c>
      <c r="J3167" s="4" t="n">
        <v>0</v>
      </c>
      <c r="K3167" s="4" t="n">
        <v>0</v>
      </c>
      <c r="M3167" s="2" t="str">
        <f aca="false">IF(C3167="","",IFERROR(INDEX($S$5:$S$304,MATCH(C3167,$R$5:$R$304,0))&amp;"","?"))</f>
        <v>30</v>
      </c>
      <c r="N3167" s="2" t="n">
        <f aca="false">IF(E3167="","",IF(ISNUMBER(SEARCH("SUBSOLO",E3167)),IFERROR(-VALUE(LEFT(E3167,FIND("º",SUBSTITUTE(E3167,"°","º"))-1)),-1),IF(LEFT(E3167,6)="TÉRREO",0,IFERROR(VALUE(LEFT(E3167,FIND("º",SUBSTITUTE(E3167,"°","º"))-1)),""))))</f>
        <v>24</v>
      </c>
      <c r="O3167" s="2" t="str">
        <f aca="false">IF(OR(F3167="",G3167=""),"",IF(G3167&lt;='RETRATO 2027'!$K$5,"CONCLUÍDA",IF(F3167&lt;='RETRATO 2027'!$K$5,"EM ANDAMENTO","A INICIAR")))</f>
        <v>CONCLUÍDA</v>
      </c>
    </row>
    <row r="3168" customFormat="false" ht="15" hidden="false" customHeight="false" outlineLevel="0" collapsed="false">
      <c r="B3168" s="4" t="n">
        <v>26742868</v>
      </c>
      <c r="C3168" s="4" t="s">
        <v>2935</v>
      </c>
      <c r="D3168" s="4" t="s">
        <v>433</v>
      </c>
      <c r="E3168" s="4" t="s">
        <v>3794</v>
      </c>
      <c r="F3168" s="127" t="n">
        <v>46695</v>
      </c>
      <c r="G3168" s="127" t="n">
        <v>46707</v>
      </c>
      <c r="H3168" s="127" t="n">
        <v>46293</v>
      </c>
      <c r="I3168" s="4" t="n">
        <v>0</v>
      </c>
      <c r="J3168" s="4" t="n">
        <v>0</v>
      </c>
      <c r="K3168" s="4" t="n">
        <v>0</v>
      </c>
      <c r="M3168" s="2" t="str">
        <f aca="false">IF(C3168="","",IFERROR(INDEX($S$5:$S$304,MATCH(C3168,$R$5:$R$304,0))&amp;"","?"))</f>
        <v>30</v>
      </c>
      <c r="N3168" s="2" t="n">
        <f aca="false">IF(E3168="","",IF(ISNUMBER(SEARCH("SUBSOLO",E3168)),IFERROR(-VALUE(LEFT(E3168,FIND("º",SUBSTITUTE(E3168,"°","º"))-1)),-1),IF(LEFT(E3168,6)="TÉRREO",0,IFERROR(VALUE(LEFT(E3168,FIND("º",SUBSTITUTE(E3168,"°","º"))-1)),""))))</f>
        <v>25</v>
      </c>
      <c r="O3168" s="2" t="str">
        <f aca="false">IF(OR(F3168="",G3168=""),"",IF(G3168&lt;='RETRATO 2027'!$K$5,"CONCLUÍDA",IF(F3168&lt;='RETRATO 2027'!$K$5,"EM ANDAMENTO","A INICIAR")))</f>
        <v>CONCLUÍDA</v>
      </c>
    </row>
    <row r="3169" customFormat="false" ht="15" hidden="false" customHeight="false" outlineLevel="0" collapsed="false">
      <c r="B3169" s="4" t="n">
        <v>26742815</v>
      </c>
      <c r="C3169" s="4" t="s">
        <v>2938</v>
      </c>
      <c r="D3169" s="4" t="s">
        <v>433</v>
      </c>
      <c r="E3169" s="4" t="s">
        <v>3797</v>
      </c>
      <c r="F3169" s="127" t="n">
        <v>46695</v>
      </c>
      <c r="G3169" s="127" t="n">
        <v>46707</v>
      </c>
      <c r="H3169" s="127" t="n">
        <v>46293</v>
      </c>
      <c r="I3169" s="4" t="n">
        <v>0</v>
      </c>
      <c r="J3169" s="4" t="n">
        <v>0</v>
      </c>
      <c r="K3169" s="4" t="n">
        <v>0</v>
      </c>
      <c r="M3169" s="2" t="str">
        <f aca="false">IF(C3169="","",IFERROR(INDEX($S$5:$S$304,MATCH(C3169,$R$5:$R$304,0))&amp;"","?"))</f>
        <v>30</v>
      </c>
      <c r="N3169" s="2" t="n">
        <f aca="false">IF(E3169="","",IF(ISNUMBER(SEARCH("SUBSOLO",E3169)),IFERROR(-VALUE(LEFT(E3169,FIND("º",SUBSTITUTE(E3169,"°","º"))-1)),-1),IF(LEFT(E3169,6)="TÉRREO",0,IFERROR(VALUE(LEFT(E3169,FIND("º",SUBSTITUTE(E3169,"°","º"))-1)),""))))</f>
        <v>26</v>
      </c>
      <c r="O3169" s="2" t="str">
        <f aca="false">IF(OR(F3169="",G3169=""),"",IF(G3169&lt;='RETRATO 2027'!$K$5,"CONCLUÍDA",IF(F3169&lt;='RETRATO 2027'!$K$5,"EM ANDAMENTO","A INICIAR")))</f>
        <v>CONCLUÍDA</v>
      </c>
    </row>
    <row r="3170" customFormat="false" ht="15" hidden="false" customHeight="false" outlineLevel="0" collapsed="false">
      <c r="B3170" s="4" t="n">
        <v>26742777</v>
      </c>
      <c r="C3170" s="4" t="s">
        <v>166</v>
      </c>
      <c r="D3170" s="4" t="s">
        <v>433</v>
      </c>
      <c r="E3170" s="4" t="s">
        <v>3799</v>
      </c>
      <c r="F3170" s="127" t="n">
        <v>46695</v>
      </c>
      <c r="G3170" s="127" t="n">
        <v>46707</v>
      </c>
      <c r="H3170" s="127" t="n">
        <v>46293</v>
      </c>
      <c r="I3170" s="4" t="n">
        <v>0</v>
      </c>
      <c r="J3170" s="4" t="n">
        <v>0</v>
      </c>
      <c r="K3170" s="4" t="n">
        <v>0</v>
      </c>
      <c r="M3170" s="2" t="str">
        <f aca="false">IF(C3170="","",IFERROR(INDEX($S$5:$S$304,MATCH(C3170,$R$5:$R$304,0))&amp;"","?"))</f>
        <v>19</v>
      </c>
      <c r="N3170" s="2" t="n">
        <f aca="false">IF(E3170="","",IF(ISNUMBER(SEARCH("SUBSOLO",E3170)),IFERROR(-VALUE(LEFT(E3170,FIND("º",SUBSTITUTE(E3170,"°","º"))-1)),-1),IF(LEFT(E3170,6)="TÉRREO",0,IFERROR(VALUE(LEFT(E3170,FIND("º",SUBSTITUTE(E3170,"°","º"))-1)),""))))</f>
        <v>27</v>
      </c>
      <c r="O3170" s="2" t="str">
        <f aca="false">IF(OR(F3170="",G3170=""),"",IF(G3170&lt;='RETRATO 2027'!$K$5,"CONCLUÍDA",IF(F3170&lt;='RETRATO 2027'!$K$5,"EM ANDAMENTO","A INICIAR")))</f>
        <v>CONCLUÍDA</v>
      </c>
    </row>
    <row r="3171" customFormat="false" ht="15" hidden="false" customHeight="false" outlineLevel="0" collapsed="false">
      <c r="B3171" s="4" t="n">
        <v>26742750</v>
      </c>
      <c r="C3171" s="4" t="s">
        <v>2941</v>
      </c>
      <c r="D3171" s="4" t="s">
        <v>433</v>
      </c>
      <c r="E3171" s="4" t="s">
        <v>3802</v>
      </c>
      <c r="F3171" s="127" t="n">
        <v>46695</v>
      </c>
      <c r="G3171" s="127" t="n">
        <v>46707</v>
      </c>
      <c r="H3171" s="127" t="n">
        <v>46293</v>
      </c>
      <c r="I3171" s="4" t="n">
        <v>0</v>
      </c>
      <c r="J3171" s="4" t="n">
        <v>0</v>
      </c>
      <c r="K3171" s="4" t="n">
        <v>0</v>
      </c>
      <c r="M3171" s="2" t="str">
        <f aca="false">IF(C3171="","",IFERROR(INDEX($S$5:$S$304,MATCH(C3171,$R$5:$R$304,0))&amp;"","?"))</f>
        <v>18</v>
      </c>
      <c r="N3171" s="2" t="n">
        <f aca="false">IF(E3171="","",IF(ISNUMBER(SEARCH("SUBSOLO",E3171)),IFERROR(-VALUE(LEFT(E3171,FIND("º",SUBSTITUTE(E3171,"°","º"))-1)),-1),IF(LEFT(E3171,6)="TÉRREO",0,IFERROR(VALUE(LEFT(E3171,FIND("º",SUBSTITUTE(E3171,"°","º"))-1)),""))))</f>
        <v>28</v>
      </c>
      <c r="O3171" s="2" t="str">
        <f aca="false">IF(OR(F3171="",G3171=""),"",IF(G3171&lt;='RETRATO 2027'!$K$5,"CONCLUÍDA",IF(F3171&lt;='RETRATO 2027'!$K$5,"EM ANDAMENTO","A INICIAR")))</f>
        <v>CONCLUÍDA</v>
      </c>
    </row>
    <row r="3172" customFormat="false" ht="15" hidden="false" customHeight="false" outlineLevel="0" collapsed="false">
      <c r="B3172" s="4" t="n">
        <v>26742714</v>
      </c>
      <c r="C3172" s="4" t="s">
        <v>2924</v>
      </c>
      <c r="D3172" s="4" t="s">
        <v>433</v>
      </c>
      <c r="E3172" s="4" t="s">
        <v>3803</v>
      </c>
      <c r="F3172" s="127" t="n">
        <v>46695</v>
      </c>
      <c r="G3172" s="127" t="n">
        <v>46707</v>
      </c>
      <c r="H3172" s="127" t="n">
        <v>46293</v>
      </c>
      <c r="I3172" s="4" t="n">
        <v>0</v>
      </c>
      <c r="J3172" s="4" t="n">
        <v>0</v>
      </c>
      <c r="K3172" s="4" t="n">
        <v>0</v>
      </c>
      <c r="M3172" s="2" t="str">
        <f aca="false">IF(C3172="","",IFERROR(INDEX($S$5:$S$304,MATCH(C3172,$R$5:$R$304,0))&amp;"","?"))</f>
        <v>21</v>
      </c>
      <c r="N3172" s="2" t="n">
        <f aca="false">IF(E3172="","",IF(ISNUMBER(SEARCH("SUBSOLO",E3172)),IFERROR(-VALUE(LEFT(E3172,FIND("º",SUBSTITUTE(E3172,"°","º"))-1)),-1),IF(LEFT(E3172,6)="TÉRREO",0,IFERROR(VALUE(LEFT(E3172,FIND("º",SUBSTITUTE(E3172,"°","º"))-1)),""))))</f>
        <v>29</v>
      </c>
      <c r="O3172" s="2" t="str">
        <f aca="false">IF(OR(F3172="",G3172=""),"",IF(G3172&lt;='RETRATO 2027'!$K$5,"CONCLUÍDA",IF(F3172&lt;='RETRATO 2027'!$K$5,"EM ANDAMENTO","A INICIAR")))</f>
        <v>CONCLUÍDA</v>
      </c>
    </row>
    <row r="3173" customFormat="false" ht="15" hidden="false" customHeight="false" outlineLevel="0" collapsed="false">
      <c r="B3173" s="4" t="n">
        <v>26742697</v>
      </c>
      <c r="C3173" s="4" t="s">
        <v>2926</v>
      </c>
      <c r="D3173" s="4" t="s">
        <v>433</v>
      </c>
      <c r="E3173" s="4" t="s">
        <v>3803</v>
      </c>
      <c r="F3173" s="127" t="n">
        <v>46695</v>
      </c>
      <c r="G3173" s="127" t="n">
        <v>46707</v>
      </c>
      <c r="H3173" s="127" t="n">
        <v>46293</v>
      </c>
      <c r="I3173" s="4" t="n">
        <v>0</v>
      </c>
      <c r="J3173" s="4" t="n">
        <v>0</v>
      </c>
      <c r="K3173" s="4" t="n">
        <v>0</v>
      </c>
      <c r="M3173" s="2" t="str">
        <f aca="false">IF(C3173="","",IFERROR(INDEX($S$5:$S$304,MATCH(C3173,$R$5:$R$304,0))&amp;"","?"))</f>
        <v>20</v>
      </c>
      <c r="N3173" s="2" t="n">
        <f aca="false">IF(E3173="","",IF(ISNUMBER(SEARCH("SUBSOLO",E3173)),IFERROR(-VALUE(LEFT(E3173,FIND("º",SUBSTITUTE(E3173,"°","º"))-1)),-1),IF(LEFT(E3173,6)="TÉRREO",0,IFERROR(VALUE(LEFT(E3173,FIND("º",SUBSTITUTE(E3173,"°","º"))-1)),""))))</f>
        <v>29</v>
      </c>
      <c r="O3173" s="2" t="str">
        <f aca="false">IF(OR(F3173="",G3173=""),"",IF(G3173&lt;='RETRATO 2027'!$K$5,"CONCLUÍDA",IF(F3173&lt;='RETRATO 2027'!$K$5,"EM ANDAMENTO","A INICIAR")))</f>
        <v>CONCLUÍDA</v>
      </c>
    </row>
    <row r="3174" customFormat="false" ht="15" hidden="false" customHeight="false" outlineLevel="0" collapsed="false">
      <c r="B3174" s="4" t="n">
        <v>26742696</v>
      </c>
      <c r="C3174" s="4" t="s">
        <v>2928</v>
      </c>
      <c r="D3174" s="4" t="s">
        <v>433</v>
      </c>
      <c r="E3174" s="4" t="s">
        <v>3803</v>
      </c>
      <c r="F3174" s="127" t="n">
        <v>46695</v>
      </c>
      <c r="G3174" s="127" t="n">
        <v>46707</v>
      </c>
      <c r="H3174" s="127" t="n">
        <v>46293</v>
      </c>
      <c r="I3174" s="4" t="n">
        <v>0</v>
      </c>
      <c r="J3174" s="4" t="n">
        <v>0</v>
      </c>
      <c r="K3174" s="4" t="n">
        <v>0</v>
      </c>
      <c r="M3174" s="2" t="str">
        <f aca="false">IF(C3174="","",IFERROR(INDEX($S$5:$S$304,MATCH(C3174,$R$5:$R$304,0))&amp;"","?"))</f>
        <v>23</v>
      </c>
      <c r="N3174" s="2" t="n">
        <f aca="false">IF(E3174="","",IF(ISNUMBER(SEARCH("SUBSOLO",E3174)),IFERROR(-VALUE(LEFT(E3174,FIND("º",SUBSTITUTE(E3174,"°","º"))-1)),-1),IF(LEFT(E3174,6)="TÉRREO",0,IFERROR(VALUE(LEFT(E3174,FIND("º",SUBSTITUTE(E3174,"°","º"))-1)),""))))</f>
        <v>29</v>
      </c>
      <c r="O3174" s="2" t="str">
        <f aca="false">IF(OR(F3174="",G3174=""),"",IF(G3174&lt;='RETRATO 2027'!$K$5,"CONCLUÍDA",IF(F3174&lt;='RETRATO 2027'!$K$5,"EM ANDAMENTO","A INICIAR")))</f>
        <v>CONCLUÍDA</v>
      </c>
    </row>
    <row r="3175" customFormat="false" ht="15" hidden="false" customHeight="false" outlineLevel="0" collapsed="false">
      <c r="B3175" s="4" t="n">
        <v>26742715</v>
      </c>
      <c r="C3175" s="4" t="s">
        <v>2930</v>
      </c>
      <c r="D3175" s="4" t="s">
        <v>433</v>
      </c>
      <c r="E3175" s="4" t="s">
        <v>3803</v>
      </c>
      <c r="F3175" s="127" t="n">
        <v>46695</v>
      </c>
      <c r="G3175" s="127" t="n">
        <v>46707</v>
      </c>
      <c r="H3175" s="127" t="n">
        <v>46293</v>
      </c>
      <c r="I3175" s="4" t="n">
        <v>0</v>
      </c>
      <c r="J3175" s="4" t="n">
        <v>0</v>
      </c>
      <c r="K3175" s="4" t="n">
        <v>0</v>
      </c>
      <c r="M3175" s="2" t="str">
        <f aca="false">IF(C3175="","",IFERROR(INDEX($S$5:$S$304,MATCH(C3175,$R$5:$R$304,0))&amp;"","?"))</f>
        <v>21</v>
      </c>
      <c r="N3175" s="2" t="n">
        <f aca="false">IF(E3175="","",IF(ISNUMBER(SEARCH("SUBSOLO",E3175)),IFERROR(-VALUE(LEFT(E3175,FIND("º",SUBSTITUTE(E3175,"°","º"))-1)),-1),IF(LEFT(E3175,6)="TÉRREO",0,IFERROR(VALUE(LEFT(E3175,FIND("º",SUBSTITUTE(E3175,"°","º"))-1)),""))))</f>
        <v>29</v>
      </c>
      <c r="O3175" s="2" t="str">
        <f aca="false">IF(OR(F3175="",G3175=""),"",IF(G3175&lt;='RETRATO 2027'!$K$5,"CONCLUÍDA",IF(F3175&lt;='RETRATO 2027'!$K$5,"EM ANDAMENTO","A INICIAR")))</f>
        <v>CONCLUÍDA</v>
      </c>
    </row>
    <row r="3176" customFormat="false" ht="15" hidden="false" customHeight="false" outlineLevel="0" collapsed="false">
      <c r="B3176" s="4" t="n">
        <v>26742716</v>
      </c>
      <c r="C3176" s="4" t="s">
        <v>2933</v>
      </c>
      <c r="D3176" s="4" t="s">
        <v>433</v>
      </c>
      <c r="E3176" s="4" t="s">
        <v>3803</v>
      </c>
      <c r="F3176" s="127" t="n">
        <v>46695</v>
      </c>
      <c r="G3176" s="127" t="n">
        <v>46707</v>
      </c>
      <c r="H3176" s="127" t="n">
        <v>46293</v>
      </c>
      <c r="I3176" s="4" t="n">
        <v>0</v>
      </c>
      <c r="J3176" s="4" t="n">
        <v>0</v>
      </c>
      <c r="K3176" s="4" t="n">
        <v>0</v>
      </c>
      <c r="M3176" s="2" t="str">
        <f aca="false">IF(C3176="","",IFERROR(INDEX($S$5:$S$304,MATCH(C3176,$R$5:$R$304,0))&amp;"","?"))</f>
        <v>21</v>
      </c>
      <c r="N3176" s="2" t="n">
        <f aca="false">IF(E3176="","",IF(ISNUMBER(SEARCH("SUBSOLO",E3176)),IFERROR(-VALUE(LEFT(E3176,FIND("º",SUBSTITUTE(E3176,"°","º"))-1)),-1),IF(LEFT(E3176,6)="TÉRREO",0,IFERROR(VALUE(LEFT(E3176,FIND("º",SUBSTITUTE(E3176,"°","º"))-1)),""))))</f>
        <v>29</v>
      </c>
      <c r="O3176" s="2" t="str">
        <f aca="false">IF(OR(F3176="",G3176=""),"",IF(G3176&lt;='RETRATO 2027'!$K$5,"CONCLUÍDA",IF(F3176&lt;='RETRATO 2027'!$K$5,"EM ANDAMENTO","A INICIAR")))</f>
        <v>CONCLUÍDA</v>
      </c>
    </row>
    <row r="3177" customFormat="false" ht="15" hidden="false" customHeight="false" outlineLevel="0" collapsed="false">
      <c r="B3177" s="4" t="n">
        <v>26744949</v>
      </c>
      <c r="C3177" s="4" t="s">
        <v>3029</v>
      </c>
      <c r="D3177" s="4" t="s">
        <v>433</v>
      </c>
      <c r="E3177" s="4" t="s">
        <v>3612</v>
      </c>
      <c r="F3177" s="127" t="n">
        <v>46696</v>
      </c>
      <c r="G3177" s="127" t="n">
        <v>46707</v>
      </c>
      <c r="H3177" s="127" t="n">
        <v>46293</v>
      </c>
      <c r="I3177" s="4" t="n">
        <v>0</v>
      </c>
      <c r="J3177" s="4" t="n">
        <v>0</v>
      </c>
      <c r="K3177" s="4" t="n">
        <v>0</v>
      </c>
      <c r="M3177" s="2" t="str">
        <f aca="false">IF(C3177="","",IFERROR(INDEX($S$5:$S$304,MATCH(C3177,$R$5:$R$304,0))&amp;"","?"))</f>
        <v/>
      </c>
      <c r="N3177" s="2" t="n">
        <f aca="false">IF(E3177="","",IF(ISNUMBER(SEARCH("SUBSOLO",E3177)),IFERROR(-VALUE(LEFT(E3177,FIND("º",SUBSTITUTE(E3177,"°","º"))-1)),-1),IF(LEFT(E3177,6)="TÉRREO",0,IFERROR(VALUE(LEFT(E3177,FIND("º",SUBSTITUTE(E3177,"°","º"))-1)),""))))</f>
        <v>-1</v>
      </c>
      <c r="O3177" s="2" t="str">
        <f aca="false">IF(OR(F3177="",G3177=""),"",IF(G3177&lt;='RETRATO 2027'!$K$5,"CONCLUÍDA",IF(F3177&lt;='RETRATO 2027'!$K$5,"EM ANDAMENTO","A INICIAR")))</f>
        <v>CONCLUÍDA</v>
      </c>
    </row>
    <row r="3178" customFormat="false" ht="15" hidden="false" customHeight="false" outlineLevel="0" collapsed="false">
      <c r="B3178" s="4" t="n">
        <v>26745145</v>
      </c>
      <c r="C3178" s="4" t="s">
        <v>3057</v>
      </c>
      <c r="D3178" s="4" t="s">
        <v>433</v>
      </c>
      <c r="E3178" s="4" t="s">
        <v>3807</v>
      </c>
      <c r="F3178" s="127" t="n">
        <v>46696</v>
      </c>
      <c r="G3178" s="127" t="n">
        <v>46708</v>
      </c>
      <c r="H3178" s="127" t="n">
        <v>46293</v>
      </c>
      <c r="I3178" s="4" t="n">
        <v>0</v>
      </c>
      <c r="J3178" s="4" t="n">
        <v>0</v>
      </c>
      <c r="K3178" s="4" t="n">
        <v>0</v>
      </c>
      <c r="M3178" s="2" t="str">
        <f aca="false">IF(C3178="","",IFERROR(INDEX($S$5:$S$304,MATCH(C3178,$R$5:$R$304,0))&amp;"","?"))</f>
        <v>26</v>
      </c>
      <c r="N3178" s="2" t="n">
        <f aca="false">IF(E3178="","",IF(ISNUMBER(SEARCH("SUBSOLO",E3178)),IFERROR(-VALUE(LEFT(E3178,FIND("º",SUBSTITUTE(E3178,"°","º"))-1)),-1),IF(LEFT(E3178,6)="TÉRREO",0,IFERROR(VALUE(LEFT(E3178,FIND("º",SUBSTITUTE(E3178,"°","º"))-1)),""))))</f>
        <v>2</v>
      </c>
      <c r="O3178" s="2" t="str">
        <f aca="false">IF(OR(F3178="",G3178=""),"",IF(G3178&lt;='RETRATO 2027'!$K$5,"CONCLUÍDA",IF(F3178&lt;='RETRATO 2027'!$K$5,"EM ANDAMENTO","A INICIAR")))</f>
        <v>CONCLUÍDA</v>
      </c>
    </row>
    <row r="3179" customFormat="false" ht="15" hidden="false" customHeight="false" outlineLevel="0" collapsed="false">
      <c r="B3179" s="4" t="n">
        <v>26745178</v>
      </c>
      <c r="C3179" s="4" t="s">
        <v>3032</v>
      </c>
      <c r="D3179" s="4" t="s">
        <v>433</v>
      </c>
      <c r="E3179" s="4" t="s">
        <v>3770</v>
      </c>
      <c r="F3179" s="127" t="n">
        <v>46699</v>
      </c>
      <c r="G3179" s="127" t="n">
        <v>46709</v>
      </c>
      <c r="H3179" s="127" t="n">
        <v>46293</v>
      </c>
      <c r="I3179" s="4" t="n">
        <v>0</v>
      </c>
      <c r="J3179" s="4" t="n">
        <v>0</v>
      </c>
      <c r="K3179" s="4" t="n">
        <v>0</v>
      </c>
      <c r="M3179" s="2" t="str">
        <f aca="false">IF(C3179="","",IFERROR(INDEX($S$5:$S$304,MATCH(C3179,$R$5:$R$304,0))&amp;"","?"))</f>
        <v>35</v>
      </c>
      <c r="N3179" s="2" t="n">
        <f aca="false">IF(E3179="","",IF(ISNUMBER(SEARCH("SUBSOLO",E3179)),IFERROR(-VALUE(LEFT(E3179,FIND("º",SUBSTITUTE(E3179,"°","º"))-1)),-1),IF(LEFT(E3179,6)="TÉRREO",0,IFERROR(VALUE(LEFT(E3179,FIND("º",SUBSTITUTE(E3179,"°","º"))-1)),""))))</f>
        <v>-1</v>
      </c>
      <c r="O3179" s="2" t="str">
        <f aca="false">IF(OR(F3179="",G3179=""),"",IF(G3179&lt;='RETRATO 2027'!$K$5,"CONCLUÍDA",IF(F3179&lt;='RETRATO 2027'!$K$5,"EM ANDAMENTO","A INICIAR")))</f>
        <v>CONCLUÍDA</v>
      </c>
    </row>
    <row r="3180" customFormat="false" ht="15" hidden="false" customHeight="false" outlineLevel="0" collapsed="false">
      <c r="B3180" s="4" t="n">
        <v>26750527</v>
      </c>
      <c r="C3180" s="4" t="s">
        <v>3021</v>
      </c>
      <c r="D3180" s="4" t="s">
        <v>433</v>
      </c>
      <c r="E3180" s="4" t="s">
        <v>3597</v>
      </c>
      <c r="F3180" s="127" t="n">
        <v>46700</v>
      </c>
      <c r="G3180" s="127" t="n">
        <v>46710</v>
      </c>
      <c r="H3180" s="127" t="n">
        <v>46293</v>
      </c>
      <c r="I3180" s="4" t="n">
        <v>0</v>
      </c>
      <c r="J3180" s="4" t="n">
        <v>0</v>
      </c>
      <c r="K3180" s="4" t="n">
        <v>0</v>
      </c>
      <c r="M3180" s="2" t="str">
        <f aca="false">IF(C3180="","",IFERROR(INDEX($S$5:$S$304,MATCH(C3180,$R$5:$R$304,0))&amp;"","?"))</f>
        <v>35</v>
      </c>
      <c r="N3180" s="2" t="n">
        <f aca="false">IF(E3180="","",IF(ISNUMBER(SEARCH("SUBSOLO",E3180)),IFERROR(-VALUE(LEFT(E3180,FIND("º",SUBSTITUTE(E3180,"°","º"))-1)),-1),IF(LEFT(E3180,6)="TÉRREO",0,IFERROR(VALUE(LEFT(E3180,FIND("º",SUBSTITUTE(E3180,"°","º"))-1)),""))))</f>
        <v>-2</v>
      </c>
      <c r="O3180" s="2" t="str">
        <f aca="false">IF(OR(F3180="",G3180=""),"",IF(G3180&lt;='RETRATO 2027'!$K$5,"CONCLUÍDA",IF(F3180&lt;='RETRATO 2027'!$K$5,"EM ANDAMENTO","A INICIAR")))</f>
        <v>CONCLUÍDA</v>
      </c>
    </row>
    <row r="3181" customFormat="false" ht="15" hidden="false" customHeight="false" outlineLevel="0" collapsed="false">
      <c r="B3181" s="4" t="n">
        <v>26743707</v>
      </c>
      <c r="C3181" s="4" t="s">
        <v>3009</v>
      </c>
      <c r="D3181" s="4" t="s">
        <v>433</v>
      </c>
      <c r="E3181" s="4" t="s">
        <v>3482</v>
      </c>
      <c r="F3181" s="127" t="n">
        <v>46700</v>
      </c>
      <c r="G3181" s="127" t="n">
        <v>46721</v>
      </c>
      <c r="H3181" s="127" t="n">
        <v>46293</v>
      </c>
      <c r="I3181" s="4" t="n">
        <v>0</v>
      </c>
      <c r="J3181" s="4" t="n">
        <v>0</v>
      </c>
      <c r="K3181" s="4" t="n">
        <v>0</v>
      </c>
      <c r="M3181" s="2" t="str">
        <f aca="false">IF(C3181="","",IFERROR(INDEX($S$5:$S$304,MATCH(C3181,$R$5:$R$304,0))&amp;"","?"))</f>
        <v>23</v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>CONCLUÍDA</v>
      </c>
    </row>
    <row r="3182" customFormat="false" ht="15" hidden="false" customHeight="false" outlineLevel="0" collapsed="false">
      <c r="B3182" s="4" t="n">
        <v>26745164</v>
      </c>
      <c r="C3182" s="4" t="s">
        <v>3029</v>
      </c>
      <c r="D3182" s="4" t="s">
        <v>433</v>
      </c>
      <c r="E3182" s="4" t="s">
        <v>3652</v>
      </c>
      <c r="F3182" s="127" t="n">
        <v>46700</v>
      </c>
      <c r="G3182" s="127" t="n">
        <v>46710</v>
      </c>
      <c r="H3182" s="127" t="n">
        <v>46293</v>
      </c>
      <c r="I3182" s="4" t="n">
        <v>0</v>
      </c>
      <c r="J3182" s="4" t="n">
        <v>0</v>
      </c>
      <c r="K3182" s="4" t="n">
        <v>0</v>
      </c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>CONCLUÍDA</v>
      </c>
    </row>
    <row r="3183" customFormat="false" ht="15" hidden="false" customHeight="false" outlineLevel="0" collapsed="false">
      <c r="B3183" s="4" t="n">
        <v>26707658</v>
      </c>
      <c r="C3183" s="4" t="s">
        <v>3029</v>
      </c>
      <c r="D3183" s="4" t="s">
        <v>433</v>
      </c>
      <c r="E3183" s="4" t="s">
        <v>3785</v>
      </c>
      <c r="F3183" s="127" t="n">
        <v>46700</v>
      </c>
      <c r="G3183" s="127" t="n">
        <v>46714</v>
      </c>
      <c r="H3183" s="127" t="n">
        <v>46293</v>
      </c>
      <c r="I3183" s="4" t="n">
        <v>0</v>
      </c>
      <c r="J3183" s="4" t="n">
        <v>0</v>
      </c>
      <c r="K3183" s="4" t="n">
        <v>0</v>
      </c>
      <c r="M3183" s="2" t="str">
        <f aca="false">IF(C3183="","",IFERROR(INDEX($S$5:$S$304,MATCH(C3183,$R$5:$R$304,0))&amp;"","?"))</f>
        <v/>
      </c>
      <c r="N3183" s="2" t="n">
        <f aca="false">IF(E3183="","",IF(ISNUMBER(SEARCH("SUBSOLO",E3183)),IFERROR(-VALUE(LEFT(E3183,FIND("º",SUBSTITUTE(E3183,"°","º"))-1)),-1),IF(LEFT(E3183,6)="TÉRREO",0,IFERROR(VALUE(LEFT(E3183,FIND("º",SUBSTITUTE(E3183,"°","º"))-1)),""))))</f>
        <v>1</v>
      </c>
      <c r="O3183" s="2" t="str">
        <f aca="false">IF(OR(F3183="",G3183=""),"",IF(G3183&lt;='RETRATO 2027'!$K$5,"CONCLUÍDA",IF(F3183&lt;='RETRATO 2027'!$K$5,"EM ANDAMENTO","A INICIAR")))</f>
        <v>CONCLUÍDA</v>
      </c>
    </row>
    <row r="3184" customFormat="false" ht="15" hidden="false" customHeight="false" outlineLevel="0" collapsed="false">
      <c r="B3184" s="4" t="n">
        <v>26744382</v>
      </c>
      <c r="C3184" s="4" t="s">
        <v>3043</v>
      </c>
      <c r="D3184" s="4" t="s">
        <v>433</v>
      </c>
      <c r="E3184" s="4" t="s">
        <v>3243</v>
      </c>
      <c r="F3184" s="127" t="n">
        <v>46701</v>
      </c>
      <c r="G3184" s="127" t="n">
        <v>46839</v>
      </c>
      <c r="H3184" s="127" t="n">
        <v>46293</v>
      </c>
      <c r="I3184" s="4" t="n">
        <v>0</v>
      </c>
      <c r="J3184" s="4" t="n">
        <v>0</v>
      </c>
      <c r="K3184" s="4" t="n">
        <v>0</v>
      </c>
      <c r="M3184" s="2" t="str">
        <f aca="false">IF(C3184="","",IFERROR(INDEX($S$5:$S$304,MATCH(C3184,$R$5:$R$304,0))&amp;"","?"))</f>
        <v>30</v>
      </c>
      <c r="N3184" s="2" t="n">
        <f aca="false">IF(E3184="","",IF(ISNUMBER(SEARCH("SUBSOLO",E3184)),IFERROR(-VALUE(LEFT(E3184,FIND("º",SUBSTITUTE(E3184,"°","º"))-1)),-1),IF(LEFT(E3184,6)="TÉRREO",0,IFERROR(VALUE(LEFT(E3184,FIND("º",SUBSTITUTE(E3184,"°","º"))-1)),""))))</f>
        <v>1</v>
      </c>
      <c r="O3184" s="2" t="str">
        <f aca="false">IF(OR(F3184="",G3184=""),"",IF(G3184&lt;='RETRATO 2027'!$K$5,"CONCLUÍDA",IF(F3184&lt;='RETRATO 2027'!$K$5,"EM ANDAMENTO","A INICIAR")))</f>
        <v>EM ANDAMENTO</v>
      </c>
    </row>
    <row r="3185" customFormat="false" ht="15" hidden="false" customHeight="false" outlineLevel="0" collapsed="false">
      <c r="B3185" s="4" t="n">
        <v>26744731</v>
      </c>
      <c r="C3185" s="4" t="s">
        <v>2814</v>
      </c>
      <c r="D3185" s="4" t="s">
        <v>433</v>
      </c>
      <c r="E3185" s="4" t="s">
        <v>3800</v>
      </c>
      <c r="F3185" s="127" t="n">
        <v>46701</v>
      </c>
      <c r="G3185" s="127" t="n">
        <v>46715</v>
      </c>
      <c r="H3185" s="127" t="n">
        <v>46293</v>
      </c>
      <c r="I3185" s="4" t="n">
        <v>0</v>
      </c>
      <c r="J3185" s="4" t="n">
        <v>0</v>
      </c>
      <c r="K3185" s="4" t="n">
        <v>0</v>
      </c>
      <c r="M3185" s="2" t="str">
        <f aca="false">IF(C3185="","",IFERROR(INDEX($S$5:$S$304,MATCH(C3185,$R$5:$R$304,0))&amp;"","?"))</f>
        <v>28</v>
      </c>
      <c r="N3185" s="2" t="n">
        <f aca="false">IF(E3185="","",IF(ISNUMBER(SEARCH("SUBSOLO",E3185)),IFERROR(-VALUE(LEFT(E3185,FIND("º",SUBSTITUTE(E3185,"°","º"))-1)),-1),IF(LEFT(E3185,6)="TÉRREO",0,IFERROR(VALUE(LEFT(E3185,FIND("º",SUBSTITUTE(E3185,"°","º"))-1)),""))))</f>
        <v>3</v>
      </c>
      <c r="O3185" s="2" t="str">
        <f aca="false">IF(OR(F3185="",G3185=""),"",IF(G3185&lt;='RETRATO 2027'!$K$5,"CONCLUÍDA",IF(F3185&lt;='RETRATO 2027'!$K$5,"EM ANDAMENTO","A INICIAR")))</f>
        <v>CONCLUÍDA</v>
      </c>
    </row>
    <row r="3186" customFormat="false" ht="15" hidden="false" customHeight="false" outlineLevel="0" collapsed="false">
      <c r="B3186" s="4" t="n">
        <v>26744970</v>
      </c>
      <c r="C3186" s="4" t="s">
        <v>208</v>
      </c>
      <c r="D3186" s="4" t="s">
        <v>433</v>
      </c>
      <c r="E3186" s="4" t="s">
        <v>3558</v>
      </c>
      <c r="F3186" s="127" t="n">
        <v>46702</v>
      </c>
      <c r="G3186" s="127" t="n">
        <v>46714</v>
      </c>
      <c r="H3186" s="127" t="n">
        <v>46293</v>
      </c>
      <c r="I3186" s="4" t="n">
        <v>0</v>
      </c>
      <c r="J3186" s="4" t="n">
        <v>0</v>
      </c>
      <c r="K3186" s="4" t="n">
        <v>0</v>
      </c>
      <c r="M3186" s="2" t="str">
        <f aca="false">IF(C3186="","",IFERROR(INDEX($S$5:$S$304,MATCH(C3186,$R$5:$R$304,0))&amp;"","?"))</f>
        <v>33</v>
      </c>
      <c r="N3186" s="2" t="n">
        <f aca="false">IF(E3186="","",IF(ISNUMBER(SEARCH("SUBSOLO",E3186)),IFERROR(-VALUE(LEFT(E3186,FIND("º",SUBSTITUTE(E3186,"°","º"))-1)),-1),IF(LEFT(E3186,6)="TÉRREO",0,IFERROR(VALUE(LEFT(E3186,FIND("º",SUBSTITUTE(E3186,"°","º"))-1)),""))))</f>
        <v>-4</v>
      </c>
      <c r="O3186" s="2" t="str">
        <f aca="false">IF(OR(F3186="",G3186=""),"",IF(G3186&lt;='RETRATO 2027'!$K$5,"CONCLUÍDA",IF(F3186&lt;='RETRATO 2027'!$K$5,"EM ANDAMENTO","A INICIAR")))</f>
        <v>CONCLUÍDA</v>
      </c>
    </row>
    <row r="3187" customFormat="false" ht="15" hidden="false" customHeight="false" outlineLevel="0" collapsed="false">
      <c r="B3187" s="4" t="n">
        <v>26750553</v>
      </c>
      <c r="C3187" s="4" t="s">
        <v>2971</v>
      </c>
      <c r="D3187" s="4" t="s">
        <v>433</v>
      </c>
      <c r="E3187" s="4" t="s">
        <v>3676</v>
      </c>
      <c r="F3187" s="127" t="n">
        <v>46702</v>
      </c>
      <c r="G3187" s="127" t="n">
        <v>46709</v>
      </c>
      <c r="H3187" s="127" t="n">
        <v>46293</v>
      </c>
      <c r="I3187" s="4" t="n">
        <v>0</v>
      </c>
      <c r="J3187" s="4" t="n">
        <v>0</v>
      </c>
      <c r="K3187" s="4" t="n">
        <v>0</v>
      </c>
      <c r="M3187" s="2" t="str">
        <f aca="false">IF(C3187="","",IFERROR(INDEX($S$5:$S$304,MATCH(C3187,$R$5:$R$304,0))&amp;"","?"))</f>
        <v>37</v>
      </c>
      <c r="N3187" s="2" t="n">
        <f aca="false">IF(E3187="","",IF(ISNUMBER(SEARCH("SUBSOLO",E3187)),IFERROR(-VALUE(LEFT(E3187,FIND("º",SUBSTITUTE(E3187,"°","º"))-1)),-1),IF(LEFT(E3187,6)="TÉRREO",0,IFERROR(VALUE(LEFT(E3187,FIND("º",SUBSTITUTE(E3187,"°","º"))-1)),""))))</f>
        <v>-3</v>
      </c>
      <c r="O3187" s="2" t="str">
        <f aca="false">IF(OR(F3187="",G3187=""),"",IF(G3187&lt;='RETRATO 2027'!$K$5,"CONCLUÍDA",IF(F3187&lt;='RETRATO 2027'!$K$5,"EM ANDAMENTO","A INICIAR")))</f>
        <v>CONCLUÍDA</v>
      </c>
    </row>
    <row r="3188" customFormat="false" ht="15" hidden="false" customHeight="false" outlineLevel="0" collapsed="false">
      <c r="B3188" s="4" t="n">
        <v>26744388</v>
      </c>
      <c r="C3188" s="4" t="s">
        <v>3015</v>
      </c>
      <c r="D3188" s="4" t="s">
        <v>433</v>
      </c>
      <c r="E3188" s="4" t="s">
        <v>3243</v>
      </c>
      <c r="F3188" s="127" t="n">
        <v>46702</v>
      </c>
      <c r="G3188" s="127" t="n">
        <v>46840</v>
      </c>
      <c r="H3188" s="127" t="n">
        <v>46293</v>
      </c>
      <c r="I3188" s="4" t="n">
        <v>0</v>
      </c>
      <c r="J3188" s="4" t="n">
        <v>0</v>
      </c>
      <c r="K3188" s="4" t="n">
        <v>0</v>
      </c>
      <c r="M3188" s="2" t="str">
        <f aca="false">IF(C3188="","",IFERROR(INDEX($S$5:$S$304,MATCH(C3188,$R$5:$R$304,0))&amp;"","?"))</f>
        <v>30</v>
      </c>
      <c r="N3188" s="2" t="n">
        <f aca="false">IF(E3188="","",IF(ISNUMBER(SEARCH("SUBSOLO",E3188)),IFERROR(-VALUE(LEFT(E3188,FIND("º",SUBSTITUTE(E3188,"°","º"))-1)),-1),IF(LEFT(E3188,6)="TÉRREO",0,IFERROR(VALUE(LEFT(E3188,FIND("º",SUBSTITUTE(E3188,"°","º"))-1)),""))))</f>
        <v>1</v>
      </c>
      <c r="O3188" s="2" t="str">
        <f aca="false">IF(OR(F3188="",G3188=""),"",IF(G3188&lt;='RETRATO 2027'!$K$5,"CONCLUÍDA",IF(F3188&lt;='RETRATO 2027'!$K$5,"EM ANDAMENTO","A INICIAR")))</f>
        <v>EM ANDAMENTO</v>
      </c>
    </row>
    <row r="3189" customFormat="false" ht="15" hidden="false" customHeight="false" outlineLevel="0" collapsed="false">
      <c r="B3189" s="4" t="n">
        <v>26707598</v>
      </c>
      <c r="C3189" s="4" t="s">
        <v>2916</v>
      </c>
      <c r="D3189" s="4" t="s">
        <v>433</v>
      </c>
      <c r="E3189" s="4" t="s">
        <v>3815</v>
      </c>
      <c r="F3189" s="127" t="n">
        <v>46702</v>
      </c>
      <c r="G3189" s="127" t="n">
        <v>46723</v>
      </c>
      <c r="H3189" s="127" t="n">
        <v>46293</v>
      </c>
      <c r="I3189" s="4" t="n">
        <v>0</v>
      </c>
      <c r="J3189" s="4" t="n">
        <v>0</v>
      </c>
      <c r="K3189" s="4" t="n">
        <v>0</v>
      </c>
      <c r="M3189" s="2" t="str">
        <f aca="false">IF(C3189="","",IFERROR(INDEX($S$5:$S$304,MATCH(C3189,$R$5:$R$304,0))&amp;"","?"))</f>
        <v>18</v>
      </c>
      <c r="N3189" s="2" t="n">
        <f aca="false">IF(E3189="","",IF(ISNUMBER(SEARCH("SUBSOLO",E3189)),IFERROR(-VALUE(LEFT(E3189,FIND("º",SUBSTITUTE(E3189,"°","º"))-1)),-1),IF(LEFT(E3189,6)="TÉRREO",0,IFERROR(VALUE(LEFT(E3189,FIND("º",SUBSTITUTE(E3189,"°","º"))-1)),""))))</f>
        <v>2</v>
      </c>
      <c r="O3189" s="2" t="str">
        <f aca="false">IF(OR(F3189="",G3189=""),"",IF(G3189&lt;='RETRATO 2027'!$K$5,"CONCLUÍDA",IF(F3189&lt;='RETRATO 2027'!$K$5,"EM ANDAMENTO","A INICIAR")))</f>
        <v>CONCLUÍDA</v>
      </c>
    </row>
    <row r="3190" customFormat="false" ht="15" hidden="false" customHeight="false" outlineLevel="0" collapsed="false">
      <c r="B3190" s="4" t="n">
        <v>26708154</v>
      </c>
      <c r="C3190" s="4" t="s">
        <v>2926</v>
      </c>
      <c r="D3190" s="4" t="s">
        <v>433</v>
      </c>
      <c r="E3190" s="4" t="s">
        <v>3813</v>
      </c>
      <c r="F3190" s="127" t="n">
        <v>46703</v>
      </c>
      <c r="G3190" s="127" t="n">
        <v>46715</v>
      </c>
      <c r="H3190" s="127" t="n">
        <v>46293</v>
      </c>
      <c r="I3190" s="4" t="n">
        <v>0</v>
      </c>
      <c r="J3190" s="4" t="n">
        <v>0</v>
      </c>
      <c r="K3190" s="4" t="n">
        <v>0</v>
      </c>
      <c r="M3190" s="2" t="str">
        <f aca="false">IF(C3190="","",IFERROR(INDEX($S$5:$S$304,MATCH(C3190,$R$5:$R$304,0))&amp;"","?"))</f>
        <v>20</v>
      </c>
      <c r="N3190" s="2" t="n">
        <f aca="false">IF(E3190="","",IF(ISNUMBER(SEARCH("SUBSOLO",E3190)),IFERROR(-VALUE(LEFT(E3190,FIND("º",SUBSTITUTE(E3190,"°","º"))-1)),-1),IF(LEFT(E3190,6)="TÉRREO",0,IFERROR(VALUE(LEFT(E3190,FIND("º",SUBSTITUTE(E3190,"°","º"))-1)),""))))</f>
        <v>-6</v>
      </c>
      <c r="O3190" s="2" t="str">
        <f aca="false">IF(OR(F3190="",G3190=""),"",IF(G3190&lt;='RETRATO 2027'!$K$5,"CONCLUÍDA",IF(F3190&lt;='RETRATO 2027'!$K$5,"EM ANDAMENTO","A INICIAR")))</f>
        <v>CONCLUÍDA</v>
      </c>
    </row>
    <row r="3191" customFormat="false" ht="15" hidden="false" customHeight="false" outlineLevel="0" collapsed="false">
      <c r="B3191" s="4" t="n">
        <v>26708155</v>
      </c>
      <c r="C3191" s="4" t="s">
        <v>2928</v>
      </c>
      <c r="D3191" s="4" t="s">
        <v>433</v>
      </c>
      <c r="E3191" s="4" t="s">
        <v>3813</v>
      </c>
      <c r="F3191" s="127" t="n">
        <v>46703</v>
      </c>
      <c r="G3191" s="127" t="n">
        <v>46715</v>
      </c>
      <c r="H3191" s="127" t="n">
        <v>46293</v>
      </c>
      <c r="I3191" s="4" t="n">
        <v>0</v>
      </c>
      <c r="J3191" s="4" t="n">
        <v>0</v>
      </c>
      <c r="K3191" s="4" t="n">
        <v>0</v>
      </c>
      <c r="M3191" s="2" t="str">
        <f aca="false">IF(C3191="","",IFERROR(INDEX($S$5:$S$304,MATCH(C3191,$R$5:$R$304,0))&amp;"","?"))</f>
        <v>23</v>
      </c>
      <c r="N3191" s="2" t="n">
        <f aca="false">IF(E3191="","",IF(ISNUMBER(SEARCH("SUBSOLO",E3191)),IFERROR(-VALUE(LEFT(E3191,FIND("º",SUBSTITUTE(E3191,"°","º"))-1)),-1),IF(LEFT(E3191,6)="TÉRREO",0,IFERROR(VALUE(LEFT(E3191,FIND("º",SUBSTITUTE(E3191,"°","º"))-1)),""))))</f>
        <v>-6</v>
      </c>
      <c r="O3191" s="2" t="str">
        <f aca="false">IF(OR(F3191="",G3191=""),"",IF(G3191&lt;='RETRATO 2027'!$K$5,"CONCLUÍDA",IF(F3191&lt;='RETRATO 2027'!$K$5,"EM ANDAMENTO","A INICIAR")))</f>
        <v>CONCLUÍDA</v>
      </c>
    </row>
    <row r="3192" customFormat="false" ht="15" hidden="false" customHeight="false" outlineLevel="0" collapsed="false">
      <c r="B3192" s="4" t="n">
        <v>26708126</v>
      </c>
      <c r="C3192" s="4" t="s">
        <v>2930</v>
      </c>
      <c r="D3192" s="4" t="s">
        <v>433</v>
      </c>
      <c r="E3192" s="4" t="s">
        <v>3813</v>
      </c>
      <c r="F3192" s="127" t="n">
        <v>46703</v>
      </c>
      <c r="G3192" s="127" t="n">
        <v>46715</v>
      </c>
      <c r="H3192" s="127" t="n">
        <v>46293</v>
      </c>
      <c r="I3192" s="4" t="n">
        <v>0</v>
      </c>
      <c r="J3192" s="4" t="n">
        <v>0</v>
      </c>
      <c r="K3192" s="4" t="n">
        <v>0</v>
      </c>
      <c r="M3192" s="2" t="str">
        <f aca="false">IF(C3192="","",IFERROR(INDEX($S$5:$S$304,MATCH(C3192,$R$5:$R$304,0))&amp;"","?"))</f>
        <v>21</v>
      </c>
      <c r="N3192" s="2" t="n">
        <f aca="false">IF(E3192="","",IF(ISNUMBER(SEARCH("SUBSOLO",E3192)),IFERROR(-VALUE(LEFT(E3192,FIND("º",SUBSTITUTE(E3192,"°","º"))-1)),-1),IF(LEFT(E3192,6)="TÉRREO",0,IFERROR(VALUE(LEFT(E3192,FIND("º",SUBSTITUTE(E3192,"°","º"))-1)),""))))</f>
        <v>-6</v>
      </c>
      <c r="O3192" s="2" t="str">
        <f aca="false">IF(OR(F3192="",G3192=""),"",IF(G3192&lt;='RETRATO 2027'!$K$5,"CONCLUÍDA",IF(F3192&lt;='RETRATO 2027'!$K$5,"EM ANDAMENTO","A INICIAR")))</f>
        <v>CONCLUÍDA</v>
      </c>
    </row>
    <row r="3193" customFormat="false" ht="15" hidden="false" customHeight="false" outlineLevel="0" collapsed="false">
      <c r="B3193" s="4" t="n">
        <v>26708156</v>
      </c>
      <c r="C3193" s="4" t="s">
        <v>2933</v>
      </c>
      <c r="D3193" s="4" t="s">
        <v>433</v>
      </c>
      <c r="E3193" s="4" t="s">
        <v>3813</v>
      </c>
      <c r="F3193" s="127" t="n">
        <v>46703</v>
      </c>
      <c r="G3193" s="127" t="n">
        <v>46715</v>
      </c>
      <c r="H3193" s="127" t="n">
        <v>46293</v>
      </c>
      <c r="I3193" s="4" t="n">
        <v>0</v>
      </c>
      <c r="J3193" s="4" t="n">
        <v>0</v>
      </c>
      <c r="K3193" s="4" t="n">
        <v>0</v>
      </c>
      <c r="M3193" s="2" t="str">
        <f aca="false">IF(C3193="","",IFERROR(INDEX($S$5:$S$304,MATCH(C3193,$R$5:$R$304,0))&amp;"","?"))</f>
        <v>21</v>
      </c>
      <c r="N3193" s="2" t="n">
        <f aca="false">IF(E3193="","",IF(ISNUMBER(SEARCH("SUBSOLO",E3193)),IFERROR(-VALUE(LEFT(E3193,FIND("º",SUBSTITUTE(E3193,"°","º"))-1)),-1),IF(LEFT(E3193,6)="TÉRREO",0,IFERROR(VALUE(LEFT(E3193,FIND("º",SUBSTITUTE(E3193,"°","º"))-1)),""))))</f>
        <v>-6</v>
      </c>
      <c r="O3193" s="2" t="str">
        <f aca="false">IF(OR(F3193="",G3193=""),"",IF(G3193&lt;='RETRATO 2027'!$K$5,"CONCLUÍDA",IF(F3193&lt;='RETRATO 2027'!$K$5,"EM ANDAMENTO","A INICIAR")))</f>
        <v>CONCLUÍDA</v>
      </c>
    </row>
    <row r="3194" customFormat="false" ht="15" hidden="false" customHeight="false" outlineLevel="0" collapsed="false">
      <c r="B3194" s="4" t="n">
        <v>26714093</v>
      </c>
      <c r="C3194" s="4" t="s">
        <v>2900</v>
      </c>
      <c r="D3194" s="4" t="s">
        <v>433</v>
      </c>
      <c r="E3194" s="4" t="s">
        <v>3811</v>
      </c>
      <c r="F3194" s="127" t="n">
        <v>46703</v>
      </c>
      <c r="G3194" s="127" t="n">
        <v>46724</v>
      </c>
      <c r="H3194" s="127" t="n">
        <v>46293</v>
      </c>
      <c r="I3194" s="4" t="n">
        <v>0</v>
      </c>
      <c r="J3194" s="4" t="n">
        <v>0</v>
      </c>
      <c r="K3194" s="4" t="n">
        <v>0</v>
      </c>
      <c r="M3194" s="2" t="str">
        <f aca="false">IF(C3194="","",IFERROR(INDEX($S$5:$S$304,MATCH(C3194,$R$5:$R$304,0))&amp;"","?"))</f>
        <v>22</v>
      </c>
      <c r="N3194" s="2" t="n">
        <f aca="false">IF(E3194="","",IF(ISNUMBER(SEARCH("SUBSOLO",E3194)),IFERROR(-VALUE(LEFT(E3194,FIND("º",SUBSTITUTE(E3194,"°","º"))-1)),-1),IF(LEFT(E3194,6)="TÉRREO",0,IFERROR(VALUE(LEFT(E3194,FIND("º",SUBSTITUTE(E3194,"°","º"))-1)),""))))</f>
        <v>2</v>
      </c>
      <c r="O3194" s="2" t="str">
        <f aca="false">IF(OR(F3194="",G3194=""),"",IF(G3194&lt;='RETRATO 2027'!$K$5,"CONCLUÍDA",IF(F3194&lt;='RETRATO 2027'!$K$5,"EM ANDAMENTO","A INICIAR")))</f>
        <v>CONCLUÍDA</v>
      </c>
    </row>
    <row r="3195" customFormat="false" ht="15" hidden="false" customHeight="false" outlineLevel="0" collapsed="false">
      <c r="B3195" s="4" t="n">
        <v>26707626</v>
      </c>
      <c r="C3195" s="4" t="s">
        <v>2928</v>
      </c>
      <c r="D3195" s="4" t="s">
        <v>433</v>
      </c>
      <c r="E3195" s="4" t="s">
        <v>3811</v>
      </c>
      <c r="F3195" s="127" t="n">
        <v>46703</v>
      </c>
      <c r="G3195" s="127" t="n">
        <v>46724</v>
      </c>
      <c r="H3195" s="127" t="n">
        <v>46293</v>
      </c>
      <c r="I3195" s="4" t="n">
        <v>0</v>
      </c>
      <c r="J3195" s="4" t="n">
        <v>0</v>
      </c>
      <c r="K3195" s="4" t="n">
        <v>0</v>
      </c>
      <c r="M3195" s="2" t="str">
        <f aca="false">IF(C3195="","",IFERROR(INDEX($S$5:$S$304,MATCH(C3195,$R$5:$R$304,0))&amp;"","?"))</f>
        <v>23</v>
      </c>
      <c r="N3195" s="2" t="n">
        <f aca="false">IF(E3195="","",IF(ISNUMBER(SEARCH("SUBSOLO",E3195)),IFERROR(-VALUE(LEFT(E3195,FIND("º",SUBSTITUTE(E3195,"°","º"))-1)),-1),IF(LEFT(E3195,6)="TÉRREO",0,IFERROR(VALUE(LEFT(E3195,FIND("º",SUBSTITUTE(E3195,"°","º"))-1)),""))))</f>
        <v>2</v>
      </c>
      <c r="O3195" s="2" t="str">
        <f aca="false">IF(OR(F3195="",G3195=""),"",IF(G3195&lt;='RETRATO 2027'!$K$5,"CONCLUÍDA",IF(F3195&lt;='RETRATO 2027'!$K$5,"EM ANDAMENTO","A INICIAR")))</f>
        <v>CONCLUÍDA</v>
      </c>
    </row>
    <row r="3196" customFormat="false" ht="15" hidden="false" customHeight="false" outlineLevel="0" collapsed="false">
      <c r="B3196" s="4" t="n">
        <v>26707624</v>
      </c>
      <c r="C3196" s="4" t="s">
        <v>2989</v>
      </c>
      <c r="D3196" s="4" t="s">
        <v>433</v>
      </c>
      <c r="E3196" s="4" t="s">
        <v>3811</v>
      </c>
      <c r="F3196" s="127" t="n">
        <v>46703</v>
      </c>
      <c r="G3196" s="127" t="n">
        <v>46724</v>
      </c>
      <c r="H3196" s="127" t="n">
        <v>46293</v>
      </c>
      <c r="I3196" s="4" t="n">
        <v>0</v>
      </c>
      <c r="J3196" s="4" t="n">
        <v>0</v>
      </c>
      <c r="K3196" s="4" t="n">
        <v>0</v>
      </c>
      <c r="M3196" s="2" t="str">
        <f aca="false">IF(C3196="","",IFERROR(INDEX($S$5:$S$304,MATCH(C3196,$R$5:$R$304,0))&amp;"","?"))</f>
        <v>23</v>
      </c>
      <c r="N3196" s="2" t="n">
        <f aca="false">IF(E3196="","",IF(ISNUMBER(SEARCH("SUBSOLO",E3196)),IFERROR(-VALUE(LEFT(E3196,FIND("º",SUBSTITUTE(E3196,"°","º"))-1)),-1),IF(LEFT(E3196,6)="TÉRREO",0,IFERROR(VALUE(LEFT(E3196,FIND("º",SUBSTITUTE(E3196,"°","º"))-1)),""))))</f>
        <v>2</v>
      </c>
      <c r="O3196" s="2" t="str">
        <f aca="false">IF(OR(F3196="",G3196=""),"",IF(G3196&lt;='RETRATO 2027'!$K$5,"CONCLUÍDA",IF(F3196&lt;='RETRATO 2027'!$K$5,"EM ANDAMENTO","A INICIAR")))</f>
        <v>CONCLUÍDA</v>
      </c>
    </row>
    <row r="3197" customFormat="false" ht="15" hidden="false" customHeight="false" outlineLevel="0" collapsed="false">
      <c r="B3197" s="4" t="n">
        <v>26707625</v>
      </c>
      <c r="C3197" s="4" t="s">
        <v>2791</v>
      </c>
      <c r="D3197" s="4" t="s">
        <v>433</v>
      </c>
      <c r="E3197" s="4" t="s">
        <v>3811</v>
      </c>
      <c r="F3197" s="127" t="n">
        <v>46703</v>
      </c>
      <c r="G3197" s="127" t="n">
        <v>46724</v>
      </c>
      <c r="H3197" s="127" t="n">
        <v>46293</v>
      </c>
      <c r="I3197" s="4" t="n">
        <v>0</v>
      </c>
      <c r="J3197" s="4" t="n">
        <v>0</v>
      </c>
      <c r="K3197" s="4" t="n">
        <v>0</v>
      </c>
      <c r="M3197" s="2" t="str">
        <f aca="false">IF(C3197="","",IFERROR(INDEX($S$5:$S$304,MATCH(C3197,$R$5:$R$304,0))&amp;"","?"))</f>
        <v>21</v>
      </c>
      <c r="N3197" s="2" t="n">
        <f aca="false">IF(E3197="","",IF(ISNUMBER(SEARCH("SUBSOLO",E3197)),IFERROR(-VALUE(LEFT(E3197,FIND("º",SUBSTITUTE(E3197,"°","º"))-1)),-1),IF(LEFT(E3197,6)="TÉRREO",0,IFERROR(VALUE(LEFT(E3197,FIND("º",SUBSTITUTE(E3197,"°","º"))-1)),""))))</f>
        <v>2</v>
      </c>
      <c r="O3197" s="2" t="str">
        <f aca="false">IF(OR(F3197="",G3197=""),"",IF(G3197&lt;='RETRATO 2027'!$K$5,"CONCLUÍDA",IF(F3197&lt;='RETRATO 2027'!$K$5,"EM ANDAMENTO","A INICIAR")))</f>
        <v>CONCLUÍDA</v>
      </c>
    </row>
    <row r="3198" customFormat="false" ht="15" hidden="false" customHeight="false" outlineLevel="0" collapsed="false">
      <c r="B3198" s="4" t="n">
        <v>26707636</v>
      </c>
      <c r="C3198" s="4" t="s">
        <v>2992</v>
      </c>
      <c r="D3198" s="4" t="s">
        <v>433</v>
      </c>
      <c r="E3198" s="4" t="s">
        <v>3811</v>
      </c>
      <c r="F3198" s="127" t="n">
        <v>46703</v>
      </c>
      <c r="G3198" s="127" t="n">
        <v>46724</v>
      </c>
      <c r="H3198" s="127" t="n">
        <v>46293</v>
      </c>
      <c r="I3198" s="4" t="n">
        <v>0</v>
      </c>
      <c r="J3198" s="4" t="n">
        <v>0</v>
      </c>
      <c r="K3198" s="4" t="n">
        <v>0</v>
      </c>
      <c r="M3198" s="2" t="str">
        <f aca="false">IF(C3198="","",IFERROR(INDEX($S$5:$S$304,MATCH(C3198,$R$5:$R$304,0))&amp;"","?"))</f>
        <v>20</v>
      </c>
      <c r="N3198" s="2" t="n">
        <f aca="false">IF(E3198="","",IF(ISNUMBER(SEARCH("SUBSOLO",E3198)),IFERROR(-VALUE(LEFT(E3198,FIND("º",SUBSTITUTE(E3198,"°","º"))-1)),-1),IF(LEFT(E3198,6)="TÉRREO",0,IFERROR(VALUE(LEFT(E3198,FIND("º",SUBSTITUTE(E3198,"°","º"))-1)),""))))</f>
        <v>2</v>
      </c>
      <c r="O3198" s="2" t="str">
        <f aca="false">IF(OR(F3198="",G3198=""),"",IF(G3198&lt;='RETRATO 2027'!$K$5,"CONCLUÍDA",IF(F3198&lt;='RETRATO 2027'!$K$5,"EM ANDAMENTO","A INICIAR")))</f>
        <v>CONCLUÍDA</v>
      </c>
    </row>
    <row r="3199" customFormat="false" ht="15" hidden="false" customHeight="false" outlineLevel="0" collapsed="false">
      <c r="B3199" s="4" t="n">
        <v>26744673</v>
      </c>
      <c r="C3199" s="4" t="s">
        <v>2924</v>
      </c>
      <c r="D3199" s="4" t="s">
        <v>433</v>
      </c>
      <c r="E3199" s="4" t="s">
        <v>3774</v>
      </c>
      <c r="F3199" s="127" t="n">
        <v>46703</v>
      </c>
      <c r="G3199" s="127" t="n">
        <v>46717</v>
      </c>
      <c r="H3199" s="127" t="n">
        <v>46293</v>
      </c>
      <c r="I3199" s="4" t="n">
        <v>0</v>
      </c>
      <c r="J3199" s="4" t="n">
        <v>0</v>
      </c>
      <c r="K3199" s="4" t="n">
        <v>0</v>
      </c>
      <c r="M3199" s="2" t="str">
        <f aca="false">IF(C3199="","",IFERROR(INDEX($S$5:$S$304,MATCH(C3199,$R$5:$R$304,0))&amp;"","?"))</f>
        <v>21</v>
      </c>
      <c r="N3199" s="2" t="n">
        <f aca="false">IF(E3199="","",IF(ISNUMBER(SEARCH("SUBSOLO",E3199)),IFERROR(-VALUE(LEFT(E3199,FIND("º",SUBSTITUTE(E3199,"°","º"))-1)),-1),IF(LEFT(E3199,6)="TÉRREO",0,IFERROR(VALUE(LEFT(E3199,FIND("º",SUBSTITUTE(E3199,"°","º"))-1)),""))))</f>
        <v>3</v>
      </c>
      <c r="O3199" s="2" t="str">
        <f aca="false">IF(OR(F3199="",G3199=""),"",IF(G3199&lt;='RETRATO 2027'!$K$5,"CONCLUÍDA",IF(F3199&lt;='RETRATO 2027'!$K$5,"EM ANDAMENTO","A INICIAR")))</f>
        <v>CONCLUÍDA</v>
      </c>
    </row>
    <row r="3200" customFormat="false" ht="15" hidden="false" customHeight="false" outlineLevel="0" collapsed="false">
      <c r="B3200" s="4" t="n">
        <v>26744676</v>
      </c>
      <c r="C3200" s="4" t="s">
        <v>2926</v>
      </c>
      <c r="D3200" s="4" t="s">
        <v>433</v>
      </c>
      <c r="E3200" s="4" t="s">
        <v>3774</v>
      </c>
      <c r="F3200" s="127" t="n">
        <v>46703</v>
      </c>
      <c r="G3200" s="127" t="n">
        <v>46717</v>
      </c>
      <c r="H3200" s="127" t="n">
        <v>46293</v>
      </c>
      <c r="I3200" s="4" t="n">
        <v>0</v>
      </c>
      <c r="J3200" s="4" t="n">
        <v>0</v>
      </c>
      <c r="K3200" s="4" t="n">
        <v>0</v>
      </c>
      <c r="M3200" s="2" t="str">
        <f aca="false">IF(C3200="","",IFERROR(INDEX($S$5:$S$304,MATCH(C3200,$R$5:$R$304,0))&amp;"","?"))</f>
        <v>20</v>
      </c>
      <c r="N3200" s="2" t="n">
        <f aca="false">IF(E3200="","",IF(ISNUMBER(SEARCH("SUBSOLO",E3200)),IFERROR(-VALUE(LEFT(E3200,FIND("º",SUBSTITUTE(E3200,"°","º"))-1)),-1),IF(LEFT(E3200,6)="TÉRREO",0,IFERROR(VALUE(LEFT(E3200,FIND("º",SUBSTITUTE(E3200,"°","º"))-1)),""))))</f>
        <v>3</v>
      </c>
      <c r="O3200" s="2" t="str">
        <f aca="false">IF(OR(F3200="",G3200=""),"",IF(G3200&lt;='RETRATO 2027'!$K$5,"CONCLUÍDA",IF(F3200&lt;='RETRATO 2027'!$K$5,"EM ANDAMENTO","A INICIAR")))</f>
        <v>CONCLUÍDA</v>
      </c>
    </row>
    <row r="3201" customFormat="false" ht="15" hidden="false" customHeight="false" outlineLevel="0" collapsed="false">
      <c r="B3201" s="4" t="n">
        <v>26744675</v>
      </c>
      <c r="C3201" s="4" t="s">
        <v>2959</v>
      </c>
      <c r="D3201" s="4" t="s">
        <v>433</v>
      </c>
      <c r="E3201" s="4" t="s">
        <v>3774</v>
      </c>
      <c r="F3201" s="127" t="n">
        <v>46703</v>
      </c>
      <c r="G3201" s="127" t="n">
        <v>46717</v>
      </c>
      <c r="H3201" s="127" t="n">
        <v>46293</v>
      </c>
      <c r="I3201" s="4" t="n">
        <v>0</v>
      </c>
      <c r="J3201" s="4" t="n">
        <v>0</v>
      </c>
      <c r="K3201" s="4" t="n">
        <v>0</v>
      </c>
      <c r="M3201" s="2" t="str">
        <f aca="false">IF(C3201="","",IFERROR(INDEX($S$5:$S$304,MATCH(C3201,$R$5:$R$304,0))&amp;"","?"))</f>
        <v>21</v>
      </c>
      <c r="N3201" s="2" t="n">
        <f aca="false">IF(E3201="","",IF(ISNUMBER(SEARCH("SUBSOLO",E3201)),IFERROR(-VALUE(LEFT(E3201,FIND("º",SUBSTITUTE(E3201,"°","º"))-1)),-1),IF(LEFT(E3201,6)="TÉRREO",0,IFERROR(VALUE(LEFT(E3201,FIND("º",SUBSTITUTE(E3201,"°","º"))-1)),""))))</f>
        <v>3</v>
      </c>
      <c r="O3201" s="2" t="str">
        <f aca="false">IF(OR(F3201="",G3201=""),"",IF(G3201&lt;='RETRATO 2027'!$K$5,"CONCLUÍDA",IF(F3201&lt;='RETRATO 2027'!$K$5,"EM ANDAMENTO","A INICIAR")))</f>
        <v>CONCLUÍDA</v>
      </c>
    </row>
    <row r="3202" customFormat="false" ht="15" hidden="false" customHeight="false" outlineLevel="0" collapsed="false">
      <c r="B3202" s="4" t="n">
        <v>26744958</v>
      </c>
      <c r="C3202" s="4" t="s">
        <v>3006</v>
      </c>
      <c r="D3202" s="4" t="s">
        <v>433</v>
      </c>
      <c r="E3202" s="4" t="s">
        <v>3671</v>
      </c>
      <c r="F3202" s="127" t="n">
        <v>46707</v>
      </c>
      <c r="G3202" s="127" t="n">
        <v>46716</v>
      </c>
      <c r="H3202" s="127" t="n">
        <v>46293</v>
      </c>
      <c r="I3202" s="4" t="n">
        <v>0</v>
      </c>
      <c r="J3202" s="4" t="n">
        <v>0</v>
      </c>
      <c r="K3202" s="4" t="n">
        <v>0</v>
      </c>
      <c r="M3202" s="2" t="str">
        <f aca="false">IF(C3202="","",IFERROR(INDEX($S$5:$S$304,MATCH(C3202,$R$5:$R$304,0))&amp;"","?"))</f>
        <v>37</v>
      </c>
      <c r="N3202" s="2" t="n">
        <f aca="false">IF(E3202="","",IF(ISNUMBER(SEARCH("SUBSOLO",E3202)),IFERROR(-VALUE(LEFT(E3202,FIND("º",SUBSTITUTE(E3202,"°","º"))-1)),-1),IF(LEFT(E3202,6)="TÉRREO",0,IFERROR(VALUE(LEFT(E3202,FIND("º",SUBSTITUTE(E3202,"°","º"))-1)),""))))</f>
        <v>-3</v>
      </c>
      <c r="O3202" s="2" t="str">
        <f aca="false">IF(OR(F3202="",G3202=""),"",IF(G3202&lt;='RETRATO 2027'!$K$5,"CONCLUÍDA",IF(F3202&lt;='RETRATO 2027'!$K$5,"EM ANDAMENTO","A INICIAR")))</f>
        <v>CONCLUÍDA</v>
      </c>
    </row>
    <row r="3203" customFormat="false" ht="15" hidden="false" customHeight="false" outlineLevel="0" collapsed="false">
      <c r="B3203" s="4" t="n">
        <v>26743015</v>
      </c>
      <c r="C3203" s="4" t="s">
        <v>2997</v>
      </c>
      <c r="D3203" s="4" t="s">
        <v>433</v>
      </c>
      <c r="E3203" s="4" t="s">
        <v>3783</v>
      </c>
      <c r="F3203" s="127" t="n">
        <v>46707</v>
      </c>
      <c r="G3203" s="127" t="n">
        <v>46716</v>
      </c>
      <c r="H3203" s="127" t="n">
        <v>46293</v>
      </c>
      <c r="I3203" s="4" t="n">
        <v>0</v>
      </c>
      <c r="J3203" s="4" t="n">
        <v>0</v>
      </c>
      <c r="K3203" s="4" t="n">
        <v>0</v>
      </c>
      <c r="M3203" s="2" t="str">
        <f aca="false">IF(C3203="","",IFERROR(INDEX($S$5:$S$304,MATCH(C3203,$R$5:$R$304,0))&amp;"","?"))</f>
        <v>35</v>
      </c>
      <c r="N3203" s="2" t="n">
        <f aca="false">IF(E3203="","",IF(ISNUMBER(SEARCH("SUBSOLO",E3203)),IFERROR(-VALUE(LEFT(E3203,FIND("º",SUBSTITUTE(E3203,"°","º"))-1)),-1),IF(LEFT(E3203,6)="TÉRREO",0,IFERROR(VALUE(LEFT(E3203,FIND("º",SUBSTITUTE(E3203,"°","º"))-1)),""))))</f>
        <v>21</v>
      </c>
      <c r="O3203" s="2" t="str">
        <f aca="false">IF(OR(F3203="",G3203=""),"",IF(G3203&lt;='RETRATO 2027'!$K$5,"CONCLUÍDA",IF(F3203&lt;='RETRATO 2027'!$K$5,"EM ANDAMENTO","A INICIAR")))</f>
        <v>CONCLUÍDA</v>
      </c>
    </row>
    <row r="3204" customFormat="false" ht="15" hidden="false" customHeight="false" outlineLevel="0" collapsed="false">
      <c r="B3204" s="4" t="n">
        <v>26742977</v>
      </c>
      <c r="C3204" s="4" t="s">
        <v>2980</v>
      </c>
      <c r="D3204" s="4" t="s">
        <v>433</v>
      </c>
      <c r="E3204" s="4" t="s">
        <v>3786</v>
      </c>
      <c r="F3204" s="127" t="n">
        <v>46707</v>
      </c>
      <c r="G3204" s="127" t="n">
        <v>46716</v>
      </c>
      <c r="H3204" s="127" t="n">
        <v>46293</v>
      </c>
      <c r="I3204" s="4" t="n">
        <v>0</v>
      </c>
      <c r="J3204" s="4" t="n">
        <v>0</v>
      </c>
      <c r="K3204" s="4" t="n">
        <v>0</v>
      </c>
      <c r="M3204" s="2" t="str">
        <f aca="false">IF(C3204="","",IFERROR(INDEX($S$5:$S$304,MATCH(C3204,$R$5:$R$304,0))&amp;"","?"))</f>
        <v>35</v>
      </c>
      <c r="N3204" s="2" t="n">
        <f aca="false">IF(E3204="","",IF(ISNUMBER(SEARCH("SUBSOLO",E3204)),IFERROR(-VALUE(LEFT(E3204,FIND("º",SUBSTITUTE(E3204,"°","º"))-1)),-1),IF(LEFT(E3204,6)="TÉRREO",0,IFERROR(VALUE(LEFT(E3204,FIND("º",SUBSTITUTE(E3204,"°","º"))-1)),""))))</f>
        <v>22</v>
      </c>
      <c r="O3204" s="2" t="str">
        <f aca="false">IF(OR(F3204="",G3204=""),"",IF(G3204&lt;='RETRATO 2027'!$K$5,"CONCLUÍDA",IF(F3204&lt;='RETRATO 2027'!$K$5,"EM ANDAMENTO","A INICIAR")))</f>
        <v>CONCLUÍDA</v>
      </c>
    </row>
    <row r="3205" customFormat="false" ht="15" hidden="false" customHeight="false" outlineLevel="0" collapsed="false">
      <c r="B3205" s="4" t="n">
        <v>26742947</v>
      </c>
      <c r="C3205" s="4" t="s">
        <v>208</v>
      </c>
      <c r="D3205" s="4" t="s">
        <v>433</v>
      </c>
      <c r="E3205" s="4" t="s">
        <v>3787</v>
      </c>
      <c r="F3205" s="127" t="n">
        <v>46707</v>
      </c>
      <c r="G3205" s="127" t="n">
        <v>46716</v>
      </c>
      <c r="H3205" s="127" t="n">
        <v>46293</v>
      </c>
      <c r="I3205" s="4" t="n">
        <v>0</v>
      </c>
      <c r="J3205" s="4" t="n">
        <v>0</v>
      </c>
      <c r="K3205" s="4" t="n">
        <v>0</v>
      </c>
      <c r="M3205" s="2" t="str">
        <f aca="false">IF(C3205="","",IFERROR(INDEX($S$5:$S$304,MATCH(C3205,$R$5:$R$304,0))&amp;"","?"))</f>
        <v>33</v>
      </c>
      <c r="N3205" s="2" t="n">
        <f aca="false">IF(E3205="","",IF(ISNUMBER(SEARCH("SUBSOLO",E3205)),IFERROR(-VALUE(LEFT(E3205,FIND("º",SUBSTITUTE(E3205,"°","º"))-1)),-1),IF(LEFT(E3205,6)="TÉRREO",0,IFERROR(VALUE(LEFT(E3205,FIND("º",SUBSTITUTE(E3205,"°","º"))-1)),""))))</f>
        <v>23</v>
      </c>
      <c r="O3205" s="2" t="str">
        <f aca="false">IF(OR(F3205="",G3205=""),"",IF(G3205&lt;='RETRATO 2027'!$K$5,"CONCLUÍDA",IF(F3205&lt;='RETRATO 2027'!$K$5,"EM ANDAMENTO","A INICIAR")))</f>
        <v>CONCLUÍDA</v>
      </c>
    </row>
    <row r="3206" customFormat="false" ht="15" hidden="false" customHeight="false" outlineLevel="0" collapsed="false">
      <c r="B3206" s="4" t="n">
        <v>26708162</v>
      </c>
      <c r="C3206" s="4" t="s">
        <v>2941</v>
      </c>
      <c r="D3206" s="4" t="s">
        <v>433</v>
      </c>
      <c r="E3206" s="4" t="s">
        <v>3628</v>
      </c>
      <c r="F3206" s="127" t="n">
        <v>46708</v>
      </c>
      <c r="G3206" s="127" t="n">
        <v>46717</v>
      </c>
      <c r="H3206" s="127" t="n">
        <v>46293</v>
      </c>
      <c r="I3206" s="4" t="n">
        <v>0</v>
      </c>
      <c r="J3206" s="4" t="n">
        <v>0</v>
      </c>
      <c r="K3206" s="4" t="n">
        <v>0</v>
      </c>
      <c r="M3206" s="2" t="str">
        <f aca="false">IF(C3206="","",IFERROR(INDEX($S$5:$S$304,MATCH(C3206,$R$5:$R$304,0))&amp;"","?"))</f>
        <v>18</v>
      </c>
      <c r="N3206" s="2" t="n">
        <f aca="false">IF(E3206="","",IF(ISNUMBER(SEARCH("SUBSOLO",E3206)),IFERROR(-VALUE(LEFT(E3206,FIND("º",SUBSTITUTE(E3206,"°","º"))-1)),-1),IF(LEFT(E3206,6)="TÉRREO",0,IFERROR(VALUE(LEFT(E3206,FIND("º",SUBSTITUTE(E3206,"°","º"))-1)),""))))</f>
        <v>-6</v>
      </c>
      <c r="O3206" s="2" t="str">
        <f aca="false">IF(OR(F3206="",G3206=""),"",IF(G3206&lt;='RETRATO 2027'!$K$5,"CONCLUÍDA",IF(F3206&lt;='RETRATO 2027'!$K$5,"EM ANDAMENTO","A INICIAR")))</f>
        <v>CONCLUÍDA</v>
      </c>
    </row>
    <row r="3207" customFormat="false" ht="15" hidden="false" customHeight="false" outlineLevel="0" collapsed="false">
      <c r="B3207" s="4" t="n">
        <v>26708125</v>
      </c>
      <c r="C3207" s="4" t="s">
        <v>2924</v>
      </c>
      <c r="D3207" s="4" t="s">
        <v>433</v>
      </c>
      <c r="E3207" s="4" t="s">
        <v>3813</v>
      </c>
      <c r="F3207" s="127" t="n">
        <v>46708</v>
      </c>
      <c r="G3207" s="127" t="n">
        <v>46721</v>
      </c>
      <c r="H3207" s="127" t="n">
        <v>46293</v>
      </c>
      <c r="I3207" s="4" t="n">
        <v>0</v>
      </c>
      <c r="J3207" s="4" t="n">
        <v>0</v>
      </c>
      <c r="K3207" s="4" t="n">
        <v>0</v>
      </c>
      <c r="M3207" s="2" t="str">
        <f aca="false">IF(C3207="","",IFERROR(INDEX($S$5:$S$304,MATCH(C3207,$R$5:$R$304,0))&amp;"","?"))</f>
        <v>21</v>
      </c>
      <c r="N3207" s="2" t="n">
        <f aca="false">IF(E3207="","",IF(ISNUMBER(SEARCH("SUBSOLO",E3207)),IFERROR(-VALUE(LEFT(E3207,FIND("º",SUBSTITUTE(E3207,"°","º"))-1)),-1),IF(LEFT(E3207,6)="TÉRREO",0,IFERROR(VALUE(LEFT(E3207,FIND("º",SUBSTITUTE(E3207,"°","º"))-1)),""))))</f>
        <v>-6</v>
      </c>
      <c r="O3207" s="2" t="str">
        <f aca="false">IF(OR(F3207="",G3207=""),"",IF(G3207&lt;='RETRATO 2027'!$K$5,"CONCLUÍDA",IF(F3207&lt;='RETRATO 2027'!$K$5,"EM ANDAMENTO","A INICIAR")))</f>
        <v>CONCLUÍDA</v>
      </c>
    </row>
    <row r="3208" customFormat="false" ht="15" hidden="false" customHeight="false" outlineLevel="0" collapsed="false">
      <c r="B3208" s="4" t="n">
        <v>29845971</v>
      </c>
      <c r="C3208" s="4" t="s">
        <v>2983</v>
      </c>
      <c r="D3208" s="4" t="s">
        <v>433</v>
      </c>
      <c r="E3208" s="4" t="s">
        <v>3788</v>
      </c>
      <c r="F3208" s="127" t="n">
        <v>46708</v>
      </c>
      <c r="G3208" s="127" t="n">
        <v>46716</v>
      </c>
      <c r="H3208" s="127" t="n">
        <v>46293</v>
      </c>
      <c r="I3208" s="4" t="n">
        <v>0</v>
      </c>
      <c r="J3208" s="4" t="n">
        <v>0</v>
      </c>
      <c r="K3208" s="4" t="n">
        <v>0</v>
      </c>
      <c r="M3208" s="2" t="str">
        <f aca="false">IF(C3208="","",IFERROR(INDEX($S$5:$S$304,MATCH(C3208,$R$5:$R$304,0))&amp;"","?"))</f>
        <v>20</v>
      </c>
      <c r="N3208" s="2" t="n">
        <f aca="false">IF(E3208="","",IF(ISNUMBER(SEARCH("SUBSOLO",E3208)),IFERROR(-VALUE(LEFT(E3208,FIND("º",SUBSTITUTE(E3208,"°","º"))-1)),-1),IF(LEFT(E3208,6)="TÉRREO",0,IFERROR(VALUE(LEFT(E3208,FIND("º",SUBSTITUTE(E3208,"°","º"))-1)),""))))</f>
        <v>24</v>
      </c>
      <c r="O3208" s="2" t="str">
        <f aca="false">IF(OR(F3208="",G3208=""),"",IF(G3208&lt;='RETRATO 2027'!$K$5,"CONCLUÍDA",IF(F3208&lt;='RETRATO 2027'!$K$5,"EM ANDAMENTO","A INICIAR")))</f>
        <v>CONCLUÍDA</v>
      </c>
    </row>
    <row r="3209" customFormat="false" ht="15" hidden="false" customHeight="false" outlineLevel="0" collapsed="false">
      <c r="B3209" s="4" t="n">
        <v>29845910</v>
      </c>
      <c r="C3209" s="4" t="s">
        <v>2986</v>
      </c>
      <c r="D3209" s="4" t="s">
        <v>433</v>
      </c>
      <c r="E3209" s="4" t="s">
        <v>3788</v>
      </c>
      <c r="F3209" s="127" t="n">
        <v>46708</v>
      </c>
      <c r="G3209" s="127" t="n">
        <v>46717</v>
      </c>
      <c r="H3209" s="127" t="n">
        <v>46293</v>
      </c>
      <c r="I3209" s="4" t="n">
        <v>0</v>
      </c>
      <c r="J3209" s="4" t="n">
        <v>0</v>
      </c>
      <c r="K3209" s="4" t="n">
        <v>0</v>
      </c>
      <c r="M3209" s="2" t="str">
        <f aca="false">IF(C3209="","",IFERROR(INDEX($S$5:$S$304,MATCH(C3209,$R$5:$R$304,0))&amp;"","?"))</f>
        <v>20</v>
      </c>
      <c r="N3209" s="2" t="n">
        <f aca="false">IF(E3209="","",IF(ISNUMBER(SEARCH("SUBSOLO",E3209)),IFERROR(-VALUE(LEFT(E3209,FIND("º",SUBSTITUTE(E3209,"°","º"))-1)),-1),IF(LEFT(E3209,6)="TÉRREO",0,IFERROR(VALUE(LEFT(E3209,FIND("º",SUBSTITUTE(E3209,"°","º"))-1)),""))))</f>
        <v>24</v>
      </c>
      <c r="O3209" s="2" t="str">
        <f aca="false">IF(OR(F3209="",G3209=""),"",IF(G3209&lt;='RETRATO 2027'!$K$5,"CONCLUÍDA",IF(F3209&lt;='RETRATO 2027'!$K$5,"EM ANDAMENTO","A INICIAR")))</f>
        <v>CONCLUÍDA</v>
      </c>
    </row>
    <row r="3210" customFormat="false" ht="15" hidden="false" customHeight="false" outlineLevel="0" collapsed="false">
      <c r="B3210" s="4" t="n">
        <v>26742875</v>
      </c>
      <c r="C3210" s="4" t="s">
        <v>2977</v>
      </c>
      <c r="D3210" s="4" t="s">
        <v>433</v>
      </c>
      <c r="E3210" s="4" t="s">
        <v>3794</v>
      </c>
      <c r="F3210" s="127" t="n">
        <v>46708</v>
      </c>
      <c r="G3210" s="127" t="n">
        <v>46717</v>
      </c>
      <c r="H3210" s="127" t="n">
        <v>46293</v>
      </c>
      <c r="I3210" s="4" t="n">
        <v>0</v>
      </c>
      <c r="J3210" s="4" t="n">
        <v>0</v>
      </c>
      <c r="K3210" s="4" t="n">
        <v>0</v>
      </c>
      <c r="M3210" s="2" t="str">
        <f aca="false">IF(C3210="","",IFERROR(INDEX($S$5:$S$304,MATCH(C3210,$R$5:$R$304,0))&amp;"","?"))</f>
        <v>30</v>
      </c>
      <c r="N3210" s="2" t="n">
        <f aca="false">IF(E3210="","",IF(ISNUMBER(SEARCH("SUBSOLO",E3210)),IFERROR(-VALUE(LEFT(E3210,FIND("º",SUBSTITUTE(E3210,"°","º"))-1)),-1),IF(LEFT(E3210,6)="TÉRREO",0,IFERROR(VALUE(LEFT(E3210,FIND("º",SUBSTITUTE(E3210,"°","º"))-1)),""))))</f>
        <v>25</v>
      </c>
      <c r="O3210" s="2" t="str">
        <f aca="false">IF(OR(F3210="",G3210=""),"",IF(G3210&lt;='RETRATO 2027'!$K$5,"CONCLUÍDA",IF(F3210&lt;='RETRATO 2027'!$K$5,"EM ANDAMENTO","A INICIAR")))</f>
        <v>CONCLUÍDA</v>
      </c>
    </row>
    <row r="3211" customFormat="false" ht="15" hidden="false" customHeight="false" outlineLevel="0" collapsed="false">
      <c r="B3211" s="4" t="n">
        <v>26742831</v>
      </c>
      <c r="C3211" s="4" t="s">
        <v>2935</v>
      </c>
      <c r="D3211" s="4" t="s">
        <v>433</v>
      </c>
      <c r="E3211" s="4" t="s">
        <v>3797</v>
      </c>
      <c r="F3211" s="127" t="n">
        <v>46708</v>
      </c>
      <c r="G3211" s="127" t="n">
        <v>46717</v>
      </c>
      <c r="H3211" s="127" t="n">
        <v>46293</v>
      </c>
      <c r="I3211" s="4" t="n">
        <v>0</v>
      </c>
      <c r="J3211" s="4" t="n">
        <v>0</v>
      </c>
      <c r="K3211" s="4" t="n">
        <v>0</v>
      </c>
      <c r="M3211" s="2" t="str">
        <f aca="false">IF(C3211="","",IFERROR(INDEX($S$5:$S$304,MATCH(C3211,$R$5:$R$304,0))&amp;"","?"))</f>
        <v>30</v>
      </c>
      <c r="N3211" s="2" t="n">
        <f aca="false">IF(E3211="","",IF(ISNUMBER(SEARCH("SUBSOLO",E3211)),IFERROR(-VALUE(LEFT(E3211,FIND("º",SUBSTITUTE(E3211,"°","º"))-1)),-1),IF(LEFT(E3211,6)="TÉRREO",0,IFERROR(VALUE(LEFT(E3211,FIND("º",SUBSTITUTE(E3211,"°","º"))-1)),""))))</f>
        <v>26</v>
      </c>
      <c r="O3211" s="2" t="str">
        <f aca="false">IF(OR(F3211="",G3211=""),"",IF(G3211&lt;='RETRATO 2027'!$K$5,"CONCLUÍDA",IF(F3211&lt;='RETRATO 2027'!$K$5,"EM ANDAMENTO","A INICIAR")))</f>
        <v>CONCLUÍDA</v>
      </c>
    </row>
    <row r="3212" customFormat="false" ht="15" hidden="false" customHeight="false" outlineLevel="0" collapsed="false">
      <c r="B3212" s="4" t="n">
        <v>26742778</v>
      </c>
      <c r="C3212" s="4" t="s">
        <v>2938</v>
      </c>
      <c r="D3212" s="4" t="s">
        <v>433</v>
      </c>
      <c r="E3212" s="4" t="s">
        <v>3799</v>
      </c>
      <c r="F3212" s="127" t="n">
        <v>46708</v>
      </c>
      <c r="G3212" s="127" t="n">
        <v>46717</v>
      </c>
      <c r="H3212" s="127" t="n">
        <v>46293</v>
      </c>
      <c r="I3212" s="4" t="n">
        <v>0</v>
      </c>
      <c r="J3212" s="4" t="n">
        <v>0</v>
      </c>
      <c r="K3212" s="4" t="n">
        <v>0</v>
      </c>
      <c r="M3212" s="2" t="str">
        <f aca="false">IF(C3212="","",IFERROR(INDEX($S$5:$S$304,MATCH(C3212,$R$5:$R$304,0))&amp;"","?"))</f>
        <v>30</v>
      </c>
      <c r="N3212" s="2" t="n">
        <f aca="false">IF(E3212="","",IF(ISNUMBER(SEARCH("SUBSOLO",E3212)),IFERROR(-VALUE(LEFT(E3212,FIND("º",SUBSTITUTE(E3212,"°","º"))-1)),-1),IF(LEFT(E3212,6)="TÉRREO",0,IFERROR(VALUE(LEFT(E3212,FIND("º",SUBSTITUTE(E3212,"°","º"))-1)),""))))</f>
        <v>27</v>
      </c>
      <c r="O3212" s="2" t="str">
        <f aca="false">IF(OR(F3212="",G3212=""),"",IF(G3212&lt;='RETRATO 2027'!$K$5,"CONCLUÍDA",IF(F3212&lt;='RETRATO 2027'!$K$5,"EM ANDAMENTO","A INICIAR")))</f>
        <v>CONCLUÍDA</v>
      </c>
    </row>
    <row r="3213" customFormat="false" ht="15" hidden="false" customHeight="false" outlineLevel="0" collapsed="false">
      <c r="B3213" s="4" t="n">
        <v>26742740</v>
      </c>
      <c r="C3213" s="4" t="s">
        <v>166</v>
      </c>
      <c r="D3213" s="4" t="s">
        <v>433</v>
      </c>
      <c r="E3213" s="4" t="s">
        <v>3802</v>
      </c>
      <c r="F3213" s="127" t="n">
        <v>46708</v>
      </c>
      <c r="G3213" s="127" t="n">
        <v>46717</v>
      </c>
      <c r="H3213" s="127" t="n">
        <v>46293</v>
      </c>
      <c r="I3213" s="4" t="n">
        <v>0</v>
      </c>
      <c r="J3213" s="4" t="n">
        <v>0</v>
      </c>
      <c r="K3213" s="4" t="n">
        <v>0</v>
      </c>
      <c r="M3213" s="2" t="str">
        <f aca="false">IF(C3213="","",IFERROR(INDEX($S$5:$S$304,MATCH(C3213,$R$5:$R$304,0))&amp;"","?"))</f>
        <v>19</v>
      </c>
      <c r="N3213" s="2" t="n">
        <f aca="false">IF(E3213="","",IF(ISNUMBER(SEARCH("SUBSOLO",E3213)),IFERROR(-VALUE(LEFT(E3213,FIND("º",SUBSTITUTE(E3213,"°","º"))-1)),-1),IF(LEFT(E3213,6)="TÉRREO",0,IFERROR(VALUE(LEFT(E3213,FIND("º",SUBSTITUTE(E3213,"°","º"))-1)),""))))</f>
        <v>28</v>
      </c>
      <c r="O3213" s="2" t="str">
        <f aca="false">IF(OR(F3213="",G3213=""),"",IF(G3213&lt;='RETRATO 2027'!$K$5,"CONCLUÍDA",IF(F3213&lt;='RETRATO 2027'!$K$5,"EM ANDAMENTO","A INICIAR")))</f>
        <v>CONCLUÍDA</v>
      </c>
    </row>
    <row r="3214" customFormat="false" ht="15" hidden="false" customHeight="false" outlineLevel="0" collapsed="false">
      <c r="B3214" s="4" t="n">
        <v>26742713</v>
      </c>
      <c r="C3214" s="4" t="s">
        <v>2941</v>
      </c>
      <c r="D3214" s="4" t="s">
        <v>433</v>
      </c>
      <c r="E3214" s="4" t="s">
        <v>3803</v>
      </c>
      <c r="F3214" s="127" t="n">
        <v>46708</v>
      </c>
      <c r="G3214" s="127" t="n">
        <v>46717</v>
      </c>
      <c r="H3214" s="127" t="n">
        <v>46293</v>
      </c>
      <c r="I3214" s="4" t="n">
        <v>0</v>
      </c>
      <c r="J3214" s="4" t="n">
        <v>0</v>
      </c>
      <c r="K3214" s="4" t="n">
        <v>0</v>
      </c>
      <c r="M3214" s="2" t="str">
        <f aca="false">IF(C3214="","",IFERROR(INDEX($S$5:$S$304,MATCH(C3214,$R$5:$R$304,0))&amp;"","?"))</f>
        <v>18</v>
      </c>
      <c r="N3214" s="2" t="n">
        <f aca="false">IF(E3214="","",IF(ISNUMBER(SEARCH("SUBSOLO",E3214)),IFERROR(-VALUE(LEFT(E3214,FIND("º",SUBSTITUTE(E3214,"°","º"))-1)),-1),IF(LEFT(E3214,6)="TÉRREO",0,IFERROR(VALUE(LEFT(E3214,FIND("º",SUBSTITUTE(E3214,"°","º"))-1)),""))))</f>
        <v>29</v>
      </c>
      <c r="O3214" s="2" t="str">
        <f aca="false">IF(OR(F3214="",G3214=""),"",IF(G3214&lt;='RETRATO 2027'!$K$5,"CONCLUÍDA",IF(F3214&lt;='RETRATO 2027'!$K$5,"EM ANDAMENTO","A INICIAR")))</f>
        <v>CONCLUÍDA</v>
      </c>
    </row>
    <row r="3215" customFormat="false" ht="15" hidden="false" customHeight="false" outlineLevel="0" collapsed="false">
      <c r="B3215" s="4" t="n">
        <v>26745146</v>
      </c>
      <c r="C3215" s="4" t="s">
        <v>3032</v>
      </c>
      <c r="D3215" s="4" t="s">
        <v>433</v>
      </c>
      <c r="E3215" s="4" t="s">
        <v>3807</v>
      </c>
      <c r="F3215" s="127" t="n">
        <v>46709</v>
      </c>
      <c r="G3215" s="127" t="n">
        <v>46720</v>
      </c>
      <c r="H3215" s="127" t="n">
        <v>46293</v>
      </c>
      <c r="I3215" s="4" t="n">
        <v>0</v>
      </c>
      <c r="J3215" s="4" t="n">
        <v>0</v>
      </c>
      <c r="K3215" s="4" t="n">
        <v>0</v>
      </c>
      <c r="M3215" s="2" t="str">
        <f aca="false">IF(C3215="","",IFERROR(INDEX($S$5:$S$304,MATCH(C3215,$R$5:$R$304,0))&amp;"","?"))</f>
        <v>35</v>
      </c>
      <c r="N3215" s="2" t="n">
        <f aca="false">IF(E3215="","",IF(ISNUMBER(SEARCH("SUBSOLO",E3215)),IFERROR(-VALUE(LEFT(E3215,FIND("º",SUBSTITUTE(E3215,"°","º"))-1)),-1),IF(LEFT(E3215,6)="TÉRREO",0,IFERROR(VALUE(LEFT(E3215,FIND("º",SUBSTITUTE(E3215,"°","º"))-1)),""))))</f>
        <v>2</v>
      </c>
      <c r="O3215" s="2" t="str">
        <f aca="false">IF(OR(F3215="",G3215=""),"",IF(G3215&lt;='RETRATO 2027'!$K$5,"CONCLUÍDA",IF(F3215&lt;='RETRATO 2027'!$K$5,"EM ANDAMENTO","A INICIAR")))</f>
        <v>CONCLUÍDA</v>
      </c>
    </row>
    <row r="3216" customFormat="false" ht="15" hidden="false" customHeight="false" outlineLevel="0" collapsed="false">
      <c r="B3216" s="4" t="n">
        <v>26743717</v>
      </c>
      <c r="C3216" s="4" t="s">
        <v>3063</v>
      </c>
      <c r="D3216" s="4" t="s">
        <v>433</v>
      </c>
      <c r="E3216" s="4" t="s">
        <v>3466</v>
      </c>
      <c r="F3216" s="127" t="n">
        <v>46710</v>
      </c>
      <c r="G3216" s="127" t="n">
        <v>46731</v>
      </c>
      <c r="H3216" s="127" t="n">
        <v>46293</v>
      </c>
      <c r="I3216" s="4" t="n">
        <v>0</v>
      </c>
      <c r="J3216" s="4" t="n">
        <v>0</v>
      </c>
      <c r="K3216" s="4" t="n">
        <v>0</v>
      </c>
      <c r="M3216" s="2" t="str">
        <f aca="false">IF(C3216="","",IFERROR(INDEX($S$5:$S$304,MATCH(C3216,$R$5:$R$304,0))&amp;"","?"))</f>
        <v>31</v>
      </c>
      <c r="N3216" s="2" t="n">
        <f aca="false">IF(E3216="","",IF(ISNUMBER(SEARCH("SUBSOLO",E3216)),IFERROR(-VALUE(LEFT(E3216,FIND("º",SUBSTITUTE(E3216,"°","º"))-1)),-1),IF(LEFT(E3216,6)="TÉRREO",0,IFERROR(VALUE(LEFT(E3216,FIND("º",SUBSTITUTE(E3216,"°","º"))-1)),""))))</f>
        <v>-1</v>
      </c>
      <c r="O3216" s="2" t="str">
        <f aca="false">IF(OR(F3216="",G3216=""),"",IF(G3216&lt;='RETRATO 2027'!$K$5,"CONCLUÍDA",IF(F3216&lt;='RETRATO 2027'!$K$5,"EM ANDAMENTO","A INICIAR")))</f>
        <v>CONCLUÍDA</v>
      </c>
    </row>
    <row r="3217" customFormat="false" ht="15" hidden="false" customHeight="false" outlineLevel="0" collapsed="false">
      <c r="B3217" s="4" t="n">
        <v>26745179</v>
      </c>
      <c r="C3217" s="4" t="s">
        <v>2971</v>
      </c>
      <c r="D3217" s="4" t="s">
        <v>433</v>
      </c>
      <c r="E3217" s="4" t="s">
        <v>3770</v>
      </c>
      <c r="F3217" s="127" t="n">
        <v>46710</v>
      </c>
      <c r="G3217" s="127" t="n">
        <v>46721</v>
      </c>
      <c r="H3217" s="127" t="n">
        <v>46293</v>
      </c>
      <c r="I3217" s="4" t="n">
        <v>0</v>
      </c>
      <c r="J3217" s="4" t="n">
        <v>0</v>
      </c>
      <c r="K3217" s="4" t="n">
        <v>0</v>
      </c>
      <c r="M3217" s="2" t="str">
        <f aca="false">IF(C3217="","",IFERROR(INDEX($S$5:$S$304,MATCH(C3217,$R$5:$R$304,0))&amp;"","?"))</f>
        <v>37</v>
      </c>
      <c r="N3217" s="2" t="n">
        <f aca="false">IF(E3217="","",IF(ISNUMBER(SEARCH("SUBSOLO",E3217)),IFERROR(-VALUE(LEFT(E3217,FIND("º",SUBSTITUTE(E3217,"°","º"))-1)),-1),IF(LEFT(E3217,6)="TÉRREO",0,IFERROR(VALUE(LEFT(E3217,FIND("º",SUBSTITUTE(E3217,"°","º"))-1)),""))))</f>
        <v>-1</v>
      </c>
      <c r="O3217" s="2" t="str">
        <f aca="false">IF(OR(F3217="",G3217=""),"",IF(G3217&lt;='RETRATO 2027'!$K$5,"CONCLUÍDA",IF(F3217&lt;='RETRATO 2027'!$K$5,"EM ANDAMENTO","A INICIAR")))</f>
        <v>CONCLUÍDA</v>
      </c>
    </row>
    <row r="3218" customFormat="false" ht="15" hidden="false" customHeight="false" outlineLevel="0" collapsed="false">
      <c r="B3218" s="4" t="n">
        <v>26750522</v>
      </c>
      <c r="C3218" s="4" t="s">
        <v>3009</v>
      </c>
      <c r="D3218" s="4" t="s">
        <v>433</v>
      </c>
      <c r="E3218" s="4" t="s">
        <v>3597</v>
      </c>
      <c r="F3218" s="127" t="n">
        <v>46713</v>
      </c>
      <c r="G3218" s="127" t="n">
        <v>46722</v>
      </c>
      <c r="H3218" s="127" t="n">
        <v>46293</v>
      </c>
      <c r="I3218" s="4" t="n">
        <v>0</v>
      </c>
      <c r="J3218" s="4" t="n">
        <v>0</v>
      </c>
      <c r="K3218" s="4" t="n">
        <v>0</v>
      </c>
      <c r="M3218" s="2" t="str">
        <f aca="false">IF(C3218="","",IFERROR(INDEX($S$5:$S$304,MATCH(C3218,$R$5:$R$304,0))&amp;"","?"))</f>
        <v>23</v>
      </c>
      <c r="N3218" s="2" t="n">
        <f aca="false">IF(E3218="","",IF(ISNUMBER(SEARCH("SUBSOLO",E3218)),IFERROR(-VALUE(LEFT(E3218,FIND("º",SUBSTITUTE(E3218,"°","º"))-1)),-1),IF(LEFT(E3218,6)="TÉRREO",0,IFERROR(VALUE(LEFT(E3218,FIND("º",SUBSTITUTE(E3218,"°","º"))-1)),""))))</f>
        <v>-2</v>
      </c>
      <c r="O3218" s="2" t="str">
        <f aca="false">IF(OR(F3218="",G3218=""),"",IF(G3218&lt;='RETRATO 2027'!$K$5,"CONCLUÍDA",IF(F3218&lt;='RETRATO 2027'!$K$5,"EM ANDAMENTO","A INICIAR")))</f>
        <v>CONCLUÍDA</v>
      </c>
    </row>
    <row r="3219" customFormat="false" ht="15" hidden="false" customHeight="false" outlineLevel="0" collapsed="false">
      <c r="B3219" s="4" t="n">
        <v>26744385</v>
      </c>
      <c r="C3219" s="4" t="s">
        <v>2829</v>
      </c>
      <c r="D3219" s="4" t="s">
        <v>433</v>
      </c>
      <c r="E3219" s="4" t="s">
        <v>3243</v>
      </c>
      <c r="F3219" s="127" t="n">
        <v>46713</v>
      </c>
      <c r="G3219" s="127" t="n">
        <v>46897</v>
      </c>
      <c r="H3219" s="127" t="n">
        <v>46293</v>
      </c>
      <c r="I3219" s="4" t="n">
        <v>0</v>
      </c>
      <c r="J3219" s="4" t="n">
        <v>0</v>
      </c>
      <c r="K3219" s="4" t="n">
        <v>0</v>
      </c>
      <c r="M3219" s="2" t="str">
        <f aca="false">IF(C3219="","",IFERROR(INDEX($S$5:$S$304,MATCH(C3219,$R$5:$R$304,0))&amp;"","?"))</f>
        <v>21</v>
      </c>
      <c r="N3219" s="2" t="n">
        <f aca="false">IF(E3219="","",IF(ISNUMBER(SEARCH("SUBSOLO",E3219)),IFERROR(-VALUE(LEFT(E3219,FIND("º",SUBSTITUTE(E3219,"°","º"))-1)),-1),IF(LEFT(E3219,6)="TÉRREO",0,IFERROR(VALUE(LEFT(E3219,FIND("º",SUBSTITUTE(E3219,"°","º"))-1)),""))))</f>
        <v>1</v>
      </c>
      <c r="O3219" s="2" t="str">
        <f aca="false">IF(OR(F3219="",G3219=""),"",IF(G3219&lt;='RETRATO 2027'!$K$5,"CONCLUÍDA",IF(F3219&lt;='RETRATO 2027'!$K$5,"EM ANDAMENTO","A INICIAR")))</f>
        <v>EM ANDAMENTO</v>
      </c>
    </row>
    <row r="3220" customFormat="false" ht="15" hidden="false" customHeight="false" outlineLevel="0" collapsed="false">
      <c r="B3220" s="4" t="n">
        <v>26744901</v>
      </c>
      <c r="C3220" s="4" t="s">
        <v>2814</v>
      </c>
      <c r="D3220" s="4" t="s">
        <v>433</v>
      </c>
      <c r="E3220" s="4" t="s">
        <v>3805</v>
      </c>
      <c r="F3220" s="127" t="n">
        <v>46713</v>
      </c>
      <c r="G3220" s="127" t="n">
        <v>46734</v>
      </c>
      <c r="H3220" s="127" t="n">
        <v>46293</v>
      </c>
      <c r="I3220" s="4" t="n">
        <v>0</v>
      </c>
      <c r="J3220" s="4" t="n">
        <v>0</v>
      </c>
      <c r="K3220" s="4" t="n">
        <v>0</v>
      </c>
      <c r="M3220" s="2" t="str">
        <f aca="false">IF(C3220="","",IFERROR(INDEX($S$5:$S$304,MATCH(C3220,$R$5:$R$304,0))&amp;"","?"))</f>
        <v>28</v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>CONCLUÍDA</v>
      </c>
    </row>
    <row r="3221" customFormat="false" ht="15" hidden="false" customHeight="false" outlineLevel="0" collapsed="false">
      <c r="B3221" s="4" t="n">
        <v>26714252</v>
      </c>
      <c r="C3221" s="4" t="s">
        <v>3026</v>
      </c>
      <c r="D3221" s="4" t="s">
        <v>433</v>
      </c>
      <c r="E3221" s="4" t="s">
        <v>3798</v>
      </c>
      <c r="F3221" s="127" t="n">
        <v>46713</v>
      </c>
      <c r="G3221" s="127" t="n">
        <v>46792</v>
      </c>
      <c r="H3221" s="127" t="n">
        <v>46293</v>
      </c>
      <c r="I3221" s="4" t="n">
        <v>0</v>
      </c>
      <c r="J3221" s="4" t="n">
        <v>0</v>
      </c>
      <c r="K3221" s="4" t="n">
        <v>0</v>
      </c>
      <c r="M3221" s="2" t="str">
        <f aca="false">IF(C3221="","",IFERROR(INDEX($S$5:$S$304,MATCH(C3221,$R$5:$R$304,0))&amp;"","?"))</f>
        <v>32</v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>EM ANDAMENTO</v>
      </c>
    </row>
    <row r="3222" customFormat="false" ht="15" hidden="false" customHeight="false" outlineLevel="0" collapsed="false">
      <c r="B3222" s="4" t="n">
        <v>26707579</v>
      </c>
      <c r="C3222" s="4" t="s">
        <v>2808</v>
      </c>
      <c r="D3222" s="4" t="s">
        <v>433</v>
      </c>
      <c r="E3222" s="4" t="s">
        <v>3822</v>
      </c>
      <c r="F3222" s="127" t="n">
        <v>46714</v>
      </c>
      <c r="G3222" s="127" t="n">
        <v>46735</v>
      </c>
      <c r="H3222" s="127" t="n">
        <v>46293</v>
      </c>
      <c r="I3222" s="4" t="n">
        <v>0</v>
      </c>
      <c r="J3222" s="4" t="n">
        <v>0</v>
      </c>
      <c r="K3222" s="4" t="n">
        <v>0</v>
      </c>
      <c r="M3222" s="2" t="str">
        <f aca="false">IF(C3222="","",IFERROR(INDEX($S$5:$S$304,MATCH(C3222,$R$5:$R$304,0))&amp;"","?"))</f>
        <v>29</v>
      </c>
      <c r="N3222" s="2" t="n">
        <f aca="false">IF(E3222="","",IF(ISNUMBER(SEARCH("SUBSOLO",E3222)),IFERROR(-VALUE(LEFT(E3222,FIND("º",SUBSTITUTE(E3222,"°","º"))-1)),-1),IF(LEFT(E3222,6)="TÉRREO",0,IFERROR(VALUE(LEFT(E3222,FIND("º",SUBSTITUTE(E3222,"°","º"))-1)),""))))</f>
        <v>2</v>
      </c>
      <c r="O3222" s="2" t="str">
        <f aca="false">IF(OR(F3222="",G3222=""),"",IF(G3222&lt;='RETRATO 2027'!$K$5,"CONCLUÍDA",IF(F3222&lt;='RETRATO 2027'!$K$5,"EM ANDAMENTO","A INICIAR")))</f>
        <v>CONCLUÍDA</v>
      </c>
    </row>
    <row r="3223" customFormat="false" ht="15" hidden="false" customHeight="false" outlineLevel="0" collapsed="false">
      <c r="B3223" s="4" t="n">
        <v>26744971</v>
      </c>
      <c r="C3223" s="4" t="s">
        <v>2980</v>
      </c>
      <c r="D3223" s="4" t="s">
        <v>433</v>
      </c>
      <c r="E3223" s="4" t="s">
        <v>3558</v>
      </c>
      <c r="F3223" s="127" t="n">
        <v>46715</v>
      </c>
      <c r="G3223" s="127" t="n">
        <v>46724</v>
      </c>
      <c r="H3223" s="127" t="n">
        <v>46293</v>
      </c>
      <c r="I3223" s="4" t="n">
        <v>0</v>
      </c>
      <c r="J3223" s="4" t="n">
        <v>0</v>
      </c>
      <c r="K3223" s="4" t="n">
        <v>0</v>
      </c>
      <c r="M3223" s="2" t="str">
        <f aca="false">IF(C3223="","",IFERROR(INDEX($S$5:$S$304,MATCH(C3223,$R$5:$R$304,0))&amp;"","?"))</f>
        <v>35</v>
      </c>
      <c r="N3223" s="2" t="n">
        <f aca="false">IF(E3223="","",IF(ISNUMBER(SEARCH("SUBSOLO",E3223)),IFERROR(-VALUE(LEFT(E3223,FIND("º",SUBSTITUTE(E3223,"°","º"))-1)),-1),IF(LEFT(E3223,6)="TÉRREO",0,IFERROR(VALUE(LEFT(E3223,FIND("º",SUBSTITUTE(E3223,"°","º"))-1)),""))))</f>
        <v>-4</v>
      </c>
      <c r="O3223" s="2" t="str">
        <f aca="false">IF(OR(F3223="",G3223=""),"",IF(G3223&lt;='RETRATO 2027'!$K$5,"CONCLUÍDA",IF(F3223&lt;='RETRATO 2027'!$K$5,"EM ANDAMENTO","A INICIAR")))</f>
        <v>CONCLUÍDA</v>
      </c>
    </row>
    <row r="3224" customFormat="false" ht="15" hidden="false" customHeight="false" outlineLevel="0" collapsed="false">
      <c r="B3224" s="4" t="n">
        <v>26707605</v>
      </c>
      <c r="C3224" s="4" t="s">
        <v>2980</v>
      </c>
      <c r="D3224" s="4" t="s">
        <v>433</v>
      </c>
      <c r="E3224" s="4" t="s">
        <v>3812</v>
      </c>
      <c r="F3224" s="127" t="n">
        <v>46715</v>
      </c>
      <c r="G3224" s="127" t="n">
        <v>46736</v>
      </c>
      <c r="H3224" s="127" t="n">
        <v>46293</v>
      </c>
      <c r="I3224" s="4" t="n">
        <v>0</v>
      </c>
      <c r="J3224" s="4" t="n">
        <v>0</v>
      </c>
      <c r="K3224" s="4" t="n">
        <v>0</v>
      </c>
      <c r="M3224" s="2" t="str">
        <f aca="false">IF(C3224="","",IFERROR(INDEX($S$5:$S$304,MATCH(C3224,$R$5:$R$304,0))&amp;"","?"))</f>
        <v>35</v>
      </c>
      <c r="N3224" s="2" t="n">
        <f aca="false">IF(E3224="","",IF(ISNUMBER(SEARCH("SUBSOLO",E3224)),IFERROR(-VALUE(LEFT(E3224,FIND("º",SUBSTITUTE(E3224,"°","º"))-1)),-1),IF(LEFT(E3224,6)="TÉRREO",0,IFERROR(VALUE(LEFT(E3224,FIND("º",SUBSTITUTE(E3224,"°","º"))-1)),""))))</f>
        <v>2</v>
      </c>
      <c r="O3224" s="2" t="str">
        <f aca="false">IF(OR(F3224="",G3224=""),"",IF(G3224&lt;='RETRATO 2027'!$K$5,"CONCLUÍDA",IF(F3224&lt;='RETRATO 2027'!$K$5,"EM ANDAMENTO","A INICIAR")))</f>
        <v>CONCLUÍDA</v>
      </c>
    </row>
    <row r="3225" customFormat="false" ht="15" hidden="false" customHeight="false" outlineLevel="0" collapsed="false">
      <c r="B3225" s="4" t="n">
        <v>26744490</v>
      </c>
      <c r="C3225" s="4" t="s">
        <v>3060</v>
      </c>
      <c r="D3225" s="4" t="s">
        <v>433</v>
      </c>
      <c r="E3225" s="4" t="s">
        <v>3829</v>
      </c>
      <c r="F3225" s="127" t="n">
        <v>46715</v>
      </c>
      <c r="G3225" s="127" t="n">
        <v>46756</v>
      </c>
      <c r="H3225" s="127" t="n">
        <v>46293</v>
      </c>
      <c r="I3225" s="4" t="n">
        <v>0</v>
      </c>
      <c r="J3225" s="4" t="n">
        <v>0</v>
      </c>
      <c r="K3225" s="4" t="n">
        <v>0</v>
      </c>
      <c r="M3225" s="2" t="str">
        <f aca="false">IF(C3225="","",IFERROR(INDEX($S$5:$S$304,MATCH(C3225,$R$5:$R$304,0))&amp;"","?"))</f>
        <v>30</v>
      </c>
      <c r="N3225" s="2" t="n">
        <f aca="false">IF(E3225="","",IF(ISNUMBER(SEARCH("SUBSOLO",E3225)),IFERROR(-VALUE(LEFT(E3225,FIND("º",SUBSTITUTE(E3225,"°","º"))-1)),-1),IF(LEFT(E3225,6)="TÉRREO",0,IFERROR(VALUE(LEFT(E3225,FIND("º",SUBSTITUTE(E3225,"°","º"))-1)),""))))</f>
        <v>3</v>
      </c>
      <c r="O3225" s="2" t="str">
        <f aca="false">IF(OR(F3225="",G3225=""),"",IF(G3225&lt;='RETRATO 2027'!$K$5,"CONCLUÍDA",IF(F3225&lt;='RETRATO 2027'!$K$5,"EM ANDAMENTO","A INICIAR")))</f>
        <v>EM ANDAMENTO</v>
      </c>
    </row>
    <row r="3226" customFormat="false" ht="15" hidden="false" customHeight="false" outlineLevel="0" collapsed="false">
      <c r="B3226" s="4" t="n">
        <v>26744456</v>
      </c>
      <c r="C3226" s="4" t="s">
        <v>3055</v>
      </c>
      <c r="D3226" s="4" t="s">
        <v>433</v>
      </c>
      <c r="E3226" s="4" t="s">
        <v>3780</v>
      </c>
      <c r="F3226" s="127" t="n">
        <v>46715</v>
      </c>
      <c r="G3226" s="127" t="n">
        <v>46736</v>
      </c>
      <c r="H3226" s="127" t="n">
        <v>46293</v>
      </c>
      <c r="I3226" s="4" t="n">
        <v>0</v>
      </c>
      <c r="J3226" s="4" t="n">
        <v>0</v>
      </c>
      <c r="K3226" s="4" t="n">
        <v>0</v>
      </c>
      <c r="M3226" s="2" t="str">
        <f aca="false">IF(C3226="","",IFERROR(INDEX($S$5:$S$304,MATCH(C3226,$R$5:$R$304,0))&amp;"","?"))</f>
        <v>25</v>
      </c>
      <c r="N3226" s="2" t="n">
        <f aca="false">IF(E3226="","",IF(ISNUMBER(SEARCH("SUBSOLO",E3226)),IFERROR(-VALUE(LEFT(E3226,FIND("º",SUBSTITUTE(E3226,"°","º"))-1)),-1),IF(LEFT(E3226,6)="TÉRREO",0,IFERROR(VALUE(LEFT(E3226,FIND("º",SUBSTITUTE(E3226,"°","º"))-1)),""))))</f>
        <v>3</v>
      </c>
      <c r="O3226" s="2" t="str">
        <f aca="false">IF(OR(F3226="",G3226=""),"",IF(G3226&lt;='RETRATO 2027'!$K$5,"CONCLUÍDA",IF(F3226&lt;='RETRATO 2027'!$K$5,"EM ANDAMENTO","A INICIAR")))</f>
        <v>CONCLUÍDA</v>
      </c>
    </row>
    <row r="3227" customFormat="false" ht="15" hidden="false" customHeight="false" outlineLevel="0" collapsed="false">
      <c r="B3227" s="4" t="n">
        <v>26546941</v>
      </c>
      <c r="C3227" s="4" t="s">
        <v>2906</v>
      </c>
      <c r="D3227" s="4" t="s">
        <v>433</v>
      </c>
      <c r="E3227" s="4" t="s">
        <v>3827</v>
      </c>
      <c r="F3227" s="127" t="n">
        <v>46716</v>
      </c>
      <c r="G3227" s="127" t="n">
        <v>46772</v>
      </c>
      <c r="H3227" s="127" t="n">
        <v>46293</v>
      </c>
      <c r="I3227" s="4" t="n">
        <v>0</v>
      </c>
      <c r="J3227" s="4" t="n">
        <v>0</v>
      </c>
      <c r="K3227" s="4" t="n">
        <v>0</v>
      </c>
      <c r="M3227" s="2" t="str">
        <f aca="false">IF(C3227="","",IFERROR(INDEX($S$5:$S$304,MATCH(C3227,$R$5:$R$304,0))&amp;"","?"))</f>
        <v>19</v>
      </c>
      <c r="N3227" s="2" t="n">
        <f aca="false">IF(E3227="","",IF(ISNUMBER(SEARCH("SUBSOLO",E3227)),IFERROR(-VALUE(LEFT(E3227,FIND("º",SUBSTITUTE(E3227,"°","º"))-1)),-1),IF(LEFT(E3227,6)="TÉRREO",0,IFERROR(VALUE(LEFT(E3227,FIND("º",SUBSTITUTE(E3227,"°","º"))-1)),""))))</f>
        <v>3</v>
      </c>
      <c r="O3227" s="2" t="str">
        <f aca="false">IF(OR(F3227="",G3227=""),"",IF(G3227&lt;='RETRATO 2027'!$K$5,"CONCLUÍDA",IF(F3227&lt;='RETRATO 2027'!$K$5,"EM ANDAMENTO","A INICIAR")))</f>
        <v>EM ANDAMENTO</v>
      </c>
    </row>
    <row r="3228" customFormat="false" ht="15" hidden="false" customHeight="false" outlineLevel="0" collapsed="false">
      <c r="B3228" s="4" t="n">
        <v>26744721</v>
      </c>
      <c r="C3228" s="4" t="s">
        <v>2956</v>
      </c>
      <c r="D3228" s="4" t="s">
        <v>433</v>
      </c>
      <c r="E3228" s="4" t="s">
        <v>3800</v>
      </c>
      <c r="F3228" s="127" t="n">
        <v>46716</v>
      </c>
      <c r="G3228" s="127" t="n">
        <v>46724</v>
      </c>
      <c r="H3228" s="127" t="n">
        <v>46293</v>
      </c>
      <c r="I3228" s="4" t="n">
        <v>0</v>
      </c>
      <c r="J3228" s="4" t="n">
        <v>0</v>
      </c>
      <c r="K3228" s="4" t="n">
        <v>0</v>
      </c>
      <c r="M3228" s="2" t="str">
        <f aca="false">IF(C3228="","",IFERROR(INDEX($S$5:$S$304,MATCH(C3228,$R$5:$R$304,0))&amp;"","?"))</f>
        <v>18</v>
      </c>
      <c r="N3228" s="2" t="n">
        <f aca="false">IF(E3228="","",IF(ISNUMBER(SEARCH("SUBSOLO",E3228)),IFERROR(-VALUE(LEFT(E3228,FIND("º",SUBSTITUTE(E3228,"°","º"))-1)),-1),IF(LEFT(E3228,6)="TÉRREO",0,IFERROR(VALUE(LEFT(E3228,FIND("º",SUBSTITUTE(E3228,"°","º"))-1)),""))))</f>
        <v>3</v>
      </c>
      <c r="O3228" s="2" t="str">
        <f aca="false">IF(OR(F3228="",G3228=""),"",IF(G3228&lt;='RETRATO 2027'!$K$5,"CONCLUÍDA",IF(F3228&lt;='RETRATO 2027'!$K$5,"EM ANDAMENTO","A INICIAR")))</f>
        <v>CONCLUÍDA</v>
      </c>
    </row>
    <row r="3229" customFormat="false" ht="15" hidden="false" customHeight="false" outlineLevel="0" collapsed="false">
      <c r="B3229" s="4" t="n">
        <v>26744959</v>
      </c>
      <c r="C3229" s="4" t="s">
        <v>189</v>
      </c>
      <c r="D3229" s="4" t="s">
        <v>433</v>
      </c>
      <c r="E3229" s="4" t="s">
        <v>3671</v>
      </c>
      <c r="F3229" s="127" t="n">
        <v>46717</v>
      </c>
      <c r="G3229" s="127" t="n">
        <v>46728</v>
      </c>
      <c r="H3229" s="127" t="n">
        <v>46293</v>
      </c>
      <c r="I3229" s="4" t="n">
        <v>0</v>
      </c>
      <c r="J3229" s="4" t="n">
        <v>0</v>
      </c>
      <c r="K3229" s="4" t="n">
        <v>0</v>
      </c>
      <c r="M3229" s="2" t="str">
        <f aca="false">IF(C3229="","",IFERROR(INDEX($S$5:$S$304,MATCH(C3229,$R$5:$R$304,0))&amp;"","?"))</f>
        <v>27</v>
      </c>
      <c r="N3229" s="2" t="n">
        <f aca="false">IF(E3229="","",IF(ISNUMBER(SEARCH("SUBSOLO",E3229)),IFERROR(-VALUE(LEFT(E3229,FIND("º",SUBSTITUTE(E3229,"°","º"))-1)),-1),IF(LEFT(E3229,6)="TÉRREO",0,IFERROR(VALUE(LEFT(E3229,FIND("º",SUBSTITUTE(E3229,"°","º"))-1)),""))))</f>
        <v>-3</v>
      </c>
      <c r="O3229" s="2" t="str">
        <f aca="false">IF(OR(F3229="",G3229=""),"",IF(G3229&lt;='RETRATO 2027'!$K$5,"CONCLUÍDA",IF(F3229&lt;='RETRATO 2027'!$K$5,"EM ANDAMENTO","A INICIAR")))</f>
        <v>CONCLUÍDA</v>
      </c>
    </row>
    <row r="3230" customFormat="false" ht="15" hidden="false" customHeight="false" outlineLevel="0" collapsed="false">
      <c r="B3230" s="4" t="n">
        <v>26745013</v>
      </c>
      <c r="C3230" s="4" t="s">
        <v>2808</v>
      </c>
      <c r="D3230" s="4" t="s">
        <v>433</v>
      </c>
      <c r="E3230" s="4" t="s">
        <v>3828</v>
      </c>
      <c r="F3230" s="127" t="n">
        <v>46717</v>
      </c>
      <c r="G3230" s="127" t="n">
        <v>46728</v>
      </c>
      <c r="H3230" s="127" t="n">
        <v>46293</v>
      </c>
      <c r="I3230" s="4" t="n">
        <v>0</v>
      </c>
      <c r="J3230" s="4" t="n">
        <v>0</v>
      </c>
      <c r="K3230" s="4" t="n">
        <v>0</v>
      </c>
      <c r="M3230" s="2" t="str">
        <f aca="false">IF(C3230="","",IFERROR(INDEX($S$5:$S$304,MATCH(C3230,$R$5:$R$304,0))&amp;"","?"))</f>
        <v>29</v>
      </c>
      <c r="N3230" s="2" t="n">
        <f aca="false">IF(E3230="","",IF(ISNUMBER(SEARCH("SUBSOLO",E3230)),IFERROR(-VALUE(LEFT(E3230,FIND("º",SUBSTITUTE(E3230,"°","º"))-1)),-1),IF(LEFT(E3230,6)="TÉRREO",0,IFERROR(VALUE(LEFT(E3230,FIND("º",SUBSTITUTE(E3230,"°","º"))-1)),""))))</f>
        <v>2</v>
      </c>
      <c r="O3230" s="2" t="str">
        <f aca="false">IF(OR(F3230="",G3230=""),"",IF(G3230&lt;='RETRATO 2027'!$K$5,"CONCLUÍDA",IF(F3230&lt;='RETRATO 2027'!$K$5,"EM ANDAMENTO","A INICIAR")))</f>
        <v>CONCLUÍDA</v>
      </c>
    </row>
    <row r="3231" customFormat="false" ht="15" hidden="false" customHeight="false" outlineLevel="0" collapsed="false">
      <c r="B3231" s="4" t="n">
        <v>26742978</v>
      </c>
      <c r="C3231" s="4" t="s">
        <v>2997</v>
      </c>
      <c r="D3231" s="4" t="s">
        <v>433</v>
      </c>
      <c r="E3231" s="4" t="s">
        <v>3786</v>
      </c>
      <c r="F3231" s="127" t="n">
        <v>46717</v>
      </c>
      <c r="G3231" s="127" t="n">
        <v>46728</v>
      </c>
      <c r="H3231" s="127" t="n">
        <v>46293</v>
      </c>
      <c r="I3231" s="4" t="n">
        <v>0</v>
      </c>
      <c r="J3231" s="4" t="n">
        <v>0</v>
      </c>
      <c r="K3231" s="4" t="n">
        <v>0</v>
      </c>
      <c r="M3231" s="2" t="str">
        <f aca="false">IF(C3231="","",IFERROR(INDEX($S$5:$S$304,MATCH(C3231,$R$5:$R$304,0))&amp;"","?"))</f>
        <v>35</v>
      </c>
      <c r="N3231" s="2" t="n">
        <f aca="false">IF(E3231="","",IF(ISNUMBER(SEARCH("SUBSOLO",E3231)),IFERROR(-VALUE(LEFT(E3231,FIND("º",SUBSTITUTE(E3231,"°","º"))-1)),-1),IF(LEFT(E3231,6)="TÉRREO",0,IFERROR(VALUE(LEFT(E3231,FIND("º",SUBSTITUTE(E3231,"°","º"))-1)),""))))</f>
        <v>22</v>
      </c>
      <c r="O3231" s="2" t="str">
        <f aca="false">IF(OR(F3231="",G3231=""),"",IF(G3231&lt;='RETRATO 2027'!$K$5,"CONCLUÍDA",IF(F3231&lt;='RETRATO 2027'!$K$5,"EM ANDAMENTO","A INICIAR")))</f>
        <v>CONCLUÍDA</v>
      </c>
    </row>
    <row r="3232" customFormat="false" ht="15" hidden="false" customHeight="false" outlineLevel="0" collapsed="false">
      <c r="B3232" s="4" t="n">
        <v>26742940</v>
      </c>
      <c r="C3232" s="4" t="s">
        <v>2980</v>
      </c>
      <c r="D3232" s="4" t="s">
        <v>433</v>
      </c>
      <c r="E3232" s="4" t="s">
        <v>3787</v>
      </c>
      <c r="F3232" s="127" t="n">
        <v>46717</v>
      </c>
      <c r="G3232" s="127" t="n">
        <v>46728</v>
      </c>
      <c r="H3232" s="127" t="n">
        <v>46293</v>
      </c>
      <c r="I3232" s="4" t="n">
        <v>0</v>
      </c>
      <c r="J3232" s="4" t="n">
        <v>0</v>
      </c>
      <c r="K3232" s="4" t="n">
        <v>0</v>
      </c>
      <c r="M3232" s="2" t="str">
        <f aca="false">IF(C3232="","",IFERROR(INDEX($S$5:$S$304,MATCH(C3232,$R$5:$R$304,0))&amp;"","?"))</f>
        <v>35</v>
      </c>
      <c r="N3232" s="2" t="n">
        <f aca="false">IF(E3232="","",IF(ISNUMBER(SEARCH("SUBSOLO",E3232)),IFERROR(-VALUE(LEFT(E3232,FIND("º",SUBSTITUTE(E3232,"°","º"))-1)),-1),IF(LEFT(E3232,6)="TÉRREO",0,IFERROR(VALUE(LEFT(E3232,FIND("º",SUBSTITUTE(E3232,"°","º"))-1)),""))))</f>
        <v>23</v>
      </c>
      <c r="O3232" s="2" t="str">
        <f aca="false">IF(OR(F3232="",G3232=""),"",IF(G3232&lt;='RETRATO 2027'!$K$5,"CONCLUÍDA",IF(F3232&lt;='RETRATO 2027'!$K$5,"EM ANDAMENTO","A INICIAR")))</f>
        <v>CONCLUÍDA</v>
      </c>
    </row>
    <row r="3233" customFormat="false" ht="15" hidden="false" customHeight="false" outlineLevel="0" collapsed="false">
      <c r="B3233" s="4" t="n">
        <v>26742910</v>
      </c>
      <c r="C3233" s="4" t="s">
        <v>208</v>
      </c>
      <c r="D3233" s="4" t="s">
        <v>433</v>
      </c>
      <c r="E3233" s="4" t="s">
        <v>3788</v>
      </c>
      <c r="F3233" s="127" t="n">
        <v>46717</v>
      </c>
      <c r="G3233" s="127" t="n">
        <v>46728</v>
      </c>
      <c r="H3233" s="127" t="n">
        <v>46293</v>
      </c>
      <c r="I3233" s="4" t="n">
        <v>0</v>
      </c>
      <c r="J3233" s="4" t="n">
        <v>0</v>
      </c>
      <c r="K3233" s="4" t="n">
        <v>0</v>
      </c>
      <c r="M3233" s="2" t="str">
        <f aca="false">IF(C3233="","",IFERROR(INDEX($S$5:$S$304,MATCH(C3233,$R$5:$R$304,0))&amp;"","?"))</f>
        <v>33</v>
      </c>
      <c r="N3233" s="2" t="n">
        <f aca="false">IF(E3233="","",IF(ISNUMBER(SEARCH("SUBSOLO",E3233)),IFERROR(-VALUE(LEFT(E3233,FIND("º",SUBSTITUTE(E3233,"°","º"))-1)),-1),IF(LEFT(E3233,6)="TÉRREO",0,IFERROR(VALUE(LEFT(E3233,FIND("º",SUBSTITUTE(E3233,"°","º"))-1)),""))))</f>
        <v>24</v>
      </c>
      <c r="O3233" s="2" t="str">
        <f aca="false">IF(OR(F3233="",G3233=""),"",IF(G3233&lt;='RETRATO 2027'!$K$5,"CONCLUÍDA",IF(F3233&lt;='RETRATO 2027'!$K$5,"EM ANDAMENTO","A INICIAR")))</f>
        <v>CONCLUÍDA</v>
      </c>
    </row>
    <row r="3234" customFormat="false" ht="15" hidden="false" customHeight="false" outlineLevel="0" collapsed="false">
      <c r="B3234" s="4" t="n">
        <v>26744674</v>
      </c>
      <c r="C3234" s="4" t="s">
        <v>2974</v>
      </c>
      <c r="D3234" s="4" t="s">
        <v>433</v>
      </c>
      <c r="E3234" s="4" t="s">
        <v>3774</v>
      </c>
      <c r="F3234" s="127" t="n">
        <v>46720</v>
      </c>
      <c r="G3234" s="127" t="n">
        <v>46734</v>
      </c>
      <c r="H3234" s="127" t="n">
        <v>46293</v>
      </c>
      <c r="I3234" s="4" t="n">
        <v>0</v>
      </c>
      <c r="J3234" s="4" t="n">
        <v>0</v>
      </c>
      <c r="K3234" s="4" t="n">
        <v>0</v>
      </c>
      <c r="M3234" s="2" t="str">
        <f aca="false">IF(C3234="","",IFERROR(INDEX($S$5:$S$304,MATCH(C3234,$R$5:$R$304,0))&amp;"","?"))</f>
        <v>21</v>
      </c>
      <c r="N3234" s="2" t="n">
        <f aca="false">IF(E3234="","",IF(ISNUMBER(SEARCH("SUBSOLO",E3234)),IFERROR(-VALUE(LEFT(E3234,FIND("º",SUBSTITUTE(E3234,"°","º"))-1)),-1),IF(LEFT(E3234,6)="TÉRREO",0,IFERROR(VALUE(LEFT(E3234,FIND("º",SUBSTITUTE(E3234,"°","º"))-1)),""))))</f>
        <v>3</v>
      </c>
      <c r="O3234" s="2" t="str">
        <f aca="false">IF(OR(F3234="",G3234=""),"",IF(G3234&lt;='RETRATO 2027'!$K$5,"CONCLUÍDA",IF(F3234&lt;='RETRATO 2027'!$K$5,"EM ANDAMENTO","A INICIAR")))</f>
        <v>CONCLUÍDA</v>
      </c>
    </row>
    <row r="3235" customFormat="false" ht="15" hidden="false" customHeight="false" outlineLevel="0" collapsed="false">
      <c r="B3235" s="4" t="n">
        <v>29845972</v>
      </c>
      <c r="C3235" s="4" t="s">
        <v>2983</v>
      </c>
      <c r="D3235" s="4" t="s">
        <v>433</v>
      </c>
      <c r="E3235" s="4" t="s">
        <v>3794</v>
      </c>
      <c r="F3235" s="127" t="n">
        <v>46720</v>
      </c>
      <c r="G3235" s="127" t="n">
        <v>46728</v>
      </c>
      <c r="H3235" s="127" t="n">
        <v>46293</v>
      </c>
      <c r="I3235" s="4" t="n">
        <v>0</v>
      </c>
      <c r="J3235" s="4" t="n">
        <v>0</v>
      </c>
      <c r="K3235" s="4" t="n">
        <v>0</v>
      </c>
      <c r="M3235" s="2" t="str">
        <f aca="false">IF(C3235="","",IFERROR(INDEX($S$5:$S$304,MATCH(C3235,$R$5:$R$304,0))&amp;"","?"))</f>
        <v>20</v>
      </c>
      <c r="N3235" s="2" t="n">
        <f aca="false">IF(E3235="","",IF(ISNUMBER(SEARCH("SUBSOLO",E3235)),IFERROR(-VALUE(LEFT(E3235,FIND("º",SUBSTITUTE(E3235,"°","º"))-1)),-1),IF(LEFT(E3235,6)="TÉRREO",0,IFERROR(VALUE(LEFT(E3235,FIND("º",SUBSTITUTE(E3235,"°","º"))-1)),""))))</f>
        <v>25</v>
      </c>
      <c r="O3235" s="2" t="str">
        <f aca="false">IF(OR(F3235="",G3235=""),"",IF(G3235&lt;='RETRATO 2027'!$K$5,"CONCLUÍDA",IF(F3235&lt;='RETRATO 2027'!$K$5,"EM ANDAMENTO","A INICIAR")))</f>
        <v>CONCLUÍDA</v>
      </c>
    </row>
    <row r="3236" customFormat="false" ht="15" hidden="false" customHeight="false" outlineLevel="0" collapsed="false">
      <c r="B3236" s="4" t="n">
        <v>29845911</v>
      </c>
      <c r="C3236" s="4" t="s">
        <v>2986</v>
      </c>
      <c r="D3236" s="4" t="s">
        <v>433</v>
      </c>
      <c r="E3236" s="4" t="s">
        <v>3794</v>
      </c>
      <c r="F3236" s="127" t="n">
        <v>46720</v>
      </c>
      <c r="G3236" s="127" t="n">
        <v>46730</v>
      </c>
      <c r="H3236" s="127" t="n">
        <v>46293</v>
      </c>
      <c r="I3236" s="4" t="n">
        <v>0</v>
      </c>
      <c r="J3236" s="4" t="n">
        <v>0</v>
      </c>
      <c r="K3236" s="4" t="n">
        <v>0</v>
      </c>
      <c r="M3236" s="2" t="str">
        <f aca="false">IF(C3236="","",IFERROR(INDEX($S$5:$S$304,MATCH(C3236,$R$5:$R$304,0))&amp;"","?"))</f>
        <v>20</v>
      </c>
      <c r="N3236" s="2" t="n">
        <f aca="false">IF(E3236="","",IF(ISNUMBER(SEARCH("SUBSOLO",E3236)),IFERROR(-VALUE(LEFT(E3236,FIND("º",SUBSTITUTE(E3236,"°","º"))-1)),-1),IF(LEFT(E3236,6)="TÉRREO",0,IFERROR(VALUE(LEFT(E3236,FIND("º",SUBSTITUTE(E3236,"°","º"))-1)),""))))</f>
        <v>25</v>
      </c>
      <c r="O3236" s="2" t="str">
        <f aca="false">IF(OR(F3236="",G3236=""),"",IF(G3236&lt;='RETRATO 2027'!$K$5,"CONCLUÍDA",IF(F3236&lt;='RETRATO 2027'!$K$5,"EM ANDAMENTO","A INICIAR")))</f>
        <v>CONCLUÍDA</v>
      </c>
    </row>
    <row r="3237" customFormat="false" ht="15" hidden="false" customHeight="false" outlineLevel="0" collapsed="false">
      <c r="B3237" s="4" t="n">
        <v>26742838</v>
      </c>
      <c r="C3237" s="4" t="s">
        <v>2977</v>
      </c>
      <c r="D3237" s="4" t="s">
        <v>433</v>
      </c>
      <c r="E3237" s="4" t="s">
        <v>3797</v>
      </c>
      <c r="F3237" s="127" t="n">
        <v>46720</v>
      </c>
      <c r="G3237" s="127" t="n">
        <v>46730</v>
      </c>
      <c r="H3237" s="127" t="n">
        <v>46293</v>
      </c>
      <c r="I3237" s="4" t="n">
        <v>0</v>
      </c>
      <c r="J3237" s="4" t="n">
        <v>0</v>
      </c>
      <c r="K3237" s="4" t="n">
        <v>0</v>
      </c>
      <c r="M3237" s="2" t="str">
        <f aca="false">IF(C3237="","",IFERROR(INDEX($S$5:$S$304,MATCH(C3237,$R$5:$R$304,0))&amp;"","?"))</f>
        <v>30</v>
      </c>
      <c r="N3237" s="2" t="n">
        <f aca="false">IF(E3237="","",IF(ISNUMBER(SEARCH("SUBSOLO",E3237)),IFERROR(-VALUE(LEFT(E3237,FIND("º",SUBSTITUTE(E3237,"°","º"))-1)),-1),IF(LEFT(E3237,6)="TÉRREO",0,IFERROR(VALUE(LEFT(E3237,FIND("º",SUBSTITUTE(E3237,"°","º"))-1)),""))))</f>
        <v>26</v>
      </c>
      <c r="O3237" s="2" t="str">
        <f aca="false">IF(OR(F3237="",G3237=""),"",IF(G3237&lt;='RETRATO 2027'!$K$5,"CONCLUÍDA",IF(F3237&lt;='RETRATO 2027'!$K$5,"EM ANDAMENTO","A INICIAR")))</f>
        <v>CONCLUÍDA</v>
      </c>
    </row>
    <row r="3238" customFormat="false" ht="15" hidden="false" customHeight="false" outlineLevel="0" collapsed="false">
      <c r="B3238" s="4" t="n">
        <v>26742794</v>
      </c>
      <c r="C3238" s="4" t="s">
        <v>2935</v>
      </c>
      <c r="D3238" s="4" t="s">
        <v>433</v>
      </c>
      <c r="E3238" s="4" t="s">
        <v>3799</v>
      </c>
      <c r="F3238" s="127" t="n">
        <v>46720</v>
      </c>
      <c r="G3238" s="127" t="n">
        <v>46730</v>
      </c>
      <c r="H3238" s="127" t="n">
        <v>46293</v>
      </c>
      <c r="I3238" s="4" t="n">
        <v>0</v>
      </c>
      <c r="J3238" s="4" t="n">
        <v>0</v>
      </c>
      <c r="K3238" s="4" t="n">
        <v>0</v>
      </c>
      <c r="M3238" s="2" t="str">
        <f aca="false">IF(C3238="","",IFERROR(INDEX($S$5:$S$304,MATCH(C3238,$R$5:$R$304,0))&amp;"","?"))</f>
        <v>30</v>
      </c>
      <c r="N3238" s="2" t="n">
        <f aca="false">IF(E3238="","",IF(ISNUMBER(SEARCH("SUBSOLO",E3238)),IFERROR(-VALUE(LEFT(E3238,FIND("º",SUBSTITUTE(E3238,"°","º"))-1)),-1),IF(LEFT(E3238,6)="TÉRREO",0,IFERROR(VALUE(LEFT(E3238,FIND("º",SUBSTITUTE(E3238,"°","º"))-1)),""))))</f>
        <v>27</v>
      </c>
      <c r="O3238" s="2" t="str">
        <f aca="false">IF(OR(F3238="",G3238=""),"",IF(G3238&lt;='RETRATO 2027'!$K$5,"CONCLUÍDA",IF(F3238&lt;='RETRATO 2027'!$K$5,"EM ANDAMENTO","A INICIAR")))</f>
        <v>CONCLUÍDA</v>
      </c>
    </row>
    <row r="3239" customFormat="false" ht="15" hidden="false" customHeight="false" outlineLevel="0" collapsed="false">
      <c r="B3239" s="4" t="n">
        <v>26742741</v>
      </c>
      <c r="C3239" s="4" t="s">
        <v>2938</v>
      </c>
      <c r="D3239" s="4" t="s">
        <v>433</v>
      </c>
      <c r="E3239" s="4" t="s">
        <v>3802</v>
      </c>
      <c r="F3239" s="127" t="n">
        <v>46720</v>
      </c>
      <c r="G3239" s="127" t="n">
        <v>46730</v>
      </c>
      <c r="H3239" s="127" t="n">
        <v>46293</v>
      </c>
      <c r="I3239" s="4" t="n">
        <v>0</v>
      </c>
      <c r="J3239" s="4" t="n">
        <v>0</v>
      </c>
      <c r="K3239" s="4" t="n">
        <v>0</v>
      </c>
      <c r="M3239" s="2" t="str">
        <f aca="false">IF(C3239="","",IFERROR(INDEX($S$5:$S$304,MATCH(C3239,$R$5:$R$304,0))&amp;"","?"))</f>
        <v>30</v>
      </c>
      <c r="N3239" s="2" t="n">
        <f aca="false">IF(E3239="","",IF(ISNUMBER(SEARCH("SUBSOLO",E3239)),IFERROR(-VALUE(LEFT(E3239,FIND("º",SUBSTITUTE(E3239,"°","º"))-1)),-1),IF(LEFT(E3239,6)="TÉRREO",0,IFERROR(VALUE(LEFT(E3239,FIND("º",SUBSTITUTE(E3239,"°","º"))-1)),""))))</f>
        <v>28</v>
      </c>
      <c r="O3239" s="2" t="str">
        <f aca="false">IF(OR(F3239="",G3239=""),"",IF(G3239&lt;='RETRATO 2027'!$K$5,"CONCLUÍDA",IF(F3239&lt;='RETRATO 2027'!$K$5,"EM ANDAMENTO","A INICIAR")))</f>
        <v>CONCLUÍDA</v>
      </c>
    </row>
    <row r="3240" customFormat="false" ht="15" hidden="false" customHeight="false" outlineLevel="0" collapsed="false">
      <c r="B3240" s="4" t="n">
        <v>26742703</v>
      </c>
      <c r="C3240" s="4" t="s">
        <v>166</v>
      </c>
      <c r="D3240" s="4" t="s">
        <v>433</v>
      </c>
      <c r="E3240" s="4" t="s">
        <v>3803</v>
      </c>
      <c r="F3240" s="127" t="n">
        <v>46720</v>
      </c>
      <c r="G3240" s="127" t="n">
        <v>46730</v>
      </c>
      <c r="H3240" s="127" t="n">
        <v>46293</v>
      </c>
      <c r="I3240" s="4" t="n">
        <v>0</v>
      </c>
      <c r="J3240" s="4" t="n">
        <v>0</v>
      </c>
      <c r="K3240" s="4" t="n">
        <v>0</v>
      </c>
      <c r="M3240" s="2" t="str">
        <f aca="false">IF(C3240="","",IFERROR(INDEX($S$5:$S$304,MATCH(C3240,$R$5:$R$304,0))&amp;"","?"))</f>
        <v>19</v>
      </c>
      <c r="N3240" s="2" t="n">
        <f aca="false">IF(E3240="","",IF(ISNUMBER(SEARCH("SUBSOLO",E3240)),IFERROR(-VALUE(LEFT(E3240,FIND("º",SUBSTITUTE(E3240,"°","º"))-1)),-1),IF(LEFT(E3240,6)="TÉRREO",0,IFERROR(VALUE(LEFT(E3240,FIND("º",SUBSTITUTE(E3240,"°","º"))-1)),""))))</f>
        <v>29</v>
      </c>
      <c r="O3240" s="2" t="str">
        <f aca="false">IF(OR(F3240="",G3240=""),"",IF(G3240&lt;='RETRATO 2027'!$K$5,"CONCLUÍDA",IF(F3240&lt;='RETRATO 2027'!$K$5,"EM ANDAMENTO","A INICIAR")))</f>
        <v>CONCLUÍDA</v>
      </c>
    </row>
    <row r="3241" customFormat="false" ht="15" hidden="false" customHeight="false" outlineLevel="0" collapsed="false">
      <c r="B3241" s="4" t="n">
        <v>26743731</v>
      </c>
      <c r="C3241" s="4" t="s">
        <v>3006</v>
      </c>
      <c r="D3241" s="4" t="s">
        <v>433</v>
      </c>
      <c r="E3241" s="4" t="s">
        <v>3449</v>
      </c>
      <c r="F3241" s="127" t="n">
        <v>46721</v>
      </c>
      <c r="G3241" s="127" t="n">
        <v>46742</v>
      </c>
      <c r="H3241" s="127" t="n">
        <v>46293</v>
      </c>
      <c r="I3241" s="4" t="n">
        <v>0</v>
      </c>
      <c r="J3241" s="4" t="n">
        <v>0</v>
      </c>
      <c r="K3241" s="4" t="n">
        <v>0</v>
      </c>
      <c r="M3241" s="2" t="str">
        <f aca="false">IF(C3241="","",IFERROR(INDEX($S$5:$S$304,MATCH(C3241,$R$5:$R$304,0))&amp;"","?"))</f>
        <v>37</v>
      </c>
      <c r="N3241" s="2" t="n">
        <f aca="false">IF(E3241="","",IF(ISNUMBER(SEARCH("SUBSOLO",E3241)),IFERROR(-VALUE(LEFT(E3241,FIND("º",SUBSTITUTE(E3241,"°","º"))-1)),-1),IF(LEFT(E3241,6)="TÉRREO",0,IFERROR(VALUE(LEFT(E3241,FIND("º",SUBSTITUTE(E3241,"°","º"))-1)),""))))</f>
        <v>-2</v>
      </c>
      <c r="O3241" s="2" t="str">
        <f aca="false">IF(OR(F3241="",G3241=""),"",IF(G3241&lt;='RETRATO 2027'!$K$5,"CONCLUÍDA",IF(F3241&lt;='RETRATO 2027'!$K$5,"EM ANDAMENTO","A INICIAR")))</f>
        <v>CONCLUÍDA</v>
      </c>
    </row>
    <row r="3242" customFormat="false" ht="15" hidden="false" customHeight="false" outlineLevel="0" collapsed="false">
      <c r="B3242" s="4" t="n">
        <v>26745147</v>
      </c>
      <c r="C3242" s="4" t="s">
        <v>2971</v>
      </c>
      <c r="D3242" s="4" t="s">
        <v>433</v>
      </c>
      <c r="E3242" s="4" t="s">
        <v>3807</v>
      </c>
      <c r="F3242" s="127" t="n">
        <v>46721</v>
      </c>
      <c r="G3242" s="127" t="n">
        <v>46731</v>
      </c>
      <c r="H3242" s="127" t="n">
        <v>46293</v>
      </c>
      <c r="I3242" s="4" t="n">
        <v>0</v>
      </c>
      <c r="J3242" s="4" t="n">
        <v>0</v>
      </c>
      <c r="K3242" s="4" t="n">
        <v>0</v>
      </c>
      <c r="M3242" s="2" t="str">
        <f aca="false">IF(C3242="","",IFERROR(INDEX($S$5:$S$304,MATCH(C3242,$R$5:$R$304,0))&amp;"","?"))</f>
        <v>37</v>
      </c>
      <c r="N3242" s="2" t="n">
        <f aca="false">IF(E3242="","",IF(ISNUMBER(SEARCH("SUBSOLO",E3242)),IFERROR(-VALUE(LEFT(E3242,FIND("º",SUBSTITUTE(E3242,"°","º"))-1)),-1),IF(LEFT(E3242,6)="TÉRREO",0,IFERROR(VALUE(LEFT(E3242,FIND("º",SUBSTITUTE(E3242,"°","º"))-1)),""))))</f>
        <v>2</v>
      </c>
      <c r="O3242" s="2" t="str">
        <f aca="false">IF(OR(F3242="",G3242=""),"",IF(G3242&lt;='RETRATO 2027'!$K$5,"CONCLUÍDA",IF(F3242&lt;='RETRATO 2027'!$K$5,"EM ANDAMENTO","A INICIAR")))</f>
        <v>CONCLUÍDA</v>
      </c>
    </row>
    <row r="3243" customFormat="false" ht="15" hidden="false" customHeight="false" outlineLevel="0" collapsed="false">
      <c r="B3243" s="4" t="n">
        <v>26708129</v>
      </c>
      <c r="C3243" s="4" t="s">
        <v>2941</v>
      </c>
      <c r="D3243" s="4" t="s">
        <v>433</v>
      </c>
      <c r="E3243" s="4" t="s">
        <v>3813</v>
      </c>
      <c r="F3243" s="127" t="n">
        <v>46722</v>
      </c>
      <c r="G3243" s="127" t="n">
        <v>46734</v>
      </c>
      <c r="H3243" s="127" t="n">
        <v>46293</v>
      </c>
      <c r="I3243" s="4" t="n">
        <v>0</v>
      </c>
      <c r="J3243" s="4" t="n">
        <v>0</v>
      </c>
      <c r="K3243" s="4" t="n">
        <v>0</v>
      </c>
      <c r="M3243" s="2" t="str">
        <f aca="false">IF(C3243="","",IFERROR(INDEX($S$5:$S$304,MATCH(C3243,$R$5:$R$304,0))&amp;"","?"))</f>
        <v>18</v>
      </c>
      <c r="N3243" s="2" t="n">
        <f aca="false">IF(E3243="","",IF(ISNUMBER(SEARCH("SUBSOLO",E3243)),IFERROR(-VALUE(LEFT(E3243,FIND("º",SUBSTITUTE(E3243,"°","º"))-1)),-1),IF(LEFT(E3243,6)="TÉRREO",0,IFERROR(VALUE(LEFT(E3243,FIND("º",SUBSTITUTE(E3243,"°","º"))-1)),""))))</f>
        <v>-6</v>
      </c>
      <c r="O3243" s="2" t="str">
        <f aca="false">IF(OR(F3243="",G3243=""),"",IF(G3243&lt;='RETRATO 2027'!$K$5,"CONCLUÍDA",IF(F3243&lt;='RETRATO 2027'!$K$5,"EM ANDAMENTO","A INICIAR")))</f>
        <v>CONCLUÍDA</v>
      </c>
    </row>
    <row r="3244" customFormat="false" ht="15" hidden="false" customHeight="false" outlineLevel="0" collapsed="false">
      <c r="B3244" s="4" t="n">
        <v>26745180</v>
      </c>
      <c r="C3244" s="4" t="s">
        <v>3029</v>
      </c>
      <c r="D3244" s="4" t="s">
        <v>433</v>
      </c>
      <c r="E3244" s="4" t="s">
        <v>3770</v>
      </c>
      <c r="F3244" s="127" t="n">
        <v>46722</v>
      </c>
      <c r="G3244" s="127" t="n">
        <v>46734</v>
      </c>
      <c r="H3244" s="127" t="n">
        <v>46293</v>
      </c>
      <c r="I3244" s="4" t="n">
        <v>0</v>
      </c>
      <c r="J3244" s="4" t="n">
        <v>0</v>
      </c>
      <c r="K3244" s="4" t="n">
        <v>0</v>
      </c>
      <c r="M3244" s="2" t="str">
        <f aca="false">IF(C3244="","",IFERROR(INDEX($S$5:$S$304,MATCH(C3244,$R$5:$R$304,0))&amp;"","?"))</f>
        <v/>
      </c>
      <c r="N3244" s="2" t="n">
        <f aca="false">IF(E3244="","",IF(ISNUMBER(SEARCH("SUBSOLO",E3244)),IFERROR(-VALUE(LEFT(E3244,FIND("º",SUBSTITUTE(E3244,"°","º"))-1)),-1),IF(LEFT(E3244,6)="TÉRREO",0,IFERROR(VALUE(LEFT(E3244,FIND("º",SUBSTITUTE(E3244,"°","º"))-1)),""))))</f>
        <v>-1</v>
      </c>
      <c r="O3244" s="2" t="str">
        <f aca="false">IF(OR(F3244="",G3244=""),"",IF(G3244&lt;='RETRATO 2027'!$K$5,"CONCLUÍDA",IF(F3244&lt;='RETRATO 2027'!$K$5,"EM ANDAMENTO","A INICIAR")))</f>
        <v>CONCLUÍDA</v>
      </c>
    </row>
    <row r="3245" customFormat="false" ht="15" hidden="false" customHeight="false" outlineLevel="0" collapsed="false">
      <c r="B3245" s="4" t="n">
        <v>26743708</v>
      </c>
      <c r="C3245" s="4" t="s">
        <v>2971</v>
      </c>
      <c r="D3245" s="4" t="s">
        <v>433</v>
      </c>
      <c r="E3245" s="4" t="s">
        <v>3482</v>
      </c>
      <c r="F3245" s="127" t="n">
        <v>46722</v>
      </c>
      <c r="G3245" s="127" t="n">
        <v>46736</v>
      </c>
      <c r="H3245" s="127" t="n">
        <v>46293</v>
      </c>
      <c r="I3245" s="4" t="n">
        <v>0</v>
      </c>
      <c r="J3245" s="4" t="n">
        <v>0</v>
      </c>
      <c r="K3245" s="4" t="n">
        <v>0</v>
      </c>
      <c r="M3245" s="2" t="str">
        <f aca="false">IF(C3245="","",IFERROR(INDEX($S$5:$S$304,MATCH(C3245,$R$5:$R$304,0))&amp;"","?"))</f>
        <v>37</v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>CONCLUÍDA</v>
      </c>
    </row>
    <row r="3246" customFormat="false" ht="15" hidden="false" customHeight="false" outlineLevel="0" collapsed="false">
      <c r="B3246" s="4" t="n">
        <v>26744981</v>
      </c>
      <c r="C3246" s="4" t="s">
        <v>2935</v>
      </c>
      <c r="D3246" s="4" t="s">
        <v>433</v>
      </c>
      <c r="E3246" s="4" t="s">
        <v>3662</v>
      </c>
      <c r="F3246" s="127" t="n">
        <v>46723</v>
      </c>
      <c r="G3246" s="127" t="n">
        <v>46735</v>
      </c>
      <c r="H3246" s="127" t="n">
        <v>46293</v>
      </c>
      <c r="I3246" s="4" t="n">
        <v>0</v>
      </c>
      <c r="J3246" s="4" t="n">
        <v>0</v>
      </c>
      <c r="K3246" s="4" t="n">
        <v>0</v>
      </c>
      <c r="M3246" s="2" t="str">
        <f aca="false">IF(C3246="","",IFERROR(INDEX($S$5:$S$304,MATCH(C3246,$R$5:$R$304,0))&amp;"","?"))</f>
        <v>30</v>
      </c>
      <c r="N3246" s="2" t="n">
        <f aca="false">IF(E3246="","",IF(ISNUMBER(SEARCH("SUBSOLO",E3246)),IFERROR(-VALUE(LEFT(E3246,FIND("º",SUBSTITUTE(E3246,"°","º"))-1)),-1),IF(LEFT(E3246,6)="TÉRREO",0,IFERROR(VALUE(LEFT(E3246,FIND("º",SUBSTITUTE(E3246,"°","º"))-1)),""))))</f>
        <v>-5</v>
      </c>
      <c r="O3246" s="2" t="str">
        <f aca="false">IF(OR(F3246="",G3246=""),"",IF(G3246&lt;='RETRATO 2027'!$K$5,"CONCLUÍDA",IF(F3246&lt;='RETRATO 2027'!$K$5,"EM ANDAMENTO","A INICIAR")))</f>
        <v>CONCLUÍDA</v>
      </c>
    </row>
    <row r="3247" customFormat="false" ht="15" hidden="false" customHeight="false" outlineLevel="0" collapsed="false">
      <c r="B3247" s="4" t="n">
        <v>26743756</v>
      </c>
      <c r="C3247" s="4" t="s">
        <v>2983</v>
      </c>
      <c r="D3247" s="4" t="s">
        <v>433</v>
      </c>
      <c r="E3247" s="4" t="s">
        <v>3375</v>
      </c>
      <c r="F3247" s="127" t="n">
        <v>46723</v>
      </c>
      <c r="G3247" s="127" t="n">
        <v>46762</v>
      </c>
      <c r="H3247" s="127" t="n">
        <v>46293</v>
      </c>
      <c r="I3247" s="4" t="n">
        <v>0</v>
      </c>
      <c r="J3247" s="4" t="n">
        <v>0</v>
      </c>
      <c r="K3247" s="4" t="n">
        <v>0</v>
      </c>
      <c r="M3247" s="2" t="str">
        <f aca="false">IF(C3247="","",IFERROR(INDEX($S$5:$S$304,MATCH(C3247,$R$5:$R$304,0))&amp;"","?"))</f>
        <v>20</v>
      </c>
      <c r="N3247" s="2" t="n">
        <f aca="false">IF(E3247="","",IF(ISNUMBER(SEARCH("SUBSOLO",E3247)),IFERROR(-VALUE(LEFT(E3247,FIND("º",SUBSTITUTE(E3247,"°","º"))-1)),-1),IF(LEFT(E3247,6)="TÉRREO",0,IFERROR(VALUE(LEFT(E3247,FIND("º",SUBSTITUTE(E3247,"°","º"))-1)),""))))</f>
        <v>-3</v>
      </c>
      <c r="O3247" s="2" t="str">
        <f aca="false">IF(OR(F3247="",G3247=""),"",IF(G3247&lt;='RETRATO 2027'!$K$5,"CONCLUÍDA",IF(F3247&lt;='RETRATO 2027'!$K$5,"EM ANDAMENTO","A INICIAR")))</f>
        <v>EM ANDAMENTO</v>
      </c>
    </row>
    <row r="3248" customFormat="false" ht="15" hidden="false" customHeight="false" outlineLevel="0" collapsed="false">
      <c r="B3248" s="4" t="n">
        <v>29845883</v>
      </c>
      <c r="C3248" s="4" t="s">
        <v>2986</v>
      </c>
      <c r="D3248" s="4" t="s">
        <v>433</v>
      </c>
      <c r="E3248" s="4" t="s">
        <v>3375</v>
      </c>
      <c r="F3248" s="127" t="n">
        <v>46723</v>
      </c>
      <c r="G3248" s="127" t="n">
        <v>46730</v>
      </c>
      <c r="H3248" s="127" t="n">
        <v>46293</v>
      </c>
      <c r="I3248" s="4" t="n">
        <v>0</v>
      </c>
      <c r="J3248" s="4" t="n">
        <v>0</v>
      </c>
      <c r="K3248" s="4" t="n">
        <v>0</v>
      </c>
      <c r="M3248" s="2" t="str">
        <f aca="false">IF(C3248="","",IFERROR(INDEX($S$5:$S$304,MATCH(C3248,$R$5:$R$304,0))&amp;"","?"))</f>
        <v>20</v>
      </c>
      <c r="N3248" s="2" t="n">
        <f aca="false">IF(E3248="","",IF(ISNUMBER(SEARCH("SUBSOLO",E3248)),IFERROR(-VALUE(LEFT(E3248,FIND("º",SUBSTITUTE(E3248,"°","º"))-1)),-1),IF(LEFT(E3248,6)="TÉRREO",0,IFERROR(VALUE(LEFT(E3248,FIND("º",SUBSTITUTE(E3248,"°","º"))-1)),""))))</f>
        <v>-3</v>
      </c>
      <c r="O3248" s="2" t="str">
        <f aca="false">IF(OR(F3248="",G3248=""),"",IF(G3248&lt;='RETRATO 2027'!$K$5,"CONCLUÍDA",IF(F3248&lt;='RETRATO 2027'!$K$5,"EM ANDAMENTO","A INICIAR")))</f>
        <v>CONCLUÍDA</v>
      </c>
    </row>
    <row r="3249" customFormat="false" ht="15" hidden="false" customHeight="false" outlineLevel="0" collapsed="false">
      <c r="B3249" s="4" t="n">
        <v>36118606</v>
      </c>
      <c r="C3249" s="4" t="s">
        <v>3038</v>
      </c>
      <c r="D3249" s="4" t="s">
        <v>433</v>
      </c>
      <c r="E3249" s="4" t="s">
        <v>3375</v>
      </c>
      <c r="F3249" s="127" t="n">
        <v>46723</v>
      </c>
      <c r="G3249" s="127" t="n">
        <v>46737</v>
      </c>
      <c r="H3249" s="127" t="n">
        <v>46293</v>
      </c>
      <c r="I3249" s="4" t="n">
        <v>0</v>
      </c>
      <c r="J3249" s="4" t="n">
        <v>0</v>
      </c>
      <c r="K3249" s="4" t="n">
        <v>0</v>
      </c>
      <c r="M3249" s="2" t="str">
        <f aca="false">IF(C3249="","",IFERROR(INDEX($S$5:$S$304,MATCH(C3249,$R$5:$R$304,0))&amp;"","?"))</f>
        <v>26</v>
      </c>
      <c r="N3249" s="2" t="n">
        <f aca="false">IF(E3249="","",IF(ISNUMBER(SEARCH("SUBSOLO",E3249)),IFERROR(-VALUE(LEFT(E3249,FIND("º",SUBSTITUTE(E3249,"°","º"))-1)),-1),IF(LEFT(E3249,6)="TÉRREO",0,IFERROR(VALUE(LEFT(E3249,FIND("º",SUBSTITUTE(E3249,"°","º"))-1)),""))))</f>
        <v>-3</v>
      </c>
      <c r="O3249" s="2" t="str">
        <f aca="false">IF(OR(F3249="",G3249=""),"",IF(G3249&lt;='RETRATO 2027'!$K$5,"CONCLUÍDA",IF(F3249&lt;='RETRATO 2027'!$K$5,"EM ANDAMENTO","A INICIAR")))</f>
        <v>CONCLUÍDA</v>
      </c>
    </row>
    <row r="3250" customFormat="false" ht="15" hidden="false" customHeight="false" outlineLevel="0" collapsed="false">
      <c r="B3250" s="4" t="n">
        <v>26750523</v>
      </c>
      <c r="C3250" s="4" t="s">
        <v>2971</v>
      </c>
      <c r="D3250" s="4" t="s">
        <v>433</v>
      </c>
      <c r="E3250" s="4" t="s">
        <v>3597</v>
      </c>
      <c r="F3250" s="127" t="n">
        <v>46723</v>
      </c>
      <c r="G3250" s="127" t="n">
        <v>46735</v>
      </c>
      <c r="H3250" s="127" t="n">
        <v>46293</v>
      </c>
      <c r="I3250" s="4" t="n">
        <v>0</v>
      </c>
      <c r="J3250" s="4" t="n">
        <v>0</v>
      </c>
      <c r="K3250" s="4" t="n">
        <v>0</v>
      </c>
      <c r="M3250" s="2" t="str">
        <f aca="false">IF(C3250="","",IFERROR(INDEX($S$5:$S$304,MATCH(C3250,$R$5:$R$304,0))&amp;"","?"))</f>
        <v>37</v>
      </c>
      <c r="N3250" s="2" t="n">
        <f aca="false">IF(E3250="","",IF(ISNUMBER(SEARCH("SUBSOLO",E3250)),IFERROR(-VALUE(LEFT(E3250,FIND("º",SUBSTITUTE(E3250,"°","º"))-1)),-1),IF(LEFT(E3250,6)="TÉRREO",0,IFERROR(VALUE(LEFT(E3250,FIND("º",SUBSTITUTE(E3250,"°","º"))-1)),""))))</f>
        <v>-2</v>
      </c>
      <c r="O3250" s="2" t="str">
        <f aca="false">IF(OR(F3250="",G3250=""),"",IF(G3250&lt;='RETRATO 2027'!$K$5,"CONCLUÍDA",IF(F3250&lt;='RETRATO 2027'!$K$5,"EM ANDAMENTO","A INICIAR")))</f>
        <v>CONCLUÍDA</v>
      </c>
    </row>
    <row r="3251" customFormat="false" ht="15" hidden="false" customHeight="false" outlineLevel="0" collapsed="false">
      <c r="B3251" s="4" t="n">
        <v>26707594</v>
      </c>
      <c r="C3251" s="4" t="s">
        <v>2956</v>
      </c>
      <c r="D3251" s="4" t="s">
        <v>433</v>
      </c>
      <c r="E3251" s="4" t="s">
        <v>3815</v>
      </c>
      <c r="F3251" s="127" t="n">
        <v>46724</v>
      </c>
      <c r="G3251" s="127" t="n">
        <v>46756</v>
      </c>
      <c r="H3251" s="127" t="n">
        <v>46293</v>
      </c>
      <c r="I3251" s="4" t="n">
        <v>0</v>
      </c>
      <c r="J3251" s="4" t="n">
        <v>0</v>
      </c>
      <c r="K3251" s="4" t="n">
        <v>0</v>
      </c>
      <c r="M3251" s="2" t="str">
        <f aca="false">IF(C3251="","",IFERROR(INDEX($S$5:$S$304,MATCH(C3251,$R$5:$R$304,0))&amp;"","?"))</f>
        <v>18</v>
      </c>
      <c r="N3251" s="2" t="n">
        <f aca="false">IF(E3251="","",IF(ISNUMBER(SEARCH("SUBSOLO",E3251)),IFERROR(-VALUE(LEFT(E3251,FIND("º",SUBSTITUTE(E3251,"°","º"))-1)),-1),IF(LEFT(E3251,6)="TÉRREO",0,IFERROR(VALUE(LEFT(E3251,FIND("º",SUBSTITUTE(E3251,"°","º"))-1)),""))))</f>
        <v>2</v>
      </c>
      <c r="O3251" s="2" t="str">
        <f aca="false">IF(OR(F3251="",G3251=""),"",IF(G3251&lt;='RETRATO 2027'!$K$5,"CONCLUÍDA",IF(F3251&lt;='RETRATO 2027'!$K$5,"EM ANDAMENTO","A INICIAR")))</f>
        <v>EM ANDAMENTO</v>
      </c>
    </row>
    <row r="3252" customFormat="false" ht="15" hidden="false" customHeight="false" outlineLevel="0" collapsed="false">
      <c r="B3252" s="4" t="n">
        <v>26744972</v>
      </c>
      <c r="C3252" s="4" t="s">
        <v>2997</v>
      </c>
      <c r="D3252" s="4" t="s">
        <v>433</v>
      </c>
      <c r="E3252" s="4" t="s">
        <v>3558</v>
      </c>
      <c r="F3252" s="127" t="n">
        <v>46727</v>
      </c>
      <c r="G3252" s="127" t="n">
        <v>46737</v>
      </c>
      <c r="H3252" s="127" t="n">
        <v>46293</v>
      </c>
      <c r="I3252" s="4" t="n">
        <v>0</v>
      </c>
      <c r="J3252" s="4" t="n">
        <v>0</v>
      </c>
      <c r="K3252" s="4" t="n">
        <v>0</v>
      </c>
      <c r="M3252" s="2" t="str">
        <f aca="false">IF(C3252="","",IFERROR(INDEX($S$5:$S$304,MATCH(C3252,$R$5:$R$304,0))&amp;"","?"))</f>
        <v>35</v>
      </c>
      <c r="N3252" s="2" t="n">
        <f aca="false">IF(E3252="","",IF(ISNUMBER(SEARCH("SUBSOLO",E3252)),IFERROR(-VALUE(LEFT(E3252,FIND("º",SUBSTITUTE(E3252,"°","º"))-1)),-1),IF(LEFT(E3252,6)="TÉRREO",0,IFERROR(VALUE(LEFT(E3252,FIND("º",SUBSTITUTE(E3252,"°","º"))-1)),""))))</f>
        <v>-4</v>
      </c>
      <c r="O3252" s="2" t="str">
        <f aca="false">IF(OR(F3252="",G3252=""),"",IF(G3252&lt;='RETRATO 2027'!$K$5,"CONCLUÍDA",IF(F3252&lt;='RETRATO 2027'!$K$5,"EM ANDAMENTO","A INICIAR")))</f>
        <v>CONCLUÍDA</v>
      </c>
    </row>
    <row r="3253" customFormat="false" ht="15" hidden="false" customHeight="false" outlineLevel="0" collapsed="false">
      <c r="B3253" s="4" t="n">
        <v>26707635</v>
      </c>
      <c r="C3253" s="4" t="s">
        <v>2948</v>
      </c>
      <c r="D3253" s="4" t="s">
        <v>433</v>
      </c>
      <c r="E3253" s="4" t="s">
        <v>3811</v>
      </c>
      <c r="F3253" s="127" t="n">
        <v>46727</v>
      </c>
      <c r="G3253" s="127" t="n">
        <v>46757</v>
      </c>
      <c r="H3253" s="127" t="n">
        <v>46293</v>
      </c>
      <c r="I3253" s="4" t="n">
        <v>0</v>
      </c>
      <c r="J3253" s="4" t="n">
        <v>0</v>
      </c>
      <c r="K3253" s="4" t="n">
        <v>0</v>
      </c>
      <c r="M3253" s="2" t="str">
        <f aca="false">IF(C3253="","",IFERROR(INDEX($S$5:$S$304,MATCH(C3253,$R$5:$R$304,0))&amp;"","?"))</f>
        <v>25</v>
      </c>
      <c r="N3253" s="2" t="n">
        <f aca="false">IF(E3253="","",IF(ISNUMBER(SEARCH("SUBSOLO",E3253)),IFERROR(-VALUE(LEFT(E3253,FIND("º",SUBSTITUTE(E3253,"°","º"))-1)),-1),IF(LEFT(E3253,6)="TÉRREO",0,IFERROR(VALUE(LEFT(E3253,FIND("º",SUBSTITUTE(E3253,"°","º"))-1)),""))))</f>
        <v>2</v>
      </c>
      <c r="O3253" s="2" t="str">
        <f aca="false">IF(OR(F3253="",G3253=""),"",IF(G3253&lt;='RETRATO 2027'!$K$5,"CONCLUÍDA",IF(F3253&lt;='RETRATO 2027'!$K$5,"EM ANDAMENTO","A INICIAR")))</f>
        <v>EM ANDAMENTO</v>
      </c>
    </row>
    <row r="3254" customFormat="false" ht="15" hidden="false" customHeight="false" outlineLevel="0" collapsed="false">
      <c r="B3254" s="4" t="n">
        <v>26775798</v>
      </c>
      <c r="C3254" s="4" t="s">
        <v>2906</v>
      </c>
      <c r="D3254" s="4" t="s">
        <v>433</v>
      </c>
      <c r="E3254" s="4" t="s">
        <v>3805</v>
      </c>
      <c r="F3254" s="127" t="n">
        <v>46727</v>
      </c>
      <c r="G3254" s="127" t="n">
        <v>46918</v>
      </c>
      <c r="H3254" s="127" t="n">
        <v>46293</v>
      </c>
      <c r="I3254" s="4" t="n">
        <v>0</v>
      </c>
      <c r="J3254" s="4" t="n">
        <v>0</v>
      </c>
      <c r="K3254" s="4" t="n">
        <v>0</v>
      </c>
      <c r="M3254" s="2" t="str">
        <f aca="false">IF(C3254="","",IFERROR(INDEX($S$5:$S$304,MATCH(C3254,$R$5:$R$304,0))&amp;"","?"))</f>
        <v>19</v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>EM ANDAMENTO</v>
      </c>
    </row>
    <row r="3255" customFormat="false" ht="15" hidden="false" customHeight="false" outlineLevel="0" collapsed="false">
      <c r="B3255" s="4" t="n">
        <v>26750569</v>
      </c>
      <c r="C3255" s="4" t="s">
        <v>2935</v>
      </c>
      <c r="D3255" s="4" t="s">
        <v>433</v>
      </c>
      <c r="E3255" s="4" t="s">
        <v>3821</v>
      </c>
      <c r="F3255" s="127" t="n">
        <v>46728</v>
      </c>
      <c r="G3255" s="127" t="n">
        <v>46735</v>
      </c>
      <c r="H3255" s="127" t="n">
        <v>46293</v>
      </c>
      <c r="I3255" s="4" t="n">
        <v>0</v>
      </c>
      <c r="J3255" s="4" t="n">
        <v>0</v>
      </c>
      <c r="K3255" s="4" t="n">
        <v>0</v>
      </c>
      <c r="M3255" s="2" t="str">
        <f aca="false">IF(C3255="","",IFERROR(INDEX($S$5:$S$304,MATCH(C3255,$R$5:$R$304,0))&amp;"","?"))</f>
        <v>30</v>
      </c>
      <c r="N3255" s="2" t="n">
        <f aca="false">IF(E3255="","",IF(ISNUMBER(SEARCH("SUBSOLO",E3255)),IFERROR(-VALUE(LEFT(E3255,FIND("º",SUBSTITUTE(E3255,"°","º"))-1)),-1),IF(LEFT(E3255,6)="TÉRREO",0,IFERROR(VALUE(LEFT(E3255,FIND("º",SUBSTITUTE(E3255,"°","º"))-1)),""))))</f>
        <v>-6</v>
      </c>
      <c r="O3255" s="2" t="str">
        <f aca="false">IF(OR(F3255="",G3255=""),"",IF(G3255&lt;='RETRATO 2027'!$K$5,"CONCLUÍDA",IF(F3255&lt;='RETRATO 2027'!$K$5,"EM ANDAMENTO","A INICIAR")))</f>
        <v>CONCLUÍDA</v>
      </c>
    </row>
    <row r="3256" customFormat="false" ht="15" hidden="false" customHeight="false" outlineLevel="0" collapsed="false">
      <c r="B3256" s="4" t="n">
        <v>26744960</v>
      </c>
      <c r="C3256" s="4" t="s">
        <v>3021</v>
      </c>
      <c r="D3256" s="4" t="s">
        <v>433</v>
      </c>
      <c r="E3256" s="4" t="s">
        <v>3671</v>
      </c>
      <c r="F3256" s="127" t="n">
        <v>46730</v>
      </c>
      <c r="G3256" s="127" t="n">
        <v>46741</v>
      </c>
      <c r="H3256" s="127" t="n">
        <v>46293</v>
      </c>
      <c r="I3256" s="4" t="n">
        <v>0</v>
      </c>
      <c r="J3256" s="4" t="n">
        <v>0</v>
      </c>
      <c r="K3256" s="4" t="n">
        <v>0</v>
      </c>
      <c r="M3256" s="2" t="str">
        <f aca="false">IF(C3256="","",IFERROR(INDEX($S$5:$S$304,MATCH(C3256,$R$5:$R$304,0))&amp;"","?"))</f>
        <v>35</v>
      </c>
      <c r="N3256" s="2" t="n">
        <f aca="false">IF(E3256="","",IF(ISNUMBER(SEARCH("SUBSOLO",E3256)),IFERROR(-VALUE(LEFT(E3256,FIND("º",SUBSTITUTE(E3256,"°","º"))-1)),-1),IF(LEFT(E3256,6)="TÉRREO",0,IFERROR(VALUE(LEFT(E3256,FIND("º",SUBSTITUTE(E3256,"°","º"))-1)),""))))</f>
        <v>-3</v>
      </c>
      <c r="O3256" s="2" t="str">
        <f aca="false">IF(OR(F3256="",G3256=""),"",IF(G3256&lt;='RETRATO 2027'!$K$5,"CONCLUÍDA",IF(F3256&lt;='RETRATO 2027'!$K$5,"EM ANDAMENTO","A INICIAR")))</f>
        <v>CONCLUÍDA</v>
      </c>
    </row>
    <row r="3257" customFormat="false" ht="15" hidden="false" customHeight="false" outlineLevel="0" collapsed="false">
      <c r="B3257" s="4" t="n">
        <v>26745014</v>
      </c>
      <c r="C3257" s="4" t="s">
        <v>2814</v>
      </c>
      <c r="D3257" s="4" t="s">
        <v>433</v>
      </c>
      <c r="E3257" s="4" t="s">
        <v>3828</v>
      </c>
      <c r="F3257" s="127" t="n">
        <v>46730</v>
      </c>
      <c r="G3257" s="127" t="n">
        <v>46741</v>
      </c>
      <c r="H3257" s="127" t="n">
        <v>46293</v>
      </c>
      <c r="I3257" s="4" t="n">
        <v>0</v>
      </c>
      <c r="J3257" s="4" t="n">
        <v>0</v>
      </c>
      <c r="K3257" s="4" t="n">
        <v>0</v>
      </c>
      <c r="M3257" s="2" t="str">
        <f aca="false">IF(C3257="","",IFERROR(INDEX($S$5:$S$304,MATCH(C3257,$R$5:$R$304,0))&amp;"","?"))</f>
        <v>28</v>
      </c>
      <c r="N3257" s="2" t="n">
        <f aca="false">IF(E3257="","",IF(ISNUMBER(SEARCH("SUBSOLO",E3257)),IFERROR(-VALUE(LEFT(E3257,FIND("º",SUBSTITUTE(E3257,"°","º"))-1)),-1),IF(LEFT(E3257,6)="TÉRREO",0,IFERROR(VALUE(LEFT(E3257,FIND("º",SUBSTITUTE(E3257,"°","º"))-1)),""))))</f>
        <v>2</v>
      </c>
      <c r="O3257" s="2" t="str">
        <f aca="false">IF(OR(F3257="",G3257=""),"",IF(G3257&lt;='RETRATO 2027'!$K$5,"CONCLUÍDA",IF(F3257&lt;='RETRATO 2027'!$K$5,"EM ANDAMENTO","A INICIAR")))</f>
        <v>CONCLUÍDA</v>
      </c>
    </row>
    <row r="3258" customFormat="false" ht="15" hidden="false" customHeight="false" outlineLevel="0" collapsed="false">
      <c r="B3258" s="4" t="n">
        <v>26743653</v>
      </c>
      <c r="C3258" s="4" t="s">
        <v>3055</v>
      </c>
      <c r="D3258" s="4" t="s">
        <v>433</v>
      </c>
      <c r="E3258" s="4" t="s">
        <v>3668</v>
      </c>
      <c r="F3258" s="127" t="n">
        <v>46730</v>
      </c>
      <c r="G3258" s="127" t="n">
        <v>46738</v>
      </c>
      <c r="H3258" s="127" t="n">
        <v>46293</v>
      </c>
      <c r="I3258" s="4" t="n">
        <v>0</v>
      </c>
      <c r="J3258" s="4" t="n">
        <v>0</v>
      </c>
      <c r="K3258" s="4" t="n">
        <v>0</v>
      </c>
      <c r="M3258" s="2" t="str">
        <f aca="false">IF(C3258="","",IFERROR(INDEX($S$5:$S$304,MATCH(C3258,$R$5:$R$304,0))&amp;"","?"))</f>
        <v>25</v>
      </c>
      <c r="N3258" s="2" t="n">
        <f aca="false">IF(E3258="","",IF(ISNUMBER(SEARCH("SUBSOLO",E3258)),IFERROR(-VALUE(LEFT(E3258,FIND("º",SUBSTITUTE(E3258,"°","º"))-1)),-1),IF(LEFT(E3258,6)="TÉRREO",0,IFERROR(VALUE(LEFT(E3258,FIND("º",SUBSTITUTE(E3258,"°","º"))-1)),""))))</f>
        <v>4</v>
      </c>
      <c r="O3258" s="2" t="str">
        <f aca="false">IF(OR(F3258="",G3258=""),"",IF(G3258&lt;='RETRATO 2027'!$K$5,"CONCLUÍDA",IF(F3258&lt;='RETRATO 2027'!$K$5,"EM ANDAMENTO","A INICIAR")))</f>
        <v>CONCLUÍDA</v>
      </c>
    </row>
    <row r="3259" customFormat="false" ht="15" hidden="false" customHeight="false" outlineLevel="0" collapsed="false">
      <c r="B3259" s="4" t="n">
        <v>26742941</v>
      </c>
      <c r="C3259" s="4" t="s">
        <v>2997</v>
      </c>
      <c r="D3259" s="4" t="s">
        <v>433</v>
      </c>
      <c r="E3259" s="4" t="s">
        <v>3787</v>
      </c>
      <c r="F3259" s="127" t="n">
        <v>46730</v>
      </c>
      <c r="G3259" s="127" t="n">
        <v>46741</v>
      </c>
      <c r="H3259" s="127" t="n">
        <v>46293</v>
      </c>
      <c r="I3259" s="4" t="n">
        <v>0</v>
      </c>
      <c r="J3259" s="4" t="n">
        <v>0</v>
      </c>
      <c r="K3259" s="4" t="n">
        <v>0</v>
      </c>
      <c r="M3259" s="2" t="str">
        <f aca="false">IF(C3259="","",IFERROR(INDEX($S$5:$S$304,MATCH(C3259,$R$5:$R$304,0))&amp;"","?"))</f>
        <v>35</v>
      </c>
      <c r="N3259" s="2" t="n">
        <f aca="false">IF(E3259="","",IF(ISNUMBER(SEARCH("SUBSOLO",E3259)),IFERROR(-VALUE(LEFT(E3259,FIND("º",SUBSTITUTE(E3259,"°","º"))-1)),-1),IF(LEFT(E3259,6)="TÉRREO",0,IFERROR(VALUE(LEFT(E3259,FIND("º",SUBSTITUTE(E3259,"°","º"))-1)),""))))</f>
        <v>23</v>
      </c>
      <c r="O3259" s="2" t="str">
        <f aca="false">IF(OR(F3259="",G3259=""),"",IF(G3259&lt;='RETRATO 2027'!$K$5,"CONCLUÍDA",IF(F3259&lt;='RETRATO 2027'!$K$5,"EM ANDAMENTO","A INICIAR")))</f>
        <v>CONCLUÍDA</v>
      </c>
    </row>
    <row r="3260" customFormat="false" ht="15" hidden="false" customHeight="false" outlineLevel="0" collapsed="false">
      <c r="B3260" s="4" t="n">
        <v>26742903</v>
      </c>
      <c r="C3260" s="4" t="s">
        <v>2980</v>
      </c>
      <c r="D3260" s="4" t="s">
        <v>433</v>
      </c>
      <c r="E3260" s="4" t="s">
        <v>3788</v>
      </c>
      <c r="F3260" s="127" t="n">
        <v>46730</v>
      </c>
      <c r="G3260" s="127" t="n">
        <v>46741</v>
      </c>
      <c r="H3260" s="127" t="n">
        <v>46293</v>
      </c>
      <c r="I3260" s="4" t="n">
        <v>0</v>
      </c>
      <c r="J3260" s="4" t="n">
        <v>0</v>
      </c>
      <c r="K3260" s="4" t="n">
        <v>0</v>
      </c>
      <c r="M3260" s="2" t="str">
        <f aca="false">IF(C3260="","",IFERROR(INDEX($S$5:$S$304,MATCH(C3260,$R$5:$R$304,0))&amp;"","?"))</f>
        <v>35</v>
      </c>
      <c r="N3260" s="2" t="n">
        <f aca="false">IF(E3260="","",IF(ISNUMBER(SEARCH("SUBSOLO",E3260)),IFERROR(-VALUE(LEFT(E3260,FIND("º",SUBSTITUTE(E3260,"°","º"))-1)),-1),IF(LEFT(E3260,6)="TÉRREO",0,IFERROR(VALUE(LEFT(E3260,FIND("º",SUBSTITUTE(E3260,"°","º"))-1)),""))))</f>
        <v>24</v>
      </c>
      <c r="O3260" s="2" t="str">
        <f aca="false">IF(OR(F3260="",G3260=""),"",IF(G3260&lt;='RETRATO 2027'!$K$5,"CONCLUÍDA",IF(F3260&lt;='RETRATO 2027'!$K$5,"EM ANDAMENTO","A INICIAR")))</f>
        <v>CONCLUÍDA</v>
      </c>
    </row>
    <row r="3261" customFormat="false" ht="15" hidden="false" customHeight="false" outlineLevel="0" collapsed="false">
      <c r="B3261" s="4" t="n">
        <v>26742873</v>
      </c>
      <c r="C3261" s="4" t="s">
        <v>208</v>
      </c>
      <c r="D3261" s="4" t="s">
        <v>433</v>
      </c>
      <c r="E3261" s="4" t="s">
        <v>3794</v>
      </c>
      <c r="F3261" s="127" t="n">
        <v>46730</v>
      </c>
      <c r="G3261" s="127" t="n">
        <v>46741</v>
      </c>
      <c r="H3261" s="127" t="n">
        <v>46293</v>
      </c>
      <c r="I3261" s="4" t="n">
        <v>0</v>
      </c>
      <c r="J3261" s="4" t="n">
        <v>0</v>
      </c>
      <c r="K3261" s="4" t="n">
        <v>0</v>
      </c>
      <c r="M3261" s="2" t="str">
        <f aca="false">IF(C3261="","",IFERROR(INDEX($S$5:$S$304,MATCH(C3261,$R$5:$R$304,0))&amp;"","?"))</f>
        <v>33</v>
      </c>
      <c r="N3261" s="2" t="n">
        <f aca="false">IF(E3261="","",IF(ISNUMBER(SEARCH("SUBSOLO",E3261)),IFERROR(-VALUE(LEFT(E3261,FIND("º",SUBSTITUTE(E3261,"°","º"))-1)),-1),IF(LEFT(E3261,6)="TÉRREO",0,IFERROR(VALUE(LEFT(E3261,FIND("º",SUBSTITUTE(E3261,"°","º"))-1)),""))))</f>
        <v>25</v>
      </c>
      <c r="O3261" s="2" t="str">
        <f aca="false">IF(OR(F3261="",G3261=""),"",IF(G3261&lt;='RETRATO 2027'!$K$5,"CONCLUÍDA",IF(F3261&lt;='RETRATO 2027'!$K$5,"EM ANDAMENTO","A INICIAR")))</f>
        <v>CONCLUÍDA</v>
      </c>
    </row>
    <row r="3262" customFormat="false" ht="15" hidden="false" customHeight="false" outlineLevel="0" collapsed="false">
      <c r="B3262" s="4" t="n">
        <v>29845973</v>
      </c>
      <c r="C3262" s="4" t="s">
        <v>2983</v>
      </c>
      <c r="D3262" s="4" t="s">
        <v>433</v>
      </c>
      <c r="E3262" s="4" t="s">
        <v>3797</v>
      </c>
      <c r="F3262" s="127" t="n">
        <v>46731</v>
      </c>
      <c r="G3262" s="127" t="n">
        <v>46741</v>
      </c>
      <c r="H3262" s="127" t="n">
        <v>46293</v>
      </c>
      <c r="I3262" s="4" t="n">
        <v>0</v>
      </c>
      <c r="J3262" s="4" t="n">
        <v>0</v>
      </c>
      <c r="K3262" s="4" t="n">
        <v>0</v>
      </c>
      <c r="M3262" s="2" t="str">
        <f aca="false">IF(C3262="","",IFERROR(INDEX($S$5:$S$304,MATCH(C3262,$R$5:$R$304,0))&amp;"","?"))</f>
        <v>20</v>
      </c>
      <c r="N3262" s="2" t="n">
        <f aca="false">IF(E3262="","",IF(ISNUMBER(SEARCH("SUBSOLO",E3262)),IFERROR(-VALUE(LEFT(E3262,FIND("º",SUBSTITUTE(E3262,"°","º"))-1)),-1),IF(LEFT(E3262,6)="TÉRREO",0,IFERROR(VALUE(LEFT(E3262,FIND("º",SUBSTITUTE(E3262,"°","º"))-1)),""))))</f>
        <v>26</v>
      </c>
      <c r="O3262" s="2" t="str">
        <f aca="false">IF(OR(F3262="",G3262=""),"",IF(G3262&lt;='RETRATO 2027'!$K$5,"CONCLUÍDA",IF(F3262&lt;='RETRATO 2027'!$K$5,"EM ANDAMENTO","A INICIAR")))</f>
        <v>CONCLUÍDA</v>
      </c>
    </row>
    <row r="3263" customFormat="false" ht="15" hidden="false" customHeight="false" outlineLevel="0" collapsed="false">
      <c r="B3263" s="4" t="n">
        <v>29845912</v>
      </c>
      <c r="C3263" s="4" t="s">
        <v>2986</v>
      </c>
      <c r="D3263" s="4" t="s">
        <v>433</v>
      </c>
      <c r="E3263" s="4" t="s">
        <v>3797</v>
      </c>
      <c r="F3263" s="127" t="n">
        <v>46731</v>
      </c>
      <c r="G3263" s="127" t="n">
        <v>46742</v>
      </c>
      <c r="H3263" s="127" t="n">
        <v>46293</v>
      </c>
      <c r="I3263" s="4" t="n">
        <v>0</v>
      </c>
      <c r="J3263" s="4" t="n">
        <v>0</v>
      </c>
      <c r="K3263" s="4" t="n">
        <v>0</v>
      </c>
      <c r="M3263" s="2" t="str">
        <f aca="false">IF(C3263="","",IFERROR(INDEX($S$5:$S$304,MATCH(C3263,$R$5:$R$304,0))&amp;"","?"))</f>
        <v>20</v>
      </c>
      <c r="N3263" s="2" t="n">
        <f aca="false">IF(E3263="","",IF(ISNUMBER(SEARCH("SUBSOLO",E3263)),IFERROR(-VALUE(LEFT(E3263,FIND("º",SUBSTITUTE(E3263,"°","º"))-1)),-1),IF(LEFT(E3263,6)="TÉRREO",0,IFERROR(VALUE(LEFT(E3263,FIND("º",SUBSTITUTE(E3263,"°","º"))-1)),""))))</f>
        <v>26</v>
      </c>
      <c r="O3263" s="2" t="str">
        <f aca="false">IF(OR(F3263="",G3263=""),"",IF(G3263&lt;='RETRATO 2027'!$K$5,"CONCLUÍDA",IF(F3263&lt;='RETRATO 2027'!$K$5,"EM ANDAMENTO","A INICIAR")))</f>
        <v>CONCLUÍDA</v>
      </c>
    </row>
    <row r="3264" customFormat="false" ht="15" hidden="false" customHeight="false" outlineLevel="0" collapsed="false">
      <c r="B3264" s="4" t="n">
        <v>26742801</v>
      </c>
      <c r="C3264" s="4" t="s">
        <v>2977</v>
      </c>
      <c r="D3264" s="4" t="s">
        <v>433</v>
      </c>
      <c r="E3264" s="4" t="s">
        <v>3799</v>
      </c>
      <c r="F3264" s="127" t="n">
        <v>46731</v>
      </c>
      <c r="G3264" s="127" t="n">
        <v>46742</v>
      </c>
      <c r="H3264" s="127" t="n">
        <v>46293</v>
      </c>
      <c r="I3264" s="4" t="n">
        <v>0</v>
      </c>
      <c r="J3264" s="4" t="n">
        <v>0</v>
      </c>
      <c r="K3264" s="4" t="n">
        <v>0</v>
      </c>
      <c r="M3264" s="2" t="str">
        <f aca="false">IF(C3264="","",IFERROR(INDEX($S$5:$S$304,MATCH(C3264,$R$5:$R$304,0))&amp;"","?"))</f>
        <v>30</v>
      </c>
      <c r="N3264" s="2" t="n">
        <f aca="false">IF(E3264="","",IF(ISNUMBER(SEARCH("SUBSOLO",E3264)),IFERROR(-VALUE(LEFT(E3264,FIND("º",SUBSTITUTE(E3264,"°","º"))-1)),-1),IF(LEFT(E3264,6)="TÉRREO",0,IFERROR(VALUE(LEFT(E3264,FIND("º",SUBSTITUTE(E3264,"°","º"))-1)),""))))</f>
        <v>27</v>
      </c>
      <c r="O3264" s="2" t="str">
        <f aca="false">IF(OR(F3264="",G3264=""),"",IF(G3264&lt;='RETRATO 2027'!$K$5,"CONCLUÍDA",IF(F3264&lt;='RETRATO 2027'!$K$5,"EM ANDAMENTO","A INICIAR")))</f>
        <v>CONCLUÍDA</v>
      </c>
    </row>
    <row r="3265" customFormat="false" ht="15" hidden="false" customHeight="false" outlineLevel="0" collapsed="false">
      <c r="B3265" s="4" t="n">
        <v>26742757</v>
      </c>
      <c r="C3265" s="4" t="s">
        <v>2935</v>
      </c>
      <c r="D3265" s="4" t="s">
        <v>433</v>
      </c>
      <c r="E3265" s="4" t="s">
        <v>3802</v>
      </c>
      <c r="F3265" s="127" t="n">
        <v>46731</v>
      </c>
      <c r="G3265" s="127" t="n">
        <v>46742</v>
      </c>
      <c r="H3265" s="127" t="n">
        <v>46293</v>
      </c>
      <c r="I3265" s="4" t="n">
        <v>0</v>
      </c>
      <c r="J3265" s="4" t="n">
        <v>0</v>
      </c>
      <c r="K3265" s="4" t="n">
        <v>0</v>
      </c>
      <c r="M3265" s="2" t="str">
        <f aca="false">IF(C3265="","",IFERROR(INDEX($S$5:$S$304,MATCH(C3265,$R$5:$R$304,0))&amp;"","?"))</f>
        <v>30</v>
      </c>
      <c r="N3265" s="2" t="n">
        <f aca="false">IF(E3265="","",IF(ISNUMBER(SEARCH("SUBSOLO",E3265)),IFERROR(-VALUE(LEFT(E3265,FIND("º",SUBSTITUTE(E3265,"°","º"))-1)),-1),IF(LEFT(E3265,6)="TÉRREO",0,IFERROR(VALUE(LEFT(E3265,FIND("º",SUBSTITUTE(E3265,"°","º"))-1)),""))))</f>
        <v>28</v>
      </c>
      <c r="O3265" s="2" t="str">
        <f aca="false">IF(OR(F3265="",G3265=""),"",IF(G3265&lt;='RETRATO 2027'!$K$5,"CONCLUÍDA",IF(F3265&lt;='RETRATO 2027'!$K$5,"EM ANDAMENTO","A INICIAR")))</f>
        <v>CONCLUÍDA</v>
      </c>
    </row>
    <row r="3266" customFormat="false" ht="15" hidden="false" customHeight="false" outlineLevel="0" collapsed="false">
      <c r="B3266" s="4" t="n">
        <v>26742704</v>
      </c>
      <c r="C3266" s="4" t="s">
        <v>2938</v>
      </c>
      <c r="D3266" s="4" t="s">
        <v>433</v>
      </c>
      <c r="E3266" s="4" t="s">
        <v>3803</v>
      </c>
      <c r="F3266" s="127" t="n">
        <v>46731</v>
      </c>
      <c r="G3266" s="127" t="n">
        <v>46742</v>
      </c>
      <c r="H3266" s="127" t="n">
        <v>46293</v>
      </c>
      <c r="I3266" s="4" t="n">
        <v>0</v>
      </c>
      <c r="J3266" s="4" t="n">
        <v>0</v>
      </c>
      <c r="K3266" s="4" t="n">
        <v>0</v>
      </c>
      <c r="M3266" s="2" t="str">
        <f aca="false">IF(C3266="","",IFERROR(INDEX($S$5:$S$304,MATCH(C3266,$R$5:$R$304,0))&amp;"","?"))</f>
        <v>30</v>
      </c>
      <c r="N3266" s="2" t="n">
        <f aca="false">IF(E3266="","",IF(ISNUMBER(SEARCH("SUBSOLO",E3266)),IFERROR(-VALUE(LEFT(E3266,FIND("º",SUBSTITUTE(E3266,"°","º"))-1)),-1),IF(LEFT(E3266,6)="TÉRREO",0,IFERROR(VALUE(LEFT(E3266,FIND("º",SUBSTITUTE(E3266,"°","º"))-1)),""))))</f>
        <v>29</v>
      </c>
      <c r="O3266" s="2" t="str">
        <f aca="false">IF(OR(F3266="",G3266=""),"",IF(G3266&lt;='RETRATO 2027'!$K$5,"CONCLUÍDA",IF(F3266&lt;='RETRATO 2027'!$K$5,"EM ANDAMENTO","A INICIAR")))</f>
        <v>CONCLUÍDA</v>
      </c>
    </row>
    <row r="3267" customFormat="false" ht="15" hidden="false" customHeight="false" outlineLevel="0" collapsed="false">
      <c r="B3267" s="4" t="n">
        <v>26743722</v>
      </c>
      <c r="C3267" s="4" t="s">
        <v>3009</v>
      </c>
      <c r="D3267" s="4" t="s">
        <v>433</v>
      </c>
      <c r="E3267" s="4" t="s">
        <v>3466</v>
      </c>
      <c r="F3267" s="127" t="n">
        <v>46734</v>
      </c>
      <c r="G3267" s="127" t="n">
        <v>46763</v>
      </c>
      <c r="H3267" s="127" t="n">
        <v>46293</v>
      </c>
      <c r="I3267" s="4" t="n">
        <v>0</v>
      </c>
      <c r="J3267" s="4" t="n">
        <v>0</v>
      </c>
      <c r="K3267" s="4" t="n">
        <v>0</v>
      </c>
      <c r="M3267" s="2" t="str">
        <f aca="false">IF(C3267="","",IFERROR(INDEX($S$5:$S$304,MATCH(C3267,$R$5:$R$304,0))&amp;"","?"))</f>
        <v>23</v>
      </c>
      <c r="N3267" s="2" t="n">
        <f aca="false">IF(E3267="","",IF(ISNUMBER(SEARCH("SUBSOLO",E3267)),IFERROR(-VALUE(LEFT(E3267,FIND("º",SUBSTITUTE(E3267,"°","º"))-1)),-1),IF(LEFT(E3267,6)="TÉRREO",0,IFERROR(VALUE(LEFT(E3267,FIND("º",SUBSTITUTE(E3267,"°","º"))-1)),""))))</f>
        <v>-1</v>
      </c>
      <c r="O3267" s="2" t="str">
        <f aca="false">IF(OR(F3267="",G3267=""),"",IF(G3267&lt;='RETRATO 2027'!$K$5,"CONCLUÍDA",IF(F3267&lt;='RETRATO 2027'!$K$5,"EM ANDAMENTO","A INICIAR")))</f>
        <v>EM ANDAMENTO</v>
      </c>
    </row>
    <row r="3268" customFormat="false" ht="15" hidden="false" customHeight="false" outlineLevel="0" collapsed="false">
      <c r="B3268" s="4" t="n">
        <v>26745148</v>
      </c>
      <c r="C3268" s="4" t="s">
        <v>3029</v>
      </c>
      <c r="D3268" s="4" t="s">
        <v>433</v>
      </c>
      <c r="E3268" s="4" t="s">
        <v>3807</v>
      </c>
      <c r="F3268" s="127" t="n">
        <v>46734</v>
      </c>
      <c r="G3268" s="127" t="n">
        <v>46743</v>
      </c>
      <c r="H3268" s="127" t="n">
        <v>46293</v>
      </c>
      <c r="I3268" s="4" t="n">
        <v>0</v>
      </c>
      <c r="J3268" s="4" t="n">
        <v>0</v>
      </c>
      <c r="K3268" s="4" t="n">
        <v>0</v>
      </c>
      <c r="M3268" s="2" t="str">
        <f aca="false">IF(C3268="","",IFERROR(INDEX($S$5:$S$304,MATCH(C3268,$R$5:$R$304,0))&amp;"","?"))</f>
        <v/>
      </c>
      <c r="N3268" s="2" t="n">
        <f aca="false">IF(E3268="","",IF(ISNUMBER(SEARCH("SUBSOLO",E3268)),IFERROR(-VALUE(LEFT(E3268,FIND("º",SUBSTITUTE(E3268,"°","º"))-1)),-1),IF(LEFT(E3268,6)="TÉRREO",0,IFERROR(VALUE(LEFT(E3268,FIND("º",SUBSTITUTE(E3268,"°","º"))-1)),""))))</f>
        <v>2</v>
      </c>
      <c r="O3268" s="2" t="str">
        <f aca="false">IF(OR(F3268="",G3268=""),"",IF(G3268&lt;='RETRATO 2027'!$K$5,"CONCLUÍDA",IF(F3268&lt;='RETRATO 2027'!$K$5,"EM ANDAMENTO","A INICIAR")))</f>
        <v>CONCLUÍDA</v>
      </c>
    </row>
    <row r="3269" customFormat="false" ht="15" hidden="false" customHeight="false" outlineLevel="0" collapsed="false">
      <c r="B3269" s="4" t="n">
        <v>26254940</v>
      </c>
      <c r="C3269" s="4" t="s">
        <v>3066</v>
      </c>
      <c r="D3269" s="4" t="s">
        <v>433</v>
      </c>
      <c r="E3269" s="4" t="s">
        <v>3789</v>
      </c>
      <c r="F3269" s="127" t="n">
        <v>46734</v>
      </c>
      <c r="G3269" s="127" t="n">
        <v>46770</v>
      </c>
      <c r="H3269" s="127" t="n">
        <v>46293</v>
      </c>
      <c r="I3269" s="4" t="n">
        <v>0</v>
      </c>
      <c r="J3269" s="4" t="n">
        <v>0</v>
      </c>
      <c r="K3269" s="4" t="n">
        <v>0</v>
      </c>
      <c r="M3269" s="2" t="str">
        <f aca="false">IF(C3269="","",IFERROR(INDEX($S$5:$S$304,MATCH(C3269,$R$5:$R$304,0))&amp;"","?"))</f>
        <v>32</v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>EM ANDAMENTO</v>
      </c>
    </row>
    <row r="3270" customFormat="false" ht="15" hidden="false" customHeight="false" outlineLevel="0" collapsed="false">
      <c r="B3270" s="4" t="n">
        <v>26744383</v>
      </c>
      <c r="C3270" s="4" t="s">
        <v>217</v>
      </c>
      <c r="D3270" s="4" t="s">
        <v>433</v>
      </c>
      <c r="E3270" s="4" t="s">
        <v>3243</v>
      </c>
      <c r="F3270" s="127" t="n">
        <v>46735</v>
      </c>
      <c r="G3270" s="127" t="n">
        <v>46871</v>
      </c>
      <c r="H3270" s="127" t="n">
        <v>46293</v>
      </c>
      <c r="I3270" s="4" t="n">
        <v>0</v>
      </c>
      <c r="J3270" s="4" t="n">
        <v>0</v>
      </c>
      <c r="K3270" s="4" t="n">
        <v>0</v>
      </c>
      <c r="M3270" s="2" t="str">
        <f aca="false">IF(C3270="","",IFERROR(INDEX($S$5:$S$304,MATCH(C3270,$R$5:$R$304,0))&amp;"","?"))</f>
        <v>36</v>
      </c>
      <c r="N3270" s="2" t="n">
        <f aca="false">IF(E3270="","",IF(ISNUMBER(SEARCH("SUBSOLO",E3270)),IFERROR(-VALUE(LEFT(E3270,FIND("º",SUBSTITUTE(E3270,"°","º"))-1)),-1),IF(LEFT(E3270,6)="TÉRREO",0,IFERROR(VALUE(LEFT(E3270,FIND("º",SUBSTITUTE(E3270,"°","º"))-1)),""))))</f>
        <v>1</v>
      </c>
      <c r="O3270" s="2" t="str">
        <f aca="false">IF(OR(F3270="",G3270=""),"",IF(G3270&lt;='RETRATO 2027'!$K$5,"CONCLUÍDA",IF(F3270&lt;='RETRATO 2027'!$K$5,"EM ANDAMENTO","A INICIAR")))</f>
        <v>EM ANDAMENTO</v>
      </c>
    </row>
    <row r="3271" customFormat="false" ht="15" hidden="false" customHeight="false" outlineLevel="0" collapsed="false">
      <c r="B3271" s="4" t="n">
        <v>26744677</v>
      </c>
      <c r="C3271" s="4" t="s">
        <v>2910</v>
      </c>
      <c r="D3271" s="4" t="s">
        <v>433</v>
      </c>
      <c r="E3271" s="4" t="s">
        <v>3774</v>
      </c>
      <c r="F3271" s="127" t="n">
        <v>46735</v>
      </c>
      <c r="G3271" s="127" t="n">
        <v>46764</v>
      </c>
      <c r="H3271" s="127" t="n">
        <v>46293</v>
      </c>
      <c r="I3271" s="4" t="n">
        <v>0</v>
      </c>
      <c r="J3271" s="4" t="n">
        <v>0</v>
      </c>
      <c r="K3271" s="4" t="n">
        <v>0</v>
      </c>
      <c r="M3271" s="2" t="str">
        <f aca="false">IF(C3271="","",IFERROR(INDEX($S$5:$S$304,MATCH(C3271,$R$5:$R$304,0))&amp;"","?"))</f>
        <v>25</v>
      </c>
      <c r="N3271" s="2" t="n">
        <f aca="false">IF(E3271="","",IF(ISNUMBER(SEARCH("SUBSOLO",E3271)),IFERROR(-VALUE(LEFT(E3271,FIND("º",SUBSTITUTE(E3271,"°","º"))-1)),-1),IF(LEFT(E3271,6)="TÉRREO",0,IFERROR(VALUE(LEFT(E3271,FIND("º",SUBSTITUTE(E3271,"°","º"))-1)),""))))</f>
        <v>3</v>
      </c>
      <c r="O3271" s="2" t="str">
        <f aca="false">IF(OR(F3271="",G3271=""),"",IF(G3271&lt;='RETRATO 2027'!$K$5,"CONCLUÍDA",IF(F3271&lt;='RETRATO 2027'!$K$5,"EM ANDAMENTO","A INICIAR")))</f>
        <v>EM ANDAMENTO</v>
      </c>
    </row>
    <row r="3272" customFormat="false" ht="15" hidden="false" customHeight="false" outlineLevel="0" collapsed="false">
      <c r="B3272" s="4" t="n">
        <v>26744910</v>
      </c>
      <c r="C3272" s="4" t="s">
        <v>3070</v>
      </c>
      <c r="D3272" s="4" t="s">
        <v>433</v>
      </c>
      <c r="E3272" s="4" t="s">
        <v>3805</v>
      </c>
      <c r="F3272" s="127" t="n">
        <v>46735</v>
      </c>
      <c r="G3272" s="127" t="n">
        <v>46771</v>
      </c>
      <c r="H3272" s="127" t="n">
        <v>46293</v>
      </c>
      <c r="I3272" s="4" t="n">
        <v>0</v>
      </c>
      <c r="J3272" s="4" t="n">
        <v>0</v>
      </c>
      <c r="K3272" s="4" t="n">
        <v>0</v>
      </c>
      <c r="M3272" s="2" t="str">
        <f aca="false">IF(C3272="","",IFERROR(INDEX($S$5:$S$304,MATCH(C3272,$R$5:$R$304,0))&amp;"","?"))</f>
        <v>32</v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>EM ANDAMENTO</v>
      </c>
    </row>
    <row r="3273" customFormat="false" ht="15" hidden="false" customHeight="false" outlineLevel="0" collapsed="false">
      <c r="B3273" s="4" t="n">
        <v>26775729</v>
      </c>
      <c r="C3273" s="4" t="s">
        <v>2906</v>
      </c>
      <c r="D3273" s="4" t="s">
        <v>433</v>
      </c>
      <c r="E3273" s="4" t="s">
        <v>3809</v>
      </c>
      <c r="F3273" s="127" t="n">
        <v>46735</v>
      </c>
      <c r="G3273" s="127" t="n">
        <v>46876</v>
      </c>
      <c r="H3273" s="127" t="n">
        <v>46293</v>
      </c>
      <c r="I3273" s="4" t="n">
        <v>0</v>
      </c>
      <c r="J3273" s="4" t="n">
        <v>0</v>
      </c>
      <c r="K3273" s="4" t="n">
        <v>0</v>
      </c>
      <c r="M3273" s="2" t="str">
        <f aca="false">IF(C3273="","",IFERROR(INDEX($S$5:$S$304,MATCH(C3273,$R$5:$R$304,0))&amp;"","?"))</f>
        <v>19</v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>EM ANDAMENTO</v>
      </c>
    </row>
    <row r="3274" customFormat="false" ht="15" hidden="false" customHeight="false" outlineLevel="0" collapsed="false">
      <c r="B3274" s="4" t="n">
        <v>26750570</v>
      </c>
      <c r="C3274" s="4" t="s">
        <v>2938</v>
      </c>
      <c r="D3274" s="4" t="s">
        <v>433</v>
      </c>
      <c r="E3274" s="4" t="s">
        <v>3821</v>
      </c>
      <c r="F3274" s="127" t="n">
        <v>46736</v>
      </c>
      <c r="G3274" s="127" t="n">
        <v>46742</v>
      </c>
      <c r="H3274" s="127" t="n">
        <v>46293</v>
      </c>
      <c r="I3274" s="4" t="n">
        <v>0</v>
      </c>
      <c r="J3274" s="4" t="n">
        <v>0</v>
      </c>
      <c r="K3274" s="4" t="n">
        <v>0</v>
      </c>
      <c r="M3274" s="2" t="str">
        <f aca="false">IF(C3274="","",IFERROR(INDEX($S$5:$S$304,MATCH(C3274,$R$5:$R$304,0))&amp;"","?"))</f>
        <v>30</v>
      </c>
      <c r="N3274" s="2" t="n">
        <f aca="false">IF(E3274="","",IF(ISNUMBER(SEARCH("SUBSOLO",E3274)),IFERROR(-VALUE(LEFT(E3274,FIND("º",SUBSTITUTE(E3274,"°","º"))-1)),-1),IF(LEFT(E3274,6)="TÉRREO",0,IFERROR(VALUE(LEFT(E3274,FIND("º",SUBSTITUTE(E3274,"°","º"))-1)),""))))</f>
        <v>-6</v>
      </c>
      <c r="O3274" s="2" t="str">
        <f aca="false">IF(OR(F3274="",G3274=""),"",IF(G3274&lt;='RETRATO 2027'!$K$5,"CONCLUÍDA",IF(F3274&lt;='RETRATO 2027'!$K$5,"EM ANDAMENTO","A INICIAR")))</f>
        <v>CONCLUÍDA</v>
      </c>
    </row>
    <row r="3275" customFormat="false" ht="15" hidden="false" customHeight="false" outlineLevel="0" collapsed="false">
      <c r="B3275" s="4" t="n">
        <v>26743780</v>
      </c>
      <c r="C3275" s="4" t="s">
        <v>3018</v>
      </c>
      <c r="D3275" s="4" t="s">
        <v>433</v>
      </c>
      <c r="E3275" s="4" t="s">
        <v>3473</v>
      </c>
      <c r="F3275" s="127" t="n">
        <v>46736</v>
      </c>
      <c r="G3275" s="127" t="n">
        <v>46786</v>
      </c>
      <c r="H3275" s="127" t="n">
        <v>46293</v>
      </c>
      <c r="I3275" s="4" t="n">
        <v>0</v>
      </c>
      <c r="J3275" s="4" t="n">
        <v>0</v>
      </c>
      <c r="K3275" s="4" t="n">
        <v>0</v>
      </c>
      <c r="M3275" s="2" t="str">
        <f aca="false">IF(C3275="","",IFERROR(INDEX($S$5:$S$304,MATCH(C3275,$R$5:$R$304,0))&amp;"","?"))</f>
        <v>30</v>
      </c>
      <c r="N3275" s="2" t="n">
        <f aca="false">IF(E3275="","",IF(ISNUMBER(SEARCH("SUBSOLO",E3275)),IFERROR(-VALUE(LEFT(E3275,FIND("º",SUBSTITUTE(E3275,"°","º"))-1)),-1),IF(LEFT(E3275,6)="TÉRREO",0,IFERROR(VALUE(LEFT(E3275,FIND("º",SUBSTITUTE(E3275,"°","º"))-1)),""))))</f>
        <v>-5</v>
      </c>
      <c r="O3275" s="2" t="str">
        <f aca="false">IF(OR(F3275="",G3275=""),"",IF(G3275&lt;='RETRATO 2027'!$K$5,"CONCLUÍDA",IF(F3275&lt;='RETRATO 2027'!$K$5,"EM ANDAMENTO","A INICIAR")))</f>
        <v>EM ANDAMENTO</v>
      </c>
    </row>
    <row r="3276" customFormat="false" ht="15" hidden="false" customHeight="false" outlineLevel="0" collapsed="false">
      <c r="B3276" s="4" t="n">
        <v>26744982</v>
      </c>
      <c r="C3276" s="4" t="s">
        <v>3003</v>
      </c>
      <c r="D3276" s="4" t="s">
        <v>433</v>
      </c>
      <c r="E3276" s="4" t="s">
        <v>3662</v>
      </c>
      <c r="F3276" s="127" t="n">
        <v>46736</v>
      </c>
      <c r="G3276" s="127" t="n">
        <v>46756</v>
      </c>
      <c r="H3276" s="127" t="n">
        <v>46293</v>
      </c>
      <c r="I3276" s="4" t="n">
        <v>0</v>
      </c>
      <c r="J3276" s="4" t="n">
        <v>0</v>
      </c>
      <c r="K3276" s="4" t="n">
        <v>0</v>
      </c>
      <c r="M3276" s="2" t="str">
        <f aca="false">IF(C3276="","",IFERROR(INDEX($S$5:$S$304,MATCH(C3276,$R$5:$R$304,0))&amp;"","?"))</f>
        <v>20</v>
      </c>
      <c r="N3276" s="2" t="n">
        <f aca="false">IF(E3276="","",IF(ISNUMBER(SEARCH("SUBSOLO",E3276)),IFERROR(-VALUE(LEFT(E3276,FIND("º",SUBSTITUTE(E3276,"°","º"))-1)),-1),IF(LEFT(E3276,6)="TÉRREO",0,IFERROR(VALUE(LEFT(E3276,FIND("º",SUBSTITUTE(E3276,"°","º"))-1)),""))))</f>
        <v>-5</v>
      </c>
      <c r="O3276" s="2" t="str">
        <f aca="false">IF(OR(F3276="",G3276=""),"",IF(G3276&lt;='RETRATO 2027'!$K$5,"CONCLUÍDA",IF(F3276&lt;='RETRATO 2027'!$K$5,"EM ANDAMENTO","A INICIAR")))</f>
        <v>EM ANDAMENTO</v>
      </c>
    </row>
    <row r="3277" customFormat="false" ht="15" hidden="false" customHeight="false" outlineLevel="0" collapsed="false">
      <c r="B3277" s="4" t="n">
        <v>26743764</v>
      </c>
      <c r="C3277" s="4" t="s">
        <v>214</v>
      </c>
      <c r="D3277" s="4" t="s">
        <v>433</v>
      </c>
      <c r="E3277" s="4" t="s">
        <v>3374</v>
      </c>
      <c r="F3277" s="127" t="n">
        <v>46736</v>
      </c>
      <c r="G3277" s="127" t="n">
        <v>46786</v>
      </c>
      <c r="H3277" s="127" t="n">
        <v>46293</v>
      </c>
      <c r="I3277" s="4" t="n">
        <v>0</v>
      </c>
      <c r="J3277" s="4" t="n">
        <v>0</v>
      </c>
      <c r="K3277" s="4" t="n">
        <v>0</v>
      </c>
      <c r="M3277" s="2" t="str">
        <f aca="false">IF(C3277="","",IFERROR(INDEX($S$5:$S$304,MATCH(C3277,$R$5:$R$304,0))&amp;"","?"))</f>
        <v>35</v>
      </c>
      <c r="N3277" s="2" t="n">
        <f aca="false">IF(E3277="","",IF(ISNUMBER(SEARCH("SUBSOLO",E3277)),IFERROR(-VALUE(LEFT(E3277,FIND("º",SUBSTITUTE(E3277,"°","º"))-1)),-1),IF(LEFT(E3277,6)="TÉRREO",0,IFERROR(VALUE(LEFT(E3277,FIND("º",SUBSTITUTE(E3277,"°","º"))-1)),""))))</f>
        <v>-4</v>
      </c>
      <c r="O3277" s="2" t="str">
        <f aca="false">IF(OR(F3277="",G3277=""),"",IF(G3277&lt;='RETRATO 2027'!$K$5,"CONCLUÍDA",IF(F3277&lt;='RETRATO 2027'!$K$5,"EM ANDAMENTO","A INICIAR")))</f>
        <v>EM ANDAMENTO</v>
      </c>
    </row>
    <row r="3278" customFormat="false" ht="15" hidden="false" customHeight="false" outlineLevel="0" collapsed="false">
      <c r="B3278" s="4" t="n">
        <v>26750533</v>
      </c>
      <c r="C3278" s="4" t="s">
        <v>3029</v>
      </c>
      <c r="D3278" s="4" t="s">
        <v>433</v>
      </c>
      <c r="E3278" s="4" t="s">
        <v>3597</v>
      </c>
      <c r="F3278" s="127" t="n">
        <v>46736</v>
      </c>
      <c r="G3278" s="127" t="n">
        <v>46756</v>
      </c>
      <c r="H3278" s="127" t="n">
        <v>46293</v>
      </c>
      <c r="I3278" s="4" t="n">
        <v>0</v>
      </c>
      <c r="J3278" s="4" t="n">
        <v>0</v>
      </c>
      <c r="K3278" s="4" t="n">
        <v>0</v>
      </c>
      <c r="M3278" s="2" t="str">
        <f aca="false">IF(C3278="","",IFERROR(INDEX($S$5:$S$304,MATCH(C3278,$R$5:$R$304,0))&amp;"","?"))</f>
        <v/>
      </c>
      <c r="N3278" s="2" t="n">
        <f aca="false">IF(E3278="","",IF(ISNUMBER(SEARCH("SUBSOLO",E3278)),IFERROR(-VALUE(LEFT(E3278,FIND("º",SUBSTITUTE(E3278,"°","º"))-1)),-1),IF(LEFT(E3278,6)="TÉRREO",0,IFERROR(VALUE(LEFT(E3278,FIND("º",SUBSTITUTE(E3278,"°","º"))-1)),""))))</f>
        <v>-2</v>
      </c>
      <c r="O3278" s="2" t="str">
        <f aca="false">IF(OR(F3278="",G3278=""),"",IF(G3278&lt;='RETRATO 2027'!$K$5,"CONCLUÍDA",IF(F3278&lt;='RETRATO 2027'!$K$5,"EM ANDAMENTO","A INICIAR")))</f>
        <v>EM ANDAMENTO</v>
      </c>
    </row>
    <row r="3279" customFormat="false" ht="15" hidden="false" customHeight="false" outlineLevel="0" collapsed="false">
      <c r="B3279" s="4" t="n">
        <v>26707580</v>
      </c>
      <c r="C3279" s="4" t="s">
        <v>2916</v>
      </c>
      <c r="D3279" s="4" t="s">
        <v>433</v>
      </c>
      <c r="E3279" s="4" t="s">
        <v>3822</v>
      </c>
      <c r="F3279" s="127" t="n">
        <v>46736</v>
      </c>
      <c r="G3279" s="127" t="n">
        <v>46765</v>
      </c>
      <c r="H3279" s="127" t="n">
        <v>46293</v>
      </c>
      <c r="I3279" s="4" t="n">
        <v>0</v>
      </c>
      <c r="J3279" s="4" t="n">
        <v>0</v>
      </c>
      <c r="K3279" s="4" t="n">
        <v>0</v>
      </c>
      <c r="M3279" s="2" t="str">
        <f aca="false">IF(C3279="","",IFERROR(INDEX($S$5:$S$304,MATCH(C3279,$R$5:$R$304,0))&amp;"","?"))</f>
        <v>18</v>
      </c>
      <c r="N3279" s="2" t="n">
        <f aca="false">IF(E3279="","",IF(ISNUMBER(SEARCH("SUBSOLO",E3279)),IFERROR(-VALUE(LEFT(E3279,FIND("º",SUBSTITUTE(E3279,"°","º"))-1)),-1),IF(LEFT(E3279,6)="TÉRREO",0,IFERROR(VALUE(LEFT(E3279,FIND("º",SUBSTITUTE(E3279,"°","º"))-1)),""))))</f>
        <v>2</v>
      </c>
      <c r="O3279" s="2" t="str">
        <f aca="false">IF(OR(F3279="",G3279=""),"",IF(G3279&lt;='RETRATO 2027'!$K$5,"CONCLUÍDA",IF(F3279&lt;='RETRATO 2027'!$K$5,"EM ANDAMENTO","A INICIAR")))</f>
        <v>EM ANDAMENTO</v>
      </c>
    </row>
    <row r="3280" customFormat="false" ht="15" hidden="false" customHeight="false" outlineLevel="0" collapsed="false">
      <c r="B3280" s="4" t="n">
        <v>26743709</v>
      </c>
      <c r="C3280" s="4" t="s">
        <v>3029</v>
      </c>
      <c r="D3280" s="4" t="s">
        <v>433</v>
      </c>
      <c r="E3280" s="4" t="s">
        <v>3482</v>
      </c>
      <c r="F3280" s="127" t="n">
        <v>46737</v>
      </c>
      <c r="G3280" s="127" t="n">
        <v>46759</v>
      </c>
      <c r="H3280" s="127" t="n">
        <v>46293</v>
      </c>
      <c r="I3280" s="4" t="n">
        <v>0</v>
      </c>
      <c r="J3280" s="4" t="n">
        <v>0</v>
      </c>
      <c r="K3280" s="4" t="n">
        <v>0</v>
      </c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>EM ANDAMENTO</v>
      </c>
    </row>
    <row r="3281" customFormat="false" ht="15" hidden="false" customHeight="false" outlineLevel="0" collapsed="false">
      <c r="B3281" s="4" t="n">
        <v>26714094</v>
      </c>
      <c r="C3281" s="4" t="s">
        <v>2900</v>
      </c>
      <c r="D3281" s="4" t="s">
        <v>433</v>
      </c>
      <c r="E3281" s="4" t="s">
        <v>3812</v>
      </c>
      <c r="F3281" s="127" t="n">
        <v>46737</v>
      </c>
      <c r="G3281" s="127" t="n">
        <v>46766</v>
      </c>
      <c r="H3281" s="127" t="n">
        <v>46293</v>
      </c>
      <c r="I3281" s="4" t="n">
        <v>0</v>
      </c>
      <c r="J3281" s="4" t="n">
        <v>0</v>
      </c>
      <c r="K3281" s="4" t="n">
        <v>0</v>
      </c>
      <c r="M3281" s="2" t="str">
        <f aca="false">IF(C3281="","",IFERROR(INDEX($S$5:$S$304,MATCH(C3281,$R$5:$R$304,0))&amp;"","?"))</f>
        <v>22</v>
      </c>
      <c r="N3281" s="2" t="n">
        <f aca="false">IF(E3281="","",IF(ISNUMBER(SEARCH("SUBSOLO",E3281)),IFERROR(-VALUE(LEFT(E3281,FIND("º",SUBSTITUTE(E3281,"°","º"))-1)),-1),IF(LEFT(E3281,6)="TÉRREO",0,IFERROR(VALUE(LEFT(E3281,FIND("º",SUBSTITUTE(E3281,"°","º"))-1)),""))))</f>
        <v>2</v>
      </c>
      <c r="O3281" s="2" t="str">
        <f aca="false">IF(OR(F3281="",G3281=""),"",IF(G3281&lt;='RETRATO 2027'!$K$5,"CONCLUÍDA",IF(F3281&lt;='RETRATO 2027'!$K$5,"EM ANDAMENTO","A INICIAR")))</f>
        <v>EM ANDAMENTO</v>
      </c>
    </row>
    <row r="3282" customFormat="false" ht="15" hidden="false" customHeight="false" outlineLevel="0" collapsed="false">
      <c r="B3282" s="4" t="n">
        <v>26707608</v>
      </c>
      <c r="C3282" s="4" t="s">
        <v>2928</v>
      </c>
      <c r="D3282" s="4" t="s">
        <v>433</v>
      </c>
      <c r="E3282" s="4" t="s">
        <v>3812</v>
      </c>
      <c r="F3282" s="127" t="n">
        <v>46737</v>
      </c>
      <c r="G3282" s="127" t="n">
        <v>46766</v>
      </c>
      <c r="H3282" s="127" t="n">
        <v>46293</v>
      </c>
      <c r="I3282" s="4" t="n">
        <v>0</v>
      </c>
      <c r="J3282" s="4" t="n">
        <v>0</v>
      </c>
      <c r="K3282" s="4" t="n">
        <v>0</v>
      </c>
      <c r="M3282" s="2" t="str">
        <f aca="false">IF(C3282="","",IFERROR(INDEX($S$5:$S$304,MATCH(C3282,$R$5:$R$304,0))&amp;"","?"))</f>
        <v>23</v>
      </c>
      <c r="N3282" s="2" t="n">
        <f aca="false">IF(E3282="","",IF(ISNUMBER(SEARCH("SUBSOLO",E3282)),IFERROR(-VALUE(LEFT(E3282,FIND("º",SUBSTITUTE(E3282,"°","º"))-1)),-1),IF(LEFT(E3282,6)="TÉRREO",0,IFERROR(VALUE(LEFT(E3282,FIND("º",SUBSTITUTE(E3282,"°","º"))-1)),""))))</f>
        <v>2</v>
      </c>
      <c r="O3282" s="2" t="str">
        <f aca="false">IF(OR(F3282="",G3282=""),"",IF(G3282&lt;='RETRATO 2027'!$K$5,"CONCLUÍDA",IF(F3282&lt;='RETRATO 2027'!$K$5,"EM ANDAMENTO","A INICIAR")))</f>
        <v>EM ANDAMENTO</v>
      </c>
    </row>
    <row r="3283" customFormat="false" ht="15" hidden="false" customHeight="false" outlineLevel="0" collapsed="false">
      <c r="B3283" s="4" t="n">
        <v>26707606</v>
      </c>
      <c r="C3283" s="4" t="s">
        <v>2989</v>
      </c>
      <c r="D3283" s="4" t="s">
        <v>433</v>
      </c>
      <c r="E3283" s="4" t="s">
        <v>3812</v>
      </c>
      <c r="F3283" s="127" t="n">
        <v>46737</v>
      </c>
      <c r="G3283" s="127" t="n">
        <v>46766</v>
      </c>
      <c r="H3283" s="127" t="n">
        <v>46293</v>
      </c>
      <c r="I3283" s="4" t="n">
        <v>0</v>
      </c>
      <c r="J3283" s="4" t="n">
        <v>0</v>
      </c>
      <c r="K3283" s="4" t="n">
        <v>0</v>
      </c>
      <c r="M3283" s="2" t="str">
        <f aca="false">IF(C3283="","",IFERROR(INDEX($S$5:$S$304,MATCH(C3283,$R$5:$R$304,0))&amp;"","?"))</f>
        <v>23</v>
      </c>
      <c r="N3283" s="2" t="n">
        <f aca="false">IF(E3283="","",IF(ISNUMBER(SEARCH("SUBSOLO",E3283)),IFERROR(-VALUE(LEFT(E3283,FIND("º",SUBSTITUTE(E3283,"°","º"))-1)),-1),IF(LEFT(E3283,6)="TÉRREO",0,IFERROR(VALUE(LEFT(E3283,FIND("º",SUBSTITUTE(E3283,"°","º"))-1)),""))))</f>
        <v>2</v>
      </c>
      <c r="O3283" s="2" t="str">
        <f aca="false">IF(OR(F3283="",G3283=""),"",IF(G3283&lt;='RETRATO 2027'!$K$5,"CONCLUÍDA",IF(F3283&lt;='RETRATO 2027'!$K$5,"EM ANDAMENTO","A INICIAR")))</f>
        <v>EM ANDAMENTO</v>
      </c>
    </row>
    <row r="3284" customFormat="false" ht="15" hidden="false" customHeight="false" outlineLevel="0" collapsed="false">
      <c r="B3284" s="4" t="n">
        <v>26707607</v>
      </c>
      <c r="C3284" s="4" t="s">
        <v>2791</v>
      </c>
      <c r="D3284" s="4" t="s">
        <v>433</v>
      </c>
      <c r="E3284" s="4" t="s">
        <v>3812</v>
      </c>
      <c r="F3284" s="127" t="n">
        <v>46737</v>
      </c>
      <c r="G3284" s="127" t="n">
        <v>46766</v>
      </c>
      <c r="H3284" s="127" t="n">
        <v>46293</v>
      </c>
      <c r="I3284" s="4" t="n">
        <v>0</v>
      </c>
      <c r="J3284" s="4" t="n">
        <v>0</v>
      </c>
      <c r="K3284" s="4" t="n">
        <v>0</v>
      </c>
      <c r="M3284" s="2" t="str">
        <f aca="false">IF(C3284="","",IFERROR(INDEX($S$5:$S$304,MATCH(C3284,$R$5:$R$304,0))&amp;"","?"))</f>
        <v>21</v>
      </c>
      <c r="N3284" s="2" t="n">
        <f aca="false">IF(E3284="","",IF(ISNUMBER(SEARCH("SUBSOLO",E3284)),IFERROR(-VALUE(LEFT(E3284,FIND("º",SUBSTITUTE(E3284,"°","º"))-1)),-1),IF(LEFT(E3284,6)="TÉRREO",0,IFERROR(VALUE(LEFT(E3284,FIND("º",SUBSTITUTE(E3284,"°","º"))-1)),""))))</f>
        <v>2</v>
      </c>
      <c r="O3284" s="2" t="str">
        <f aca="false">IF(OR(F3284="",G3284=""),"",IF(G3284&lt;='RETRATO 2027'!$K$5,"CONCLUÍDA",IF(F3284&lt;='RETRATO 2027'!$K$5,"EM ANDAMENTO","A INICIAR")))</f>
        <v>EM ANDAMENTO</v>
      </c>
    </row>
    <row r="3285" customFormat="false" ht="15" hidden="false" customHeight="false" outlineLevel="0" collapsed="false">
      <c r="B3285" s="4" t="n">
        <v>26707618</v>
      </c>
      <c r="C3285" s="4" t="s">
        <v>2992</v>
      </c>
      <c r="D3285" s="4" t="s">
        <v>433</v>
      </c>
      <c r="E3285" s="4" t="s">
        <v>3812</v>
      </c>
      <c r="F3285" s="127" t="n">
        <v>46737</v>
      </c>
      <c r="G3285" s="127" t="n">
        <v>46766</v>
      </c>
      <c r="H3285" s="127" t="n">
        <v>46293</v>
      </c>
      <c r="I3285" s="4" t="n">
        <v>0</v>
      </c>
      <c r="J3285" s="4" t="n">
        <v>0</v>
      </c>
      <c r="K3285" s="4" t="n">
        <v>0</v>
      </c>
      <c r="M3285" s="2" t="str">
        <f aca="false">IF(C3285="","",IFERROR(INDEX($S$5:$S$304,MATCH(C3285,$R$5:$R$304,0))&amp;"","?"))</f>
        <v>20</v>
      </c>
      <c r="N3285" s="2" t="n">
        <f aca="false">IF(E3285="","",IF(ISNUMBER(SEARCH("SUBSOLO",E3285)),IFERROR(-VALUE(LEFT(E3285,FIND("º",SUBSTITUTE(E3285,"°","º"))-1)),-1),IF(LEFT(E3285,6)="TÉRREO",0,IFERROR(VALUE(LEFT(E3285,FIND("º",SUBSTITUTE(E3285,"°","º"))-1)),""))))</f>
        <v>2</v>
      </c>
      <c r="O3285" s="2" t="str">
        <f aca="false">IF(OR(F3285="",G3285=""),"",IF(G3285&lt;='RETRATO 2027'!$K$5,"CONCLUÍDA",IF(F3285&lt;='RETRATO 2027'!$K$5,"EM ANDAMENTO","A INICIAR")))</f>
        <v>EM ANDAMENTO</v>
      </c>
    </row>
    <row r="3286" customFormat="false" ht="15" hidden="false" customHeight="false" outlineLevel="0" collapsed="false">
      <c r="B3286" s="4" t="n">
        <v>26744395</v>
      </c>
      <c r="C3286" s="4" t="s">
        <v>217</v>
      </c>
      <c r="D3286" s="4" t="s">
        <v>433</v>
      </c>
      <c r="E3286" s="4" t="s">
        <v>3780</v>
      </c>
      <c r="F3286" s="127" t="n">
        <v>46737</v>
      </c>
      <c r="G3286" s="127" t="n">
        <v>46777</v>
      </c>
      <c r="H3286" s="127" t="n">
        <v>46293</v>
      </c>
      <c r="I3286" s="4" t="n">
        <v>0</v>
      </c>
      <c r="J3286" s="4" t="n">
        <v>0</v>
      </c>
      <c r="K3286" s="4" t="n">
        <v>0</v>
      </c>
      <c r="M3286" s="2" t="str">
        <f aca="false">IF(C3286="","",IFERROR(INDEX($S$5:$S$304,MATCH(C3286,$R$5:$R$304,0))&amp;"","?"))</f>
        <v>36</v>
      </c>
      <c r="N3286" s="2" t="n">
        <f aca="false">IF(E3286="","",IF(ISNUMBER(SEARCH("SUBSOLO",E3286)),IFERROR(-VALUE(LEFT(E3286,FIND("º",SUBSTITUTE(E3286,"°","º"))-1)),-1),IF(LEFT(E3286,6)="TÉRREO",0,IFERROR(VALUE(LEFT(E3286,FIND("º",SUBSTITUTE(E3286,"°","º"))-1)),""))))</f>
        <v>3</v>
      </c>
      <c r="O3286" s="2" t="str">
        <f aca="false">IF(OR(F3286="",G3286=""),"",IF(G3286&lt;='RETRATO 2027'!$K$5,"CONCLUÍDA",IF(F3286&lt;='RETRATO 2027'!$K$5,"EM ANDAMENTO","A INICIAR")))</f>
        <v>EM ANDAMENTO</v>
      </c>
    </row>
    <row r="3287" customFormat="false" ht="15" hidden="false" customHeight="false" outlineLevel="0" collapsed="false">
      <c r="B3287" s="4" t="n">
        <v>26744973</v>
      </c>
      <c r="C3287" s="4" t="s">
        <v>3006</v>
      </c>
      <c r="D3287" s="4" t="s">
        <v>433</v>
      </c>
      <c r="E3287" s="4" t="s">
        <v>3558</v>
      </c>
      <c r="F3287" s="127" t="n">
        <v>46738</v>
      </c>
      <c r="G3287" s="127" t="n">
        <v>46758</v>
      </c>
      <c r="H3287" s="127" t="n">
        <v>46293</v>
      </c>
      <c r="I3287" s="4" t="n">
        <v>0</v>
      </c>
      <c r="J3287" s="4" t="n">
        <v>0</v>
      </c>
      <c r="K3287" s="4" t="n">
        <v>0</v>
      </c>
      <c r="M3287" s="2" t="str">
        <f aca="false">IF(C3287="","",IFERROR(INDEX($S$5:$S$304,MATCH(C3287,$R$5:$R$304,0))&amp;"","?"))</f>
        <v>37</v>
      </c>
      <c r="N3287" s="2" t="n">
        <f aca="false">IF(E3287="","",IF(ISNUMBER(SEARCH("SUBSOLO",E3287)),IFERROR(-VALUE(LEFT(E3287,FIND("º",SUBSTITUTE(E3287,"°","º"))-1)),-1),IF(LEFT(E3287,6)="TÉRREO",0,IFERROR(VALUE(LEFT(E3287,FIND("º",SUBSTITUTE(E3287,"°","º"))-1)),""))))</f>
        <v>-4</v>
      </c>
      <c r="O3287" s="2" t="str">
        <f aca="false">IF(OR(F3287="",G3287=""),"",IF(G3287&lt;='RETRATO 2027'!$K$5,"CONCLUÍDA",IF(F3287&lt;='RETRATO 2027'!$K$5,"EM ANDAMENTO","A INICIAR")))</f>
        <v>EM ANDAMENTO</v>
      </c>
    </row>
    <row r="3288" customFormat="false" ht="15" hidden="false" customHeight="false" outlineLevel="0" collapsed="false">
      <c r="B3288" s="4" t="n">
        <v>26743654</v>
      </c>
      <c r="C3288" s="4" t="s">
        <v>3073</v>
      </c>
      <c r="D3288" s="4" t="s">
        <v>433</v>
      </c>
      <c r="E3288" s="4" t="s">
        <v>3668</v>
      </c>
      <c r="F3288" s="127" t="n">
        <v>46741</v>
      </c>
      <c r="G3288" s="127" t="n">
        <v>46758</v>
      </c>
      <c r="H3288" s="127" t="n">
        <v>46293</v>
      </c>
      <c r="I3288" s="4" t="n">
        <v>0</v>
      </c>
      <c r="J3288" s="4" t="n">
        <v>0</v>
      </c>
      <c r="K3288" s="4" t="n">
        <v>0</v>
      </c>
      <c r="M3288" s="2" t="str">
        <f aca="false">IF(C3288="","",IFERROR(INDEX($S$5:$S$304,MATCH(C3288,$R$5:$R$304,0))&amp;"","?"))</f>
        <v>30</v>
      </c>
      <c r="N3288" s="2" t="n">
        <f aca="false">IF(E3288="","",IF(ISNUMBER(SEARCH("SUBSOLO",E3288)),IFERROR(-VALUE(LEFT(E3288,FIND("º",SUBSTITUTE(E3288,"°","º"))-1)),-1),IF(LEFT(E3288,6)="TÉRREO",0,IFERROR(VALUE(LEFT(E3288,FIND("º",SUBSTITUTE(E3288,"°","º"))-1)),""))))</f>
        <v>4</v>
      </c>
      <c r="O3288" s="2" t="str">
        <f aca="false">IF(OR(F3288="",G3288=""),"",IF(G3288&lt;='RETRATO 2027'!$K$5,"CONCLUÍDA",IF(F3288&lt;='RETRATO 2027'!$K$5,"EM ANDAMENTO","A INICIAR")))</f>
        <v>EM ANDAMENTO</v>
      </c>
    </row>
    <row r="3289" customFormat="false" ht="15" hidden="false" customHeight="false" outlineLevel="0" collapsed="false">
      <c r="B3289" s="4" t="n">
        <v>26743616</v>
      </c>
      <c r="C3289" s="4" t="s">
        <v>3055</v>
      </c>
      <c r="D3289" s="4" t="s">
        <v>433</v>
      </c>
      <c r="E3289" s="4" t="s">
        <v>3678</v>
      </c>
      <c r="F3289" s="127" t="n">
        <v>46741</v>
      </c>
      <c r="G3289" s="127" t="n">
        <v>46758</v>
      </c>
      <c r="H3289" s="127" t="n">
        <v>46293</v>
      </c>
      <c r="I3289" s="4" t="n">
        <v>0</v>
      </c>
      <c r="J3289" s="4" t="n">
        <v>0</v>
      </c>
      <c r="K3289" s="4" t="n">
        <v>0</v>
      </c>
      <c r="M3289" s="2" t="str">
        <f aca="false">IF(C3289="","",IFERROR(INDEX($S$5:$S$304,MATCH(C3289,$R$5:$R$304,0))&amp;"","?"))</f>
        <v>25</v>
      </c>
      <c r="N3289" s="2" t="n">
        <f aca="false">IF(E3289="","",IF(ISNUMBER(SEARCH("SUBSOLO",E3289)),IFERROR(-VALUE(LEFT(E3289,FIND("º",SUBSTITUTE(E3289,"°","º"))-1)),-1),IF(LEFT(E3289,6)="TÉRREO",0,IFERROR(VALUE(LEFT(E3289,FIND("º",SUBSTITUTE(E3289,"°","º"))-1)),""))))</f>
        <v>5</v>
      </c>
      <c r="O3289" s="2" t="str">
        <f aca="false">IF(OR(F3289="",G3289=""),"",IF(G3289&lt;='RETRATO 2027'!$K$5,"CONCLUÍDA",IF(F3289&lt;='RETRATO 2027'!$K$5,"EM ANDAMENTO","A INICIAR")))</f>
        <v>EM ANDAMENTO</v>
      </c>
    </row>
    <row r="3290" customFormat="false" ht="15" hidden="false" customHeight="false" outlineLevel="0" collapsed="false">
      <c r="B3290" s="4" t="n">
        <v>26744961</v>
      </c>
      <c r="C3290" s="4" t="s">
        <v>2965</v>
      </c>
      <c r="D3290" s="4" t="s">
        <v>433</v>
      </c>
      <c r="E3290" s="4" t="s">
        <v>3671</v>
      </c>
      <c r="F3290" s="127" t="n">
        <v>46742</v>
      </c>
      <c r="G3290" s="127" t="n">
        <v>46762</v>
      </c>
      <c r="H3290" s="127" t="n">
        <v>46293</v>
      </c>
      <c r="I3290" s="4" t="n">
        <v>0</v>
      </c>
      <c r="J3290" s="4" t="n">
        <v>0</v>
      </c>
      <c r="K3290" s="4" t="n">
        <v>0</v>
      </c>
      <c r="M3290" s="2" t="str">
        <f aca="false">IF(C3290="","",IFERROR(INDEX($S$5:$S$304,MATCH(C3290,$R$5:$R$304,0))&amp;"","?"))</f>
        <v>20</v>
      </c>
      <c r="N3290" s="2" t="n">
        <f aca="false">IF(E3290="","",IF(ISNUMBER(SEARCH("SUBSOLO",E3290)),IFERROR(-VALUE(LEFT(E3290,FIND("º",SUBSTITUTE(E3290,"°","º"))-1)),-1),IF(LEFT(E3290,6)="TÉRREO",0,IFERROR(VALUE(LEFT(E3290,FIND("º",SUBSTITUTE(E3290,"°","º"))-1)),""))))</f>
        <v>-3</v>
      </c>
      <c r="O3290" s="2" t="str">
        <f aca="false">IF(OR(F3290="",G3290=""),"",IF(G3290&lt;='RETRATO 2027'!$K$5,"CONCLUÍDA",IF(F3290&lt;='RETRATO 2027'!$K$5,"EM ANDAMENTO","A INICIAR")))</f>
        <v>EM ANDAMENTO</v>
      </c>
    </row>
    <row r="3291" customFormat="false" ht="15" hidden="false" customHeight="false" outlineLevel="0" collapsed="false">
      <c r="B3291" s="4" t="n">
        <v>26745011</v>
      </c>
      <c r="C3291" s="4" t="s">
        <v>2935</v>
      </c>
      <c r="D3291" s="4" t="s">
        <v>433</v>
      </c>
      <c r="E3291" s="4" t="s">
        <v>3828</v>
      </c>
      <c r="F3291" s="127" t="n">
        <v>46742</v>
      </c>
      <c r="G3291" s="127" t="n">
        <v>46762</v>
      </c>
      <c r="H3291" s="127" t="n">
        <v>46293</v>
      </c>
      <c r="I3291" s="4" t="n">
        <v>0</v>
      </c>
      <c r="J3291" s="4" t="n">
        <v>0</v>
      </c>
      <c r="K3291" s="4" t="n">
        <v>0</v>
      </c>
      <c r="M3291" s="2" t="str">
        <f aca="false">IF(C3291="","",IFERROR(INDEX($S$5:$S$304,MATCH(C3291,$R$5:$R$304,0))&amp;"","?"))</f>
        <v>30</v>
      </c>
      <c r="N3291" s="2" t="n">
        <f aca="false">IF(E3291="","",IF(ISNUMBER(SEARCH("SUBSOLO",E3291)),IFERROR(-VALUE(LEFT(E3291,FIND("º",SUBSTITUTE(E3291,"°","º"))-1)),-1),IF(LEFT(E3291,6)="TÉRREO",0,IFERROR(VALUE(LEFT(E3291,FIND("º",SUBSTITUTE(E3291,"°","º"))-1)),""))))</f>
        <v>2</v>
      </c>
      <c r="O3291" s="2" t="str">
        <f aca="false">IF(OR(F3291="",G3291=""),"",IF(G3291&lt;='RETRATO 2027'!$K$5,"CONCLUÍDA",IF(F3291&lt;='RETRATO 2027'!$K$5,"EM ANDAMENTO","A INICIAR")))</f>
        <v>EM ANDAMENTO</v>
      </c>
    </row>
    <row r="3292" customFormat="false" ht="15" hidden="false" customHeight="false" outlineLevel="0" collapsed="false">
      <c r="B3292" s="4" t="n">
        <v>26742904</v>
      </c>
      <c r="C3292" s="4" t="s">
        <v>2997</v>
      </c>
      <c r="D3292" s="4" t="s">
        <v>433</v>
      </c>
      <c r="E3292" s="4" t="s">
        <v>3788</v>
      </c>
      <c r="F3292" s="127" t="n">
        <v>46742</v>
      </c>
      <c r="G3292" s="127" t="n">
        <v>46762</v>
      </c>
      <c r="H3292" s="127" t="n">
        <v>46293</v>
      </c>
      <c r="I3292" s="4" t="n">
        <v>0</v>
      </c>
      <c r="J3292" s="4" t="n">
        <v>0</v>
      </c>
      <c r="K3292" s="4" t="n">
        <v>0</v>
      </c>
      <c r="M3292" s="2" t="str">
        <f aca="false">IF(C3292="","",IFERROR(INDEX($S$5:$S$304,MATCH(C3292,$R$5:$R$304,0))&amp;"","?"))</f>
        <v>35</v>
      </c>
      <c r="N3292" s="2" t="n">
        <f aca="false">IF(E3292="","",IF(ISNUMBER(SEARCH("SUBSOLO",E3292)),IFERROR(-VALUE(LEFT(E3292,FIND("º",SUBSTITUTE(E3292,"°","º"))-1)),-1),IF(LEFT(E3292,6)="TÉRREO",0,IFERROR(VALUE(LEFT(E3292,FIND("º",SUBSTITUTE(E3292,"°","º"))-1)),""))))</f>
        <v>24</v>
      </c>
      <c r="O3292" s="2" t="str">
        <f aca="false">IF(OR(F3292="",G3292=""),"",IF(G3292&lt;='RETRATO 2027'!$K$5,"CONCLUÍDA",IF(F3292&lt;='RETRATO 2027'!$K$5,"EM ANDAMENTO","A INICIAR")))</f>
        <v>EM ANDAMENTO</v>
      </c>
    </row>
    <row r="3293" customFormat="false" ht="15" hidden="false" customHeight="false" outlineLevel="0" collapsed="false">
      <c r="B3293" s="4" t="n">
        <v>26742866</v>
      </c>
      <c r="C3293" s="4" t="s">
        <v>2980</v>
      </c>
      <c r="D3293" s="4" t="s">
        <v>433</v>
      </c>
      <c r="E3293" s="4" t="s">
        <v>3794</v>
      </c>
      <c r="F3293" s="127" t="n">
        <v>46742</v>
      </c>
      <c r="G3293" s="127" t="n">
        <v>46762</v>
      </c>
      <c r="H3293" s="127" t="n">
        <v>46293</v>
      </c>
      <c r="I3293" s="4" t="n">
        <v>0</v>
      </c>
      <c r="J3293" s="4" t="n">
        <v>0</v>
      </c>
      <c r="K3293" s="4" t="n">
        <v>0</v>
      </c>
      <c r="M3293" s="2" t="str">
        <f aca="false">IF(C3293="","",IFERROR(INDEX($S$5:$S$304,MATCH(C3293,$R$5:$R$304,0))&amp;"","?"))</f>
        <v>35</v>
      </c>
      <c r="N3293" s="2" t="n">
        <f aca="false">IF(E3293="","",IF(ISNUMBER(SEARCH("SUBSOLO",E3293)),IFERROR(-VALUE(LEFT(E3293,FIND("º",SUBSTITUTE(E3293,"°","º"))-1)),-1),IF(LEFT(E3293,6)="TÉRREO",0,IFERROR(VALUE(LEFT(E3293,FIND("º",SUBSTITUTE(E3293,"°","º"))-1)),""))))</f>
        <v>25</v>
      </c>
      <c r="O3293" s="2" t="str">
        <f aca="false">IF(OR(F3293="",G3293=""),"",IF(G3293&lt;='RETRATO 2027'!$K$5,"CONCLUÍDA",IF(F3293&lt;='RETRATO 2027'!$K$5,"EM ANDAMENTO","A INICIAR")))</f>
        <v>EM ANDAMENTO</v>
      </c>
    </row>
    <row r="3294" customFormat="false" ht="15" hidden="false" customHeight="false" outlineLevel="0" collapsed="false">
      <c r="B3294" s="4" t="n">
        <v>26742836</v>
      </c>
      <c r="C3294" s="4" t="s">
        <v>208</v>
      </c>
      <c r="D3294" s="4" t="s">
        <v>433</v>
      </c>
      <c r="E3294" s="4" t="s">
        <v>3797</v>
      </c>
      <c r="F3294" s="127" t="n">
        <v>46742</v>
      </c>
      <c r="G3294" s="127" t="n">
        <v>46762</v>
      </c>
      <c r="H3294" s="127" t="n">
        <v>46293</v>
      </c>
      <c r="I3294" s="4" t="n">
        <v>0</v>
      </c>
      <c r="J3294" s="4" t="n">
        <v>0</v>
      </c>
      <c r="K3294" s="4" t="n">
        <v>0</v>
      </c>
      <c r="M3294" s="2" t="str">
        <f aca="false">IF(C3294="","",IFERROR(INDEX($S$5:$S$304,MATCH(C3294,$R$5:$R$304,0))&amp;"","?"))</f>
        <v>33</v>
      </c>
      <c r="N3294" s="2" t="n">
        <f aca="false">IF(E3294="","",IF(ISNUMBER(SEARCH("SUBSOLO",E3294)),IFERROR(-VALUE(LEFT(E3294,FIND("º",SUBSTITUTE(E3294,"°","º"))-1)),-1),IF(LEFT(E3294,6)="TÉRREO",0,IFERROR(VALUE(LEFT(E3294,FIND("º",SUBSTITUTE(E3294,"°","º"))-1)),""))))</f>
        <v>26</v>
      </c>
      <c r="O3294" s="2" t="str">
        <f aca="false">IF(OR(F3294="",G3294=""),"",IF(G3294&lt;='RETRATO 2027'!$K$5,"CONCLUÍDA",IF(F3294&lt;='RETRATO 2027'!$K$5,"EM ANDAMENTO","A INICIAR")))</f>
        <v>EM ANDAMENTO</v>
      </c>
    </row>
    <row r="3295" customFormat="false" ht="15" hidden="false" customHeight="false" outlineLevel="0" collapsed="false">
      <c r="B3295" s="4" t="n">
        <v>26790241</v>
      </c>
      <c r="C3295" s="4" t="s">
        <v>3076</v>
      </c>
      <c r="D3295" s="4" t="s">
        <v>433</v>
      </c>
      <c r="E3295" s="4" t="s">
        <v>3821</v>
      </c>
      <c r="F3295" s="127" t="n">
        <v>46743</v>
      </c>
      <c r="G3295" s="127" t="n">
        <v>46853</v>
      </c>
      <c r="H3295" s="127" t="n">
        <v>46293</v>
      </c>
      <c r="I3295" s="4" t="n">
        <v>0</v>
      </c>
      <c r="J3295" s="4" t="n">
        <v>0</v>
      </c>
      <c r="K3295" s="4" t="n">
        <v>0</v>
      </c>
      <c r="M3295" s="2" t="str">
        <f aca="false">IF(C3295="","",IFERROR(INDEX($S$5:$S$304,MATCH(C3295,$R$5:$R$304,0))&amp;"","?"))</f>
        <v>20</v>
      </c>
      <c r="N3295" s="2" t="n">
        <f aca="false">IF(E3295="","",IF(ISNUMBER(SEARCH("SUBSOLO",E3295)),IFERROR(-VALUE(LEFT(E3295,FIND("º",SUBSTITUTE(E3295,"°","º"))-1)),-1),IF(LEFT(E3295,6)="TÉRREO",0,IFERROR(VALUE(LEFT(E3295,FIND("º",SUBSTITUTE(E3295,"°","º"))-1)),""))))</f>
        <v>-6</v>
      </c>
      <c r="O3295" s="2" t="str">
        <f aca="false">IF(OR(F3295="",G3295=""),"",IF(G3295&lt;='RETRATO 2027'!$K$5,"CONCLUÍDA",IF(F3295&lt;='RETRATO 2027'!$K$5,"EM ANDAMENTO","A INICIAR")))</f>
        <v>EM ANDAMENTO</v>
      </c>
    </row>
    <row r="3296" customFormat="false" ht="15" hidden="false" customHeight="false" outlineLevel="0" collapsed="false">
      <c r="B3296" s="4" t="n">
        <v>26743732</v>
      </c>
      <c r="C3296" s="4" t="s">
        <v>3063</v>
      </c>
      <c r="D3296" s="4" t="s">
        <v>433</v>
      </c>
      <c r="E3296" s="4" t="s">
        <v>3449</v>
      </c>
      <c r="F3296" s="127" t="n">
        <v>46743</v>
      </c>
      <c r="G3296" s="127" t="n">
        <v>46772</v>
      </c>
      <c r="H3296" s="127" t="n">
        <v>46293</v>
      </c>
      <c r="I3296" s="4" t="n">
        <v>0</v>
      </c>
      <c r="J3296" s="4" t="n">
        <v>0</v>
      </c>
      <c r="K3296" s="4" t="n">
        <v>0</v>
      </c>
      <c r="M3296" s="2" t="str">
        <f aca="false">IF(C3296="","",IFERROR(INDEX($S$5:$S$304,MATCH(C3296,$R$5:$R$304,0))&amp;"","?"))</f>
        <v>31</v>
      </c>
      <c r="N3296" s="2" t="n">
        <f aca="false">IF(E3296="","",IF(ISNUMBER(SEARCH("SUBSOLO",E3296)),IFERROR(-VALUE(LEFT(E3296,FIND("º",SUBSTITUTE(E3296,"°","º"))-1)),-1),IF(LEFT(E3296,6)="TÉRREO",0,IFERROR(VALUE(LEFT(E3296,FIND("º",SUBSTITUTE(E3296,"°","º"))-1)),""))))</f>
        <v>-2</v>
      </c>
      <c r="O3296" s="2" t="str">
        <f aca="false">IF(OR(F3296="",G3296=""),"",IF(G3296&lt;='RETRATO 2027'!$K$5,"CONCLUÍDA",IF(F3296&lt;='RETRATO 2027'!$K$5,"EM ANDAMENTO","A INICIAR")))</f>
        <v>EM ANDAMENTO</v>
      </c>
    </row>
    <row r="3297" customFormat="false" ht="15" hidden="false" customHeight="false" outlineLevel="0" collapsed="false">
      <c r="B3297" s="4" t="n">
        <v>29845974</v>
      </c>
      <c r="C3297" s="4" t="s">
        <v>2983</v>
      </c>
      <c r="D3297" s="4" t="s">
        <v>433</v>
      </c>
      <c r="E3297" s="4" t="s">
        <v>3799</v>
      </c>
      <c r="F3297" s="127" t="n">
        <v>46743</v>
      </c>
      <c r="G3297" s="127" t="n">
        <v>46762</v>
      </c>
      <c r="H3297" s="127" t="n">
        <v>46293</v>
      </c>
      <c r="I3297" s="4" t="n">
        <v>0</v>
      </c>
      <c r="J3297" s="4" t="n">
        <v>0</v>
      </c>
      <c r="K3297" s="4" t="n">
        <v>0</v>
      </c>
      <c r="M3297" s="2" t="str">
        <f aca="false">IF(C3297="","",IFERROR(INDEX($S$5:$S$304,MATCH(C3297,$R$5:$R$304,0))&amp;"","?"))</f>
        <v>20</v>
      </c>
      <c r="N3297" s="2" t="n">
        <f aca="false">IF(E3297="","",IF(ISNUMBER(SEARCH("SUBSOLO",E3297)),IFERROR(-VALUE(LEFT(E3297,FIND("º",SUBSTITUTE(E3297,"°","º"))-1)),-1),IF(LEFT(E3297,6)="TÉRREO",0,IFERROR(VALUE(LEFT(E3297,FIND("º",SUBSTITUTE(E3297,"°","º"))-1)),""))))</f>
        <v>27</v>
      </c>
      <c r="O3297" s="2" t="str">
        <f aca="false">IF(OR(F3297="",G3297=""),"",IF(G3297&lt;='RETRATO 2027'!$K$5,"CONCLUÍDA",IF(F3297&lt;='RETRATO 2027'!$K$5,"EM ANDAMENTO","A INICIAR")))</f>
        <v>EM ANDAMENTO</v>
      </c>
    </row>
    <row r="3298" customFormat="false" ht="15" hidden="false" customHeight="false" outlineLevel="0" collapsed="false">
      <c r="B3298" s="4" t="n">
        <v>29845913</v>
      </c>
      <c r="C3298" s="4" t="s">
        <v>2986</v>
      </c>
      <c r="D3298" s="4" t="s">
        <v>433</v>
      </c>
      <c r="E3298" s="4" t="s">
        <v>3799</v>
      </c>
      <c r="F3298" s="127" t="n">
        <v>46743</v>
      </c>
      <c r="G3298" s="127" t="n">
        <v>46763</v>
      </c>
      <c r="H3298" s="127" t="n">
        <v>46293</v>
      </c>
      <c r="I3298" s="4" t="n">
        <v>0</v>
      </c>
      <c r="J3298" s="4" t="n">
        <v>0</v>
      </c>
      <c r="K3298" s="4" t="n">
        <v>0</v>
      </c>
      <c r="M3298" s="2" t="str">
        <f aca="false">IF(C3298="","",IFERROR(INDEX($S$5:$S$304,MATCH(C3298,$R$5:$R$304,0))&amp;"","?"))</f>
        <v>20</v>
      </c>
      <c r="N3298" s="2" t="n">
        <f aca="false">IF(E3298="","",IF(ISNUMBER(SEARCH("SUBSOLO",E3298)),IFERROR(-VALUE(LEFT(E3298,FIND("º",SUBSTITUTE(E3298,"°","º"))-1)),-1),IF(LEFT(E3298,6)="TÉRREO",0,IFERROR(VALUE(LEFT(E3298,FIND("º",SUBSTITUTE(E3298,"°","º"))-1)),""))))</f>
        <v>27</v>
      </c>
      <c r="O3298" s="2" t="str">
        <f aca="false">IF(OR(F3298="",G3298=""),"",IF(G3298&lt;='RETRATO 2027'!$K$5,"CONCLUÍDA",IF(F3298&lt;='RETRATO 2027'!$K$5,"EM ANDAMENTO","A INICIAR")))</f>
        <v>EM ANDAMENTO</v>
      </c>
    </row>
    <row r="3299" customFormat="false" ht="15" hidden="false" customHeight="false" outlineLevel="0" collapsed="false">
      <c r="B3299" s="4" t="n">
        <v>26742764</v>
      </c>
      <c r="C3299" s="4" t="s">
        <v>2977</v>
      </c>
      <c r="D3299" s="4" t="s">
        <v>433</v>
      </c>
      <c r="E3299" s="4" t="s">
        <v>3802</v>
      </c>
      <c r="F3299" s="127" t="n">
        <v>46743</v>
      </c>
      <c r="G3299" s="127" t="n">
        <v>46763</v>
      </c>
      <c r="H3299" s="127" t="n">
        <v>46293</v>
      </c>
      <c r="I3299" s="4" t="n">
        <v>0</v>
      </c>
      <c r="J3299" s="4" t="n">
        <v>0</v>
      </c>
      <c r="K3299" s="4" t="n">
        <v>0</v>
      </c>
      <c r="M3299" s="2" t="str">
        <f aca="false">IF(C3299="","",IFERROR(INDEX($S$5:$S$304,MATCH(C3299,$R$5:$R$304,0))&amp;"","?"))</f>
        <v>30</v>
      </c>
      <c r="N3299" s="2" t="n">
        <f aca="false">IF(E3299="","",IF(ISNUMBER(SEARCH("SUBSOLO",E3299)),IFERROR(-VALUE(LEFT(E3299,FIND("º",SUBSTITUTE(E3299,"°","º"))-1)),-1),IF(LEFT(E3299,6)="TÉRREO",0,IFERROR(VALUE(LEFT(E3299,FIND("º",SUBSTITUTE(E3299,"°","º"))-1)),""))))</f>
        <v>28</v>
      </c>
      <c r="O3299" s="2" t="str">
        <f aca="false">IF(OR(F3299="",G3299=""),"",IF(G3299&lt;='RETRATO 2027'!$K$5,"CONCLUÍDA",IF(F3299&lt;='RETRATO 2027'!$K$5,"EM ANDAMENTO","A INICIAR")))</f>
        <v>EM ANDAMENTO</v>
      </c>
    </row>
    <row r="3300" customFormat="false" ht="15" hidden="false" customHeight="false" outlineLevel="0" collapsed="false">
      <c r="B3300" s="4" t="n">
        <v>26742720</v>
      </c>
      <c r="C3300" s="4" t="s">
        <v>2935</v>
      </c>
      <c r="D3300" s="4" t="s">
        <v>433</v>
      </c>
      <c r="E3300" s="4" t="s">
        <v>3803</v>
      </c>
      <c r="F3300" s="127" t="n">
        <v>46743</v>
      </c>
      <c r="G3300" s="127" t="n">
        <v>46763</v>
      </c>
      <c r="H3300" s="127" t="n">
        <v>46293</v>
      </c>
      <c r="I3300" s="4" t="n">
        <v>0</v>
      </c>
      <c r="J3300" s="4" t="n">
        <v>0</v>
      </c>
      <c r="K3300" s="4" t="n">
        <v>0</v>
      </c>
      <c r="M3300" s="2" t="str">
        <f aca="false">IF(C3300="","",IFERROR(INDEX($S$5:$S$304,MATCH(C3300,$R$5:$R$304,0))&amp;"","?"))</f>
        <v>30</v>
      </c>
      <c r="N3300" s="2" t="n">
        <f aca="false">IF(E3300="","",IF(ISNUMBER(SEARCH("SUBSOLO",E3300)),IFERROR(-VALUE(LEFT(E3300,FIND("º",SUBSTITUTE(E3300,"°","º"))-1)),-1),IF(LEFT(E3300,6)="TÉRREO",0,IFERROR(VALUE(LEFT(E3300,FIND("º",SUBSTITUTE(E3300,"°","º"))-1)),""))))</f>
        <v>29</v>
      </c>
      <c r="O3300" s="2" t="str">
        <f aca="false">IF(OR(F3300="",G3300=""),"",IF(G3300&lt;='RETRATO 2027'!$K$5,"CONCLUÍDA",IF(F3300&lt;='RETRATO 2027'!$K$5,"EM ANDAMENTO","A INICIAR")))</f>
        <v>EM ANDAMENTO</v>
      </c>
    </row>
    <row r="3301" customFormat="false" ht="15" hidden="false" customHeight="false" outlineLevel="0" collapsed="false">
      <c r="B3301" s="4" t="n">
        <v>26252380</v>
      </c>
      <c r="C3301" s="4" t="s">
        <v>3035</v>
      </c>
      <c r="D3301" s="4" t="s">
        <v>433</v>
      </c>
      <c r="E3301" s="4" t="s">
        <v>3795</v>
      </c>
      <c r="F3301" s="127" t="n">
        <v>46756</v>
      </c>
      <c r="G3301" s="127" t="n">
        <v>46791</v>
      </c>
      <c r="H3301" s="127" t="n">
        <v>46293</v>
      </c>
      <c r="I3301" s="4" t="n">
        <v>0</v>
      </c>
      <c r="J3301" s="4" t="n">
        <v>0</v>
      </c>
      <c r="K3301" s="4" t="n">
        <v>0</v>
      </c>
      <c r="M3301" s="2" t="str">
        <f aca="false">IF(C3301="","",IFERROR(INDEX($S$5:$S$304,MATCH(C3301,$R$5:$R$304,0))&amp;"","?"))</f>
        <v>32</v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>A INICIAR</v>
      </c>
    </row>
    <row r="3302" customFormat="false" ht="15" hidden="false" customHeight="false" outlineLevel="0" collapsed="false">
      <c r="B3302" s="4" t="n">
        <v>26246501</v>
      </c>
      <c r="C3302" s="4" t="s">
        <v>3012</v>
      </c>
      <c r="D3302" s="4" t="s">
        <v>433</v>
      </c>
      <c r="E3302" s="4" t="s">
        <v>3806</v>
      </c>
      <c r="F3302" s="127" t="n">
        <v>46756</v>
      </c>
      <c r="G3302" s="127" t="n">
        <v>46954</v>
      </c>
      <c r="H3302" s="127" t="n">
        <v>46293</v>
      </c>
      <c r="I3302" s="4" t="n">
        <v>0</v>
      </c>
      <c r="J3302" s="4" t="n">
        <v>0</v>
      </c>
      <c r="K3302" s="4" t="n">
        <v>0</v>
      </c>
      <c r="M3302" s="2" t="str">
        <f aca="false">IF(C3302="","",IFERROR(INDEX($S$5:$S$304,MATCH(C3302,$R$5:$R$304,0))&amp;"","?"))</f>
        <v>32</v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>A INICIAR</v>
      </c>
    </row>
    <row r="3303" customFormat="false" ht="15" hidden="false" customHeight="false" outlineLevel="0" collapsed="false">
      <c r="B3303" s="4" t="n">
        <v>9369719</v>
      </c>
      <c r="C3303" s="4" t="s">
        <v>3012</v>
      </c>
      <c r="D3303" s="4" t="s">
        <v>3830</v>
      </c>
      <c r="E3303" s="4" t="s">
        <v>3806</v>
      </c>
      <c r="F3303" s="127" t="n">
        <v>46756</v>
      </c>
      <c r="G3303" s="127" t="n">
        <v>46951</v>
      </c>
      <c r="H3303" s="127" t="n">
        <v>46293</v>
      </c>
      <c r="I3303" s="4" t="n">
        <v>0</v>
      </c>
      <c r="J3303" s="4" t="n">
        <v>0</v>
      </c>
      <c r="K3303" s="4" t="n">
        <v>0</v>
      </c>
      <c r="M3303" s="2" t="str">
        <f aca="false">IF(C3303="","",IFERROR(INDEX($S$5:$S$304,MATCH(C3303,$R$5:$R$304,0))&amp;"","?"))</f>
        <v>32</v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>A INICIAR</v>
      </c>
    </row>
    <row r="3304" customFormat="false" ht="15" hidden="false" customHeight="false" outlineLevel="0" collapsed="false">
      <c r="B3304" s="4" t="n">
        <v>9369720</v>
      </c>
      <c r="C3304" s="4" t="s">
        <v>3012</v>
      </c>
      <c r="D3304" s="4" t="s">
        <v>3831</v>
      </c>
      <c r="E3304" s="4" t="s">
        <v>3806</v>
      </c>
      <c r="F3304" s="127" t="n">
        <v>46762</v>
      </c>
      <c r="G3304" s="127" t="n">
        <v>46954</v>
      </c>
      <c r="H3304" s="127" t="n">
        <v>46293</v>
      </c>
      <c r="I3304" s="4" t="n">
        <v>0</v>
      </c>
      <c r="J3304" s="4" t="n">
        <v>0</v>
      </c>
      <c r="K3304" s="4" t="n">
        <v>0</v>
      </c>
      <c r="M3304" s="2" t="str">
        <f aca="false">IF(C3304="","",IFERROR(INDEX($S$5:$S$304,MATCH(C3304,$R$5:$R$304,0))&amp;"","?"))</f>
        <v>32</v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>A INICIAR</v>
      </c>
    </row>
    <row r="3305" customFormat="false" ht="15" hidden="false" customHeight="false" outlineLevel="0" collapsed="false">
      <c r="B3305" s="4" t="n">
        <v>9369721</v>
      </c>
      <c r="C3305" s="4" t="s">
        <v>3012</v>
      </c>
      <c r="D3305" s="4" t="s">
        <v>3832</v>
      </c>
      <c r="E3305" s="4" t="s">
        <v>3806</v>
      </c>
      <c r="F3305" s="127" t="n">
        <v>46763</v>
      </c>
      <c r="G3305" s="127" t="n">
        <v>46954</v>
      </c>
      <c r="H3305" s="127" t="n">
        <v>46293</v>
      </c>
      <c r="I3305" s="4" t="n">
        <v>0</v>
      </c>
      <c r="J3305" s="4" t="n">
        <v>0</v>
      </c>
      <c r="K3305" s="4" t="n">
        <v>0</v>
      </c>
      <c r="M3305" s="2" t="str">
        <f aca="false">IF(C3305="","",IFERROR(INDEX($S$5:$S$304,MATCH(C3305,$R$5:$R$304,0))&amp;"","?"))</f>
        <v>32</v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>A INICIAR</v>
      </c>
    </row>
    <row r="3306" customFormat="false" ht="15" hidden="false" customHeight="false" outlineLevel="0" collapsed="false">
      <c r="B3306" s="4" t="n">
        <v>9369722</v>
      </c>
      <c r="C3306" s="4" t="s">
        <v>3012</v>
      </c>
      <c r="D3306" s="4" t="s">
        <v>3833</v>
      </c>
      <c r="E3306" s="4" t="s">
        <v>3806</v>
      </c>
      <c r="F3306" s="127" t="n">
        <v>46793</v>
      </c>
      <c r="G3306" s="127" t="n">
        <v>46892</v>
      </c>
      <c r="H3306" s="127" t="n">
        <v>46293</v>
      </c>
      <c r="I3306" s="4" t="n">
        <v>0</v>
      </c>
      <c r="J3306" s="4" t="n">
        <v>0</v>
      </c>
      <c r="K3306" s="4" t="n">
        <v>0</v>
      </c>
      <c r="M3306" s="2" t="str">
        <f aca="false">IF(C3306="","",IFERROR(INDEX($S$5:$S$304,MATCH(C3306,$R$5:$R$304,0))&amp;"","?"))</f>
        <v>32</v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>A INICIAR</v>
      </c>
    </row>
    <row r="3307" customFormat="false" ht="15" hidden="false" customHeight="false" outlineLevel="0" collapsed="false">
      <c r="B3307" s="4" t="n">
        <v>26744985</v>
      </c>
      <c r="C3307" s="4" t="s">
        <v>208</v>
      </c>
      <c r="D3307" s="4" t="s">
        <v>433</v>
      </c>
      <c r="E3307" s="4" t="s">
        <v>3662</v>
      </c>
      <c r="F3307" s="127" t="n">
        <v>46757</v>
      </c>
      <c r="G3307" s="127" t="n">
        <v>46764</v>
      </c>
      <c r="H3307" s="127" t="n">
        <v>46293</v>
      </c>
      <c r="I3307" s="4" t="n">
        <v>0</v>
      </c>
      <c r="J3307" s="4" t="n">
        <v>0</v>
      </c>
      <c r="K3307" s="4" t="n">
        <v>0</v>
      </c>
      <c r="M3307" s="2" t="str">
        <f aca="false">IF(C3307="","",IFERROR(INDEX($S$5:$S$304,MATCH(C3307,$R$5:$R$304,0))&amp;"","?"))</f>
        <v>33</v>
      </c>
      <c r="N3307" s="2" t="n">
        <f aca="false">IF(E3307="","",IF(ISNUMBER(SEARCH("SUBSOLO",E3307)),IFERROR(-VALUE(LEFT(E3307,FIND("º",SUBSTITUTE(E3307,"°","º"))-1)),-1),IF(LEFT(E3307,6)="TÉRREO",0,IFERROR(VALUE(LEFT(E3307,FIND("º",SUBSTITUTE(E3307,"°","º"))-1)),""))))</f>
        <v>-5</v>
      </c>
      <c r="O3307" s="2" t="str">
        <f aca="false">IF(OR(F3307="",G3307=""),"",IF(G3307&lt;='RETRATO 2027'!$K$5,"CONCLUÍDA",IF(F3307&lt;='RETRATO 2027'!$K$5,"EM ANDAMENTO","A INICIAR")))</f>
        <v>A INICIAR</v>
      </c>
    </row>
    <row r="3308" customFormat="false" ht="15" hidden="false" customHeight="false" outlineLevel="0" collapsed="false">
      <c r="B3308" s="4" t="n">
        <v>26707587</v>
      </c>
      <c r="C3308" s="4" t="s">
        <v>2980</v>
      </c>
      <c r="D3308" s="4" t="s">
        <v>433</v>
      </c>
      <c r="E3308" s="4" t="s">
        <v>3815</v>
      </c>
      <c r="F3308" s="127" t="n">
        <v>46757</v>
      </c>
      <c r="G3308" s="127" t="n">
        <v>46777</v>
      </c>
      <c r="H3308" s="127" t="n">
        <v>46293</v>
      </c>
      <c r="I3308" s="4" t="n">
        <v>0</v>
      </c>
      <c r="J3308" s="4" t="n">
        <v>0</v>
      </c>
      <c r="K3308" s="4" t="n">
        <v>0</v>
      </c>
      <c r="M3308" s="2" t="str">
        <f aca="false">IF(C3308="","",IFERROR(INDEX($S$5:$S$304,MATCH(C3308,$R$5:$R$304,0))&amp;"","?"))</f>
        <v>35</v>
      </c>
      <c r="N3308" s="2" t="n">
        <f aca="false">IF(E3308="","",IF(ISNUMBER(SEARCH("SUBSOLO",E3308)),IFERROR(-VALUE(LEFT(E3308,FIND("º",SUBSTITUTE(E3308,"°","º"))-1)),-1),IF(LEFT(E3308,6)="TÉRREO",0,IFERROR(VALUE(LEFT(E3308,FIND("º",SUBSTITUTE(E3308,"°","º"))-1)),""))))</f>
        <v>2</v>
      </c>
      <c r="O3308" s="2" t="str">
        <f aca="false">IF(OR(F3308="",G3308=""),"",IF(G3308&lt;='RETRATO 2027'!$K$5,"CONCLUÍDA",IF(F3308&lt;='RETRATO 2027'!$K$5,"EM ANDAMENTO","A INICIAR")))</f>
        <v>A INICIAR</v>
      </c>
    </row>
    <row r="3309" customFormat="false" ht="15" hidden="false" customHeight="false" outlineLevel="0" collapsed="false">
      <c r="B3309" s="4" t="n">
        <v>26744463</v>
      </c>
      <c r="C3309" s="4" t="s">
        <v>3055</v>
      </c>
      <c r="D3309" s="4" t="s">
        <v>433</v>
      </c>
      <c r="E3309" s="4" t="s">
        <v>3829</v>
      </c>
      <c r="F3309" s="127" t="n">
        <v>46757</v>
      </c>
      <c r="G3309" s="127" t="n">
        <v>46770</v>
      </c>
      <c r="H3309" s="127" t="n">
        <v>46293</v>
      </c>
      <c r="I3309" s="4" t="n">
        <v>0</v>
      </c>
      <c r="J3309" s="4" t="n">
        <v>0</v>
      </c>
      <c r="K3309" s="4" t="n">
        <v>0</v>
      </c>
      <c r="M3309" s="2" t="str">
        <f aca="false">IF(C3309="","",IFERROR(INDEX($S$5:$S$304,MATCH(C3309,$R$5:$R$304,0))&amp;"","?"))</f>
        <v>25</v>
      </c>
      <c r="N3309" s="2" t="n">
        <f aca="false">IF(E3309="","",IF(ISNUMBER(SEARCH("SUBSOLO",E3309)),IFERROR(-VALUE(LEFT(E3309,FIND("º",SUBSTITUTE(E3309,"°","º"))-1)),-1),IF(LEFT(E3309,6)="TÉRREO",0,IFERROR(VALUE(LEFT(E3309,FIND("º",SUBSTITUTE(E3309,"°","º"))-1)),""))))</f>
        <v>3</v>
      </c>
      <c r="O3309" s="2" t="str">
        <f aca="false">IF(OR(F3309="",G3309=""),"",IF(G3309&lt;='RETRATO 2027'!$K$5,"CONCLUÍDA",IF(F3309&lt;='RETRATO 2027'!$K$5,"EM ANDAMENTO","A INICIAR")))</f>
        <v>A INICIAR</v>
      </c>
    </row>
    <row r="3310" customFormat="false" ht="15" hidden="false" customHeight="false" outlineLevel="0" collapsed="false">
      <c r="B3310" s="4" t="n">
        <v>26707631</v>
      </c>
      <c r="C3310" s="4" t="s">
        <v>2997</v>
      </c>
      <c r="D3310" s="4" t="s">
        <v>433</v>
      </c>
      <c r="E3310" s="4" t="s">
        <v>3811</v>
      </c>
      <c r="F3310" s="127" t="n">
        <v>46758</v>
      </c>
      <c r="G3310" s="127" t="n">
        <v>46778</v>
      </c>
      <c r="H3310" s="127" t="n">
        <v>46293</v>
      </c>
      <c r="I3310" s="4" t="n">
        <v>0</v>
      </c>
      <c r="J3310" s="4" t="n">
        <v>0</v>
      </c>
      <c r="K3310" s="4" t="n">
        <v>0</v>
      </c>
      <c r="M3310" s="2" t="str">
        <f aca="false">IF(C3310="","",IFERROR(INDEX($S$5:$S$304,MATCH(C3310,$R$5:$R$304,0))&amp;"","?"))</f>
        <v>35</v>
      </c>
      <c r="N3310" s="2" t="n">
        <f aca="false">IF(E3310="","",IF(ISNUMBER(SEARCH("SUBSOLO",E3310)),IFERROR(-VALUE(LEFT(E3310,FIND("º",SUBSTITUTE(E3310,"°","º"))-1)),-1),IF(LEFT(E3310,6)="TÉRREO",0,IFERROR(VALUE(LEFT(E3310,FIND("º",SUBSTITUTE(E3310,"°","º"))-1)),""))))</f>
        <v>2</v>
      </c>
      <c r="O3310" s="2" t="str">
        <f aca="false">IF(OR(F3310="",G3310=""),"",IF(G3310&lt;='RETRATO 2027'!$K$5,"CONCLUÍDA",IF(F3310&lt;='RETRATO 2027'!$K$5,"EM ANDAMENTO","A INICIAR")))</f>
        <v>A INICIAR</v>
      </c>
    </row>
    <row r="3311" customFormat="false" ht="15" hidden="false" customHeight="false" outlineLevel="0" collapsed="false">
      <c r="B3311" s="4" t="n">
        <v>26744974</v>
      </c>
      <c r="C3311" s="4" t="s">
        <v>189</v>
      </c>
      <c r="D3311" s="4" t="s">
        <v>433</v>
      </c>
      <c r="E3311" s="4" t="s">
        <v>3558</v>
      </c>
      <c r="F3311" s="127" t="n">
        <v>46759</v>
      </c>
      <c r="G3311" s="127" t="n">
        <v>46770</v>
      </c>
      <c r="H3311" s="127" t="n">
        <v>46293</v>
      </c>
      <c r="I3311" s="4" t="n">
        <v>0</v>
      </c>
      <c r="J3311" s="4" t="n">
        <v>0</v>
      </c>
      <c r="K3311" s="4" t="n">
        <v>0</v>
      </c>
      <c r="M3311" s="2" t="str">
        <f aca="false">IF(C3311="","",IFERROR(INDEX($S$5:$S$304,MATCH(C3311,$R$5:$R$304,0))&amp;"","?"))</f>
        <v>27</v>
      </c>
      <c r="N3311" s="2" t="n">
        <f aca="false">IF(E3311="","",IF(ISNUMBER(SEARCH("SUBSOLO",E3311)),IFERROR(-VALUE(LEFT(E3311,FIND("º",SUBSTITUTE(E3311,"°","º"))-1)),-1),IF(LEFT(E3311,6)="TÉRREO",0,IFERROR(VALUE(LEFT(E3311,FIND("º",SUBSTITUTE(E3311,"°","º"))-1)),""))))</f>
        <v>-4</v>
      </c>
      <c r="O3311" s="2" t="str">
        <f aca="false">IF(OR(F3311="",G3311=""),"",IF(G3311&lt;='RETRATO 2027'!$K$5,"CONCLUÍDA",IF(F3311&lt;='RETRATO 2027'!$K$5,"EM ANDAMENTO","A INICIAR")))</f>
        <v>A INICIAR</v>
      </c>
    </row>
    <row r="3312" customFormat="false" ht="15" hidden="false" customHeight="false" outlineLevel="0" collapsed="false">
      <c r="B3312" s="4" t="n">
        <v>26743656</v>
      </c>
      <c r="C3312" s="4" t="s">
        <v>3079</v>
      </c>
      <c r="D3312" s="4" t="s">
        <v>433</v>
      </c>
      <c r="E3312" s="4" t="s">
        <v>3668</v>
      </c>
      <c r="F3312" s="127" t="n">
        <v>46759</v>
      </c>
      <c r="G3312" s="127" t="n">
        <v>46769</v>
      </c>
      <c r="H3312" s="127" t="n">
        <v>46293</v>
      </c>
      <c r="I3312" s="4" t="n">
        <v>0</v>
      </c>
      <c r="J3312" s="4" t="n">
        <v>0</v>
      </c>
      <c r="K3312" s="4" t="n">
        <v>0</v>
      </c>
      <c r="M3312" s="2" t="str">
        <f aca="false">IF(C3312="","",IFERROR(INDEX($S$5:$S$304,MATCH(C3312,$R$5:$R$304,0))&amp;"","?"))</f>
        <v>25</v>
      </c>
      <c r="N3312" s="2" t="n">
        <f aca="false">IF(E3312="","",IF(ISNUMBER(SEARCH("SUBSOLO",E3312)),IFERROR(-VALUE(LEFT(E3312,FIND("º",SUBSTITUTE(E3312,"°","º"))-1)),-1),IF(LEFT(E3312,6)="TÉRREO",0,IFERROR(VALUE(LEFT(E3312,FIND("º",SUBSTITUTE(E3312,"°","º"))-1)),""))))</f>
        <v>4</v>
      </c>
      <c r="O3312" s="2" t="str">
        <f aca="false">IF(OR(F3312="",G3312=""),"",IF(G3312&lt;='RETRATO 2027'!$K$5,"CONCLUÍDA",IF(F3312&lt;='RETRATO 2027'!$K$5,"EM ANDAMENTO","A INICIAR")))</f>
        <v>A INICIAR</v>
      </c>
    </row>
    <row r="3313" customFormat="false" ht="15" hidden="false" customHeight="false" outlineLevel="0" collapsed="false">
      <c r="B3313" s="4" t="n">
        <v>26743617</v>
      </c>
      <c r="C3313" s="4" t="s">
        <v>3073</v>
      </c>
      <c r="D3313" s="4" t="s">
        <v>433</v>
      </c>
      <c r="E3313" s="4" t="s">
        <v>3678</v>
      </c>
      <c r="F3313" s="127" t="n">
        <v>46759</v>
      </c>
      <c r="G3313" s="127" t="n">
        <v>46769</v>
      </c>
      <c r="H3313" s="127" t="n">
        <v>46293</v>
      </c>
      <c r="I3313" s="4" t="n">
        <v>0</v>
      </c>
      <c r="J3313" s="4" t="n">
        <v>0</v>
      </c>
      <c r="K3313" s="4" t="n">
        <v>0</v>
      </c>
      <c r="M3313" s="2" t="str">
        <f aca="false">IF(C3313="","",IFERROR(INDEX($S$5:$S$304,MATCH(C3313,$R$5:$R$304,0))&amp;"","?"))</f>
        <v>30</v>
      </c>
      <c r="N3313" s="2" t="n">
        <f aca="false">IF(E3313="","",IF(ISNUMBER(SEARCH("SUBSOLO",E3313)),IFERROR(-VALUE(LEFT(E3313,FIND("º",SUBSTITUTE(E3313,"°","º"))-1)),-1),IF(LEFT(E3313,6)="TÉRREO",0,IFERROR(VALUE(LEFT(E3313,FIND("º",SUBSTITUTE(E3313,"°","º"))-1)),""))))</f>
        <v>5</v>
      </c>
      <c r="O3313" s="2" t="str">
        <f aca="false">IF(OR(F3313="",G3313=""),"",IF(G3313&lt;='RETRATO 2027'!$K$5,"CONCLUÍDA",IF(F3313&lt;='RETRATO 2027'!$K$5,"EM ANDAMENTO","A INICIAR")))</f>
        <v>A INICIAR</v>
      </c>
    </row>
    <row r="3314" customFormat="false" ht="15" hidden="false" customHeight="false" outlineLevel="0" collapsed="false">
      <c r="B3314" s="4" t="n">
        <v>26743579</v>
      </c>
      <c r="C3314" s="4" t="s">
        <v>3055</v>
      </c>
      <c r="D3314" s="4" t="s">
        <v>433</v>
      </c>
      <c r="E3314" s="4" t="s">
        <v>3685</v>
      </c>
      <c r="F3314" s="127" t="n">
        <v>46759</v>
      </c>
      <c r="G3314" s="127" t="n">
        <v>46769</v>
      </c>
      <c r="H3314" s="127" t="n">
        <v>46293</v>
      </c>
      <c r="I3314" s="4" t="n">
        <v>0</v>
      </c>
      <c r="J3314" s="4" t="n">
        <v>0</v>
      </c>
      <c r="K3314" s="4" t="n">
        <v>0</v>
      </c>
      <c r="M3314" s="2" t="str">
        <f aca="false">IF(C3314="","",IFERROR(INDEX($S$5:$S$304,MATCH(C3314,$R$5:$R$304,0))&amp;"","?"))</f>
        <v>25</v>
      </c>
      <c r="N3314" s="2" t="n">
        <f aca="false">IF(E3314="","",IF(ISNUMBER(SEARCH("SUBSOLO",E3314)),IFERROR(-VALUE(LEFT(E3314,FIND("º",SUBSTITUTE(E3314,"°","º"))-1)),-1),IF(LEFT(E3314,6)="TÉRREO",0,IFERROR(VALUE(LEFT(E3314,FIND("º",SUBSTITUTE(E3314,"°","º"))-1)),""))))</f>
        <v>6</v>
      </c>
      <c r="O3314" s="2" t="str">
        <f aca="false">IF(OR(F3314="",G3314=""),"",IF(G3314&lt;='RETRATO 2027'!$K$5,"CONCLUÍDA",IF(F3314&lt;='RETRATO 2027'!$K$5,"EM ANDAMENTO","A INICIAR")))</f>
        <v>A INICIAR</v>
      </c>
    </row>
    <row r="3315" customFormat="false" ht="15" hidden="false" customHeight="false" outlineLevel="0" collapsed="false">
      <c r="B3315" s="4" t="n">
        <v>26743746</v>
      </c>
      <c r="C3315" s="4" t="s">
        <v>3006</v>
      </c>
      <c r="D3315" s="4" t="s">
        <v>433</v>
      </c>
      <c r="E3315" s="4" t="s">
        <v>3375</v>
      </c>
      <c r="F3315" s="127" t="n">
        <v>46763</v>
      </c>
      <c r="G3315" s="127" t="n">
        <v>46783</v>
      </c>
      <c r="H3315" s="127" t="n">
        <v>46293</v>
      </c>
      <c r="I3315" s="4" t="n">
        <v>0</v>
      </c>
      <c r="J3315" s="4" t="n">
        <v>0</v>
      </c>
      <c r="K3315" s="4" t="n">
        <v>0</v>
      </c>
      <c r="M3315" s="2" t="str">
        <f aca="false">IF(C3315="","",IFERROR(INDEX($S$5:$S$304,MATCH(C3315,$R$5:$R$304,0))&amp;"","?"))</f>
        <v>37</v>
      </c>
      <c r="N3315" s="2" t="n">
        <f aca="false">IF(E3315="","",IF(ISNUMBER(SEARCH("SUBSOLO",E3315)),IFERROR(-VALUE(LEFT(E3315,FIND("º",SUBSTITUTE(E3315,"°","º"))-1)),-1),IF(LEFT(E3315,6)="TÉRREO",0,IFERROR(VALUE(LEFT(E3315,FIND("º",SUBSTITUTE(E3315,"°","º"))-1)),""))))</f>
        <v>-3</v>
      </c>
      <c r="O3315" s="2" t="str">
        <f aca="false">IF(OR(F3315="",G3315=""),"",IF(G3315&lt;='RETRATO 2027'!$K$5,"CONCLUÍDA",IF(F3315&lt;='RETRATO 2027'!$K$5,"EM ANDAMENTO","A INICIAR")))</f>
        <v>A INICIAR</v>
      </c>
    </row>
    <row r="3316" customFormat="false" ht="15" hidden="false" customHeight="false" outlineLevel="0" collapsed="false">
      <c r="B3316" s="4" t="n">
        <v>26744962</v>
      </c>
      <c r="C3316" s="4" t="s">
        <v>3032</v>
      </c>
      <c r="D3316" s="4" t="s">
        <v>433</v>
      </c>
      <c r="E3316" s="4" t="s">
        <v>3671</v>
      </c>
      <c r="F3316" s="127" t="n">
        <v>46763</v>
      </c>
      <c r="G3316" s="127" t="n">
        <v>46772</v>
      </c>
      <c r="H3316" s="127" t="n">
        <v>46293</v>
      </c>
      <c r="I3316" s="4" t="n">
        <v>0</v>
      </c>
      <c r="J3316" s="4" t="n">
        <v>0</v>
      </c>
      <c r="K3316" s="4" t="n">
        <v>0</v>
      </c>
      <c r="M3316" s="2" t="str">
        <f aca="false">IF(C3316="","",IFERROR(INDEX($S$5:$S$304,MATCH(C3316,$R$5:$R$304,0))&amp;"","?"))</f>
        <v>35</v>
      </c>
      <c r="N3316" s="2" t="n">
        <f aca="false">IF(E3316="","",IF(ISNUMBER(SEARCH("SUBSOLO",E3316)),IFERROR(-VALUE(LEFT(E3316,FIND("º",SUBSTITUTE(E3316,"°","º"))-1)),-1),IF(LEFT(E3316,6)="TÉRREO",0,IFERROR(VALUE(LEFT(E3316,FIND("º",SUBSTITUTE(E3316,"°","º"))-1)),""))))</f>
        <v>-3</v>
      </c>
      <c r="O3316" s="2" t="str">
        <f aca="false">IF(OR(F3316="",G3316=""),"",IF(G3316&lt;='RETRATO 2027'!$K$5,"CONCLUÍDA",IF(F3316&lt;='RETRATO 2027'!$K$5,"EM ANDAMENTO","A INICIAR")))</f>
        <v>A INICIAR</v>
      </c>
    </row>
    <row r="3317" customFormat="false" ht="15" hidden="false" customHeight="false" outlineLevel="0" collapsed="false">
      <c r="B3317" s="4" t="n">
        <v>26745012</v>
      </c>
      <c r="C3317" s="4" t="s">
        <v>3003</v>
      </c>
      <c r="D3317" s="4" t="s">
        <v>433</v>
      </c>
      <c r="E3317" s="4" t="s">
        <v>3828</v>
      </c>
      <c r="F3317" s="127" t="n">
        <v>46763</v>
      </c>
      <c r="G3317" s="127" t="n">
        <v>46772</v>
      </c>
      <c r="H3317" s="127" t="n">
        <v>46293</v>
      </c>
      <c r="I3317" s="4" t="n">
        <v>0</v>
      </c>
      <c r="J3317" s="4" t="n">
        <v>0</v>
      </c>
      <c r="K3317" s="4" t="n">
        <v>0</v>
      </c>
      <c r="M3317" s="2" t="str">
        <f aca="false">IF(C3317="","",IFERROR(INDEX($S$5:$S$304,MATCH(C3317,$R$5:$R$304,0))&amp;"","?"))</f>
        <v>20</v>
      </c>
      <c r="N3317" s="2" t="n">
        <f aca="false">IF(E3317="","",IF(ISNUMBER(SEARCH("SUBSOLO",E3317)),IFERROR(-VALUE(LEFT(E3317,FIND("º",SUBSTITUTE(E3317,"°","º"))-1)),-1),IF(LEFT(E3317,6)="TÉRREO",0,IFERROR(VALUE(LEFT(E3317,FIND("º",SUBSTITUTE(E3317,"°","º"))-1)),""))))</f>
        <v>2</v>
      </c>
      <c r="O3317" s="2" t="str">
        <f aca="false">IF(OR(F3317="",G3317=""),"",IF(G3317&lt;='RETRATO 2027'!$K$5,"CONCLUÍDA",IF(F3317&lt;='RETRATO 2027'!$K$5,"EM ANDAMENTO","A INICIAR")))</f>
        <v>A INICIAR</v>
      </c>
    </row>
    <row r="3318" customFormat="false" ht="15" hidden="false" customHeight="false" outlineLevel="0" collapsed="false">
      <c r="B3318" s="4" t="n">
        <v>26742867</v>
      </c>
      <c r="C3318" s="4" t="s">
        <v>2997</v>
      </c>
      <c r="D3318" s="4" t="s">
        <v>433</v>
      </c>
      <c r="E3318" s="4" t="s">
        <v>3794</v>
      </c>
      <c r="F3318" s="127" t="n">
        <v>46763</v>
      </c>
      <c r="G3318" s="127" t="n">
        <v>46772</v>
      </c>
      <c r="H3318" s="127" t="n">
        <v>46293</v>
      </c>
      <c r="I3318" s="4" t="n">
        <v>0</v>
      </c>
      <c r="J3318" s="4" t="n">
        <v>0</v>
      </c>
      <c r="K3318" s="4" t="n">
        <v>0</v>
      </c>
      <c r="M3318" s="2" t="str">
        <f aca="false">IF(C3318="","",IFERROR(INDEX($S$5:$S$304,MATCH(C3318,$R$5:$R$304,0))&amp;"","?"))</f>
        <v>35</v>
      </c>
      <c r="N3318" s="2" t="n">
        <f aca="false">IF(E3318="","",IF(ISNUMBER(SEARCH("SUBSOLO",E3318)),IFERROR(-VALUE(LEFT(E3318,FIND("º",SUBSTITUTE(E3318,"°","º"))-1)),-1),IF(LEFT(E3318,6)="TÉRREO",0,IFERROR(VALUE(LEFT(E3318,FIND("º",SUBSTITUTE(E3318,"°","º"))-1)),""))))</f>
        <v>25</v>
      </c>
      <c r="O3318" s="2" t="str">
        <f aca="false">IF(OR(F3318="",G3318=""),"",IF(G3318&lt;='RETRATO 2027'!$K$5,"CONCLUÍDA",IF(F3318&lt;='RETRATO 2027'!$K$5,"EM ANDAMENTO","A INICIAR")))</f>
        <v>A INICIAR</v>
      </c>
    </row>
    <row r="3319" customFormat="false" ht="15" hidden="false" customHeight="false" outlineLevel="0" collapsed="false">
      <c r="B3319" s="4" t="n">
        <v>26742829</v>
      </c>
      <c r="C3319" s="4" t="s">
        <v>2980</v>
      </c>
      <c r="D3319" s="4" t="s">
        <v>433</v>
      </c>
      <c r="E3319" s="4" t="s">
        <v>3797</v>
      </c>
      <c r="F3319" s="127" t="n">
        <v>46763</v>
      </c>
      <c r="G3319" s="127" t="n">
        <v>46772</v>
      </c>
      <c r="H3319" s="127" t="n">
        <v>46293</v>
      </c>
      <c r="I3319" s="4" t="n">
        <v>0</v>
      </c>
      <c r="J3319" s="4" t="n">
        <v>0</v>
      </c>
      <c r="K3319" s="4" t="n">
        <v>0</v>
      </c>
      <c r="M3319" s="2" t="str">
        <f aca="false">IF(C3319="","",IFERROR(INDEX($S$5:$S$304,MATCH(C3319,$R$5:$R$304,0))&amp;"","?"))</f>
        <v>35</v>
      </c>
      <c r="N3319" s="2" t="n">
        <f aca="false">IF(E3319="","",IF(ISNUMBER(SEARCH("SUBSOLO",E3319)),IFERROR(-VALUE(LEFT(E3319,FIND("º",SUBSTITUTE(E3319,"°","º"))-1)),-1),IF(LEFT(E3319,6)="TÉRREO",0,IFERROR(VALUE(LEFT(E3319,FIND("º",SUBSTITUTE(E3319,"°","º"))-1)),""))))</f>
        <v>26</v>
      </c>
      <c r="O3319" s="2" t="str">
        <f aca="false">IF(OR(F3319="",G3319=""),"",IF(G3319&lt;='RETRATO 2027'!$K$5,"CONCLUÍDA",IF(F3319&lt;='RETRATO 2027'!$K$5,"EM ANDAMENTO","A INICIAR")))</f>
        <v>A INICIAR</v>
      </c>
    </row>
    <row r="3320" customFormat="false" ht="15" hidden="false" customHeight="false" outlineLevel="0" collapsed="false">
      <c r="B3320" s="4" t="n">
        <v>26742799</v>
      </c>
      <c r="C3320" s="4" t="s">
        <v>208</v>
      </c>
      <c r="D3320" s="4" t="s">
        <v>433</v>
      </c>
      <c r="E3320" s="4" t="s">
        <v>3799</v>
      </c>
      <c r="F3320" s="127" t="n">
        <v>46763</v>
      </c>
      <c r="G3320" s="127" t="n">
        <v>46772</v>
      </c>
      <c r="H3320" s="127" t="n">
        <v>46293</v>
      </c>
      <c r="I3320" s="4" t="n">
        <v>0</v>
      </c>
      <c r="J3320" s="4" t="n">
        <v>0</v>
      </c>
      <c r="K3320" s="4" t="n">
        <v>0</v>
      </c>
      <c r="M3320" s="2" t="str">
        <f aca="false">IF(C3320="","",IFERROR(INDEX($S$5:$S$304,MATCH(C3320,$R$5:$R$304,0))&amp;"","?"))</f>
        <v>33</v>
      </c>
      <c r="N3320" s="2" t="n">
        <f aca="false">IF(E3320="","",IF(ISNUMBER(SEARCH("SUBSOLO",E3320)),IFERROR(-VALUE(LEFT(E3320,FIND("º",SUBSTITUTE(E3320,"°","º"))-1)),-1),IF(LEFT(E3320,6)="TÉRREO",0,IFERROR(VALUE(LEFT(E3320,FIND("º",SUBSTITUTE(E3320,"°","º"))-1)),""))))</f>
        <v>27</v>
      </c>
      <c r="O3320" s="2" t="str">
        <f aca="false">IF(OR(F3320="",G3320=""),"",IF(G3320&lt;='RETRATO 2027'!$K$5,"CONCLUÍDA",IF(F3320&lt;='RETRATO 2027'!$K$5,"EM ANDAMENTO","A INICIAR")))</f>
        <v>A INICIAR</v>
      </c>
    </row>
    <row r="3321" customFormat="false" ht="15" hidden="false" customHeight="false" outlineLevel="0" collapsed="false">
      <c r="B3321" s="4" t="n">
        <v>26743723</v>
      </c>
      <c r="C3321" s="4" t="s">
        <v>2971</v>
      </c>
      <c r="D3321" s="4" t="s">
        <v>433</v>
      </c>
      <c r="E3321" s="4" t="s">
        <v>3466</v>
      </c>
      <c r="F3321" s="127" t="n">
        <v>46764</v>
      </c>
      <c r="G3321" s="127" t="n">
        <v>46777</v>
      </c>
      <c r="H3321" s="127" t="n">
        <v>46293</v>
      </c>
      <c r="I3321" s="4" t="n">
        <v>0</v>
      </c>
      <c r="J3321" s="4" t="n">
        <v>0</v>
      </c>
      <c r="K3321" s="4" t="n">
        <v>0</v>
      </c>
      <c r="M3321" s="2" t="str">
        <f aca="false">IF(C3321="","",IFERROR(INDEX($S$5:$S$304,MATCH(C3321,$R$5:$R$304,0))&amp;"","?"))</f>
        <v>37</v>
      </c>
      <c r="N3321" s="2" t="n">
        <f aca="false">IF(E3321="","",IF(ISNUMBER(SEARCH("SUBSOLO",E3321)),IFERROR(-VALUE(LEFT(E3321,FIND("º",SUBSTITUTE(E3321,"°","º"))-1)),-1),IF(LEFT(E3321,6)="TÉRREO",0,IFERROR(VALUE(LEFT(E3321,FIND("º",SUBSTITUTE(E3321,"°","º"))-1)),""))))</f>
        <v>-1</v>
      </c>
      <c r="O3321" s="2" t="str">
        <f aca="false">IF(OR(F3321="",G3321=""),"",IF(G3321&lt;='RETRATO 2027'!$K$5,"CONCLUÍDA",IF(F3321&lt;='RETRATO 2027'!$K$5,"EM ANDAMENTO","A INICIAR")))</f>
        <v>A INICIAR</v>
      </c>
    </row>
    <row r="3322" customFormat="false" ht="15" hidden="false" customHeight="false" outlineLevel="0" collapsed="false">
      <c r="B3322" s="4" t="n">
        <v>29845975</v>
      </c>
      <c r="C3322" s="4" t="s">
        <v>2983</v>
      </c>
      <c r="D3322" s="4" t="s">
        <v>433</v>
      </c>
      <c r="E3322" s="4" t="s">
        <v>3802</v>
      </c>
      <c r="F3322" s="127" t="n">
        <v>46764</v>
      </c>
      <c r="G3322" s="127" t="n">
        <v>46772</v>
      </c>
      <c r="H3322" s="127" t="n">
        <v>46293</v>
      </c>
      <c r="I3322" s="4" t="n">
        <v>0</v>
      </c>
      <c r="J3322" s="4" t="n">
        <v>0</v>
      </c>
      <c r="K3322" s="4" t="n">
        <v>0</v>
      </c>
      <c r="M3322" s="2" t="str">
        <f aca="false">IF(C3322="","",IFERROR(INDEX($S$5:$S$304,MATCH(C3322,$R$5:$R$304,0))&amp;"","?"))</f>
        <v>20</v>
      </c>
      <c r="N3322" s="2" t="n">
        <f aca="false">IF(E3322="","",IF(ISNUMBER(SEARCH("SUBSOLO",E3322)),IFERROR(-VALUE(LEFT(E3322,FIND("º",SUBSTITUTE(E3322,"°","º"))-1)),-1),IF(LEFT(E3322,6)="TÉRREO",0,IFERROR(VALUE(LEFT(E3322,FIND("º",SUBSTITUTE(E3322,"°","º"))-1)),""))))</f>
        <v>28</v>
      </c>
      <c r="O3322" s="2" t="str">
        <f aca="false">IF(OR(F3322="",G3322=""),"",IF(G3322&lt;='RETRATO 2027'!$K$5,"CONCLUÍDA",IF(F3322&lt;='RETRATO 2027'!$K$5,"EM ANDAMENTO","A INICIAR")))</f>
        <v>A INICIAR</v>
      </c>
    </row>
    <row r="3323" customFormat="false" ht="15" hidden="false" customHeight="false" outlineLevel="0" collapsed="false">
      <c r="B3323" s="4" t="n">
        <v>29845914</v>
      </c>
      <c r="C3323" s="4" t="s">
        <v>2986</v>
      </c>
      <c r="D3323" s="4" t="s">
        <v>433</v>
      </c>
      <c r="E3323" s="4" t="s">
        <v>3802</v>
      </c>
      <c r="F3323" s="127" t="n">
        <v>46764</v>
      </c>
      <c r="G3323" s="127" t="n">
        <v>46773</v>
      </c>
      <c r="H3323" s="127" t="n">
        <v>46293</v>
      </c>
      <c r="I3323" s="4" t="n">
        <v>0</v>
      </c>
      <c r="J3323" s="4" t="n">
        <v>0</v>
      </c>
      <c r="K3323" s="4" t="n">
        <v>0</v>
      </c>
      <c r="M3323" s="2" t="str">
        <f aca="false">IF(C3323="","",IFERROR(INDEX($S$5:$S$304,MATCH(C3323,$R$5:$R$304,0))&amp;"","?"))</f>
        <v>20</v>
      </c>
      <c r="N3323" s="2" t="n">
        <f aca="false">IF(E3323="","",IF(ISNUMBER(SEARCH("SUBSOLO",E3323)),IFERROR(-VALUE(LEFT(E3323,FIND("º",SUBSTITUTE(E3323,"°","º"))-1)),-1),IF(LEFT(E3323,6)="TÉRREO",0,IFERROR(VALUE(LEFT(E3323,FIND("º",SUBSTITUTE(E3323,"°","º"))-1)),""))))</f>
        <v>28</v>
      </c>
      <c r="O3323" s="2" t="str">
        <f aca="false">IF(OR(F3323="",G3323=""),"",IF(G3323&lt;='RETRATO 2027'!$K$5,"CONCLUÍDA",IF(F3323&lt;='RETRATO 2027'!$K$5,"EM ANDAMENTO","A INICIAR")))</f>
        <v>A INICIAR</v>
      </c>
    </row>
    <row r="3324" customFormat="false" ht="15" hidden="false" customHeight="false" outlineLevel="0" collapsed="false">
      <c r="B3324" s="4" t="n">
        <v>26742727</v>
      </c>
      <c r="C3324" s="4" t="s">
        <v>2977</v>
      </c>
      <c r="D3324" s="4" t="s">
        <v>433</v>
      </c>
      <c r="E3324" s="4" t="s">
        <v>3803</v>
      </c>
      <c r="F3324" s="127" t="n">
        <v>46764</v>
      </c>
      <c r="G3324" s="127" t="n">
        <v>46773</v>
      </c>
      <c r="H3324" s="127" t="n">
        <v>46293</v>
      </c>
      <c r="I3324" s="4" t="n">
        <v>0</v>
      </c>
      <c r="J3324" s="4" t="n">
        <v>0</v>
      </c>
      <c r="K3324" s="4" t="n">
        <v>0</v>
      </c>
      <c r="M3324" s="2" t="str">
        <f aca="false">IF(C3324="","",IFERROR(INDEX($S$5:$S$304,MATCH(C3324,$R$5:$R$304,0))&amp;"","?"))</f>
        <v>30</v>
      </c>
      <c r="N3324" s="2" t="n">
        <f aca="false">IF(E3324="","",IF(ISNUMBER(SEARCH("SUBSOLO",E3324)),IFERROR(-VALUE(LEFT(E3324,FIND("º",SUBSTITUTE(E3324,"°","º"))-1)),-1),IF(LEFT(E3324,6)="TÉRREO",0,IFERROR(VALUE(LEFT(E3324,FIND("º",SUBSTITUTE(E3324,"°","º"))-1)),""))))</f>
        <v>29</v>
      </c>
      <c r="O3324" s="2" t="str">
        <f aca="false">IF(OR(F3324="",G3324=""),"",IF(G3324&lt;='RETRATO 2027'!$K$5,"CONCLUÍDA",IF(F3324&lt;='RETRATO 2027'!$K$5,"EM ANDAMENTO","A INICIAR")))</f>
        <v>A INICIAR</v>
      </c>
    </row>
    <row r="3325" customFormat="false" ht="15" hidden="false" customHeight="false" outlineLevel="0" collapsed="false">
      <c r="B3325" s="4" t="n">
        <v>26744986</v>
      </c>
      <c r="C3325" s="4" t="s">
        <v>2980</v>
      </c>
      <c r="D3325" s="4" t="s">
        <v>433</v>
      </c>
      <c r="E3325" s="4" t="s">
        <v>3662</v>
      </c>
      <c r="F3325" s="127" t="n">
        <v>46765</v>
      </c>
      <c r="G3325" s="127" t="n">
        <v>46776</v>
      </c>
      <c r="H3325" s="127" t="n">
        <v>46293</v>
      </c>
      <c r="I3325" s="4" t="n">
        <v>0</v>
      </c>
      <c r="J3325" s="4" t="n">
        <v>0</v>
      </c>
      <c r="K3325" s="4" t="n">
        <v>0</v>
      </c>
      <c r="M3325" s="2" t="str">
        <f aca="false">IF(C3325="","",IFERROR(INDEX($S$5:$S$304,MATCH(C3325,$R$5:$R$304,0))&amp;"","?"))</f>
        <v>35</v>
      </c>
      <c r="N3325" s="2" t="n">
        <f aca="false">IF(E3325="","",IF(ISNUMBER(SEARCH("SUBSOLO",E3325)),IFERROR(-VALUE(LEFT(E3325,FIND("º",SUBSTITUTE(E3325,"°","º"))-1)),-1),IF(LEFT(E3325,6)="TÉRREO",0,IFERROR(VALUE(LEFT(E3325,FIND("º",SUBSTITUTE(E3325,"°","º"))-1)),""))))</f>
        <v>-5</v>
      </c>
      <c r="O3325" s="2" t="str">
        <f aca="false">IF(OR(F3325="",G3325=""),"",IF(G3325&lt;='RETRATO 2027'!$K$5,"CONCLUÍDA",IF(F3325&lt;='RETRATO 2027'!$K$5,"EM ANDAMENTO","A INICIAR")))</f>
        <v>A INICIAR</v>
      </c>
    </row>
    <row r="3326" customFormat="false" ht="15" hidden="false" customHeight="false" outlineLevel="0" collapsed="false">
      <c r="B3326" s="4" t="n">
        <v>29844632</v>
      </c>
      <c r="C3326" s="4" t="s">
        <v>2888</v>
      </c>
      <c r="D3326" s="4" t="s">
        <v>433</v>
      </c>
      <c r="E3326" s="4" t="s">
        <v>3655</v>
      </c>
      <c r="F3326" s="127" t="n">
        <v>46765</v>
      </c>
      <c r="G3326" s="127" t="n">
        <v>46776</v>
      </c>
      <c r="H3326" s="127" t="n">
        <v>46293</v>
      </c>
      <c r="I3326" s="4" t="n">
        <v>0</v>
      </c>
      <c r="J3326" s="4" t="n">
        <v>0</v>
      </c>
      <c r="K3326" s="4" t="n">
        <v>0</v>
      </c>
      <c r="M3326" s="2" t="str">
        <f aca="false">IF(C3326="","",IFERROR(INDEX($S$5:$S$304,MATCH(C3326,$R$5:$R$304,0))&amp;"","?"))</f>
        <v>20</v>
      </c>
      <c r="N3326" s="2" t="n">
        <f aca="false">IF(E3326="","",IF(ISNUMBER(SEARCH("SUBSOLO",E3326)),IFERROR(-VALUE(LEFT(E3326,FIND("º",SUBSTITUTE(E3326,"°","º"))-1)),-1),IF(LEFT(E3326,6)="TÉRREO",0,IFERROR(VALUE(LEFT(E3326,FIND("º",SUBSTITUTE(E3326,"°","º"))-1)),""))))</f>
        <v>3</v>
      </c>
      <c r="O3326" s="2" t="str">
        <f aca="false">IF(OR(F3326="",G3326=""),"",IF(G3326&lt;='RETRATO 2027'!$K$5,"CONCLUÍDA",IF(F3326&lt;='RETRATO 2027'!$K$5,"EM ANDAMENTO","A INICIAR")))</f>
        <v>A INICIAR</v>
      </c>
    </row>
    <row r="3327" customFormat="false" ht="15" hidden="false" customHeight="false" outlineLevel="0" collapsed="false">
      <c r="B3327" s="4" t="n">
        <v>26744698</v>
      </c>
      <c r="C3327" s="4" t="s">
        <v>166</v>
      </c>
      <c r="D3327" s="4" t="s">
        <v>433</v>
      </c>
      <c r="E3327" s="4" t="s">
        <v>3810</v>
      </c>
      <c r="F3327" s="127" t="n">
        <v>46765</v>
      </c>
      <c r="G3327" s="127" t="n">
        <v>46773</v>
      </c>
      <c r="H3327" s="127" t="n">
        <v>46293</v>
      </c>
      <c r="I3327" s="4" t="n">
        <v>0</v>
      </c>
      <c r="J3327" s="4" t="n">
        <v>0</v>
      </c>
      <c r="K3327" s="4" t="n">
        <v>0</v>
      </c>
      <c r="M3327" s="2" t="str">
        <f aca="false">IF(C3327="","",IFERROR(INDEX($S$5:$S$304,MATCH(C3327,$R$5:$R$304,0))&amp;"","?"))</f>
        <v>19</v>
      </c>
      <c r="N3327" s="2" t="n">
        <f aca="false">IF(E3327="","",IF(ISNUMBER(SEARCH("SUBSOLO",E3327)),IFERROR(-VALUE(LEFT(E3327,FIND("º",SUBSTITUTE(E3327,"°","º"))-1)),-1),IF(LEFT(E3327,6)="TÉRREO",0,IFERROR(VALUE(LEFT(E3327,FIND("º",SUBSTITUTE(E3327,"°","º"))-1)),""))))</f>
        <v>3</v>
      </c>
      <c r="O3327" s="2" t="str">
        <f aca="false">IF(OR(F3327="",G3327=""),"",IF(G3327&lt;='RETRATO 2027'!$K$5,"CONCLUÍDA",IF(F3327&lt;='RETRATO 2027'!$K$5,"EM ANDAMENTO","A INICIAR")))</f>
        <v>A INICIAR</v>
      </c>
    </row>
    <row r="3328" customFormat="false" ht="15" hidden="false" customHeight="false" outlineLevel="0" collapsed="false">
      <c r="B3328" s="4" t="n">
        <v>26744670</v>
      </c>
      <c r="C3328" s="4" t="s">
        <v>2808</v>
      </c>
      <c r="D3328" s="4" t="s">
        <v>433</v>
      </c>
      <c r="E3328" s="4" t="s">
        <v>3774</v>
      </c>
      <c r="F3328" s="127" t="n">
        <v>46765</v>
      </c>
      <c r="G3328" s="127" t="n">
        <v>46828</v>
      </c>
      <c r="H3328" s="127" t="n">
        <v>46293</v>
      </c>
      <c r="I3328" s="4" t="n">
        <v>0</v>
      </c>
      <c r="J3328" s="4" t="n">
        <v>0</v>
      </c>
      <c r="K3328" s="4" t="n">
        <v>0</v>
      </c>
      <c r="M3328" s="2" t="str">
        <f aca="false">IF(C3328="","",IFERROR(INDEX($S$5:$S$304,MATCH(C3328,$R$5:$R$304,0))&amp;"","?"))</f>
        <v>29</v>
      </c>
      <c r="N3328" s="2" t="n">
        <f aca="false">IF(E3328="","",IF(ISNUMBER(SEARCH("SUBSOLO",E3328)),IFERROR(-VALUE(LEFT(E3328,FIND("º",SUBSTITUTE(E3328,"°","º"))-1)),-1),IF(LEFT(E3328,6)="TÉRREO",0,IFERROR(VALUE(LEFT(E3328,FIND("º",SUBSTITUTE(E3328,"°","º"))-1)),""))))</f>
        <v>3</v>
      </c>
      <c r="O3328" s="2" t="str">
        <f aca="false">IF(OR(F3328="",G3328=""),"",IF(G3328&lt;='RETRATO 2027'!$K$5,"CONCLUÍDA",IF(F3328&lt;='RETRATO 2027'!$K$5,"EM ANDAMENTO","A INICIAR")))</f>
        <v>A INICIAR</v>
      </c>
    </row>
    <row r="3329" customFormat="false" ht="15" hidden="false" customHeight="false" outlineLevel="0" collapsed="false">
      <c r="B3329" s="4" t="n">
        <v>26707576</v>
      </c>
      <c r="C3329" s="4" t="s">
        <v>2956</v>
      </c>
      <c r="D3329" s="4" t="s">
        <v>433</v>
      </c>
      <c r="E3329" s="4" t="s">
        <v>3822</v>
      </c>
      <c r="F3329" s="127" t="n">
        <v>46766</v>
      </c>
      <c r="G3329" s="127" t="n">
        <v>46786</v>
      </c>
      <c r="H3329" s="127" t="n">
        <v>46293</v>
      </c>
      <c r="I3329" s="4" t="n">
        <v>0</v>
      </c>
      <c r="J3329" s="4" t="n">
        <v>0</v>
      </c>
      <c r="K3329" s="4" t="n">
        <v>0</v>
      </c>
      <c r="M3329" s="2" t="str">
        <f aca="false">IF(C3329="","",IFERROR(INDEX($S$5:$S$304,MATCH(C3329,$R$5:$R$304,0))&amp;"","?"))</f>
        <v>18</v>
      </c>
      <c r="N3329" s="2" t="n">
        <f aca="false">IF(E3329="","",IF(ISNUMBER(SEARCH("SUBSOLO",E3329)),IFERROR(-VALUE(LEFT(E3329,FIND("º",SUBSTITUTE(E3329,"°","º"))-1)),-1),IF(LEFT(E3329,6)="TÉRREO",0,IFERROR(VALUE(LEFT(E3329,FIND("º",SUBSTITUTE(E3329,"°","º"))-1)),""))))</f>
        <v>2</v>
      </c>
      <c r="O3329" s="2" t="str">
        <f aca="false">IF(OR(F3329="",G3329=""),"",IF(G3329&lt;='RETRATO 2027'!$K$5,"CONCLUÍDA",IF(F3329&lt;='RETRATO 2027'!$K$5,"EM ANDAMENTO","A INICIAR")))</f>
        <v>A INICIAR</v>
      </c>
    </row>
    <row r="3330" customFormat="false" ht="15" hidden="false" customHeight="false" outlineLevel="0" collapsed="false">
      <c r="B3330" s="4" t="n">
        <v>26707617</v>
      </c>
      <c r="C3330" s="4" t="s">
        <v>2948</v>
      </c>
      <c r="D3330" s="4" t="s">
        <v>433</v>
      </c>
      <c r="E3330" s="4" t="s">
        <v>3812</v>
      </c>
      <c r="F3330" s="127" t="n">
        <v>46769</v>
      </c>
      <c r="G3330" s="127" t="n">
        <v>46787</v>
      </c>
      <c r="H3330" s="127" t="n">
        <v>46293</v>
      </c>
      <c r="I3330" s="4" t="n">
        <v>0</v>
      </c>
      <c r="J3330" s="4" t="n">
        <v>0</v>
      </c>
      <c r="K3330" s="4" t="n">
        <v>0</v>
      </c>
      <c r="M3330" s="2" t="str">
        <f aca="false">IF(C3330="","",IFERROR(INDEX($S$5:$S$304,MATCH(C3330,$R$5:$R$304,0))&amp;"","?"))</f>
        <v>25</v>
      </c>
      <c r="N3330" s="2" t="n">
        <f aca="false">IF(E3330="","",IF(ISNUMBER(SEARCH("SUBSOLO",E3330)),IFERROR(-VALUE(LEFT(E3330,FIND("º",SUBSTITUTE(E3330,"°","º"))-1)),-1),IF(LEFT(E3330,6)="TÉRREO",0,IFERROR(VALUE(LEFT(E3330,FIND("º",SUBSTITUTE(E3330,"°","º"))-1)),""))))</f>
        <v>2</v>
      </c>
      <c r="O3330" s="2" t="str">
        <f aca="false">IF(OR(F3330="",G3330=""),"",IF(G3330&lt;='RETRATO 2027'!$K$5,"CONCLUÍDA",IF(F3330&lt;='RETRATO 2027'!$K$5,"EM ANDAMENTO","A INICIAR")))</f>
        <v>A INICIAR</v>
      </c>
    </row>
    <row r="3331" customFormat="false" ht="15" hidden="false" customHeight="false" outlineLevel="0" collapsed="false">
      <c r="B3331" s="4" t="n">
        <v>26743626</v>
      </c>
      <c r="C3331" s="4" t="s">
        <v>3082</v>
      </c>
      <c r="D3331" s="4" t="s">
        <v>433</v>
      </c>
      <c r="E3331" s="4" t="s">
        <v>3668</v>
      </c>
      <c r="F3331" s="127" t="n">
        <v>46770</v>
      </c>
      <c r="G3331" s="127" t="n">
        <v>46778</v>
      </c>
      <c r="H3331" s="127" t="n">
        <v>46293</v>
      </c>
      <c r="I3331" s="4" t="n">
        <v>0</v>
      </c>
      <c r="J3331" s="4" t="n">
        <v>0</v>
      </c>
      <c r="K3331" s="4" t="n">
        <v>0</v>
      </c>
      <c r="M3331" s="2" t="str">
        <f aca="false">IF(C3331="","",IFERROR(INDEX($S$5:$S$304,MATCH(C3331,$R$5:$R$304,0))&amp;"","?"))</f>
        <v>30</v>
      </c>
      <c r="N3331" s="2" t="n">
        <f aca="false">IF(E3331="","",IF(ISNUMBER(SEARCH("SUBSOLO",E3331)),IFERROR(-VALUE(LEFT(E3331,FIND("º",SUBSTITUTE(E3331,"°","º"))-1)),-1),IF(LEFT(E3331,6)="TÉRREO",0,IFERROR(VALUE(LEFT(E3331,FIND("º",SUBSTITUTE(E3331,"°","º"))-1)),""))))</f>
        <v>4</v>
      </c>
      <c r="O3331" s="2" t="str">
        <f aca="false">IF(OR(F3331="",G3331=""),"",IF(G3331&lt;='RETRATO 2027'!$K$5,"CONCLUÍDA",IF(F3331&lt;='RETRATO 2027'!$K$5,"EM ANDAMENTO","A INICIAR")))</f>
        <v>A INICIAR</v>
      </c>
    </row>
    <row r="3332" customFormat="false" ht="15" hidden="false" customHeight="false" outlineLevel="0" collapsed="false">
      <c r="B3332" s="4" t="n">
        <v>26743619</v>
      </c>
      <c r="C3332" s="4" t="s">
        <v>3079</v>
      </c>
      <c r="D3332" s="4" t="s">
        <v>433</v>
      </c>
      <c r="E3332" s="4" t="s">
        <v>3678</v>
      </c>
      <c r="F3332" s="127" t="n">
        <v>46770</v>
      </c>
      <c r="G3332" s="127" t="n">
        <v>46778</v>
      </c>
      <c r="H3332" s="127" t="n">
        <v>46293</v>
      </c>
      <c r="I3332" s="4" t="n">
        <v>0</v>
      </c>
      <c r="J3332" s="4" t="n">
        <v>0</v>
      </c>
      <c r="K3332" s="4" t="n">
        <v>0</v>
      </c>
      <c r="M3332" s="2" t="str">
        <f aca="false">IF(C3332="","",IFERROR(INDEX($S$5:$S$304,MATCH(C3332,$R$5:$R$304,0))&amp;"","?"))</f>
        <v>25</v>
      </c>
      <c r="N3332" s="2" t="n">
        <f aca="false">IF(E3332="","",IF(ISNUMBER(SEARCH("SUBSOLO",E3332)),IFERROR(-VALUE(LEFT(E3332,FIND("º",SUBSTITUTE(E3332,"°","º"))-1)),-1),IF(LEFT(E3332,6)="TÉRREO",0,IFERROR(VALUE(LEFT(E3332,FIND("º",SUBSTITUTE(E3332,"°","º"))-1)),""))))</f>
        <v>5</v>
      </c>
      <c r="O3332" s="2" t="str">
        <f aca="false">IF(OR(F3332="",G3332=""),"",IF(G3332&lt;='RETRATO 2027'!$K$5,"CONCLUÍDA",IF(F3332&lt;='RETRATO 2027'!$K$5,"EM ANDAMENTO","A INICIAR")))</f>
        <v>A INICIAR</v>
      </c>
    </row>
    <row r="3333" customFormat="false" ht="15" hidden="false" customHeight="false" outlineLevel="0" collapsed="false">
      <c r="B3333" s="4" t="n">
        <v>26743580</v>
      </c>
      <c r="C3333" s="4" t="s">
        <v>3073</v>
      </c>
      <c r="D3333" s="4" t="s">
        <v>433</v>
      </c>
      <c r="E3333" s="4" t="s">
        <v>3685</v>
      </c>
      <c r="F3333" s="127" t="n">
        <v>46770</v>
      </c>
      <c r="G3333" s="127" t="n">
        <v>46778</v>
      </c>
      <c r="H3333" s="127" t="n">
        <v>46293</v>
      </c>
      <c r="I3333" s="4" t="n">
        <v>0</v>
      </c>
      <c r="J3333" s="4" t="n">
        <v>0</v>
      </c>
      <c r="K3333" s="4" t="n">
        <v>0</v>
      </c>
      <c r="M3333" s="2" t="str">
        <f aca="false">IF(C3333="","",IFERROR(INDEX($S$5:$S$304,MATCH(C3333,$R$5:$R$304,0))&amp;"","?"))</f>
        <v>30</v>
      </c>
      <c r="N3333" s="2" t="n">
        <f aca="false">IF(E3333="","",IF(ISNUMBER(SEARCH("SUBSOLO",E3333)),IFERROR(-VALUE(LEFT(E3333,FIND("º",SUBSTITUTE(E3333,"°","º"))-1)),-1),IF(LEFT(E3333,6)="TÉRREO",0,IFERROR(VALUE(LEFT(E3333,FIND("º",SUBSTITUTE(E3333,"°","º"))-1)),""))))</f>
        <v>6</v>
      </c>
      <c r="O3333" s="2" t="str">
        <f aca="false">IF(OR(F3333="",G3333=""),"",IF(G3333&lt;='RETRATO 2027'!$K$5,"CONCLUÍDA",IF(F3333&lt;='RETRATO 2027'!$K$5,"EM ANDAMENTO","A INICIAR")))</f>
        <v>A INICIAR</v>
      </c>
    </row>
    <row r="3334" customFormat="false" ht="15" hidden="false" customHeight="false" outlineLevel="0" collapsed="false">
      <c r="B3334" s="4" t="n">
        <v>26743542</v>
      </c>
      <c r="C3334" s="4" t="s">
        <v>3055</v>
      </c>
      <c r="D3334" s="4" t="s">
        <v>433</v>
      </c>
      <c r="E3334" s="4" t="s">
        <v>3686</v>
      </c>
      <c r="F3334" s="127" t="n">
        <v>46770</v>
      </c>
      <c r="G3334" s="127" t="n">
        <v>46778</v>
      </c>
      <c r="H3334" s="127" t="n">
        <v>46293</v>
      </c>
      <c r="I3334" s="4" t="n">
        <v>0</v>
      </c>
      <c r="J3334" s="4" t="n">
        <v>0</v>
      </c>
      <c r="K3334" s="4" t="n">
        <v>0</v>
      </c>
      <c r="M3334" s="2" t="str">
        <f aca="false">IF(C3334="","",IFERROR(INDEX($S$5:$S$304,MATCH(C3334,$R$5:$R$304,0))&amp;"","?"))</f>
        <v>25</v>
      </c>
      <c r="N3334" s="2" t="n">
        <f aca="false">IF(E3334="","",IF(ISNUMBER(SEARCH("SUBSOLO",E3334)),IFERROR(-VALUE(LEFT(E3334,FIND("º",SUBSTITUTE(E3334,"°","º"))-1)),-1),IF(LEFT(E3334,6)="TÉRREO",0,IFERROR(VALUE(LEFT(E3334,FIND("º",SUBSTITUTE(E3334,"°","º"))-1)),""))))</f>
        <v>7</v>
      </c>
      <c r="O3334" s="2" t="str">
        <f aca="false">IF(OR(F3334="",G3334=""),"",IF(G3334&lt;='RETRATO 2027'!$K$5,"CONCLUÍDA",IF(F3334&lt;='RETRATO 2027'!$K$5,"EM ANDAMENTO","A INICIAR")))</f>
        <v>A INICIAR</v>
      </c>
    </row>
    <row r="3335" customFormat="false" ht="15" hidden="false" customHeight="false" outlineLevel="0" collapsed="false">
      <c r="B3335" s="4" t="n">
        <v>26744975</v>
      </c>
      <c r="C3335" s="4" t="s">
        <v>3021</v>
      </c>
      <c r="D3335" s="4" t="s">
        <v>433</v>
      </c>
      <c r="E3335" s="4" t="s">
        <v>3558</v>
      </c>
      <c r="F3335" s="127" t="n">
        <v>46771</v>
      </c>
      <c r="G3335" s="127" t="n">
        <v>46780</v>
      </c>
      <c r="H3335" s="127" t="n">
        <v>46293</v>
      </c>
      <c r="I3335" s="4" t="n">
        <v>0</v>
      </c>
      <c r="J3335" s="4" t="n">
        <v>0</v>
      </c>
      <c r="K3335" s="4" t="n">
        <v>0</v>
      </c>
      <c r="M3335" s="2" t="str">
        <f aca="false">IF(C3335="","",IFERROR(INDEX($S$5:$S$304,MATCH(C3335,$R$5:$R$304,0))&amp;"","?"))</f>
        <v>35</v>
      </c>
      <c r="N3335" s="2" t="n">
        <f aca="false">IF(E3335="","",IF(ISNUMBER(SEARCH("SUBSOLO",E3335)),IFERROR(-VALUE(LEFT(E3335,FIND("º",SUBSTITUTE(E3335,"°","º"))-1)),-1),IF(LEFT(E3335,6)="TÉRREO",0,IFERROR(VALUE(LEFT(E3335,FIND("º",SUBSTITUTE(E3335,"°","º"))-1)),""))))</f>
        <v>-4</v>
      </c>
      <c r="O3335" s="2" t="str">
        <f aca="false">IF(OR(F3335="",G3335=""),"",IF(G3335&lt;='RETRATO 2027'!$K$5,"CONCLUÍDA",IF(F3335&lt;='RETRATO 2027'!$K$5,"EM ANDAMENTO","A INICIAR")))</f>
        <v>A INICIAR</v>
      </c>
    </row>
    <row r="3336" customFormat="false" ht="15" hidden="false" customHeight="false" outlineLevel="0" collapsed="false">
      <c r="B3336" s="4" t="n">
        <v>26744464</v>
      </c>
      <c r="C3336" s="4" t="s">
        <v>217</v>
      </c>
      <c r="D3336" s="4" t="s">
        <v>433</v>
      </c>
      <c r="E3336" s="4" t="s">
        <v>3829</v>
      </c>
      <c r="F3336" s="127" t="n">
        <v>46771</v>
      </c>
      <c r="G3336" s="127" t="n">
        <v>46784</v>
      </c>
      <c r="H3336" s="127" t="n">
        <v>46293</v>
      </c>
      <c r="I3336" s="4" t="n">
        <v>0</v>
      </c>
      <c r="J3336" s="4" t="n">
        <v>0</v>
      </c>
      <c r="K3336" s="4" t="n">
        <v>0</v>
      </c>
      <c r="M3336" s="2" t="str">
        <f aca="false">IF(C3336="","",IFERROR(INDEX($S$5:$S$304,MATCH(C3336,$R$5:$R$304,0))&amp;"","?"))</f>
        <v>36</v>
      </c>
      <c r="N3336" s="2" t="n">
        <f aca="false">IF(E3336="","",IF(ISNUMBER(SEARCH("SUBSOLO",E3336)),IFERROR(-VALUE(LEFT(E3336,FIND("º",SUBSTITUTE(E3336,"°","º"))-1)),-1),IF(LEFT(E3336,6)="TÉRREO",0,IFERROR(VALUE(LEFT(E3336,FIND("º",SUBSTITUTE(E3336,"°","º"))-1)),""))))</f>
        <v>3</v>
      </c>
      <c r="O3336" s="2" t="str">
        <f aca="false">IF(OR(F3336="",G3336=""),"",IF(G3336&lt;='RETRATO 2027'!$K$5,"CONCLUÍDA",IF(F3336&lt;='RETRATO 2027'!$K$5,"EM ANDAMENTO","A INICIAR")))</f>
        <v>A INICIAR</v>
      </c>
    </row>
    <row r="3337" customFormat="false" ht="15" hidden="false" customHeight="false" outlineLevel="0" collapsed="false">
      <c r="B3337" s="4" t="n">
        <v>26744786</v>
      </c>
      <c r="C3337" s="4" t="s">
        <v>2935</v>
      </c>
      <c r="D3337" s="4" t="s">
        <v>433</v>
      </c>
      <c r="E3337" s="4" t="s">
        <v>3769</v>
      </c>
      <c r="F3337" s="127" t="n">
        <v>46771</v>
      </c>
      <c r="G3337" s="127" t="n">
        <v>46778</v>
      </c>
      <c r="H3337" s="127" t="n">
        <v>46293</v>
      </c>
      <c r="I3337" s="4" t="n">
        <v>0</v>
      </c>
      <c r="J3337" s="4" t="n">
        <v>0</v>
      </c>
      <c r="K3337" s="4" t="n">
        <v>0</v>
      </c>
      <c r="M3337" s="2" t="str">
        <f aca="false">IF(C3337="","",IFERROR(INDEX($S$5:$S$304,MATCH(C3337,$R$5:$R$304,0))&amp;"","?"))</f>
        <v>30</v>
      </c>
      <c r="N3337" s="2" t="n">
        <f aca="false">IF(E3337="","",IF(ISNUMBER(SEARCH("SUBSOLO",E3337)),IFERROR(-VALUE(LEFT(E3337,FIND("º",SUBSTITUTE(E3337,"°","º"))-1)),-1),IF(LEFT(E3337,6)="TÉRREO",0,IFERROR(VALUE(LEFT(E3337,FIND("º",SUBSTITUTE(E3337,"°","º"))-1)),""))))</f>
        <v>3</v>
      </c>
      <c r="O3337" s="2" t="str">
        <f aca="false">IF(OR(F3337="",G3337=""),"",IF(G3337&lt;='RETRATO 2027'!$K$5,"CONCLUÍDA",IF(F3337&lt;='RETRATO 2027'!$K$5,"EM ANDAMENTO","A INICIAR")))</f>
        <v>A INICIAR</v>
      </c>
    </row>
    <row r="3338" customFormat="false" ht="15" hidden="false" customHeight="false" outlineLevel="0" collapsed="false">
      <c r="B3338" s="4" t="n">
        <v>26744963</v>
      </c>
      <c r="C3338" s="4" t="s">
        <v>2971</v>
      </c>
      <c r="D3338" s="4" t="s">
        <v>433</v>
      </c>
      <c r="E3338" s="4" t="s">
        <v>3671</v>
      </c>
      <c r="F3338" s="127" t="n">
        <v>46773</v>
      </c>
      <c r="G3338" s="127" t="n">
        <v>46784</v>
      </c>
      <c r="H3338" s="127" t="n">
        <v>46293</v>
      </c>
      <c r="I3338" s="4" t="n">
        <v>0</v>
      </c>
      <c r="J3338" s="4" t="n">
        <v>0</v>
      </c>
      <c r="K3338" s="4" t="n">
        <v>0</v>
      </c>
      <c r="M3338" s="2" t="str">
        <f aca="false">IF(C3338="","",IFERROR(INDEX($S$5:$S$304,MATCH(C3338,$R$5:$R$304,0))&amp;"","?"))</f>
        <v>37</v>
      </c>
      <c r="N3338" s="2" t="n">
        <f aca="false">IF(E3338="","",IF(ISNUMBER(SEARCH("SUBSOLO",E3338)),IFERROR(-VALUE(LEFT(E3338,FIND("º",SUBSTITUTE(E3338,"°","º"))-1)),-1),IF(LEFT(E3338,6)="TÉRREO",0,IFERROR(VALUE(LEFT(E3338,FIND("º",SUBSTITUTE(E3338,"°","º"))-1)),""))))</f>
        <v>-3</v>
      </c>
      <c r="O3338" s="2" t="str">
        <f aca="false">IF(OR(F3338="",G3338=""),"",IF(G3338&lt;='RETRATO 2027'!$K$5,"CONCLUÍDA",IF(F3338&lt;='RETRATO 2027'!$K$5,"EM ANDAMENTO","A INICIAR")))</f>
        <v>A INICIAR</v>
      </c>
    </row>
    <row r="3339" customFormat="false" ht="15" hidden="false" customHeight="false" outlineLevel="0" collapsed="false">
      <c r="B3339" s="4" t="n">
        <v>26743737</v>
      </c>
      <c r="C3339" s="4" t="s">
        <v>3009</v>
      </c>
      <c r="D3339" s="4" t="s">
        <v>433</v>
      </c>
      <c r="E3339" s="4" t="s">
        <v>3449</v>
      </c>
      <c r="F3339" s="127" t="n">
        <v>46773</v>
      </c>
      <c r="G3339" s="127" t="n">
        <v>46793</v>
      </c>
      <c r="H3339" s="127" t="n">
        <v>46293</v>
      </c>
      <c r="I3339" s="4" t="n">
        <v>0</v>
      </c>
      <c r="J3339" s="4" t="n">
        <v>0</v>
      </c>
      <c r="K3339" s="4" t="n">
        <v>0</v>
      </c>
      <c r="M3339" s="2" t="str">
        <f aca="false">IF(C3339="","",IFERROR(INDEX($S$5:$S$304,MATCH(C3339,$R$5:$R$304,0))&amp;"","?"))</f>
        <v>23</v>
      </c>
      <c r="N3339" s="2" t="n">
        <f aca="false">IF(E3339="","",IF(ISNUMBER(SEARCH("SUBSOLO",E3339)),IFERROR(-VALUE(LEFT(E3339,FIND("º",SUBSTITUTE(E3339,"°","º"))-1)),-1),IF(LEFT(E3339,6)="TÉRREO",0,IFERROR(VALUE(LEFT(E3339,FIND("º",SUBSTITUTE(E3339,"°","º"))-1)),""))))</f>
        <v>-2</v>
      </c>
      <c r="O3339" s="2" t="str">
        <f aca="false">IF(OR(F3339="",G3339=""),"",IF(G3339&lt;='RETRATO 2027'!$K$5,"CONCLUÍDA",IF(F3339&lt;='RETRATO 2027'!$K$5,"EM ANDAMENTO","A INICIAR")))</f>
        <v>A INICIAR</v>
      </c>
    </row>
    <row r="3340" customFormat="false" ht="15" hidden="false" customHeight="false" outlineLevel="0" collapsed="false">
      <c r="B3340" s="4" t="n">
        <v>26745015</v>
      </c>
      <c r="C3340" s="4" t="s">
        <v>208</v>
      </c>
      <c r="D3340" s="4" t="s">
        <v>433</v>
      </c>
      <c r="E3340" s="4" t="s">
        <v>3828</v>
      </c>
      <c r="F3340" s="127" t="n">
        <v>46773</v>
      </c>
      <c r="G3340" s="127" t="n">
        <v>46784</v>
      </c>
      <c r="H3340" s="127" t="n">
        <v>46293</v>
      </c>
      <c r="I3340" s="4" t="n">
        <v>0</v>
      </c>
      <c r="J3340" s="4" t="n">
        <v>0</v>
      </c>
      <c r="K3340" s="4" t="n">
        <v>0</v>
      </c>
      <c r="M3340" s="2" t="str">
        <f aca="false">IF(C3340="","",IFERROR(INDEX($S$5:$S$304,MATCH(C3340,$R$5:$R$304,0))&amp;"","?"))</f>
        <v>33</v>
      </c>
      <c r="N3340" s="2" t="n">
        <f aca="false">IF(E3340="","",IF(ISNUMBER(SEARCH("SUBSOLO",E3340)),IFERROR(-VALUE(LEFT(E3340,FIND("º",SUBSTITUTE(E3340,"°","º"))-1)),-1),IF(LEFT(E3340,6)="TÉRREO",0,IFERROR(VALUE(LEFT(E3340,FIND("º",SUBSTITUTE(E3340,"°","º"))-1)),""))))</f>
        <v>2</v>
      </c>
      <c r="O3340" s="2" t="str">
        <f aca="false">IF(OR(F3340="",G3340=""),"",IF(G3340&lt;='RETRATO 2027'!$K$5,"CONCLUÍDA",IF(F3340&lt;='RETRATO 2027'!$K$5,"EM ANDAMENTO","A INICIAR")))</f>
        <v>A INICIAR</v>
      </c>
    </row>
    <row r="3341" customFormat="false" ht="15" hidden="false" customHeight="false" outlineLevel="0" collapsed="false">
      <c r="B3341" s="4" t="n">
        <v>26546938</v>
      </c>
      <c r="C3341" s="4" t="s">
        <v>2906</v>
      </c>
      <c r="D3341" s="4" t="s">
        <v>433</v>
      </c>
      <c r="E3341" s="4" t="s">
        <v>3829</v>
      </c>
      <c r="F3341" s="127" t="n">
        <v>46773</v>
      </c>
      <c r="G3341" s="127" t="n">
        <v>46861</v>
      </c>
      <c r="H3341" s="127" t="n">
        <v>46293</v>
      </c>
      <c r="I3341" s="4" t="n">
        <v>0</v>
      </c>
      <c r="J3341" s="4" t="n">
        <v>0</v>
      </c>
      <c r="K3341" s="4" t="n">
        <v>0</v>
      </c>
      <c r="M3341" s="2" t="str">
        <f aca="false">IF(C3341="","",IFERROR(INDEX($S$5:$S$304,MATCH(C3341,$R$5:$R$304,0))&amp;"","?"))</f>
        <v>19</v>
      </c>
      <c r="N3341" s="2" t="n">
        <f aca="false">IF(E3341="","",IF(ISNUMBER(SEARCH("SUBSOLO",E3341)),IFERROR(-VALUE(LEFT(E3341,FIND("º",SUBSTITUTE(E3341,"°","º"))-1)),-1),IF(LEFT(E3341,6)="TÉRREO",0,IFERROR(VALUE(LEFT(E3341,FIND("º",SUBSTITUTE(E3341,"°","º"))-1)),""))))</f>
        <v>3</v>
      </c>
      <c r="O3341" s="2" t="str">
        <f aca="false">IF(OR(F3341="",G3341=""),"",IF(G3341&lt;='RETRATO 2027'!$K$5,"CONCLUÍDA",IF(F3341&lt;='RETRATO 2027'!$K$5,"EM ANDAMENTO","A INICIAR")))</f>
        <v>A INICIAR</v>
      </c>
    </row>
    <row r="3342" customFormat="false" ht="15" hidden="false" customHeight="false" outlineLevel="0" collapsed="false">
      <c r="B3342" s="4" t="n">
        <v>26742830</v>
      </c>
      <c r="C3342" s="4" t="s">
        <v>2997</v>
      </c>
      <c r="D3342" s="4" t="s">
        <v>433</v>
      </c>
      <c r="E3342" s="4" t="s">
        <v>3797</v>
      </c>
      <c r="F3342" s="127" t="n">
        <v>46773</v>
      </c>
      <c r="G3342" s="127" t="n">
        <v>46784</v>
      </c>
      <c r="H3342" s="127" t="n">
        <v>46293</v>
      </c>
      <c r="I3342" s="4" t="n">
        <v>0</v>
      </c>
      <c r="J3342" s="4" t="n">
        <v>0</v>
      </c>
      <c r="K3342" s="4" t="n">
        <v>0</v>
      </c>
      <c r="M3342" s="2" t="str">
        <f aca="false">IF(C3342="","",IFERROR(INDEX($S$5:$S$304,MATCH(C3342,$R$5:$R$304,0))&amp;"","?"))</f>
        <v>35</v>
      </c>
      <c r="N3342" s="2" t="n">
        <f aca="false">IF(E3342="","",IF(ISNUMBER(SEARCH("SUBSOLO",E3342)),IFERROR(-VALUE(LEFT(E3342,FIND("º",SUBSTITUTE(E3342,"°","º"))-1)),-1),IF(LEFT(E3342,6)="TÉRREO",0,IFERROR(VALUE(LEFT(E3342,FIND("º",SUBSTITUTE(E3342,"°","º"))-1)),""))))</f>
        <v>26</v>
      </c>
      <c r="O3342" s="2" t="str">
        <f aca="false">IF(OR(F3342="",G3342=""),"",IF(G3342&lt;='RETRATO 2027'!$K$5,"CONCLUÍDA",IF(F3342&lt;='RETRATO 2027'!$K$5,"EM ANDAMENTO","A INICIAR")))</f>
        <v>A INICIAR</v>
      </c>
    </row>
    <row r="3343" customFormat="false" ht="15" hidden="false" customHeight="false" outlineLevel="0" collapsed="false">
      <c r="B3343" s="4" t="n">
        <v>26742792</v>
      </c>
      <c r="C3343" s="4" t="s">
        <v>2980</v>
      </c>
      <c r="D3343" s="4" t="s">
        <v>433</v>
      </c>
      <c r="E3343" s="4" t="s">
        <v>3799</v>
      </c>
      <c r="F3343" s="127" t="n">
        <v>46773</v>
      </c>
      <c r="G3343" s="127" t="n">
        <v>46784</v>
      </c>
      <c r="H3343" s="127" t="n">
        <v>46293</v>
      </c>
      <c r="I3343" s="4" t="n">
        <v>0</v>
      </c>
      <c r="J3343" s="4" t="n">
        <v>0</v>
      </c>
      <c r="K3343" s="4" t="n">
        <v>0</v>
      </c>
      <c r="M3343" s="2" t="str">
        <f aca="false">IF(C3343="","",IFERROR(INDEX($S$5:$S$304,MATCH(C3343,$R$5:$R$304,0))&amp;"","?"))</f>
        <v>35</v>
      </c>
      <c r="N3343" s="2" t="n">
        <f aca="false">IF(E3343="","",IF(ISNUMBER(SEARCH("SUBSOLO",E3343)),IFERROR(-VALUE(LEFT(E3343,FIND("º",SUBSTITUTE(E3343,"°","º"))-1)),-1),IF(LEFT(E3343,6)="TÉRREO",0,IFERROR(VALUE(LEFT(E3343,FIND("º",SUBSTITUTE(E3343,"°","º"))-1)),""))))</f>
        <v>27</v>
      </c>
      <c r="O3343" s="2" t="str">
        <f aca="false">IF(OR(F3343="",G3343=""),"",IF(G3343&lt;='RETRATO 2027'!$K$5,"CONCLUÍDA",IF(F3343&lt;='RETRATO 2027'!$K$5,"EM ANDAMENTO","A INICIAR")))</f>
        <v>A INICIAR</v>
      </c>
    </row>
    <row r="3344" customFormat="false" ht="15" hidden="false" customHeight="false" outlineLevel="0" collapsed="false">
      <c r="B3344" s="4" t="n">
        <v>26742762</v>
      </c>
      <c r="C3344" s="4" t="s">
        <v>208</v>
      </c>
      <c r="D3344" s="4" t="s">
        <v>433</v>
      </c>
      <c r="E3344" s="4" t="s">
        <v>3802</v>
      </c>
      <c r="F3344" s="127" t="n">
        <v>46773</v>
      </c>
      <c r="G3344" s="127" t="n">
        <v>46784</v>
      </c>
      <c r="H3344" s="127" t="n">
        <v>46293</v>
      </c>
      <c r="I3344" s="4" t="n">
        <v>0</v>
      </c>
      <c r="J3344" s="4" t="n">
        <v>0</v>
      </c>
      <c r="K3344" s="4" t="n">
        <v>0</v>
      </c>
      <c r="M3344" s="2" t="str">
        <f aca="false">IF(C3344="","",IFERROR(INDEX($S$5:$S$304,MATCH(C3344,$R$5:$R$304,0))&amp;"","?"))</f>
        <v>33</v>
      </c>
      <c r="N3344" s="2" t="n">
        <f aca="false">IF(E3344="","",IF(ISNUMBER(SEARCH("SUBSOLO",E3344)),IFERROR(-VALUE(LEFT(E3344,FIND("º",SUBSTITUTE(E3344,"°","º"))-1)),-1),IF(LEFT(E3344,6)="TÉRREO",0,IFERROR(VALUE(LEFT(E3344,FIND("º",SUBSTITUTE(E3344,"°","º"))-1)),""))))</f>
        <v>28</v>
      </c>
      <c r="O3344" s="2" t="str">
        <f aca="false">IF(OR(F3344="",G3344=""),"",IF(G3344&lt;='RETRATO 2027'!$K$5,"CONCLUÍDA",IF(F3344&lt;='RETRATO 2027'!$K$5,"EM ANDAMENTO","A INICIAR")))</f>
        <v>A INICIAR</v>
      </c>
    </row>
    <row r="3345" customFormat="false" ht="15" hidden="false" customHeight="false" outlineLevel="0" collapsed="false">
      <c r="B3345" s="4" t="n">
        <v>26744699</v>
      </c>
      <c r="C3345" s="4" t="s">
        <v>2814</v>
      </c>
      <c r="D3345" s="4" t="s">
        <v>433</v>
      </c>
      <c r="E3345" s="4" t="s">
        <v>3810</v>
      </c>
      <c r="F3345" s="127" t="n">
        <v>46776</v>
      </c>
      <c r="G3345" s="127" t="n">
        <v>46787</v>
      </c>
      <c r="H3345" s="127" t="n">
        <v>46293</v>
      </c>
      <c r="I3345" s="4" t="n">
        <v>0</v>
      </c>
      <c r="J3345" s="4" t="n">
        <v>0</v>
      </c>
      <c r="K3345" s="4" t="n">
        <v>0</v>
      </c>
      <c r="M3345" s="2" t="str">
        <f aca="false">IF(C3345="","",IFERROR(INDEX($S$5:$S$304,MATCH(C3345,$R$5:$R$304,0))&amp;"","?"))</f>
        <v>28</v>
      </c>
      <c r="N3345" s="2" t="n">
        <f aca="false">IF(E3345="","",IF(ISNUMBER(SEARCH("SUBSOLO",E3345)),IFERROR(-VALUE(LEFT(E3345,FIND("º",SUBSTITUTE(E3345,"°","º"))-1)),-1),IF(LEFT(E3345,6)="TÉRREO",0,IFERROR(VALUE(LEFT(E3345,FIND("º",SUBSTITUTE(E3345,"°","º"))-1)),""))))</f>
        <v>3</v>
      </c>
      <c r="O3345" s="2" t="str">
        <f aca="false">IF(OR(F3345="",G3345=""),"",IF(G3345&lt;='RETRATO 2027'!$K$5,"CONCLUÍDA",IF(F3345&lt;='RETRATO 2027'!$K$5,"EM ANDAMENTO","A INICIAR")))</f>
        <v>A INICIAR</v>
      </c>
    </row>
    <row r="3346" customFormat="false" ht="15" hidden="false" customHeight="false" outlineLevel="0" collapsed="false">
      <c r="B3346" s="4" t="n">
        <v>29845976</v>
      </c>
      <c r="C3346" s="4" t="s">
        <v>2983</v>
      </c>
      <c r="D3346" s="4" t="s">
        <v>433</v>
      </c>
      <c r="E3346" s="4" t="s">
        <v>3803</v>
      </c>
      <c r="F3346" s="127" t="n">
        <v>46776</v>
      </c>
      <c r="G3346" s="127" t="n">
        <v>46784</v>
      </c>
      <c r="H3346" s="127" t="n">
        <v>46293</v>
      </c>
      <c r="I3346" s="4" t="n">
        <v>0</v>
      </c>
      <c r="J3346" s="4" t="n">
        <v>0</v>
      </c>
      <c r="K3346" s="4" t="n">
        <v>0</v>
      </c>
      <c r="M3346" s="2" t="str">
        <f aca="false">IF(C3346="","",IFERROR(INDEX($S$5:$S$304,MATCH(C3346,$R$5:$R$304,0))&amp;"","?"))</f>
        <v>20</v>
      </c>
      <c r="N3346" s="2" t="n">
        <f aca="false">IF(E3346="","",IF(ISNUMBER(SEARCH("SUBSOLO",E3346)),IFERROR(-VALUE(LEFT(E3346,FIND("º",SUBSTITUTE(E3346,"°","º"))-1)),-1),IF(LEFT(E3346,6)="TÉRREO",0,IFERROR(VALUE(LEFT(E3346,FIND("º",SUBSTITUTE(E3346,"°","º"))-1)),""))))</f>
        <v>29</v>
      </c>
      <c r="O3346" s="2" t="str">
        <f aca="false">IF(OR(F3346="",G3346=""),"",IF(G3346&lt;='RETRATO 2027'!$K$5,"CONCLUÍDA",IF(F3346&lt;='RETRATO 2027'!$K$5,"EM ANDAMENTO","A INICIAR")))</f>
        <v>A INICIAR</v>
      </c>
    </row>
    <row r="3347" customFormat="false" ht="15" hidden="false" customHeight="false" outlineLevel="0" collapsed="false">
      <c r="B3347" s="4" t="n">
        <v>29845915</v>
      </c>
      <c r="C3347" s="4" t="s">
        <v>2986</v>
      </c>
      <c r="D3347" s="4" t="s">
        <v>433</v>
      </c>
      <c r="E3347" s="4" t="s">
        <v>3803</v>
      </c>
      <c r="F3347" s="127" t="n">
        <v>46776</v>
      </c>
      <c r="G3347" s="127" t="n">
        <v>46785</v>
      </c>
      <c r="H3347" s="127" t="n">
        <v>46293</v>
      </c>
      <c r="I3347" s="4" t="n">
        <v>0</v>
      </c>
      <c r="J3347" s="4" t="n">
        <v>0</v>
      </c>
      <c r="K3347" s="4" t="n">
        <v>0</v>
      </c>
      <c r="M3347" s="2" t="str">
        <f aca="false">IF(C3347="","",IFERROR(INDEX($S$5:$S$304,MATCH(C3347,$R$5:$R$304,0))&amp;"","?"))</f>
        <v>20</v>
      </c>
      <c r="N3347" s="2" t="n">
        <f aca="false">IF(E3347="","",IF(ISNUMBER(SEARCH("SUBSOLO",E3347)),IFERROR(-VALUE(LEFT(E3347,FIND("º",SUBSTITUTE(E3347,"°","º"))-1)),-1),IF(LEFT(E3347,6)="TÉRREO",0,IFERROR(VALUE(LEFT(E3347,FIND("º",SUBSTITUTE(E3347,"°","º"))-1)),""))))</f>
        <v>29</v>
      </c>
      <c r="O3347" s="2" t="str">
        <f aca="false">IF(OR(F3347="",G3347=""),"",IF(G3347&lt;='RETRATO 2027'!$K$5,"CONCLUÍDA",IF(F3347&lt;='RETRATO 2027'!$K$5,"EM ANDAMENTO","A INICIAR")))</f>
        <v>A INICIAR</v>
      </c>
    </row>
    <row r="3348" customFormat="false" ht="15" hidden="false" customHeight="false" outlineLevel="0" collapsed="false">
      <c r="B3348" s="4" t="n">
        <v>26744987</v>
      </c>
      <c r="C3348" s="4" t="s">
        <v>2997</v>
      </c>
      <c r="D3348" s="4" t="s">
        <v>433</v>
      </c>
      <c r="E3348" s="4" t="s">
        <v>3662</v>
      </c>
      <c r="F3348" s="127" t="n">
        <v>46777</v>
      </c>
      <c r="G3348" s="127" t="n">
        <v>46786</v>
      </c>
      <c r="H3348" s="127" t="n">
        <v>46293</v>
      </c>
      <c r="I3348" s="4" t="n">
        <v>0</v>
      </c>
      <c r="J3348" s="4" t="n">
        <v>0</v>
      </c>
      <c r="K3348" s="4" t="n">
        <v>0</v>
      </c>
      <c r="M3348" s="2" t="str">
        <f aca="false">IF(C3348="","",IFERROR(INDEX($S$5:$S$304,MATCH(C3348,$R$5:$R$304,0))&amp;"","?"))</f>
        <v>35</v>
      </c>
      <c r="N3348" s="2" t="n">
        <f aca="false">IF(E3348="","",IF(ISNUMBER(SEARCH("SUBSOLO",E3348)),IFERROR(-VALUE(LEFT(E3348,FIND("º",SUBSTITUTE(E3348,"°","º"))-1)),-1),IF(LEFT(E3348,6)="TÉRREO",0,IFERROR(VALUE(LEFT(E3348,FIND("º",SUBSTITUTE(E3348,"°","º"))-1)),""))))</f>
        <v>-5</v>
      </c>
      <c r="O3348" s="2" t="str">
        <f aca="false">IF(OR(F3348="",G3348=""),"",IF(G3348&lt;='RETRATO 2027'!$K$5,"CONCLUÍDA",IF(F3348&lt;='RETRATO 2027'!$K$5,"EM ANDAMENTO","A INICIAR")))</f>
        <v>A INICIAR</v>
      </c>
    </row>
    <row r="3349" customFormat="false" ht="15" hidden="false" customHeight="false" outlineLevel="0" collapsed="false">
      <c r="B3349" s="4" t="n">
        <v>26743724</v>
      </c>
      <c r="C3349" s="4" t="s">
        <v>3029</v>
      </c>
      <c r="D3349" s="4" t="s">
        <v>433</v>
      </c>
      <c r="E3349" s="4" t="s">
        <v>3466</v>
      </c>
      <c r="F3349" s="127" t="n">
        <v>46778</v>
      </c>
      <c r="G3349" s="127" t="n">
        <v>46791</v>
      </c>
      <c r="H3349" s="127" t="n">
        <v>46293</v>
      </c>
      <c r="I3349" s="4" t="n">
        <v>0</v>
      </c>
      <c r="J3349" s="4" t="n">
        <v>0</v>
      </c>
      <c r="K3349" s="4" t="n">
        <v>0</v>
      </c>
      <c r="M3349" s="2" t="str">
        <f aca="false">IF(C3349="","",IFERROR(INDEX($S$5:$S$304,MATCH(C3349,$R$5:$R$304,0))&amp;"","?"))</f>
        <v/>
      </c>
      <c r="N3349" s="2" t="n">
        <f aca="false">IF(E3349="","",IF(ISNUMBER(SEARCH("SUBSOLO",E3349)),IFERROR(-VALUE(LEFT(E3349,FIND("º",SUBSTITUTE(E3349,"°","º"))-1)),-1),IF(LEFT(E3349,6)="TÉRREO",0,IFERROR(VALUE(LEFT(E3349,FIND("º",SUBSTITUTE(E3349,"°","º"))-1)),""))))</f>
        <v>-1</v>
      </c>
      <c r="O3349" s="2" t="str">
        <f aca="false">IF(OR(F3349="",G3349=""),"",IF(G3349&lt;='RETRATO 2027'!$K$5,"CONCLUÍDA",IF(F3349&lt;='RETRATO 2027'!$K$5,"EM ANDAMENTO","A INICIAR")))</f>
        <v>A INICIAR</v>
      </c>
    </row>
    <row r="3350" customFormat="false" ht="15" hidden="false" customHeight="false" outlineLevel="0" collapsed="false">
      <c r="B3350" s="4" t="n">
        <v>26714095</v>
      </c>
      <c r="C3350" s="4" t="s">
        <v>2900</v>
      </c>
      <c r="D3350" s="4" t="s">
        <v>433</v>
      </c>
      <c r="E3350" s="4" t="s">
        <v>3815</v>
      </c>
      <c r="F3350" s="127" t="n">
        <v>46778</v>
      </c>
      <c r="G3350" s="127" t="n">
        <v>46798</v>
      </c>
      <c r="H3350" s="127" t="n">
        <v>46293</v>
      </c>
      <c r="I3350" s="4" t="n">
        <v>0</v>
      </c>
      <c r="J3350" s="4" t="n">
        <v>0</v>
      </c>
      <c r="K3350" s="4" t="n">
        <v>0</v>
      </c>
      <c r="M3350" s="2" t="str">
        <f aca="false">IF(C3350="","",IFERROR(INDEX($S$5:$S$304,MATCH(C3350,$R$5:$R$304,0))&amp;"","?"))</f>
        <v>22</v>
      </c>
      <c r="N3350" s="2" t="n">
        <f aca="false">IF(E3350="","",IF(ISNUMBER(SEARCH("SUBSOLO",E3350)),IFERROR(-VALUE(LEFT(E3350,FIND("º",SUBSTITUTE(E3350,"°","º"))-1)),-1),IF(LEFT(E3350,6)="TÉRREO",0,IFERROR(VALUE(LEFT(E3350,FIND("º",SUBSTITUTE(E3350,"°","º"))-1)),""))))</f>
        <v>2</v>
      </c>
      <c r="O3350" s="2" t="str">
        <f aca="false">IF(OR(F3350="",G3350=""),"",IF(G3350&lt;='RETRATO 2027'!$K$5,"CONCLUÍDA",IF(F3350&lt;='RETRATO 2027'!$K$5,"EM ANDAMENTO","A INICIAR")))</f>
        <v>A INICIAR</v>
      </c>
    </row>
    <row r="3351" customFormat="false" ht="15" hidden="false" customHeight="false" outlineLevel="0" collapsed="false">
      <c r="B3351" s="4" t="n">
        <v>26707590</v>
      </c>
      <c r="C3351" s="4" t="s">
        <v>2928</v>
      </c>
      <c r="D3351" s="4" t="s">
        <v>433</v>
      </c>
      <c r="E3351" s="4" t="s">
        <v>3815</v>
      </c>
      <c r="F3351" s="127" t="n">
        <v>46778</v>
      </c>
      <c r="G3351" s="127" t="n">
        <v>46798</v>
      </c>
      <c r="H3351" s="127" t="n">
        <v>46293</v>
      </c>
      <c r="I3351" s="4" t="n">
        <v>0</v>
      </c>
      <c r="J3351" s="4" t="n">
        <v>0</v>
      </c>
      <c r="K3351" s="4" t="n">
        <v>0</v>
      </c>
      <c r="M3351" s="2" t="str">
        <f aca="false">IF(C3351="","",IFERROR(INDEX($S$5:$S$304,MATCH(C3351,$R$5:$R$304,0))&amp;"","?"))</f>
        <v>23</v>
      </c>
      <c r="N3351" s="2" t="n">
        <f aca="false">IF(E3351="","",IF(ISNUMBER(SEARCH("SUBSOLO",E3351)),IFERROR(-VALUE(LEFT(E3351,FIND("º",SUBSTITUTE(E3351,"°","º"))-1)),-1),IF(LEFT(E3351,6)="TÉRREO",0,IFERROR(VALUE(LEFT(E3351,FIND("º",SUBSTITUTE(E3351,"°","º"))-1)),""))))</f>
        <v>2</v>
      </c>
      <c r="O3351" s="2" t="str">
        <f aca="false">IF(OR(F3351="",G3351=""),"",IF(G3351&lt;='RETRATO 2027'!$K$5,"CONCLUÍDA",IF(F3351&lt;='RETRATO 2027'!$K$5,"EM ANDAMENTO","A INICIAR")))</f>
        <v>A INICIAR</v>
      </c>
    </row>
    <row r="3352" customFormat="false" ht="15" hidden="false" customHeight="false" outlineLevel="0" collapsed="false">
      <c r="B3352" s="4" t="n">
        <v>26707588</v>
      </c>
      <c r="C3352" s="4" t="s">
        <v>2989</v>
      </c>
      <c r="D3352" s="4" t="s">
        <v>433</v>
      </c>
      <c r="E3352" s="4" t="s">
        <v>3815</v>
      </c>
      <c r="F3352" s="127" t="n">
        <v>46778</v>
      </c>
      <c r="G3352" s="127" t="n">
        <v>46798</v>
      </c>
      <c r="H3352" s="127" t="n">
        <v>46293</v>
      </c>
      <c r="I3352" s="4" t="n">
        <v>0</v>
      </c>
      <c r="J3352" s="4" t="n">
        <v>0</v>
      </c>
      <c r="K3352" s="4" t="n">
        <v>0</v>
      </c>
      <c r="M3352" s="2" t="str">
        <f aca="false">IF(C3352="","",IFERROR(INDEX($S$5:$S$304,MATCH(C3352,$R$5:$R$304,0))&amp;"","?"))</f>
        <v>23</v>
      </c>
      <c r="N3352" s="2" t="n">
        <f aca="false">IF(E3352="","",IF(ISNUMBER(SEARCH("SUBSOLO",E3352)),IFERROR(-VALUE(LEFT(E3352,FIND("º",SUBSTITUTE(E3352,"°","º"))-1)),-1),IF(LEFT(E3352,6)="TÉRREO",0,IFERROR(VALUE(LEFT(E3352,FIND("º",SUBSTITUTE(E3352,"°","º"))-1)),""))))</f>
        <v>2</v>
      </c>
      <c r="O3352" s="2" t="str">
        <f aca="false">IF(OR(F3352="",G3352=""),"",IF(G3352&lt;='RETRATO 2027'!$K$5,"CONCLUÍDA",IF(F3352&lt;='RETRATO 2027'!$K$5,"EM ANDAMENTO","A INICIAR")))</f>
        <v>A INICIAR</v>
      </c>
    </row>
    <row r="3353" customFormat="false" ht="15" hidden="false" customHeight="false" outlineLevel="0" collapsed="false">
      <c r="B3353" s="4" t="n">
        <v>26707589</v>
      </c>
      <c r="C3353" s="4" t="s">
        <v>2791</v>
      </c>
      <c r="D3353" s="4" t="s">
        <v>433</v>
      </c>
      <c r="E3353" s="4" t="s">
        <v>3815</v>
      </c>
      <c r="F3353" s="127" t="n">
        <v>46778</v>
      </c>
      <c r="G3353" s="127" t="n">
        <v>46798</v>
      </c>
      <c r="H3353" s="127" t="n">
        <v>46293</v>
      </c>
      <c r="I3353" s="4" t="n">
        <v>0</v>
      </c>
      <c r="J3353" s="4" t="n">
        <v>0</v>
      </c>
      <c r="K3353" s="4" t="n">
        <v>0</v>
      </c>
      <c r="M3353" s="2" t="str">
        <f aca="false">IF(C3353="","",IFERROR(INDEX($S$5:$S$304,MATCH(C3353,$R$5:$R$304,0))&amp;"","?"))</f>
        <v>21</v>
      </c>
      <c r="N3353" s="2" t="n">
        <f aca="false">IF(E3353="","",IF(ISNUMBER(SEARCH("SUBSOLO",E3353)),IFERROR(-VALUE(LEFT(E3353,FIND("º",SUBSTITUTE(E3353,"°","º"))-1)),-1),IF(LEFT(E3353,6)="TÉRREO",0,IFERROR(VALUE(LEFT(E3353,FIND("º",SUBSTITUTE(E3353,"°","º"))-1)),""))))</f>
        <v>2</v>
      </c>
      <c r="O3353" s="2" t="str">
        <f aca="false">IF(OR(F3353="",G3353=""),"",IF(G3353&lt;='RETRATO 2027'!$K$5,"CONCLUÍDA",IF(F3353&lt;='RETRATO 2027'!$K$5,"EM ANDAMENTO","A INICIAR")))</f>
        <v>A INICIAR</v>
      </c>
    </row>
    <row r="3354" customFormat="false" ht="15" hidden="false" customHeight="false" outlineLevel="0" collapsed="false">
      <c r="B3354" s="4" t="n">
        <v>26707600</v>
      </c>
      <c r="C3354" s="4" t="s">
        <v>2992</v>
      </c>
      <c r="D3354" s="4" t="s">
        <v>433</v>
      </c>
      <c r="E3354" s="4" t="s">
        <v>3815</v>
      </c>
      <c r="F3354" s="127" t="n">
        <v>46778</v>
      </c>
      <c r="G3354" s="127" t="n">
        <v>46798</v>
      </c>
      <c r="H3354" s="127" t="n">
        <v>46293</v>
      </c>
      <c r="I3354" s="4" t="n">
        <v>0</v>
      </c>
      <c r="J3354" s="4" t="n">
        <v>0</v>
      </c>
      <c r="K3354" s="4" t="n">
        <v>0</v>
      </c>
      <c r="M3354" s="2" t="str">
        <f aca="false">IF(C3354="","",IFERROR(INDEX($S$5:$S$304,MATCH(C3354,$R$5:$R$304,0))&amp;"","?"))</f>
        <v>20</v>
      </c>
      <c r="N3354" s="2" t="n">
        <f aca="false">IF(E3354="","",IF(ISNUMBER(SEARCH("SUBSOLO",E3354)),IFERROR(-VALUE(LEFT(E3354,FIND("º",SUBSTITUTE(E3354,"°","º"))-1)),-1),IF(LEFT(E3354,6)="TÉRREO",0,IFERROR(VALUE(LEFT(E3354,FIND("º",SUBSTITUTE(E3354,"°","º"))-1)),""))))</f>
        <v>2</v>
      </c>
      <c r="O3354" s="2" t="str">
        <f aca="false">IF(OR(F3354="",G3354=""),"",IF(G3354&lt;='RETRATO 2027'!$K$5,"CONCLUÍDA",IF(F3354&lt;='RETRATO 2027'!$K$5,"EM ANDAMENTO","A INICIAR")))</f>
        <v>A INICIAR</v>
      </c>
    </row>
    <row r="3355" customFormat="false" ht="15" hidden="false" customHeight="false" outlineLevel="0" collapsed="false">
      <c r="B3355" s="4" t="n">
        <v>26744397</v>
      </c>
      <c r="C3355" s="4" t="s">
        <v>2965</v>
      </c>
      <c r="D3355" s="4" t="s">
        <v>433</v>
      </c>
      <c r="E3355" s="4" t="s">
        <v>3780</v>
      </c>
      <c r="F3355" s="127" t="n">
        <v>46778</v>
      </c>
      <c r="G3355" s="127" t="n">
        <v>46791</v>
      </c>
      <c r="H3355" s="127" t="n">
        <v>46293</v>
      </c>
      <c r="I3355" s="4" t="n">
        <v>0</v>
      </c>
      <c r="J3355" s="4" t="n">
        <v>0</v>
      </c>
      <c r="K3355" s="4" t="n">
        <v>0</v>
      </c>
      <c r="M3355" s="2" t="str">
        <f aca="false">IF(C3355="","",IFERROR(INDEX($S$5:$S$304,MATCH(C3355,$R$5:$R$304,0))&amp;"","?"))</f>
        <v>20</v>
      </c>
      <c r="N3355" s="2" t="n">
        <f aca="false">IF(E3355="","",IF(ISNUMBER(SEARCH("SUBSOLO",E3355)),IFERROR(-VALUE(LEFT(E3355,FIND("º",SUBSTITUTE(E3355,"°","º"))-1)),-1),IF(LEFT(E3355,6)="TÉRREO",0,IFERROR(VALUE(LEFT(E3355,FIND("º",SUBSTITUTE(E3355,"°","º"))-1)),""))))</f>
        <v>3</v>
      </c>
      <c r="O3355" s="2" t="str">
        <f aca="false">IF(OR(F3355="",G3355=""),"",IF(G3355&lt;='RETRATO 2027'!$K$5,"CONCLUÍDA",IF(F3355&lt;='RETRATO 2027'!$K$5,"EM ANDAMENTO","A INICIAR")))</f>
        <v>A INICIAR</v>
      </c>
    </row>
    <row r="3356" customFormat="false" ht="15" hidden="false" customHeight="false" outlineLevel="0" collapsed="false">
      <c r="B3356" s="4" t="n">
        <v>26744510</v>
      </c>
      <c r="C3356" s="4" t="s">
        <v>3085</v>
      </c>
      <c r="D3356" s="4" t="s">
        <v>433</v>
      </c>
      <c r="E3356" s="4" t="s">
        <v>3780</v>
      </c>
      <c r="F3356" s="127" t="n">
        <v>46778</v>
      </c>
      <c r="G3356" s="127" t="n">
        <v>46807</v>
      </c>
      <c r="H3356" s="127" t="n">
        <v>46293</v>
      </c>
      <c r="I3356" s="4" t="n">
        <v>0</v>
      </c>
      <c r="J3356" s="4" t="n">
        <v>0</v>
      </c>
      <c r="K3356" s="4" t="n">
        <v>0</v>
      </c>
      <c r="M3356" s="2" t="str">
        <f aca="false">IF(C3356="","",IFERROR(INDEX($S$5:$S$304,MATCH(C3356,$R$5:$R$304,0))&amp;"","?"))</f>
        <v>23</v>
      </c>
      <c r="N3356" s="2" t="n">
        <f aca="false">IF(E3356="","",IF(ISNUMBER(SEARCH("SUBSOLO",E3356)),IFERROR(-VALUE(LEFT(E3356,FIND("º",SUBSTITUTE(E3356,"°","º"))-1)),-1),IF(LEFT(E3356,6)="TÉRREO",0,IFERROR(VALUE(LEFT(E3356,FIND("º",SUBSTITUTE(E3356,"°","º"))-1)),""))))</f>
        <v>3</v>
      </c>
      <c r="O3356" s="2" t="str">
        <f aca="false">IF(OR(F3356="",G3356=""),"",IF(G3356&lt;='RETRATO 2027'!$K$5,"CONCLUÍDA",IF(F3356&lt;='RETRATO 2027'!$K$5,"EM ANDAMENTO","A INICIAR")))</f>
        <v>A INICIAR</v>
      </c>
    </row>
    <row r="3357" customFormat="false" ht="15" hidden="false" customHeight="false" outlineLevel="0" collapsed="false">
      <c r="B3357" s="4" t="n">
        <v>26707637</v>
      </c>
      <c r="C3357" s="4" t="s">
        <v>3006</v>
      </c>
      <c r="D3357" s="4" t="s">
        <v>433</v>
      </c>
      <c r="E3357" s="4" t="s">
        <v>3811</v>
      </c>
      <c r="F3357" s="127" t="n">
        <v>46779</v>
      </c>
      <c r="G3357" s="127" t="n">
        <v>46799</v>
      </c>
      <c r="H3357" s="127" t="n">
        <v>46293</v>
      </c>
      <c r="I3357" s="4" t="n">
        <v>0</v>
      </c>
      <c r="J3357" s="4" t="n">
        <v>0</v>
      </c>
      <c r="K3357" s="4" t="n">
        <v>0</v>
      </c>
      <c r="M3357" s="2" t="str">
        <f aca="false">IF(C3357="","",IFERROR(INDEX($S$5:$S$304,MATCH(C3357,$R$5:$R$304,0))&amp;"","?"))</f>
        <v>37</v>
      </c>
      <c r="N3357" s="2" t="n">
        <f aca="false">IF(E3357="","",IF(ISNUMBER(SEARCH("SUBSOLO",E3357)),IFERROR(-VALUE(LEFT(E3357,FIND("º",SUBSTITUTE(E3357,"°","º"))-1)),-1),IF(LEFT(E3357,6)="TÉRREO",0,IFERROR(VALUE(LEFT(E3357,FIND("º",SUBSTITUTE(E3357,"°","º"))-1)),""))))</f>
        <v>2</v>
      </c>
      <c r="O3357" s="2" t="str">
        <f aca="false">IF(OR(F3357="",G3357=""),"",IF(G3357&lt;='RETRATO 2027'!$K$5,"CONCLUÍDA",IF(F3357&lt;='RETRATO 2027'!$K$5,"EM ANDAMENTO","A INICIAR")))</f>
        <v>A INICIAR</v>
      </c>
    </row>
    <row r="3358" customFormat="false" ht="15" hidden="false" customHeight="false" outlineLevel="0" collapsed="false">
      <c r="B3358" s="4" t="n">
        <v>26707632</v>
      </c>
      <c r="C3358" s="4" t="s">
        <v>3009</v>
      </c>
      <c r="D3358" s="4" t="s">
        <v>433</v>
      </c>
      <c r="E3358" s="4" t="s">
        <v>3811</v>
      </c>
      <c r="F3358" s="127" t="n">
        <v>46779</v>
      </c>
      <c r="G3358" s="127" t="n">
        <v>46799</v>
      </c>
      <c r="H3358" s="127" t="n">
        <v>46293</v>
      </c>
      <c r="I3358" s="4" t="n">
        <v>0</v>
      </c>
      <c r="J3358" s="4" t="n">
        <v>0</v>
      </c>
      <c r="K3358" s="4" t="n">
        <v>0</v>
      </c>
      <c r="M3358" s="2" t="str">
        <f aca="false">IF(C3358="","",IFERROR(INDEX($S$5:$S$304,MATCH(C3358,$R$5:$R$304,0))&amp;"","?"))</f>
        <v>23</v>
      </c>
      <c r="N3358" s="2" t="n">
        <f aca="false">IF(E3358="","",IF(ISNUMBER(SEARCH("SUBSOLO",E3358)),IFERROR(-VALUE(LEFT(E3358,FIND("º",SUBSTITUTE(E3358,"°","º"))-1)),-1),IF(LEFT(E3358,6)="TÉRREO",0,IFERROR(VALUE(LEFT(E3358,FIND("º",SUBSTITUTE(E3358,"°","º"))-1)),""))))</f>
        <v>2</v>
      </c>
      <c r="O3358" s="2" t="str">
        <f aca="false">IF(OR(F3358="",G3358=""),"",IF(G3358&lt;='RETRATO 2027'!$K$5,"CONCLUÍDA",IF(F3358&lt;='RETRATO 2027'!$K$5,"EM ANDAMENTO","A INICIAR")))</f>
        <v>A INICIAR</v>
      </c>
    </row>
    <row r="3359" customFormat="false" ht="15" hidden="false" customHeight="false" outlineLevel="0" collapsed="false">
      <c r="B3359" s="4" t="n">
        <v>26744787</v>
      </c>
      <c r="C3359" s="4" t="s">
        <v>2938</v>
      </c>
      <c r="D3359" s="4" t="s">
        <v>433</v>
      </c>
      <c r="E3359" s="4" t="s">
        <v>3769</v>
      </c>
      <c r="F3359" s="127" t="n">
        <v>46779</v>
      </c>
      <c r="G3359" s="127" t="n">
        <v>46786</v>
      </c>
      <c r="H3359" s="127" t="n">
        <v>46293</v>
      </c>
      <c r="I3359" s="4" t="n">
        <v>0</v>
      </c>
      <c r="J3359" s="4" t="n">
        <v>0</v>
      </c>
      <c r="K3359" s="4" t="n">
        <v>0</v>
      </c>
      <c r="M3359" s="2" t="str">
        <f aca="false">IF(C3359="","",IFERROR(INDEX($S$5:$S$304,MATCH(C3359,$R$5:$R$304,0))&amp;"","?"))</f>
        <v>30</v>
      </c>
      <c r="N3359" s="2" t="n">
        <f aca="false">IF(E3359="","",IF(ISNUMBER(SEARCH("SUBSOLO",E3359)),IFERROR(-VALUE(LEFT(E3359,FIND("º",SUBSTITUTE(E3359,"°","º"))-1)),-1),IF(LEFT(E3359,6)="TÉRREO",0,IFERROR(VALUE(LEFT(E3359,FIND("º",SUBSTITUTE(E3359,"°","º"))-1)),""))))</f>
        <v>3</v>
      </c>
      <c r="O3359" s="2" t="str">
        <f aca="false">IF(OR(F3359="",G3359=""),"",IF(G3359&lt;='RETRATO 2027'!$K$5,"CONCLUÍDA",IF(F3359&lt;='RETRATO 2027'!$K$5,"EM ANDAMENTO","A INICIAR")))</f>
        <v>A INICIAR</v>
      </c>
    </row>
    <row r="3360" customFormat="false" ht="15" hidden="false" customHeight="false" outlineLevel="0" collapsed="false">
      <c r="B3360" s="4" t="n">
        <v>26744754</v>
      </c>
      <c r="C3360" s="4" t="s">
        <v>2935</v>
      </c>
      <c r="D3360" s="4" t="s">
        <v>433</v>
      </c>
      <c r="E3360" s="4" t="s">
        <v>3784</v>
      </c>
      <c r="F3360" s="127" t="n">
        <v>46779</v>
      </c>
      <c r="G3360" s="127" t="n">
        <v>46786</v>
      </c>
      <c r="H3360" s="127" t="n">
        <v>46293</v>
      </c>
      <c r="I3360" s="4" t="n">
        <v>0</v>
      </c>
      <c r="J3360" s="4" t="n">
        <v>0</v>
      </c>
      <c r="K3360" s="4" t="n">
        <v>0</v>
      </c>
      <c r="M3360" s="2" t="str">
        <f aca="false">IF(C3360="","",IFERROR(INDEX($S$5:$S$304,MATCH(C3360,$R$5:$R$304,0))&amp;"","?"))</f>
        <v>30</v>
      </c>
      <c r="N3360" s="2" t="n">
        <f aca="false">IF(E3360="","",IF(ISNUMBER(SEARCH("SUBSOLO",E3360)),IFERROR(-VALUE(LEFT(E3360,FIND("º",SUBSTITUTE(E3360,"°","º"))-1)),-1),IF(LEFT(E3360,6)="TÉRREO",0,IFERROR(VALUE(LEFT(E3360,FIND("º",SUBSTITUTE(E3360,"°","º"))-1)),""))))</f>
        <v>3</v>
      </c>
      <c r="O3360" s="2" t="str">
        <f aca="false">IF(OR(F3360="",G3360=""),"",IF(G3360&lt;='RETRATO 2027'!$K$5,"CONCLUÍDA",IF(F3360&lt;='RETRATO 2027'!$K$5,"EM ANDAMENTO","A INICIAR")))</f>
        <v>A INICIAR</v>
      </c>
    </row>
    <row r="3361" customFormat="false" ht="15" hidden="false" customHeight="false" outlineLevel="0" collapsed="false">
      <c r="B3361" s="4" t="n">
        <v>26743627</v>
      </c>
      <c r="C3361" s="4" t="s">
        <v>2962</v>
      </c>
      <c r="D3361" s="4" t="s">
        <v>433</v>
      </c>
      <c r="E3361" s="4" t="s">
        <v>3668</v>
      </c>
      <c r="F3361" s="127" t="n">
        <v>46779</v>
      </c>
      <c r="G3361" s="127" t="n">
        <v>46787</v>
      </c>
      <c r="H3361" s="127" t="n">
        <v>46293</v>
      </c>
      <c r="I3361" s="4" t="n">
        <v>0</v>
      </c>
      <c r="J3361" s="4" t="n">
        <v>0</v>
      </c>
      <c r="K3361" s="4" t="n">
        <v>0</v>
      </c>
      <c r="M3361" s="2" t="str">
        <f aca="false">IF(C3361="","",IFERROR(INDEX($S$5:$S$304,MATCH(C3361,$R$5:$R$304,0))&amp;"","?"))</f>
        <v>34</v>
      </c>
      <c r="N3361" s="2" t="n">
        <f aca="false">IF(E3361="","",IF(ISNUMBER(SEARCH("SUBSOLO",E3361)),IFERROR(-VALUE(LEFT(E3361,FIND("º",SUBSTITUTE(E3361,"°","º"))-1)),-1),IF(LEFT(E3361,6)="TÉRREO",0,IFERROR(VALUE(LEFT(E3361,FIND("º",SUBSTITUTE(E3361,"°","º"))-1)),""))))</f>
        <v>4</v>
      </c>
      <c r="O3361" s="2" t="str">
        <f aca="false">IF(OR(F3361="",G3361=""),"",IF(G3361&lt;='RETRATO 2027'!$K$5,"CONCLUÍDA",IF(F3361&lt;='RETRATO 2027'!$K$5,"EM ANDAMENTO","A INICIAR")))</f>
        <v>A INICIAR</v>
      </c>
    </row>
    <row r="3362" customFormat="false" ht="15" hidden="false" customHeight="false" outlineLevel="0" collapsed="false">
      <c r="B3362" s="4" t="n">
        <v>26743632</v>
      </c>
      <c r="C3362" s="4" t="s">
        <v>3088</v>
      </c>
      <c r="D3362" s="4" t="s">
        <v>433</v>
      </c>
      <c r="E3362" s="4" t="s">
        <v>3668</v>
      </c>
      <c r="F3362" s="127" t="n">
        <v>46779</v>
      </c>
      <c r="G3362" s="127" t="n">
        <v>46787</v>
      </c>
      <c r="H3362" s="127" t="n">
        <v>46293</v>
      </c>
      <c r="I3362" s="4" t="n">
        <v>0</v>
      </c>
      <c r="J3362" s="4" t="n">
        <v>0</v>
      </c>
      <c r="K3362" s="4" t="n">
        <v>0</v>
      </c>
      <c r="M3362" s="2" t="str">
        <f aca="false">IF(C3362="","",IFERROR(INDEX($S$5:$S$304,MATCH(C3362,$R$5:$R$304,0))&amp;"","?"))</f>
        <v>20</v>
      </c>
      <c r="N3362" s="2" t="n">
        <f aca="false">IF(E3362="","",IF(ISNUMBER(SEARCH("SUBSOLO",E3362)),IFERROR(-VALUE(LEFT(E3362,FIND("º",SUBSTITUTE(E3362,"°","º"))-1)),-1),IF(LEFT(E3362,6)="TÉRREO",0,IFERROR(VALUE(LEFT(E3362,FIND("º",SUBSTITUTE(E3362,"°","º"))-1)),""))))</f>
        <v>4</v>
      </c>
      <c r="O3362" s="2" t="str">
        <f aca="false">IF(OR(F3362="",G3362=""),"",IF(G3362&lt;='RETRATO 2027'!$K$5,"CONCLUÍDA",IF(F3362&lt;='RETRATO 2027'!$K$5,"EM ANDAMENTO","A INICIAR")))</f>
        <v>A INICIAR</v>
      </c>
    </row>
    <row r="3363" customFormat="false" ht="15" hidden="false" customHeight="false" outlineLevel="0" collapsed="false">
      <c r="B3363" s="4" t="n">
        <v>26743651</v>
      </c>
      <c r="C3363" s="4" t="s">
        <v>3009</v>
      </c>
      <c r="D3363" s="4" t="s">
        <v>433</v>
      </c>
      <c r="E3363" s="4" t="s">
        <v>3668</v>
      </c>
      <c r="F3363" s="127" t="n">
        <v>46779</v>
      </c>
      <c r="G3363" s="127" t="n">
        <v>46787</v>
      </c>
      <c r="H3363" s="127" t="n">
        <v>46293</v>
      </c>
      <c r="I3363" s="4" t="n">
        <v>0</v>
      </c>
      <c r="J3363" s="4" t="n">
        <v>0</v>
      </c>
      <c r="K3363" s="4" t="n">
        <v>0</v>
      </c>
      <c r="M3363" s="2" t="str">
        <f aca="false">IF(C3363="","",IFERROR(INDEX($S$5:$S$304,MATCH(C3363,$R$5:$R$304,0))&amp;"","?"))</f>
        <v>23</v>
      </c>
      <c r="N3363" s="2" t="n">
        <f aca="false">IF(E3363="","",IF(ISNUMBER(SEARCH("SUBSOLO",E3363)),IFERROR(-VALUE(LEFT(E3363,FIND("º",SUBSTITUTE(E3363,"°","º"))-1)),-1),IF(LEFT(E3363,6)="TÉRREO",0,IFERROR(VALUE(LEFT(E3363,FIND("º",SUBSTITUTE(E3363,"°","º"))-1)),""))))</f>
        <v>4</v>
      </c>
      <c r="O3363" s="2" t="str">
        <f aca="false">IF(OR(F3363="",G3363=""),"",IF(G3363&lt;='RETRATO 2027'!$K$5,"CONCLUÍDA",IF(F3363&lt;='RETRATO 2027'!$K$5,"EM ANDAMENTO","A INICIAR")))</f>
        <v>A INICIAR</v>
      </c>
    </row>
    <row r="3364" customFormat="false" ht="15" hidden="false" customHeight="false" outlineLevel="0" collapsed="false">
      <c r="B3364" s="4" t="n">
        <v>26743589</v>
      </c>
      <c r="C3364" s="4" t="s">
        <v>3082</v>
      </c>
      <c r="D3364" s="4" t="s">
        <v>433</v>
      </c>
      <c r="E3364" s="4" t="s">
        <v>3678</v>
      </c>
      <c r="F3364" s="127" t="n">
        <v>46779</v>
      </c>
      <c r="G3364" s="127" t="n">
        <v>46787</v>
      </c>
      <c r="H3364" s="127" t="n">
        <v>46293</v>
      </c>
      <c r="I3364" s="4" t="n">
        <v>0</v>
      </c>
      <c r="J3364" s="4" t="n">
        <v>0</v>
      </c>
      <c r="K3364" s="4" t="n">
        <v>0</v>
      </c>
      <c r="M3364" s="2" t="str">
        <f aca="false">IF(C3364="","",IFERROR(INDEX($S$5:$S$304,MATCH(C3364,$R$5:$R$304,0))&amp;"","?"))</f>
        <v>30</v>
      </c>
      <c r="N3364" s="2" t="n">
        <f aca="false">IF(E3364="","",IF(ISNUMBER(SEARCH("SUBSOLO",E3364)),IFERROR(-VALUE(LEFT(E3364,FIND("º",SUBSTITUTE(E3364,"°","º"))-1)),-1),IF(LEFT(E3364,6)="TÉRREO",0,IFERROR(VALUE(LEFT(E3364,FIND("º",SUBSTITUTE(E3364,"°","º"))-1)),""))))</f>
        <v>5</v>
      </c>
      <c r="O3364" s="2" t="str">
        <f aca="false">IF(OR(F3364="",G3364=""),"",IF(G3364&lt;='RETRATO 2027'!$K$5,"CONCLUÍDA",IF(F3364&lt;='RETRATO 2027'!$K$5,"EM ANDAMENTO","A INICIAR")))</f>
        <v>A INICIAR</v>
      </c>
    </row>
    <row r="3365" customFormat="false" ht="15" hidden="false" customHeight="false" outlineLevel="0" collapsed="false">
      <c r="B3365" s="4" t="n">
        <v>26743582</v>
      </c>
      <c r="C3365" s="4" t="s">
        <v>3079</v>
      </c>
      <c r="D3365" s="4" t="s">
        <v>433</v>
      </c>
      <c r="E3365" s="4" t="s">
        <v>3685</v>
      </c>
      <c r="F3365" s="127" t="n">
        <v>46779</v>
      </c>
      <c r="G3365" s="127" t="n">
        <v>46787</v>
      </c>
      <c r="H3365" s="127" t="n">
        <v>46293</v>
      </c>
      <c r="I3365" s="4" t="n">
        <v>0</v>
      </c>
      <c r="J3365" s="4" t="n">
        <v>0</v>
      </c>
      <c r="K3365" s="4" t="n">
        <v>0</v>
      </c>
      <c r="M3365" s="2" t="str">
        <f aca="false">IF(C3365="","",IFERROR(INDEX($S$5:$S$304,MATCH(C3365,$R$5:$R$304,0))&amp;"","?"))</f>
        <v>25</v>
      </c>
      <c r="N3365" s="2" t="n">
        <f aca="false">IF(E3365="","",IF(ISNUMBER(SEARCH("SUBSOLO",E3365)),IFERROR(-VALUE(LEFT(E3365,FIND("º",SUBSTITUTE(E3365,"°","º"))-1)),-1),IF(LEFT(E3365,6)="TÉRREO",0,IFERROR(VALUE(LEFT(E3365,FIND("º",SUBSTITUTE(E3365,"°","º"))-1)),""))))</f>
        <v>6</v>
      </c>
      <c r="O3365" s="2" t="str">
        <f aca="false">IF(OR(F3365="",G3365=""),"",IF(G3365&lt;='RETRATO 2027'!$K$5,"CONCLUÍDA",IF(F3365&lt;='RETRATO 2027'!$K$5,"EM ANDAMENTO","A INICIAR")))</f>
        <v>A INICIAR</v>
      </c>
    </row>
    <row r="3366" customFormat="false" ht="15" hidden="false" customHeight="false" outlineLevel="0" collapsed="false">
      <c r="B3366" s="4" t="n">
        <v>26743543</v>
      </c>
      <c r="C3366" s="4" t="s">
        <v>3073</v>
      </c>
      <c r="D3366" s="4" t="s">
        <v>433</v>
      </c>
      <c r="E3366" s="4" t="s">
        <v>3686</v>
      </c>
      <c r="F3366" s="127" t="n">
        <v>46779</v>
      </c>
      <c r="G3366" s="127" t="n">
        <v>46787</v>
      </c>
      <c r="H3366" s="127" t="n">
        <v>46293</v>
      </c>
      <c r="I3366" s="4" t="n">
        <v>0</v>
      </c>
      <c r="J3366" s="4" t="n">
        <v>0</v>
      </c>
      <c r="K3366" s="4" t="n">
        <v>0</v>
      </c>
      <c r="M3366" s="2" t="str">
        <f aca="false">IF(C3366="","",IFERROR(INDEX($S$5:$S$304,MATCH(C3366,$R$5:$R$304,0))&amp;"","?"))</f>
        <v>30</v>
      </c>
      <c r="N3366" s="2" t="n">
        <f aca="false">IF(E3366="","",IF(ISNUMBER(SEARCH("SUBSOLO",E3366)),IFERROR(-VALUE(LEFT(E3366,FIND("º",SUBSTITUTE(E3366,"°","º"))-1)),-1),IF(LEFT(E3366,6)="TÉRREO",0,IFERROR(VALUE(LEFT(E3366,FIND("º",SUBSTITUTE(E3366,"°","º"))-1)),""))))</f>
        <v>7</v>
      </c>
      <c r="O3366" s="2" t="str">
        <f aca="false">IF(OR(F3366="",G3366=""),"",IF(G3366&lt;='RETRATO 2027'!$K$5,"CONCLUÍDA",IF(F3366&lt;='RETRATO 2027'!$K$5,"EM ANDAMENTO","A INICIAR")))</f>
        <v>A INICIAR</v>
      </c>
    </row>
    <row r="3367" customFormat="false" ht="15" hidden="false" customHeight="false" outlineLevel="0" collapsed="false">
      <c r="B3367" s="4" t="n">
        <v>26743505</v>
      </c>
      <c r="C3367" s="4" t="s">
        <v>3055</v>
      </c>
      <c r="D3367" s="4" t="s">
        <v>433</v>
      </c>
      <c r="E3367" s="4" t="s">
        <v>3706</v>
      </c>
      <c r="F3367" s="127" t="n">
        <v>46779</v>
      </c>
      <c r="G3367" s="127" t="n">
        <v>46787</v>
      </c>
      <c r="H3367" s="127" t="n">
        <v>46293</v>
      </c>
      <c r="I3367" s="4" t="n">
        <v>0</v>
      </c>
      <c r="J3367" s="4" t="n">
        <v>0</v>
      </c>
      <c r="K3367" s="4" t="n">
        <v>0</v>
      </c>
      <c r="M3367" s="2" t="str">
        <f aca="false">IF(C3367="","",IFERROR(INDEX($S$5:$S$304,MATCH(C3367,$R$5:$R$304,0))&amp;"","?"))</f>
        <v>25</v>
      </c>
      <c r="N3367" s="2" t="n">
        <f aca="false">IF(E3367="","",IF(ISNUMBER(SEARCH("SUBSOLO",E3367)),IFERROR(-VALUE(LEFT(E3367,FIND("º",SUBSTITUTE(E3367,"°","º"))-1)),-1),IF(LEFT(E3367,6)="TÉRREO",0,IFERROR(VALUE(LEFT(E3367,FIND("º",SUBSTITUTE(E3367,"°","º"))-1)),""))))</f>
        <v>8</v>
      </c>
      <c r="O3367" s="2" t="str">
        <f aca="false">IF(OR(F3367="",G3367=""),"",IF(G3367&lt;='RETRATO 2027'!$K$5,"CONCLUÍDA",IF(F3367&lt;='RETRATO 2027'!$K$5,"EM ANDAMENTO","A INICIAR")))</f>
        <v>A INICIAR</v>
      </c>
    </row>
    <row r="3368" customFormat="false" ht="15" hidden="false" customHeight="false" outlineLevel="0" collapsed="false">
      <c r="B3368" s="4" t="n">
        <v>26744976</v>
      </c>
      <c r="C3368" s="4" t="s">
        <v>2965</v>
      </c>
      <c r="D3368" s="4" t="s">
        <v>433</v>
      </c>
      <c r="E3368" s="4" t="s">
        <v>3558</v>
      </c>
      <c r="F3368" s="127" t="n">
        <v>46783</v>
      </c>
      <c r="G3368" s="127" t="n">
        <v>46792</v>
      </c>
      <c r="H3368" s="127" t="n">
        <v>46293</v>
      </c>
      <c r="I3368" s="4" t="n">
        <v>0</v>
      </c>
      <c r="J3368" s="4" t="n">
        <v>0</v>
      </c>
      <c r="K3368" s="4" t="n">
        <v>0</v>
      </c>
      <c r="M3368" s="2" t="str">
        <f aca="false">IF(C3368="","",IFERROR(INDEX($S$5:$S$304,MATCH(C3368,$R$5:$R$304,0))&amp;"","?"))</f>
        <v>20</v>
      </c>
      <c r="N3368" s="2" t="n">
        <f aca="false">IF(E3368="","",IF(ISNUMBER(SEARCH("SUBSOLO",E3368)),IFERROR(-VALUE(LEFT(E3368,FIND("º",SUBSTITUTE(E3368,"°","º"))-1)),-1),IF(LEFT(E3368,6)="TÉRREO",0,IFERROR(VALUE(LEFT(E3368,FIND("º",SUBSTITUTE(E3368,"°","º"))-1)),""))))</f>
        <v>-4</v>
      </c>
      <c r="O3368" s="2" t="str">
        <f aca="false">IF(OR(F3368="",G3368=""),"",IF(G3368&lt;='RETRATO 2027'!$K$5,"CONCLUÍDA",IF(F3368&lt;='RETRATO 2027'!$K$5,"EM ANDAMENTO","A INICIAR")))</f>
        <v>A INICIAR</v>
      </c>
    </row>
    <row r="3369" customFormat="false" ht="15" hidden="false" customHeight="false" outlineLevel="0" collapsed="false">
      <c r="B3369" s="4" t="n">
        <v>26743747</v>
      </c>
      <c r="C3369" s="4" t="s">
        <v>3063</v>
      </c>
      <c r="D3369" s="4" t="s">
        <v>433</v>
      </c>
      <c r="E3369" s="4" t="s">
        <v>3375</v>
      </c>
      <c r="F3369" s="127" t="n">
        <v>46784</v>
      </c>
      <c r="G3369" s="127" t="n">
        <v>46804</v>
      </c>
      <c r="H3369" s="127" t="n">
        <v>46293</v>
      </c>
      <c r="I3369" s="4" t="n">
        <v>0</v>
      </c>
      <c r="J3369" s="4" t="n">
        <v>0</v>
      </c>
      <c r="K3369" s="4" t="n">
        <v>0</v>
      </c>
      <c r="M3369" s="2" t="str">
        <f aca="false">IF(C3369="","",IFERROR(INDEX($S$5:$S$304,MATCH(C3369,$R$5:$R$304,0))&amp;"","?"))</f>
        <v>31</v>
      </c>
      <c r="N3369" s="2" t="n">
        <f aca="false">IF(E3369="","",IF(ISNUMBER(SEARCH("SUBSOLO",E3369)),IFERROR(-VALUE(LEFT(E3369,FIND("º",SUBSTITUTE(E3369,"°","º"))-1)),-1),IF(LEFT(E3369,6)="TÉRREO",0,IFERROR(VALUE(LEFT(E3369,FIND("º",SUBSTITUTE(E3369,"°","º"))-1)),""))))</f>
        <v>-3</v>
      </c>
      <c r="O3369" s="2" t="str">
        <f aca="false">IF(OR(F3369="",G3369=""),"",IF(G3369&lt;='RETRATO 2027'!$K$5,"CONCLUÍDA",IF(F3369&lt;='RETRATO 2027'!$K$5,"EM ANDAMENTO","A INICIAR")))</f>
        <v>A INICIAR</v>
      </c>
    </row>
    <row r="3370" customFormat="false" ht="15" hidden="false" customHeight="false" outlineLevel="0" collapsed="false">
      <c r="B3370" s="4" t="n">
        <v>26744964</v>
      </c>
      <c r="C3370" s="4" t="s">
        <v>3029</v>
      </c>
      <c r="D3370" s="4" t="s">
        <v>433</v>
      </c>
      <c r="E3370" s="4" t="s">
        <v>3671</v>
      </c>
      <c r="F3370" s="127" t="n">
        <v>46785</v>
      </c>
      <c r="G3370" s="127" t="n">
        <v>46794</v>
      </c>
      <c r="H3370" s="127" t="n">
        <v>46293</v>
      </c>
      <c r="I3370" s="4" t="n">
        <v>0</v>
      </c>
      <c r="J3370" s="4" t="n">
        <v>0</v>
      </c>
      <c r="K3370" s="4" t="n">
        <v>0</v>
      </c>
      <c r="M3370" s="2" t="str">
        <f aca="false">IF(C3370="","",IFERROR(INDEX($S$5:$S$304,MATCH(C3370,$R$5:$R$304,0))&amp;"","?"))</f>
        <v/>
      </c>
      <c r="N3370" s="2" t="n">
        <f aca="false">IF(E3370="","",IF(ISNUMBER(SEARCH("SUBSOLO",E3370)),IFERROR(-VALUE(LEFT(E3370,FIND("º",SUBSTITUTE(E3370,"°","º"))-1)),-1),IF(LEFT(E3370,6)="TÉRREO",0,IFERROR(VALUE(LEFT(E3370,FIND("º",SUBSTITUTE(E3370,"°","º"))-1)),""))))</f>
        <v>-3</v>
      </c>
      <c r="O3370" s="2" t="str">
        <f aca="false">IF(OR(F3370="",G3370=""),"",IF(G3370&lt;='RETRATO 2027'!$K$5,"CONCLUÍDA",IF(F3370&lt;='RETRATO 2027'!$K$5,"EM ANDAMENTO","A INICIAR")))</f>
        <v>A INICIAR</v>
      </c>
    </row>
    <row r="3371" customFormat="false" ht="15" hidden="false" customHeight="false" outlineLevel="0" collapsed="false">
      <c r="B3371" s="4" t="n">
        <v>26745016</v>
      </c>
      <c r="C3371" s="4" t="s">
        <v>2980</v>
      </c>
      <c r="D3371" s="4" t="s">
        <v>433</v>
      </c>
      <c r="E3371" s="4" t="s">
        <v>3828</v>
      </c>
      <c r="F3371" s="127" t="n">
        <v>46785</v>
      </c>
      <c r="G3371" s="127" t="n">
        <v>46794</v>
      </c>
      <c r="H3371" s="127" t="n">
        <v>46293</v>
      </c>
      <c r="I3371" s="4" t="n">
        <v>0</v>
      </c>
      <c r="J3371" s="4" t="n">
        <v>0</v>
      </c>
      <c r="K3371" s="4" t="n">
        <v>0</v>
      </c>
      <c r="M3371" s="2" t="str">
        <f aca="false">IF(C3371="","",IFERROR(INDEX($S$5:$S$304,MATCH(C3371,$R$5:$R$304,0))&amp;"","?"))</f>
        <v>35</v>
      </c>
      <c r="N3371" s="2" t="n">
        <f aca="false">IF(E3371="","",IF(ISNUMBER(SEARCH("SUBSOLO",E3371)),IFERROR(-VALUE(LEFT(E3371,FIND("º",SUBSTITUTE(E3371,"°","º"))-1)),-1),IF(LEFT(E3371,6)="TÉRREO",0,IFERROR(VALUE(LEFT(E3371,FIND("º",SUBSTITUTE(E3371,"°","º"))-1)),""))))</f>
        <v>2</v>
      </c>
      <c r="O3371" s="2" t="str">
        <f aca="false">IF(OR(F3371="",G3371=""),"",IF(G3371&lt;='RETRATO 2027'!$K$5,"CONCLUÍDA",IF(F3371&lt;='RETRATO 2027'!$K$5,"EM ANDAMENTO","A INICIAR")))</f>
        <v>A INICIAR</v>
      </c>
    </row>
    <row r="3372" customFormat="false" ht="15" hidden="false" customHeight="false" outlineLevel="0" collapsed="false">
      <c r="B3372" s="4" t="n">
        <v>26742793</v>
      </c>
      <c r="C3372" s="4" t="s">
        <v>2997</v>
      </c>
      <c r="D3372" s="4" t="s">
        <v>433</v>
      </c>
      <c r="E3372" s="4" t="s">
        <v>3799</v>
      </c>
      <c r="F3372" s="127" t="n">
        <v>46785</v>
      </c>
      <c r="G3372" s="127" t="n">
        <v>46794</v>
      </c>
      <c r="H3372" s="127" t="n">
        <v>46293</v>
      </c>
      <c r="I3372" s="4" t="n">
        <v>0</v>
      </c>
      <c r="J3372" s="4" t="n">
        <v>0</v>
      </c>
      <c r="K3372" s="4" t="n">
        <v>0</v>
      </c>
      <c r="M3372" s="2" t="str">
        <f aca="false">IF(C3372="","",IFERROR(INDEX($S$5:$S$304,MATCH(C3372,$R$5:$R$304,0))&amp;"","?"))</f>
        <v>35</v>
      </c>
      <c r="N3372" s="2" t="n">
        <f aca="false">IF(E3372="","",IF(ISNUMBER(SEARCH("SUBSOLO",E3372)),IFERROR(-VALUE(LEFT(E3372,FIND("º",SUBSTITUTE(E3372,"°","º"))-1)),-1),IF(LEFT(E3372,6)="TÉRREO",0,IFERROR(VALUE(LEFT(E3372,FIND("º",SUBSTITUTE(E3372,"°","º"))-1)),""))))</f>
        <v>27</v>
      </c>
      <c r="O3372" s="2" t="str">
        <f aca="false">IF(OR(F3372="",G3372=""),"",IF(G3372&lt;='RETRATO 2027'!$K$5,"CONCLUÍDA",IF(F3372&lt;='RETRATO 2027'!$K$5,"EM ANDAMENTO","A INICIAR")))</f>
        <v>A INICIAR</v>
      </c>
    </row>
    <row r="3373" customFormat="false" ht="15" hidden="false" customHeight="false" outlineLevel="0" collapsed="false">
      <c r="B3373" s="4" t="n">
        <v>26742755</v>
      </c>
      <c r="C3373" s="4" t="s">
        <v>2980</v>
      </c>
      <c r="D3373" s="4" t="s">
        <v>433</v>
      </c>
      <c r="E3373" s="4" t="s">
        <v>3802</v>
      </c>
      <c r="F3373" s="127" t="n">
        <v>46785</v>
      </c>
      <c r="G3373" s="127" t="n">
        <v>46794</v>
      </c>
      <c r="H3373" s="127" t="n">
        <v>46293</v>
      </c>
      <c r="I3373" s="4" t="n">
        <v>0</v>
      </c>
      <c r="J3373" s="4" t="n">
        <v>0</v>
      </c>
      <c r="K3373" s="4" t="n">
        <v>0</v>
      </c>
      <c r="M3373" s="2" t="str">
        <f aca="false">IF(C3373="","",IFERROR(INDEX($S$5:$S$304,MATCH(C3373,$R$5:$R$304,0))&amp;"","?"))</f>
        <v>35</v>
      </c>
      <c r="N3373" s="2" t="n">
        <f aca="false">IF(E3373="","",IF(ISNUMBER(SEARCH("SUBSOLO",E3373)),IFERROR(-VALUE(LEFT(E3373,FIND("º",SUBSTITUTE(E3373,"°","º"))-1)),-1),IF(LEFT(E3373,6)="TÉRREO",0,IFERROR(VALUE(LEFT(E3373,FIND("º",SUBSTITUTE(E3373,"°","º"))-1)),""))))</f>
        <v>28</v>
      </c>
      <c r="O3373" s="2" t="str">
        <f aca="false">IF(OR(F3373="",G3373=""),"",IF(G3373&lt;='RETRATO 2027'!$K$5,"CONCLUÍDA",IF(F3373&lt;='RETRATO 2027'!$K$5,"EM ANDAMENTO","A INICIAR")))</f>
        <v>A INICIAR</v>
      </c>
    </row>
    <row r="3374" customFormat="false" ht="15" hidden="false" customHeight="false" outlineLevel="0" collapsed="false">
      <c r="B3374" s="4" t="n">
        <v>26742725</v>
      </c>
      <c r="C3374" s="4" t="s">
        <v>208</v>
      </c>
      <c r="D3374" s="4" t="s">
        <v>433</v>
      </c>
      <c r="E3374" s="4" t="s">
        <v>3803</v>
      </c>
      <c r="F3374" s="127" t="n">
        <v>46785</v>
      </c>
      <c r="G3374" s="127" t="n">
        <v>46794</v>
      </c>
      <c r="H3374" s="127" t="n">
        <v>46293</v>
      </c>
      <c r="I3374" s="4" t="n">
        <v>0</v>
      </c>
      <c r="J3374" s="4" t="n">
        <v>0</v>
      </c>
      <c r="K3374" s="4" t="n">
        <v>0</v>
      </c>
      <c r="M3374" s="2" t="str">
        <f aca="false">IF(C3374="","",IFERROR(INDEX($S$5:$S$304,MATCH(C3374,$R$5:$R$304,0))&amp;"","?"))</f>
        <v>33</v>
      </c>
      <c r="N3374" s="2" t="n">
        <f aca="false">IF(E3374="","",IF(ISNUMBER(SEARCH("SUBSOLO",E3374)),IFERROR(-VALUE(LEFT(E3374,FIND("º",SUBSTITUTE(E3374,"°","º"))-1)),-1),IF(LEFT(E3374,6)="TÉRREO",0,IFERROR(VALUE(LEFT(E3374,FIND("º",SUBSTITUTE(E3374,"°","º"))-1)),""))))</f>
        <v>29</v>
      </c>
      <c r="O3374" s="2" t="str">
        <f aca="false">IF(OR(F3374="",G3374=""),"",IF(G3374&lt;='RETRATO 2027'!$K$5,"CONCLUÍDA",IF(F3374&lt;='RETRATO 2027'!$K$5,"EM ANDAMENTO","A INICIAR")))</f>
        <v>A INICIAR</v>
      </c>
    </row>
    <row r="3375" customFormat="false" ht="15" hidden="false" customHeight="false" outlineLevel="0" collapsed="false">
      <c r="B3375" s="4" t="n">
        <v>26790250</v>
      </c>
      <c r="C3375" s="4" t="s">
        <v>3091</v>
      </c>
      <c r="D3375" s="4" t="s">
        <v>433</v>
      </c>
      <c r="E3375" s="4" t="s">
        <v>3821</v>
      </c>
      <c r="F3375" s="127" t="n">
        <v>46787</v>
      </c>
      <c r="G3375" s="127" t="n">
        <v>46853</v>
      </c>
      <c r="H3375" s="127" t="n">
        <v>46293</v>
      </c>
      <c r="I3375" s="4" t="n">
        <v>0</v>
      </c>
      <c r="J3375" s="4" t="n">
        <v>0</v>
      </c>
      <c r="K3375" s="4" t="n">
        <v>0</v>
      </c>
      <c r="M3375" s="2" t="str">
        <f aca="false">IF(C3375="","",IFERROR(INDEX($S$5:$S$304,MATCH(C3375,$R$5:$R$304,0))&amp;"","?"))</f>
        <v>20</v>
      </c>
      <c r="N3375" s="2" t="n">
        <f aca="false">IF(E3375="","",IF(ISNUMBER(SEARCH("SUBSOLO",E3375)),IFERROR(-VALUE(LEFT(E3375,FIND("º",SUBSTITUTE(E3375,"°","º"))-1)),-1),IF(LEFT(E3375,6)="TÉRREO",0,IFERROR(VALUE(LEFT(E3375,FIND("º",SUBSTITUTE(E3375,"°","º"))-1)),""))))</f>
        <v>-6</v>
      </c>
      <c r="O3375" s="2" t="str">
        <f aca="false">IF(OR(F3375="",G3375=""),"",IF(G3375&lt;='RETRATO 2027'!$K$5,"CONCLUÍDA",IF(F3375&lt;='RETRATO 2027'!$K$5,"EM ANDAMENTO","A INICIAR")))</f>
        <v>A INICIAR</v>
      </c>
    </row>
    <row r="3376" customFormat="false" ht="15" hidden="false" customHeight="false" outlineLevel="0" collapsed="false">
      <c r="B3376" s="4" t="n">
        <v>26743779</v>
      </c>
      <c r="C3376" s="4" t="s">
        <v>214</v>
      </c>
      <c r="D3376" s="4" t="s">
        <v>433</v>
      </c>
      <c r="E3376" s="4" t="s">
        <v>3473</v>
      </c>
      <c r="F3376" s="127" t="n">
        <v>46787</v>
      </c>
      <c r="G3376" s="127" t="n">
        <v>46820</v>
      </c>
      <c r="H3376" s="127" t="n">
        <v>46293</v>
      </c>
      <c r="I3376" s="4" t="n">
        <v>0</v>
      </c>
      <c r="J3376" s="4" t="n">
        <v>0</v>
      </c>
      <c r="K3376" s="4" t="n">
        <v>0</v>
      </c>
      <c r="M3376" s="2" t="str">
        <f aca="false">IF(C3376="","",IFERROR(INDEX($S$5:$S$304,MATCH(C3376,$R$5:$R$304,0))&amp;"","?"))</f>
        <v>35</v>
      </c>
      <c r="N3376" s="2" t="n">
        <f aca="false">IF(E3376="","",IF(ISNUMBER(SEARCH("SUBSOLO",E3376)),IFERROR(-VALUE(LEFT(E3376,FIND("º",SUBSTITUTE(E3376,"°","º"))-1)),-1),IF(LEFT(E3376,6)="TÉRREO",0,IFERROR(VALUE(LEFT(E3376,FIND("º",SUBSTITUTE(E3376,"°","º"))-1)),""))))</f>
        <v>-5</v>
      </c>
      <c r="O3376" s="2" t="str">
        <f aca="false">IF(OR(F3376="",G3376=""),"",IF(G3376&lt;='RETRATO 2027'!$K$5,"CONCLUÍDA",IF(F3376&lt;='RETRATO 2027'!$K$5,"EM ANDAMENTO","A INICIAR")))</f>
        <v>A INICIAR</v>
      </c>
    </row>
    <row r="3377" customFormat="false" ht="15" hidden="false" customHeight="false" outlineLevel="0" collapsed="false">
      <c r="B3377" s="4" t="n">
        <v>26744988</v>
      </c>
      <c r="C3377" s="4" t="s">
        <v>3006</v>
      </c>
      <c r="D3377" s="4" t="s">
        <v>433</v>
      </c>
      <c r="E3377" s="4" t="s">
        <v>3662</v>
      </c>
      <c r="F3377" s="127" t="n">
        <v>46787</v>
      </c>
      <c r="G3377" s="127" t="n">
        <v>46798</v>
      </c>
      <c r="H3377" s="127" t="n">
        <v>46293</v>
      </c>
      <c r="I3377" s="4" t="n">
        <v>0</v>
      </c>
      <c r="J3377" s="4" t="n">
        <v>0</v>
      </c>
      <c r="K3377" s="4" t="n">
        <v>0</v>
      </c>
      <c r="M3377" s="2" t="str">
        <f aca="false">IF(C3377="","",IFERROR(INDEX($S$5:$S$304,MATCH(C3377,$R$5:$R$304,0))&amp;"","?"))</f>
        <v>37</v>
      </c>
      <c r="N3377" s="2" t="n">
        <f aca="false">IF(E3377="","",IF(ISNUMBER(SEARCH("SUBSOLO",E3377)),IFERROR(-VALUE(LEFT(E3377,FIND("º",SUBSTITUTE(E3377,"°","º"))-1)),-1),IF(LEFT(E3377,6)="TÉRREO",0,IFERROR(VALUE(LEFT(E3377,FIND("º",SUBSTITUTE(E3377,"°","º"))-1)),""))))</f>
        <v>-5</v>
      </c>
      <c r="O3377" s="2" t="str">
        <f aca="false">IF(OR(F3377="",G3377=""),"",IF(G3377&lt;='RETRATO 2027'!$K$5,"CONCLUÍDA",IF(F3377&lt;='RETRATO 2027'!$K$5,"EM ANDAMENTO","A INICIAR")))</f>
        <v>A INICIAR</v>
      </c>
    </row>
    <row r="3378" customFormat="false" ht="15" hidden="false" customHeight="false" outlineLevel="0" collapsed="false">
      <c r="B3378" s="4" t="n">
        <v>26745182</v>
      </c>
      <c r="C3378" s="4" t="s">
        <v>2935</v>
      </c>
      <c r="D3378" s="4" t="s">
        <v>433</v>
      </c>
      <c r="E3378" s="4" t="s">
        <v>3657</v>
      </c>
      <c r="F3378" s="127" t="n">
        <v>46787</v>
      </c>
      <c r="G3378" s="127" t="n">
        <v>46798</v>
      </c>
      <c r="H3378" s="127" t="n">
        <v>46293</v>
      </c>
      <c r="I3378" s="4" t="n">
        <v>0</v>
      </c>
      <c r="J3378" s="4" t="n">
        <v>0</v>
      </c>
      <c r="K3378" s="4" t="n">
        <v>0</v>
      </c>
      <c r="M3378" s="2" t="str">
        <f aca="false">IF(C3378="","",IFERROR(INDEX($S$5:$S$304,MATCH(C3378,$R$5:$R$304,0))&amp;"","?"))</f>
        <v>30</v>
      </c>
      <c r="N3378" s="2" t="n">
        <f aca="false">IF(E3378="","",IF(ISNUMBER(SEARCH("SUBSOLO",E3378)),IFERROR(-VALUE(LEFT(E3378,FIND("º",SUBSTITUTE(E3378,"°","º"))-1)),-1),IF(LEFT(E3378,6)="TÉRREO",0,IFERROR(VALUE(LEFT(E3378,FIND("º",SUBSTITUTE(E3378,"°","º"))-1)),""))))</f>
        <v>-5</v>
      </c>
      <c r="O3378" s="2" t="str">
        <f aca="false">IF(OR(F3378="",G3378=""),"",IF(G3378&lt;='RETRATO 2027'!$K$5,"CONCLUÍDA",IF(F3378&lt;='RETRATO 2027'!$K$5,"EM ANDAMENTO","A INICIAR")))</f>
        <v>A INICIAR</v>
      </c>
    </row>
    <row r="3379" customFormat="false" ht="15" hidden="false" customHeight="false" outlineLevel="0" collapsed="false">
      <c r="B3379" s="4" t="n">
        <v>26743771</v>
      </c>
      <c r="C3379" s="4" t="s">
        <v>2983</v>
      </c>
      <c r="D3379" s="4" t="s">
        <v>433</v>
      </c>
      <c r="E3379" s="4" t="s">
        <v>3374</v>
      </c>
      <c r="F3379" s="127" t="n">
        <v>46787</v>
      </c>
      <c r="G3379" s="127" t="n">
        <v>46818</v>
      </c>
      <c r="H3379" s="127" t="n">
        <v>46293</v>
      </c>
      <c r="I3379" s="4" t="n">
        <v>0</v>
      </c>
      <c r="J3379" s="4" t="n">
        <v>0</v>
      </c>
      <c r="K3379" s="4" t="n">
        <v>0</v>
      </c>
      <c r="M3379" s="2" t="str">
        <f aca="false">IF(C3379="","",IFERROR(INDEX($S$5:$S$304,MATCH(C3379,$R$5:$R$304,0))&amp;"","?"))</f>
        <v>20</v>
      </c>
      <c r="N3379" s="2" t="n">
        <f aca="false">IF(E3379="","",IF(ISNUMBER(SEARCH("SUBSOLO",E3379)),IFERROR(-VALUE(LEFT(E3379,FIND("º",SUBSTITUTE(E3379,"°","º"))-1)),-1),IF(LEFT(E3379,6)="TÉRREO",0,IFERROR(VALUE(LEFT(E3379,FIND("º",SUBSTITUTE(E3379,"°","º"))-1)),""))))</f>
        <v>-4</v>
      </c>
      <c r="O3379" s="2" t="str">
        <f aca="false">IF(OR(F3379="",G3379=""),"",IF(G3379&lt;='RETRATO 2027'!$K$5,"CONCLUÍDA",IF(F3379&lt;='RETRATO 2027'!$K$5,"EM ANDAMENTO","A INICIAR")))</f>
        <v>A INICIAR</v>
      </c>
    </row>
    <row r="3380" customFormat="false" ht="15" hidden="false" customHeight="false" outlineLevel="0" collapsed="false">
      <c r="B3380" s="4" t="n">
        <v>29845882</v>
      </c>
      <c r="C3380" s="4" t="s">
        <v>2986</v>
      </c>
      <c r="D3380" s="4" t="s">
        <v>433</v>
      </c>
      <c r="E3380" s="4" t="s">
        <v>3374</v>
      </c>
      <c r="F3380" s="127" t="n">
        <v>46787</v>
      </c>
      <c r="G3380" s="127" t="n">
        <v>46793</v>
      </c>
      <c r="H3380" s="127" t="n">
        <v>46293</v>
      </c>
      <c r="I3380" s="4" t="n">
        <v>0</v>
      </c>
      <c r="J3380" s="4" t="n">
        <v>0</v>
      </c>
      <c r="K3380" s="4" t="n">
        <v>0</v>
      </c>
      <c r="M3380" s="2" t="str">
        <f aca="false">IF(C3380="","",IFERROR(INDEX($S$5:$S$304,MATCH(C3380,$R$5:$R$304,0))&amp;"","?"))</f>
        <v>20</v>
      </c>
      <c r="N3380" s="2" t="n">
        <f aca="false">IF(E3380="","",IF(ISNUMBER(SEARCH("SUBSOLO",E3380)),IFERROR(-VALUE(LEFT(E3380,FIND("º",SUBSTITUTE(E3380,"°","º"))-1)),-1),IF(LEFT(E3380,6)="TÉRREO",0,IFERROR(VALUE(LEFT(E3380,FIND("º",SUBSTITUTE(E3380,"°","º"))-1)),""))))</f>
        <v>-4</v>
      </c>
      <c r="O3380" s="2" t="str">
        <f aca="false">IF(OR(F3380="",G3380=""),"",IF(G3380&lt;='RETRATO 2027'!$K$5,"CONCLUÍDA",IF(F3380&lt;='RETRATO 2027'!$K$5,"EM ANDAMENTO","A INICIAR")))</f>
        <v>A INICIAR</v>
      </c>
    </row>
    <row r="3381" customFormat="false" ht="15" hidden="false" customHeight="false" outlineLevel="0" collapsed="false">
      <c r="B3381" s="4" t="n">
        <v>36118605</v>
      </c>
      <c r="C3381" s="4" t="s">
        <v>3038</v>
      </c>
      <c r="D3381" s="4" t="s">
        <v>433</v>
      </c>
      <c r="E3381" s="4" t="s">
        <v>3374</v>
      </c>
      <c r="F3381" s="127" t="n">
        <v>46787</v>
      </c>
      <c r="G3381" s="127" t="n">
        <v>46800</v>
      </c>
      <c r="H3381" s="127" t="n">
        <v>46293</v>
      </c>
      <c r="I3381" s="4" t="n">
        <v>0</v>
      </c>
      <c r="J3381" s="4" t="n">
        <v>0</v>
      </c>
      <c r="K3381" s="4" t="n">
        <v>0</v>
      </c>
      <c r="M3381" s="2" t="str">
        <f aca="false">IF(C3381="","",IFERROR(INDEX($S$5:$S$304,MATCH(C3381,$R$5:$R$304,0))&amp;"","?"))</f>
        <v>26</v>
      </c>
      <c r="N3381" s="2" t="n">
        <f aca="false">IF(E3381="","",IF(ISNUMBER(SEARCH("SUBSOLO",E3381)),IFERROR(-VALUE(LEFT(E3381,FIND("º",SUBSTITUTE(E3381,"°","º"))-1)),-1),IF(LEFT(E3381,6)="TÉRREO",0,IFERROR(VALUE(LEFT(E3381,FIND("º",SUBSTITUTE(E3381,"°","º"))-1)),""))))</f>
        <v>-4</v>
      </c>
      <c r="O3381" s="2" t="str">
        <f aca="false">IF(OR(F3381="",G3381=""),"",IF(G3381&lt;='RETRATO 2027'!$K$5,"CONCLUÍDA",IF(F3381&lt;='RETRATO 2027'!$K$5,"EM ANDAMENTO","A INICIAR")))</f>
        <v>A INICIAR</v>
      </c>
    </row>
    <row r="3382" customFormat="false" ht="15" hidden="false" customHeight="false" outlineLevel="0" collapsed="false">
      <c r="B3382" s="4" t="n">
        <v>26707569</v>
      </c>
      <c r="C3382" s="4" t="s">
        <v>2980</v>
      </c>
      <c r="D3382" s="4" t="s">
        <v>433</v>
      </c>
      <c r="E3382" s="4" t="s">
        <v>3822</v>
      </c>
      <c r="F3382" s="127" t="n">
        <v>46787</v>
      </c>
      <c r="G3382" s="127" t="n">
        <v>46807</v>
      </c>
      <c r="H3382" s="127" t="n">
        <v>46293</v>
      </c>
      <c r="I3382" s="4" t="n">
        <v>0</v>
      </c>
      <c r="J3382" s="4" t="n">
        <v>0</v>
      </c>
      <c r="K3382" s="4" t="n">
        <v>0</v>
      </c>
      <c r="M3382" s="2" t="str">
        <f aca="false">IF(C3382="","",IFERROR(INDEX($S$5:$S$304,MATCH(C3382,$R$5:$R$304,0))&amp;"","?"))</f>
        <v>35</v>
      </c>
      <c r="N3382" s="2" t="n">
        <f aca="false">IF(E3382="","",IF(ISNUMBER(SEARCH("SUBSOLO",E3382)),IFERROR(-VALUE(LEFT(E3382,FIND("º",SUBSTITUTE(E3382,"°","º"))-1)),-1),IF(LEFT(E3382,6)="TÉRREO",0,IFERROR(VALUE(LEFT(E3382,FIND("º",SUBSTITUTE(E3382,"°","º"))-1)),""))))</f>
        <v>2</v>
      </c>
      <c r="O3382" s="2" t="str">
        <f aca="false">IF(OR(F3382="",G3382=""),"",IF(G3382&lt;='RETRATO 2027'!$K$5,"CONCLUÍDA",IF(F3382&lt;='RETRATO 2027'!$K$5,"EM ANDAMENTO","A INICIAR")))</f>
        <v>A INICIAR</v>
      </c>
    </row>
    <row r="3383" customFormat="false" ht="15" hidden="false" customHeight="false" outlineLevel="0" collapsed="false">
      <c r="B3383" s="4" t="n">
        <v>26744796</v>
      </c>
      <c r="C3383" s="4" t="s">
        <v>2977</v>
      </c>
      <c r="D3383" s="4" t="s">
        <v>433</v>
      </c>
      <c r="E3383" s="4" t="s">
        <v>3769</v>
      </c>
      <c r="F3383" s="127" t="n">
        <v>46787</v>
      </c>
      <c r="G3383" s="127" t="n">
        <v>46794</v>
      </c>
      <c r="H3383" s="127" t="n">
        <v>46293</v>
      </c>
      <c r="I3383" s="4" t="n">
        <v>0</v>
      </c>
      <c r="J3383" s="4" t="n">
        <v>0</v>
      </c>
      <c r="K3383" s="4" t="n">
        <v>0</v>
      </c>
      <c r="M3383" s="2" t="str">
        <f aca="false">IF(C3383="","",IFERROR(INDEX($S$5:$S$304,MATCH(C3383,$R$5:$R$304,0))&amp;"","?"))</f>
        <v>30</v>
      </c>
      <c r="N3383" s="2" t="n">
        <f aca="false">IF(E3383="","",IF(ISNUMBER(SEARCH("SUBSOLO",E3383)),IFERROR(-VALUE(LEFT(E3383,FIND("º",SUBSTITUTE(E3383,"°","º"))-1)),-1),IF(LEFT(E3383,6)="TÉRREO",0,IFERROR(VALUE(LEFT(E3383,FIND("º",SUBSTITUTE(E3383,"°","º"))-1)),""))))</f>
        <v>3</v>
      </c>
      <c r="O3383" s="2" t="str">
        <f aca="false">IF(OR(F3383="",G3383=""),"",IF(G3383&lt;='RETRATO 2027'!$K$5,"CONCLUÍDA",IF(F3383&lt;='RETRATO 2027'!$K$5,"EM ANDAMENTO","A INICIAR")))</f>
        <v>A INICIAR</v>
      </c>
    </row>
    <row r="3384" customFormat="false" ht="15" hidden="false" customHeight="false" outlineLevel="0" collapsed="false">
      <c r="B3384" s="4" t="n">
        <v>26744755</v>
      </c>
      <c r="C3384" s="4" t="s">
        <v>2938</v>
      </c>
      <c r="D3384" s="4" t="s">
        <v>433</v>
      </c>
      <c r="E3384" s="4" t="s">
        <v>3784</v>
      </c>
      <c r="F3384" s="127" t="n">
        <v>46787</v>
      </c>
      <c r="G3384" s="127" t="n">
        <v>46794</v>
      </c>
      <c r="H3384" s="127" t="n">
        <v>46293</v>
      </c>
      <c r="I3384" s="4" t="n">
        <v>0</v>
      </c>
      <c r="J3384" s="4" t="n">
        <v>0</v>
      </c>
      <c r="K3384" s="4" t="n">
        <v>0</v>
      </c>
      <c r="M3384" s="2" t="str">
        <f aca="false">IF(C3384="","",IFERROR(INDEX($S$5:$S$304,MATCH(C3384,$R$5:$R$304,0))&amp;"","?"))</f>
        <v>30</v>
      </c>
      <c r="N3384" s="2" t="n">
        <f aca="false">IF(E3384="","",IF(ISNUMBER(SEARCH("SUBSOLO",E3384)),IFERROR(-VALUE(LEFT(E3384,FIND("º",SUBSTITUTE(E3384,"°","º"))-1)),-1),IF(LEFT(E3384,6)="TÉRREO",0,IFERROR(VALUE(LEFT(E3384,FIND("º",SUBSTITUTE(E3384,"°","º"))-1)),""))))</f>
        <v>3</v>
      </c>
      <c r="O3384" s="2" t="str">
        <f aca="false">IF(OR(F3384="",G3384=""),"",IF(G3384&lt;='RETRATO 2027'!$K$5,"CONCLUÍDA",IF(F3384&lt;='RETRATO 2027'!$K$5,"EM ANDAMENTO","A INICIAR")))</f>
        <v>A INICIAR</v>
      </c>
    </row>
    <row r="3385" customFormat="false" ht="15" hidden="false" customHeight="false" outlineLevel="0" collapsed="false">
      <c r="B3385" s="4" t="n">
        <v>26744722</v>
      </c>
      <c r="C3385" s="4" t="s">
        <v>2935</v>
      </c>
      <c r="D3385" s="4" t="s">
        <v>433</v>
      </c>
      <c r="E3385" s="4" t="s">
        <v>3800</v>
      </c>
      <c r="F3385" s="127" t="n">
        <v>46787</v>
      </c>
      <c r="G3385" s="127" t="n">
        <v>46794</v>
      </c>
      <c r="H3385" s="127" t="n">
        <v>46293</v>
      </c>
      <c r="I3385" s="4" t="n">
        <v>0</v>
      </c>
      <c r="J3385" s="4" t="n">
        <v>0</v>
      </c>
      <c r="K3385" s="4" t="n">
        <v>0</v>
      </c>
      <c r="M3385" s="2" t="str">
        <f aca="false">IF(C3385="","",IFERROR(INDEX($S$5:$S$304,MATCH(C3385,$R$5:$R$304,0))&amp;"","?"))</f>
        <v>30</v>
      </c>
      <c r="N3385" s="2" t="n">
        <f aca="false">IF(E3385="","",IF(ISNUMBER(SEARCH("SUBSOLO",E3385)),IFERROR(-VALUE(LEFT(E3385,FIND("º",SUBSTITUTE(E3385,"°","º"))-1)),-1),IF(LEFT(E3385,6)="TÉRREO",0,IFERROR(VALUE(LEFT(E3385,FIND("º",SUBSTITUTE(E3385,"°","º"))-1)),""))))</f>
        <v>3</v>
      </c>
      <c r="O3385" s="2" t="str">
        <f aca="false">IF(OR(F3385="",G3385=""),"",IF(G3385&lt;='RETRATO 2027'!$K$5,"CONCLUÍDA",IF(F3385&lt;='RETRATO 2027'!$K$5,"EM ANDAMENTO","A INICIAR")))</f>
        <v>A INICIAR</v>
      </c>
    </row>
    <row r="3386" customFormat="false" ht="15" hidden="false" customHeight="false" outlineLevel="0" collapsed="false">
      <c r="B3386" s="4" t="n">
        <v>26707613</v>
      </c>
      <c r="C3386" s="4" t="s">
        <v>2997</v>
      </c>
      <c r="D3386" s="4" t="s">
        <v>433</v>
      </c>
      <c r="E3386" s="4" t="s">
        <v>3812</v>
      </c>
      <c r="F3386" s="127" t="n">
        <v>46790</v>
      </c>
      <c r="G3386" s="127" t="n">
        <v>46808</v>
      </c>
      <c r="H3386" s="127" t="n">
        <v>46293</v>
      </c>
      <c r="I3386" s="4" t="n">
        <v>0</v>
      </c>
      <c r="J3386" s="4" t="n">
        <v>0</v>
      </c>
      <c r="K3386" s="4" t="n">
        <v>0</v>
      </c>
      <c r="M3386" s="2" t="str">
        <f aca="false">IF(C3386="","",IFERROR(INDEX($S$5:$S$304,MATCH(C3386,$R$5:$R$304,0))&amp;"","?"))</f>
        <v>35</v>
      </c>
      <c r="N3386" s="2" t="n">
        <f aca="false">IF(E3386="","",IF(ISNUMBER(SEARCH("SUBSOLO",E3386)),IFERROR(-VALUE(LEFT(E3386,FIND("º",SUBSTITUTE(E3386,"°","º"))-1)),-1),IF(LEFT(E3386,6)="TÉRREO",0,IFERROR(VALUE(LEFT(E3386,FIND("º",SUBSTITUTE(E3386,"°","º"))-1)),""))))</f>
        <v>2</v>
      </c>
      <c r="O3386" s="2" t="str">
        <f aca="false">IF(OR(F3386="",G3386=""),"",IF(G3386&lt;='RETRATO 2027'!$K$5,"CONCLUÍDA",IF(F3386&lt;='RETRATO 2027'!$K$5,"EM ANDAMENTO","A INICIAR")))</f>
        <v>A INICIAR</v>
      </c>
    </row>
    <row r="3387" customFormat="false" ht="15" hidden="false" customHeight="false" outlineLevel="0" collapsed="false">
      <c r="B3387" s="4" t="n">
        <v>26744689</v>
      </c>
      <c r="C3387" s="4" t="s">
        <v>2956</v>
      </c>
      <c r="D3387" s="4" t="s">
        <v>433</v>
      </c>
      <c r="E3387" s="4" t="s">
        <v>3810</v>
      </c>
      <c r="F3387" s="127" t="n">
        <v>46790</v>
      </c>
      <c r="G3387" s="127" t="n">
        <v>46798</v>
      </c>
      <c r="H3387" s="127" t="n">
        <v>46293</v>
      </c>
      <c r="I3387" s="4" t="n">
        <v>0</v>
      </c>
      <c r="J3387" s="4" t="n">
        <v>0</v>
      </c>
      <c r="K3387" s="4" t="n">
        <v>0</v>
      </c>
      <c r="M3387" s="2" t="str">
        <f aca="false">IF(C3387="","",IFERROR(INDEX($S$5:$S$304,MATCH(C3387,$R$5:$R$304,0))&amp;"","?"))</f>
        <v>18</v>
      </c>
      <c r="N3387" s="2" t="n">
        <f aca="false">IF(E3387="","",IF(ISNUMBER(SEARCH("SUBSOLO",E3387)),IFERROR(-VALUE(LEFT(E3387,FIND("º",SUBSTITUTE(E3387,"°","º"))-1)),-1),IF(LEFT(E3387,6)="TÉRREO",0,IFERROR(VALUE(LEFT(E3387,FIND("º",SUBSTITUTE(E3387,"°","º"))-1)),""))))</f>
        <v>3</v>
      </c>
      <c r="O3387" s="2" t="str">
        <f aca="false">IF(OR(F3387="",G3387=""),"",IF(G3387&lt;='RETRATO 2027'!$K$5,"CONCLUÍDA",IF(F3387&lt;='RETRATO 2027'!$K$5,"EM ANDAMENTO","A INICIAR")))</f>
        <v>A INICIAR</v>
      </c>
    </row>
    <row r="3388" customFormat="false" ht="15" hidden="false" customHeight="false" outlineLevel="0" collapsed="false">
      <c r="B3388" s="4" t="n">
        <v>26743625</v>
      </c>
      <c r="C3388" s="4" t="s">
        <v>3006</v>
      </c>
      <c r="D3388" s="4" t="s">
        <v>433</v>
      </c>
      <c r="E3388" s="4" t="s">
        <v>3668</v>
      </c>
      <c r="F3388" s="127" t="n">
        <v>46790</v>
      </c>
      <c r="G3388" s="127" t="n">
        <v>46798</v>
      </c>
      <c r="H3388" s="127" t="n">
        <v>46293</v>
      </c>
      <c r="I3388" s="4" t="n">
        <v>0</v>
      </c>
      <c r="J3388" s="4" t="n">
        <v>0</v>
      </c>
      <c r="K3388" s="4" t="n">
        <v>0</v>
      </c>
      <c r="M3388" s="2" t="str">
        <f aca="false">IF(C3388="","",IFERROR(INDEX($S$5:$S$304,MATCH(C3388,$R$5:$R$304,0))&amp;"","?"))</f>
        <v>37</v>
      </c>
      <c r="N3388" s="2" t="n">
        <f aca="false">IF(E3388="","",IF(ISNUMBER(SEARCH("SUBSOLO",E3388)),IFERROR(-VALUE(LEFT(E3388,FIND("º",SUBSTITUTE(E3388,"°","º"))-1)),-1),IF(LEFT(E3388,6)="TÉRREO",0,IFERROR(VALUE(LEFT(E3388,FIND("º",SUBSTITUTE(E3388,"°","º"))-1)),""))))</f>
        <v>4</v>
      </c>
      <c r="O3388" s="2" t="str">
        <f aca="false">IF(OR(F3388="",G3388=""),"",IF(G3388&lt;='RETRATO 2027'!$K$5,"CONCLUÍDA",IF(F3388&lt;='RETRATO 2027'!$K$5,"EM ANDAMENTO","A INICIAR")))</f>
        <v>A INICIAR</v>
      </c>
    </row>
    <row r="3389" customFormat="false" ht="15" hidden="false" customHeight="false" outlineLevel="0" collapsed="false">
      <c r="B3389" s="4" t="n">
        <v>26743590</v>
      </c>
      <c r="C3389" s="4" t="s">
        <v>2962</v>
      </c>
      <c r="D3389" s="4" t="s">
        <v>433</v>
      </c>
      <c r="E3389" s="4" t="s">
        <v>3678</v>
      </c>
      <c r="F3389" s="127" t="n">
        <v>46790</v>
      </c>
      <c r="G3389" s="127" t="n">
        <v>46798</v>
      </c>
      <c r="H3389" s="127" t="n">
        <v>46293</v>
      </c>
      <c r="I3389" s="4" t="n">
        <v>0</v>
      </c>
      <c r="J3389" s="4" t="n">
        <v>0</v>
      </c>
      <c r="K3389" s="4" t="n">
        <v>0</v>
      </c>
      <c r="M3389" s="2" t="str">
        <f aca="false">IF(C3389="","",IFERROR(INDEX($S$5:$S$304,MATCH(C3389,$R$5:$R$304,0))&amp;"","?"))</f>
        <v>34</v>
      </c>
      <c r="N3389" s="2" t="n">
        <f aca="false">IF(E3389="","",IF(ISNUMBER(SEARCH("SUBSOLO",E3389)),IFERROR(-VALUE(LEFT(E3389,FIND("º",SUBSTITUTE(E3389,"°","º"))-1)),-1),IF(LEFT(E3389,6)="TÉRREO",0,IFERROR(VALUE(LEFT(E3389,FIND("º",SUBSTITUTE(E3389,"°","º"))-1)),""))))</f>
        <v>5</v>
      </c>
      <c r="O3389" s="2" t="str">
        <f aca="false">IF(OR(F3389="",G3389=""),"",IF(G3389&lt;='RETRATO 2027'!$K$5,"CONCLUÍDA",IF(F3389&lt;='RETRATO 2027'!$K$5,"EM ANDAMENTO","A INICIAR")))</f>
        <v>A INICIAR</v>
      </c>
    </row>
    <row r="3390" customFormat="false" ht="15" hidden="false" customHeight="false" outlineLevel="0" collapsed="false">
      <c r="B3390" s="4" t="n">
        <v>26743595</v>
      </c>
      <c r="C3390" s="4" t="s">
        <v>3088</v>
      </c>
      <c r="D3390" s="4" t="s">
        <v>433</v>
      </c>
      <c r="E3390" s="4" t="s">
        <v>3678</v>
      </c>
      <c r="F3390" s="127" t="n">
        <v>46790</v>
      </c>
      <c r="G3390" s="127" t="n">
        <v>46798</v>
      </c>
      <c r="H3390" s="127" t="n">
        <v>46293</v>
      </c>
      <c r="I3390" s="4" t="n">
        <v>0</v>
      </c>
      <c r="J3390" s="4" t="n">
        <v>0</v>
      </c>
      <c r="K3390" s="4" t="n">
        <v>0</v>
      </c>
      <c r="M3390" s="2" t="str">
        <f aca="false">IF(C3390="","",IFERROR(INDEX($S$5:$S$304,MATCH(C3390,$R$5:$R$304,0))&amp;"","?"))</f>
        <v>20</v>
      </c>
      <c r="N3390" s="2" t="n">
        <f aca="false">IF(E3390="","",IF(ISNUMBER(SEARCH("SUBSOLO",E3390)),IFERROR(-VALUE(LEFT(E3390,FIND("º",SUBSTITUTE(E3390,"°","º"))-1)),-1),IF(LEFT(E3390,6)="TÉRREO",0,IFERROR(VALUE(LEFT(E3390,FIND("º",SUBSTITUTE(E3390,"°","º"))-1)),""))))</f>
        <v>5</v>
      </c>
      <c r="O3390" s="2" t="str">
        <f aca="false">IF(OR(F3390="",G3390=""),"",IF(G3390&lt;='RETRATO 2027'!$K$5,"CONCLUÍDA",IF(F3390&lt;='RETRATO 2027'!$K$5,"EM ANDAMENTO","A INICIAR")))</f>
        <v>A INICIAR</v>
      </c>
    </row>
    <row r="3391" customFormat="false" ht="15" hidden="false" customHeight="false" outlineLevel="0" collapsed="false">
      <c r="B3391" s="4" t="n">
        <v>26743614</v>
      </c>
      <c r="C3391" s="4" t="s">
        <v>3009</v>
      </c>
      <c r="D3391" s="4" t="s">
        <v>433</v>
      </c>
      <c r="E3391" s="4" t="s">
        <v>3678</v>
      </c>
      <c r="F3391" s="127" t="n">
        <v>46790</v>
      </c>
      <c r="G3391" s="127" t="n">
        <v>46798</v>
      </c>
      <c r="H3391" s="127" t="n">
        <v>46293</v>
      </c>
      <c r="I3391" s="4" t="n">
        <v>0</v>
      </c>
      <c r="J3391" s="4" t="n">
        <v>0</v>
      </c>
      <c r="K3391" s="4" t="n">
        <v>0</v>
      </c>
      <c r="M3391" s="2" t="str">
        <f aca="false">IF(C3391="","",IFERROR(INDEX($S$5:$S$304,MATCH(C3391,$R$5:$R$304,0))&amp;"","?"))</f>
        <v>23</v>
      </c>
      <c r="N3391" s="2" t="n">
        <f aca="false">IF(E3391="","",IF(ISNUMBER(SEARCH("SUBSOLO",E3391)),IFERROR(-VALUE(LEFT(E3391,FIND("º",SUBSTITUTE(E3391,"°","º"))-1)),-1),IF(LEFT(E3391,6)="TÉRREO",0,IFERROR(VALUE(LEFT(E3391,FIND("º",SUBSTITUTE(E3391,"°","º"))-1)),""))))</f>
        <v>5</v>
      </c>
      <c r="O3391" s="2" t="str">
        <f aca="false">IF(OR(F3391="",G3391=""),"",IF(G3391&lt;='RETRATO 2027'!$K$5,"CONCLUÍDA",IF(F3391&lt;='RETRATO 2027'!$K$5,"EM ANDAMENTO","A INICIAR")))</f>
        <v>A INICIAR</v>
      </c>
    </row>
    <row r="3392" customFormat="false" ht="15" hidden="false" customHeight="false" outlineLevel="0" collapsed="false">
      <c r="B3392" s="4" t="n">
        <v>26743552</v>
      </c>
      <c r="C3392" s="4" t="s">
        <v>3082</v>
      </c>
      <c r="D3392" s="4" t="s">
        <v>433</v>
      </c>
      <c r="E3392" s="4" t="s">
        <v>3685</v>
      </c>
      <c r="F3392" s="127" t="n">
        <v>46790</v>
      </c>
      <c r="G3392" s="127" t="n">
        <v>46798</v>
      </c>
      <c r="H3392" s="127" t="n">
        <v>46293</v>
      </c>
      <c r="I3392" s="4" t="n">
        <v>0</v>
      </c>
      <c r="J3392" s="4" t="n">
        <v>0</v>
      </c>
      <c r="K3392" s="4" t="n">
        <v>0</v>
      </c>
      <c r="M3392" s="2" t="str">
        <f aca="false">IF(C3392="","",IFERROR(INDEX($S$5:$S$304,MATCH(C3392,$R$5:$R$304,0))&amp;"","?"))</f>
        <v>30</v>
      </c>
      <c r="N3392" s="2" t="n">
        <f aca="false">IF(E3392="","",IF(ISNUMBER(SEARCH("SUBSOLO",E3392)),IFERROR(-VALUE(LEFT(E3392,FIND("º",SUBSTITUTE(E3392,"°","º"))-1)),-1),IF(LEFT(E3392,6)="TÉRREO",0,IFERROR(VALUE(LEFT(E3392,FIND("º",SUBSTITUTE(E3392,"°","º"))-1)),""))))</f>
        <v>6</v>
      </c>
      <c r="O3392" s="2" t="str">
        <f aca="false">IF(OR(F3392="",G3392=""),"",IF(G3392&lt;='RETRATO 2027'!$K$5,"CONCLUÍDA",IF(F3392&lt;='RETRATO 2027'!$K$5,"EM ANDAMENTO","A INICIAR")))</f>
        <v>A INICIAR</v>
      </c>
    </row>
    <row r="3393" customFormat="false" ht="15" hidden="false" customHeight="false" outlineLevel="0" collapsed="false">
      <c r="B3393" s="4" t="n">
        <v>26743545</v>
      </c>
      <c r="C3393" s="4" t="s">
        <v>3079</v>
      </c>
      <c r="D3393" s="4" t="s">
        <v>433</v>
      </c>
      <c r="E3393" s="4" t="s">
        <v>3686</v>
      </c>
      <c r="F3393" s="127" t="n">
        <v>46790</v>
      </c>
      <c r="G3393" s="127" t="n">
        <v>46798</v>
      </c>
      <c r="H3393" s="127" t="n">
        <v>46293</v>
      </c>
      <c r="I3393" s="4" t="n">
        <v>0</v>
      </c>
      <c r="J3393" s="4" t="n">
        <v>0</v>
      </c>
      <c r="K3393" s="4" t="n">
        <v>0</v>
      </c>
      <c r="M3393" s="2" t="str">
        <f aca="false">IF(C3393="","",IFERROR(INDEX($S$5:$S$304,MATCH(C3393,$R$5:$R$304,0))&amp;"","?"))</f>
        <v>25</v>
      </c>
      <c r="N3393" s="2" t="n">
        <f aca="false">IF(E3393="","",IF(ISNUMBER(SEARCH("SUBSOLO",E3393)),IFERROR(-VALUE(LEFT(E3393,FIND("º",SUBSTITUTE(E3393,"°","º"))-1)),-1),IF(LEFT(E3393,6)="TÉRREO",0,IFERROR(VALUE(LEFT(E3393,FIND("º",SUBSTITUTE(E3393,"°","º"))-1)),""))))</f>
        <v>7</v>
      </c>
      <c r="O3393" s="2" t="str">
        <f aca="false">IF(OR(F3393="",G3393=""),"",IF(G3393&lt;='RETRATO 2027'!$K$5,"CONCLUÍDA",IF(F3393&lt;='RETRATO 2027'!$K$5,"EM ANDAMENTO","A INICIAR")))</f>
        <v>A INICIAR</v>
      </c>
    </row>
    <row r="3394" customFormat="false" ht="15" hidden="false" customHeight="false" outlineLevel="0" collapsed="false">
      <c r="B3394" s="4" t="n">
        <v>26743506</v>
      </c>
      <c r="C3394" s="4" t="s">
        <v>3073</v>
      </c>
      <c r="D3394" s="4" t="s">
        <v>433</v>
      </c>
      <c r="E3394" s="4" t="s">
        <v>3706</v>
      </c>
      <c r="F3394" s="127" t="n">
        <v>46790</v>
      </c>
      <c r="G3394" s="127" t="n">
        <v>46798</v>
      </c>
      <c r="H3394" s="127" t="n">
        <v>46293</v>
      </c>
      <c r="I3394" s="4" t="n">
        <v>0</v>
      </c>
      <c r="J3394" s="4" t="n">
        <v>0</v>
      </c>
      <c r="K3394" s="4" t="n">
        <v>0</v>
      </c>
      <c r="M3394" s="2" t="str">
        <f aca="false">IF(C3394="","",IFERROR(INDEX($S$5:$S$304,MATCH(C3394,$R$5:$R$304,0))&amp;"","?"))</f>
        <v>30</v>
      </c>
      <c r="N3394" s="2" t="n">
        <f aca="false">IF(E3394="","",IF(ISNUMBER(SEARCH("SUBSOLO",E3394)),IFERROR(-VALUE(LEFT(E3394,FIND("º",SUBSTITUTE(E3394,"°","º"))-1)),-1),IF(LEFT(E3394,6)="TÉRREO",0,IFERROR(VALUE(LEFT(E3394,FIND("º",SUBSTITUTE(E3394,"°","º"))-1)),""))))</f>
        <v>8</v>
      </c>
      <c r="O3394" s="2" t="str">
        <f aca="false">IF(OR(F3394="",G3394=""),"",IF(G3394&lt;='RETRATO 2027'!$K$5,"CONCLUÍDA",IF(F3394&lt;='RETRATO 2027'!$K$5,"EM ANDAMENTO","A INICIAR")))</f>
        <v>A INICIAR</v>
      </c>
    </row>
    <row r="3395" customFormat="false" ht="15" hidden="false" customHeight="false" outlineLevel="0" collapsed="false">
      <c r="B3395" s="4" t="n">
        <v>26743468</v>
      </c>
      <c r="C3395" s="4" t="s">
        <v>3055</v>
      </c>
      <c r="D3395" s="4" t="s">
        <v>433</v>
      </c>
      <c r="E3395" s="4" t="s">
        <v>3716</v>
      </c>
      <c r="F3395" s="127" t="n">
        <v>46790</v>
      </c>
      <c r="G3395" s="127" t="n">
        <v>46798</v>
      </c>
      <c r="H3395" s="127" t="n">
        <v>46293</v>
      </c>
      <c r="I3395" s="4" t="n">
        <v>0</v>
      </c>
      <c r="J3395" s="4" t="n">
        <v>0</v>
      </c>
      <c r="K3395" s="4" t="n">
        <v>0</v>
      </c>
      <c r="M3395" s="2" t="str">
        <f aca="false">IF(C3395="","",IFERROR(INDEX($S$5:$S$304,MATCH(C3395,$R$5:$R$304,0))&amp;"","?"))</f>
        <v>25</v>
      </c>
      <c r="N3395" s="2" t="n">
        <f aca="false">IF(E3395="","",IF(ISNUMBER(SEARCH("SUBSOLO",E3395)),IFERROR(-VALUE(LEFT(E3395,FIND("º",SUBSTITUTE(E3395,"°","º"))-1)),-1),IF(LEFT(E3395,6)="TÉRREO",0,IFERROR(VALUE(LEFT(E3395,FIND("º",SUBSTITUTE(E3395,"°","º"))-1)),""))))</f>
        <v>9</v>
      </c>
      <c r="O3395" s="2" t="str">
        <f aca="false">IF(OR(F3395="",G3395=""),"",IF(G3395&lt;='RETRATO 2027'!$K$5,"CONCLUÍDA",IF(F3395&lt;='RETRATO 2027'!$K$5,"EM ANDAMENTO","A INICIAR")))</f>
        <v>A INICIAR</v>
      </c>
    </row>
    <row r="3396" customFormat="false" ht="15" hidden="false" customHeight="false" outlineLevel="0" collapsed="false">
      <c r="B3396" s="4" t="n">
        <v>26744501</v>
      </c>
      <c r="C3396" s="4" t="s">
        <v>3093</v>
      </c>
      <c r="D3396" s="4" t="s">
        <v>433</v>
      </c>
      <c r="E3396" s="4" t="s">
        <v>3780</v>
      </c>
      <c r="F3396" s="127" t="n">
        <v>46792</v>
      </c>
      <c r="G3396" s="127" t="n">
        <v>46798</v>
      </c>
      <c r="H3396" s="127" t="n">
        <v>46293</v>
      </c>
      <c r="I3396" s="4" t="n">
        <v>0</v>
      </c>
      <c r="J3396" s="4" t="n">
        <v>0</v>
      </c>
      <c r="K3396" s="4" t="n">
        <v>0</v>
      </c>
      <c r="M3396" s="2" t="str">
        <f aca="false">IF(C3396="","",IFERROR(INDEX($S$5:$S$304,MATCH(C3396,$R$5:$R$304,0))&amp;"","?"))</f>
        <v>34</v>
      </c>
      <c r="N3396" s="2" t="n">
        <f aca="false">IF(E3396="","",IF(ISNUMBER(SEARCH("SUBSOLO",E3396)),IFERROR(-VALUE(LEFT(E3396,FIND("º",SUBSTITUTE(E3396,"°","º"))-1)),-1),IF(LEFT(E3396,6)="TÉRREO",0,IFERROR(VALUE(LEFT(E3396,FIND("º",SUBSTITUTE(E3396,"°","º"))-1)),""))))</f>
        <v>3</v>
      </c>
      <c r="O3396" s="2" t="str">
        <f aca="false">IF(OR(F3396="",G3396=""),"",IF(G3396&lt;='RETRATO 2027'!$K$5,"CONCLUÍDA",IF(F3396&lt;='RETRATO 2027'!$K$5,"EM ANDAMENTO","A INICIAR")))</f>
        <v>A INICIAR</v>
      </c>
    </row>
    <row r="3397" customFormat="false" ht="15" hidden="false" customHeight="false" outlineLevel="0" collapsed="false">
      <c r="B3397" s="4" t="n">
        <v>26744977</v>
      </c>
      <c r="C3397" s="4" t="s">
        <v>3032</v>
      </c>
      <c r="D3397" s="4" t="s">
        <v>433</v>
      </c>
      <c r="E3397" s="4" t="s">
        <v>3558</v>
      </c>
      <c r="F3397" s="127" t="n">
        <v>46793</v>
      </c>
      <c r="G3397" s="127" t="n">
        <v>46804</v>
      </c>
      <c r="H3397" s="127" t="n">
        <v>46293</v>
      </c>
      <c r="I3397" s="4" t="n">
        <v>0</v>
      </c>
      <c r="J3397" s="4" t="n">
        <v>0</v>
      </c>
      <c r="K3397" s="4" t="n">
        <v>0</v>
      </c>
      <c r="M3397" s="2" t="str">
        <f aca="false">IF(C3397="","",IFERROR(INDEX($S$5:$S$304,MATCH(C3397,$R$5:$R$304,0))&amp;"","?"))</f>
        <v>35</v>
      </c>
      <c r="N3397" s="2" t="n">
        <f aca="false">IF(E3397="","",IF(ISNUMBER(SEARCH("SUBSOLO",E3397)),IFERROR(-VALUE(LEFT(E3397,FIND("º",SUBSTITUTE(E3397,"°","º"))-1)),-1),IF(LEFT(E3397,6)="TÉRREO",0,IFERROR(VALUE(LEFT(E3397,FIND("º",SUBSTITUTE(E3397,"°","º"))-1)),""))))</f>
        <v>-4</v>
      </c>
      <c r="O3397" s="2" t="str">
        <f aca="false">IF(OR(F3397="",G3397=""),"",IF(G3397&lt;='RETRATO 2027'!$K$5,"CONCLUÍDA",IF(F3397&lt;='RETRATO 2027'!$K$5,"EM ANDAMENTO","A INICIAR")))</f>
        <v>A INICIAR</v>
      </c>
    </row>
    <row r="3398" customFormat="false" ht="15" hidden="false" customHeight="false" outlineLevel="0" collapsed="false">
      <c r="B3398" s="4" t="n">
        <v>26743738</v>
      </c>
      <c r="C3398" s="4" t="s">
        <v>2971</v>
      </c>
      <c r="D3398" s="4" t="s">
        <v>433</v>
      </c>
      <c r="E3398" s="4" t="s">
        <v>3449</v>
      </c>
      <c r="F3398" s="127" t="n">
        <v>46794</v>
      </c>
      <c r="G3398" s="127" t="n">
        <v>46807</v>
      </c>
      <c r="H3398" s="127" t="n">
        <v>46293</v>
      </c>
      <c r="I3398" s="4" t="n">
        <v>0</v>
      </c>
      <c r="J3398" s="4" t="n">
        <v>0</v>
      </c>
      <c r="K3398" s="4" t="n">
        <v>0</v>
      </c>
      <c r="M3398" s="2" t="str">
        <f aca="false">IF(C3398="","",IFERROR(INDEX($S$5:$S$304,MATCH(C3398,$R$5:$R$304,0))&amp;"","?"))</f>
        <v>37</v>
      </c>
      <c r="N3398" s="2" t="n">
        <f aca="false">IF(E3398="","",IF(ISNUMBER(SEARCH("SUBSOLO",E3398)),IFERROR(-VALUE(LEFT(E3398,FIND("º",SUBSTITUTE(E3398,"°","º"))-1)),-1),IF(LEFT(E3398,6)="TÉRREO",0,IFERROR(VALUE(LEFT(E3398,FIND("º",SUBSTITUTE(E3398,"°","º"))-1)),""))))</f>
        <v>-2</v>
      </c>
      <c r="O3398" s="2" t="str">
        <f aca="false">IF(OR(F3398="",G3398=""),"",IF(G3398&lt;='RETRATO 2027'!$K$5,"CONCLUÍDA",IF(F3398&lt;='RETRATO 2027'!$K$5,"EM ANDAMENTO","A INICIAR")))</f>
        <v>A INICIAR</v>
      </c>
    </row>
    <row r="3399" customFormat="false" ht="15" hidden="false" customHeight="false" outlineLevel="0" collapsed="false">
      <c r="B3399" s="4" t="n">
        <v>26714261</v>
      </c>
      <c r="C3399" s="4" t="s">
        <v>3026</v>
      </c>
      <c r="D3399" s="4" t="s">
        <v>433</v>
      </c>
      <c r="E3399" s="4" t="s">
        <v>3806</v>
      </c>
      <c r="F3399" s="127" t="n">
        <v>46794</v>
      </c>
      <c r="G3399" s="127" t="n">
        <v>46869</v>
      </c>
      <c r="H3399" s="127" t="n">
        <v>46293</v>
      </c>
      <c r="I3399" s="4" t="n">
        <v>0</v>
      </c>
      <c r="J3399" s="4" t="n">
        <v>0</v>
      </c>
      <c r="K3399" s="4" t="n">
        <v>0</v>
      </c>
      <c r="M3399" s="2" t="str">
        <f aca="false">IF(C3399="","",IFERROR(INDEX($S$5:$S$304,MATCH(C3399,$R$5:$R$304,0))&amp;"","?"))</f>
        <v>32</v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>A INICIAR</v>
      </c>
    </row>
    <row r="3400" customFormat="false" ht="15" hidden="false" customHeight="false" outlineLevel="0" collapsed="false">
      <c r="B3400" s="4" t="n">
        <v>26745017</v>
      </c>
      <c r="C3400" s="4" t="s">
        <v>2997</v>
      </c>
      <c r="D3400" s="4" t="s">
        <v>433</v>
      </c>
      <c r="E3400" s="4" t="s">
        <v>3828</v>
      </c>
      <c r="F3400" s="127" t="n">
        <v>46797</v>
      </c>
      <c r="G3400" s="127" t="n">
        <v>46806</v>
      </c>
      <c r="H3400" s="127" t="n">
        <v>46293</v>
      </c>
      <c r="I3400" s="4" t="n">
        <v>0</v>
      </c>
      <c r="J3400" s="4" t="n">
        <v>0</v>
      </c>
      <c r="K3400" s="4" t="n">
        <v>0</v>
      </c>
      <c r="M3400" s="2" t="str">
        <f aca="false">IF(C3400="","",IFERROR(INDEX($S$5:$S$304,MATCH(C3400,$R$5:$R$304,0))&amp;"","?"))</f>
        <v>35</v>
      </c>
      <c r="N3400" s="2" t="n">
        <f aca="false">IF(E3400="","",IF(ISNUMBER(SEARCH("SUBSOLO",E3400)),IFERROR(-VALUE(LEFT(E3400,FIND("º",SUBSTITUTE(E3400,"°","º"))-1)),-1),IF(LEFT(E3400,6)="TÉRREO",0,IFERROR(VALUE(LEFT(E3400,FIND("º",SUBSTITUTE(E3400,"°","º"))-1)),""))))</f>
        <v>2</v>
      </c>
      <c r="O3400" s="2" t="str">
        <f aca="false">IF(OR(F3400="",G3400=""),"",IF(G3400&lt;='RETRATO 2027'!$K$5,"CONCLUÍDA",IF(F3400&lt;='RETRATO 2027'!$K$5,"EM ANDAMENTO","A INICIAR")))</f>
        <v>A INICIAR</v>
      </c>
    </row>
    <row r="3401" customFormat="false" ht="15" hidden="false" customHeight="false" outlineLevel="0" collapsed="false">
      <c r="B3401" s="4" t="n">
        <v>26744797</v>
      </c>
      <c r="C3401" s="4" t="s">
        <v>3003</v>
      </c>
      <c r="D3401" s="4" t="s">
        <v>433</v>
      </c>
      <c r="E3401" s="4" t="s">
        <v>3769</v>
      </c>
      <c r="F3401" s="127" t="n">
        <v>46797</v>
      </c>
      <c r="G3401" s="127" t="n">
        <v>46804</v>
      </c>
      <c r="H3401" s="127" t="n">
        <v>46293</v>
      </c>
      <c r="I3401" s="4" t="n">
        <v>0</v>
      </c>
      <c r="J3401" s="4" t="n">
        <v>0</v>
      </c>
      <c r="K3401" s="4" t="n">
        <v>0</v>
      </c>
      <c r="M3401" s="2" t="str">
        <f aca="false">IF(C3401="","",IFERROR(INDEX($S$5:$S$304,MATCH(C3401,$R$5:$R$304,0))&amp;"","?"))</f>
        <v>20</v>
      </c>
      <c r="N3401" s="2" t="n">
        <f aca="false">IF(E3401="","",IF(ISNUMBER(SEARCH("SUBSOLO",E3401)),IFERROR(-VALUE(LEFT(E3401,FIND("º",SUBSTITUTE(E3401,"°","º"))-1)),-1),IF(LEFT(E3401,6)="TÉRREO",0,IFERROR(VALUE(LEFT(E3401,FIND("º",SUBSTITUTE(E3401,"°","º"))-1)),""))))</f>
        <v>3</v>
      </c>
      <c r="O3401" s="2" t="str">
        <f aca="false">IF(OR(F3401="",G3401=""),"",IF(G3401&lt;='RETRATO 2027'!$K$5,"CONCLUÍDA",IF(F3401&lt;='RETRATO 2027'!$K$5,"EM ANDAMENTO","A INICIAR")))</f>
        <v>A INICIAR</v>
      </c>
    </row>
    <row r="3402" customFormat="false" ht="15" hidden="false" customHeight="false" outlineLevel="0" collapsed="false">
      <c r="B3402" s="4" t="n">
        <v>26744764</v>
      </c>
      <c r="C3402" s="4" t="s">
        <v>2977</v>
      </c>
      <c r="D3402" s="4" t="s">
        <v>433</v>
      </c>
      <c r="E3402" s="4" t="s">
        <v>3784</v>
      </c>
      <c r="F3402" s="127" t="n">
        <v>46797</v>
      </c>
      <c r="G3402" s="127" t="n">
        <v>46804</v>
      </c>
      <c r="H3402" s="127" t="n">
        <v>46293</v>
      </c>
      <c r="I3402" s="4" t="n">
        <v>0</v>
      </c>
      <c r="J3402" s="4" t="n">
        <v>0</v>
      </c>
      <c r="K3402" s="4" t="n">
        <v>0</v>
      </c>
      <c r="M3402" s="2" t="str">
        <f aca="false">IF(C3402="","",IFERROR(INDEX($S$5:$S$304,MATCH(C3402,$R$5:$R$304,0))&amp;"","?"))</f>
        <v>30</v>
      </c>
      <c r="N3402" s="2" t="n">
        <f aca="false">IF(E3402="","",IF(ISNUMBER(SEARCH("SUBSOLO",E3402)),IFERROR(-VALUE(LEFT(E3402,FIND("º",SUBSTITUTE(E3402,"°","º"))-1)),-1),IF(LEFT(E3402,6)="TÉRREO",0,IFERROR(VALUE(LEFT(E3402,FIND("º",SUBSTITUTE(E3402,"°","º"))-1)),""))))</f>
        <v>3</v>
      </c>
      <c r="O3402" s="2" t="str">
        <f aca="false">IF(OR(F3402="",G3402=""),"",IF(G3402&lt;='RETRATO 2027'!$K$5,"CONCLUÍDA",IF(F3402&lt;='RETRATO 2027'!$K$5,"EM ANDAMENTO","A INICIAR")))</f>
        <v>A INICIAR</v>
      </c>
    </row>
    <row r="3403" customFormat="false" ht="15" hidden="false" customHeight="false" outlineLevel="0" collapsed="false">
      <c r="B3403" s="4" t="n">
        <v>26744723</v>
      </c>
      <c r="C3403" s="4" t="s">
        <v>2938</v>
      </c>
      <c r="D3403" s="4" t="s">
        <v>433</v>
      </c>
      <c r="E3403" s="4" t="s">
        <v>3800</v>
      </c>
      <c r="F3403" s="127" t="n">
        <v>46797</v>
      </c>
      <c r="G3403" s="127" t="n">
        <v>46804</v>
      </c>
      <c r="H3403" s="127" t="n">
        <v>46293</v>
      </c>
      <c r="I3403" s="4" t="n">
        <v>0</v>
      </c>
      <c r="J3403" s="4" t="n">
        <v>0</v>
      </c>
      <c r="K3403" s="4" t="n">
        <v>0</v>
      </c>
      <c r="M3403" s="2" t="str">
        <f aca="false">IF(C3403="","",IFERROR(INDEX($S$5:$S$304,MATCH(C3403,$R$5:$R$304,0))&amp;"","?"))</f>
        <v>30</v>
      </c>
      <c r="N3403" s="2" t="n">
        <f aca="false">IF(E3403="","",IF(ISNUMBER(SEARCH("SUBSOLO",E3403)),IFERROR(-VALUE(LEFT(E3403,FIND("º",SUBSTITUTE(E3403,"°","º"))-1)),-1),IF(LEFT(E3403,6)="TÉRREO",0,IFERROR(VALUE(LEFT(E3403,FIND("º",SUBSTITUTE(E3403,"°","º"))-1)),""))))</f>
        <v>3</v>
      </c>
      <c r="O3403" s="2" t="str">
        <f aca="false">IF(OR(F3403="",G3403=""),"",IF(G3403&lt;='RETRATO 2027'!$K$5,"CONCLUÍDA",IF(F3403&lt;='RETRATO 2027'!$K$5,"EM ANDAMENTO","A INICIAR")))</f>
        <v>A INICIAR</v>
      </c>
    </row>
    <row r="3404" customFormat="false" ht="15" hidden="false" customHeight="false" outlineLevel="0" collapsed="false">
      <c r="B3404" s="4" t="n">
        <v>26742756</v>
      </c>
      <c r="C3404" s="4" t="s">
        <v>2997</v>
      </c>
      <c r="D3404" s="4" t="s">
        <v>433</v>
      </c>
      <c r="E3404" s="4" t="s">
        <v>3802</v>
      </c>
      <c r="F3404" s="127" t="n">
        <v>46797</v>
      </c>
      <c r="G3404" s="127" t="n">
        <v>46806</v>
      </c>
      <c r="H3404" s="127" t="n">
        <v>46293</v>
      </c>
      <c r="I3404" s="4" t="n">
        <v>0</v>
      </c>
      <c r="J3404" s="4" t="n">
        <v>0</v>
      </c>
      <c r="K3404" s="4" t="n">
        <v>0</v>
      </c>
      <c r="M3404" s="2" t="str">
        <f aca="false">IF(C3404="","",IFERROR(INDEX($S$5:$S$304,MATCH(C3404,$R$5:$R$304,0))&amp;"","?"))</f>
        <v>35</v>
      </c>
      <c r="N3404" s="2" t="n">
        <f aca="false">IF(E3404="","",IF(ISNUMBER(SEARCH("SUBSOLO",E3404)),IFERROR(-VALUE(LEFT(E3404,FIND("º",SUBSTITUTE(E3404,"°","º"))-1)),-1),IF(LEFT(E3404,6)="TÉRREO",0,IFERROR(VALUE(LEFT(E3404,FIND("º",SUBSTITUTE(E3404,"°","º"))-1)),""))))</f>
        <v>28</v>
      </c>
      <c r="O3404" s="2" t="str">
        <f aca="false">IF(OR(F3404="",G3404=""),"",IF(G3404&lt;='RETRATO 2027'!$K$5,"CONCLUÍDA",IF(F3404&lt;='RETRATO 2027'!$K$5,"EM ANDAMENTO","A INICIAR")))</f>
        <v>A INICIAR</v>
      </c>
    </row>
    <row r="3405" customFormat="false" ht="15" hidden="false" customHeight="false" outlineLevel="0" collapsed="false">
      <c r="B3405" s="4" t="n">
        <v>26742718</v>
      </c>
      <c r="C3405" s="4" t="s">
        <v>2980</v>
      </c>
      <c r="D3405" s="4" t="s">
        <v>433</v>
      </c>
      <c r="E3405" s="4" t="s">
        <v>3803</v>
      </c>
      <c r="F3405" s="127" t="n">
        <v>46797</v>
      </c>
      <c r="G3405" s="127" t="n">
        <v>46806</v>
      </c>
      <c r="H3405" s="127" t="n">
        <v>46293</v>
      </c>
      <c r="I3405" s="4" t="n">
        <v>0</v>
      </c>
      <c r="J3405" s="4" t="n">
        <v>0</v>
      </c>
      <c r="K3405" s="4" t="n">
        <v>0</v>
      </c>
      <c r="M3405" s="2" t="str">
        <f aca="false">IF(C3405="","",IFERROR(INDEX($S$5:$S$304,MATCH(C3405,$R$5:$R$304,0))&amp;"","?"))</f>
        <v>35</v>
      </c>
      <c r="N3405" s="2" t="n">
        <f aca="false">IF(E3405="","",IF(ISNUMBER(SEARCH("SUBSOLO",E3405)),IFERROR(-VALUE(LEFT(E3405,FIND("º",SUBSTITUTE(E3405,"°","º"))-1)),-1),IF(LEFT(E3405,6)="TÉRREO",0,IFERROR(VALUE(LEFT(E3405,FIND("º",SUBSTITUTE(E3405,"°","º"))-1)),""))))</f>
        <v>29</v>
      </c>
      <c r="O3405" s="2" t="str">
        <f aca="false">IF(OR(F3405="",G3405=""),"",IF(G3405&lt;='RETRATO 2027'!$K$5,"CONCLUÍDA",IF(F3405&lt;='RETRATO 2027'!$K$5,"EM ANDAMENTO","A INICIAR")))</f>
        <v>A INICIAR</v>
      </c>
    </row>
    <row r="3406" customFormat="false" ht="15" hidden="false" customHeight="false" outlineLevel="0" collapsed="false">
      <c r="B3406" s="4" t="n">
        <v>26744989</v>
      </c>
      <c r="C3406" s="4" t="s">
        <v>189</v>
      </c>
      <c r="D3406" s="4" t="s">
        <v>433</v>
      </c>
      <c r="E3406" s="4" t="s">
        <v>3662</v>
      </c>
      <c r="F3406" s="127" t="n">
        <v>46799</v>
      </c>
      <c r="G3406" s="127" t="n">
        <v>46808</v>
      </c>
      <c r="H3406" s="127" t="n">
        <v>46293</v>
      </c>
      <c r="I3406" s="4" t="n">
        <v>0</v>
      </c>
      <c r="J3406" s="4" t="n">
        <v>0</v>
      </c>
      <c r="K3406" s="4" t="n">
        <v>0</v>
      </c>
      <c r="M3406" s="2" t="str">
        <f aca="false">IF(C3406="","",IFERROR(INDEX($S$5:$S$304,MATCH(C3406,$R$5:$R$304,0))&amp;"","?"))</f>
        <v>27</v>
      </c>
      <c r="N3406" s="2" t="n">
        <f aca="false">IF(E3406="","",IF(ISNUMBER(SEARCH("SUBSOLO",E3406)),IFERROR(-VALUE(LEFT(E3406,FIND("º",SUBSTITUTE(E3406,"°","º"))-1)),-1),IF(LEFT(E3406,6)="TÉRREO",0,IFERROR(VALUE(LEFT(E3406,FIND("º",SUBSTITUTE(E3406,"°","º"))-1)),""))))</f>
        <v>-5</v>
      </c>
      <c r="O3406" s="2" t="str">
        <f aca="false">IF(OR(F3406="",G3406=""),"",IF(G3406&lt;='RETRATO 2027'!$K$5,"CONCLUÍDA",IF(F3406&lt;='RETRATO 2027'!$K$5,"EM ANDAMENTO","A INICIAR")))</f>
        <v>A INICIAR</v>
      </c>
    </row>
    <row r="3407" customFormat="false" ht="15" hidden="false" customHeight="false" outlineLevel="0" collapsed="false">
      <c r="B3407" s="4" t="n">
        <v>26745183</v>
      </c>
      <c r="C3407" s="4" t="s">
        <v>3003</v>
      </c>
      <c r="D3407" s="4" t="s">
        <v>433</v>
      </c>
      <c r="E3407" s="4" t="s">
        <v>3657</v>
      </c>
      <c r="F3407" s="127" t="n">
        <v>46799</v>
      </c>
      <c r="G3407" s="127" t="n">
        <v>46807</v>
      </c>
      <c r="H3407" s="127" t="n">
        <v>46293</v>
      </c>
      <c r="I3407" s="4" t="n">
        <v>0</v>
      </c>
      <c r="J3407" s="4" t="n">
        <v>0</v>
      </c>
      <c r="K3407" s="4" t="n">
        <v>0</v>
      </c>
      <c r="M3407" s="2" t="str">
        <f aca="false">IF(C3407="","",IFERROR(INDEX($S$5:$S$304,MATCH(C3407,$R$5:$R$304,0))&amp;"","?"))</f>
        <v>20</v>
      </c>
      <c r="N3407" s="2" t="n">
        <f aca="false">IF(E3407="","",IF(ISNUMBER(SEARCH("SUBSOLO",E3407)),IFERROR(-VALUE(LEFT(E3407,FIND("º",SUBSTITUTE(E3407,"°","º"))-1)),-1),IF(LEFT(E3407,6)="TÉRREO",0,IFERROR(VALUE(LEFT(E3407,FIND("º",SUBSTITUTE(E3407,"°","º"))-1)),""))))</f>
        <v>-5</v>
      </c>
      <c r="O3407" s="2" t="str">
        <f aca="false">IF(OR(F3407="",G3407=""),"",IF(G3407&lt;='RETRATO 2027'!$K$5,"CONCLUÍDA",IF(F3407&lt;='RETRATO 2027'!$K$5,"EM ANDAMENTO","A INICIAR")))</f>
        <v>A INICIAR</v>
      </c>
    </row>
    <row r="3408" customFormat="false" ht="15" hidden="false" customHeight="false" outlineLevel="0" collapsed="false">
      <c r="B3408" s="4" t="n">
        <v>26707599</v>
      </c>
      <c r="C3408" s="4" t="s">
        <v>2948</v>
      </c>
      <c r="D3408" s="4" t="s">
        <v>433</v>
      </c>
      <c r="E3408" s="4" t="s">
        <v>3815</v>
      </c>
      <c r="F3408" s="127" t="n">
        <v>46799</v>
      </c>
      <c r="G3408" s="127" t="n">
        <v>46821</v>
      </c>
      <c r="H3408" s="127" t="n">
        <v>46293</v>
      </c>
      <c r="I3408" s="4" t="n">
        <v>0</v>
      </c>
      <c r="J3408" s="4" t="n">
        <v>0</v>
      </c>
      <c r="K3408" s="4" t="n">
        <v>0</v>
      </c>
      <c r="M3408" s="2" t="str">
        <f aca="false">IF(C3408="","",IFERROR(INDEX($S$5:$S$304,MATCH(C3408,$R$5:$R$304,0))&amp;"","?"))</f>
        <v>25</v>
      </c>
      <c r="N3408" s="2" t="n">
        <f aca="false">IF(E3408="","",IF(ISNUMBER(SEARCH("SUBSOLO",E3408)),IFERROR(-VALUE(LEFT(E3408,FIND("º",SUBSTITUTE(E3408,"°","º"))-1)),-1),IF(LEFT(E3408,6)="TÉRREO",0,IFERROR(VALUE(LEFT(E3408,FIND("º",SUBSTITUTE(E3408,"°","º"))-1)),""))))</f>
        <v>2</v>
      </c>
      <c r="O3408" s="2" t="str">
        <f aca="false">IF(OR(F3408="",G3408=""),"",IF(G3408&lt;='RETRATO 2027'!$K$5,"CONCLUÍDA",IF(F3408&lt;='RETRATO 2027'!$K$5,"EM ANDAMENTO","A INICIAR")))</f>
        <v>A INICIAR</v>
      </c>
    </row>
    <row r="3409" customFormat="false" ht="15" hidden="false" customHeight="false" outlineLevel="0" collapsed="false">
      <c r="B3409" s="4" t="n">
        <v>26744503</v>
      </c>
      <c r="C3409" s="4" t="s">
        <v>2971</v>
      </c>
      <c r="D3409" s="4" t="s">
        <v>433</v>
      </c>
      <c r="E3409" s="4" t="s">
        <v>3780</v>
      </c>
      <c r="F3409" s="127" t="n">
        <v>46799</v>
      </c>
      <c r="G3409" s="127" t="n">
        <v>46814</v>
      </c>
      <c r="H3409" s="127" t="n">
        <v>46293</v>
      </c>
      <c r="I3409" s="4" t="n">
        <v>0</v>
      </c>
      <c r="J3409" s="4" t="n">
        <v>0</v>
      </c>
      <c r="K3409" s="4" t="n">
        <v>0</v>
      </c>
      <c r="M3409" s="2" t="str">
        <f aca="false">IF(C3409="","",IFERROR(INDEX($S$5:$S$304,MATCH(C3409,$R$5:$R$304,0))&amp;"","?"))</f>
        <v>37</v>
      </c>
      <c r="N3409" s="2" t="n">
        <f aca="false">IF(E3409="","",IF(ISNUMBER(SEARCH("SUBSOLO",E3409)),IFERROR(-VALUE(LEFT(E3409,FIND("º",SUBSTITUTE(E3409,"°","º"))-1)),-1),IF(LEFT(E3409,6)="TÉRREO",0,IFERROR(VALUE(LEFT(E3409,FIND("º",SUBSTITUTE(E3409,"°","º"))-1)),""))))</f>
        <v>3</v>
      </c>
      <c r="O3409" s="2" t="str">
        <f aca="false">IF(OR(F3409="",G3409=""),"",IF(G3409&lt;='RETRATO 2027'!$K$5,"CONCLUÍDA",IF(F3409&lt;='RETRATO 2027'!$K$5,"EM ANDAMENTO","A INICIAR")))</f>
        <v>A INICIAR</v>
      </c>
    </row>
    <row r="3410" customFormat="false" ht="15" hidden="false" customHeight="false" outlineLevel="0" collapsed="false">
      <c r="B3410" s="4" t="n">
        <v>26744690</v>
      </c>
      <c r="C3410" s="4" t="s">
        <v>2935</v>
      </c>
      <c r="D3410" s="4" t="s">
        <v>433</v>
      </c>
      <c r="E3410" s="4" t="s">
        <v>3810</v>
      </c>
      <c r="F3410" s="127" t="n">
        <v>46799</v>
      </c>
      <c r="G3410" s="127" t="n">
        <v>46806</v>
      </c>
      <c r="H3410" s="127" t="n">
        <v>46293</v>
      </c>
      <c r="I3410" s="4" t="n">
        <v>0</v>
      </c>
      <c r="J3410" s="4" t="n">
        <v>0</v>
      </c>
      <c r="K3410" s="4" t="n">
        <v>0</v>
      </c>
      <c r="M3410" s="2" t="str">
        <f aca="false">IF(C3410="","",IFERROR(INDEX($S$5:$S$304,MATCH(C3410,$R$5:$R$304,0))&amp;"","?"))</f>
        <v>30</v>
      </c>
      <c r="N3410" s="2" t="n">
        <f aca="false">IF(E3410="","",IF(ISNUMBER(SEARCH("SUBSOLO",E3410)),IFERROR(-VALUE(LEFT(E3410,FIND("º",SUBSTITUTE(E3410,"°","º"))-1)),-1),IF(LEFT(E3410,6)="TÉRREO",0,IFERROR(VALUE(LEFT(E3410,FIND("º",SUBSTITUTE(E3410,"°","º"))-1)),""))))</f>
        <v>3</v>
      </c>
      <c r="O3410" s="2" t="str">
        <f aca="false">IF(OR(F3410="",G3410=""),"",IF(G3410&lt;='RETRATO 2027'!$K$5,"CONCLUÍDA",IF(F3410&lt;='RETRATO 2027'!$K$5,"EM ANDAMENTO","A INICIAR")))</f>
        <v>A INICIAR</v>
      </c>
    </row>
    <row r="3411" customFormat="false" ht="15" hidden="false" customHeight="false" outlineLevel="0" collapsed="false">
      <c r="B3411" s="4" t="n">
        <v>26743623</v>
      </c>
      <c r="C3411" s="4" t="s">
        <v>3021</v>
      </c>
      <c r="D3411" s="4" t="s">
        <v>433</v>
      </c>
      <c r="E3411" s="4" t="s">
        <v>3668</v>
      </c>
      <c r="F3411" s="127" t="n">
        <v>46799</v>
      </c>
      <c r="G3411" s="127" t="n">
        <v>46807</v>
      </c>
      <c r="H3411" s="127" t="n">
        <v>46293</v>
      </c>
      <c r="I3411" s="4" t="n">
        <v>0</v>
      </c>
      <c r="J3411" s="4" t="n">
        <v>0</v>
      </c>
      <c r="K3411" s="4" t="n">
        <v>0</v>
      </c>
      <c r="M3411" s="2" t="str">
        <f aca="false">IF(C3411="","",IFERROR(INDEX($S$5:$S$304,MATCH(C3411,$R$5:$R$304,0))&amp;"","?"))</f>
        <v>35</v>
      </c>
      <c r="N3411" s="2" t="n">
        <f aca="false">IF(E3411="","",IF(ISNUMBER(SEARCH("SUBSOLO",E3411)),IFERROR(-VALUE(LEFT(E3411,FIND("º",SUBSTITUTE(E3411,"°","º"))-1)),-1),IF(LEFT(E3411,6)="TÉRREO",0,IFERROR(VALUE(LEFT(E3411,FIND("º",SUBSTITUTE(E3411,"°","º"))-1)),""))))</f>
        <v>4</v>
      </c>
      <c r="O3411" s="2" t="str">
        <f aca="false">IF(OR(F3411="",G3411=""),"",IF(G3411&lt;='RETRATO 2027'!$K$5,"CONCLUÍDA",IF(F3411&lt;='RETRATO 2027'!$K$5,"EM ANDAMENTO","A INICIAR")))</f>
        <v>A INICIAR</v>
      </c>
    </row>
    <row r="3412" customFormat="false" ht="15" hidden="false" customHeight="false" outlineLevel="0" collapsed="false">
      <c r="B3412" s="4" t="n">
        <v>26743588</v>
      </c>
      <c r="C3412" s="4" t="s">
        <v>3006</v>
      </c>
      <c r="D3412" s="4" t="s">
        <v>433</v>
      </c>
      <c r="E3412" s="4" t="s">
        <v>3678</v>
      </c>
      <c r="F3412" s="127" t="n">
        <v>46799</v>
      </c>
      <c r="G3412" s="127" t="n">
        <v>46807</v>
      </c>
      <c r="H3412" s="127" t="n">
        <v>46293</v>
      </c>
      <c r="I3412" s="4" t="n">
        <v>0</v>
      </c>
      <c r="J3412" s="4" t="n">
        <v>0</v>
      </c>
      <c r="K3412" s="4" t="n">
        <v>0</v>
      </c>
      <c r="M3412" s="2" t="str">
        <f aca="false">IF(C3412="","",IFERROR(INDEX($S$5:$S$304,MATCH(C3412,$R$5:$R$304,0))&amp;"","?"))</f>
        <v>37</v>
      </c>
      <c r="N3412" s="2" t="n">
        <f aca="false">IF(E3412="","",IF(ISNUMBER(SEARCH("SUBSOLO",E3412)),IFERROR(-VALUE(LEFT(E3412,FIND("º",SUBSTITUTE(E3412,"°","º"))-1)),-1),IF(LEFT(E3412,6)="TÉRREO",0,IFERROR(VALUE(LEFT(E3412,FIND("º",SUBSTITUTE(E3412,"°","º"))-1)),""))))</f>
        <v>5</v>
      </c>
      <c r="O3412" s="2" t="str">
        <f aca="false">IF(OR(F3412="",G3412=""),"",IF(G3412&lt;='RETRATO 2027'!$K$5,"CONCLUÍDA",IF(F3412&lt;='RETRATO 2027'!$K$5,"EM ANDAMENTO","A INICIAR")))</f>
        <v>A INICIAR</v>
      </c>
    </row>
    <row r="3413" customFormat="false" ht="15" hidden="false" customHeight="false" outlineLevel="0" collapsed="false">
      <c r="B3413" s="4" t="n">
        <v>26743553</v>
      </c>
      <c r="C3413" s="4" t="s">
        <v>2962</v>
      </c>
      <c r="D3413" s="4" t="s">
        <v>433</v>
      </c>
      <c r="E3413" s="4" t="s">
        <v>3685</v>
      </c>
      <c r="F3413" s="127" t="n">
        <v>46799</v>
      </c>
      <c r="G3413" s="127" t="n">
        <v>46807</v>
      </c>
      <c r="H3413" s="127" t="n">
        <v>46293</v>
      </c>
      <c r="I3413" s="4" t="n">
        <v>0</v>
      </c>
      <c r="J3413" s="4" t="n">
        <v>0</v>
      </c>
      <c r="K3413" s="4" t="n">
        <v>0</v>
      </c>
      <c r="M3413" s="2" t="str">
        <f aca="false">IF(C3413="","",IFERROR(INDEX($S$5:$S$304,MATCH(C3413,$R$5:$R$304,0))&amp;"","?"))</f>
        <v>34</v>
      </c>
      <c r="N3413" s="2" t="n">
        <f aca="false">IF(E3413="","",IF(ISNUMBER(SEARCH("SUBSOLO",E3413)),IFERROR(-VALUE(LEFT(E3413,FIND("º",SUBSTITUTE(E3413,"°","º"))-1)),-1),IF(LEFT(E3413,6)="TÉRREO",0,IFERROR(VALUE(LEFT(E3413,FIND("º",SUBSTITUTE(E3413,"°","º"))-1)),""))))</f>
        <v>6</v>
      </c>
      <c r="O3413" s="2" t="str">
        <f aca="false">IF(OR(F3413="",G3413=""),"",IF(G3413&lt;='RETRATO 2027'!$K$5,"CONCLUÍDA",IF(F3413&lt;='RETRATO 2027'!$K$5,"EM ANDAMENTO","A INICIAR")))</f>
        <v>A INICIAR</v>
      </c>
    </row>
    <row r="3414" customFormat="false" ht="15" hidden="false" customHeight="false" outlineLevel="0" collapsed="false">
      <c r="B3414" s="4" t="n">
        <v>26743558</v>
      </c>
      <c r="C3414" s="4" t="s">
        <v>3088</v>
      </c>
      <c r="D3414" s="4" t="s">
        <v>433</v>
      </c>
      <c r="E3414" s="4" t="s">
        <v>3685</v>
      </c>
      <c r="F3414" s="127" t="n">
        <v>46799</v>
      </c>
      <c r="G3414" s="127" t="n">
        <v>46807</v>
      </c>
      <c r="H3414" s="127" t="n">
        <v>46293</v>
      </c>
      <c r="I3414" s="4" t="n">
        <v>0</v>
      </c>
      <c r="J3414" s="4" t="n">
        <v>0</v>
      </c>
      <c r="K3414" s="4" t="n">
        <v>0</v>
      </c>
      <c r="M3414" s="2" t="str">
        <f aca="false">IF(C3414="","",IFERROR(INDEX($S$5:$S$304,MATCH(C3414,$R$5:$R$304,0))&amp;"","?"))</f>
        <v>20</v>
      </c>
      <c r="N3414" s="2" t="n">
        <f aca="false">IF(E3414="","",IF(ISNUMBER(SEARCH("SUBSOLO",E3414)),IFERROR(-VALUE(LEFT(E3414,FIND("º",SUBSTITUTE(E3414,"°","º"))-1)),-1),IF(LEFT(E3414,6)="TÉRREO",0,IFERROR(VALUE(LEFT(E3414,FIND("º",SUBSTITUTE(E3414,"°","º"))-1)),""))))</f>
        <v>6</v>
      </c>
      <c r="O3414" s="2" t="str">
        <f aca="false">IF(OR(F3414="",G3414=""),"",IF(G3414&lt;='RETRATO 2027'!$K$5,"CONCLUÍDA",IF(F3414&lt;='RETRATO 2027'!$K$5,"EM ANDAMENTO","A INICIAR")))</f>
        <v>A INICIAR</v>
      </c>
    </row>
    <row r="3415" customFormat="false" ht="15" hidden="false" customHeight="false" outlineLevel="0" collapsed="false">
      <c r="B3415" s="4" t="n">
        <v>26743577</v>
      </c>
      <c r="C3415" s="4" t="s">
        <v>3009</v>
      </c>
      <c r="D3415" s="4" t="s">
        <v>433</v>
      </c>
      <c r="E3415" s="4" t="s">
        <v>3685</v>
      </c>
      <c r="F3415" s="127" t="n">
        <v>46799</v>
      </c>
      <c r="G3415" s="127" t="n">
        <v>46807</v>
      </c>
      <c r="H3415" s="127" t="n">
        <v>46293</v>
      </c>
      <c r="I3415" s="4" t="n">
        <v>0</v>
      </c>
      <c r="J3415" s="4" t="n">
        <v>0</v>
      </c>
      <c r="K3415" s="4" t="n">
        <v>0</v>
      </c>
      <c r="M3415" s="2" t="str">
        <f aca="false">IF(C3415="","",IFERROR(INDEX($S$5:$S$304,MATCH(C3415,$R$5:$R$304,0))&amp;"","?"))</f>
        <v>23</v>
      </c>
      <c r="N3415" s="2" t="n">
        <f aca="false">IF(E3415="","",IF(ISNUMBER(SEARCH("SUBSOLO",E3415)),IFERROR(-VALUE(LEFT(E3415,FIND("º",SUBSTITUTE(E3415,"°","º"))-1)),-1),IF(LEFT(E3415,6)="TÉRREO",0,IFERROR(VALUE(LEFT(E3415,FIND("º",SUBSTITUTE(E3415,"°","º"))-1)),""))))</f>
        <v>6</v>
      </c>
      <c r="O3415" s="2" t="str">
        <f aca="false">IF(OR(F3415="",G3415=""),"",IF(G3415&lt;='RETRATO 2027'!$K$5,"CONCLUÍDA",IF(F3415&lt;='RETRATO 2027'!$K$5,"EM ANDAMENTO","A INICIAR")))</f>
        <v>A INICIAR</v>
      </c>
    </row>
    <row r="3416" customFormat="false" ht="15" hidden="false" customHeight="false" outlineLevel="0" collapsed="false">
      <c r="B3416" s="4" t="n">
        <v>26743515</v>
      </c>
      <c r="C3416" s="4" t="s">
        <v>3082</v>
      </c>
      <c r="D3416" s="4" t="s">
        <v>433</v>
      </c>
      <c r="E3416" s="4" t="s">
        <v>3686</v>
      </c>
      <c r="F3416" s="127" t="n">
        <v>46799</v>
      </c>
      <c r="G3416" s="127" t="n">
        <v>46807</v>
      </c>
      <c r="H3416" s="127" t="n">
        <v>46293</v>
      </c>
      <c r="I3416" s="4" t="n">
        <v>0</v>
      </c>
      <c r="J3416" s="4" t="n">
        <v>0</v>
      </c>
      <c r="K3416" s="4" t="n">
        <v>0</v>
      </c>
      <c r="M3416" s="2" t="str">
        <f aca="false">IF(C3416="","",IFERROR(INDEX($S$5:$S$304,MATCH(C3416,$R$5:$R$304,0))&amp;"","?"))</f>
        <v>30</v>
      </c>
      <c r="N3416" s="2" t="n">
        <f aca="false">IF(E3416="","",IF(ISNUMBER(SEARCH("SUBSOLO",E3416)),IFERROR(-VALUE(LEFT(E3416,FIND("º",SUBSTITUTE(E3416,"°","º"))-1)),-1),IF(LEFT(E3416,6)="TÉRREO",0,IFERROR(VALUE(LEFT(E3416,FIND("º",SUBSTITUTE(E3416,"°","º"))-1)),""))))</f>
        <v>7</v>
      </c>
      <c r="O3416" s="2" t="str">
        <f aca="false">IF(OR(F3416="",G3416=""),"",IF(G3416&lt;='RETRATO 2027'!$K$5,"CONCLUÍDA",IF(F3416&lt;='RETRATO 2027'!$K$5,"EM ANDAMENTO","A INICIAR")))</f>
        <v>A INICIAR</v>
      </c>
    </row>
    <row r="3417" customFormat="false" ht="15" hidden="false" customHeight="false" outlineLevel="0" collapsed="false">
      <c r="B3417" s="4" t="n">
        <v>26743508</v>
      </c>
      <c r="C3417" s="4" t="s">
        <v>3079</v>
      </c>
      <c r="D3417" s="4" t="s">
        <v>433</v>
      </c>
      <c r="E3417" s="4" t="s">
        <v>3706</v>
      </c>
      <c r="F3417" s="127" t="n">
        <v>46799</v>
      </c>
      <c r="G3417" s="127" t="n">
        <v>46807</v>
      </c>
      <c r="H3417" s="127" t="n">
        <v>46293</v>
      </c>
      <c r="I3417" s="4" t="n">
        <v>0</v>
      </c>
      <c r="J3417" s="4" t="n">
        <v>0</v>
      </c>
      <c r="K3417" s="4" t="n">
        <v>0</v>
      </c>
      <c r="M3417" s="2" t="str">
        <f aca="false">IF(C3417="","",IFERROR(INDEX($S$5:$S$304,MATCH(C3417,$R$5:$R$304,0))&amp;"","?"))</f>
        <v>25</v>
      </c>
      <c r="N3417" s="2" t="n">
        <f aca="false">IF(E3417="","",IF(ISNUMBER(SEARCH("SUBSOLO",E3417)),IFERROR(-VALUE(LEFT(E3417,FIND("º",SUBSTITUTE(E3417,"°","º"))-1)),-1),IF(LEFT(E3417,6)="TÉRREO",0,IFERROR(VALUE(LEFT(E3417,FIND("º",SUBSTITUTE(E3417,"°","º"))-1)),""))))</f>
        <v>8</v>
      </c>
      <c r="O3417" s="2" t="str">
        <f aca="false">IF(OR(F3417="",G3417=""),"",IF(G3417&lt;='RETRATO 2027'!$K$5,"CONCLUÍDA",IF(F3417&lt;='RETRATO 2027'!$K$5,"EM ANDAMENTO","A INICIAR")))</f>
        <v>A INICIAR</v>
      </c>
    </row>
    <row r="3418" customFormat="false" ht="15" hidden="false" customHeight="false" outlineLevel="0" collapsed="false">
      <c r="B3418" s="4" t="n">
        <v>26743469</v>
      </c>
      <c r="C3418" s="4" t="s">
        <v>3073</v>
      </c>
      <c r="D3418" s="4" t="s">
        <v>433</v>
      </c>
      <c r="E3418" s="4" t="s">
        <v>3716</v>
      </c>
      <c r="F3418" s="127" t="n">
        <v>46799</v>
      </c>
      <c r="G3418" s="127" t="n">
        <v>46807</v>
      </c>
      <c r="H3418" s="127" t="n">
        <v>46293</v>
      </c>
      <c r="I3418" s="4" t="n">
        <v>0</v>
      </c>
      <c r="J3418" s="4" t="n">
        <v>0</v>
      </c>
      <c r="K3418" s="4" t="n">
        <v>0</v>
      </c>
      <c r="M3418" s="2" t="str">
        <f aca="false">IF(C3418="","",IFERROR(INDEX($S$5:$S$304,MATCH(C3418,$R$5:$R$304,0))&amp;"","?"))</f>
        <v>30</v>
      </c>
      <c r="N3418" s="2" t="n">
        <f aca="false">IF(E3418="","",IF(ISNUMBER(SEARCH("SUBSOLO",E3418)),IFERROR(-VALUE(LEFT(E3418,FIND("º",SUBSTITUTE(E3418,"°","º"))-1)),-1),IF(LEFT(E3418,6)="TÉRREO",0,IFERROR(VALUE(LEFT(E3418,FIND("º",SUBSTITUTE(E3418,"°","º"))-1)),""))))</f>
        <v>9</v>
      </c>
      <c r="O3418" s="2" t="str">
        <f aca="false">IF(OR(F3418="",G3418=""),"",IF(G3418&lt;='RETRATO 2027'!$K$5,"CONCLUÍDA",IF(F3418&lt;='RETRATO 2027'!$K$5,"EM ANDAMENTO","A INICIAR")))</f>
        <v>A INICIAR</v>
      </c>
    </row>
    <row r="3419" customFormat="false" ht="15" hidden="false" customHeight="false" outlineLevel="0" collapsed="false">
      <c r="B3419" s="4" t="n">
        <v>26743431</v>
      </c>
      <c r="C3419" s="4" t="s">
        <v>3055</v>
      </c>
      <c r="D3419" s="4" t="s">
        <v>433</v>
      </c>
      <c r="E3419" s="4" t="s">
        <v>3722</v>
      </c>
      <c r="F3419" s="127" t="n">
        <v>46799</v>
      </c>
      <c r="G3419" s="127" t="n">
        <v>46807</v>
      </c>
      <c r="H3419" s="127" t="n">
        <v>46293</v>
      </c>
      <c r="I3419" s="4" t="n">
        <v>0</v>
      </c>
      <c r="J3419" s="4" t="n">
        <v>0</v>
      </c>
      <c r="K3419" s="4" t="n">
        <v>0</v>
      </c>
      <c r="M3419" s="2" t="str">
        <f aca="false">IF(C3419="","",IFERROR(INDEX($S$5:$S$304,MATCH(C3419,$R$5:$R$304,0))&amp;"","?"))</f>
        <v>25</v>
      </c>
      <c r="N3419" s="2" t="n">
        <f aca="false">IF(E3419="","",IF(ISNUMBER(SEARCH("SUBSOLO",E3419)),IFERROR(-VALUE(LEFT(E3419,FIND("º",SUBSTITUTE(E3419,"°","º"))-1)),-1),IF(LEFT(E3419,6)="TÉRREO",0,IFERROR(VALUE(LEFT(E3419,FIND("º",SUBSTITUTE(E3419,"°","º"))-1)),""))))</f>
        <v>10</v>
      </c>
      <c r="O3419" s="2" t="str">
        <f aca="false">IF(OR(F3419="",G3419=""),"",IF(G3419&lt;='RETRATO 2027'!$K$5,"CONCLUÍDA",IF(F3419&lt;='RETRATO 2027'!$K$5,"EM ANDAMENTO","A INICIAR")))</f>
        <v>A INICIAR</v>
      </c>
    </row>
    <row r="3420" customFormat="false" ht="15" hidden="false" customHeight="false" outlineLevel="0" collapsed="false">
      <c r="B3420" s="4" t="n">
        <v>26707638</v>
      </c>
      <c r="C3420" s="4" t="s">
        <v>3021</v>
      </c>
      <c r="D3420" s="4" t="s">
        <v>433</v>
      </c>
      <c r="E3420" s="4" t="s">
        <v>3811</v>
      </c>
      <c r="F3420" s="127" t="n">
        <v>46800</v>
      </c>
      <c r="G3420" s="127" t="n">
        <v>46822</v>
      </c>
      <c r="H3420" s="127" t="n">
        <v>46293</v>
      </c>
      <c r="I3420" s="4" t="n">
        <v>0</v>
      </c>
      <c r="J3420" s="4" t="n">
        <v>0</v>
      </c>
      <c r="K3420" s="4" t="n">
        <v>0</v>
      </c>
      <c r="M3420" s="2" t="str">
        <f aca="false">IF(C3420="","",IFERROR(INDEX($S$5:$S$304,MATCH(C3420,$R$5:$R$304,0))&amp;"","?"))</f>
        <v>35</v>
      </c>
      <c r="N3420" s="2" t="n">
        <f aca="false">IF(E3420="","",IF(ISNUMBER(SEARCH("SUBSOLO",E3420)),IFERROR(-VALUE(LEFT(E3420,FIND("º",SUBSTITUTE(E3420,"°","º"))-1)),-1),IF(LEFT(E3420,6)="TÉRREO",0,IFERROR(VALUE(LEFT(E3420,FIND("º",SUBSTITUTE(E3420,"°","º"))-1)),""))))</f>
        <v>2</v>
      </c>
      <c r="O3420" s="2" t="str">
        <f aca="false">IF(OR(F3420="",G3420=""),"",IF(G3420&lt;='RETRATO 2027'!$K$5,"CONCLUÍDA",IF(F3420&lt;='RETRATO 2027'!$K$5,"EM ANDAMENTO","A INICIAR")))</f>
        <v>A INICIAR</v>
      </c>
    </row>
    <row r="3421" customFormat="false" ht="15" hidden="false" customHeight="false" outlineLevel="0" collapsed="false">
      <c r="B3421" s="4" t="n">
        <v>26744978</v>
      </c>
      <c r="C3421" s="4" t="s">
        <v>2971</v>
      </c>
      <c r="D3421" s="4" t="s">
        <v>433</v>
      </c>
      <c r="E3421" s="4" t="s">
        <v>3558</v>
      </c>
      <c r="F3421" s="127" t="n">
        <v>46805</v>
      </c>
      <c r="G3421" s="127" t="n">
        <v>46818</v>
      </c>
      <c r="H3421" s="127" t="n">
        <v>46293</v>
      </c>
      <c r="I3421" s="4" t="n">
        <v>0</v>
      </c>
      <c r="J3421" s="4" t="n">
        <v>0</v>
      </c>
      <c r="K3421" s="4" t="n">
        <v>0</v>
      </c>
      <c r="M3421" s="2" t="str">
        <f aca="false">IF(C3421="","",IFERROR(INDEX($S$5:$S$304,MATCH(C3421,$R$5:$R$304,0))&amp;"","?"))</f>
        <v>37</v>
      </c>
      <c r="N3421" s="2" t="n">
        <f aca="false">IF(E3421="","",IF(ISNUMBER(SEARCH("SUBSOLO",E3421)),IFERROR(-VALUE(LEFT(E3421,FIND("º",SUBSTITUTE(E3421,"°","º"))-1)),-1),IF(LEFT(E3421,6)="TÉRREO",0,IFERROR(VALUE(LEFT(E3421,FIND("º",SUBSTITUTE(E3421,"°","º"))-1)),""))))</f>
        <v>-4</v>
      </c>
      <c r="O3421" s="2" t="str">
        <f aca="false">IF(OR(F3421="",G3421=""),"",IF(G3421&lt;='RETRATO 2027'!$K$5,"CONCLUÍDA",IF(F3421&lt;='RETRATO 2027'!$K$5,"EM ANDAMENTO","A INICIAR")))</f>
        <v>A INICIAR</v>
      </c>
    </row>
    <row r="3422" customFormat="false" ht="15" hidden="false" customHeight="false" outlineLevel="0" collapsed="false">
      <c r="B3422" s="4" t="n">
        <v>26743752</v>
      </c>
      <c r="C3422" s="4" t="s">
        <v>3009</v>
      </c>
      <c r="D3422" s="4" t="s">
        <v>433</v>
      </c>
      <c r="E3422" s="4" t="s">
        <v>3375</v>
      </c>
      <c r="F3422" s="127" t="n">
        <v>46805</v>
      </c>
      <c r="G3422" s="127" t="n">
        <v>46827</v>
      </c>
      <c r="H3422" s="127" t="n">
        <v>46293</v>
      </c>
      <c r="I3422" s="4" t="n">
        <v>0</v>
      </c>
      <c r="J3422" s="4" t="n">
        <v>0</v>
      </c>
      <c r="K3422" s="4" t="n">
        <v>0</v>
      </c>
      <c r="M3422" s="2" t="str">
        <f aca="false">IF(C3422="","",IFERROR(INDEX($S$5:$S$304,MATCH(C3422,$R$5:$R$304,0))&amp;"","?"))</f>
        <v>23</v>
      </c>
      <c r="N3422" s="2" t="n">
        <f aca="false">IF(E3422="","",IF(ISNUMBER(SEARCH("SUBSOLO",E3422)),IFERROR(-VALUE(LEFT(E3422,FIND("º",SUBSTITUTE(E3422,"°","º"))-1)),-1),IF(LEFT(E3422,6)="TÉRREO",0,IFERROR(VALUE(LEFT(E3422,FIND("º",SUBSTITUTE(E3422,"°","º"))-1)),""))))</f>
        <v>-3</v>
      </c>
      <c r="O3422" s="2" t="str">
        <f aca="false">IF(OR(F3422="",G3422=""),"",IF(G3422&lt;='RETRATO 2027'!$K$5,"CONCLUÍDA",IF(F3422&lt;='RETRATO 2027'!$K$5,"EM ANDAMENTO","A INICIAR")))</f>
        <v>A INICIAR</v>
      </c>
    </row>
    <row r="3423" customFormat="false" ht="15" hidden="false" customHeight="false" outlineLevel="0" collapsed="false">
      <c r="B3423" s="4" t="n">
        <v>26744792</v>
      </c>
      <c r="C3423" s="4" t="s">
        <v>208</v>
      </c>
      <c r="D3423" s="4" t="s">
        <v>433</v>
      </c>
      <c r="E3423" s="4" t="s">
        <v>3769</v>
      </c>
      <c r="F3423" s="127" t="n">
        <v>46805</v>
      </c>
      <c r="G3423" s="127" t="n">
        <v>46814</v>
      </c>
      <c r="H3423" s="127" t="n">
        <v>46293</v>
      </c>
      <c r="I3423" s="4" t="n">
        <v>0</v>
      </c>
      <c r="J3423" s="4" t="n">
        <v>0</v>
      </c>
      <c r="K3423" s="4" t="n">
        <v>0</v>
      </c>
      <c r="M3423" s="2" t="str">
        <f aca="false">IF(C3423="","",IFERROR(INDEX($S$5:$S$304,MATCH(C3423,$R$5:$R$304,0))&amp;"","?"))</f>
        <v>33</v>
      </c>
      <c r="N3423" s="2" t="n">
        <f aca="false">IF(E3423="","",IF(ISNUMBER(SEARCH("SUBSOLO",E3423)),IFERROR(-VALUE(LEFT(E3423,FIND("º",SUBSTITUTE(E3423,"°","º"))-1)),-1),IF(LEFT(E3423,6)="TÉRREO",0,IFERROR(VALUE(LEFT(E3423,FIND("º",SUBSTITUTE(E3423,"°","º"))-1)),""))))</f>
        <v>3</v>
      </c>
      <c r="O3423" s="2" t="str">
        <f aca="false">IF(OR(F3423="",G3423=""),"",IF(G3423&lt;='RETRATO 2027'!$K$5,"CONCLUÍDA",IF(F3423&lt;='RETRATO 2027'!$K$5,"EM ANDAMENTO","A INICIAR")))</f>
        <v>A INICIAR</v>
      </c>
    </row>
    <row r="3424" customFormat="false" ht="15" hidden="false" customHeight="false" outlineLevel="0" collapsed="false">
      <c r="B3424" s="4" t="n">
        <v>26744765</v>
      </c>
      <c r="C3424" s="4" t="s">
        <v>3003</v>
      </c>
      <c r="D3424" s="4" t="s">
        <v>433</v>
      </c>
      <c r="E3424" s="4" t="s">
        <v>3784</v>
      </c>
      <c r="F3424" s="127" t="n">
        <v>46805</v>
      </c>
      <c r="G3424" s="127" t="n">
        <v>46814</v>
      </c>
      <c r="H3424" s="127" t="n">
        <v>46293</v>
      </c>
      <c r="I3424" s="4" t="n">
        <v>0</v>
      </c>
      <c r="J3424" s="4" t="n">
        <v>0</v>
      </c>
      <c r="K3424" s="4" t="n">
        <v>0</v>
      </c>
      <c r="M3424" s="2" t="str">
        <f aca="false">IF(C3424="","",IFERROR(INDEX($S$5:$S$304,MATCH(C3424,$R$5:$R$304,0))&amp;"","?"))</f>
        <v>20</v>
      </c>
      <c r="N3424" s="2" t="n">
        <f aca="false">IF(E3424="","",IF(ISNUMBER(SEARCH("SUBSOLO",E3424)),IFERROR(-VALUE(LEFT(E3424,FIND("º",SUBSTITUTE(E3424,"°","º"))-1)),-1),IF(LEFT(E3424,6)="TÉRREO",0,IFERROR(VALUE(LEFT(E3424,FIND("º",SUBSTITUTE(E3424,"°","º"))-1)),""))))</f>
        <v>3</v>
      </c>
      <c r="O3424" s="2" t="str">
        <f aca="false">IF(OR(F3424="",G3424=""),"",IF(G3424&lt;='RETRATO 2027'!$K$5,"CONCLUÍDA",IF(F3424&lt;='RETRATO 2027'!$K$5,"EM ANDAMENTO","A INICIAR")))</f>
        <v>A INICIAR</v>
      </c>
    </row>
    <row r="3425" customFormat="false" ht="15" hidden="false" customHeight="false" outlineLevel="0" collapsed="false">
      <c r="B3425" s="4" t="n">
        <v>26744732</v>
      </c>
      <c r="C3425" s="4" t="s">
        <v>2977</v>
      </c>
      <c r="D3425" s="4" t="s">
        <v>433</v>
      </c>
      <c r="E3425" s="4" t="s">
        <v>3800</v>
      </c>
      <c r="F3425" s="127" t="n">
        <v>46805</v>
      </c>
      <c r="G3425" s="127" t="n">
        <v>46814</v>
      </c>
      <c r="H3425" s="127" t="n">
        <v>46293</v>
      </c>
      <c r="I3425" s="4" t="n">
        <v>0</v>
      </c>
      <c r="J3425" s="4" t="n">
        <v>0</v>
      </c>
      <c r="K3425" s="4" t="n">
        <v>0</v>
      </c>
      <c r="M3425" s="2" t="str">
        <f aca="false">IF(C3425="","",IFERROR(INDEX($S$5:$S$304,MATCH(C3425,$R$5:$R$304,0))&amp;"","?"))</f>
        <v>30</v>
      </c>
      <c r="N3425" s="2" t="n">
        <f aca="false">IF(E3425="","",IF(ISNUMBER(SEARCH("SUBSOLO",E3425)),IFERROR(-VALUE(LEFT(E3425,FIND("º",SUBSTITUTE(E3425,"°","º"))-1)),-1),IF(LEFT(E3425,6)="TÉRREO",0,IFERROR(VALUE(LEFT(E3425,FIND("º",SUBSTITUTE(E3425,"°","º"))-1)),""))))</f>
        <v>3</v>
      </c>
      <c r="O3425" s="2" t="str">
        <f aca="false">IF(OR(F3425="",G3425=""),"",IF(G3425&lt;='RETRATO 2027'!$K$5,"CONCLUÍDA",IF(F3425&lt;='RETRATO 2027'!$K$5,"EM ANDAMENTO","A INICIAR")))</f>
        <v>A INICIAR</v>
      </c>
    </row>
    <row r="3426" customFormat="false" ht="15" hidden="false" customHeight="false" outlineLevel="0" collapsed="false">
      <c r="B3426" s="4" t="n">
        <v>26745018</v>
      </c>
      <c r="C3426" s="4" t="s">
        <v>3006</v>
      </c>
      <c r="D3426" s="4" t="s">
        <v>433</v>
      </c>
      <c r="E3426" s="4" t="s">
        <v>3828</v>
      </c>
      <c r="F3426" s="127" t="n">
        <v>46807</v>
      </c>
      <c r="G3426" s="127" t="n">
        <v>46820</v>
      </c>
      <c r="H3426" s="127" t="n">
        <v>46293</v>
      </c>
      <c r="I3426" s="4" t="n">
        <v>0</v>
      </c>
      <c r="J3426" s="4" t="n">
        <v>0</v>
      </c>
      <c r="K3426" s="4" t="n">
        <v>0</v>
      </c>
      <c r="M3426" s="2" t="str">
        <f aca="false">IF(C3426="","",IFERROR(INDEX($S$5:$S$304,MATCH(C3426,$R$5:$R$304,0))&amp;"","?"))</f>
        <v>37</v>
      </c>
      <c r="N3426" s="2" t="n">
        <f aca="false">IF(E3426="","",IF(ISNUMBER(SEARCH("SUBSOLO",E3426)),IFERROR(-VALUE(LEFT(E3426,FIND("º",SUBSTITUTE(E3426,"°","º"))-1)),-1),IF(LEFT(E3426,6)="TÉRREO",0,IFERROR(VALUE(LEFT(E3426,FIND("º",SUBSTITUTE(E3426,"°","º"))-1)),""))))</f>
        <v>2</v>
      </c>
      <c r="O3426" s="2" t="str">
        <f aca="false">IF(OR(F3426="",G3426=""),"",IF(G3426&lt;='RETRATO 2027'!$K$5,"CONCLUÍDA",IF(F3426&lt;='RETRATO 2027'!$K$5,"EM ANDAMENTO","A INICIAR")))</f>
        <v>A INICIAR</v>
      </c>
    </row>
    <row r="3427" customFormat="false" ht="15" hidden="false" customHeight="false" outlineLevel="0" collapsed="false">
      <c r="B3427" s="4" t="n">
        <v>26744691</v>
      </c>
      <c r="C3427" s="4" t="s">
        <v>2938</v>
      </c>
      <c r="D3427" s="4" t="s">
        <v>433</v>
      </c>
      <c r="E3427" s="4" t="s">
        <v>3810</v>
      </c>
      <c r="F3427" s="127" t="n">
        <v>46807</v>
      </c>
      <c r="G3427" s="127" t="n">
        <v>46818</v>
      </c>
      <c r="H3427" s="127" t="n">
        <v>46293</v>
      </c>
      <c r="I3427" s="4" t="n">
        <v>0</v>
      </c>
      <c r="J3427" s="4" t="n">
        <v>0</v>
      </c>
      <c r="K3427" s="4" t="n">
        <v>0</v>
      </c>
      <c r="M3427" s="2" t="str">
        <f aca="false">IF(C3427="","",IFERROR(INDEX($S$5:$S$304,MATCH(C3427,$R$5:$R$304,0))&amp;"","?"))</f>
        <v>30</v>
      </c>
      <c r="N3427" s="2" t="n">
        <f aca="false">IF(E3427="","",IF(ISNUMBER(SEARCH("SUBSOLO",E3427)),IFERROR(-VALUE(LEFT(E3427,FIND("º",SUBSTITUTE(E3427,"°","º"))-1)),-1),IF(LEFT(E3427,6)="TÉRREO",0,IFERROR(VALUE(LEFT(E3427,FIND("º",SUBSTITUTE(E3427,"°","º"))-1)),""))))</f>
        <v>3</v>
      </c>
      <c r="O3427" s="2" t="str">
        <f aca="false">IF(OR(F3427="",G3427=""),"",IF(G3427&lt;='RETRATO 2027'!$K$5,"CONCLUÍDA",IF(F3427&lt;='RETRATO 2027'!$K$5,"EM ANDAMENTO","A INICIAR")))</f>
        <v>A INICIAR</v>
      </c>
    </row>
    <row r="3428" customFormat="false" ht="15" hidden="false" customHeight="false" outlineLevel="0" collapsed="false">
      <c r="B3428" s="4" t="n">
        <v>26742719</v>
      </c>
      <c r="C3428" s="4" t="s">
        <v>2997</v>
      </c>
      <c r="D3428" s="4" t="s">
        <v>433</v>
      </c>
      <c r="E3428" s="4" t="s">
        <v>3803</v>
      </c>
      <c r="F3428" s="127" t="n">
        <v>46807</v>
      </c>
      <c r="G3428" s="127" t="n">
        <v>46820</v>
      </c>
      <c r="H3428" s="127" t="n">
        <v>46293</v>
      </c>
      <c r="I3428" s="4" t="n">
        <v>0</v>
      </c>
      <c r="J3428" s="4" t="n">
        <v>0</v>
      </c>
      <c r="K3428" s="4" t="n">
        <v>0</v>
      </c>
      <c r="M3428" s="2" t="str">
        <f aca="false">IF(C3428="","",IFERROR(INDEX($S$5:$S$304,MATCH(C3428,$R$5:$R$304,0))&amp;"","?"))</f>
        <v>35</v>
      </c>
      <c r="N3428" s="2" t="n">
        <f aca="false">IF(E3428="","",IF(ISNUMBER(SEARCH("SUBSOLO",E3428)),IFERROR(-VALUE(LEFT(E3428,FIND("º",SUBSTITUTE(E3428,"°","º"))-1)),-1),IF(LEFT(E3428,6)="TÉRREO",0,IFERROR(VALUE(LEFT(E3428,FIND("º",SUBSTITUTE(E3428,"°","º"))-1)),""))))</f>
        <v>29</v>
      </c>
      <c r="O3428" s="2" t="str">
        <f aca="false">IF(OR(F3428="",G3428=""),"",IF(G3428&lt;='RETRATO 2027'!$K$5,"CONCLUÍDA",IF(F3428&lt;='RETRATO 2027'!$K$5,"EM ANDAMENTO","A INICIAR")))</f>
        <v>A INICIAR</v>
      </c>
    </row>
    <row r="3429" customFormat="false" ht="15" hidden="false" customHeight="false" outlineLevel="0" collapsed="false">
      <c r="B3429" s="4" t="n">
        <v>26745186</v>
      </c>
      <c r="C3429" s="4" t="s">
        <v>208</v>
      </c>
      <c r="D3429" s="4" t="s">
        <v>433</v>
      </c>
      <c r="E3429" s="4" t="s">
        <v>3657</v>
      </c>
      <c r="F3429" s="127" t="n">
        <v>46808</v>
      </c>
      <c r="G3429" s="127" t="n">
        <v>46821</v>
      </c>
      <c r="H3429" s="127" t="n">
        <v>46293</v>
      </c>
      <c r="I3429" s="4" t="n">
        <v>0</v>
      </c>
      <c r="J3429" s="4" t="n">
        <v>0</v>
      </c>
      <c r="K3429" s="4" t="n">
        <v>0</v>
      </c>
      <c r="M3429" s="2" t="str">
        <f aca="false">IF(C3429="","",IFERROR(INDEX($S$5:$S$304,MATCH(C3429,$R$5:$R$304,0))&amp;"","?"))</f>
        <v>33</v>
      </c>
      <c r="N3429" s="2" t="n">
        <f aca="false">IF(E3429="","",IF(ISNUMBER(SEARCH("SUBSOLO",E3429)),IFERROR(-VALUE(LEFT(E3429,FIND("º",SUBSTITUTE(E3429,"°","º"))-1)),-1),IF(LEFT(E3429,6)="TÉRREO",0,IFERROR(VALUE(LEFT(E3429,FIND("º",SUBSTITUTE(E3429,"°","º"))-1)),""))))</f>
        <v>-5</v>
      </c>
      <c r="O3429" s="2" t="str">
        <f aca="false">IF(OR(F3429="",G3429=""),"",IF(G3429&lt;='RETRATO 2027'!$K$5,"CONCLUÍDA",IF(F3429&lt;='RETRATO 2027'!$K$5,"EM ANDAMENTO","A INICIAR")))</f>
        <v>A INICIAR</v>
      </c>
    </row>
    <row r="3430" customFormat="false" ht="15" hidden="false" customHeight="false" outlineLevel="0" collapsed="false">
      <c r="B3430" s="4" t="n">
        <v>26743739</v>
      </c>
      <c r="C3430" s="4" t="s">
        <v>3029</v>
      </c>
      <c r="D3430" s="4" t="s">
        <v>433</v>
      </c>
      <c r="E3430" s="4" t="s">
        <v>3449</v>
      </c>
      <c r="F3430" s="127" t="n">
        <v>46808</v>
      </c>
      <c r="G3430" s="127" t="n">
        <v>46825</v>
      </c>
      <c r="H3430" s="127" t="n">
        <v>46293</v>
      </c>
      <c r="I3430" s="4" t="n">
        <v>0</v>
      </c>
      <c r="J3430" s="4" t="n">
        <v>0</v>
      </c>
      <c r="K3430" s="4" t="n">
        <v>0</v>
      </c>
      <c r="M3430" s="2" t="str">
        <f aca="false">IF(C3430="","",IFERROR(INDEX($S$5:$S$304,MATCH(C3430,$R$5:$R$304,0))&amp;"","?"))</f>
        <v/>
      </c>
      <c r="N3430" s="2" t="n">
        <f aca="false">IF(E3430="","",IF(ISNUMBER(SEARCH("SUBSOLO",E3430)),IFERROR(-VALUE(LEFT(E3430,FIND("º",SUBSTITUTE(E3430,"°","º"))-1)),-1),IF(LEFT(E3430,6)="TÉRREO",0,IFERROR(VALUE(LEFT(E3430,FIND("º",SUBSTITUTE(E3430,"°","º"))-1)),""))))</f>
        <v>-2</v>
      </c>
      <c r="O3430" s="2" t="str">
        <f aca="false">IF(OR(F3430="",G3430=""),"",IF(G3430&lt;='RETRATO 2027'!$K$5,"CONCLUÍDA",IF(F3430&lt;='RETRATO 2027'!$K$5,"EM ANDAMENTO","A INICIAR")))</f>
        <v>A INICIAR</v>
      </c>
    </row>
    <row r="3431" customFormat="false" ht="15" hidden="false" customHeight="false" outlineLevel="0" collapsed="false">
      <c r="B3431" s="4" t="n">
        <v>26714096</v>
      </c>
      <c r="C3431" s="4" t="s">
        <v>2900</v>
      </c>
      <c r="D3431" s="4" t="s">
        <v>433</v>
      </c>
      <c r="E3431" s="4" t="s">
        <v>3822</v>
      </c>
      <c r="F3431" s="127" t="n">
        <v>46808</v>
      </c>
      <c r="G3431" s="127" t="n">
        <v>46832</v>
      </c>
      <c r="H3431" s="127" t="n">
        <v>46293</v>
      </c>
      <c r="I3431" s="4" t="n">
        <v>0</v>
      </c>
      <c r="J3431" s="4" t="n">
        <v>0</v>
      </c>
      <c r="K3431" s="4" t="n">
        <v>0</v>
      </c>
      <c r="M3431" s="2" t="str">
        <f aca="false">IF(C3431="","",IFERROR(INDEX($S$5:$S$304,MATCH(C3431,$R$5:$R$304,0))&amp;"","?"))</f>
        <v>22</v>
      </c>
      <c r="N3431" s="2" t="n">
        <f aca="false">IF(E3431="","",IF(ISNUMBER(SEARCH("SUBSOLO",E3431)),IFERROR(-VALUE(LEFT(E3431,FIND("º",SUBSTITUTE(E3431,"°","º"))-1)),-1),IF(LEFT(E3431,6)="TÉRREO",0,IFERROR(VALUE(LEFT(E3431,FIND("º",SUBSTITUTE(E3431,"°","º"))-1)),""))))</f>
        <v>2</v>
      </c>
      <c r="O3431" s="2" t="str">
        <f aca="false">IF(OR(F3431="",G3431=""),"",IF(G3431&lt;='RETRATO 2027'!$K$5,"CONCLUÍDA",IF(F3431&lt;='RETRATO 2027'!$K$5,"EM ANDAMENTO","A INICIAR")))</f>
        <v>A INICIAR</v>
      </c>
    </row>
    <row r="3432" customFormat="false" ht="15" hidden="false" customHeight="false" outlineLevel="0" collapsed="false">
      <c r="B3432" s="4" t="n">
        <v>26707572</v>
      </c>
      <c r="C3432" s="4" t="s">
        <v>2928</v>
      </c>
      <c r="D3432" s="4" t="s">
        <v>433</v>
      </c>
      <c r="E3432" s="4" t="s">
        <v>3822</v>
      </c>
      <c r="F3432" s="127" t="n">
        <v>46808</v>
      </c>
      <c r="G3432" s="127" t="n">
        <v>46832</v>
      </c>
      <c r="H3432" s="127" t="n">
        <v>46293</v>
      </c>
      <c r="I3432" s="4" t="n">
        <v>0</v>
      </c>
      <c r="J3432" s="4" t="n">
        <v>0</v>
      </c>
      <c r="K3432" s="4" t="n">
        <v>0</v>
      </c>
      <c r="M3432" s="2" t="str">
        <f aca="false">IF(C3432="","",IFERROR(INDEX($S$5:$S$304,MATCH(C3432,$R$5:$R$304,0))&amp;"","?"))</f>
        <v>23</v>
      </c>
      <c r="N3432" s="2" t="n">
        <f aca="false">IF(E3432="","",IF(ISNUMBER(SEARCH("SUBSOLO",E3432)),IFERROR(-VALUE(LEFT(E3432,FIND("º",SUBSTITUTE(E3432,"°","º"))-1)),-1),IF(LEFT(E3432,6)="TÉRREO",0,IFERROR(VALUE(LEFT(E3432,FIND("º",SUBSTITUTE(E3432,"°","º"))-1)),""))))</f>
        <v>2</v>
      </c>
      <c r="O3432" s="2" t="str">
        <f aca="false">IF(OR(F3432="",G3432=""),"",IF(G3432&lt;='RETRATO 2027'!$K$5,"CONCLUÍDA",IF(F3432&lt;='RETRATO 2027'!$K$5,"EM ANDAMENTO","A INICIAR")))</f>
        <v>A INICIAR</v>
      </c>
    </row>
    <row r="3433" customFormat="false" ht="15" hidden="false" customHeight="false" outlineLevel="0" collapsed="false">
      <c r="B3433" s="4" t="n">
        <v>26707570</v>
      </c>
      <c r="C3433" s="4" t="s">
        <v>2989</v>
      </c>
      <c r="D3433" s="4" t="s">
        <v>433</v>
      </c>
      <c r="E3433" s="4" t="s">
        <v>3822</v>
      </c>
      <c r="F3433" s="127" t="n">
        <v>46808</v>
      </c>
      <c r="G3433" s="127" t="n">
        <v>46832</v>
      </c>
      <c r="H3433" s="127" t="n">
        <v>46293</v>
      </c>
      <c r="I3433" s="4" t="n">
        <v>0</v>
      </c>
      <c r="J3433" s="4" t="n">
        <v>0</v>
      </c>
      <c r="K3433" s="4" t="n">
        <v>0</v>
      </c>
      <c r="M3433" s="2" t="str">
        <f aca="false">IF(C3433="","",IFERROR(INDEX($S$5:$S$304,MATCH(C3433,$R$5:$R$304,0))&amp;"","?"))</f>
        <v>23</v>
      </c>
      <c r="N3433" s="2" t="n">
        <f aca="false">IF(E3433="","",IF(ISNUMBER(SEARCH("SUBSOLO",E3433)),IFERROR(-VALUE(LEFT(E3433,FIND("º",SUBSTITUTE(E3433,"°","º"))-1)),-1),IF(LEFT(E3433,6)="TÉRREO",0,IFERROR(VALUE(LEFT(E3433,FIND("º",SUBSTITUTE(E3433,"°","º"))-1)),""))))</f>
        <v>2</v>
      </c>
      <c r="O3433" s="2" t="str">
        <f aca="false">IF(OR(F3433="",G3433=""),"",IF(G3433&lt;='RETRATO 2027'!$K$5,"CONCLUÍDA",IF(F3433&lt;='RETRATO 2027'!$K$5,"EM ANDAMENTO","A INICIAR")))</f>
        <v>A INICIAR</v>
      </c>
    </row>
    <row r="3434" customFormat="false" ht="15" hidden="false" customHeight="false" outlineLevel="0" collapsed="false">
      <c r="B3434" s="4" t="n">
        <v>26707571</v>
      </c>
      <c r="C3434" s="4" t="s">
        <v>2791</v>
      </c>
      <c r="D3434" s="4" t="s">
        <v>433</v>
      </c>
      <c r="E3434" s="4" t="s">
        <v>3822</v>
      </c>
      <c r="F3434" s="127" t="n">
        <v>46808</v>
      </c>
      <c r="G3434" s="127" t="n">
        <v>46832</v>
      </c>
      <c r="H3434" s="127" t="n">
        <v>46293</v>
      </c>
      <c r="I3434" s="4" t="n">
        <v>0</v>
      </c>
      <c r="J3434" s="4" t="n">
        <v>0</v>
      </c>
      <c r="K3434" s="4" t="n">
        <v>0</v>
      </c>
      <c r="M3434" s="2" t="str">
        <f aca="false">IF(C3434="","",IFERROR(INDEX($S$5:$S$304,MATCH(C3434,$R$5:$R$304,0))&amp;"","?"))</f>
        <v>21</v>
      </c>
      <c r="N3434" s="2" t="n">
        <f aca="false">IF(E3434="","",IF(ISNUMBER(SEARCH("SUBSOLO",E3434)),IFERROR(-VALUE(LEFT(E3434,FIND("º",SUBSTITUTE(E3434,"°","º"))-1)),-1),IF(LEFT(E3434,6)="TÉRREO",0,IFERROR(VALUE(LEFT(E3434,FIND("º",SUBSTITUTE(E3434,"°","º"))-1)),""))))</f>
        <v>2</v>
      </c>
      <c r="O3434" s="2" t="str">
        <f aca="false">IF(OR(F3434="",G3434=""),"",IF(G3434&lt;='RETRATO 2027'!$K$5,"CONCLUÍDA",IF(F3434&lt;='RETRATO 2027'!$K$5,"EM ANDAMENTO","A INICIAR")))</f>
        <v>A INICIAR</v>
      </c>
    </row>
    <row r="3435" customFormat="false" ht="15" hidden="false" customHeight="false" outlineLevel="0" collapsed="false">
      <c r="B3435" s="4" t="n">
        <v>26707582</v>
      </c>
      <c r="C3435" s="4" t="s">
        <v>2992</v>
      </c>
      <c r="D3435" s="4" t="s">
        <v>433</v>
      </c>
      <c r="E3435" s="4" t="s">
        <v>3822</v>
      </c>
      <c r="F3435" s="127" t="n">
        <v>46808</v>
      </c>
      <c r="G3435" s="127" t="n">
        <v>46832</v>
      </c>
      <c r="H3435" s="127" t="n">
        <v>46293</v>
      </c>
      <c r="I3435" s="4" t="n">
        <v>0</v>
      </c>
      <c r="J3435" s="4" t="n">
        <v>0</v>
      </c>
      <c r="K3435" s="4" t="n">
        <v>0</v>
      </c>
      <c r="M3435" s="2" t="str">
        <f aca="false">IF(C3435="","",IFERROR(INDEX($S$5:$S$304,MATCH(C3435,$R$5:$R$304,0))&amp;"","?"))</f>
        <v>20</v>
      </c>
      <c r="N3435" s="2" t="n">
        <f aca="false">IF(E3435="","",IF(ISNUMBER(SEARCH("SUBSOLO",E3435)),IFERROR(-VALUE(LEFT(E3435,FIND("º",SUBSTITUTE(E3435,"°","º"))-1)),-1),IF(LEFT(E3435,6)="TÉRREO",0,IFERROR(VALUE(LEFT(E3435,FIND("º",SUBSTITUTE(E3435,"°","º"))-1)),""))))</f>
        <v>2</v>
      </c>
      <c r="O3435" s="2" t="str">
        <f aca="false">IF(OR(F3435="",G3435=""),"",IF(G3435&lt;='RETRATO 2027'!$K$5,"CONCLUÍDA",IF(F3435&lt;='RETRATO 2027'!$K$5,"EM ANDAMENTO","A INICIAR")))</f>
        <v>A INICIAR</v>
      </c>
    </row>
    <row r="3436" customFormat="false" ht="15" hidden="false" customHeight="false" outlineLevel="0" collapsed="false">
      <c r="B3436" s="4" t="n">
        <v>26744513</v>
      </c>
      <c r="C3436" s="4" t="s">
        <v>3085</v>
      </c>
      <c r="D3436" s="4" t="s">
        <v>433</v>
      </c>
      <c r="E3436" s="4" t="s">
        <v>3829</v>
      </c>
      <c r="F3436" s="127" t="n">
        <v>46808</v>
      </c>
      <c r="G3436" s="127" t="n">
        <v>46841</v>
      </c>
      <c r="H3436" s="127" t="n">
        <v>46293</v>
      </c>
      <c r="I3436" s="4" t="n">
        <v>0</v>
      </c>
      <c r="J3436" s="4" t="n">
        <v>0</v>
      </c>
      <c r="K3436" s="4" t="n">
        <v>0</v>
      </c>
      <c r="M3436" s="2" t="str">
        <f aca="false">IF(C3436="","",IFERROR(INDEX($S$5:$S$304,MATCH(C3436,$R$5:$R$304,0))&amp;"","?"))</f>
        <v>23</v>
      </c>
      <c r="N3436" s="2" t="n">
        <f aca="false">IF(E3436="","",IF(ISNUMBER(SEARCH("SUBSOLO",E3436)),IFERROR(-VALUE(LEFT(E3436,FIND("º",SUBSTITUTE(E3436,"°","º"))-1)),-1),IF(LEFT(E3436,6)="TÉRREO",0,IFERROR(VALUE(LEFT(E3436,FIND("º",SUBSTITUTE(E3436,"°","º"))-1)),""))))</f>
        <v>3</v>
      </c>
      <c r="O3436" s="2" t="str">
        <f aca="false">IF(OR(F3436="",G3436=""),"",IF(G3436&lt;='RETRATO 2027'!$K$5,"CONCLUÍDA",IF(F3436&lt;='RETRATO 2027'!$K$5,"EM ANDAMENTO","A INICIAR")))</f>
        <v>A INICIAR</v>
      </c>
    </row>
    <row r="3437" customFormat="false" ht="15" hidden="false" customHeight="false" outlineLevel="0" collapsed="false">
      <c r="B3437" s="4" t="n">
        <v>26743624</v>
      </c>
      <c r="C3437" s="4" t="s">
        <v>3093</v>
      </c>
      <c r="D3437" s="4" t="s">
        <v>433</v>
      </c>
      <c r="E3437" s="4" t="s">
        <v>3668</v>
      </c>
      <c r="F3437" s="127" t="n">
        <v>46808</v>
      </c>
      <c r="G3437" s="127" t="n">
        <v>46820</v>
      </c>
      <c r="H3437" s="127" t="n">
        <v>46293</v>
      </c>
      <c r="I3437" s="4" t="n">
        <v>0</v>
      </c>
      <c r="J3437" s="4" t="n">
        <v>0</v>
      </c>
      <c r="K3437" s="4" t="n">
        <v>0</v>
      </c>
      <c r="M3437" s="2" t="str">
        <f aca="false">IF(C3437="","",IFERROR(INDEX($S$5:$S$304,MATCH(C3437,$R$5:$R$304,0))&amp;"","?"))</f>
        <v>34</v>
      </c>
      <c r="N3437" s="2" t="n">
        <f aca="false">IF(E3437="","",IF(ISNUMBER(SEARCH("SUBSOLO",E3437)),IFERROR(-VALUE(LEFT(E3437,FIND("º",SUBSTITUTE(E3437,"°","º"))-1)),-1),IF(LEFT(E3437,6)="TÉRREO",0,IFERROR(VALUE(LEFT(E3437,FIND("º",SUBSTITUTE(E3437,"°","º"))-1)),""))))</f>
        <v>4</v>
      </c>
      <c r="O3437" s="2" t="str">
        <f aca="false">IF(OR(F3437="",G3437=""),"",IF(G3437&lt;='RETRATO 2027'!$K$5,"CONCLUÍDA",IF(F3437&lt;='RETRATO 2027'!$K$5,"EM ANDAMENTO","A INICIAR")))</f>
        <v>A INICIAR</v>
      </c>
    </row>
    <row r="3438" customFormat="false" ht="15" hidden="false" customHeight="false" outlineLevel="0" collapsed="false">
      <c r="B3438" s="4" t="n">
        <v>26743646</v>
      </c>
      <c r="C3438" s="4" t="s">
        <v>2965</v>
      </c>
      <c r="D3438" s="4" t="s">
        <v>433</v>
      </c>
      <c r="E3438" s="4" t="s">
        <v>3668</v>
      </c>
      <c r="F3438" s="127" t="n">
        <v>46808</v>
      </c>
      <c r="G3438" s="127" t="n">
        <v>46820</v>
      </c>
      <c r="H3438" s="127" t="n">
        <v>46293</v>
      </c>
      <c r="I3438" s="4" t="n">
        <v>0</v>
      </c>
      <c r="J3438" s="4" t="n">
        <v>0</v>
      </c>
      <c r="K3438" s="4" t="n">
        <v>0</v>
      </c>
      <c r="M3438" s="2" t="str">
        <f aca="false">IF(C3438="","",IFERROR(INDEX($S$5:$S$304,MATCH(C3438,$R$5:$R$304,0))&amp;"","?"))</f>
        <v>20</v>
      </c>
      <c r="N3438" s="2" t="n">
        <f aca="false">IF(E3438="","",IF(ISNUMBER(SEARCH("SUBSOLO",E3438)),IFERROR(-VALUE(LEFT(E3438,FIND("º",SUBSTITUTE(E3438,"°","º"))-1)),-1),IF(LEFT(E3438,6)="TÉRREO",0,IFERROR(VALUE(LEFT(E3438,FIND("º",SUBSTITUTE(E3438,"°","º"))-1)),""))))</f>
        <v>4</v>
      </c>
      <c r="O3438" s="2" t="str">
        <f aca="false">IF(OR(F3438="",G3438=""),"",IF(G3438&lt;='RETRATO 2027'!$K$5,"CONCLUÍDA",IF(F3438&lt;='RETRATO 2027'!$K$5,"EM ANDAMENTO","A INICIAR")))</f>
        <v>A INICIAR</v>
      </c>
    </row>
    <row r="3439" customFormat="false" ht="15" hidden="false" customHeight="false" outlineLevel="0" collapsed="false">
      <c r="B3439" s="4" t="n">
        <v>26743586</v>
      </c>
      <c r="C3439" s="4" t="s">
        <v>3021</v>
      </c>
      <c r="D3439" s="4" t="s">
        <v>433</v>
      </c>
      <c r="E3439" s="4" t="s">
        <v>3678</v>
      </c>
      <c r="F3439" s="127" t="n">
        <v>46808</v>
      </c>
      <c r="G3439" s="127" t="n">
        <v>46820</v>
      </c>
      <c r="H3439" s="127" t="n">
        <v>46293</v>
      </c>
      <c r="I3439" s="4" t="n">
        <v>0</v>
      </c>
      <c r="J3439" s="4" t="n">
        <v>0</v>
      </c>
      <c r="K3439" s="4" t="n">
        <v>0</v>
      </c>
      <c r="M3439" s="2" t="str">
        <f aca="false">IF(C3439="","",IFERROR(INDEX($S$5:$S$304,MATCH(C3439,$R$5:$R$304,0))&amp;"","?"))</f>
        <v>35</v>
      </c>
      <c r="N3439" s="2" t="n">
        <f aca="false">IF(E3439="","",IF(ISNUMBER(SEARCH("SUBSOLO",E3439)),IFERROR(-VALUE(LEFT(E3439,FIND("º",SUBSTITUTE(E3439,"°","º"))-1)),-1),IF(LEFT(E3439,6)="TÉRREO",0,IFERROR(VALUE(LEFT(E3439,FIND("º",SUBSTITUTE(E3439,"°","º"))-1)),""))))</f>
        <v>5</v>
      </c>
      <c r="O3439" s="2" t="str">
        <f aca="false">IF(OR(F3439="",G3439=""),"",IF(G3439&lt;='RETRATO 2027'!$K$5,"CONCLUÍDA",IF(F3439&lt;='RETRATO 2027'!$K$5,"EM ANDAMENTO","A INICIAR")))</f>
        <v>A INICIAR</v>
      </c>
    </row>
    <row r="3440" customFormat="false" ht="15" hidden="false" customHeight="false" outlineLevel="0" collapsed="false">
      <c r="B3440" s="4" t="n">
        <v>26743551</v>
      </c>
      <c r="C3440" s="4" t="s">
        <v>3006</v>
      </c>
      <c r="D3440" s="4" t="s">
        <v>433</v>
      </c>
      <c r="E3440" s="4" t="s">
        <v>3685</v>
      </c>
      <c r="F3440" s="127" t="n">
        <v>46808</v>
      </c>
      <c r="G3440" s="127" t="n">
        <v>46820</v>
      </c>
      <c r="H3440" s="127" t="n">
        <v>46293</v>
      </c>
      <c r="I3440" s="4" t="n">
        <v>0</v>
      </c>
      <c r="J3440" s="4" t="n">
        <v>0</v>
      </c>
      <c r="K3440" s="4" t="n">
        <v>0</v>
      </c>
      <c r="M3440" s="2" t="str">
        <f aca="false">IF(C3440="","",IFERROR(INDEX($S$5:$S$304,MATCH(C3440,$R$5:$R$304,0))&amp;"","?"))</f>
        <v>37</v>
      </c>
      <c r="N3440" s="2" t="n">
        <f aca="false">IF(E3440="","",IF(ISNUMBER(SEARCH("SUBSOLO",E3440)),IFERROR(-VALUE(LEFT(E3440,FIND("º",SUBSTITUTE(E3440,"°","º"))-1)),-1),IF(LEFT(E3440,6)="TÉRREO",0,IFERROR(VALUE(LEFT(E3440,FIND("º",SUBSTITUTE(E3440,"°","º"))-1)),""))))</f>
        <v>6</v>
      </c>
      <c r="O3440" s="2" t="str">
        <f aca="false">IF(OR(F3440="",G3440=""),"",IF(G3440&lt;='RETRATO 2027'!$K$5,"CONCLUÍDA",IF(F3440&lt;='RETRATO 2027'!$K$5,"EM ANDAMENTO","A INICIAR")))</f>
        <v>A INICIAR</v>
      </c>
    </row>
    <row r="3441" customFormat="false" ht="15" hidden="false" customHeight="false" outlineLevel="0" collapsed="false">
      <c r="B3441" s="4" t="n">
        <v>26743516</v>
      </c>
      <c r="C3441" s="4" t="s">
        <v>2962</v>
      </c>
      <c r="D3441" s="4" t="s">
        <v>433</v>
      </c>
      <c r="E3441" s="4" t="s">
        <v>3686</v>
      </c>
      <c r="F3441" s="127" t="n">
        <v>46808</v>
      </c>
      <c r="G3441" s="127" t="n">
        <v>46820</v>
      </c>
      <c r="H3441" s="127" t="n">
        <v>46293</v>
      </c>
      <c r="I3441" s="4" t="n">
        <v>0</v>
      </c>
      <c r="J3441" s="4" t="n">
        <v>0</v>
      </c>
      <c r="K3441" s="4" t="n">
        <v>0</v>
      </c>
      <c r="M3441" s="2" t="str">
        <f aca="false">IF(C3441="","",IFERROR(INDEX($S$5:$S$304,MATCH(C3441,$R$5:$R$304,0))&amp;"","?"))</f>
        <v>34</v>
      </c>
      <c r="N3441" s="2" t="n">
        <f aca="false">IF(E3441="","",IF(ISNUMBER(SEARCH("SUBSOLO",E3441)),IFERROR(-VALUE(LEFT(E3441,FIND("º",SUBSTITUTE(E3441,"°","º"))-1)),-1),IF(LEFT(E3441,6)="TÉRREO",0,IFERROR(VALUE(LEFT(E3441,FIND("º",SUBSTITUTE(E3441,"°","º"))-1)),""))))</f>
        <v>7</v>
      </c>
      <c r="O3441" s="2" t="str">
        <f aca="false">IF(OR(F3441="",G3441=""),"",IF(G3441&lt;='RETRATO 2027'!$K$5,"CONCLUÍDA",IF(F3441&lt;='RETRATO 2027'!$K$5,"EM ANDAMENTO","A INICIAR")))</f>
        <v>A INICIAR</v>
      </c>
    </row>
    <row r="3442" customFormat="false" ht="15" hidden="false" customHeight="false" outlineLevel="0" collapsed="false">
      <c r="B3442" s="4" t="n">
        <v>26743521</v>
      </c>
      <c r="C3442" s="4" t="s">
        <v>3088</v>
      </c>
      <c r="D3442" s="4" t="s">
        <v>433</v>
      </c>
      <c r="E3442" s="4" t="s">
        <v>3686</v>
      </c>
      <c r="F3442" s="127" t="n">
        <v>46808</v>
      </c>
      <c r="G3442" s="127" t="n">
        <v>46820</v>
      </c>
      <c r="H3442" s="127" t="n">
        <v>46293</v>
      </c>
      <c r="I3442" s="4" t="n">
        <v>0</v>
      </c>
      <c r="J3442" s="4" t="n">
        <v>0</v>
      </c>
      <c r="K3442" s="4" t="n">
        <v>0</v>
      </c>
      <c r="M3442" s="2" t="str">
        <f aca="false">IF(C3442="","",IFERROR(INDEX($S$5:$S$304,MATCH(C3442,$R$5:$R$304,0))&amp;"","?"))</f>
        <v>20</v>
      </c>
      <c r="N3442" s="2" t="n">
        <f aca="false">IF(E3442="","",IF(ISNUMBER(SEARCH("SUBSOLO",E3442)),IFERROR(-VALUE(LEFT(E3442,FIND("º",SUBSTITUTE(E3442,"°","º"))-1)),-1),IF(LEFT(E3442,6)="TÉRREO",0,IFERROR(VALUE(LEFT(E3442,FIND("º",SUBSTITUTE(E3442,"°","º"))-1)),""))))</f>
        <v>7</v>
      </c>
      <c r="O3442" s="2" t="str">
        <f aca="false">IF(OR(F3442="",G3442=""),"",IF(G3442&lt;='RETRATO 2027'!$K$5,"CONCLUÍDA",IF(F3442&lt;='RETRATO 2027'!$K$5,"EM ANDAMENTO","A INICIAR")))</f>
        <v>A INICIAR</v>
      </c>
    </row>
    <row r="3443" customFormat="false" ht="15" hidden="false" customHeight="false" outlineLevel="0" collapsed="false">
      <c r="B3443" s="4" t="n">
        <v>26743540</v>
      </c>
      <c r="C3443" s="4" t="s">
        <v>3009</v>
      </c>
      <c r="D3443" s="4" t="s">
        <v>433</v>
      </c>
      <c r="E3443" s="4" t="s">
        <v>3686</v>
      </c>
      <c r="F3443" s="127" t="n">
        <v>46808</v>
      </c>
      <c r="G3443" s="127" t="n">
        <v>46820</v>
      </c>
      <c r="H3443" s="127" t="n">
        <v>46293</v>
      </c>
      <c r="I3443" s="4" t="n">
        <v>0</v>
      </c>
      <c r="J3443" s="4" t="n">
        <v>0</v>
      </c>
      <c r="K3443" s="4" t="n">
        <v>0</v>
      </c>
      <c r="M3443" s="2" t="str">
        <f aca="false">IF(C3443="","",IFERROR(INDEX($S$5:$S$304,MATCH(C3443,$R$5:$R$304,0))&amp;"","?"))</f>
        <v>23</v>
      </c>
      <c r="N3443" s="2" t="n">
        <f aca="false">IF(E3443="","",IF(ISNUMBER(SEARCH("SUBSOLO",E3443)),IFERROR(-VALUE(LEFT(E3443,FIND("º",SUBSTITUTE(E3443,"°","º"))-1)),-1),IF(LEFT(E3443,6)="TÉRREO",0,IFERROR(VALUE(LEFT(E3443,FIND("º",SUBSTITUTE(E3443,"°","º"))-1)),""))))</f>
        <v>7</v>
      </c>
      <c r="O3443" s="2" t="str">
        <f aca="false">IF(OR(F3443="",G3443=""),"",IF(G3443&lt;='RETRATO 2027'!$K$5,"CONCLUÍDA",IF(F3443&lt;='RETRATO 2027'!$K$5,"EM ANDAMENTO","A INICIAR")))</f>
        <v>A INICIAR</v>
      </c>
    </row>
    <row r="3444" customFormat="false" ht="15" hidden="false" customHeight="false" outlineLevel="0" collapsed="false">
      <c r="B3444" s="4" t="n">
        <v>26743478</v>
      </c>
      <c r="C3444" s="4" t="s">
        <v>3082</v>
      </c>
      <c r="D3444" s="4" t="s">
        <v>433</v>
      </c>
      <c r="E3444" s="4" t="s">
        <v>3706</v>
      </c>
      <c r="F3444" s="127" t="n">
        <v>46808</v>
      </c>
      <c r="G3444" s="127" t="n">
        <v>46820</v>
      </c>
      <c r="H3444" s="127" t="n">
        <v>46293</v>
      </c>
      <c r="I3444" s="4" t="n">
        <v>0</v>
      </c>
      <c r="J3444" s="4" t="n">
        <v>0</v>
      </c>
      <c r="K3444" s="4" t="n">
        <v>0</v>
      </c>
      <c r="M3444" s="2" t="str">
        <f aca="false">IF(C3444="","",IFERROR(INDEX($S$5:$S$304,MATCH(C3444,$R$5:$R$304,0))&amp;"","?"))</f>
        <v>30</v>
      </c>
      <c r="N3444" s="2" t="n">
        <f aca="false">IF(E3444="","",IF(ISNUMBER(SEARCH("SUBSOLO",E3444)),IFERROR(-VALUE(LEFT(E3444,FIND("º",SUBSTITUTE(E3444,"°","º"))-1)),-1),IF(LEFT(E3444,6)="TÉRREO",0,IFERROR(VALUE(LEFT(E3444,FIND("º",SUBSTITUTE(E3444,"°","º"))-1)),""))))</f>
        <v>8</v>
      </c>
      <c r="O3444" s="2" t="str">
        <f aca="false">IF(OR(F3444="",G3444=""),"",IF(G3444&lt;='RETRATO 2027'!$K$5,"CONCLUÍDA",IF(F3444&lt;='RETRATO 2027'!$K$5,"EM ANDAMENTO","A INICIAR")))</f>
        <v>A INICIAR</v>
      </c>
    </row>
    <row r="3445" customFormat="false" ht="15" hidden="false" customHeight="false" outlineLevel="0" collapsed="false">
      <c r="B3445" s="4" t="n">
        <v>26743471</v>
      </c>
      <c r="C3445" s="4" t="s">
        <v>3079</v>
      </c>
      <c r="D3445" s="4" t="s">
        <v>433</v>
      </c>
      <c r="E3445" s="4" t="s">
        <v>3716</v>
      </c>
      <c r="F3445" s="127" t="n">
        <v>46808</v>
      </c>
      <c r="G3445" s="127" t="n">
        <v>46820</v>
      </c>
      <c r="H3445" s="127" t="n">
        <v>46293</v>
      </c>
      <c r="I3445" s="4" t="n">
        <v>0</v>
      </c>
      <c r="J3445" s="4" t="n">
        <v>0</v>
      </c>
      <c r="K3445" s="4" t="n">
        <v>0</v>
      </c>
      <c r="M3445" s="2" t="str">
        <f aca="false">IF(C3445="","",IFERROR(INDEX($S$5:$S$304,MATCH(C3445,$R$5:$R$304,0))&amp;"","?"))</f>
        <v>25</v>
      </c>
      <c r="N3445" s="2" t="n">
        <f aca="false">IF(E3445="","",IF(ISNUMBER(SEARCH("SUBSOLO",E3445)),IFERROR(-VALUE(LEFT(E3445,FIND("º",SUBSTITUTE(E3445,"°","º"))-1)),-1),IF(LEFT(E3445,6)="TÉRREO",0,IFERROR(VALUE(LEFT(E3445,FIND("º",SUBSTITUTE(E3445,"°","º"))-1)),""))))</f>
        <v>9</v>
      </c>
      <c r="O3445" s="2" t="str">
        <f aca="false">IF(OR(F3445="",G3445=""),"",IF(G3445&lt;='RETRATO 2027'!$K$5,"CONCLUÍDA",IF(F3445&lt;='RETRATO 2027'!$K$5,"EM ANDAMENTO","A INICIAR")))</f>
        <v>A INICIAR</v>
      </c>
    </row>
    <row r="3446" customFormat="false" ht="15" hidden="false" customHeight="false" outlineLevel="0" collapsed="false">
      <c r="B3446" s="4" t="n">
        <v>26743432</v>
      </c>
      <c r="C3446" s="4" t="s">
        <v>3073</v>
      </c>
      <c r="D3446" s="4" t="s">
        <v>433</v>
      </c>
      <c r="E3446" s="4" t="s">
        <v>3722</v>
      </c>
      <c r="F3446" s="127" t="n">
        <v>46808</v>
      </c>
      <c r="G3446" s="127" t="n">
        <v>46820</v>
      </c>
      <c r="H3446" s="127" t="n">
        <v>46293</v>
      </c>
      <c r="I3446" s="4" t="n">
        <v>0</v>
      </c>
      <c r="J3446" s="4" t="n">
        <v>0</v>
      </c>
      <c r="K3446" s="4" t="n">
        <v>0</v>
      </c>
      <c r="M3446" s="2" t="str">
        <f aca="false">IF(C3446="","",IFERROR(INDEX($S$5:$S$304,MATCH(C3446,$R$5:$R$304,0))&amp;"","?"))</f>
        <v>30</v>
      </c>
      <c r="N3446" s="2" t="n">
        <f aca="false">IF(E3446="","",IF(ISNUMBER(SEARCH("SUBSOLO",E3446)),IFERROR(-VALUE(LEFT(E3446,FIND("º",SUBSTITUTE(E3446,"°","º"))-1)),-1),IF(LEFT(E3446,6)="TÉRREO",0,IFERROR(VALUE(LEFT(E3446,FIND("º",SUBSTITUTE(E3446,"°","º"))-1)),""))))</f>
        <v>10</v>
      </c>
      <c r="O3446" s="2" t="str">
        <f aca="false">IF(OR(F3446="",G3446=""),"",IF(G3446&lt;='RETRATO 2027'!$K$5,"CONCLUÍDA",IF(F3446&lt;='RETRATO 2027'!$K$5,"EM ANDAMENTO","A INICIAR")))</f>
        <v>A INICIAR</v>
      </c>
    </row>
    <row r="3447" customFormat="false" ht="15" hidden="false" customHeight="false" outlineLevel="0" collapsed="false">
      <c r="B3447" s="4" t="n">
        <v>26743394</v>
      </c>
      <c r="C3447" s="4" t="s">
        <v>3055</v>
      </c>
      <c r="D3447" s="4" t="s">
        <v>433</v>
      </c>
      <c r="E3447" s="4" t="s">
        <v>3762</v>
      </c>
      <c r="F3447" s="127" t="n">
        <v>46808</v>
      </c>
      <c r="G3447" s="127" t="n">
        <v>46820</v>
      </c>
      <c r="H3447" s="127" t="n">
        <v>46293</v>
      </c>
      <c r="I3447" s="4" t="n">
        <v>0</v>
      </c>
      <c r="J3447" s="4" t="n">
        <v>0</v>
      </c>
      <c r="K3447" s="4" t="n">
        <v>0</v>
      </c>
      <c r="M3447" s="2" t="str">
        <f aca="false">IF(C3447="","",IFERROR(INDEX($S$5:$S$304,MATCH(C3447,$R$5:$R$304,0))&amp;"","?"))</f>
        <v>25</v>
      </c>
      <c r="N3447" s="2" t="n">
        <f aca="false">IF(E3447="","",IF(ISNUMBER(SEARCH("SUBSOLO",E3447)),IFERROR(-VALUE(LEFT(E3447,FIND("º",SUBSTITUTE(E3447,"°","º"))-1)),-1),IF(LEFT(E3447,6)="TÉRREO",0,IFERROR(VALUE(LEFT(E3447,FIND("º",SUBSTITUTE(E3447,"°","º"))-1)),""))))</f>
        <v>11</v>
      </c>
      <c r="O3447" s="2" t="str">
        <f aca="false">IF(OR(F3447="",G3447=""),"",IF(G3447&lt;='RETRATO 2027'!$K$5,"CONCLUÍDA",IF(F3447&lt;='RETRATO 2027'!$K$5,"EM ANDAMENTO","A INICIAR")))</f>
        <v>A INICIAR</v>
      </c>
    </row>
    <row r="3448" customFormat="false" ht="15" hidden="false" customHeight="false" outlineLevel="0" collapsed="false">
      <c r="B3448" s="4" t="n">
        <v>26744990</v>
      </c>
      <c r="C3448" s="4" t="s">
        <v>3021</v>
      </c>
      <c r="D3448" s="4" t="s">
        <v>433</v>
      </c>
      <c r="E3448" s="4" t="s">
        <v>3662</v>
      </c>
      <c r="F3448" s="127" t="n">
        <v>46813</v>
      </c>
      <c r="G3448" s="127" t="n">
        <v>46822</v>
      </c>
      <c r="H3448" s="127" t="n">
        <v>46293</v>
      </c>
      <c r="I3448" s="4" t="n">
        <v>0</v>
      </c>
      <c r="J3448" s="4" t="n">
        <v>0</v>
      </c>
      <c r="K3448" s="4" t="n">
        <v>0</v>
      </c>
      <c r="M3448" s="2" t="str">
        <f aca="false">IF(C3448="","",IFERROR(INDEX($S$5:$S$304,MATCH(C3448,$R$5:$R$304,0))&amp;"","?"))</f>
        <v>35</v>
      </c>
      <c r="N3448" s="2" t="n">
        <f aca="false">IF(E3448="","",IF(ISNUMBER(SEARCH("SUBSOLO",E3448)),IFERROR(-VALUE(LEFT(E3448,FIND("º",SUBSTITUTE(E3448,"°","º"))-1)),-1),IF(LEFT(E3448,6)="TÉRREO",0,IFERROR(VALUE(LEFT(E3448,FIND("º",SUBSTITUTE(E3448,"°","º"))-1)),""))))</f>
        <v>-5</v>
      </c>
      <c r="O3448" s="2" t="str">
        <f aca="false">IF(OR(F3448="",G3448=""),"",IF(G3448&lt;='RETRATO 2027'!$K$5,"CONCLUÍDA",IF(F3448&lt;='RETRATO 2027'!$K$5,"EM ANDAMENTO","A INICIAR")))</f>
        <v>A INICIAR</v>
      </c>
    </row>
    <row r="3449" customFormat="false" ht="15" hidden="false" customHeight="false" outlineLevel="0" collapsed="false">
      <c r="B3449" s="4" t="n">
        <v>26707619</v>
      </c>
      <c r="C3449" s="4" t="s">
        <v>3006</v>
      </c>
      <c r="D3449" s="4" t="s">
        <v>433</v>
      </c>
      <c r="E3449" s="4" t="s">
        <v>3812</v>
      </c>
      <c r="F3449" s="127" t="n">
        <v>46813</v>
      </c>
      <c r="G3449" s="127" t="n">
        <v>46833</v>
      </c>
      <c r="H3449" s="127" t="n">
        <v>46293</v>
      </c>
      <c r="I3449" s="4" t="n">
        <v>0</v>
      </c>
      <c r="J3449" s="4" t="n">
        <v>0</v>
      </c>
      <c r="K3449" s="4" t="n">
        <v>0</v>
      </c>
      <c r="M3449" s="2" t="str">
        <f aca="false">IF(C3449="","",IFERROR(INDEX($S$5:$S$304,MATCH(C3449,$R$5:$R$304,0))&amp;"","?"))</f>
        <v>37</v>
      </c>
      <c r="N3449" s="2" t="n">
        <f aca="false">IF(E3449="","",IF(ISNUMBER(SEARCH("SUBSOLO",E3449)),IFERROR(-VALUE(LEFT(E3449,FIND("º",SUBSTITUTE(E3449,"°","º"))-1)),-1),IF(LEFT(E3449,6)="TÉRREO",0,IFERROR(VALUE(LEFT(E3449,FIND("º",SUBSTITUTE(E3449,"°","º"))-1)),""))))</f>
        <v>2</v>
      </c>
      <c r="O3449" s="2" t="str">
        <f aca="false">IF(OR(F3449="",G3449=""),"",IF(G3449&lt;='RETRATO 2027'!$K$5,"CONCLUÍDA",IF(F3449&lt;='RETRATO 2027'!$K$5,"EM ANDAMENTO","A INICIAR")))</f>
        <v>A INICIAR</v>
      </c>
    </row>
    <row r="3450" customFormat="false" ht="15" hidden="false" customHeight="false" outlineLevel="0" collapsed="false">
      <c r="B3450" s="4" t="n">
        <v>26707614</v>
      </c>
      <c r="C3450" s="4" t="s">
        <v>3009</v>
      </c>
      <c r="D3450" s="4" t="s">
        <v>433</v>
      </c>
      <c r="E3450" s="4" t="s">
        <v>3812</v>
      </c>
      <c r="F3450" s="127" t="n">
        <v>46813</v>
      </c>
      <c r="G3450" s="127" t="n">
        <v>46833</v>
      </c>
      <c r="H3450" s="127" t="n">
        <v>46293</v>
      </c>
      <c r="I3450" s="4" t="n">
        <v>0</v>
      </c>
      <c r="J3450" s="4" t="n">
        <v>0</v>
      </c>
      <c r="K3450" s="4" t="n">
        <v>0</v>
      </c>
      <c r="M3450" s="2" t="str">
        <f aca="false">IF(C3450="","",IFERROR(INDEX($S$5:$S$304,MATCH(C3450,$R$5:$R$304,0))&amp;"","?"))</f>
        <v>23</v>
      </c>
      <c r="N3450" s="2" t="n">
        <f aca="false">IF(E3450="","",IF(ISNUMBER(SEARCH("SUBSOLO",E3450)),IFERROR(-VALUE(LEFT(E3450,FIND("º",SUBSTITUTE(E3450,"°","º"))-1)),-1),IF(LEFT(E3450,6)="TÉRREO",0,IFERROR(VALUE(LEFT(E3450,FIND("º",SUBSTITUTE(E3450,"°","º"))-1)),""))))</f>
        <v>2</v>
      </c>
      <c r="O3450" s="2" t="str">
        <f aca="false">IF(OR(F3450="",G3450=""),"",IF(G3450&lt;='RETRATO 2027'!$K$5,"CONCLUÍDA",IF(F3450&lt;='RETRATO 2027'!$K$5,"EM ANDAMENTO","A INICIAR")))</f>
        <v>A INICIAR</v>
      </c>
    </row>
    <row r="3451" customFormat="false" ht="15" hidden="false" customHeight="false" outlineLevel="0" collapsed="false">
      <c r="B3451" s="4" t="n">
        <v>26744793</v>
      </c>
      <c r="C3451" s="4" t="s">
        <v>2980</v>
      </c>
      <c r="D3451" s="4" t="s">
        <v>433</v>
      </c>
      <c r="E3451" s="4" t="s">
        <v>3769</v>
      </c>
      <c r="F3451" s="127" t="n">
        <v>46815</v>
      </c>
      <c r="G3451" s="127" t="n">
        <v>46822</v>
      </c>
      <c r="H3451" s="127" t="n">
        <v>46293</v>
      </c>
      <c r="I3451" s="4" t="n">
        <v>0</v>
      </c>
      <c r="J3451" s="4" t="n">
        <v>0</v>
      </c>
      <c r="K3451" s="4" t="n">
        <v>0</v>
      </c>
      <c r="M3451" s="2" t="str">
        <f aca="false">IF(C3451="","",IFERROR(INDEX($S$5:$S$304,MATCH(C3451,$R$5:$R$304,0))&amp;"","?"))</f>
        <v>35</v>
      </c>
      <c r="N3451" s="2" t="n">
        <f aca="false">IF(E3451="","",IF(ISNUMBER(SEARCH("SUBSOLO",E3451)),IFERROR(-VALUE(LEFT(E3451,FIND("º",SUBSTITUTE(E3451,"°","º"))-1)),-1),IF(LEFT(E3451,6)="TÉRREO",0,IFERROR(VALUE(LEFT(E3451,FIND("º",SUBSTITUTE(E3451,"°","º"))-1)),""))))</f>
        <v>3</v>
      </c>
      <c r="O3451" s="2" t="str">
        <f aca="false">IF(OR(F3451="",G3451=""),"",IF(G3451&lt;='RETRATO 2027'!$K$5,"CONCLUÍDA",IF(F3451&lt;='RETRATO 2027'!$K$5,"EM ANDAMENTO","A INICIAR")))</f>
        <v>A INICIAR</v>
      </c>
    </row>
    <row r="3452" customFormat="false" ht="15" hidden="false" customHeight="false" outlineLevel="0" collapsed="false">
      <c r="B3452" s="4" t="n">
        <v>26744760</v>
      </c>
      <c r="C3452" s="4" t="s">
        <v>208</v>
      </c>
      <c r="D3452" s="4" t="s">
        <v>433</v>
      </c>
      <c r="E3452" s="4" t="s">
        <v>3784</v>
      </c>
      <c r="F3452" s="127" t="n">
        <v>46815</v>
      </c>
      <c r="G3452" s="127" t="n">
        <v>46822</v>
      </c>
      <c r="H3452" s="127" t="n">
        <v>46293</v>
      </c>
      <c r="I3452" s="4" t="n">
        <v>0</v>
      </c>
      <c r="J3452" s="4" t="n">
        <v>0</v>
      </c>
      <c r="K3452" s="4" t="n">
        <v>0</v>
      </c>
      <c r="M3452" s="2" t="str">
        <f aca="false">IF(C3452="","",IFERROR(INDEX($S$5:$S$304,MATCH(C3452,$R$5:$R$304,0))&amp;"","?"))</f>
        <v>33</v>
      </c>
      <c r="N3452" s="2" t="n">
        <f aca="false">IF(E3452="","",IF(ISNUMBER(SEARCH("SUBSOLO",E3452)),IFERROR(-VALUE(LEFT(E3452,FIND("º",SUBSTITUTE(E3452,"°","º"))-1)),-1),IF(LEFT(E3452,6)="TÉRREO",0,IFERROR(VALUE(LEFT(E3452,FIND("º",SUBSTITUTE(E3452,"°","º"))-1)),""))))</f>
        <v>3</v>
      </c>
      <c r="O3452" s="2" t="str">
        <f aca="false">IF(OR(F3452="",G3452=""),"",IF(G3452&lt;='RETRATO 2027'!$K$5,"CONCLUÍDA",IF(F3452&lt;='RETRATO 2027'!$K$5,"EM ANDAMENTO","A INICIAR")))</f>
        <v>A INICIAR</v>
      </c>
    </row>
    <row r="3453" customFormat="false" ht="15" hidden="false" customHeight="false" outlineLevel="0" collapsed="false">
      <c r="B3453" s="4" t="n">
        <v>26744733</v>
      </c>
      <c r="C3453" s="4" t="s">
        <v>3003</v>
      </c>
      <c r="D3453" s="4" t="s">
        <v>433</v>
      </c>
      <c r="E3453" s="4" t="s">
        <v>3800</v>
      </c>
      <c r="F3453" s="127" t="n">
        <v>46815</v>
      </c>
      <c r="G3453" s="127" t="n">
        <v>46822</v>
      </c>
      <c r="H3453" s="127" t="n">
        <v>46293</v>
      </c>
      <c r="I3453" s="4" t="n">
        <v>0</v>
      </c>
      <c r="J3453" s="4" t="n">
        <v>0</v>
      </c>
      <c r="K3453" s="4" t="n">
        <v>0</v>
      </c>
      <c r="M3453" s="2" t="str">
        <f aca="false">IF(C3453="","",IFERROR(INDEX($S$5:$S$304,MATCH(C3453,$R$5:$R$304,0))&amp;"","?"))</f>
        <v>20</v>
      </c>
      <c r="N3453" s="2" t="n">
        <f aca="false">IF(E3453="","",IF(ISNUMBER(SEARCH("SUBSOLO",E3453)),IFERROR(-VALUE(LEFT(E3453,FIND("º",SUBSTITUTE(E3453,"°","º"))-1)),-1),IF(LEFT(E3453,6)="TÉRREO",0,IFERROR(VALUE(LEFT(E3453,FIND("º",SUBSTITUTE(E3453,"°","º"))-1)),""))))</f>
        <v>3</v>
      </c>
      <c r="O3453" s="2" t="str">
        <f aca="false">IF(OR(F3453="",G3453=""),"",IF(G3453&lt;='RETRATO 2027'!$K$5,"CONCLUÍDA",IF(F3453&lt;='RETRATO 2027'!$K$5,"EM ANDAMENTO","A INICIAR")))</f>
        <v>A INICIAR</v>
      </c>
    </row>
    <row r="3454" customFormat="false" ht="15" hidden="false" customHeight="false" outlineLevel="0" collapsed="false">
      <c r="B3454" s="4" t="n">
        <v>26743761</v>
      </c>
      <c r="C3454" s="4" t="s">
        <v>3006</v>
      </c>
      <c r="D3454" s="4" t="s">
        <v>433</v>
      </c>
      <c r="E3454" s="4" t="s">
        <v>3374</v>
      </c>
      <c r="F3454" s="127" t="n">
        <v>46819</v>
      </c>
      <c r="G3454" s="127" t="n">
        <v>46839</v>
      </c>
      <c r="H3454" s="127" t="n">
        <v>46293</v>
      </c>
      <c r="I3454" s="4" t="n">
        <v>0</v>
      </c>
      <c r="J3454" s="4" t="n">
        <v>0</v>
      </c>
      <c r="K3454" s="4" t="n">
        <v>0</v>
      </c>
      <c r="M3454" s="2" t="str">
        <f aca="false">IF(C3454="","",IFERROR(INDEX($S$5:$S$304,MATCH(C3454,$R$5:$R$304,0))&amp;"","?"))</f>
        <v>37</v>
      </c>
      <c r="N3454" s="2" t="n">
        <f aca="false">IF(E3454="","",IF(ISNUMBER(SEARCH("SUBSOLO",E3454)),IFERROR(-VALUE(LEFT(E3454,FIND("º",SUBSTITUTE(E3454,"°","º"))-1)),-1),IF(LEFT(E3454,6)="TÉRREO",0,IFERROR(VALUE(LEFT(E3454,FIND("º",SUBSTITUTE(E3454,"°","º"))-1)),""))))</f>
        <v>-4</v>
      </c>
      <c r="O3454" s="2" t="str">
        <f aca="false">IF(OR(F3454="",G3454=""),"",IF(G3454&lt;='RETRATO 2027'!$K$5,"CONCLUÍDA",IF(F3454&lt;='RETRATO 2027'!$K$5,"EM ANDAMENTO","A INICIAR")))</f>
        <v>A INICIAR</v>
      </c>
    </row>
    <row r="3455" customFormat="false" ht="15" hidden="false" customHeight="false" outlineLevel="0" collapsed="false">
      <c r="B3455" s="4" t="n">
        <v>26744979</v>
      </c>
      <c r="C3455" s="4" t="s">
        <v>3029</v>
      </c>
      <c r="D3455" s="4" t="s">
        <v>433</v>
      </c>
      <c r="E3455" s="4" t="s">
        <v>3558</v>
      </c>
      <c r="F3455" s="127" t="n">
        <v>46819</v>
      </c>
      <c r="G3455" s="127" t="n">
        <v>46828</v>
      </c>
      <c r="H3455" s="127" t="n">
        <v>46293</v>
      </c>
      <c r="I3455" s="4" t="n">
        <v>0</v>
      </c>
      <c r="J3455" s="4" t="n">
        <v>0</v>
      </c>
      <c r="K3455" s="4" t="n">
        <v>0</v>
      </c>
      <c r="M3455" s="2" t="str">
        <f aca="false">IF(C3455="","",IFERROR(INDEX($S$5:$S$304,MATCH(C3455,$R$5:$R$304,0))&amp;"","?"))</f>
        <v/>
      </c>
      <c r="N3455" s="2" t="n">
        <f aca="false">IF(E3455="","",IF(ISNUMBER(SEARCH("SUBSOLO",E3455)),IFERROR(-VALUE(LEFT(E3455,FIND("º",SUBSTITUTE(E3455,"°","º"))-1)),-1),IF(LEFT(E3455,6)="TÉRREO",0,IFERROR(VALUE(LEFT(E3455,FIND("º",SUBSTITUTE(E3455,"°","º"))-1)),""))))</f>
        <v>-4</v>
      </c>
      <c r="O3455" s="2" t="str">
        <f aca="false">IF(OR(F3455="",G3455=""),"",IF(G3455&lt;='RETRATO 2027'!$K$5,"CONCLUÍDA",IF(F3455&lt;='RETRATO 2027'!$K$5,"EM ANDAMENTO","A INICIAR")))</f>
        <v>A INICIAR</v>
      </c>
    </row>
    <row r="3456" customFormat="false" ht="15" hidden="false" customHeight="false" outlineLevel="0" collapsed="false">
      <c r="B3456" s="4" t="n">
        <v>26744700</v>
      </c>
      <c r="C3456" s="4" t="s">
        <v>2977</v>
      </c>
      <c r="D3456" s="4" t="s">
        <v>433</v>
      </c>
      <c r="E3456" s="4" t="s">
        <v>3810</v>
      </c>
      <c r="F3456" s="127" t="n">
        <v>46819</v>
      </c>
      <c r="G3456" s="127" t="n">
        <v>46826</v>
      </c>
      <c r="H3456" s="127" t="n">
        <v>46293</v>
      </c>
      <c r="I3456" s="4" t="n">
        <v>0</v>
      </c>
      <c r="J3456" s="4" t="n">
        <v>0</v>
      </c>
      <c r="K3456" s="4" t="n">
        <v>0</v>
      </c>
      <c r="M3456" s="2" t="str">
        <f aca="false">IF(C3456="","",IFERROR(INDEX($S$5:$S$304,MATCH(C3456,$R$5:$R$304,0))&amp;"","?"))</f>
        <v>30</v>
      </c>
      <c r="N3456" s="2" t="n">
        <f aca="false">IF(E3456="","",IF(ISNUMBER(SEARCH("SUBSOLO",E3456)),IFERROR(-VALUE(LEFT(E3456,FIND("º",SUBSTITUTE(E3456,"°","º"))-1)),-1),IF(LEFT(E3456,6)="TÉRREO",0,IFERROR(VALUE(LEFT(E3456,FIND("º",SUBSTITUTE(E3456,"°","º"))-1)),""))))</f>
        <v>3</v>
      </c>
      <c r="O3456" s="2" t="str">
        <f aca="false">IF(OR(F3456="",G3456=""),"",IF(G3456&lt;='RETRATO 2027'!$K$5,"CONCLUÍDA",IF(F3456&lt;='RETRATO 2027'!$K$5,"EM ANDAMENTO","A INICIAR")))</f>
        <v>A INICIAR</v>
      </c>
    </row>
    <row r="3457" customFormat="false" ht="15" hidden="false" customHeight="false" outlineLevel="0" collapsed="false">
      <c r="B3457" s="4" t="n">
        <v>26743786</v>
      </c>
      <c r="C3457" s="4" t="s">
        <v>2983</v>
      </c>
      <c r="D3457" s="4" t="s">
        <v>433</v>
      </c>
      <c r="E3457" s="4" t="s">
        <v>3473</v>
      </c>
      <c r="F3457" s="127" t="n">
        <v>46821</v>
      </c>
      <c r="G3457" s="127" t="n">
        <v>46848</v>
      </c>
      <c r="H3457" s="127" t="n">
        <v>46293</v>
      </c>
      <c r="I3457" s="4" t="n">
        <v>0</v>
      </c>
      <c r="J3457" s="4" t="n">
        <v>0</v>
      </c>
      <c r="K3457" s="4" t="n">
        <v>0</v>
      </c>
      <c r="M3457" s="2" t="str">
        <f aca="false">IF(C3457="","",IFERROR(INDEX($S$5:$S$304,MATCH(C3457,$R$5:$R$304,0))&amp;"","?"))</f>
        <v>20</v>
      </c>
      <c r="N3457" s="2" t="n">
        <f aca="false">IF(E3457="","",IF(ISNUMBER(SEARCH("SUBSOLO",E3457)),IFERROR(-VALUE(LEFT(E3457,FIND("º",SUBSTITUTE(E3457,"°","º"))-1)),-1),IF(LEFT(E3457,6)="TÉRREO",0,IFERROR(VALUE(LEFT(E3457,FIND("º",SUBSTITUTE(E3457,"°","º"))-1)),""))))</f>
        <v>-5</v>
      </c>
      <c r="O3457" s="2" t="str">
        <f aca="false">IF(OR(F3457="",G3457=""),"",IF(G3457&lt;='RETRATO 2027'!$K$5,"CONCLUÍDA",IF(F3457&lt;='RETRATO 2027'!$K$5,"EM ANDAMENTO","A INICIAR")))</f>
        <v>A INICIAR</v>
      </c>
    </row>
    <row r="3458" customFormat="false" ht="15" hidden="false" customHeight="false" outlineLevel="0" collapsed="false">
      <c r="B3458" s="4" t="n">
        <v>29845881</v>
      </c>
      <c r="C3458" s="4" t="s">
        <v>2986</v>
      </c>
      <c r="D3458" s="4" t="s">
        <v>433</v>
      </c>
      <c r="E3458" s="4" t="s">
        <v>3473</v>
      </c>
      <c r="F3458" s="127" t="n">
        <v>46821</v>
      </c>
      <c r="G3458" s="127" t="n">
        <v>46827</v>
      </c>
      <c r="H3458" s="127" t="n">
        <v>46293</v>
      </c>
      <c r="I3458" s="4" t="n">
        <v>0</v>
      </c>
      <c r="J3458" s="4" t="n">
        <v>0</v>
      </c>
      <c r="K3458" s="4" t="n">
        <v>0</v>
      </c>
      <c r="M3458" s="2" t="str">
        <f aca="false">IF(C3458="","",IFERROR(INDEX($S$5:$S$304,MATCH(C3458,$R$5:$R$304,0))&amp;"","?"))</f>
        <v>20</v>
      </c>
      <c r="N3458" s="2" t="n">
        <f aca="false">IF(E3458="","",IF(ISNUMBER(SEARCH("SUBSOLO",E3458)),IFERROR(-VALUE(LEFT(E3458,FIND("º",SUBSTITUTE(E3458,"°","º"))-1)),-1),IF(LEFT(E3458,6)="TÉRREO",0,IFERROR(VALUE(LEFT(E3458,FIND("º",SUBSTITUTE(E3458,"°","º"))-1)),""))))</f>
        <v>-5</v>
      </c>
      <c r="O3458" s="2" t="str">
        <f aca="false">IF(OR(F3458="",G3458=""),"",IF(G3458&lt;='RETRATO 2027'!$K$5,"CONCLUÍDA",IF(F3458&lt;='RETRATO 2027'!$K$5,"EM ANDAMENTO","A INICIAR")))</f>
        <v>A INICIAR</v>
      </c>
    </row>
    <row r="3459" customFormat="false" ht="15" hidden="false" customHeight="false" outlineLevel="0" collapsed="false">
      <c r="B3459" s="4" t="n">
        <v>36118604</v>
      </c>
      <c r="C3459" s="4" t="s">
        <v>3038</v>
      </c>
      <c r="D3459" s="4" t="s">
        <v>433</v>
      </c>
      <c r="E3459" s="4" t="s">
        <v>3473</v>
      </c>
      <c r="F3459" s="127" t="n">
        <v>46821</v>
      </c>
      <c r="G3459" s="127" t="n">
        <v>46834</v>
      </c>
      <c r="H3459" s="127" t="n">
        <v>46293</v>
      </c>
      <c r="I3459" s="4" t="n">
        <v>0</v>
      </c>
      <c r="J3459" s="4" t="n">
        <v>0</v>
      </c>
      <c r="K3459" s="4" t="n">
        <v>0</v>
      </c>
      <c r="M3459" s="2" t="str">
        <f aca="false">IF(C3459="","",IFERROR(INDEX($S$5:$S$304,MATCH(C3459,$R$5:$R$304,0))&amp;"","?"))</f>
        <v>26</v>
      </c>
      <c r="N3459" s="2" t="n">
        <f aca="false">IF(E3459="","",IF(ISNUMBER(SEARCH("SUBSOLO",E3459)),IFERROR(-VALUE(LEFT(E3459,FIND("º",SUBSTITUTE(E3459,"°","º"))-1)),-1),IF(LEFT(E3459,6)="TÉRREO",0,IFERROR(VALUE(LEFT(E3459,FIND("º",SUBSTITUTE(E3459,"°","º"))-1)),""))))</f>
        <v>-5</v>
      </c>
      <c r="O3459" s="2" t="str">
        <f aca="false">IF(OR(F3459="",G3459=""),"",IF(G3459&lt;='RETRATO 2027'!$K$5,"CONCLUÍDA",IF(F3459&lt;='RETRATO 2027'!$K$5,"EM ANDAMENTO","A INICIAR")))</f>
        <v>A INICIAR</v>
      </c>
    </row>
    <row r="3460" customFormat="false" ht="15" hidden="false" customHeight="false" outlineLevel="0" collapsed="false">
      <c r="B3460" s="4" t="n">
        <v>26745019</v>
      </c>
      <c r="C3460" s="4" t="s">
        <v>189</v>
      </c>
      <c r="D3460" s="4" t="s">
        <v>433</v>
      </c>
      <c r="E3460" s="4" t="s">
        <v>3828</v>
      </c>
      <c r="F3460" s="127" t="n">
        <v>46821</v>
      </c>
      <c r="G3460" s="127" t="n">
        <v>46832</v>
      </c>
      <c r="H3460" s="127" t="n">
        <v>46293</v>
      </c>
      <c r="I3460" s="4" t="n">
        <v>0</v>
      </c>
      <c r="J3460" s="4" t="n">
        <v>0</v>
      </c>
      <c r="K3460" s="4" t="n">
        <v>0</v>
      </c>
      <c r="M3460" s="2" t="str">
        <f aca="false">IF(C3460="","",IFERROR(INDEX($S$5:$S$304,MATCH(C3460,$R$5:$R$304,0))&amp;"","?"))</f>
        <v>27</v>
      </c>
      <c r="N3460" s="2" t="n">
        <f aca="false">IF(E3460="","",IF(ISNUMBER(SEARCH("SUBSOLO",E3460)),IFERROR(-VALUE(LEFT(E3460,FIND("º",SUBSTITUTE(E3460,"°","º"))-1)),-1),IF(LEFT(E3460,6)="TÉRREO",0,IFERROR(VALUE(LEFT(E3460,FIND("º",SUBSTITUTE(E3460,"°","º"))-1)),""))))</f>
        <v>2</v>
      </c>
      <c r="O3460" s="2" t="str">
        <f aca="false">IF(OR(F3460="",G3460=""),"",IF(G3460&lt;='RETRATO 2027'!$K$5,"CONCLUÍDA",IF(F3460&lt;='RETRATO 2027'!$K$5,"EM ANDAMENTO","A INICIAR")))</f>
        <v>A INICIAR</v>
      </c>
    </row>
    <row r="3461" customFormat="false" ht="15" hidden="false" customHeight="false" outlineLevel="0" collapsed="false">
      <c r="B3461" s="4" t="n">
        <v>26743630</v>
      </c>
      <c r="C3461" s="4" t="s">
        <v>3032</v>
      </c>
      <c r="D3461" s="4" t="s">
        <v>433</v>
      </c>
      <c r="E3461" s="4" t="s">
        <v>3668</v>
      </c>
      <c r="F3461" s="127" t="n">
        <v>46821</v>
      </c>
      <c r="G3461" s="127" t="n">
        <v>46829</v>
      </c>
      <c r="H3461" s="127" t="n">
        <v>46293</v>
      </c>
      <c r="I3461" s="4" t="n">
        <v>0</v>
      </c>
      <c r="J3461" s="4" t="n">
        <v>0</v>
      </c>
      <c r="K3461" s="4" t="n">
        <v>0</v>
      </c>
      <c r="M3461" s="2" t="str">
        <f aca="false">IF(C3461="","",IFERROR(INDEX($S$5:$S$304,MATCH(C3461,$R$5:$R$304,0))&amp;"","?"))</f>
        <v>35</v>
      </c>
      <c r="N3461" s="2" t="n">
        <f aca="false">IF(E3461="","",IF(ISNUMBER(SEARCH("SUBSOLO",E3461)),IFERROR(-VALUE(LEFT(E3461,FIND("º",SUBSTITUTE(E3461,"°","º"))-1)),-1),IF(LEFT(E3461,6)="TÉRREO",0,IFERROR(VALUE(LEFT(E3461,FIND("º",SUBSTITUTE(E3461,"°","º"))-1)),""))))</f>
        <v>4</v>
      </c>
      <c r="O3461" s="2" t="str">
        <f aca="false">IF(OR(F3461="",G3461=""),"",IF(G3461&lt;='RETRATO 2027'!$K$5,"CONCLUÍDA",IF(F3461&lt;='RETRATO 2027'!$K$5,"EM ANDAMENTO","A INICIAR")))</f>
        <v>A INICIAR</v>
      </c>
    </row>
    <row r="3462" customFormat="false" ht="15" hidden="false" customHeight="false" outlineLevel="0" collapsed="false">
      <c r="B3462" s="4" t="n">
        <v>26743587</v>
      </c>
      <c r="C3462" s="4" t="s">
        <v>3093</v>
      </c>
      <c r="D3462" s="4" t="s">
        <v>433</v>
      </c>
      <c r="E3462" s="4" t="s">
        <v>3678</v>
      </c>
      <c r="F3462" s="127" t="n">
        <v>46821</v>
      </c>
      <c r="G3462" s="127" t="n">
        <v>46829</v>
      </c>
      <c r="H3462" s="127" t="n">
        <v>46293</v>
      </c>
      <c r="I3462" s="4" t="n">
        <v>0</v>
      </c>
      <c r="J3462" s="4" t="n">
        <v>0</v>
      </c>
      <c r="K3462" s="4" t="n">
        <v>0</v>
      </c>
      <c r="M3462" s="2" t="str">
        <f aca="false">IF(C3462="","",IFERROR(INDEX($S$5:$S$304,MATCH(C3462,$R$5:$R$304,0))&amp;"","?"))</f>
        <v>34</v>
      </c>
      <c r="N3462" s="2" t="n">
        <f aca="false">IF(E3462="","",IF(ISNUMBER(SEARCH("SUBSOLO",E3462)),IFERROR(-VALUE(LEFT(E3462,FIND("º",SUBSTITUTE(E3462,"°","º"))-1)),-1),IF(LEFT(E3462,6)="TÉRREO",0,IFERROR(VALUE(LEFT(E3462,FIND("º",SUBSTITUTE(E3462,"°","º"))-1)),""))))</f>
        <v>5</v>
      </c>
      <c r="O3462" s="2" t="str">
        <f aca="false">IF(OR(F3462="",G3462=""),"",IF(G3462&lt;='RETRATO 2027'!$K$5,"CONCLUÍDA",IF(F3462&lt;='RETRATO 2027'!$K$5,"EM ANDAMENTO","A INICIAR")))</f>
        <v>A INICIAR</v>
      </c>
    </row>
    <row r="3463" customFormat="false" ht="15" hidden="false" customHeight="false" outlineLevel="0" collapsed="false">
      <c r="B3463" s="4" t="n">
        <v>26743609</v>
      </c>
      <c r="C3463" s="4" t="s">
        <v>2965</v>
      </c>
      <c r="D3463" s="4" t="s">
        <v>433</v>
      </c>
      <c r="E3463" s="4" t="s">
        <v>3678</v>
      </c>
      <c r="F3463" s="127" t="n">
        <v>46821</v>
      </c>
      <c r="G3463" s="127" t="n">
        <v>46829</v>
      </c>
      <c r="H3463" s="127" t="n">
        <v>46293</v>
      </c>
      <c r="I3463" s="4" t="n">
        <v>0</v>
      </c>
      <c r="J3463" s="4" t="n">
        <v>0</v>
      </c>
      <c r="K3463" s="4" t="n">
        <v>0</v>
      </c>
      <c r="M3463" s="2" t="str">
        <f aca="false">IF(C3463="","",IFERROR(INDEX($S$5:$S$304,MATCH(C3463,$R$5:$R$304,0))&amp;"","?"))</f>
        <v>20</v>
      </c>
      <c r="N3463" s="2" t="n">
        <f aca="false">IF(E3463="","",IF(ISNUMBER(SEARCH("SUBSOLO",E3463)),IFERROR(-VALUE(LEFT(E3463,FIND("º",SUBSTITUTE(E3463,"°","º"))-1)),-1),IF(LEFT(E3463,6)="TÉRREO",0,IFERROR(VALUE(LEFT(E3463,FIND("º",SUBSTITUTE(E3463,"°","º"))-1)),""))))</f>
        <v>5</v>
      </c>
      <c r="O3463" s="2" t="str">
        <f aca="false">IF(OR(F3463="",G3463=""),"",IF(G3463&lt;='RETRATO 2027'!$K$5,"CONCLUÍDA",IF(F3463&lt;='RETRATO 2027'!$K$5,"EM ANDAMENTO","A INICIAR")))</f>
        <v>A INICIAR</v>
      </c>
    </row>
    <row r="3464" customFormat="false" ht="15" hidden="false" customHeight="false" outlineLevel="0" collapsed="false">
      <c r="B3464" s="4" t="n">
        <v>26743549</v>
      </c>
      <c r="C3464" s="4" t="s">
        <v>3021</v>
      </c>
      <c r="D3464" s="4" t="s">
        <v>433</v>
      </c>
      <c r="E3464" s="4" t="s">
        <v>3685</v>
      </c>
      <c r="F3464" s="127" t="n">
        <v>46821</v>
      </c>
      <c r="G3464" s="127" t="n">
        <v>46829</v>
      </c>
      <c r="H3464" s="127" t="n">
        <v>46293</v>
      </c>
      <c r="I3464" s="4" t="n">
        <v>0</v>
      </c>
      <c r="J3464" s="4" t="n">
        <v>0</v>
      </c>
      <c r="K3464" s="4" t="n">
        <v>0</v>
      </c>
      <c r="M3464" s="2" t="str">
        <f aca="false">IF(C3464="","",IFERROR(INDEX($S$5:$S$304,MATCH(C3464,$R$5:$R$304,0))&amp;"","?"))</f>
        <v>35</v>
      </c>
      <c r="N3464" s="2" t="n">
        <f aca="false">IF(E3464="","",IF(ISNUMBER(SEARCH("SUBSOLO",E3464)),IFERROR(-VALUE(LEFT(E3464,FIND("º",SUBSTITUTE(E3464,"°","º"))-1)),-1),IF(LEFT(E3464,6)="TÉRREO",0,IFERROR(VALUE(LEFT(E3464,FIND("º",SUBSTITUTE(E3464,"°","º"))-1)),""))))</f>
        <v>6</v>
      </c>
      <c r="O3464" s="2" t="str">
        <f aca="false">IF(OR(F3464="",G3464=""),"",IF(G3464&lt;='RETRATO 2027'!$K$5,"CONCLUÍDA",IF(F3464&lt;='RETRATO 2027'!$K$5,"EM ANDAMENTO","A INICIAR")))</f>
        <v>A INICIAR</v>
      </c>
    </row>
    <row r="3465" customFormat="false" ht="15" hidden="false" customHeight="false" outlineLevel="0" collapsed="false">
      <c r="B3465" s="4" t="n">
        <v>26743514</v>
      </c>
      <c r="C3465" s="4" t="s">
        <v>3006</v>
      </c>
      <c r="D3465" s="4" t="s">
        <v>433</v>
      </c>
      <c r="E3465" s="4" t="s">
        <v>3686</v>
      </c>
      <c r="F3465" s="127" t="n">
        <v>46821</v>
      </c>
      <c r="G3465" s="127" t="n">
        <v>46829</v>
      </c>
      <c r="H3465" s="127" t="n">
        <v>46293</v>
      </c>
      <c r="I3465" s="4" t="n">
        <v>0</v>
      </c>
      <c r="J3465" s="4" t="n">
        <v>0</v>
      </c>
      <c r="K3465" s="4" t="n">
        <v>0</v>
      </c>
      <c r="M3465" s="2" t="str">
        <f aca="false">IF(C3465="","",IFERROR(INDEX($S$5:$S$304,MATCH(C3465,$R$5:$R$304,0))&amp;"","?"))</f>
        <v>37</v>
      </c>
      <c r="N3465" s="2" t="n">
        <f aca="false">IF(E3465="","",IF(ISNUMBER(SEARCH("SUBSOLO",E3465)),IFERROR(-VALUE(LEFT(E3465,FIND("º",SUBSTITUTE(E3465,"°","º"))-1)),-1),IF(LEFT(E3465,6)="TÉRREO",0,IFERROR(VALUE(LEFT(E3465,FIND("º",SUBSTITUTE(E3465,"°","º"))-1)),""))))</f>
        <v>7</v>
      </c>
      <c r="O3465" s="2" t="str">
        <f aca="false">IF(OR(F3465="",G3465=""),"",IF(G3465&lt;='RETRATO 2027'!$K$5,"CONCLUÍDA",IF(F3465&lt;='RETRATO 2027'!$K$5,"EM ANDAMENTO","A INICIAR")))</f>
        <v>A INICIAR</v>
      </c>
    </row>
    <row r="3466" customFormat="false" ht="15" hidden="false" customHeight="false" outlineLevel="0" collapsed="false">
      <c r="B3466" s="4" t="n">
        <v>26743479</v>
      </c>
      <c r="C3466" s="4" t="s">
        <v>2962</v>
      </c>
      <c r="D3466" s="4" t="s">
        <v>433</v>
      </c>
      <c r="E3466" s="4" t="s">
        <v>3706</v>
      </c>
      <c r="F3466" s="127" t="n">
        <v>46821</v>
      </c>
      <c r="G3466" s="127" t="n">
        <v>46829</v>
      </c>
      <c r="H3466" s="127" t="n">
        <v>46293</v>
      </c>
      <c r="I3466" s="4" t="n">
        <v>0</v>
      </c>
      <c r="J3466" s="4" t="n">
        <v>0</v>
      </c>
      <c r="K3466" s="4" t="n">
        <v>0</v>
      </c>
      <c r="M3466" s="2" t="str">
        <f aca="false">IF(C3466="","",IFERROR(INDEX($S$5:$S$304,MATCH(C3466,$R$5:$R$304,0))&amp;"","?"))</f>
        <v>34</v>
      </c>
      <c r="N3466" s="2" t="n">
        <f aca="false">IF(E3466="","",IF(ISNUMBER(SEARCH("SUBSOLO",E3466)),IFERROR(-VALUE(LEFT(E3466,FIND("º",SUBSTITUTE(E3466,"°","º"))-1)),-1),IF(LEFT(E3466,6)="TÉRREO",0,IFERROR(VALUE(LEFT(E3466,FIND("º",SUBSTITUTE(E3466,"°","º"))-1)),""))))</f>
        <v>8</v>
      </c>
      <c r="O3466" s="2" t="str">
        <f aca="false">IF(OR(F3466="",G3466=""),"",IF(G3466&lt;='RETRATO 2027'!$K$5,"CONCLUÍDA",IF(F3466&lt;='RETRATO 2027'!$K$5,"EM ANDAMENTO","A INICIAR")))</f>
        <v>A INICIAR</v>
      </c>
    </row>
    <row r="3467" customFormat="false" ht="15" hidden="false" customHeight="false" outlineLevel="0" collapsed="false">
      <c r="B3467" s="4" t="n">
        <v>26743484</v>
      </c>
      <c r="C3467" s="4" t="s">
        <v>3088</v>
      </c>
      <c r="D3467" s="4" t="s">
        <v>433</v>
      </c>
      <c r="E3467" s="4" t="s">
        <v>3706</v>
      </c>
      <c r="F3467" s="127" t="n">
        <v>46821</v>
      </c>
      <c r="G3467" s="127" t="n">
        <v>46829</v>
      </c>
      <c r="H3467" s="127" t="n">
        <v>46293</v>
      </c>
      <c r="I3467" s="4" t="n">
        <v>0</v>
      </c>
      <c r="J3467" s="4" t="n">
        <v>0</v>
      </c>
      <c r="K3467" s="4" t="n">
        <v>0</v>
      </c>
      <c r="M3467" s="2" t="str">
        <f aca="false">IF(C3467="","",IFERROR(INDEX($S$5:$S$304,MATCH(C3467,$R$5:$R$304,0))&amp;"","?"))</f>
        <v>20</v>
      </c>
      <c r="N3467" s="2" t="n">
        <f aca="false">IF(E3467="","",IF(ISNUMBER(SEARCH("SUBSOLO",E3467)),IFERROR(-VALUE(LEFT(E3467,FIND("º",SUBSTITUTE(E3467,"°","º"))-1)),-1),IF(LEFT(E3467,6)="TÉRREO",0,IFERROR(VALUE(LEFT(E3467,FIND("º",SUBSTITUTE(E3467,"°","º"))-1)),""))))</f>
        <v>8</v>
      </c>
      <c r="O3467" s="2" t="str">
        <f aca="false">IF(OR(F3467="",G3467=""),"",IF(G3467&lt;='RETRATO 2027'!$K$5,"CONCLUÍDA",IF(F3467&lt;='RETRATO 2027'!$K$5,"EM ANDAMENTO","A INICIAR")))</f>
        <v>A INICIAR</v>
      </c>
    </row>
    <row r="3468" customFormat="false" ht="15" hidden="false" customHeight="false" outlineLevel="0" collapsed="false">
      <c r="B3468" s="4" t="n">
        <v>26743503</v>
      </c>
      <c r="C3468" s="4" t="s">
        <v>3009</v>
      </c>
      <c r="D3468" s="4" t="s">
        <v>433</v>
      </c>
      <c r="E3468" s="4" t="s">
        <v>3706</v>
      </c>
      <c r="F3468" s="127" t="n">
        <v>46821</v>
      </c>
      <c r="G3468" s="127" t="n">
        <v>46829</v>
      </c>
      <c r="H3468" s="127" t="n">
        <v>46293</v>
      </c>
      <c r="I3468" s="4" t="n">
        <v>0</v>
      </c>
      <c r="J3468" s="4" t="n">
        <v>0</v>
      </c>
      <c r="K3468" s="4" t="n">
        <v>0</v>
      </c>
      <c r="M3468" s="2" t="str">
        <f aca="false">IF(C3468="","",IFERROR(INDEX($S$5:$S$304,MATCH(C3468,$R$5:$R$304,0))&amp;"","?"))</f>
        <v>23</v>
      </c>
      <c r="N3468" s="2" t="n">
        <f aca="false">IF(E3468="","",IF(ISNUMBER(SEARCH("SUBSOLO",E3468)),IFERROR(-VALUE(LEFT(E3468,FIND("º",SUBSTITUTE(E3468,"°","º"))-1)),-1),IF(LEFT(E3468,6)="TÉRREO",0,IFERROR(VALUE(LEFT(E3468,FIND("º",SUBSTITUTE(E3468,"°","º"))-1)),""))))</f>
        <v>8</v>
      </c>
      <c r="O3468" s="2" t="str">
        <f aca="false">IF(OR(F3468="",G3468=""),"",IF(G3468&lt;='RETRATO 2027'!$K$5,"CONCLUÍDA",IF(F3468&lt;='RETRATO 2027'!$K$5,"EM ANDAMENTO","A INICIAR")))</f>
        <v>A INICIAR</v>
      </c>
    </row>
    <row r="3469" customFormat="false" ht="15" hidden="false" customHeight="false" outlineLevel="0" collapsed="false">
      <c r="B3469" s="4" t="n">
        <v>26743441</v>
      </c>
      <c r="C3469" s="4" t="s">
        <v>3082</v>
      </c>
      <c r="D3469" s="4" t="s">
        <v>433</v>
      </c>
      <c r="E3469" s="4" t="s">
        <v>3716</v>
      </c>
      <c r="F3469" s="127" t="n">
        <v>46821</v>
      </c>
      <c r="G3469" s="127" t="n">
        <v>46829</v>
      </c>
      <c r="H3469" s="127" t="n">
        <v>46293</v>
      </c>
      <c r="I3469" s="4" t="n">
        <v>0</v>
      </c>
      <c r="J3469" s="4" t="n">
        <v>0</v>
      </c>
      <c r="K3469" s="4" t="n">
        <v>0</v>
      </c>
      <c r="M3469" s="2" t="str">
        <f aca="false">IF(C3469="","",IFERROR(INDEX($S$5:$S$304,MATCH(C3469,$R$5:$R$304,0))&amp;"","?"))</f>
        <v>30</v>
      </c>
      <c r="N3469" s="2" t="n">
        <f aca="false">IF(E3469="","",IF(ISNUMBER(SEARCH("SUBSOLO",E3469)),IFERROR(-VALUE(LEFT(E3469,FIND("º",SUBSTITUTE(E3469,"°","º"))-1)),-1),IF(LEFT(E3469,6)="TÉRREO",0,IFERROR(VALUE(LEFT(E3469,FIND("º",SUBSTITUTE(E3469,"°","º"))-1)),""))))</f>
        <v>9</v>
      </c>
      <c r="O3469" s="2" t="str">
        <f aca="false">IF(OR(F3469="",G3469=""),"",IF(G3469&lt;='RETRATO 2027'!$K$5,"CONCLUÍDA",IF(F3469&lt;='RETRATO 2027'!$K$5,"EM ANDAMENTO","A INICIAR")))</f>
        <v>A INICIAR</v>
      </c>
    </row>
    <row r="3470" customFormat="false" ht="15" hidden="false" customHeight="false" outlineLevel="0" collapsed="false">
      <c r="B3470" s="4" t="n">
        <v>26743434</v>
      </c>
      <c r="C3470" s="4" t="s">
        <v>3079</v>
      </c>
      <c r="D3470" s="4" t="s">
        <v>433</v>
      </c>
      <c r="E3470" s="4" t="s">
        <v>3722</v>
      </c>
      <c r="F3470" s="127" t="n">
        <v>46821</v>
      </c>
      <c r="G3470" s="127" t="n">
        <v>46829</v>
      </c>
      <c r="H3470" s="127" t="n">
        <v>46293</v>
      </c>
      <c r="I3470" s="4" t="n">
        <v>0</v>
      </c>
      <c r="J3470" s="4" t="n">
        <v>0</v>
      </c>
      <c r="K3470" s="4" t="n">
        <v>0</v>
      </c>
      <c r="M3470" s="2" t="str">
        <f aca="false">IF(C3470="","",IFERROR(INDEX($S$5:$S$304,MATCH(C3470,$R$5:$R$304,0))&amp;"","?"))</f>
        <v>25</v>
      </c>
      <c r="N3470" s="2" t="n">
        <f aca="false">IF(E3470="","",IF(ISNUMBER(SEARCH("SUBSOLO",E3470)),IFERROR(-VALUE(LEFT(E3470,FIND("º",SUBSTITUTE(E3470,"°","º"))-1)),-1),IF(LEFT(E3470,6)="TÉRREO",0,IFERROR(VALUE(LEFT(E3470,FIND("º",SUBSTITUTE(E3470,"°","º"))-1)),""))))</f>
        <v>10</v>
      </c>
      <c r="O3470" s="2" t="str">
        <f aca="false">IF(OR(F3470="",G3470=""),"",IF(G3470&lt;='RETRATO 2027'!$K$5,"CONCLUÍDA",IF(F3470&lt;='RETRATO 2027'!$K$5,"EM ANDAMENTO","A INICIAR")))</f>
        <v>A INICIAR</v>
      </c>
    </row>
    <row r="3471" customFormat="false" ht="15" hidden="false" customHeight="false" outlineLevel="0" collapsed="false">
      <c r="B3471" s="4" t="n">
        <v>26743395</v>
      </c>
      <c r="C3471" s="4" t="s">
        <v>3073</v>
      </c>
      <c r="D3471" s="4" t="s">
        <v>433</v>
      </c>
      <c r="E3471" s="4" t="s">
        <v>3762</v>
      </c>
      <c r="F3471" s="127" t="n">
        <v>46821</v>
      </c>
      <c r="G3471" s="127" t="n">
        <v>46829</v>
      </c>
      <c r="H3471" s="127" t="n">
        <v>46293</v>
      </c>
      <c r="I3471" s="4" t="n">
        <v>0</v>
      </c>
      <c r="J3471" s="4" t="n">
        <v>0</v>
      </c>
      <c r="K3471" s="4" t="n">
        <v>0</v>
      </c>
      <c r="M3471" s="2" t="str">
        <f aca="false">IF(C3471="","",IFERROR(INDEX($S$5:$S$304,MATCH(C3471,$R$5:$R$304,0))&amp;"","?"))</f>
        <v>30</v>
      </c>
      <c r="N3471" s="2" t="n">
        <f aca="false">IF(E3471="","",IF(ISNUMBER(SEARCH("SUBSOLO",E3471)),IFERROR(-VALUE(LEFT(E3471,FIND("º",SUBSTITUTE(E3471,"°","º"))-1)),-1),IF(LEFT(E3471,6)="TÉRREO",0,IFERROR(VALUE(LEFT(E3471,FIND("º",SUBSTITUTE(E3471,"°","º"))-1)),""))))</f>
        <v>11</v>
      </c>
      <c r="O3471" s="2" t="str">
        <f aca="false">IF(OR(F3471="",G3471=""),"",IF(G3471&lt;='RETRATO 2027'!$K$5,"CONCLUÍDA",IF(F3471&lt;='RETRATO 2027'!$K$5,"EM ANDAMENTO","A INICIAR")))</f>
        <v>A INICIAR</v>
      </c>
    </row>
    <row r="3472" customFormat="false" ht="15" hidden="false" customHeight="false" outlineLevel="0" collapsed="false">
      <c r="B3472" s="4" t="n">
        <v>26743357</v>
      </c>
      <c r="C3472" s="4" t="s">
        <v>3055</v>
      </c>
      <c r="D3472" s="4" t="s">
        <v>433</v>
      </c>
      <c r="E3472" s="4" t="s">
        <v>3763</v>
      </c>
      <c r="F3472" s="127" t="n">
        <v>46821</v>
      </c>
      <c r="G3472" s="127" t="n">
        <v>46829</v>
      </c>
      <c r="H3472" s="127" t="n">
        <v>46293</v>
      </c>
      <c r="I3472" s="4" t="n">
        <v>0</v>
      </c>
      <c r="J3472" s="4" t="n">
        <v>0</v>
      </c>
      <c r="K3472" s="4" t="n">
        <v>0</v>
      </c>
      <c r="M3472" s="2" t="str">
        <f aca="false">IF(C3472="","",IFERROR(INDEX($S$5:$S$304,MATCH(C3472,$R$5:$R$304,0))&amp;"","?"))</f>
        <v>25</v>
      </c>
      <c r="N3472" s="2" t="n">
        <f aca="false">IF(E3472="","",IF(ISNUMBER(SEARCH("SUBSOLO",E3472)),IFERROR(-VALUE(LEFT(E3472,FIND("º",SUBSTITUTE(E3472,"°","º"))-1)),-1),IF(LEFT(E3472,6)="TÉRREO",0,IFERROR(VALUE(LEFT(E3472,FIND("º",SUBSTITUTE(E3472,"°","º"))-1)),""))))</f>
        <v>12</v>
      </c>
      <c r="O3472" s="2" t="str">
        <f aca="false">IF(OR(F3472="",G3472=""),"",IF(G3472&lt;='RETRATO 2027'!$K$5,"CONCLUÍDA",IF(F3472&lt;='RETRATO 2027'!$K$5,"EM ANDAMENTO","A INICIAR")))</f>
        <v>A INICIAR</v>
      </c>
    </row>
    <row r="3473" customFormat="false" ht="15" hidden="false" customHeight="false" outlineLevel="0" collapsed="false">
      <c r="B3473" s="4" t="n">
        <v>26745187</v>
      </c>
      <c r="C3473" s="4" t="s">
        <v>2980</v>
      </c>
      <c r="D3473" s="4" t="s">
        <v>433</v>
      </c>
      <c r="E3473" s="4" t="s">
        <v>3657</v>
      </c>
      <c r="F3473" s="127" t="n">
        <v>46822</v>
      </c>
      <c r="G3473" s="127" t="n">
        <v>46833</v>
      </c>
      <c r="H3473" s="127" t="n">
        <v>46293</v>
      </c>
      <c r="I3473" s="4" t="n">
        <v>0</v>
      </c>
      <c r="J3473" s="4" t="n">
        <v>0</v>
      </c>
      <c r="K3473" s="4" t="n">
        <v>0</v>
      </c>
      <c r="M3473" s="2" t="str">
        <f aca="false">IF(C3473="","",IFERROR(INDEX($S$5:$S$304,MATCH(C3473,$R$5:$R$304,0))&amp;"","?"))</f>
        <v>35</v>
      </c>
      <c r="N3473" s="2" t="n">
        <f aca="false">IF(E3473="","",IF(ISNUMBER(SEARCH("SUBSOLO",E3473)),IFERROR(-VALUE(LEFT(E3473,FIND("º",SUBSTITUTE(E3473,"°","º"))-1)),-1),IF(LEFT(E3473,6)="TÉRREO",0,IFERROR(VALUE(LEFT(E3473,FIND("º",SUBSTITUTE(E3473,"°","º"))-1)),""))))</f>
        <v>-5</v>
      </c>
      <c r="O3473" s="2" t="str">
        <f aca="false">IF(OR(F3473="",G3473=""),"",IF(G3473&lt;='RETRATO 2027'!$K$5,"CONCLUÍDA",IF(F3473&lt;='RETRATO 2027'!$K$5,"EM ANDAMENTO","A INICIAR")))</f>
        <v>A INICIAR</v>
      </c>
    </row>
    <row r="3474" customFormat="false" ht="15" hidden="false" customHeight="false" outlineLevel="0" collapsed="false">
      <c r="B3474" s="4" t="n">
        <v>26707595</v>
      </c>
      <c r="C3474" s="4" t="s">
        <v>2997</v>
      </c>
      <c r="D3474" s="4" t="s">
        <v>433</v>
      </c>
      <c r="E3474" s="4" t="s">
        <v>3815</v>
      </c>
      <c r="F3474" s="127" t="n">
        <v>46822</v>
      </c>
      <c r="G3474" s="127" t="n">
        <v>46842</v>
      </c>
      <c r="H3474" s="127" t="n">
        <v>46293</v>
      </c>
      <c r="I3474" s="4" t="n">
        <v>0</v>
      </c>
      <c r="J3474" s="4" t="n">
        <v>0</v>
      </c>
      <c r="K3474" s="4" t="n">
        <v>0</v>
      </c>
      <c r="M3474" s="2" t="str">
        <f aca="false">IF(C3474="","",IFERROR(INDEX($S$5:$S$304,MATCH(C3474,$R$5:$R$304,0))&amp;"","?"))</f>
        <v>35</v>
      </c>
      <c r="N3474" s="2" t="n">
        <f aca="false">IF(E3474="","",IF(ISNUMBER(SEARCH("SUBSOLO",E3474)),IFERROR(-VALUE(LEFT(E3474,FIND("º",SUBSTITUTE(E3474,"°","º"))-1)),-1),IF(LEFT(E3474,6)="TÉRREO",0,IFERROR(VALUE(LEFT(E3474,FIND("º",SUBSTITUTE(E3474,"°","º"))-1)),""))))</f>
        <v>2</v>
      </c>
      <c r="O3474" s="2" t="str">
        <f aca="false">IF(OR(F3474="",G3474=""),"",IF(G3474&lt;='RETRATO 2027'!$K$5,"CONCLUÍDA",IF(F3474&lt;='RETRATO 2027'!$K$5,"EM ANDAMENTO","A INICIAR")))</f>
        <v>A INICIAR</v>
      </c>
    </row>
    <row r="3475" customFormat="false" ht="15" hidden="false" customHeight="false" outlineLevel="0" collapsed="false">
      <c r="B3475" s="4" t="n">
        <v>26744991</v>
      </c>
      <c r="C3475" s="4" t="s">
        <v>2965</v>
      </c>
      <c r="D3475" s="4" t="s">
        <v>433</v>
      </c>
      <c r="E3475" s="4" t="s">
        <v>3662</v>
      </c>
      <c r="F3475" s="127" t="n">
        <v>46825</v>
      </c>
      <c r="G3475" s="127" t="n">
        <v>46834</v>
      </c>
      <c r="H3475" s="127" t="n">
        <v>46293</v>
      </c>
      <c r="I3475" s="4" t="n">
        <v>0</v>
      </c>
      <c r="J3475" s="4" t="n">
        <v>0</v>
      </c>
      <c r="K3475" s="4" t="n">
        <v>0</v>
      </c>
      <c r="M3475" s="2" t="str">
        <f aca="false">IF(C3475="","",IFERROR(INDEX($S$5:$S$304,MATCH(C3475,$R$5:$R$304,0))&amp;"","?"))</f>
        <v>20</v>
      </c>
      <c r="N3475" s="2" t="n">
        <f aca="false">IF(E3475="","",IF(ISNUMBER(SEARCH("SUBSOLO",E3475)),IFERROR(-VALUE(LEFT(E3475,FIND("º",SUBSTITUTE(E3475,"°","º"))-1)),-1),IF(LEFT(E3475,6)="TÉRREO",0,IFERROR(VALUE(LEFT(E3475,FIND("º",SUBSTITUTE(E3475,"°","º"))-1)),""))))</f>
        <v>-5</v>
      </c>
      <c r="O3475" s="2" t="str">
        <f aca="false">IF(OR(F3475="",G3475=""),"",IF(G3475&lt;='RETRATO 2027'!$K$5,"CONCLUÍDA",IF(F3475&lt;='RETRATO 2027'!$K$5,"EM ANDAMENTO","A INICIAR")))</f>
        <v>A INICIAR</v>
      </c>
    </row>
    <row r="3476" customFormat="false" ht="15" hidden="false" customHeight="false" outlineLevel="0" collapsed="false">
      <c r="B3476" s="4" t="n">
        <v>26707639</v>
      </c>
      <c r="C3476" s="4" t="s">
        <v>2971</v>
      </c>
      <c r="D3476" s="4" t="s">
        <v>433</v>
      </c>
      <c r="E3476" s="4" t="s">
        <v>3811</v>
      </c>
      <c r="F3476" s="127" t="n">
        <v>46825</v>
      </c>
      <c r="G3476" s="127" t="n">
        <v>46836</v>
      </c>
      <c r="H3476" s="127" t="n">
        <v>46293</v>
      </c>
      <c r="I3476" s="4" t="n">
        <v>0</v>
      </c>
      <c r="J3476" s="4" t="n">
        <v>0</v>
      </c>
      <c r="K3476" s="4" t="n">
        <v>0</v>
      </c>
      <c r="M3476" s="2" t="str">
        <f aca="false">IF(C3476="","",IFERROR(INDEX($S$5:$S$304,MATCH(C3476,$R$5:$R$304,0))&amp;"","?"))</f>
        <v>37</v>
      </c>
      <c r="N3476" s="2" t="n">
        <f aca="false">IF(E3476="","",IF(ISNUMBER(SEARCH("SUBSOLO",E3476)),IFERROR(-VALUE(LEFT(E3476,FIND("º",SUBSTITUTE(E3476,"°","º"))-1)),-1),IF(LEFT(E3476,6)="TÉRREO",0,IFERROR(VALUE(LEFT(E3476,FIND("º",SUBSTITUTE(E3476,"°","º"))-1)),""))))</f>
        <v>2</v>
      </c>
      <c r="O3476" s="2" t="str">
        <f aca="false">IF(OR(F3476="",G3476=""),"",IF(G3476&lt;='RETRATO 2027'!$K$5,"CONCLUÍDA",IF(F3476&lt;='RETRATO 2027'!$K$5,"EM ANDAMENTO","A INICIAR")))</f>
        <v>A INICIAR</v>
      </c>
    </row>
    <row r="3477" customFormat="false" ht="15" hidden="false" customHeight="false" outlineLevel="0" collapsed="false">
      <c r="B3477" s="4" t="n">
        <v>26744800</v>
      </c>
      <c r="C3477" s="4" t="s">
        <v>2997</v>
      </c>
      <c r="D3477" s="4" t="s">
        <v>433</v>
      </c>
      <c r="E3477" s="4" t="s">
        <v>3769</v>
      </c>
      <c r="F3477" s="127" t="n">
        <v>46825</v>
      </c>
      <c r="G3477" s="127" t="n">
        <v>46832</v>
      </c>
      <c r="H3477" s="127" t="n">
        <v>46293</v>
      </c>
      <c r="I3477" s="4" t="n">
        <v>0</v>
      </c>
      <c r="J3477" s="4" t="n">
        <v>0</v>
      </c>
      <c r="K3477" s="4" t="n">
        <v>0</v>
      </c>
      <c r="M3477" s="2" t="str">
        <f aca="false">IF(C3477="","",IFERROR(INDEX($S$5:$S$304,MATCH(C3477,$R$5:$R$304,0))&amp;"","?"))</f>
        <v>35</v>
      </c>
      <c r="N3477" s="2" t="n">
        <f aca="false">IF(E3477="","",IF(ISNUMBER(SEARCH("SUBSOLO",E3477)),IFERROR(-VALUE(LEFT(E3477,FIND("º",SUBSTITUTE(E3477,"°","º"))-1)),-1),IF(LEFT(E3477,6)="TÉRREO",0,IFERROR(VALUE(LEFT(E3477,FIND("º",SUBSTITUTE(E3477,"°","º"))-1)),""))))</f>
        <v>3</v>
      </c>
      <c r="O3477" s="2" t="str">
        <f aca="false">IF(OR(F3477="",G3477=""),"",IF(G3477&lt;='RETRATO 2027'!$K$5,"CONCLUÍDA",IF(F3477&lt;='RETRATO 2027'!$K$5,"EM ANDAMENTO","A INICIAR")))</f>
        <v>A INICIAR</v>
      </c>
    </row>
    <row r="3478" customFormat="false" ht="15" hidden="false" customHeight="false" outlineLevel="0" collapsed="false">
      <c r="B3478" s="4" t="n">
        <v>26744761</v>
      </c>
      <c r="C3478" s="4" t="s">
        <v>2980</v>
      </c>
      <c r="D3478" s="4" t="s">
        <v>433</v>
      </c>
      <c r="E3478" s="4" t="s">
        <v>3784</v>
      </c>
      <c r="F3478" s="127" t="n">
        <v>46825</v>
      </c>
      <c r="G3478" s="127" t="n">
        <v>46832</v>
      </c>
      <c r="H3478" s="127" t="n">
        <v>46293</v>
      </c>
      <c r="I3478" s="4" t="n">
        <v>0</v>
      </c>
      <c r="J3478" s="4" t="n">
        <v>0</v>
      </c>
      <c r="K3478" s="4" t="n">
        <v>0</v>
      </c>
      <c r="M3478" s="2" t="str">
        <f aca="false">IF(C3478="","",IFERROR(INDEX($S$5:$S$304,MATCH(C3478,$R$5:$R$304,0))&amp;"","?"))</f>
        <v>35</v>
      </c>
      <c r="N3478" s="2" t="n">
        <f aca="false">IF(E3478="","",IF(ISNUMBER(SEARCH("SUBSOLO",E3478)),IFERROR(-VALUE(LEFT(E3478,FIND("º",SUBSTITUTE(E3478,"°","º"))-1)),-1),IF(LEFT(E3478,6)="TÉRREO",0,IFERROR(VALUE(LEFT(E3478,FIND("º",SUBSTITUTE(E3478,"°","º"))-1)),""))))</f>
        <v>3</v>
      </c>
      <c r="O3478" s="2" t="str">
        <f aca="false">IF(OR(F3478="",G3478=""),"",IF(G3478&lt;='RETRATO 2027'!$K$5,"CONCLUÍDA",IF(F3478&lt;='RETRATO 2027'!$K$5,"EM ANDAMENTO","A INICIAR")))</f>
        <v>A INICIAR</v>
      </c>
    </row>
    <row r="3479" customFormat="false" ht="15" hidden="false" customHeight="false" outlineLevel="0" collapsed="false">
      <c r="B3479" s="4" t="n">
        <v>26744728</v>
      </c>
      <c r="C3479" s="4" t="s">
        <v>208</v>
      </c>
      <c r="D3479" s="4" t="s">
        <v>433</v>
      </c>
      <c r="E3479" s="4" t="s">
        <v>3800</v>
      </c>
      <c r="F3479" s="127" t="n">
        <v>46825</v>
      </c>
      <c r="G3479" s="127" t="n">
        <v>46832</v>
      </c>
      <c r="H3479" s="127" t="n">
        <v>46293</v>
      </c>
      <c r="I3479" s="4" t="n">
        <v>0</v>
      </c>
      <c r="J3479" s="4" t="n">
        <v>0</v>
      </c>
      <c r="K3479" s="4" t="n">
        <v>0</v>
      </c>
      <c r="M3479" s="2" t="str">
        <f aca="false">IF(C3479="","",IFERROR(INDEX($S$5:$S$304,MATCH(C3479,$R$5:$R$304,0))&amp;"","?"))</f>
        <v>33</v>
      </c>
      <c r="N3479" s="2" t="n">
        <f aca="false">IF(E3479="","",IF(ISNUMBER(SEARCH("SUBSOLO",E3479)),IFERROR(-VALUE(LEFT(E3479,FIND("º",SUBSTITUTE(E3479,"°","º"))-1)),-1),IF(LEFT(E3479,6)="TÉRREO",0,IFERROR(VALUE(LEFT(E3479,FIND("º",SUBSTITUTE(E3479,"°","º"))-1)),""))))</f>
        <v>3</v>
      </c>
      <c r="O3479" s="2" t="str">
        <f aca="false">IF(OR(F3479="",G3479=""),"",IF(G3479&lt;='RETRATO 2027'!$K$5,"CONCLUÍDA",IF(F3479&lt;='RETRATO 2027'!$K$5,"EM ANDAMENTO","A INICIAR")))</f>
        <v>A INICIAR</v>
      </c>
    </row>
    <row r="3480" customFormat="false" ht="15" hidden="false" customHeight="false" outlineLevel="0" collapsed="false">
      <c r="B3480" s="4" t="n">
        <v>26254938</v>
      </c>
      <c r="C3480" s="4" t="s">
        <v>3066</v>
      </c>
      <c r="D3480" s="4" t="s">
        <v>433</v>
      </c>
      <c r="E3480" s="4" t="s">
        <v>3795</v>
      </c>
      <c r="F3480" s="127" t="n">
        <v>46825</v>
      </c>
      <c r="G3480" s="127" t="n">
        <v>46850</v>
      </c>
      <c r="H3480" s="127" t="n">
        <v>46293</v>
      </c>
      <c r="I3480" s="4" t="n">
        <v>0</v>
      </c>
      <c r="J3480" s="4" t="n">
        <v>0</v>
      </c>
      <c r="K3480" s="4" t="n">
        <v>0</v>
      </c>
      <c r="M3480" s="2" t="str">
        <f aca="false">IF(C3480="","",IFERROR(INDEX($S$5:$S$304,MATCH(C3480,$R$5:$R$304,0))&amp;"","?"))</f>
        <v>32</v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>A INICIAR</v>
      </c>
    </row>
    <row r="3481" customFormat="false" ht="15" hidden="false" customHeight="false" outlineLevel="0" collapsed="false">
      <c r="B3481" s="4" t="n">
        <v>29845889</v>
      </c>
      <c r="C3481" s="4" t="s">
        <v>2986</v>
      </c>
      <c r="D3481" s="4" t="s">
        <v>433</v>
      </c>
      <c r="E3481" s="4" t="s">
        <v>3655</v>
      </c>
      <c r="F3481" s="127" t="n">
        <v>46827</v>
      </c>
      <c r="G3481" s="127" t="n">
        <v>46836</v>
      </c>
      <c r="H3481" s="127" t="n">
        <v>46293</v>
      </c>
      <c r="I3481" s="4" t="n">
        <v>0</v>
      </c>
      <c r="J3481" s="4" t="n">
        <v>0</v>
      </c>
      <c r="K3481" s="4" t="n">
        <v>0</v>
      </c>
      <c r="M3481" s="2" t="str">
        <f aca="false">IF(C3481="","",IFERROR(INDEX($S$5:$S$304,MATCH(C3481,$R$5:$R$304,0))&amp;"","?"))</f>
        <v>20</v>
      </c>
      <c r="N3481" s="2" t="n">
        <f aca="false">IF(E3481="","",IF(ISNUMBER(SEARCH("SUBSOLO",E3481)),IFERROR(-VALUE(LEFT(E3481,FIND("º",SUBSTITUTE(E3481,"°","º"))-1)),-1),IF(LEFT(E3481,6)="TÉRREO",0,IFERROR(VALUE(LEFT(E3481,FIND("º",SUBSTITUTE(E3481,"°","º"))-1)),""))))</f>
        <v>3</v>
      </c>
      <c r="O3481" s="2" t="str">
        <f aca="false">IF(OR(F3481="",G3481=""),"",IF(G3481&lt;='RETRATO 2027'!$K$5,"CONCLUÍDA",IF(F3481&lt;='RETRATO 2027'!$K$5,"EM ANDAMENTO","A INICIAR")))</f>
        <v>A INICIAR</v>
      </c>
    </row>
    <row r="3482" customFormat="false" ht="15" hidden="false" customHeight="false" outlineLevel="0" collapsed="false">
      <c r="B3482" s="4" t="n">
        <v>26744701</v>
      </c>
      <c r="C3482" s="4" t="s">
        <v>3003</v>
      </c>
      <c r="D3482" s="4" t="s">
        <v>433</v>
      </c>
      <c r="E3482" s="4" t="s">
        <v>3810</v>
      </c>
      <c r="F3482" s="127" t="n">
        <v>46827</v>
      </c>
      <c r="G3482" s="127" t="n">
        <v>46834</v>
      </c>
      <c r="H3482" s="127" t="n">
        <v>46293</v>
      </c>
      <c r="I3482" s="4" t="n">
        <v>0</v>
      </c>
      <c r="J3482" s="4" t="n">
        <v>0</v>
      </c>
      <c r="K3482" s="4" t="n">
        <v>0</v>
      </c>
      <c r="M3482" s="2" t="str">
        <f aca="false">IF(C3482="","",IFERROR(INDEX($S$5:$S$304,MATCH(C3482,$R$5:$R$304,0))&amp;"","?"))</f>
        <v>20</v>
      </c>
      <c r="N3482" s="2" t="n">
        <f aca="false">IF(E3482="","",IF(ISNUMBER(SEARCH("SUBSOLO",E3482)),IFERROR(-VALUE(LEFT(E3482,FIND("º",SUBSTITUTE(E3482,"°","º"))-1)),-1),IF(LEFT(E3482,6)="TÉRREO",0,IFERROR(VALUE(LEFT(E3482,FIND("º",SUBSTITUTE(E3482,"°","º"))-1)),""))))</f>
        <v>3</v>
      </c>
      <c r="O3482" s="2" t="str">
        <f aca="false">IF(OR(F3482="",G3482=""),"",IF(G3482&lt;='RETRATO 2027'!$K$5,"CONCLUÍDA",IF(F3482&lt;='RETRATO 2027'!$K$5,"EM ANDAMENTO","A INICIAR")))</f>
        <v>A INICIAR</v>
      </c>
    </row>
    <row r="3483" customFormat="false" ht="15" hidden="false" customHeight="false" outlineLevel="0" collapsed="false">
      <c r="B3483" s="4" t="n">
        <v>26743753</v>
      </c>
      <c r="C3483" s="4" t="s">
        <v>2971</v>
      </c>
      <c r="D3483" s="4" t="s">
        <v>433</v>
      </c>
      <c r="E3483" s="4" t="s">
        <v>3375</v>
      </c>
      <c r="F3483" s="127" t="n">
        <v>46828</v>
      </c>
      <c r="G3483" s="127" t="n">
        <v>46841</v>
      </c>
      <c r="H3483" s="127" t="n">
        <v>46293</v>
      </c>
      <c r="I3483" s="4" t="n">
        <v>0</v>
      </c>
      <c r="J3483" s="4" t="n">
        <v>0</v>
      </c>
      <c r="K3483" s="4" t="n">
        <v>0</v>
      </c>
      <c r="M3483" s="2" t="str">
        <f aca="false">IF(C3483="","",IFERROR(INDEX($S$5:$S$304,MATCH(C3483,$R$5:$R$304,0))&amp;"","?"))</f>
        <v>37</v>
      </c>
      <c r="N3483" s="2" t="n">
        <f aca="false">IF(E3483="","",IF(ISNUMBER(SEARCH("SUBSOLO",E3483)),IFERROR(-VALUE(LEFT(E3483,FIND("º",SUBSTITUTE(E3483,"°","º"))-1)),-1),IF(LEFT(E3483,6)="TÉRREO",0,IFERROR(VALUE(LEFT(E3483,FIND("º",SUBSTITUTE(E3483,"°","º"))-1)),""))))</f>
        <v>-3</v>
      </c>
      <c r="O3483" s="2" t="str">
        <f aca="false">IF(OR(F3483="",G3483=""),"",IF(G3483&lt;='RETRATO 2027'!$K$5,"CONCLUÍDA",IF(F3483&lt;='RETRATO 2027'!$K$5,"EM ANDAMENTO","A INICIAR")))</f>
        <v>A INICIAR</v>
      </c>
    </row>
    <row r="3484" customFormat="false" ht="15" hidden="false" customHeight="false" outlineLevel="0" collapsed="false">
      <c r="B3484" s="4" t="n">
        <v>26744666</v>
      </c>
      <c r="C3484" s="4" t="s">
        <v>166</v>
      </c>
      <c r="D3484" s="4" t="s">
        <v>433</v>
      </c>
      <c r="E3484" s="4" t="s">
        <v>3774</v>
      </c>
      <c r="F3484" s="127" t="n">
        <v>46829</v>
      </c>
      <c r="G3484" s="127" t="n">
        <v>46839</v>
      </c>
      <c r="H3484" s="127" t="n">
        <v>46293</v>
      </c>
      <c r="I3484" s="4" t="n">
        <v>0</v>
      </c>
      <c r="J3484" s="4" t="n">
        <v>0</v>
      </c>
      <c r="K3484" s="4" t="n">
        <v>0</v>
      </c>
      <c r="M3484" s="2" t="str">
        <f aca="false">IF(C3484="","",IFERROR(INDEX($S$5:$S$304,MATCH(C3484,$R$5:$R$304,0))&amp;"","?"))</f>
        <v>19</v>
      </c>
      <c r="N3484" s="2" t="n">
        <f aca="false">IF(E3484="","",IF(ISNUMBER(SEARCH("SUBSOLO",E3484)),IFERROR(-VALUE(LEFT(E3484,FIND("º",SUBSTITUTE(E3484,"°","º"))-1)),-1),IF(LEFT(E3484,6)="TÉRREO",0,IFERROR(VALUE(LEFT(E3484,FIND("º",SUBSTITUTE(E3484,"°","º"))-1)),""))))</f>
        <v>3</v>
      </c>
      <c r="O3484" s="2" t="str">
        <f aca="false">IF(OR(F3484="",G3484=""),"",IF(G3484&lt;='RETRATO 2027'!$K$5,"CONCLUÍDA",IF(F3484&lt;='RETRATO 2027'!$K$5,"EM ANDAMENTO","A INICIAR")))</f>
        <v>A INICIAR</v>
      </c>
    </row>
    <row r="3485" customFormat="false" ht="15" hidden="false" customHeight="false" outlineLevel="0" collapsed="false">
      <c r="B3485" s="4" t="n">
        <v>26743631</v>
      </c>
      <c r="C3485" s="4" t="s">
        <v>2971</v>
      </c>
      <c r="D3485" s="4" t="s">
        <v>433</v>
      </c>
      <c r="E3485" s="4" t="s">
        <v>3668</v>
      </c>
      <c r="F3485" s="127" t="n">
        <v>46832</v>
      </c>
      <c r="G3485" s="127" t="n">
        <v>46840</v>
      </c>
      <c r="H3485" s="127" t="n">
        <v>46293</v>
      </c>
      <c r="I3485" s="4" t="n">
        <v>0</v>
      </c>
      <c r="J3485" s="4" t="n">
        <v>0</v>
      </c>
      <c r="K3485" s="4" t="n">
        <v>0</v>
      </c>
      <c r="M3485" s="2" t="str">
        <f aca="false">IF(C3485="","",IFERROR(INDEX($S$5:$S$304,MATCH(C3485,$R$5:$R$304,0))&amp;"","?"))</f>
        <v>37</v>
      </c>
      <c r="N3485" s="2" t="n">
        <f aca="false">IF(E3485="","",IF(ISNUMBER(SEARCH("SUBSOLO",E3485)),IFERROR(-VALUE(LEFT(E3485,FIND("º",SUBSTITUTE(E3485,"°","º"))-1)),-1),IF(LEFT(E3485,6)="TÉRREO",0,IFERROR(VALUE(LEFT(E3485,FIND("º",SUBSTITUTE(E3485,"°","º"))-1)),""))))</f>
        <v>4</v>
      </c>
      <c r="O3485" s="2" t="str">
        <f aca="false">IF(OR(F3485="",G3485=""),"",IF(G3485&lt;='RETRATO 2027'!$K$5,"CONCLUÍDA",IF(F3485&lt;='RETRATO 2027'!$K$5,"EM ANDAMENTO","A INICIAR")))</f>
        <v>A INICIAR</v>
      </c>
    </row>
    <row r="3486" customFormat="false" ht="15" hidden="false" customHeight="false" outlineLevel="0" collapsed="false">
      <c r="B3486" s="4" t="n">
        <v>26743593</v>
      </c>
      <c r="C3486" s="4" t="s">
        <v>3032</v>
      </c>
      <c r="D3486" s="4" t="s">
        <v>433</v>
      </c>
      <c r="E3486" s="4" t="s">
        <v>3678</v>
      </c>
      <c r="F3486" s="127" t="n">
        <v>46832</v>
      </c>
      <c r="G3486" s="127" t="n">
        <v>46840</v>
      </c>
      <c r="H3486" s="127" t="n">
        <v>46293</v>
      </c>
      <c r="I3486" s="4" t="n">
        <v>0</v>
      </c>
      <c r="J3486" s="4" t="n">
        <v>0</v>
      </c>
      <c r="K3486" s="4" t="n">
        <v>0</v>
      </c>
      <c r="M3486" s="2" t="str">
        <f aca="false">IF(C3486="","",IFERROR(INDEX($S$5:$S$304,MATCH(C3486,$R$5:$R$304,0))&amp;"","?"))</f>
        <v>35</v>
      </c>
      <c r="N3486" s="2" t="n">
        <f aca="false">IF(E3486="","",IF(ISNUMBER(SEARCH("SUBSOLO",E3486)),IFERROR(-VALUE(LEFT(E3486,FIND("º",SUBSTITUTE(E3486,"°","º"))-1)),-1),IF(LEFT(E3486,6)="TÉRREO",0,IFERROR(VALUE(LEFT(E3486,FIND("º",SUBSTITUTE(E3486,"°","º"))-1)),""))))</f>
        <v>5</v>
      </c>
      <c r="O3486" s="2" t="str">
        <f aca="false">IF(OR(F3486="",G3486=""),"",IF(G3486&lt;='RETRATO 2027'!$K$5,"CONCLUÍDA",IF(F3486&lt;='RETRATO 2027'!$K$5,"EM ANDAMENTO","A INICIAR")))</f>
        <v>A INICIAR</v>
      </c>
    </row>
    <row r="3487" customFormat="false" ht="15" hidden="false" customHeight="false" outlineLevel="0" collapsed="false">
      <c r="B3487" s="4" t="n">
        <v>26743550</v>
      </c>
      <c r="C3487" s="4" t="s">
        <v>3093</v>
      </c>
      <c r="D3487" s="4" t="s">
        <v>433</v>
      </c>
      <c r="E3487" s="4" t="s">
        <v>3685</v>
      </c>
      <c r="F3487" s="127" t="n">
        <v>46832</v>
      </c>
      <c r="G3487" s="127" t="n">
        <v>46840</v>
      </c>
      <c r="H3487" s="127" t="n">
        <v>46293</v>
      </c>
      <c r="I3487" s="4" t="n">
        <v>0</v>
      </c>
      <c r="J3487" s="4" t="n">
        <v>0</v>
      </c>
      <c r="K3487" s="4" t="n">
        <v>0</v>
      </c>
      <c r="M3487" s="2" t="str">
        <f aca="false">IF(C3487="","",IFERROR(INDEX($S$5:$S$304,MATCH(C3487,$R$5:$R$304,0))&amp;"","?"))</f>
        <v>34</v>
      </c>
      <c r="N3487" s="2" t="n">
        <f aca="false">IF(E3487="","",IF(ISNUMBER(SEARCH("SUBSOLO",E3487)),IFERROR(-VALUE(LEFT(E3487,FIND("º",SUBSTITUTE(E3487,"°","º"))-1)),-1),IF(LEFT(E3487,6)="TÉRREO",0,IFERROR(VALUE(LEFT(E3487,FIND("º",SUBSTITUTE(E3487,"°","º"))-1)),""))))</f>
        <v>6</v>
      </c>
      <c r="O3487" s="2" t="str">
        <f aca="false">IF(OR(F3487="",G3487=""),"",IF(G3487&lt;='RETRATO 2027'!$K$5,"CONCLUÍDA",IF(F3487&lt;='RETRATO 2027'!$K$5,"EM ANDAMENTO","A INICIAR")))</f>
        <v>A INICIAR</v>
      </c>
    </row>
    <row r="3488" customFormat="false" ht="15" hidden="false" customHeight="false" outlineLevel="0" collapsed="false">
      <c r="B3488" s="4" t="n">
        <v>26743572</v>
      </c>
      <c r="C3488" s="4" t="s">
        <v>2965</v>
      </c>
      <c r="D3488" s="4" t="s">
        <v>433</v>
      </c>
      <c r="E3488" s="4" t="s">
        <v>3685</v>
      </c>
      <c r="F3488" s="127" t="n">
        <v>46832</v>
      </c>
      <c r="G3488" s="127" t="n">
        <v>46840</v>
      </c>
      <c r="H3488" s="127" t="n">
        <v>46293</v>
      </c>
      <c r="I3488" s="4" t="n">
        <v>0</v>
      </c>
      <c r="J3488" s="4" t="n">
        <v>0</v>
      </c>
      <c r="K3488" s="4" t="n">
        <v>0</v>
      </c>
      <c r="M3488" s="2" t="str">
        <f aca="false">IF(C3488="","",IFERROR(INDEX($S$5:$S$304,MATCH(C3488,$R$5:$R$304,0))&amp;"","?"))</f>
        <v>20</v>
      </c>
      <c r="N3488" s="2" t="n">
        <f aca="false">IF(E3488="","",IF(ISNUMBER(SEARCH("SUBSOLO",E3488)),IFERROR(-VALUE(LEFT(E3488,FIND("º",SUBSTITUTE(E3488,"°","º"))-1)),-1),IF(LEFT(E3488,6)="TÉRREO",0,IFERROR(VALUE(LEFT(E3488,FIND("º",SUBSTITUTE(E3488,"°","º"))-1)),""))))</f>
        <v>6</v>
      </c>
      <c r="O3488" s="2" t="str">
        <f aca="false">IF(OR(F3488="",G3488=""),"",IF(G3488&lt;='RETRATO 2027'!$K$5,"CONCLUÍDA",IF(F3488&lt;='RETRATO 2027'!$K$5,"EM ANDAMENTO","A INICIAR")))</f>
        <v>A INICIAR</v>
      </c>
    </row>
    <row r="3489" customFormat="false" ht="15" hidden="false" customHeight="false" outlineLevel="0" collapsed="false">
      <c r="B3489" s="4" t="n">
        <v>26743512</v>
      </c>
      <c r="C3489" s="4" t="s">
        <v>3021</v>
      </c>
      <c r="D3489" s="4" t="s">
        <v>433</v>
      </c>
      <c r="E3489" s="4" t="s">
        <v>3686</v>
      </c>
      <c r="F3489" s="127" t="n">
        <v>46832</v>
      </c>
      <c r="G3489" s="127" t="n">
        <v>46840</v>
      </c>
      <c r="H3489" s="127" t="n">
        <v>46293</v>
      </c>
      <c r="I3489" s="4" t="n">
        <v>0</v>
      </c>
      <c r="J3489" s="4" t="n">
        <v>0</v>
      </c>
      <c r="K3489" s="4" t="n">
        <v>0</v>
      </c>
      <c r="M3489" s="2" t="str">
        <f aca="false">IF(C3489="","",IFERROR(INDEX($S$5:$S$304,MATCH(C3489,$R$5:$R$304,0))&amp;"","?"))</f>
        <v>35</v>
      </c>
      <c r="N3489" s="2" t="n">
        <f aca="false">IF(E3489="","",IF(ISNUMBER(SEARCH("SUBSOLO",E3489)),IFERROR(-VALUE(LEFT(E3489,FIND("º",SUBSTITUTE(E3489,"°","º"))-1)),-1),IF(LEFT(E3489,6)="TÉRREO",0,IFERROR(VALUE(LEFT(E3489,FIND("º",SUBSTITUTE(E3489,"°","º"))-1)),""))))</f>
        <v>7</v>
      </c>
      <c r="O3489" s="2" t="str">
        <f aca="false">IF(OR(F3489="",G3489=""),"",IF(G3489&lt;='RETRATO 2027'!$K$5,"CONCLUÍDA",IF(F3489&lt;='RETRATO 2027'!$K$5,"EM ANDAMENTO","A INICIAR")))</f>
        <v>A INICIAR</v>
      </c>
    </row>
    <row r="3490" customFormat="false" ht="15" hidden="false" customHeight="false" outlineLevel="0" collapsed="false">
      <c r="B3490" s="4" t="n">
        <v>26743477</v>
      </c>
      <c r="C3490" s="4" t="s">
        <v>3006</v>
      </c>
      <c r="D3490" s="4" t="s">
        <v>433</v>
      </c>
      <c r="E3490" s="4" t="s">
        <v>3706</v>
      </c>
      <c r="F3490" s="127" t="n">
        <v>46832</v>
      </c>
      <c r="G3490" s="127" t="n">
        <v>46840</v>
      </c>
      <c r="H3490" s="127" t="n">
        <v>46293</v>
      </c>
      <c r="I3490" s="4" t="n">
        <v>0</v>
      </c>
      <c r="J3490" s="4" t="n">
        <v>0</v>
      </c>
      <c r="K3490" s="4" t="n">
        <v>0</v>
      </c>
      <c r="M3490" s="2" t="str">
        <f aca="false">IF(C3490="","",IFERROR(INDEX($S$5:$S$304,MATCH(C3490,$R$5:$R$304,0))&amp;"","?"))</f>
        <v>37</v>
      </c>
      <c r="N3490" s="2" t="n">
        <f aca="false">IF(E3490="","",IF(ISNUMBER(SEARCH("SUBSOLO",E3490)),IFERROR(-VALUE(LEFT(E3490,FIND("º",SUBSTITUTE(E3490,"°","º"))-1)),-1),IF(LEFT(E3490,6)="TÉRREO",0,IFERROR(VALUE(LEFT(E3490,FIND("º",SUBSTITUTE(E3490,"°","º"))-1)),""))))</f>
        <v>8</v>
      </c>
      <c r="O3490" s="2" t="str">
        <f aca="false">IF(OR(F3490="",G3490=""),"",IF(G3490&lt;='RETRATO 2027'!$K$5,"CONCLUÍDA",IF(F3490&lt;='RETRATO 2027'!$K$5,"EM ANDAMENTO","A INICIAR")))</f>
        <v>A INICIAR</v>
      </c>
    </row>
    <row r="3491" customFormat="false" ht="15" hidden="false" customHeight="false" outlineLevel="0" collapsed="false">
      <c r="B3491" s="4" t="n">
        <v>26743442</v>
      </c>
      <c r="C3491" s="4" t="s">
        <v>2962</v>
      </c>
      <c r="D3491" s="4" t="s">
        <v>433</v>
      </c>
      <c r="E3491" s="4" t="s">
        <v>3716</v>
      </c>
      <c r="F3491" s="127" t="n">
        <v>46832</v>
      </c>
      <c r="G3491" s="127" t="n">
        <v>46840</v>
      </c>
      <c r="H3491" s="127" t="n">
        <v>46293</v>
      </c>
      <c r="I3491" s="4" t="n">
        <v>0</v>
      </c>
      <c r="J3491" s="4" t="n">
        <v>0</v>
      </c>
      <c r="K3491" s="4" t="n">
        <v>0</v>
      </c>
      <c r="M3491" s="2" t="str">
        <f aca="false">IF(C3491="","",IFERROR(INDEX($S$5:$S$304,MATCH(C3491,$R$5:$R$304,0))&amp;"","?"))</f>
        <v>34</v>
      </c>
      <c r="N3491" s="2" t="n">
        <f aca="false">IF(E3491="","",IF(ISNUMBER(SEARCH("SUBSOLO",E3491)),IFERROR(-VALUE(LEFT(E3491,FIND("º",SUBSTITUTE(E3491,"°","º"))-1)),-1),IF(LEFT(E3491,6)="TÉRREO",0,IFERROR(VALUE(LEFT(E3491,FIND("º",SUBSTITUTE(E3491,"°","º"))-1)),""))))</f>
        <v>9</v>
      </c>
      <c r="O3491" s="2" t="str">
        <f aca="false">IF(OR(F3491="",G3491=""),"",IF(G3491&lt;='RETRATO 2027'!$K$5,"CONCLUÍDA",IF(F3491&lt;='RETRATO 2027'!$K$5,"EM ANDAMENTO","A INICIAR")))</f>
        <v>A INICIAR</v>
      </c>
    </row>
    <row r="3492" customFormat="false" ht="15" hidden="false" customHeight="false" outlineLevel="0" collapsed="false">
      <c r="B3492" s="4" t="n">
        <v>26743447</v>
      </c>
      <c r="C3492" s="4" t="s">
        <v>3088</v>
      </c>
      <c r="D3492" s="4" t="s">
        <v>433</v>
      </c>
      <c r="E3492" s="4" t="s">
        <v>3716</v>
      </c>
      <c r="F3492" s="127" t="n">
        <v>46832</v>
      </c>
      <c r="G3492" s="127" t="n">
        <v>46840</v>
      </c>
      <c r="H3492" s="127" t="n">
        <v>46293</v>
      </c>
      <c r="I3492" s="4" t="n">
        <v>0</v>
      </c>
      <c r="J3492" s="4" t="n">
        <v>0</v>
      </c>
      <c r="K3492" s="4" t="n">
        <v>0</v>
      </c>
      <c r="M3492" s="2" t="str">
        <f aca="false">IF(C3492="","",IFERROR(INDEX($S$5:$S$304,MATCH(C3492,$R$5:$R$304,0))&amp;"","?"))</f>
        <v>20</v>
      </c>
      <c r="N3492" s="2" t="n">
        <f aca="false">IF(E3492="","",IF(ISNUMBER(SEARCH("SUBSOLO",E3492)),IFERROR(-VALUE(LEFT(E3492,FIND("º",SUBSTITUTE(E3492,"°","º"))-1)),-1),IF(LEFT(E3492,6)="TÉRREO",0,IFERROR(VALUE(LEFT(E3492,FIND("º",SUBSTITUTE(E3492,"°","º"))-1)),""))))</f>
        <v>9</v>
      </c>
      <c r="O3492" s="2" t="str">
        <f aca="false">IF(OR(F3492="",G3492=""),"",IF(G3492&lt;='RETRATO 2027'!$K$5,"CONCLUÍDA",IF(F3492&lt;='RETRATO 2027'!$K$5,"EM ANDAMENTO","A INICIAR")))</f>
        <v>A INICIAR</v>
      </c>
    </row>
    <row r="3493" customFormat="false" ht="15" hidden="false" customHeight="false" outlineLevel="0" collapsed="false">
      <c r="B3493" s="4" t="n">
        <v>26743466</v>
      </c>
      <c r="C3493" s="4" t="s">
        <v>3009</v>
      </c>
      <c r="D3493" s="4" t="s">
        <v>433</v>
      </c>
      <c r="E3493" s="4" t="s">
        <v>3716</v>
      </c>
      <c r="F3493" s="127" t="n">
        <v>46832</v>
      </c>
      <c r="G3493" s="127" t="n">
        <v>46840</v>
      </c>
      <c r="H3493" s="127" t="n">
        <v>46293</v>
      </c>
      <c r="I3493" s="4" t="n">
        <v>0</v>
      </c>
      <c r="J3493" s="4" t="n">
        <v>0</v>
      </c>
      <c r="K3493" s="4" t="n">
        <v>0</v>
      </c>
      <c r="M3493" s="2" t="str">
        <f aca="false">IF(C3493="","",IFERROR(INDEX($S$5:$S$304,MATCH(C3493,$R$5:$R$304,0))&amp;"","?"))</f>
        <v>23</v>
      </c>
      <c r="N3493" s="2" t="n">
        <f aca="false">IF(E3493="","",IF(ISNUMBER(SEARCH("SUBSOLO",E3493)),IFERROR(-VALUE(LEFT(E3493,FIND("º",SUBSTITUTE(E3493,"°","º"))-1)),-1),IF(LEFT(E3493,6)="TÉRREO",0,IFERROR(VALUE(LEFT(E3493,FIND("º",SUBSTITUTE(E3493,"°","º"))-1)),""))))</f>
        <v>9</v>
      </c>
      <c r="O3493" s="2" t="str">
        <f aca="false">IF(OR(F3493="",G3493=""),"",IF(G3493&lt;='RETRATO 2027'!$K$5,"CONCLUÍDA",IF(F3493&lt;='RETRATO 2027'!$K$5,"EM ANDAMENTO","A INICIAR")))</f>
        <v>A INICIAR</v>
      </c>
    </row>
    <row r="3494" customFormat="false" ht="15" hidden="false" customHeight="false" outlineLevel="0" collapsed="false">
      <c r="B3494" s="4" t="n">
        <v>26743404</v>
      </c>
      <c r="C3494" s="4" t="s">
        <v>3082</v>
      </c>
      <c r="D3494" s="4" t="s">
        <v>433</v>
      </c>
      <c r="E3494" s="4" t="s">
        <v>3722</v>
      </c>
      <c r="F3494" s="127" t="n">
        <v>46832</v>
      </c>
      <c r="G3494" s="127" t="n">
        <v>46840</v>
      </c>
      <c r="H3494" s="127" t="n">
        <v>46293</v>
      </c>
      <c r="I3494" s="4" t="n">
        <v>0</v>
      </c>
      <c r="J3494" s="4" t="n">
        <v>0</v>
      </c>
      <c r="K3494" s="4" t="n">
        <v>0</v>
      </c>
      <c r="M3494" s="2" t="str">
        <f aca="false">IF(C3494="","",IFERROR(INDEX($S$5:$S$304,MATCH(C3494,$R$5:$R$304,0))&amp;"","?"))</f>
        <v>30</v>
      </c>
      <c r="N3494" s="2" t="n">
        <f aca="false">IF(E3494="","",IF(ISNUMBER(SEARCH("SUBSOLO",E3494)),IFERROR(-VALUE(LEFT(E3494,FIND("º",SUBSTITUTE(E3494,"°","º"))-1)),-1),IF(LEFT(E3494,6)="TÉRREO",0,IFERROR(VALUE(LEFT(E3494,FIND("º",SUBSTITUTE(E3494,"°","º"))-1)),""))))</f>
        <v>10</v>
      </c>
      <c r="O3494" s="2" t="str">
        <f aca="false">IF(OR(F3494="",G3494=""),"",IF(G3494&lt;='RETRATO 2027'!$K$5,"CONCLUÍDA",IF(F3494&lt;='RETRATO 2027'!$K$5,"EM ANDAMENTO","A INICIAR")))</f>
        <v>A INICIAR</v>
      </c>
    </row>
    <row r="3495" customFormat="false" ht="15" hidden="false" customHeight="false" outlineLevel="0" collapsed="false">
      <c r="B3495" s="4" t="n">
        <v>26743397</v>
      </c>
      <c r="C3495" s="4" t="s">
        <v>3079</v>
      </c>
      <c r="D3495" s="4" t="s">
        <v>433</v>
      </c>
      <c r="E3495" s="4" t="s">
        <v>3762</v>
      </c>
      <c r="F3495" s="127" t="n">
        <v>46832</v>
      </c>
      <c r="G3495" s="127" t="n">
        <v>46840</v>
      </c>
      <c r="H3495" s="127" t="n">
        <v>46293</v>
      </c>
      <c r="I3495" s="4" t="n">
        <v>0</v>
      </c>
      <c r="J3495" s="4" t="n">
        <v>0</v>
      </c>
      <c r="K3495" s="4" t="n">
        <v>0</v>
      </c>
      <c r="M3495" s="2" t="str">
        <f aca="false">IF(C3495="","",IFERROR(INDEX($S$5:$S$304,MATCH(C3495,$R$5:$R$304,0))&amp;"","?"))</f>
        <v>25</v>
      </c>
      <c r="N3495" s="2" t="n">
        <f aca="false">IF(E3495="","",IF(ISNUMBER(SEARCH("SUBSOLO",E3495)),IFERROR(-VALUE(LEFT(E3495,FIND("º",SUBSTITUTE(E3495,"°","º"))-1)),-1),IF(LEFT(E3495,6)="TÉRREO",0,IFERROR(VALUE(LEFT(E3495,FIND("º",SUBSTITUTE(E3495,"°","º"))-1)),""))))</f>
        <v>11</v>
      </c>
      <c r="O3495" s="2" t="str">
        <f aca="false">IF(OR(F3495="",G3495=""),"",IF(G3495&lt;='RETRATO 2027'!$K$5,"CONCLUÍDA",IF(F3495&lt;='RETRATO 2027'!$K$5,"EM ANDAMENTO","A INICIAR")))</f>
        <v>A INICIAR</v>
      </c>
    </row>
    <row r="3496" customFormat="false" ht="15" hidden="false" customHeight="false" outlineLevel="0" collapsed="false">
      <c r="B3496" s="4" t="n">
        <v>26743358</v>
      </c>
      <c r="C3496" s="4" t="s">
        <v>3073</v>
      </c>
      <c r="D3496" s="4" t="s">
        <v>433</v>
      </c>
      <c r="E3496" s="4" t="s">
        <v>3763</v>
      </c>
      <c r="F3496" s="127" t="n">
        <v>46832</v>
      </c>
      <c r="G3496" s="127" t="n">
        <v>46840</v>
      </c>
      <c r="H3496" s="127" t="n">
        <v>46293</v>
      </c>
      <c r="I3496" s="4" t="n">
        <v>0</v>
      </c>
      <c r="J3496" s="4" t="n">
        <v>0</v>
      </c>
      <c r="K3496" s="4" t="n">
        <v>0</v>
      </c>
      <c r="M3496" s="2" t="str">
        <f aca="false">IF(C3496="","",IFERROR(INDEX($S$5:$S$304,MATCH(C3496,$R$5:$R$304,0))&amp;"","?"))</f>
        <v>30</v>
      </c>
      <c r="N3496" s="2" t="n">
        <f aca="false">IF(E3496="","",IF(ISNUMBER(SEARCH("SUBSOLO",E3496)),IFERROR(-VALUE(LEFT(E3496,FIND("º",SUBSTITUTE(E3496,"°","º"))-1)),-1),IF(LEFT(E3496,6)="TÉRREO",0,IFERROR(VALUE(LEFT(E3496,FIND("º",SUBSTITUTE(E3496,"°","º"))-1)),""))))</f>
        <v>12</v>
      </c>
      <c r="O3496" s="2" t="str">
        <f aca="false">IF(OR(F3496="",G3496=""),"",IF(G3496&lt;='RETRATO 2027'!$K$5,"CONCLUÍDA",IF(F3496&lt;='RETRATO 2027'!$K$5,"EM ANDAMENTO","A INICIAR")))</f>
        <v>A INICIAR</v>
      </c>
    </row>
    <row r="3497" customFormat="false" ht="15" hidden="false" customHeight="false" outlineLevel="0" collapsed="false">
      <c r="B3497" s="4" t="n">
        <v>26743320</v>
      </c>
      <c r="C3497" s="4" t="s">
        <v>3055</v>
      </c>
      <c r="D3497" s="4" t="s">
        <v>433</v>
      </c>
      <c r="E3497" s="4" t="s">
        <v>3764</v>
      </c>
      <c r="F3497" s="127" t="n">
        <v>46832</v>
      </c>
      <c r="G3497" s="127" t="n">
        <v>46840</v>
      </c>
      <c r="H3497" s="127" t="n">
        <v>46293</v>
      </c>
      <c r="I3497" s="4" t="n">
        <v>0</v>
      </c>
      <c r="J3497" s="4" t="n">
        <v>0</v>
      </c>
      <c r="K3497" s="4" t="n">
        <v>0</v>
      </c>
      <c r="M3497" s="2" t="str">
        <f aca="false">IF(C3497="","",IFERROR(INDEX($S$5:$S$304,MATCH(C3497,$R$5:$R$304,0))&amp;"","?"))</f>
        <v>25</v>
      </c>
      <c r="N3497" s="2" t="n">
        <f aca="false">IF(E3497="","",IF(ISNUMBER(SEARCH("SUBSOLO",E3497)),IFERROR(-VALUE(LEFT(E3497,FIND("º",SUBSTITUTE(E3497,"°","º"))-1)),-1),IF(LEFT(E3497,6)="TÉRREO",0,IFERROR(VALUE(LEFT(E3497,FIND("º",SUBSTITUTE(E3497,"°","º"))-1)),""))))</f>
        <v>13</v>
      </c>
      <c r="O3497" s="2" t="str">
        <f aca="false">IF(OR(F3497="",G3497=""),"",IF(G3497&lt;='RETRATO 2027'!$K$5,"CONCLUÍDA",IF(F3497&lt;='RETRATO 2027'!$K$5,"EM ANDAMENTO","A INICIAR")))</f>
        <v>A INICIAR</v>
      </c>
    </row>
    <row r="3498" customFormat="false" ht="15" hidden="false" customHeight="false" outlineLevel="0" collapsed="false">
      <c r="B3498" s="4" t="n">
        <v>26707581</v>
      </c>
      <c r="C3498" s="4" t="s">
        <v>2948</v>
      </c>
      <c r="D3498" s="4" t="s">
        <v>433</v>
      </c>
      <c r="E3498" s="4" t="s">
        <v>3822</v>
      </c>
      <c r="F3498" s="127" t="n">
        <v>46833</v>
      </c>
      <c r="G3498" s="127" t="n">
        <v>46853</v>
      </c>
      <c r="H3498" s="127" t="n">
        <v>46293</v>
      </c>
      <c r="I3498" s="4" t="n">
        <v>0</v>
      </c>
      <c r="J3498" s="4" t="n">
        <v>0</v>
      </c>
      <c r="K3498" s="4" t="n">
        <v>0</v>
      </c>
      <c r="M3498" s="2" t="str">
        <f aca="false">IF(C3498="","",IFERROR(INDEX($S$5:$S$304,MATCH(C3498,$R$5:$R$304,0))&amp;"","?"))</f>
        <v>25</v>
      </c>
      <c r="N3498" s="2" t="n">
        <f aca="false">IF(E3498="","",IF(ISNUMBER(SEARCH("SUBSOLO",E3498)),IFERROR(-VALUE(LEFT(E3498,FIND("º",SUBSTITUTE(E3498,"°","º"))-1)),-1),IF(LEFT(E3498,6)="TÉRREO",0,IFERROR(VALUE(LEFT(E3498,FIND("º",SUBSTITUTE(E3498,"°","º"))-1)),""))))</f>
        <v>2</v>
      </c>
      <c r="O3498" s="2" t="str">
        <f aca="false">IF(OR(F3498="",G3498=""),"",IF(G3498&lt;='RETRATO 2027'!$K$5,"CONCLUÍDA",IF(F3498&lt;='RETRATO 2027'!$K$5,"EM ANDAMENTO","A INICIAR")))</f>
        <v>A INICIAR</v>
      </c>
    </row>
    <row r="3499" customFormat="false" ht="15" hidden="false" customHeight="false" outlineLevel="0" collapsed="false">
      <c r="B3499" s="4" t="n">
        <v>26745020</v>
      </c>
      <c r="C3499" s="4" t="s">
        <v>3021</v>
      </c>
      <c r="D3499" s="4" t="s">
        <v>433</v>
      </c>
      <c r="E3499" s="4" t="s">
        <v>3828</v>
      </c>
      <c r="F3499" s="127" t="n">
        <v>46833</v>
      </c>
      <c r="G3499" s="127" t="n">
        <v>46842</v>
      </c>
      <c r="H3499" s="127" t="n">
        <v>46293</v>
      </c>
      <c r="I3499" s="4" t="n">
        <v>0</v>
      </c>
      <c r="J3499" s="4" t="n">
        <v>0</v>
      </c>
      <c r="K3499" s="4" t="n">
        <v>0</v>
      </c>
      <c r="M3499" s="2" t="str">
        <f aca="false">IF(C3499="","",IFERROR(INDEX($S$5:$S$304,MATCH(C3499,$R$5:$R$304,0))&amp;"","?"))</f>
        <v>35</v>
      </c>
      <c r="N3499" s="2" t="n">
        <f aca="false">IF(E3499="","",IF(ISNUMBER(SEARCH("SUBSOLO",E3499)),IFERROR(-VALUE(LEFT(E3499,FIND("º",SUBSTITUTE(E3499,"°","º"))-1)),-1),IF(LEFT(E3499,6)="TÉRREO",0,IFERROR(VALUE(LEFT(E3499,FIND("º",SUBSTITUTE(E3499,"°","º"))-1)),""))))</f>
        <v>2</v>
      </c>
      <c r="O3499" s="2" t="str">
        <f aca="false">IF(OR(F3499="",G3499=""),"",IF(G3499&lt;='RETRATO 2027'!$K$5,"CONCLUÍDA",IF(F3499&lt;='RETRATO 2027'!$K$5,"EM ANDAMENTO","A INICIAR")))</f>
        <v>A INICIAR</v>
      </c>
    </row>
    <row r="3500" customFormat="false" ht="15" hidden="false" customHeight="false" outlineLevel="0" collapsed="false">
      <c r="B3500" s="4" t="n">
        <v>26744778</v>
      </c>
      <c r="C3500" s="4" t="s">
        <v>2948</v>
      </c>
      <c r="D3500" s="4" t="s">
        <v>433</v>
      </c>
      <c r="E3500" s="4" t="s">
        <v>3769</v>
      </c>
      <c r="F3500" s="127" t="n">
        <v>46833</v>
      </c>
      <c r="G3500" s="127" t="n">
        <v>46840</v>
      </c>
      <c r="H3500" s="127" t="n">
        <v>46293</v>
      </c>
      <c r="I3500" s="4" t="n">
        <v>0</v>
      </c>
      <c r="J3500" s="4" t="n">
        <v>0</v>
      </c>
      <c r="K3500" s="4" t="n">
        <v>0</v>
      </c>
      <c r="M3500" s="2" t="str">
        <f aca="false">IF(C3500="","",IFERROR(INDEX($S$5:$S$304,MATCH(C3500,$R$5:$R$304,0))&amp;"","?"))</f>
        <v>25</v>
      </c>
      <c r="N3500" s="2" t="n">
        <f aca="false">IF(E3500="","",IF(ISNUMBER(SEARCH("SUBSOLO",E3500)),IFERROR(-VALUE(LEFT(E3500,FIND("º",SUBSTITUTE(E3500,"°","º"))-1)),-1),IF(LEFT(E3500,6)="TÉRREO",0,IFERROR(VALUE(LEFT(E3500,FIND("º",SUBSTITUTE(E3500,"°","º"))-1)),""))))</f>
        <v>3</v>
      </c>
      <c r="O3500" s="2" t="str">
        <f aca="false">IF(OR(F3500="",G3500=""),"",IF(G3500&lt;='RETRATO 2027'!$K$5,"CONCLUÍDA",IF(F3500&lt;='RETRATO 2027'!$K$5,"EM ANDAMENTO","A INICIAR")))</f>
        <v>A INICIAR</v>
      </c>
    </row>
    <row r="3501" customFormat="false" ht="15" hidden="false" customHeight="false" outlineLevel="0" collapsed="false">
      <c r="B3501" s="4" t="n">
        <v>26744768</v>
      </c>
      <c r="C3501" s="4" t="s">
        <v>2997</v>
      </c>
      <c r="D3501" s="4" t="s">
        <v>433</v>
      </c>
      <c r="E3501" s="4" t="s">
        <v>3784</v>
      </c>
      <c r="F3501" s="127" t="n">
        <v>46833</v>
      </c>
      <c r="G3501" s="127" t="n">
        <v>46840</v>
      </c>
      <c r="H3501" s="127" t="n">
        <v>46293</v>
      </c>
      <c r="I3501" s="4" t="n">
        <v>0</v>
      </c>
      <c r="J3501" s="4" t="n">
        <v>0</v>
      </c>
      <c r="K3501" s="4" t="n">
        <v>0</v>
      </c>
      <c r="M3501" s="2" t="str">
        <f aca="false">IF(C3501="","",IFERROR(INDEX($S$5:$S$304,MATCH(C3501,$R$5:$R$304,0))&amp;"","?"))</f>
        <v>35</v>
      </c>
      <c r="N3501" s="2" t="n">
        <f aca="false">IF(E3501="","",IF(ISNUMBER(SEARCH("SUBSOLO",E3501)),IFERROR(-VALUE(LEFT(E3501,FIND("º",SUBSTITUTE(E3501,"°","º"))-1)),-1),IF(LEFT(E3501,6)="TÉRREO",0,IFERROR(VALUE(LEFT(E3501,FIND("º",SUBSTITUTE(E3501,"°","º"))-1)),""))))</f>
        <v>3</v>
      </c>
      <c r="O3501" s="2" t="str">
        <f aca="false">IF(OR(F3501="",G3501=""),"",IF(G3501&lt;='RETRATO 2027'!$K$5,"CONCLUÍDA",IF(F3501&lt;='RETRATO 2027'!$K$5,"EM ANDAMENTO","A INICIAR")))</f>
        <v>A INICIAR</v>
      </c>
    </row>
    <row r="3502" customFormat="false" ht="15" hidden="false" customHeight="false" outlineLevel="0" collapsed="false">
      <c r="B3502" s="4" t="n">
        <v>26744729</v>
      </c>
      <c r="C3502" s="4" t="s">
        <v>2980</v>
      </c>
      <c r="D3502" s="4" t="s">
        <v>433</v>
      </c>
      <c r="E3502" s="4" t="s">
        <v>3800</v>
      </c>
      <c r="F3502" s="127" t="n">
        <v>46833</v>
      </c>
      <c r="G3502" s="127" t="n">
        <v>46840</v>
      </c>
      <c r="H3502" s="127" t="n">
        <v>46293</v>
      </c>
      <c r="I3502" s="4" t="n">
        <v>0</v>
      </c>
      <c r="J3502" s="4" t="n">
        <v>0</v>
      </c>
      <c r="K3502" s="4" t="n">
        <v>0</v>
      </c>
      <c r="M3502" s="2" t="str">
        <f aca="false">IF(C3502="","",IFERROR(INDEX($S$5:$S$304,MATCH(C3502,$R$5:$R$304,0))&amp;"","?"))</f>
        <v>35</v>
      </c>
      <c r="N3502" s="2" t="n">
        <f aca="false">IF(E3502="","",IF(ISNUMBER(SEARCH("SUBSOLO",E3502)),IFERROR(-VALUE(LEFT(E3502,FIND("º",SUBSTITUTE(E3502,"°","º"))-1)),-1),IF(LEFT(E3502,6)="TÉRREO",0,IFERROR(VALUE(LEFT(E3502,FIND("º",SUBSTITUTE(E3502,"°","º"))-1)),""))))</f>
        <v>3</v>
      </c>
      <c r="O3502" s="2" t="str">
        <f aca="false">IF(OR(F3502="",G3502=""),"",IF(G3502&lt;='RETRATO 2027'!$K$5,"CONCLUÍDA",IF(F3502&lt;='RETRATO 2027'!$K$5,"EM ANDAMENTO","A INICIAR")))</f>
        <v>A INICIAR</v>
      </c>
    </row>
    <row r="3503" customFormat="false" ht="15" hidden="false" customHeight="false" outlineLevel="0" collapsed="false">
      <c r="B3503" s="4" t="n">
        <v>26252337</v>
      </c>
      <c r="C3503" s="4" t="s">
        <v>3035</v>
      </c>
      <c r="D3503" s="4" t="s">
        <v>433</v>
      </c>
      <c r="E3503" s="4" t="s">
        <v>3798</v>
      </c>
      <c r="F3503" s="127" t="n">
        <v>46833</v>
      </c>
      <c r="G3503" s="127" t="n">
        <v>46870</v>
      </c>
      <c r="H3503" s="127" t="n">
        <v>46293</v>
      </c>
      <c r="I3503" s="4" t="n">
        <v>0</v>
      </c>
      <c r="J3503" s="4" t="n">
        <v>0</v>
      </c>
      <c r="K3503" s="4" t="n">
        <v>0</v>
      </c>
      <c r="M3503" s="2" t="str">
        <f aca="false">IF(C3503="","",IFERROR(INDEX($S$5:$S$304,MATCH(C3503,$R$5:$R$304,0))&amp;"","?"))</f>
        <v>32</v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>A INICIAR</v>
      </c>
    </row>
    <row r="3504" customFormat="false" ht="15" hidden="false" customHeight="false" outlineLevel="0" collapsed="false">
      <c r="B3504" s="4" t="n">
        <v>26745188</v>
      </c>
      <c r="C3504" s="4" t="s">
        <v>2997</v>
      </c>
      <c r="D3504" s="4" t="s">
        <v>433</v>
      </c>
      <c r="E3504" s="4" t="s">
        <v>3657</v>
      </c>
      <c r="F3504" s="127" t="n">
        <v>46834</v>
      </c>
      <c r="G3504" s="127" t="n">
        <v>46843</v>
      </c>
      <c r="H3504" s="127" t="n">
        <v>46293</v>
      </c>
      <c r="I3504" s="4" t="n">
        <v>0</v>
      </c>
      <c r="J3504" s="4" t="n">
        <v>0</v>
      </c>
      <c r="K3504" s="4" t="n">
        <v>0</v>
      </c>
      <c r="M3504" s="2" t="str">
        <f aca="false">IF(C3504="","",IFERROR(INDEX($S$5:$S$304,MATCH(C3504,$R$5:$R$304,0))&amp;"","?"))</f>
        <v>35</v>
      </c>
      <c r="N3504" s="2" t="n">
        <f aca="false">IF(E3504="","",IF(ISNUMBER(SEARCH("SUBSOLO",E3504)),IFERROR(-VALUE(LEFT(E3504,FIND("º",SUBSTITUTE(E3504,"°","º"))-1)),-1),IF(LEFT(E3504,6)="TÉRREO",0,IFERROR(VALUE(LEFT(E3504,FIND("º",SUBSTITUTE(E3504,"°","º"))-1)),""))))</f>
        <v>-5</v>
      </c>
      <c r="O3504" s="2" t="str">
        <f aca="false">IF(OR(F3504="",G3504=""),"",IF(G3504&lt;='RETRATO 2027'!$K$5,"CONCLUÍDA",IF(F3504&lt;='RETRATO 2027'!$K$5,"EM ANDAMENTO","A INICIAR")))</f>
        <v>A INICIAR</v>
      </c>
    </row>
    <row r="3505" customFormat="false" ht="15" hidden="false" customHeight="false" outlineLevel="0" collapsed="false">
      <c r="B3505" s="4" t="n">
        <v>26707620</v>
      </c>
      <c r="C3505" s="4" t="s">
        <v>3021</v>
      </c>
      <c r="D3505" s="4" t="s">
        <v>433</v>
      </c>
      <c r="E3505" s="4" t="s">
        <v>3812</v>
      </c>
      <c r="F3505" s="127" t="n">
        <v>46834</v>
      </c>
      <c r="G3505" s="127" t="n">
        <v>46854</v>
      </c>
      <c r="H3505" s="127" t="n">
        <v>46293</v>
      </c>
      <c r="I3505" s="4" t="n">
        <v>0</v>
      </c>
      <c r="J3505" s="4" t="n">
        <v>0</v>
      </c>
      <c r="K3505" s="4" t="n">
        <v>0</v>
      </c>
      <c r="M3505" s="2" t="str">
        <f aca="false">IF(C3505="","",IFERROR(INDEX($S$5:$S$304,MATCH(C3505,$R$5:$R$304,0))&amp;"","?"))</f>
        <v>35</v>
      </c>
      <c r="N3505" s="2" t="n">
        <f aca="false">IF(E3505="","",IF(ISNUMBER(SEARCH("SUBSOLO",E3505)),IFERROR(-VALUE(LEFT(E3505,FIND("º",SUBSTITUTE(E3505,"°","º"))-1)),-1),IF(LEFT(E3505,6)="TÉRREO",0,IFERROR(VALUE(LEFT(E3505,FIND("º",SUBSTITUTE(E3505,"°","º"))-1)),""))))</f>
        <v>2</v>
      </c>
      <c r="O3505" s="2" t="str">
        <f aca="false">IF(OR(F3505="",G3505=""),"",IF(G3505&lt;='RETRATO 2027'!$K$5,"CONCLUÍDA",IF(F3505&lt;='RETRATO 2027'!$K$5,"EM ANDAMENTO","A INICIAR")))</f>
        <v>A INICIAR</v>
      </c>
    </row>
    <row r="3506" customFormat="false" ht="15" hidden="false" customHeight="false" outlineLevel="0" collapsed="false">
      <c r="B3506" s="4" t="n">
        <v>26744992</v>
      </c>
      <c r="C3506" s="4" t="s">
        <v>3032</v>
      </c>
      <c r="D3506" s="4" t="s">
        <v>433</v>
      </c>
      <c r="E3506" s="4" t="s">
        <v>3662</v>
      </c>
      <c r="F3506" s="127" t="n">
        <v>46835</v>
      </c>
      <c r="G3506" s="127" t="n">
        <v>46846</v>
      </c>
      <c r="H3506" s="127" t="n">
        <v>46293</v>
      </c>
      <c r="I3506" s="4" t="n">
        <v>0</v>
      </c>
      <c r="J3506" s="4" t="n">
        <v>0</v>
      </c>
      <c r="K3506" s="4" t="n">
        <v>0</v>
      </c>
      <c r="M3506" s="2" t="str">
        <f aca="false">IF(C3506="","",IFERROR(INDEX($S$5:$S$304,MATCH(C3506,$R$5:$R$304,0))&amp;"","?"))</f>
        <v>35</v>
      </c>
      <c r="N3506" s="2" t="n">
        <f aca="false">IF(E3506="","",IF(ISNUMBER(SEARCH("SUBSOLO",E3506)),IFERROR(-VALUE(LEFT(E3506,FIND("º",SUBSTITUTE(E3506,"°","º"))-1)),-1),IF(LEFT(E3506,6)="TÉRREO",0,IFERROR(VALUE(LEFT(E3506,FIND("º",SUBSTITUTE(E3506,"°","º"))-1)),""))))</f>
        <v>-5</v>
      </c>
      <c r="O3506" s="2" t="str">
        <f aca="false">IF(OR(F3506="",G3506=""),"",IF(G3506&lt;='RETRATO 2027'!$K$5,"CONCLUÍDA",IF(F3506&lt;='RETRATO 2027'!$K$5,"EM ANDAMENTO","A INICIAR")))</f>
        <v>A INICIAR</v>
      </c>
    </row>
    <row r="3507" customFormat="false" ht="15" hidden="false" customHeight="false" outlineLevel="0" collapsed="false">
      <c r="B3507" s="4" t="n">
        <v>26744696</v>
      </c>
      <c r="C3507" s="4" t="s">
        <v>208</v>
      </c>
      <c r="D3507" s="4" t="s">
        <v>433</v>
      </c>
      <c r="E3507" s="4" t="s">
        <v>3810</v>
      </c>
      <c r="F3507" s="127" t="n">
        <v>46835</v>
      </c>
      <c r="G3507" s="127" t="n">
        <v>46842</v>
      </c>
      <c r="H3507" s="127" t="n">
        <v>46293</v>
      </c>
      <c r="I3507" s="4" t="n">
        <v>0</v>
      </c>
      <c r="J3507" s="4" t="n">
        <v>0</v>
      </c>
      <c r="K3507" s="4" t="n">
        <v>0</v>
      </c>
      <c r="M3507" s="2" t="str">
        <f aca="false">IF(C3507="","",IFERROR(INDEX($S$5:$S$304,MATCH(C3507,$R$5:$R$304,0))&amp;"","?"))</f>
        <v>33</v>
      </c>
      <c r="N3507" s="2" t="n">
        <f aca="false">IF(E3507="","",IF(ISNUMBER(SEARCH("SUBSOLO",E3507)),IFERROR(-VALUE(LEFT(E3507,FIND("º",SUBSTITUTE(E3507,"°","º"))-1)),-1),IF(LEFT(E3507,6)="TÉRREO",0,IFERROR(VALUE(LEFT(E3507,FIND("º",SUBSTITUTE(E3507,"°","º"))-1)),""))))</f>
        <v>3</v>
      </c>
      <c r="O3507" s="2" t="str">
        <f aca="false">IF(OR(F3507="",G3507=""),"",IF(G3507&lt;='RETRATO 2027'!$K$5,"CONCLUÍDA",IF(F3507&lt;='RETRATO 2027'!$K$5,"EM ANDAMENTO","A INICIAR")))</f>
        <v>A INICIAR</v>
      </c>
    </row>
    <row r="3508" customFormat="false" ht="15" hidden="false" customHeight="false" outlineLevel="0" collapsed="false">
      <c r="B3508" s="4" t="n">
        <v>26707640</v>
      </c>
      <c r="C3508" s="4" t="s">
        <v>3029</v>
      </c>
      <c r="D3508" s="4" t="s">
        <v>433</v>
      </c>
      <c r="E3508" s="4" t="s">
        <v>3811</v>
      </c>
      <c r="F3508" s="127" t="n">
        <v>46839</v>
      </c>
      <c r="G3508" s="127" t="n">
        <v>46850</v>
      </c>
      <c r="H3508" s="127" t="n">
        <v>46293</v>
      </c>
      <c r="I3508" s="4" t="n">
        <v>0</v>
      </c>
      <c r="J3508" s="4" t="n">
        <v>0</v>
      </c>
      <c r="K3508" s="4" t="n">
        <v>0</v>
      </c>
      <c r="M3508" s="2" t="str">
        <f aca="false">IF(C3508="","",IFERROR(INDEX($S$5:$S$304,MATCH(C3508,$R$5:$R$304,0))&amp;"","?"))</f>
        <v/>
      </c>
      <c r="N3508" s="2" t="n">
        <f aca="false">IF(E3508="","",IF(ISNUMBER(SEARCH("SUBSOLO",E3508)),IFERROR(-VALUE(LEFT(E3508,FIND("º",SUBSTITUTE(E3508,"°","º"))-1)),-1),IF(LEFT(E3508,6)="TÉRREO",0,IFERROR(VALUE(LEFT(E3508,FIND("º",SUBSTITUTE(E3508,"°","º"))-1)),""))))</f>
        <v>2</v>
      </c>
      <c r="O3508" s="2" t="str">
        <f aca="false">IF(OR(F3508="",G3508=""),"",IF(G3508&lt;='RETRATO 2027'!$K$5,"CONCLUÍDA",IF(F3508&lt;='RETRATO 2027'!$K$5,"EM ANDAMENTO","A INICIAR")))</f>
        <v>A INICIAR</v>
      </c>
    </row>
    <row r="3509" customFormat="false" ht="15" hidden="false" customHeight="false" outlineLevel="0" collapsed="false">
      <c r="B3509" s="4" t="n">
        <v>26743762</v>
      </c>
      <c r="C3509" s="4" t="s">
        <v>3063</v>
      </c>
      <c r="D3509" s="4" t="s">
        <v>433</v>
      </c>
      <c r="E3509" s="4" t="s">
        <v>3374</v>
      </c>
      <c r="F3509" s="127" t="n">
        <v>46840</v>
      </c>
      <c r="G3509" s="127" t="n">
        <v>46861</v>
      </c>
      <c r="H3509" s="127" t="n">
        <v>46293</v>
      </c>
      <c r="I3509" s="4" t="n">
        <v>0</v>
      </c>
      <c r="J3509" s="4" t="n">
        <v>0</v>
      </c>
      <c r="K3509" s="4" t="n">
        <v>0</v>
      </c>
      <c r="M3509" s="2" t="str">
        <f aca="false">IF(C3509="","",IFERROR(INDEX($S$5:$S$304,MATCH(C3509,$R$5:$R$304,0))&amp;"","?"))</f>
        <v>31</v>
      </c>
      <c r="N3509" s="2" t="n">
        <f aca="false">IF(E3509="","",IF(ISNUMBER(SEARCH("SUBSOLO",E3509)),IFERROR(-VALUE(LEFT(E3509,FIND("º",SUBSTITUTE(E3509,"°","º"))-1)),-1),IF(LEFT(E3509,6)="TÉRREO",0,IFERROR(VALUE(LEFT(E3509,FIND("º",SUBSTITUTE(E3509,"°","º"))-1)),""))))</f>
        <v>-4</v>
      </c>
      <c r="O3509" s="2" t="str">
        <f aca="false">IF(OR(F3509="",G3509=""),"",IF(G3509&lt;='RETRATO 2027'!$K$5,"CONCLUÍDA",IF(F3509&lt;='RETRATO 2027'!$K$5,"EM ANDAMENTO","A INICIAR")))</f>
        <v>A INICIAR</v>
      </c>
    </row>
    <row r="3510" customFormat="false" ht="15" hidden="false" customHeight="false" outlineLevel="0" collapsed="false">
      <c r="B3510" s="4" t="n">
        <v>26744667</v>
      </c>
      <c r="C3510" s="4" t="s">
        <v>2814</v>
      </c>
      <c r="D3510" s="4" t="s">
        <v>433</v>
      </c>
      <c r="E3510" s="4" t="s">
        <v>3774</v>
      </c>
      <c r="F3510" s="127" t="n">
        <v>46840</v>
      </c>
      <c r="G3510" s="127" t="n">
        <v>46853</v>
      </c>
      <c r="H3510" s="127" t="n">
        <v>46293</v>
      </c>
      <c r="I3510" s="4" t="n">
        <v>0</v>
      </c>
      <c r="J3510" s="4" t="n">
        <v>0</v>
      </c>
      <c r="K3510" s="4" t="n">
        <v>0</v>
      </c>
      <c r="M3510" s="2" t="str">
        <f aca="false">IF(C3510="","",IFERROR(INDEX($S$5:$S$304,MATCH(C3510,$R$5:$R$304,0))&amp;"","?"))</f>
        <v>28</v>
      </c>
      <c r="N3510" s="2" t="n">
        <f aca="false">IF(E3510="","",IF(ISNUMBER(SEARCH("SUBSOLO",E3510)),IFERROR(-VALUE(LEFT(E3510,FIND("º",SUBSTITUTE(E3510,"°","º"))-1)),-1),IF(LEFT(E3510,6)="TÉRREO",0,IFERROR(VALUE(LEFT(E3510,FIND("º",SUBSTITUTE(E3510,"°","º"))-1)),""))))</f>
        <v>3</v>
      </c>
      <c r="O3510" s="2" t="str">
        <f aca="false">IF(OR(F3510="",G3510=""),"",IF(G3510&lt;='RETRATO 2027'!$K$5,"CONCLUÍDA",IF(F3510&lt;='RETRATO 2027'!$K$5,"EM ANDAMENTO","A INICIAR")))</f>
        <v>A INICIAR</v>
      </c>
    </row>
    <row r="3511" customFormat="false" ht="15" hidden="false" customHeight="false" outlineLevel="0" collapsed="false">
      <c r="B3511" s="4" t="n">
        <v>26744779</v>
      </c>
      <c r="C3511" s="4" t="s">
        <v>3079</v>
      </c>
      <c r="D3511" s="4" t="s">
        <v>433</v>
      </c>
      <c r="E3511" s="4" t="s">
        <v>3769</v>
      </c>
      <c r="F3511" s="127" t="n">
        <v>46841</v>
      </c>
      <c r="G3511" s="127" t="n">
        <v>46848</v>
      </c>
      <c r="H3511" s="127" t="n">
        <v>46293</v>
      </c>
      <c r="I3511" s="4" t="n">
        <v>0</v>
      </c>
      <c r="J3511" s="4" t="n">
        <v>0</v>
      </c>
      <c r="K3511" s="4" t="n">
        <v>0</v>
      </c>
      <c r="M3511" s="2" t="str">
        <f aca="false">IF(C3511="","",IFERROR(INDEX($S$5:$S$304,MATCH(C3511,$R$5:$R$304,0))&amp;"","?"))</f>
        <v>25</v>
      </c>
      <c r="N3511" s="2" t="n">
        <f aca="false">IF(E3511="","",IF(ISNUMBER(SEARCH("SUBSOLO",E3511)),IFERROR(-VALUE(LEFT(E3511,FIND("º",SUBSTITUTE(E3511,"°","º"))-1)),-1),IF(LEFT(E3511,6)="TÉRREO",0,IFERROR(VALUE(LEFT(E3511,FIND("º",SUBSTITUTE(E3511,"°","º"))-1)),""))))</f>
        <v>3</v>
      </c>
      <c r="O3511" s="2" t="str">
        <f aca="false">IF(OR(F3511="",G3511=""),"",IF(G3511&lt;='RETRATO 2027'!$K$5,"CONCLUÍDA",IF(F3511&lt;='RETRATO 2027'!$K$5,"EM ANDAMENTO","A INICIAR")))</f>
        <v>A INICIAR</v>
      </c>
    </row>
    <row r="3512" customFormat="false" ht="15" hidden="false" customHeight="false" outlineLevel="0" collapsed="false">
      <c r="B3512" s="4" t="n">
        <v>26744746</v>
      </c>
      <c r="C3512" s="4" t="s">
        <v>2948</v>
      </c>
      <c r="D3512" s="4" t="s">
        <v>433</v>
      </c>
      <c r="E3512" s="4" t="s">
        <v>3784</v>
      </c>
      <c r="F3512" s="127" t="n">
        <v>46841</v>
      </c>
      <c r="G3512" s="127" t="n">
        <v>46848</v>
      </c>
      <c r="H3512" s="127" t="n">
        <v>46293</v>
      </c>
      <c r="I3512" s="4" t="n">
        <v>0</v>
      </c>
      <c r="J3512" s="4" t="n">
        <v>0</v>
      </c>
      <c r="K3512" s="4" t="n">
        <v>0</v>
      </c>
      <c r="M3512" s="2" t="str">
        <f aca="false">IF(C3512="","",IFERROR(INDEX($S$5:$S$304,MATCH(C3512,$R$5:$R$304,0))&amp;"","?"))</f>
        <v>25</v>
      </c>
      <c r="N3512" s="2" t="n">
        <f aca="false">IF(E3512="","",IF(ISNUMBER(SEARCH("SUBSOLO",E3512)),IFERROR(-VALUE(LEFT(E3512,FIND("º",SUBSTITUTE(E3512,"°","º"))-1)),-1),IF(LEFT(E3512,6)="TÉRREO",0,IFERROR(VALUE(LEFT(E3512,FIND("º",SUBSTITUTE(E3512,"°","º"))-1)),""))))</f>
        <v>3</v>
      </c>
      <c r="O3512" s="2" t="str">
        <f aca="false">IF(OR(F3512="",G3512=""),"",IF(G3512&lt;='RETRATO 2027'!$K$5,"CONCLUÍDA",IF(F3512&lt;='RETRATO 2027'!$K$5,"EM ANDAMENTO","A INICIAR")))</f>
        <v>A INICIAR</v>
      </c>
    </row>
    <row r="3513" customFormat="false" ht="15" hidden="false" customHeight="false" outlineLevel="0" collapsed="false">
      <c r="B3513" s="4" t="n">
        <v>26744736</v>
      </c>
      <c r="C3513" s="4" t="s">
        <v>2997</v>
      </c>
      <c r="D3513" s="4" t="s">
        <v>433</v>
      </c>
      <c r="E3513" s="4" t="s">
        <v>3800</v>
      </c>
      <c r="F3513" s="127" t="n">
        <v>46841</v>
      </c>
      <c r="G3513" s="127" t="n">
        <v>46848</v>
      </c>
      <c r="H3513" s="127" t="n">
        <v>46293</v>
      </c>
      <c r="I3513" s="4" t="n">
        <v>0</v>
      </c>
      <c r="J3513" s="4" t="n">
        <v>0</v>
      </c>
      <c r="K3513" s="4" t="n">
        <v>0</v>
      </c>
      <c r="M3513" s="2" t="str">
        <f aca="false">IF(C3513="","",IFERROR(INDEX($S$5:$S$304,MATCH(C3513,$R$5:$R$304,0))&amp;"","?"))</f>
        <v>35</v>
      </c>
      <c r="N3513" s="2" t="n">
        <f aca="false">IF(E3513="","",IF(ISNUMBER(SEARCH("SUBSOLO",E3513)),IFERROR(-VALUE(LEFT(E3513,FIND("º",SUBSTITUTE(E3513,"°","º"))-1)),-1),IF(LEFT(E3513,6)="TÉRREO",0,IFERROR(VALUE(LEFT(E3513,FIND("º",SUBSTITUTE(E3513,"°","º"))-1)),""))))</f>
        <v>3</v>
      </c>
      <c r="O3513" s="2" t="str">
        <f aca="false">IF(OR(F3513="",G3513=""),"",IF(G3513&lt;='RETRATO 2027'!$K$5,"CONCLUÍDA",IF(F3513&lt;='RETRATO 2027'!$K$5,"EM ANDAMENTO","A INICIAR")))</f>
        <v>A INICIAR</v>
      </c>
    </row>
    <row r="3514" customFormat="false" ht="15" hidden="false" customHeight="false" outlineLevel="0" collapsed="false">
      <c r="B3514" s="4" t="n">
        <v>26743633</v>
      </c>
      <c r="C3514" s="4" t="s">
        <v>3029</v>
      </c>
      <c r="D3514" s="4" t="s">
        <v>433</v>
      </c>
      <c r="E3514" s="4" t="s">
        <v>3668</v>
      </c>
      <c r="F3514" s="127" t="n">
        <v>46841</v>
      </c>
      <c r="G3514" s="127" t="n">
        <v>46849</v>
      </c>
      <c r="H3514" s="127" t="n">
        <v>46293</v>
      </c>
      <c r="I3514" s="4" t="n">
        <v>0</v>
      </c>
      <c r="J3514" s="4" t="n">
        <v>0</v>
      </c>
      <c r="K3514" s="4" t="n">
        <v>0</v>
      </c>
      <c r="M3514" s="2" t="str">
        <f aca="false">IF(C3514="","",IFERROR(INDEX($S$5:$S$304,MATCH(C3514,$R$5:$R$304,0))&amp;"","?"))</f>
        <v/>
      </c>
      <c r="N3514" s="2" t="n">
        <f aca="false">IF(E3514="","",IF(ISNUMBER(SEARCH("SUBSOLO",E3514)),IFERROR(-VALUE(LEFT(E3514,FIND("º",SUBSTITUTE(E3514,"°","º"))-1)),-1),IF(LEFT(E3514,6)="TÉRREO",0,IFERROR(VALUE(LEFT(E3514,FIND("º",SUBSTITUTE(E3514,"°","º"))-1)),""))))</f>
        <v>4</v>
      </c>
      <c r="O3514" s="2" t="str">
        <f aca="false">IF(OR(F3514="",G3514=""),"",IF(G3514&lt;='RETRATO 2027'!$K$5,"CONCLUÍDA",IF(F3514&lt;='RETRATO 2027'!$K$5,"EM ANDAMENTO","A INICIAR")))</f>
        <v>A INICIAR</v>
      </c>
    </row>
    <row r="3515" customFormat="false" ht="15" hidden="false" customHeight="false" outlineLevel="0" collapsed="false">
      <c r="B3515" s="4" t="n">
        <v>26743594</v>
      </c>
      <c r="C3515" s="4" t="s">
        <v>2971</v>
      </c>
      <c r="D3515" s="4" t="s">
        <v>433</v>
      </c>
      <c r="E3515" s="4" t="s">
        <v>3678</v>
      </c>
      <c r="F3515" s="127" t="n">
        <v>46841</v>
      </c>
      <c r="G3515" s="127" t="n">
        <v>46849</v>
      </c>
      <c r="H3515" s="127" t="n">
        <v>46293</v>
      </c>
      <c r="I3515" s="4" t="n">
        <v>0</v>
      </c>
      <c r="J3515" s="4" t="n">
        <v>0</v>
      </c>
      <c r="K3515" s="4" t="n">
        <v>0</v>
      </c>
      <c r="M3515" s="2" t="str">
        <f aca="false">IF(C3515="","",IFERROR(INDEX($S$5:$S$304,MATCH(C3515,$R$5:$R$304,0))&amp;"","?"))</f>
        <v>37</v>
      </c>
      <c r="N3515" s="2" t="n">
        <f aca="false">IF(E3515="","",IF(ISNUMBER(SEARCH("SUBSOLO",E3515)),IFERROR(-VALUE(LEFT(E3515,FIND("º",SUBSTITUTE(E3515,"°","º"))-1)),-1),IF(LEFT(E3515,6)="TÉRREO",0,IFERROR(VALUE(LEFT(E3515,FIND("º",SUBSTITUTE(E3515,"°","º"))-1)),""))))</f>
        <v>5</v>
      </c>
      <c r="O3515" s="2" t="str">
        <f aca="false">IF(OR(F3515="",G3515=""),"",IF(G3515&lt;='RETRATO 2027'!$K$5,"CONCLUÍDA",IF(F3515&lt;='RETRATO 2027'!$K$5,"EM ANDAMENTO","A INICIAR")))</f>
        <v>A INICIAR</v>
      </c>
    </row>
    <row r="3516" customFormat="false" ht="15" hidden="false" customHeight="false" outlineLevel="0" collapsed="false">
      <c r="B3516" s="4" t="n">
        <v>26743556</v>
      </c>
      <c r="C3516" s="4" t="s">
        <v>3032</v>
      </c>
      <c r="D3516" s="4" t="s">
        <v>433</v>
      </c>
      <c r="E3516" s="4" t="s">
        <v>3685</v>
      </c>
      <c r="F3516" s="127" t="n">
        <v>46841</v>
      </c>
      <c r="G3516" s="127" t="n">
        <v>46849</v>
      </c>
      <c r="H3516" s="127" t="n">
        <v>46293</v>
      </c>
      <c r="I3516" s="4" t="n">
        <v>0</v>
      </c>
      <c r="J3516" s="4" t="n">
        <v>0</v>
      </c>
      <c r="K3516" s="4" t="n">
        <v>0</v>
      </c>
      <c r="M3516" s="2" t="str">
        <f aca="false">IF(C3516="","",IFERROR(INDEX($S$5:$S$304,MATCH(C3516,$R$5:$R$304,0))&amp;"","?"))</f>
        <v>35</v>
      </c>
      <c r="N3516" s="2" t="n">
        <f aca="false">IF(E3516="","",IF(ISNUMBER(SEARCH("SUBSOLO",E3516)),IFERROR(-VALUE(LEFT(E3516,FIND("º",SUBSTITUTE(E3516,"°","º"))-1)),-1),IF(LEFT(E3516,6)="TÉRREO",0,IFERROR(VALUE(LEFT(E3516,FIND("º",SUBSTITUTE(E3516,"°","º"))-1)),""))))</f>
        <v>6</v>
      </c>
      <c r="O3516" s="2" t="str">
        <f aca="false">IF(OR(F3516="",G3516=""),"",IF(G3516&lt;='RETRATO 2027'!$K$5,"CONCLUÍDA",IF(F3516&lt;='RETRATO 2027'!$K$5,"EM ANDAMENTO","A INICIAR")))</f>
        <v>A INICIAR</v>
      </c>
    </row>
    <row r="3517" customFormat="false" ht="15" hidden="false" customHeight="false" outlineLevel="0" collapsed="false">
      <c r="B3517" s="4" t="n">
        <v>26743513</v>
      </c>
      <c r="C3517" s="4" t="s">
        <v>3093</v>
      </c>
      <c r="D3517" s="4" t="s">
        <v>433</v>
      </c>
      <c r="E3517" s="4" t="s">
        <v>3686</v>
      </c>
      <c r="F3517" s="127" t="n">
        <v>46841</v>
      </c>
      <c r="G3517" s="127" t="n">
        <v>46849</v>
      </c>
      <c r="H3517" s="127" t="n">
        <v>46293</v>
      </c>
      <c r="I3517" s="4" t="n">
        <v>0</v>
      </c>
      <c r="J3517" s="4" t="n">
        <v>0</v>
      </c>
      <c r="K3517" s="4" t="n">
        <v>0</v>
      </c>
      <c r="M3517" s="2" t="str">
        <f aca="false">IF(C3517="","",IFERROR(INDEX($S$5:$S$304,MATCH(C3517,$R$5:$R$304,0))&amp;"","?"))</f>
        <v>34</v>
      </c>
      <c r="N3517" s="2" t="n">
        <f aca="false">IF(E3517="","",IF(ISNUMBER(SEARCH("SUBSOLO",E3517)),IFERROR(-VALUE(LEFT(E3517,FIND("º",SUBSTITUTE(E3517,"°","º"))-1)),-1),IF(LEFT(E3517,6)="TÉRREO",0,IFERROR(VALUE(LEFT(E3517,FIND("º",SUBSTITUTE(E3517,"°","º"))-1)),""))))</f>
        <v>7</v>
      </c>
      <c r="O3517" s="2" t="str">
        <f aca="false">IF(OR(F3517="",G3517=""),"",IF(G3517&lt;='RETRATO 2027'!$K$5,"CONCLUÍDA",IF(F3517&lt;='RETRATO 2027'!$K$5,"EM ANDAMENTO","A INICIAR")))</f>
        <v>A INICIAR</v>
      </c>
    </row>
    <row r="3518" customFormat="false" ht="15" hidden="false" customHeight="false" outlineLevel="0" collapsed="false">
      <c r="B3518" s="4" t="n">
        <v>26743535</v>
      </c>
      <c r="C3518" s="4" t="s">
        <v>2965</v>
      </c>
      <c r="D3518" s="4" t="s">
        <v>433</v>
      </c>
      <c r="E3518" s="4" t="s">
        <v>3686</v>
      </c>
      <c r="F3518" s="127" t="n">
        <v>46841</v>
      </c>
      <c r="G3518" s="127" t="n">
        <v>46849</v>
      </c>
      <c r="H3518" s="127" t="n">
        <v>46293</v>
      </c>
      <c r="I3518" s="4" t="n">
        <v>0</v>
      </c>
      <c r="J3518" s="4" t="n">
        <v>0</v>
      </c>
      <c r="K3518" s="4" t="n">
        <v>0</v>
      </c>
      <c r="M3518" s="2" t="str">
        <f aca="false">IF(C3518="","",IFERROR(INDEX($S$5:$S$304,MATCH(C3518,$R$5:$R$304,0))&amp;"","?"))</f>
        <v>20</v>
      </c>
      <c r="N3518" s="2" t="n">
        <f aca="false">IF(E3518="","",IF(ISNUMBER(SEARCH("SUBSOLO",E3518)),IFERROR(-VALUE(LEFT(E3518,FIND("º",SUBSTITUTE(E3518,"°","º"))-1)),-1),IF(LEFT(E3518,6)="TÉRREO",0,IFERROR(VALUE(LEFT(E3518,FIND("º",SUBSTITUTE(E3518,"°","º"))-1)),""))))</f>
        <v>7</v>
      </c>
      <c r="O3518" s="2" t="str">
        <f aca="false">IF(OR(F3518="",G3518=""),"",IF(G3518&lt;='RETRATO 2027'!$K$5,"CONCLUÍDA",IF(F3518&lt;='RETRATO 2027'!$K$5,"EM ANDAMENTO","A INICIAR")))</f>
        <v>A INICIAR</v>
      </c>
    </row>
    <row r="3519" customFormat="false" ht="15" hidden="false" customHeight="false" outlineLevel="0" collapsed="false">
      <c r="B3519" s="4" t="n">
        <v>26743475</v>
      </c>
      <c r="C3519" s="4" t="s">
        <v>3021</v>
      </c>
      <c r="D3519" s="4" t="s">
        <v>433</v>
      </c>
      <c r="E3519" s="4" t="s">
        <v>3706</v>
      </c>
      <c r="F3519" s="127" t="n">
        <v>46841</v>
      </c>
      <c r="G3519" s="127" t="n">
        <v>46849</v>
      </c>
      <c r="H3519" s="127" t="n">
        <v>46293</v>
      </c>
      <c r="I3519" s="4" t="n">
        <v>0</v>
      </c>
      <c r="J3519" s="4" t="n">
        <v>0</v>
      </c>
      <c r="K3519" s="4" t="n">
        <v>0</v>
      </c>
      <c r="M3519" s="2" t="str">
        <f aca="false">IF(C3519="","",IFERROR(INDEX($S$5:$S$304,MATCH(C3519,$R$5:$R$304,0))&amp;"","?"))</f>
        <v>35</v>
      </c>
      <c r="N3519" s="2" t="n">
        <f aca="false">IF(E3519="","",IF(ISNUMBER(SEARCH("SUBSOLO",E3519)),IFERROR(-VALUE(LEFT(E3519,FIND("º",SUBSTITUTE(E3519,"°","º"))-1)),-1),IF(LEFT(E3519,6)="TÉRREO",0,IFERROR(VALUE(LEFT(E3519,FIND("º",SUBSTITUTE(E3519,"°","º"))-1)),""))))</f>
        <v>8</v>
      </c>
      <c r="O3519" s="2" t="str">
        <f aca="false">IF(OR(F3519="",G3519=""),"",IF(G3519&lt;='RETRATO 2027'!$K$5,"CONCLUÍDA",IF(F3519&lt;='RETRATO 2027'!$K$5,"EM ANDAMENTO","A INICIAR")))</f>
        <v>A INICIAR</v>
      </c>
    </row>
    <row r="3520" customFormat="false" ht="15" hidden="false" customHeight="false" outlineLevel="0" collapsed="false">
      <c r="B3520" s="4" t="n">
        <v>26743440</v>
      </c>
      <c r="C3520" s="4" t="s">
        <v>3006</v>
      </c>
      <c r="D3520" s="4" t="s">
        <v>433</v>
      </c>
      <c r="E3520" s="4" t="s">
        <v>3716</v>
      </c>
      <c r="F3520" s="127" t="n">
        <v>46841</v>
      </c>
      <c r="G3520" s="127" t="n">
        <v>46849</v>
      </c>
      <c r="H3520" s="127" t="n">
        <v>46293</v>
      </c>
      <c r="I3520" s="4" t="n">
        <v>0</v>
      </c>
      <c r="J3520" s="4" t="n">
        <v>0</v>
      </c>
      <c r="K3520" s="4" t="n">
        <v>0</v>
      </c>
      <c r="M3520" s="2" t="str">
        <f aca="false">IF(C3520="","",IFERROR(INDEX($S$5:$S$304,MATCH(C3520,$R$5:$R$304,0))&amp;"","?"))</f>
        <v>37</v>
      </c>
      <c r="N3520" s="2" t="n">
        <f aca="false">IF(E3520="","",IF(ISNUMBER(SEARCH("SUBSOLO",E3520)),IFERROR(-VALUE(LEFT(E3520,FIND("º",SUBSTITUTE(E3520,"°","º"))-1)),-1),IF(LEFT(E3520,6)="TÉRREO",0,IFERROR(VALUE(LEFT(E3520,FIND("º",SUBSTITUTE(E3520,"°","º"))-1)),""))))</f>
        <v>9</v>
      </c>
      <c r="O3520" s="2" t="str">
        <f aca="false">IF(OR(F3520="",G3520=""),"",IF(G3520&lt;='RETRATO 2027'!$K$5,"CONCLUÍDA",IF(F3520&lt;='RETRATO 2027'!$K$5,"EM ANDAMENTO","A INICIAR")))</f>
        <v>A INICIAR</v>
      </c>
    </row>
    <row r="3521" customFormat="false" ht="15" hidden="false" customHeight="false" outlineLevel="0" collapsed="false">
      <c r="B3521" s="4" t="n">
        <v>26743405</v>
      </c>
      <c r="C3521" s="4" t="s">
        <v>2962</v>
      </c>
      <c r="D3521" s="4" t="s">
        <v>433</v>
      </c>
      <c r="E3521" s="4" t="s">
        <v>3722</v>
      </c>
      <c r="F3521" s="127" t="n">
        <v>46841</v>
      </c>
      <c r="G3521" s="127" t="n">
        <v>46849</v>
      </c>
      <c r="H3521" s="127" t="n">
        <v>46293</v>
      </c>
      <c r="I3521" s="4" t="n">
        <v>0</v>
      </c>
      <c r="J3521" s="4" t="n">
        <v>0</v>
      </c>
      <c r="K3521" s="4" t="n">
        <v>0</v>
      </c>
      <c r="M3521" s="2" t="str">
        <f aca="false">IF(C3521="","",IFERROR(INDEX($S$5:$S$304,MATCH(C3521,$R$5:$R$304,0))&amp;"","?"))</f>
        <v>34</v>
      </c>
      <c r="N3521" s="2" t="n">
        <f aca="false">IF(E3521="","",IF(ISNUMBER(SEARCH("SUBSOLO",E3521)),IFERROR(-VALUE(LEFT(E3521,FIND("º",SUBSTITUTE(E3521,"°","º"))-1)),-1),IF(LEFT(E3521,6)="TÉRREO",0,IFERROR(VALUE(LEFT(E3521,FIND("º",SUBSTITUTE(E3521,"°","º"))-1)),""))))</f>
        <v>10</v>
      </c>
      <c r="O3521" s="2" t="str">
        <f aca="false">IF(OR(F3521="",G3521=""),"",IF(G3521&lt;='RETRATO 2027'!$K$5,"CONCLUÍDA",IF(F3521&lt;='RETRATO 2027'!$K$5,"EM ANDAMENTO","A INICIAR")))</f>
        <v>A INICIAR</v>
      </c>
    </row>
    <row r="3522" customFormat="false" ht="15" hidden="false" customHeight="false" outlineLevel="0" collapsed="false">
      <c r="B3522" s="4" t="n">
        <v>26743410</v>
      </c>
      <c r="C3522" s="4" t="s">
        <v>3088</v>
      </c>
      <c r="D3522" s="4" t="s">
        <v>433</v>
      </c>
      <c r="E3522" s="4" t="s">
        <v>3722</v>
      </c>
      <c r="F3522" s="127" t="n">
        <v>46841</v>
      </c>
      <c r="G3522" s="127" t="n">
        <v>46849</v>
      </c>
      <c r="H3522" s="127" t="n">
        <v>46293</v>
      </c>
      <c r="I3522" s="4" t="n">
        <v>0</v>
      </c>
      <c r="J3522" s="4" t="n">
        <v>0</v>
      </c>
      <c r="K3522" s="4" t="n">
        <v>0</v>
      </c>
      <c r="M3522" s="2" t="str">
        <f aca="false">IF(C3522="","",IFERROR(INDEX($S$5:$S$304,MATCH(C3522,$R$5:$R$304,0))&amp;"","?"))</f>
        <v>20</v>
      </c>
      <c r="N3522" s="2" t="n">
        <f aca="false">IF(E3522="","",IF(ISNUMBER(SEARCH("SUBSOLO",E3522)),IFERROR(-VALUE(LEFT(E3522,FIND("º",SUBSTITUTE(E3522,"°","º"))-1)),-1),IF(LEFT(E3522,6)="TÉRREO",0,IFERROR(VALUE(LEFT(E3522,FIND("º",SUBSTITUTE(E3522,"°","º"))-1)),""))))</f>
        <v>10</v>
      </c>
      <c r="O3522" s="2" t="str">
        <f aca="false">IF(OR(F3522="",G3522=""),"",IF(G3522&lt;='RETRATO 2027'!$K$5,"CONCLUÍDA",IF(F3522&lt;='RETRATO 2027'!$K$5,"EM ANDAMENTO","A INICIAR")))</f>
        <v>A INICIAR</v>
      </c>
    </row>
    <row r="3523" customFormat="false" ht="15" hidden="false" customHeight="false" outlineLevel="0" collapsed="false">
      <c r="B3523" s="4" t="n">
        <v>26743429</v>
      </c>
      <c r="C3523" s="4" t="s">
        <v>3009</v>
      </c>
      <c r="D3523" s="4" t="s">
        <v>433</v>
      </c>
      <c r="E3523" s="4" t="s">
        <v>3722</v>
      </c>
      <c r="F3523" s="127" t="n">
        <v>46841</v>
      </c>
      <c r="G3523" s="127" t="n">
        <v>46849</v>
      </c>
      <c r="H3523" s="127" t="n">
        <v>46293</v>
      </c>
      <c r="I3523" s="4" t="n">
        <v>0</v>
      </c>
      <c r="J3523" s="4" t="n">
        <v>0</v>
      </c>
      <c r="K3523" s="4" t="n">
        <v>0</v>
      </c>
      <c r="M3523" s="2" t="str">
        <f aca="false">IF(C3523="","",IFERROR(INDEX($S$5:$S$304,MATCH(C3523,$R$5:$R$304,0))&amp;"","?"))</f>
        <v>23</v>
      </c>
      <c r="N3523" s="2" t="n">
        <f aca="false">IF(E3523="","",IF(ISNUMBER(SEARCH("SUBSOLO",E3523)),IFERROR(-VALUE(LEFT(E3523,FIND("º",SUBSTITUTE(E3523,"°","º"))-1)),-1),IF(LEFT(E3523,6)="TÉRREO",0,IFERROR(VALUE(LEFT(E3523,FIND("º",SUBSTITUTE(E3523,"°","º"))-1)),""))))</f>
        <v>10</v>
      </c>
      <c r="O3523" s="2" t="str">
        <f aca="false">IF(OR(F3523="",G3523=""),"",IF(G3523&lt;='RETRATO 2027'!$K$5,"CONCLUÍDA",IF(F3523&lt;='RETRATO 2027'!$K$5,"EM ANDAMENTO","A INICIAR")))</f>
        <v>A INICIAR</v>
      </c>
    </row>
    <row r="3524" customFormat="false" ht="15" hidden="false" customHeight="false" outlineLevel="0" collapsed="false">
      <c r="B3524" s="4" t="n">
        <v>26743367</v>
      </c>
      <c r="C3524" s="4" t="s">
        <v>3082</v>
      </c>
      <c r="D3524" s="4" t="s">
        <v>433</v>
      </c>
      <c r="E3524" s="4" t="s">
        <v>3762</v>
      </c>
      <c r="F3524" s="127" t="n">
        <v>46841</v>
      </c>
      <c r="G3524" s="127" t="n">
        <v>46849</v>
      </c>
      <c r="H3524" s="127" t="n">
        <v>46293</v>
      </c>
      <c r="I3524" s="4" t="n">
        <v>0</v>
      </c>
      <c r="J3524" s="4" t="n">
        <v>0</v>
      </c>
      <c r="K3524" s="4" t="n">
        <v>0</v>
      </c>
      <c r="M3524" s="2" t="str">
        <f aca="false">IF(C3524="","",IFERROR(INDEX($S$5:$S$304,MATCH(C3524,$R$5:$R$304,0))&amp;"","?"))</f>
        <v>30</v>
      </c>
      <c r="N3524" s="2" t="n">
        <f aca="false">IF(E3524="","",IF(ISNUMBER(SEARCH("SUBSOLO",E3524)),IFERROR(-VALUE(LEFT(E3524,FIND("º",SUBSTITUTE(E3524,"°","º"))-1)),-1),IF(LEFT(E3524,6)="TÉRREO",0,IFERROR(VALUE(LEFT(E3524,FIND("º",SUBSTITUTE(E3524,"°","º"))-1)),""))))</f>
        <v>11</v>
      </c>
      <c r="O3524" s="2" t="str">
        <f aca="false">IF(OR(F3524="",G3524=""),"",IF(G3524&lt;='RETRATO 2027'!$K$5,"CONCLUÍDA",IF(F3524&lt;='RETRATO 2027'!$K$5,"EM ANDAMENTO","A INICIAR")))</f>
        <v>A INICIAR</v>
      </c>
    </row>
    <row r="3525" customFormat="false" ht="15" hidden="false" customHeight="false" outlineLevel="0" collapsed="false">
      <c r="B3525" s="4" t="n">
        <v>26743360</v>
      </c>
      <c r="C3525" s="4" t="s">
        <v>3079</v>
      </c>
      <c r="D3525" s="4" t="s">
        <v>433</v>
      </c>
      <c r="E3525" s="4" t="s">
        <v>3763</v>
      </c>
      <c r="F3525" s="127" t="n">
        <v>46841</v>
      </c>
      <c r="G3525" s="127" t="n">
        <v>46849</v>
      </c>
      <c r="H3525" s="127" t="n">
        <v>46293</v>
      </c>
      <c r="I3525" s="4" t="n">
        <v>0</v>
      </c>
      <c r="J3525" s="4" t="n">
        <v>0</v>
      </c>
      <c r="K3525" s="4" t="n">
        <v>0</v>
      </c>
      <c r="M3525" s="2" t="str">
        <f aca="false">IF(C3525="","",IFERROR(INDEX($S$5:$S$304,MATCH(C3525,$R$5:$R$304,0))&amp;"","?"))</f>
        <v>25</v>
      </c>
      <c r="N3525" s="2" t="n">
        <f aca="false">IF(E3525="","",IF(ISNUMBER(SEARCH("SUBSOLO",E3525)),IFERROR(-VALUE(LEFT(E3525,FIND("º",SUBSTITUTE(E3525,"°","º"))-1)),-1),IF(LEFT(E3525,6)="TÉRREO",0,IFERROR(VALUE(LEFT(E3525,FIND("º",SUBSTITUTE(E3525,"°","º"))-1)),""))))</f>
        <v>12</v>
      </c>
      <c r="O3525" s="2" t="str">
        <f aca="false">IF(OR(F3525="",G3525=""),"",IF(G3525&lt;='RETRATO 2027'!$K$5,"CONCLUÍDA",IF(F3525&lt;='RETRATO 2027'!$K$5,"EM ANDAMENTO","A INICIAR")))</f>
        <v>A INICIAR</v>
      </c>
    </row>
    <row r="3526" customFormat="false" ht="15" hidden="false" customHeight="false" outlineLevel="0" collapsed="false">
      <c r="B3526" s="4" t="n">
        <v>26743321</v>
      </c>
      <c r="C3526" s="4" t="s">
        <v>3073</v>
      </c>
      <c r="D3526" s="4" t="s">
        <v>433</v>
      </c>
      <c r="E3526" s="4" t="s">
        <v>3764</v>
      </c>
      <c r="F3526" s="127" t="n">
        <v>46841</v>
      </c>
      <c r="G3526" s="127" t="n">
        <v>46849</v>
      </c>
      <c r="H3526" s="127" t="n">
        <v>46293</v>
      </c>
      <c r="I3526" s="4" t="n">
        <v>0</v>
      </c>
      <c r="J3526" s="4" t="n">
        <v>0</v>
      </c>
      <c r="K3526" s="4" t="n">
        <v>0</v>
      </c>
      <c r="M3526" s="2" t="str">
        <f aca="false">IF(C3526="","",IFERROR(INDEX($S$5:$S$304,MATCH(C3526,$R$5:$R$304,0))&amp;"","?"))</f>
        <v>30</v>
      </c>
      <c r="N3526" s="2" t="n">
        <f aca="false">IF(E3526="","",IF(ISNUMBER(SEARCH("SUBSOLO",E3526)),IFERROR(-VALUE(LEFT(E3526,FIND("º",SUBSTITUTE(E3526,"°","º"))-1)),-1),IF(LEFT(E3526,6)="TÉRREO",0,IFERROR(VALUE(LEFT(E3526,FIND("º",SUBSTITUTE(E3526,"°","º"))-1)),""))))</f>
        <v>13</v>
      </c>
      <c r="O3526" s="2" t="str">
        <f aca="false">IF(OR(F3526="",G3526=""),"",IF(G3526&lt;='RETRATO 2027'!$K$5,"CONCLUÍDA",IF(F3526&lt;='RETRATO 2027'!$K$5,"EM ANDAMENTO","A INICIAR")))</f>
        <v>A INICIAR</v>
      </c>
    </row>
    <row r="3527" customFormat="false" ht="15" hidden="false" customHeight="false" outlineLevel="0" collapsed="false">
      <c r="B3527" s="4" t="n">
        <v>26743283</v>
      </c>
      <c r="C3527" s="4" t="s">
        <v>3055</v>
      </c>
      <c r="D3527" s="4" t="s">
        <v>433</v>
      </c>
      <c r="E3527" s="4" t="s">
        <v>3765</v>
      </c>
      <c r="F3527" s="127" t="n">
        <v>46841</v>
      </c>
      <c r="G3527" s="127" t="n">
        <v>46849</v>
      </c>
      <c r="H3527" s="127" t="n">
        <v>46293</v>
      </c>
      <c r="I3527" s="4" t="n">
        <v>0</v>
      </c>
      <c r="J3527" s="4" t="n">
        <v>0</v>
      </c>
      <c r="K3527" s="4" t="n">
        <v>0</v>
      </c>
      <c r="M3527" s="2" t="str">
        <f aca="false">IF(C3527="","",IFERROR(INDEX($S$5:$S$304,MATCH(C3527,$R$5:$R$304,0))&amp;"","?"))</f>
        <v>25</v>
      </c>
      <c r="N3527" s="2" t="n">
        <f aca="false">IF(E3527="","",IF(ISNUMBER(SEARCH("SUBSOLO",E3527)),IFERROR(-VALUE(LEFT(E3527,FIND("º",SUBSTITUTE(E3527,"°","º"))-1)),-1),IF(LEFT(E3527,6)="TÉRREO",0,IFERROR(VALUE(LEFT(E3527,FIND("º",SUBSTITUTE(E3527,"°","º"))-1)),""))))</f>
        <v>14</v>
      </c>
      <c r="O3527" s="2" t="str">
        <f aca="false">IF(OR(F3527="",G3527=""),"",IF(G3527&lt;='RETRATO 2027'!$K$5,"CONCLUÍDA",IF(F3527&lt;='RETRATO 2027'!$K$5,"EM ANDAMENTO","A INICIAR")))</f>
        <v>A INICIAR</v>
      </c>
    </row>
    <row r="3528" customFormat="false" ht="15" hidden="false" customHeight="false" outlineLevel="0" collapsed="false">
      <c r="B3528" s="4" t="n">
        <v>26252390</v>
      </c>
      <c r="C3528" s="4" t="s">
        <v>3035</v>
      </c>
      <c r="D3528" s="4" t="s">
        <v>433</v>
      </c>
      <c r="E3528" s="4" t="s">
        <v>3806</v>
      </c>
      <c r="F3528" s="127" t="n">
        <v>46841</v>
      </c>
      <c r="G3528" s="127" t="n">
        <v>46954</v>
      </c>
      <c r="H3528" s="127" t="n">
        <v>46293</v>
      </c>
      <c r="I3528" s="4" t="n">
        <v>0</v>
      </c>
      <c r="J3528" s="4" t="n">
        <v>0</v>
      </c>
      <c r="K3528" s="4" t="n">
        <v>0</v>
      </c>
      <c r="M3528" s="2" t="str">
        <f aca="false">IF(C3528="","",IFERROR(INDEX($S$5:$S$304,MATCH(C3528,$R$5:$R$304,0))&amp;"","?"))</f>
        <v>32</v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>A INICIAR</v>
      </c>
    </row>
    <row r="3529" customFormat="false" ht="15" hidden="false" customHeight="false" outlineLevel="0" collapsed="false">
      <c r="B3529" s="4" t="n">
        <v>26743754</v>
      </c>
      <c r="C3529" s="4" t="s">
        <v>3029</v>
      </c>
      <c r="D3529" s="4" t="s">
        <v>433</v>
      </c>
      <c r="E3529" s="4" t="s">
        <v>3375</v>
      </c>
      <c r="F3529" s="127" t="n">
        <v>46842</v>
      </c>
      <c r="G3529" s="127" t="n">
        <v>46855</v>
      </c>
      <c r="H3529" s="127" t="n">
        <v>46293</v>
      </c>
      <c r="I3529" s="4" t="n">
        <v>0</v>
      </c>
      <c r="J3529" s="4" t="n">
        <v>0</v>
      </c>
      <c r="K3529" s="4" t="n">
        <v>0</v>
      </c>
      <c r="M3529" s="2" t="str">
        <f aca="false">IF(C3529="","",IFERROR(INDEX($S$5:$S$304,MATCH(C3529,$R$5:$R$304,0))&amp;"","?"))</f>
        <v/>
      </c>
      <c r="N3529" s="2" t="n">
        <f aca="false">IF(E3529="","",IF(ISNUMBER(SEARCH("SUBSOLO",E3529)),IFERROR(-VALUE(LEFT(E3529,FIND("º",SUBSTITUTE(E3529,"°","º"))-1)),-1),IF(LEFT(E3529,6)="TÉRREO",0,IFERROR(VALUE(LEFT(E3529,FIND("º",SUBSTITUTE(E3529,"°","º"))-1)),""))))</f>
        <v>-3</v>
      </c>
      <c r="O3529" s="2" t="str">
        <f aca="false">IF(OR(F3529="",G3529=""),"",IF(G3529&lt;='RETRATO 2027'!$K$5,"CONCLUÍDA",IF(F3529&lt;='RETRATO 2027'!$K$5,"EM ANDAMENTO","A INICIAR")))</f>
        <v>A INICIAR</v>
      </c>
    </row>
    <row r="3530" customFormat="false" ht="15" hidden="false" customHeight="false" outlineLevel="0" collapsed="false">
      <c r="B3530" s="4" t="n">
        <v>26707601</v>
      </c>
      <c r="C3530" s="4" t="s">
        <v>3006</v>
      </c>
      <c r="D3530" s="4" t="s">
        <v>433</v>
      </c>
      <c r="E3530" s="4" t="s">
        <v>3815</v>
      </c>
      <c r="F3530" s="127" t="n">
        <v>46843</v>
      </c>
      <c r="G3530" s="127" t="n">
        <v>46867</v>
      </c>
      <c r="H3530" s="127" t="n">
        <v>46293</v>
      </c>
      <c r="I3530" s="4" t="n">
        <v>0</v>
      </c>
      <c r="J3530" s="4" t="n">
        <v>0</v>
      </c>
      <c r="K3530" s="4" t="n">
        <v>0</v>
      </c>
      <c r="M3530" s="2" t="str">
        <f aca="false">IF(C3530="","",IFERROR(INDEX($S$5:$S$304,MATCH(C3530,$R$5:$R$304,0))&amp;"","?"))</f>
        <v>37</v>
      </c>
      <c r="N3530" s="2" t="n">
        <f aca="false">IF(E3530="","",IF(ISNUMBER(SEARCH("SUBSOLO",E3530)),IFERROR(-VALUE(LEFT(E3530,FIND("º",SUBSTITUTE(E3530,"°","º"))-1)),-1),IF(LEFT(E3530,6)="TÉRREO",0,IFERROR(VALUE(LEFT(E3530,FIND("º",SUBSTITUTE(E3530,"°","º"))-1)),""))))</f>
        <v>2</v>
      </c>
      <c r="O3530" s="2" t="str">
        <f aca="false">IF(OR(F3530="",G3530=""),"",IF(G3530&lt;='RETRATO 2027'!$K$5,"CONCLUÍDA",IF(F3530&lt;='RETRATO 2027'!$K$5,"EM ANDAMENTO","A INICIAR")))</f>
        <v>A INICIAR</v>
      </c>
    </row>
    <row r="3531" customFormat="false" ht="15" hidden="false" customHeight="false" outlineLevel="0" collapsed="false">
      <c r="B3531" s="4" t="n">
        <v>26707596</v>
      </c>
      <c r="C3531" s="4" t="s">
        <v>3009</v>
      </c>
      <c r="D3531" s="4" t="s">
        <v>433</v>
      </c>
      <c r="E3531" s="4" t="s">
        <v>3815</v>
      </c>
      <c r="F3531" s="127" t="n">
        <v>46843</v>
      </c>
      <c r="G3531" s="127" t="n">
        <v>46867</v>
      </c>
      <c r="H3531" s="127" t="n">
        <v>46293</v>
      </c>
      <c r="I3531" s="4" t="n">
        <v>0</v>
      </c>
      <c r="J3531" s="4" t="n">
        <v>0</v>
      </c>
      <c r="K3531" s="4" t="n">
        <v>0</v>
      </c>
      <c r="M3531" s="2" t="str">
        <f aca="false">IF(C3531="","",IFERROR(INDEX($S$5:$S$304,MATCH(C3531,$R$5:$R$304,0))&amp;"","?"))</f>
        <v>23</v>
      </c>
      <c r="N3531" s="2" t="n">
        <f aca="false">IF(E3531="","",IF(ISNUMBER(SEARCH("SUBSOLO",E3531)),IFERROR(-VALUE(LEFT(E3531,FIND("º",SUBSTITUTE(E3531,"°","º"))-1)),-1),IF(LEFT(E3531,6)="TÉRREO",0,IFERROR(VALUE(LEFT(E3531,FIND("º",SUBSTITUTE(E3531,"°","º"))-1)),""))))</f>
        <v>2</v>
      </c>
      <c r="O3531" s="2" t="str">
        <f aca="false">IF(OR(F3531="",G3531=""),"",IF(G3531&lt;='RETRATO 2027'!$K$5,"CONCLUÍDA",IF(F3531&lt;='RETRATO 2027'!$K$5,"EM ANDAMENTO","A INICIAR")))</f>
        <v>A INICIAR</v>
      </c>
    </row>
    <row r="3532" customFormat="false" ht="15" hidden="false" customHeight="false" outlineLevel="0" collapsed="false">
      <c r="B3532" s="4" t="n">
        <v>26745021</v>
      </c>
      <c r="C3532" s="4" t="s">
        <v>2965</v>
      </c>
      <c r="D3532" s="4" t="s">
        <v>433</v>
      </c>
      <c r="E3532" s="4" t="s">
        <v>3828</v>
      </c>
      <c r="F3532" s="127" t="n">
        <v>46843</v>
      </c>
      <c r="G3532" s="127" t="n">
        <v>46856</v>
      </c>
      <c r="H3532" s="127" t="n">
        <v>46293</v>
      </c>
      <c r="I3532" s="4" t="n">
        <v>0</v>
      </c>
      <c r="J3532" s="4" t="n">
        <v>0</v>
      </c>
      <c r="K3532" s="4" t="n">
        <v>0</v>
      </c>
      <c r="M3532" s="2" t="str">
        <f aca="false">IF(C3532="","",IFERROR(INDEX($S$5:$S$304,MATCH(C3532,$R$5:$R$304,0))&amp;"","?"))</f>
        <v>20</v>
      </c>
      <c r="N3532" s="2" t="n">
        <f aca="false">IF(E3532="","",IF(ISNUMBER(SEARCH("SUBSOLO",E3532)),IFERROR(-VALUE(LEFT(E3532,FIND("º",SUBSTITUTE(E3532,"°","º"))-1)),-1),IF(LEFT(E3532,6)="TÉRREO",0,IFERROR(VALUE(LEFT(E3532,FIND("º",SUBSTITUTE(E3532,"°","º"))-1)),""))))</f>
        <v>2</v>
      </c>
      <c r="O3532" s="2" t="str">
        <f aca="false">IF(OR(F3532="",G3532=""),"",IF(G3532&lt;='RETRATO 2027'!$K$5,"CONCLUÍDA",IF(F3532&lt;='RETRATO 2027'!$K$5,"EM ANDAMENTO","A INICIAR")))</f>
        <v>A INICIAR</v>
      </c>
    </row>
    <row r="3533" customFormat="false" ht="15" hidden="false" customHeight="false" outlineLevel="0" collapsed="false">
      <c r="B3533" s="4" t="n">
        <v>26744697</v>
      </c>
      <c r="C3533" s="4" t="s">
        <v>2980</v>
      </c>
      <c r="D3533" s="4" t="s">
        <v>433</v>
      </c>
      <c r="E3533" s="4" t="s">
        <v>3810</v>
      </c>
      <c r="F3533" s="127" t="n">
        <v>46843</v>
      </c>
      <c r="G3533" s="127" t="n">
        <v>46850</v>
      </c>
      <c r="H3533" s="127" t="n">
        <v>46293</v>
      </c>
      <c r="I3533" s="4" t="n">
        <v>0</v>
      </c>
      <c r="J3533" s="4" t="n">
        <v>0</v>
      </c>
      <c r="K3533" s="4" t="n">
        <v>0</v>
      </c>
      <c r="M3533" s="2" t="str">
        <f aca="false">IF(C3533="","",IFERROR(INDEX($S$5:$S$304,MATCH(C3533,$R$5:$R$304,0))&amp;"","?"))</f>
        <v>35</v>
      </c>
      <c r="N3533" s="2" t="n">
        <f aca="false">IF(E3533="","",IF(ISNUMBER(SEARCH("SUBSOLO",E3533)),IFERROR(-VALUE(LEFT(E3533,FIND("º",SUBSTITUTE(E3533,"°","º"))-1)),-1),IF(LEFT(E3533,6)="TÉRREO",0,IFERROR(VALUE(LEFT(E3533,FIND("º",SUBSTITUTE(E3533,"°","º"))-1)),""))))</f>
        <v>3</v>
      </c>
      <c r="O3533" s="2" t="str">
        <f aca="false">IF(OR(F3533="",G3533=""),"",IF(G3533&lt;='RETRATO 2027'!$K$5,"CONCLUÍDA",IF(F3533&lt;='RETRATO 2027'!$K$5,"EM ANDAMENTO","A INICIAR")))</f>
        <v>A INICIAR</v>
      </c>
    </row>
    <row r="3534" customFormat="false" ht="15" hidden="false" customHeight="false" outlineLevel="0" collapsed="false">
      <c r="B3534" s="4" t="n">
        <v>26745189</v>
      </c>
      <c r="C3534" s="4" t="s">
        <v>2948</v>
      </c>
      <c r="D3534" s="4" t="s">
        <v>433</v>
      </c>
      <c r="E3534" s="4" t="s">
        <v>3657</v>
      </c>
      <c r="F3534" s="127" t="n">
        <v>46846</v>
      </c>
      <c r="G3534" s="127" t="n">
        <v>46855</v>
      </c>
      <c r="H3534" s="127" t="n">
        <v>46293</v>
      </c>
      <c r="I3534" s="4" t="n">
        <v>0</v>
      </c>
      <c r="J3534" s="4" t="n">
        <v>0</v>
      </c>
      <c r="K3534" s="4" t="n">
        <v>0</v>
      </c>
      <c r="M3534" s="2" t="str">
        <f aca="false">IF(C3534="","",IFERROR(INDEX($S$5:$S$304,MATCH(C3534,$R$5:$R$304,0))&amp;"","?"))</f>
        <v>25</v>
      </c>
      <c r="N3534" s="2" t="n">
        <f aca="false">IF(E3534="","",IF(ISNUMBER(SEARCH("SUBSOLO",E3534)),IFERROR(-VALUE(LEFT(E3534,FIND("º",SUBSTITUTE(E3534,"°","º"))-1)),-1),IF(LEFT(E3534,6)="TÉRREO",0,IFERROR(VALUE(LEFT(E3534,FIND("º",SUBSTITUTE(E3534,"°","º"))-1)),""))))</f>
        <v>-5</v>
      </c>
      <c r="O3534" s="2" t="str">
        <f aca="false">IF(OR(F3534="",G3534=""),"",IF(G3534&lt;='RETRATO 2027'!$K$5,"CONCLUÍDA",IF(F3534&lt;='RETRATO 2027'!$K$5,"EM ANDAMENTO","A INICIAR")))</f>
        <v>A INICIAR</v>
      </c>
    </row>
    <row r="3535" customFormat="false" ht="15" hidden="false" customHeight="false" outlineLevel="0" collapsed="false">
      <c r="B3535" s="4" t="n">
        <v>26744993</v>
      </c>
      <c r="C3535" s="4" t="s">
        <v>2971</v>
      </c>
      <c r="D3535" s="4" t="s">
        <v>433</v>
      </c>
      <c r="E3535" s="4" t="s">
        <v>3662</v>
      </c>
      <c r="F3535" s="127" t="n">
        <v>46847</v>
      </c>
      <c r="G3535" s="127" t="n">
        <v>46856</v>
      </c>
      <c r="H3535" s="127" t="n">
        <v>46293</v>
      </c>
      <c r="I3535" s="4" t="n">
        <v>0</v>
      </c>
      <c r="J3535" s="4" t="n">
        <v>0</v>
      </c>
      <c r="K3535" s="4" t="n">
        <v>0</v>
      </c>
      <c r="M3535" s="2" t="str">
        <f aca="false">IF(C3535="","",IFERROR(INDEX($S$5:$S$304,MATCH(C3535,$R$5:$R$304,0))&amp;"","?"))</f>
        <v>37</v>
      </c>
      <c r="N3535" s="2" t="n">
        <f aca="false">IF(E3535="","",IF(ISNUMBER(SEARCH("SUBSOLO",E3535)),IFERROR(-VALUE(LEFT(E3535,FIND("º",SUBSTITUTE(E3535,"°","º"))-1)),-1),IF(LEFT(E3535,6)="TÉRREO",0,IFERROR(VALUE(LEFT(E3535,FIND("º",SUBSTITUTE(E3535,"°","º"))-1)),""))))</f>
        <v>-5</v>
      </c>
      <c r="O3535" s="2" t="str">
        <f aca="false">IF(OR(F3535="",G3535=""),"",IF(G3535&lt;='RETRATO 2027'!$K$5,"CONCLUÍDA",IF(F3535&lt;='RETRATO 2027'!$K$5,"EM ANDAMENTO","A INICIAR")))</f>
        <v>A INICIAR</v>
      </c>
    </row>
    <row r="3536" customFormat="false" ht="15" hidden="false" customHeight="false" outlineLevel="0" collapsed="false">
      <c r="B3536" s="4" t="n">
        <v>26743776</v>
      </c>
      <c r="C3536" s="4" t="s">
        <v>3006</v>
      </c>
      <c r="D3536" s="4" t="s">
        <v>433</v>
      </c>
      <c r="E3536" s="4" t="s">
        <v>3473</v>
      </c>
      <c r="F3536" s="127" t="n">
        <v>46849</v>
      </c>
      <c r="G3536" s="127" t="n">
        <v>46871</v>
      </c>
      <c r="H3536" s="127" t="n">
        <v>46293</v>
      </c>
      <c r="I3536" s="4" t="n">
        <v>0</v>
      </c>
      <c r="J3536" s="4" t="n">
        <v>0</v>
      </c>
      <c r="K3536" s="4" t="n">
        <v>0</v>
      </c>
      <c r="M3536" s="2" t="str">
        <f aca="false">IF(C3536="","",IFERROR(INDEX($S$5:$S$304,MATCH(C3536,$R$5:$R$304,0))&amp;"","?"))</f>
        <v>37</v>
      </c>
      <c r="N3536" s="2" t="n">
        <f aca="false">IF(E3536="","",IF(ISNUMBER(SEARCH("SUBSOLO",E3536)),IFERROR(-VALUE(LEFT(E3536,FIND("º",SUBSTITUTE(E3536,"°","º"))-1)),-1),IF(LEFT(E3536,6)="TÉRREO",0,IFERROR(VALUE(LEFT(E3536,FIND("º",SUBSTITUTE(E3536,"°","º"))-1)),""))))</f>
        <v>-5</v>
      </c>
      <c r="O3536" s="2" t="str">
        <f aca="false">IF(OR(F3536="",G3536=""),"",IF(G3536&lt;='RETRATO 2027'!$K$5,"CONCLUÍDA",IF(F3536&lt;='RETRATO 2027'!$K$5,"EM ANDAMENTO","A INICIAR")))</f>
        <v>A INICIAR</v>
      </c>
    </row>
    <row r="3537" customFormat="false" ht="15" hidden="false" customHeight="false" outlineLevel="0" collapsed="false">
      <c r="B3537" s="4" t="n">
        <v>26744780</v>
      </c>
      <c r="C3537" s="4" t="s">
        <v>3082</v>
      </c>
      <c r="D3537" s="4" t="s">
        <v>433</v>
      </c>
      <c r="E3537" s="4" t="s">
        <v>3769</v>
      </c>
      <c r="F3537" s="127" t="n">
        <v>46849</v>
      </c>
      <c r="G3537" s="127" t="n">
        <v>46856</v>
      </c>
      <c r="H3537" s="127" t="n">
        <v>46293</v>
      </c>
      <c r="I3537" s="4" t="n">
        <v>0</v>
      </c>
      <c r="J3537" s="4" t="n">
        <v>0</v>
      </c>
      <c r="K3537" s="4" t="n">
        <v>0</v>
      </c>
      <c r="M3537" s="2" t="str">
        <f aca="false">IF(C3537="","",IFERROR(INDEX($S$5:$S$304,MATCH(C3537,$R$5:$R$304,0))&amp;"","?"))</f>
        <v>30</v>
      </c>
      <c r="N3537" s="2" t="n">
        <f aca="false">IF(E3537="","",IF(ISNUMBER(SEARCH("SUBSOLO",E3537)),IFERROR(-VALUE(LEFT(E3537,FIND("º",SUBSTITUTE(E3537,"°","º"))-1)),-1),IF(LEFT(E3537,6)="TÉRREO",0,IFERROR(VALUE(LEFT(E3537,FIND("º",SUBSTITUTE(E3537,"°","º"))-1)),""))))</f>
        <v>3</v>
      </c>
      <c r="O3537" s="2" t="str">
        <f aca="false">IF(OR(F3537="",G3537=""),"",IF(G3537&lt;='RETRATO 2027'!$K$5,"CONCLUÍDA",IF(F3537&lt;='RETRATO 2027'!$K$5,"EM ANDAMENTO","A INICIAR")))</f>
        <v>A INICIAR</v>
      </c>
    </row>
    <row r="3538" customFormat="false" ht="15" hidden="false" customHeight="false" outlineLevel="0" collapsed="false">
      <c r="B3538" s="4" t="n">
        <v>26744747</v>
      </c>
      <c r="C3538" s="4" t="s">
        <v>3079</v>
      </c>
      <c r="D3538" s="4" t="s">
        <v>433</v>
      </c>
      <c r="E3538" s="4" t="s">
        <v>3784</v>
      </c>
      <c r="F3538" s="127" t="n">
        <v>46849</v>
      </c>
      <c r="G3538" s="127" t="n">
        <v>46856</v>
      </c>
      <c r="H3538" s="127" t="n">
        <v>46293</v>
      </c>
      <c r="I3538" s="4" t="n">
        <v>0</v>
      </c>
      <c r="J3538" s="4" t="n">
        <v>0</v>
      </c>
      <c r="K3538" s="4" t="n">
        <v>0</v>
      </c>
      <c r="M3538" s="2" t="str">
        <f aca="false">IF(C3538="","",IFERROR(INDEX($S$5:$S$304,MATCH(C3538,$R$5:$R$304,0))&amp;"","?"))</f>
        <v>25</v>
      </c>
      <c r="N3538" s="2" t="n">
        <f aca="false">IF(E3538="","",IF(ISNUMBER(SEARCH("SUBSOLO",E3538)),IFERROR(-VALUE(LEFT(E3538,FIND("º",SUBSTITUTE(E3538,"°","º"))-1)),-1),IF(LEFT(E3538,6)="TÉRREO",0,IFERROR(VALUE(LEFT(E3538,FIND("º",SUBSTITUTE(E3538,"°","º"))-1)),""))))</f>
        <v>3</v>
      </c>
      <c r="O3538" s="2" t="str">
        <f aca="false">IF(OR(F3538="",G3538=""),"",IF(G3538&lt;='RETRATO 2027'!$K$5,"CONCLUÍDA",IF(F3538&lt;='RETRATO 2027'!$K$5,"EM ANDAMENTO","A INICIAR")))</f>
        <v>A INICIAR</v>
      </c>
    </row>
    <row r="3539" customFormat="false" ht="15" hidden="false" customHeight="false" outlineLevel="0" collapsed="false">
      <c r="B3539" s="4" t="n">
        <v>26744714</v>
      </c>
      <c r="C3539" s="4" t="s">
        <v>2948</v>
      </c>
      <c r="D3539" s="4" t="s">
        <v>433</v>
      </c>
      <c r="E3539" s="4" t="s">
        <v>3800</v>
      </c>
      <c r="F3539" s="127" t="n">
        <v>46849</v>
      </c>
      <c r="G3539" s="127" t="n">
        <v>46856</v>
      </c>
      <c r="H3539" s="127" t="n">
        <v>46293</v>
      </c>
      <c r="I3539" s="4" t="n">
        <v>0</v>
      </c>
      <c r="J3539" s="4" t="n">
        <v>0</v>
      </c>
      <c r="K3539" s="4" t="n">
        <v>0</v>
      </c>
      <c r="M3539" s="2" t="str">
        <f aca="false">IF(C3539="","",IFERROR(INDEX($S$5:$S$304,MATCH(C3539,$R$5:$R$304,0))&amp;"","?"))</f>
        <v>25</v>
      </c>
      <c r="N3539" s="2" t="n">
        <f aca="false">IF(E3539="","",IF(ISNUMBER(SEARCH("SUBSOLO",E3539)),IFERROR(-VALUE(LEFT(E3539,FIND("º",SUBSTITUTE(E3539,"°","º"))-1)),-1),IF(LEFT(E3539,6)="TÉRREO",0,IFERROR(VALUE(LEFT(E3539,FIND("º",SUBSTITUTE(E3539,"°","º"))-1)),""))))</f>
        <v>3</v>
      </c>
      <c r="O3539" s="2" t="str">
        <f aca="false">IF(OR(F3539="",G3539=""),"",IF(G3539&lt;='RETRATO 2027'!$K$5,"CONCLUÍDA",IF(F3539&lt;='RETRATO 2027'!$K$5,"EM ANDAMENTO","A INICIAR")))</f>
        <v>A INICIAR</v>
      </c>
    </row>
    <row r="3540" customFormat="false" ht="15" hidden="false" customHeight="false" outlineLevel="0" collapsed="false">
      <c r="B3540" s="4" t="n">
        <v>30432999</v>
      </c>
      <c r="C3540" s="4" t="s">
        <v>3096</v>
      </c>
      <c r="D3540" s="4" t="s">
        <v>433</v>
      </c>
      <c r="E3540" s="4" t="s">
        <v>3668</v>
      </c>
      <c r="F3540" s="127" t="n">
        <v>46850</v>
      </c>
      <c r="G3540" s="127" t="n">
        <v>46861</v>
      </c>
      <c r="H3540" s="127" t="n">
        <v>46293</v>
      </c>
      <c r="I3540" s="4" t="n">
        <v>0</v>
      </c>
      <c r="J3540" s="4" t="n">
        <v>0</v>
      </c>
      <c r="K3540" s="4" t="n">
        <v>0</v>
      </c>
      <c r="M3540" s="2" t="str">
        <f aca="false">IF(C3540="","",IFERROR(INDEX($S$5:$S$304,MATCH(C3540,$R$5:$R$304,0))&amp;"","?"))</f>
        <v/>
      </c>
      <c r="N3540" s="2" t="n">
        <f aca="false">IF(E3540="","",IF(ISNUMBER(SEARCH("SUBSOLO",E3540)),IFERROR(-VALUE(LEFT(E3540,FIND("º",SUBSTITUTE(E3540,"°","º"))-1)),-1),IF(LEFT(E3540,6)="TÉRREO",0,IFERROR(VALUE(LEFT(E3540,FIND("º",SUBSTITUTE(E3540,"°","º"))-1)),""))))</f>
        <v>4</v>
      </c>
      <c r="O3540" s="2" t="str">
        <f aca="false">IF(OR(F3540="",G3540=""),"",IF(G3540&lt;='RETRATO 2027'!$K$5,"CONCLUÍDA",IF(F3540&lt;='RETRATO 2027'!$K$5,"EM ANDAMENTO","A INICIAR")))</f>
        <v>A INICIAR</v>
      </c>
    </row>
    <row r="3541" customFormat="false" ht="15" hidden="false" customHeight="false" outlineLevel="0" collapsed="false">
      <c r="B3541" s="4" t="n">
        <v>26743596</v>
      </c>
      <c r="C3541" s="4" t="s">
        <v>3029</v>
      </c>
      <c r="D3541" s="4" t="s">
        <v>433</v>
      </c>
      <c r="E3541" s="4" t="s">
        <v>3678</v>
      </c>
      <c r="F3541" s="127" t="n">
        <v>46850</v>
      </c>
      <c r="G3541" s="127" t="n">
        <v>46861</v>
      </c>
      <c r="H3541" s="127" t="n">
        <v>46293</v>
      </c>
      <c r="I3541" s="4" t="n">
        <v>0</v>
      </c>
      <c r="J3541" s="4" t="n">
        <v>0</v>
      </c>
      <c r="K3541" s="4" t="n">
        <v>0</v>
      </c>
      <c r="M3541" s="2" t="str">
        <f aca="false">IF(C3541="","",IFERROR(INDEX($S$5:$S$304,MATCH(C3541,$R$5:$R$304,0))&amp;"","?"))</f>
        <v/>
      </c>
      <c r="N3541" s="2" t="n">
        <f aca="false">IF(E3541="","",IF(ISNUMBER(SEARCH("SUBSOLO",E3541)),IFERROR(-VALUE(LEFT(E3541,FIND("º",SUBSTITUTE(E3541,"°","º"))-1)),-1),IF(LEFT(E3541,6)="TÉRREO",0,IFERROR(VALUE(LEFT(E3541,FIND("º",SUBSTITUTE(E3541,"°","º"))-1)),""))))</f>
        <v>5</v>
      </c>
      <c r="O3541" s="2" t="str">
        <f aca="false">IF(OR(F3541="",G3541=""),"",IF(G3541&lt;='RETRATO 2027'!$K$5,"CONCLUÍDA",IF(F3541&lt;='RETRATO 2027'!$K$5,"EM ANDAMENTO","A INICIAR")))</f>
        <v>A INICIAR</v>
      </c>
    </row>
    <row r="3542" customFormat="false" ht="15" hidden="false" customHeight="false" outlineLevel="0" collapsed="false">
      <c r="B3542" s="4" t="n">
        <v>26743557</v>
      </c>
      <c r="C3542" s="4" t="s">
        <v>2971</v>
      </c>
      <c r="D3542" s="4" t="s">
        <v>433</v>
      </c>
      <c r="E3542" s="4" t="s">
        <v>3685</v>
      </c>
      <c r="F3542" s="127" t="n">
        <v>46850</v>
      </c>
      <c r="G3542" s="127" t="n">
        <v>46861</v>
      </c>
      <c r="H3542" s="127" t="n">
        <v>46293</v>
      </c>
      <c r="I3542" s="4" t="n">
        <v>0</v>
      </c>
      <c r="J3542" s="4" t="n">
        <v>0</v>
      </c>
      <c r="K3542" s="4" t="n">
        <v>0</v>
      </c>
      <c r="M3542" s="2" t="str">
        <f aca="false">IF(C3542="","",IFERROR(INDEX($S$5:$S$304,MATCH(C3542,$R$5:$R$304,0))&amp;"","?"))</f>
        <v>37</v>
      </c>
      <c r="N3542" s="2" t="n">
        <f aca="false">IF(E3542="","",IF(ISNUMBER(SEARCH("SUBSOLO",E3542)),IFERROR(-VALUE(LEFT(E3542,FIND("º",SUBSTITUTE(E3542,"°","º"))-1)),-1),IF(LEFT(E3542,6)="TÉRREO",0,IFERROR(VALUE(LEFT(E3542,FIND("º",SUBSTITUTE(E3542,"°","º"))-1)),""))))</f>
        <v>6</v>
      </c>
      <c r="O3542" s="2" t="str">
        <f aca="false">IF(OR(F3542="",G3542=""),"",IF(G3542&lt;='RETRATO 2027'!$K$5,"CONCLUÍDA",IF(F3542&lt;='RETRATO 2027'!$K$5,"EM ANDAMENTO","A INICIAR")))</f>
        <v>A INICIAR</v>
      </c>
    </row>
    <row r="3543" customFormat="false" ht="15" hidden="false" customHeight="false" outlineLevel="0" collapsed="false">
      <c r="B3543" s="4" t="n">
        <v>26743519</v>
      </c>
      <c r="C3543" s="4" t="s">
        <v>3032</v>
      </c>
      <c r="D3543" s="4" t="s">
        <v>433</v>
      </c>
      <c r="E3543" s="4" t="s">
        <v>3686</v>
      </c>
      <c r="F3543" s="127" t="n">
        <v>46850</v>
      </c>
      <c r="G3543" s="127" t="n">
        <v>46861</v>
      </c>
      <c r="H3543" s="127" t="n">
        <v>46293</v>
      </c>
      <c r="I3543" s="4" t="n">
        <v>0</v>
      </c>
      <c r="J3543" s="4" t="n">
        <v>0</v>
      </c>
      <c r="K3543" s="4" t="n">
        <v>0</v>
      </c>
      <c r="M3543" s="2" t="str">
        <f aca="false">IF(C3543="","",IFERROR(INDEX($S$5:$S$304,MATCH(C3543,$R$5:$R$304,0))&amp;"","?"))</f>
        <v>35</v>
      </c>
      <c r="N3543" s="2" t="n">
        <f aca="false">IF(E3543="","",IF(ISNUMBER(SEARCH("SUBSOLO",E3543)),IFERROR(-VALUE(LEFT(E3543,FIND("º",SUBSTITUTE(E3543,"°","º"))-1)),-1),IF(LEFT(E3543,6)="TÉRREO",0,IFERROR(VALUE(LEFT(E3543,FIND("º",SUBSTITUTE(E3543,"°","º"))-1)),""))))</f>
        <v>7</v>
      </c>
      <c r="O3543" s="2" t="str">
        <f aca="false">IF(OR(F3543="",G3543=""),"",IF(G3543&lt;='RETRATO 2027'!$K$5,"CONCLUÍDA",IF(F3543&lt;='RETRATO 2027'!$K$5,"EM ANDAMENTO","A INICIAR")))</f>
        <v>A INICIAR</v>
      </c>
    </row>
    <row r="3544" customFormat="false" ht="15" hidden="false" customHeight="false" outlineLevel="0" collapsed="false">
      <c r="B3544" s="4" t="n">
        <v>26743476</v>
      </c>
      <c r="C3544" s="4" t="s">
        <v>3093</v>
      </c>
      <c r="D3544" s="4" t="s">
        <v>433</v>
      </c>
      <c r="E3544" s="4" t="s">
        <v>3706</v>
      </c>
      <c r="F3544" s="127" t="n">
        <v>46850</v>
      </c>
      <c r="G3544" s="127" t="n">
        <v>46861</v>
      </c>
      <c r="H3544" s="127" t="n">
        <v>46293</v>
      </c>
      <c r="I3544" s="4" t="n">
        <v>0</v>
      </c>
      <c r="J3544" s="4" t="n">
        <v>0</v>
      </c>
      <c r="K3544" s="4" t="n">
        <v>0</v>
      </c>
      <c r="M3544" s="2" t="str">
        <f aca="false">IF(C3544="","",IFERROR(INDEX($S$5:$S$304,MATCH(C3544,$R$5:$R$304,0))&amp;"","?"))</f>
        <v>34</v>
      </c>
      <c r="N3544" s="2" t="n">
        <f aca="false">IF(E3544="","",IF(ISNUMBER(SEARCH("SUBSOLO",E3544)),IFERROR(-VALUE(LEFT(E3544,FIND("º",SUBSTITUTE(E3544,"°","º"))-1)),-1),IF(LEFT(E3544,6)="TÉRREO",0,IFERROR(VALUE(LEFT(E3544,FIND("º",SUBSTITUTE(E3544,"°","º"))-1)),""))))</f>
        <v>8</v>
      </c>
      <c r="O3544" s="2" t="str">
        <f aca="false">IF(OR(F3544="",G3544=""),"",IF(G3544&lt;='RETRATO 2027'!$K$5,"CONCLUÍDA",IF(F3544&lt;='RETRATO 2027'!$K$5,"EM ANDAMENTO","A INICIAR")))</f>
        <v>A INICIAR</v>
      </c>
    </row>
    <row r="3545" customFormat="false" ht="15" hidden="false" customHeight="false" outlineLevel="0" collapsed="false">
      <c r="B3545" s="4" t="n">
        <v>26743498</v>
      </c>
      <c r="C3545" s="4" t="s">
        <v>2965</v>
      </c>
      <c r="D3545" s="4" t="s">
        <v>433</v>
      </c>
      <c r="E3545" s="4" t="s">
        <v>3706</v>
      </c>
      <c r="F3545" s="127" t="n">
        <v>46850</v>
      </c>
      <c r="G3545" s="127" t="n">
        <v>46861</v>
      </c>
      <c r="H3545" s="127" t="n">
        <v>46293</v>
      </c>
      <c r="I3545" s="4" t="n">
        <v>0</v>
      </c>
      <c r="J3545" s="4" t="n">
        <v>0</v>
      </c>
      <c r="K3545" s="4" t="n">
        <v>0</v>
      </c>
      <c r="M3545" s="2" t="str">
        <f aca="false">IF(C3545="","",IFERROR(INDEX($S$5:$S$304,MATCH(C3545,$R$5:$R$304,0))&amp;"","?"))</f>
        <v>20</v>
      </c>
      <c r="N3545" s="2" t="n">
        <f aca="false">IF(E3545="","",IF(ISNUMBER(SEARCH("SUBSOLO",E3545)),IFERROR(-VALUE(LEFT(E3545,FIND("º",SUBSTITUTE(E3545,"°","º"))-1)),-1),IF(LEFT(E3545,6)="TÉRREO",0,IFERROR(VALUE(LEFT(E3545,FIND("º",SUBSTITUTE(E3545,"°","º"))-1)),""))))</f>
        <v>8</v>
      </c>
      <c r="O3545" s="2" t="str">
        <f aca="false">IF(OR(F3545="",G3545=""),"",IF(G3545&lt;='RETRATO 2027'!$K$5,"CONCLUÍDA",IF(F3545&lt;='RETRATO 2027'!$K$5,"EM ANDAMENTO","A INICIAR")))</f>
        <v>A INICIAR</v>
      </c>
    </row>
    <row r="3546" customFormat="false" ht="15" hidden="false" customHeight="false" outlineLevel="0" collapsed="false">
      <c r="B3546" s="4" t="n">
        <v>26743438</v>
      </c>
      <c r="C3546" s="4" t="s">
        <v>3021</v>
      </c>
      <c r="D3546" s="4" t="s">
        <v>433</v>
      </c>
      <c r="E3546" s="4" t="s">
        <v>3716</v>
      </c>
      <c r="F3546" s="127" t="n">
        <v>46850</v>
      </c>
      <c r="G3546" s="127" t="n">
        <v>46861</v>
      </c>
      <c r="H3546" s="127" t="n">
        <v>46293</v>
      </c>
      <c r="I3546" s="4" t="n">
        <v>0</v>
      </c>
      <c r="J3546" s="4" t="n">
        <v>0</v>
      </c>
      <c r="K3546" s="4" t="n">
        <v>0</v>
      </c>
      <c r="M3546" s="2" t="str">
        <f aca="false">IF(C3546="","",IFERROR(INDEX($S$5:$S$304,MATCH(C3546,$R$5:$R$304,0))&amp;"","?"))</f>
        <v>35</v>
      </c>
      <c r="N3546" s="2" t="n">
        <f aca="false">IF(E3546="","",IF(ISNUMBER(SEARCH("SUBSOLO",E3546)),IFERROR(-VALUE(LEFT(E3546,FIND("º",SUBSTITUTE(E3546,"°","º"))-1)),-1),IF(LEFT(E3546,6)="TÉRREO",0,IFERROR(VALUE(LEFT(E3546,FIND("º",SUBSTITUTE(E3546,"°","º"))-1)),""))))</f>
        <v>9</v>
      </c>
      <c r="O3546" s="2" t="str">
        <f aca="false">IF(OR(F3546="",G3546=""),"",IF(G3546&lt;='RETRATO 2027'!$K$5,"CONCLUÍDA",IF(F3546&lt;='RETRATO 2027'!$K$5,"EM ANDAMENTO","A INICIAR")))</f>
        <v>A INICIAR</v>
      </c>
    </row>
    <row r="3547" customFormat="false" ht="15" hidden="false" customHeight="false" outlineLevel="0" collapsed="false">
      <c r="B3547" s="4" t="n">
        <v>26743403</v>
      </c>
      <c r="C3547" s="4" t="s">
        <v>3006</v>
      </c>
      <c r="D3547" s="4" t="s">
        <v>433</v>
      </c>
      <c r="E3547" s="4" t="s">
        <v>3722</v>
      </c>
      <c r="F3547" s="127" t="n">
        <v>46850</v>
      </c>
      <c r="G3547" s="127" t="n">
        <v>46861</v>
      </c>
      <c r="H3547" s="127" t="n">
        <v>46293</v>
      </c>
      <c r="I3547" s="4" t="n">
        <v>0</v>
      </c>
      <c r="J3547" s="4" t="n">
        <v>0</v>
      </c>
      <c r="K3547" s="4" t="n">
        <v>0</v>
      </c>
      <c r="M3547" s="2" t="str">
        <f aca="false">IF(C3547="","",IFERROR(INDEX($S$5:$S$304,MATCH(C3547,$R$5:$R$304,0))&amp;"","?"))</f>
        <v>37</v>
      </c>
      <c r="N3547" s="2" t="n">
        <f aca="false">IF(E3547="","",IF(ISNUMBER(SEARCH("SUBSOLO",E3547)),IFERROR(-VALUE(LEFT(E3547,FIND("º",SUBSTITUTE(E3547,"°","º"))-1)),-1),IF(LEFT(E3547,6)="TÉRREO",0,IFERROR(VALUE(LEFT(E3547,FIND("º",SUBSTITUTE(E3547,"°","º"))-1)),""))))</f>
        <v>10</v>
      </c>
      <c r="O3547" s="2" t="str">
        <f aca="false">IF(OR(F3547="",G3547=""),"",IF(G3547&lt;='RETRATO 2027'!$K$5,"CONCLUÍDA",IF(F3547&lt;='RETRATO 2027'!$K$5,"EM ANDAMENTO","A INICIAR")))</f>
        <v>A INICIAR</v>
      </c>
    </row>
    <row r="3548" customFormat="false" ht="15" hidden="false" customHeight="false" outlineLevel="0" collapsed="false">
      <c r="B3548" s="4" t="n">
        <v>26743368</v>
      </c>
      <c r="C3548" s="4" t="s">
        <v>2962</v>
      </c>
      <c r="D3548" s="4" t="s">
        <v>433</v>
      </c>
      <c r="E3548" s="4" t="s">
        <v>3762</v>
      </c>
      <c r="F3548" s="127" t="n">
        <v>46850</v>
      </c>
      <c r="G3548" s="127" t="n">
        <v>46861</v>
      </c>
      <c r="H3548" s="127" t="n">
        <v>46293</v>
      </c>
      <c r="I3548" s="4" t="n">
        <v>0</v>
      </c>
      <c r="J3548" s="4" t="n">
        <v>0</v>
      </c>
      <c r="K3548" s="4" t="n">
        <v>0</v>
      </c>
      <c r="M3548" s="2" t="str">
        <f aca="false">IF(C3548="","",IFERROR(INDEX($S$5:$S$304,MATCH(C3548,$R$5:$R$304,0))&amp;"","?"))</f>
        <v>34</v>
      </c>
      <c r="N3548" s="2" t="n">
        <f aca="false">IF(E3548="","",IF(ISNUMBER(SEARCH("SUBSOLO",E3548)),IFERROR(-VALUE(LEFT(E3548,FIND("º",SUBSTITUTE(E3548,"°","º"))-1)),-1),IF(LEFT(E3548,6)="TÉRREO",0,IFERROR(VALUE(LEFT(E3548,FIND("º",SUBSTITUTE(E3548,"°","º"))-1)),""))))</f>
        <v>11</v>
      </c>
      <c r="O3548" s="2" t="str">
        <f aca="false">IF(OR(F3548="",G3548=""),"",IF(G3548&lt;='RETRATO 2027'!$K$5,"CONCLUÍDA",IF(F3548&lt;='RETRATO 2027'!$K$5,"EM ANDAMENTO","A INICIAR")))</f>
        <v>A INICIAR</v>
      </c>
    </row>
    <row r="3549" customFormat="false" ht="15" hidden="false" customHeight="false" outlineLevel="0" collapsed="false">
      <c r="B3549" s="4" t="n">
        <v>26743373</v>
      </c>
      <c r="C3549" s="4" t="s">
        <v>3088</v>
      </c>
      <c r="D3549" s="4" t="s">
        <v>433</v>
      </c>
      <c r="E3549" s="4" t="s">
        <v>3762</v>
      </c>
      <c r="F3549" s="127" t="n">
        <v>46850</v>
      </c>
      <c r="G3549" s="127" t="n">
        <v>46861</v>
      </c>
      <c r="H3549" s="127" t="n">
        <v>46293</v>
      </c>
      <c r="I3549" s="4" t="n">
        <v>0</v>
      </c>
      <c r="J3549" s="4" t="n">
        <v>0</v>
      </c>
      <c r="K3549" s="4" t="n">
        <v>0</v>
      </c>
      <c r="M3549" s="2" t="str">
        <f aca="false">IF(C3549="","",IFERROR(INDEX($S$5:$S$304,MATCH(C3549,$R$5:$R$304,0))&amp;"","?"))</f>
        <v>20</v>
      </c>
      <c r="N3549" s="2" t="n">
        <f aca="false">IF(E3549="","",IF(ISNUMBER(SEARCH("SUBSOLO",E3549)),IFERROR(-VALUE(LEFT(E3549,FIND("º",SUBSTITUTE(E3549,"°","º"))-1)),-1),IF(LEFT(E3549,6)="TÉRREO",0,IFERROR(VALUE(LEFT(E3549,FIND("º",SUBSTITUTE(E3549,"°","º"))-1)),""))))</f>
        <v>11</v>
      </c>
      <c r="O3549" s="2" t="str">
        <f aca="false">IF(OR(F3549="",G3549=""),"",IF(G3549&lt;='RETRATO 2027'!$K$5,"CONCLUÍDA",IF(F3549&lt;='RETRATO 2027'!$K$5,"EM ANDAMENTO","A INICIAR")))</f>
        <v>A INICIAR</v>
      </c>
    </row>
    <row r="3550" customFormat="false" ht="15" hidden="false" customHeight="false" outlineLevel="0" collapsed="false">
      <c r="B3550" s="4" t="n">
        <v>26743392</v>
      </c>
      <c r="C3550" s="4" t="s">
        <v>3009</v>
      </c>
      <c r="D3550" s="4" t="s">
        <v>433</v>
      </c>
      <c r="E3550" s="4" t="s">
        <v>3762</v>
      </c>
      <c r="F3550" s="127" t="n">
        <v>46850</v>
      </c>
      <c r="G3550" s="127" t="n">
        <v>46861</v>
      </c>
      <c r="H3550" s="127" t="n">
        <v>46293</v>
      </c>
      <c r="I3550" s="4" t="n">
        <v>0</v>
      </c>
      <c r="J3550" s="4" t="n">
        <v>0</v>
      </c>
      <c r="K3550" s="4" t="n">
        <v>0</v>
      </c>
      <c r="M3550" s="2" t="str">
        <f aca="false">IF(C3550="","",IFERROR(INDEX($S$5:$S$304,MATCH(C3550,$R$5:$R$304,0))&amp;"","?"))</f>
        <v>23</v>
      </c>
      <c r="N3550" s="2" t="n">
        <f aca="false">IF(E3550="","",IF(ISNUMBER(SEARCH("SUBSOLO",E3550)),IFERROR(-VALUE(LEFT(E3550,FIND("º",SUBSTITUTE(E3550,"°","º"))-1)),-1),IF(LEFT(E3550,6)="TÉRREO",0,IFERROR(VALUE(LEFT(E3550,FIND("º",SUBSTITUTE(E3550,"°","º"))-1)),""))))</f>
        <v>11</v>
      </c>
      <c r="O3550" s="2" t="str">
        <f aca="false">IF(OR(F3550="",G3550=""),"",IF(G3550&lt;='RETRATO 2027'!$K$5,"CONCLUÍDA",IF(F3550&lt;='RETRATO 2027'!$K$5,"EM ANDAMENTO","A INICIAR")))</f>
        <v>A INICIAR</v>
      </c>
    </row>
    <row r="3551" customFormat="false" ht="15" hidden="false" customHeight="false" outlineLevel="0" collapsed="false">
      <c r="B3551" s="4" t="n">
        <v>26743330</v>
      </c>
      <c r="C3551" s="4" t="s">
        <v>3082</v>
      </c>
      <c r="D3551" s="4" t="s">
        <v>433</v>
      </c>
      <c r="E3551" s="4" t="s">
        <v>3763</v>
      </c>
      <c r="F3551" s="127" t="n">
        <v>46850</v>
      </c>
      <c r="G3551" s="127" t="n">
        <v>46861</v>
      </c>
      <c r="H3551" s="127" t="n">
        <v>46293</v>
      </c>
      <c r="I3551" s="4" t="n">
        <v>0</v>
      </c>
      <c r="J3551" s="4" t="n">
        <v>0</v>
      </c>
      <c r="K3551" s="4" t="n">
        <v>0</v>
      </c>
      <c r="M3551" s="2" t="str">
        <f aca="false">IF(C3551="","",IFERROR(INDEX($S$5:$S$304,MATCH(C3551,$R$5:$R$304,0))&amp;"","?"))</f>
        <v>30</v>
      </c>
      <c r="N3551" s="2" t="n">
        <f aca="false">IF(E3551="","",IF(ISNUMBER(SEARCH("SUBSOLO",E3551)),IFERROR(-VALUE(LEFT(E3551,FIND("º",SUBSTITUTE(E3551,"°","º"))-1)),-1),IF(LEFT(E3551,6)="TÉRREO",0,IFERROR(VALUE(LEFT(E3551,FIND("º",SUBSTITUTE(E3551,"°","º"))-1)),""))))</f>
        <v>12</v>
      </c>
      <c r="O3551" s="2" t="str">
        <f aca="false">IF(OR(F3551="",G3551=""),"",IF(G3551&lt;='RETRATO 2027'!$K$5,"CONCLUÍDA",IF(F3551&lt;='RETRATO 2027'!$K$5,"EM ANDAMENTO","A INICIAR")))</f>
        <v>A INICIAR</v>
      </c>
    </row>
    <row r="3552" customFormat="false" ht="15" hidden="false" customHeight="false" outlineLevel="0" collapsed="false">
      <c r="B3552" s="4" t="n">
        <v>26743323</v>
      </c>
      <c r="C3552" s="4" t="s">
        <v>3079</v>
      </c>
      <c r="D3552" s="4" t="s">
        <v>433</v>
      </c>
      <c r="E3552" s="4" t="s">
        <v>3764</v>
      </c>
      <c r="F3552" s="127" t="n">
        <v>46850</v>
      </c>
      <c r="G3552" s="127" t="n">
        <v>46861</v>
      </c>
      <c r="H3552" s="127" t="n">
        <v>46293</v>
      </c>
      <c r="I3552" s="4" t="n">
        <v>0</v>
      </c>
      <c r="J3552" s="4" t="n">
        <v>0</v>
      </c>
      <c r="K3552" s="4" t="n">
        <v>0</v>
      </c>
      <c r="M3552" s="2" t="str">
        <f aca="false">IF(C3552="","",IFERROR(INDEX($S$5:$S$304,MATCH(C3552,$R$5:$R$304,0))&amp;"","?"))</f>
        <v>25</v>
      </c>
      <c r="N3552" s="2" t="n">
        <f aca="false">IF(E3552="","",IF(ISNUMBER(SEARCH("SUBSOLO",E3552)),IFERROR(-VALUE(LEFT(E3552,FIND("º",SUBSTITUTE(E3552,"°","º"))-1)),-1),IF(LEFT(E3552,6)="TÉRREO",0,IFERROR(VALUE(LEFT(E3552,FIND("º",SUBSTITUTE(E3552,"°","º"))-1)),""))))</f>
        <v>13</v>
      </c>
      <c r="O3552" s="2" t="str">
        <f aca="false">IF(OR(F3552="",G3552=""),"",IF(G3552&lt;='RETRATO 2027'!$K$5,"CONCLUÍDA",IF(F3552&lt;='RETRATO 2027'!$K$5,"EM ANDAMENTO","A INICIAR")))</f>
        <v>A INICIAR</v>
      </c>
    </row>
    <row r="3553" customFormat="false" ht="15" hidden="false" customHeight="false" outlineLevel="0" collapsed="false">
      <c r="B3553" s="4" t="n">
        <v>26743284</v>
      </c>
      <c r="C3553" s="4" t="s">
        <v>3073</v>
      </c>
      <c r="D3553" s="4" t="s">
        <v>433</v>
      </c>
      <c r="E3553" s="4" t="s">
        <v>3765</v>
      </c>
      <c r="F3553" s="127" t="n">
        <v>46850</v>
      </c>
      <c r="G3553" s="127" t="n">
        <v>46861</v>
      </c>
      <c r="H3553" s="127" t="n">
        <v>46293</v>
      </c>
      <c r="I3553" s="4" t="n">
        <v>0</v>
      </c>
      <c r="J3553" s="4" t="n">
        <v>0</v>
      </c>
      <c r="K3553" s="4" t="n">
        <v>0</v>
      </c>
      <c r="M3553" s="2" t="str">
        <f aca="false">IF(C3553="","",IFERROR(INDEX($S$5:$S$304,MATCH(C3553,$R$5:$R$304,0))&amp;"","?"))</f>
        <v>30</v>
      </c>
      <c r="N3553" s="2" t="n">
        <f aca="false">IF(E3553="","",IF(ISNUMBER(SEARCH("SUBSOLO",E3553)),IFERROR(-VALUE(LEFT(E3553,FIND("º",SUBSTITUTE(E3553,"°","º"))-1)),-1),IF(LEFT(E3553,6)="TÉRREO",0,IFERROR(VALUE(LEFT(E3553,FIND("º",SUBSTITUTE(E3553,"°","º"))-1)),""))))</f>
        <v>14</v>
      </c>
      <c r="O3553" s="2" t="str">
        <f aca="false">IF(OR(F3553="",G3553=""),"",IF(G3553&lt;='RETRATO 2027'!$K$5,"CONCLUÍDA",IF(F3553&lt;='RETRATO 2027'!$K$5,"EM ANDAMENTO","A INICIAR")))</f>
        <v>A INICIAR</v>
      </c>
    </row>
    <row r="3554" customFormat="false" ht="15" hidden="false" customHeight="false" outlineLevel="0" collapsed="false">
      <c r="B3554" s="4" t="n">
        <v>26743246</v>
      </c>
      <c r="C3554" s="4" t="s">
        <v>3055</v>
      </c>
      <c r="D3554" s="4" t="s">
        <v>433</v>
      </c>
      <c r="E3554" s="4" t="s">
        <v>3768</v>
      </c>
      <c r="F3554" s="127" t="n">
        <v>46850</v>
      </c>
      <c r="G3554" s="127" t="n">
        <v>46861</v>
      </c>
      <c r="H3554" s="127" t="n">
        <v>46293</v>
      </c>
      <c r="I3554" s="4" t="n">
        <v>0</v>
      </c>
      <c r="J3554" s="4" t="n">
        <v>0</v>
      </c>
      <c r="K3554" s="4" t="n">
        <v>0</v>
      </c>
      <c r="M3554" s="2" t="str">
        <f aca="false">IF(C3554="","",IFERROR(INDEX($S$5:$S$304,MATCH(C3554,$R$5:$R$304,0))&amp;"","?"))</f>
        <v>25</v>
      </c>
      <c r="N3554" s="2" t="n">
        <f aca="false">IF(E3554="","",IF(ISNUMBER(SEARCH("SUBSOLO",E3554)),IFERROR(-VALUE(LEFT(E3554,FIND("º",SUBSTITUTE(E3554,"°","º"))-1)),-1),IF(LEFT(E3554,6)="TÉRREO",0,IFERROR(VALUE(LEFT(E3554,FIND("º",SUBSTITUTE(E3554,"°","º"))-1)),""))))</f>
        <v>15</v>
      </c>
      <c r="O3554" s="2" t="str">
        <f aca="false">IF(OR(F3554="",G3554=""),"",IF(G3554&lt;='RETRATO 2027'!$K$5,"CONCLUÍDA",IF(F3554&lt;='RETRATO 2027'!$K$5,"EM ANDAMENTO","A INICIAR")))</f>
        <v>A INICIAR</v>
      </c>
    </row>
    <row r="3555" customFormat="false" ht="15" hidden="false" customHeight="false" outlineLevel="0" collapsed="false">
      <c r="B3555" s="4" t="n">
        <v>26744704</v>
      </c>
      <c r="C3555" s="4" t="s">
        <v>2997</v>
      </c>
      <c r="D3555" s="4" t="s">
        <v>433</v>
      </c>
      <c r="E3555" s="4" t="s">
        <v>3810</v>
      </c>
      <c r="F3555" s="127" t="n">
        <v>46853</v>
      </c>
      <c r="G3555" s="127" t="n">
        <v>46861</v>
      </c>
      <c r="H3555" s="127" t="n">
        <v>46293</v>
      </c>
      <c r="I3555" s="4" t="n">
        <v>0</v>
      </c>
      <c r="J3555" s="4" t="n">
        <v>0</v>
      </c>
      <c r="K3555" s="4" t="n">
        <v>0</v>
      </c>
      <c r="M3555" s="2" t="str">
        <f aca="false">IF(C3555="","",IFERROR(INDEX($S$5:$S$304,MATCH(C3555,$R$5:$R$304,0))&amp;"","?"))</f>
        <v>35</v>
      </c>
      <c r="N3555" s="2" t="n">
        <f aca="false">IF(E3555="","",IF(ISNUMBER(SEARCH("SUBSOLO",E3555)),IFERROR(-VALUE(LEFT(E3555,FIND("º",SUBSTITUTE(E3555,"°","º"))-1)),-1),IF(LEFT(E3555,6)="TÉRREO",0,IFERROR(VALUE(LEFT(E3555,FIND("º",SUBSTITUTE(E3555,"°","º"))-1)),""))))</f>
        <v>3</v>
      </c>
      <c r="O3555" s="2" t="str">
        <f aca="false">IF(OR(F3555="",G3555=""),"",IF(G3555&lt;='RETRATO 2027'!$K$5,"CONCLUÍDA",IF(F3555&lt;='RETRATO 2027'!$K$5,"EM ANDAMENTO","A INICIAR")))</f>
        <v>A INICIAR</v>
      </c>
    </row>
    <row r="3556" customFormat="false" ht="15" hidden="false" customHeight="false" outlineLevel="0" collapsed="false">
      <c r="B3556" s="4" t="n">
        <v>26790242</v>
      </c>
      <c r="C3556" s="4" t="s">
        <v>3099</v>
      </c>
      <c r="D3556" s="4" t="s">
        <v>433</v>
      </c>
      <c r="E3556" s="4" t="s">
        <v>3821</v>
      </c>
      <c r="F3556" s="127" t="n">
        <v>46854</v>
      </c>
      <c r="G3556" s="127" t="n">
        <v>46896</v>
      </c>
      <c r="H3556" s="127" t="n">
        <v>46293</v>
      </c>
      <c r="I3556" s="4" t="n">
        <v>0</v>
      </c>
      <c r="J3556" s="4" t="n">
        <v>0</v>
      </c>
      <c r="K3556" s="4" t="n">
        <v>0</v>
      </c>
      <c r="M3556" s="2" t="str">
        <f aca="false">IF(C3556="","",IFERROR(INDEX($S$5:$S$304,MATCH(C3556,$R$5:$R$304,0))&amp;"","?"))</f>
        <v>20</v>
      </c>
      <c r="N3556" s="2" t="n">
        <f aca="false">IF(E3556="","",IF(ISNUMBER(SEARCH("SUBSOLO",E3556)),IFERROR(-VALUE(LEFT(E3556,FIND("º",SUBSTITUTE(E3556,"°","º"))-1)),-1),IF(LEFT(E3556,6)="TÉRREO",0,IFERROR(VALUE(LEFT(E3556,FIND("º",SUBSTITUTE(E3556,"°","º"))-1)),""))))</f>
        <v>-6</v>
      </c>
      <c r="O3556" s="2" t="str">
        <f aca="false">IF(OR(F3556="",G3556=""),"",IF(G3556&lt;='RETRATO 2027'!$K$5,"CONCLUÍDA",IF(F3556&lt;='RETRATO 2027'!$K$5,"EM ANDAMENTO","A INICIAR")))</f>
        <v>A INICIAR</v>
      </c>
    </row>
    <row r="3557" customFormat="false" ht="15" hidden="false" customHeight="false" outlineLevel="0" collapsed="false">
      <c r="B3557" s="4" t="n">
        <v>26707577</v>
      </c>
      <c r="C3557" s="4" t="s">
        <v>2997</v>
      </c>
      <c r="D3557" s="4" t="s">
        <v>433</v>
      </c>
      <c r="E3557" s="4" t="s">
        <v>3822</v>
      </c>
      <c r="F3557" s="127" t="n">
        <v>46854</v>
      </c>
      <c r="G3557" s="127" t="n">
        <v>46877</v>
      </c>
      <c r="H3557" s="127" t="n">
        <v>46293</v>
      </c>
      <c r="I3557" s="4" t="n">
        <v>0</v>
      </c>
      <c r="J3557" s="4" t="n">
        <v>0</v>
      </c>
      <c r="K3557" s="4" t="n">
        <v>0</v>
      </c>
      <c r="M3557" s="2" t="str">
        <f aca="false">IF(C3557="","",IFERROR(INDEX($S$5:$S$304,MATCH(C3557,$R$5:$R$304,0))&amp;"","?"))</f>
        <v>35</v>
      </c>
      <c r="N3557" s="2" t="n">
        <f aca="false">IF(E3557="","",IF(ISNUMBER(SEARCH("SUBSOLO",E3557)),IFERROR(-VALUE(LEFT(E3557,FIND("º",SUBSTITUTE(E3557,"°","º"))-1)),-1),IF(LEFT(E3557,6)="TÉRREO",0,IFERROR(VALUE(LEFT(E3557,FIND("º",SUBSTITUTE(E3557,"°","º"))-1)),""))))</f>
        <v>2</v>
      </c>
      <c r="O3557" s="2" t="str">
        <f aca="false">IF(OR(F3557="",G3557=""),"",IF(G3557&lt;='RETRATO 2027'!$K$5,"CONCLUÍDA",IF(F3557&lt;='RETRATO 2027'!$K$5,"EM ANDAMENTO","A INICIAR")))</f>
        <v>A INICIAR</v>
      </c>
    </row>
    <row r="3558" customFormat="false" ht="15" hidden="false" customHeight="false" outlineLevel="0" collapsed="false">
      <c r="B3558" s="4" t="n">
        <v>26744657</v>
      </c>
      <c r="C3558" s="4" t="s">
        <v>2956</v>
      </c>
      <c r="D3558" s="4" t="s">
        <v>433</v>
      </c>
      <c r="E3558" s="4" t="s">
        <v>3774</v>
      </c>
      <c r="F3558" s="127" t="n">
        <v>46854</v>
      </c>
      <c r="G3558" s="127" t="n">
        <v>46863</v>
      </c>
      <c r="H3558" s="127" t="n">
        <v>46293</v>
      </c>
      <c r="I3558" s="4" t="n">
        <v>0</v>
      </c>
      <c r="J3558" s="4" t="n">
        <v>0</v>
      </c>
      <c r="K3558" s="4" t="n">
        <v>0</v>
      </c>
      <c r="M3558" s="2" t="str">
        <f aca="false">IF(C3558="","",IFERROR(INDEX($S$5:$S$304,MATCH(C3558,$R$5:$R$304,0))&amp;"","?"))</f>
        <v>18</v>
      </c>
      <c r="N3558" s="2" t="n">
        <f aca="false">IF(E3558="","",IF(ISNUMBER(SEARCH("SUBSOLO",E3558)),IFERROR(-VALUE(LEFT(E3558,FIND("º",SUBSTITUTE(E3558,"°","º"))-1)),-1),IF(LEFT(E3558,6)="TÉRREO",0,IFERROR(VALUE(LEFT(E3558,FIND("º",SUBSTITUTE(E3558,"°","º"))-1)),""))))</f>
        <v>3</v>
      </c>
      <c r="O3558" s="2" t="str">
        <f aca="false">IF(OR(F3558="",G3558=""),"",IF(G3558&lt;='RETRATO 2027'!$K$5,"CONCLUÍDA",IF(F3558&lt;='RETRATO 2027'!$K$5,"EM ANDAMENTO","A INICIAR")))</f>
        <v>A INICIAR</v>
      </c>
    </row>
    <row r="3559" customFormat="false" ht="15" hidden="false" customHeight="false" outlineLevel="0" collapsed="false">
      <c r="B3559" s="4" t="n">
        <v>26708163</v>
      </c>
      <c r="C3559" s="4" t="s">
        <v>166</v>
      </c>
      <c r="D3559" s="4" t="s">
        <v>433</v>
      </c>
      <c r="E3559" s="4" t="s">
        <v>3628</v>
      </c>
      <c r="F3559" s="127" t="n">
        <v>46855</v>
      </c>
      <c r="G3559" s="127" t="n">
        <v>46868</v>
      </c>
      <c r="H3559" s="127" t="n">
        <v>46293</v>
      </c>
      <c r="I3559" s="4" t="n">
        <v>0</v>
      </c>
      <c r="J3559" s="4" t="n">
        <v>0</v>
      </c>
      <c r="K3559" s="4" t="n">
        <v>0</v>
      </c>
      <c r="M3559" s="2" t="str">
        <f aca="false">IF(C3559="","",IFERROR(INDEX($S$5:$S$304,MATCH(C3559,$R$5:$R$304,0))&amp;"","?"))</f>
        <v>19</v>
      </c>
      <c r="N3559" s="2" t="n">
        <f aca="false">IF(E3559="","",IF(ISNUMBER(SEARCH("SUBSOLO",E3559)),IFERROR(-VALUE(LEFT(E3559,FIND("º",SUBSTITUTE(E3559,"°","º"))-1)),-1),IF(LEFT(E3559,6)="TÉRREO",0,IFERROR(VALUE(LEFT(E3559,FIND("º",SUBSTITUTE(E3559,"°","º"))-1)),""))))</f>
        <v>-6</v>
      </c>
      <c r="O3559" s="2" t="str">
        <f aca="false">IF(OR(F3559="",G3559=""),"",IF(G3559&lt;='RETRATO 2027'!$K$5,"CONCLUÍDA",IF(F3559&lt;='RETRATO 2027'!$K$5,"EM ANDAMENTO","A INICIAR")))</f>
        <v>A INICIAR</v>
      </c>
    </row>
    <row r="3560" customFormat="false" ht="15" hidden="false" customHeight="false" outlineLevel="0" collapsed="false">
      <c r="B3560" s="4" t="n">
        <v>26744387</v>
      </c>
      <c r="C3560" s="4" t="s">
        <v>2965</v>
      </c>
      <c r="D3560" s="4" t="s">
        <v>433</v>
      </c>
      <c r="E3560" s="4" t="s">
        <v>3243</v>
      </c>
      <c r="F3560" s="127" t="n">
        <v>46855</v>
      </c>
      <c r="G3560" s="127" t="n">
        <v>46899</v>
      </c>
      <c r="H3560" s="127" t="n">
        <v>46293</v>
      </c>
      <c r="I3560" s="4" t="n">
        <v>0</v>
      </c>
      <c r="J3560" s="4" t="n">
        <v>0</v>
      </c>
      <c r="K3560" s="4" t="n">
        <v>0</v>
      </c>
      <c r="M3560" s="2" t="str">
        <f aca="false">IF(C3560="","",IFERROR(INDEX($S$5:$S$304,MATCH(C3560,$R$5:$R$304,0))&amp;"","?"))</f>
        <v>20</v>
      </c>
      <c r="N3560" s="2" t="n">
        <f aca="false">IF(E3560="","",IF(ISNUMBER(SEARCH("SUBSOLO",E3560)),IFERROR(-VALUE(LEFT(E3560,FIND("º",SUBSTITUTE(E3560,"°","º"))-1)),-1),IF(LEFT(E3560,6)="TÉRREO",0,IFERROR(VALUE(LEFT(E3560,FIND("º",SUBSTITUTE(E3560,"°","º"))-1)),""))))</f>
        <v>1</v>
      </c>
      <c r="O3560" s="2" t="str">
        <f aca="false">IF(OR(F3560="",G3560=""),"",IF(G3560&lt;='RETRATO 2027'!$K$5,"CONCLUÍDA",IF(F3560&lt;='RETRATO 2027'!$K$5,"EM ANDAMENTO","A INICIAR")))</f>
        <v>A INICIAR</v>
      </c>
    </row>
    <row r="3561" customFormat="false" ht="15" hidden="false" customHeight="false" outlineLevel="0" collapsed="false">
      <c r="B3561" s="4" t="n">
        <v>26707621</v>
      </c>
      <c r="C3561" s="4" t="s">
        <v>2971</v>
      </c>
      <c r="D3561" s="4" t="s">
        <v>433</v>
      </c>
      <c r="E3561" s="4" t="s">
        <v>3812</v>
      </c>
      <c r="F3561" s="127" t="n">
        <v>46855</v>
      </c>
      <c r="G3561" s="127" t="n">
        <v>46870</v>
      </c>
      <c r="H3561" s="127" t="n">
        <v>46293</v>
      </c>
      <c r="I3561" s="4" t="n">
        <v>0</v>
      </c>
      <c r="J3561" s="4" t="n">
        <v>0</v>
      </c>
      <c r="K3561" s="4" t="n">
        <v>0</v>
      </c>
      <c r="M3561" s="2" t="str">
        <f aca="false">IF(C3561="","",IFERROR(INDEX($S$5:$S$304,MATCH(C3561,$R$5:$R$304,0))&amp;"","?"))</f>
        <v>37</v>
      </c>
      <c r="N3561" s="2" t="n">
        <f aca="false">IF(E3561="","",IF(ISNUMBER(SEARCH("SUBSOLO",E3561)),IFERROR(-VALUE(LEFT(E3561,FIND("º",SUBSTITUTE(E3561,"°","º"))-1)),-1),IF(LEFT(E3561,6)="TÉRREO",0,IFERROR(VALUE(LEFT(E3561,FIND("º",SUBSTITUTE(E3561,"°","º"))-1)),""))))</f>
        <v>2</v>
      </c>
      <c r="O3561" s="2" t="str">
        <f aca="false">IF(OR(F3561="",G3561=""),"",IF(G3561&lt;='RETRATO 2027'!$K$5,"CONCLUÍDA",IF(F3561&lt;='RETRATO 2027'!$K$5,"EM ANDAMENTO","A INICIAR")))</f>
        <v>A INICIAR</v>
      </c>
    </row>
    <row r="3562" customFormat="false" ht="15" hidden="false" customHeight="false" outlineLevel="0" collapsed="false">
      <c r="B3562" s="4" t="n">
        <v>26745190</v>
      </c>
      <c r="C3562" s="4" t="s">
        <v>3006</v>
      </c>
      <c r="D3562" s="4" t="s">
        <v>433</v>
      </c>
      <c r="E3562" s="4" t="s">
        <v>3657</v>
      </c>
      <c r="F3562" s="127" t="n">
        <v>46856</v>
      </c>
      <c r="G3562" s="127" t="n">
        <v>46869</v>
      </c>
      <c r="H3562" s="127" t="n">
        <v>46293</v>
      </c>
      <c r="I3562" s="4" t="n">
        <v>0</v>
      </c>
      <c r="J3562" s="4" t="n">
        <v>0</v>
      </c>
      <c r="K3562" s="4" t="n">
        <v>0</v>
      </c>
      <c r="M3562" s="2" t="str">
        <f aca="false">IF(C3562="","",IFERROR(INDEX($S$5:$S$304,MATCH(C3562,$R$5:$R$304,0))&amp;"","?"))</f>
        <v>37</v>
      </c>
      <c r="N3562" s="2" t="n">
        <f aca="false">IF(E3562="","",IF(ISNUMBER(SEARCH("SUBSOLO",E3562)),IFERROR(-VALUE(LEFT(E3562,FIND("º",SUBSTITUTE(E3562,"°","º"))-1)),-1),IF(LEFT(E3562,6)="TÉRREO",0,IFERROR(VALUE(LEFT(E3562,FIND("º",SUBSTITUTE(E3562,"°","º"))-1)),""))))</f>
        <v>-5</v>
      </c>
      <c r="O3562" s="2" t="str">
        <f aca="false">IF(OR(F3562="",G3562=""),"",IF(G3562&lt;='RETRATO 2027'!$K$5,"CONCLUÍDA",IF(F3562&lt;='RETRATO 2027'!$K$5,"EM ANDAMENTO","A INICIAR")))</f>
        <v>A INICIAR</v>
      </c>
    </row>
    <row r="3563" customFormat="false" ht="15" hidden="false" customHeight="false" outlineLevel="0" collapsed="false">
      <c r="B3563" s="4" t="n">
        <v>26744994</v>
      </c>
      <c r="C3563" s="4" t="s">
        <v>3029</v>
      </c>
      <c r="D3563" s="4" t="s">
        <v>433</v>
      </c>
      <c r="E3563" s="4" t="s">
        <v>3662</v>
      </c>
      <c r="F3563" s="127" t="n">
        <v>46860</v>
      </c>
      <c r="G3563" s="127" t="n">
        <v>46870</v>
      </c>
      <c r="H3563" s="127" t="n">
        <v>46293</v>
      </c>
      <c r="I3563" s="4" t="n">
        <v>0</v>
      </c>
      <c r="J3563" s="4" t="n">
        <v>0</v>
      </c>
      <c r="K3563" s="4" t="n">
        <v>0</v>
      </c>
      <c r="M3563" s="2" t="str">
        <f aca="false">IF(C3563="","",IFERROR(INDEX($S$5:$S$304,MATCH(C3563,$R$5:$R$304,0))&amp;"","?"))</f>
        <v/>
      </c>
      <c r="N3563" s="2" t="n">
        <f aca="false">IF(E3563="","",IF(ISNUMBER(SEARCH("SUBSOLO",E3563)),IFERROR(-VALUE(LEFT(E3563,FIND("º",SUBSTITUTE(E3563,"°","º"))-1)),-1),IF(LEFT(E3563,6)="TÉRREO",0,IFERROR(VALUE(LEFT(E3563,FIND("º",SUBSTITUTE(E3563,"°","º"))-1)),""))))</f>
        <v>-5</v>
      </c>
      <c r="O3563" s="2" t="str">
        <f aca="false">IF(OR(F3563="",G3563=""),"",IF(G3563&lt;='RETRATO 2027'!$K$5,"CONCLUÍDA",IF(F3563&lt;='RETRATO 2027'!$K$5,"EM ANDAMENTO","A INICIAR")))</f>
        <v>A INICIAR</v>
      </c>
    </row>
    <row r="3564" customFormat="false" ht="15" hidden="false" customHeight="false" outlineLevel="0" collapsed="false">
      <c r="B3564" s="4" t="n">
        <v>26745022</v>
      </c>
      <c r="C3564" s="4" t="s">
        <v>3032</v>
      </c>
      <c r="D3564" s="4" t="s">
        <v>433</v>
      </c>
      <c r="E3564" s="4" t="s">
        <v>3828</v>
      </c>
      <c r="F3564" s="127" t="n">
        <v>46860</v>
      </c>
      <c r="G3564" s="127" t="n">
        <v>46870</v>
      </c>
      <c r="H3564" s="127" t="n">
        <v>46293</v>
      </c>
      <c r="I3564" s="4" t="n">
        <v>0</v>
      </c>
      <c r="J3564" s="4" t="n">
        <v>0</v>
      </c>
      <c r="K3564" s="4" t="n">
        <v>0</v>
      </c>
      <c r="M3564" s="2" t="str">
        <f aca="false">IF(C3564="","",IFERROR(INDEX($S$5:$S$304,MATCH(C3564,$R$5:$R$304,0))&amp;"","?"))</f>
        <v>35</v>
      </c>
      <c r="N3564" s="2" t="n">
        <f aca="false">IF(E3564="","",IF(ISNUMBER(SEARCH("SUBSOLO",E3564)),IFERROR(-VALUE(LEFT(E3564,FIND("º",SUBSTITUTE(E3564,"°","º"))-1)),-1),IF(LEFT(E3564,6)="TÉRREO",0,IFERROR(VALUE(LEFT(E3564,FIND("º",SUBSTITUTE(E3564,"°","º"))-1)),""))))</f>
        <v>2</v>
      </c>
      <c r="O3564" s="2" t="str">
        <f aca="false">IF(OR(F3564="",G3564=""),"",IF(G3564&lt;='RETRATO 2027'!$K$5,"CONCLUÍDA",IF(F3564&lt;='RETRATO 2027'!$K$5,"EM ANDAMENTO","A INICIAR")))</f>
        <v>A INICIAR</v>
      </c>
    </row>
    <row r="3565" customFormat="false" ht="15" hidden="false" customHeight="false" outlineLevel="0" collapsed="false">
      <c r="B3565" s="4" t="n">
        <v>26744784</v>
      </c>
      <c r="C3565" s="4" t="s">
        <v>2962</v>
      </c>
      <c r="D3565" s="4" t="s">
        <v>433</v>
      </c>
      <c r="E3565" s="4" t="s">
        <v>3769</v>
      </c>
      <c r="F3565" s="127" t="n">
        <v>46860</v>
      </c>
      <c r="G3565" s="127" t="n">
        <v>46867</v>
      </c>
      <c r="H3565" s="127" t="n">
        <v>46293</v>
      </c>
      <c r="I3565" s="4" t="n">
        <v>0</v>
      </c>
      <c r="J3565" s="4" t="n">
        <v>0</v>
      </c>
      <c r="K3565" s="4" t="n">
        <v>0</v>
      </c>
      <c r="M3565" s="2" t="str">
        <f aca="false">IF(C3565="","",IFERROR(INDEX($S$5:$S$304,MATCH(C3565,$R$5:$R$304,0))&amp;"","?"))</f>
        <v>34</v>
      </c>
      <c r="N3565" s="2" t="n">
        <f aca="false">IF(E3565="","",IF(ISNUMBER(SEARCH("SUBSOLO",E3565)),IFERROR(-VALUE(LEFT(E3565,FIND("º",SUBSTITUTE(E3565,"°","º"))-1)),-1),IF(LEFT(E3565,6)="TÉRREO",0,IFERROR(VALUE(LEFT(E3565,FIND("º",SUBSTITUTE(E3565,"°","º"))-1)),""))))</f>
        <v>3</v>
      </c>
      <c r="O3565" s="2" t="str">
        <f aca="false">IF(OR(F3565="",G3565=""),"",IF(G3565&lt;='RETRATO 2027'!$K$5,"CONCLUÍDA",IF(F3565&lt;='RETRATO 2027'!$K$5,"EM ANDAMENTO","A INICIAR")))</f>
        <v>A INICIAR</v>
      </c>
    </row>
    <row r="3566" customFormat="false" ht="15" hidden="false" customHeight="false" outlineLevel="0" collapsed="false">
      <c r="B3566" s="4" t="n">
        <v>26744806</v>
      </c>
      <c r="C3566" s="4" t="s">
        <v>3088</v>
      </c>
      <c r="D3566" s="4" t="s">
        <v>433</v>
      </c>
      <c r="E3566" s="4" t="s">
        <v>3769</v>
      </c>
      <c r="F3566" s="127" t="n">
        <v>46860</v>
      </c>
      <c r="G3566" s="127" t="n">
        <v>46868</v>
      </c>
      <c r="H3566" s="127" t="n">
        <v>46293</v>
      </c>
      <c r="I3566" s="4" t="n">
        <v>0</v>
      </c>
      <c r="J3566" s="4" t="n">
        <v>0</v>
      </c>
      <c r="K3566" s="4" t="n">
        <v>0</v>
      </c>
      <c r="M3566" s="2" t="str">
        <f aca="false">IF(C3566="","",IFERROR(INDEX($S$5:$S$304,MATCH(C3566,$R$5:$R$304,0))&amp;"","?"))</f>
        <v>20</v>
      </c>
      <c r="N3566" s="2" t="n">
        <f aca="false">IF(E3566="","",IF(ISNUMBER(SEARCH("SUBSOLO",E3566)),IFERROR(-VALUE(LEFT(E3566,FIND("º",SUBSTITUTE(E3566,"°","º"))-1)),-1),IF(LEFT(E3566,6)="TÉRREO",0,IFERROR(VALUE(LEFT(E3566,FIND("º",SUBSTITUTE(E3566,"°","º"))-1)),""))))</f>
        <v>3</v>
      </c>
      <c r="O3566" s="2" t="str">
        <f aca="false">IF(OR(F3566="",G3566=""),"",IF(G3566&lt;='RETRATO 2027'!$K$5,"CONCLUÍDA",IF(F3566&lt;='RETRATO 2027'!$K$5,"EM ANDAMENTO","A INICIAR")))</f>
        <v>A INICIAR</v>
      </c>
    </row>
    <row r="3567" customFormat="false" ht="15" hidden="false" customHeight="false" outlineLevel="0" collapsed="false">
      <c r="B3567" s="4" t="n">
        <v>26744799</v>
      </c>
      <c r="C3567" s="4" t="s">
        <v>3009</v>
      </c>
      <c r="D3567" s="4" t="s">
        <v>433</v>
      </c>
      <c r="E3567" s="4" t="s">
        <v>3769</v>
      </c>
      <c r="F3567" s="127" t="n">
        <v>46860</v>
      </c>
      <c r="G3567" s="127" t="n">
        <v>46867</v>
      </c>
      <c r="H3567" s="127" t="n">
        <v>46293</v>
      </c>
      <c r="I3567" s="4" t="n">
        <v>0</v>
      </c>
      <c r="J3567" s="4" t="n">
        <v>0</v>
      </c>
      <c r="K3567" s="4" t="n">
        <v>0</v>
      </c>
      <c r="M3567" s="2" t="str">
        <f aca="false">IF(C3567="","",IFERROR(INDEX($S$5:$S$304,MATCH(C3567,$R$5:$R$304,0))&amp;"","?"))</f>
        <v>23</v>
      </c>
      <c r="N3567" s="2" t="n">
        <f aca="false">IF(E3567="","",IF(ISNUMBER(SEARCH("SUBSOLO",E3567)),IFERROR(-VALUE(LEFT(E3567,FIND("º",SUBSTITUTE(E3567,"°","º"))-1)),-1),IF(LEFT(E3567,6)="TÉRREO",0,IFERROR(VALUE(LEFT(E3567,FIND("º",SUBSTITUTE(E3567,"°","º"))-1)),""))))</f>
        <v>3</v>
      </c>
      <c r="O3567" s="2" t="str">
        <f aca="false">IF(OR(F3567="",G3567=""),"",IF(G3567&lt;='RETRATO 2027'!$K$5,"CONCLUÍDA",IF(F3567&lt;='RETRATO 2027'!$K$5,"EM ANDAMENTO","A INICIAR")))</f>
        <v>A INICIAR</v>
      </c>
    </row>
    <row r="3568" customFormat="false" ht="15" hidden="false" customHeight="false" outlineLevel="0" collapsed="false">
      <c r="B3568" s="4" t="n">
        <v>26744748</v>
      </c>
      <c r="C3568" s="4" t="s">
        <v>3082</v>
      </c>
      <c r="D3568" s="4" t="s">
        <v>433</v>
      </c>
      <c r="E3568" s="4" t="s">
        <v>3784</v>
      </c>
      <c r="F3568" s="127" t="n">
        <v>46860</v>
      </c>
      <c r="G3568" s="127" t="n">
        <v>46868</v>
      </c>
      <c r="H3568" s="127" t="n">
        <v>46293</v>
      </c>
      <c r="I3568" s="4" t="n">
        <v>0</v>
      </c>
      <c r="J3568" s="4" t="n">
        <v>0</v>
      </c>
      <c r="K3568" s="4" t="n">
        <v>0</v>
      </c>
      <c r="M3568" s="2" t="str">
        <f aca="false">IF(C3568="","",IFERROR(INDEX($S$5:$S$304,MATCH(C3568,$R$5:$R$304,0))&amp;"","?"))</f>
        <v>30</v>
      </c>
      <c r="N3568" s="2" t="n">
        <f aca="false">IF(E3568="","",IF(ISNUMBER(SEARCH("SUBSOLO",E3568)),IFERROR(-VALUE(LEFT(E3568,FIND("º",SUBSTITUTE(E3568,"°","º"))-1)),-1),IF(LEFT(E3568,6)="TÉRREO",0,IFERROR(VALUE(LEFT(E3568,FIND("º",SUBSTITUTE(E3568,"°","º"))-1)),""))))</f>
        <v>3</v>
      </c>
      <c r="O3568" s="2" t="str">
        <f aca="false">IF(OR(F3568="",G3568=""),"",IF(G3568&lt;='RETRATO 2027'!$K$5,"CONCLUÍDA",IF(F3568&lt;='RETRATO 2027'!$K$5,"EM ANDAMENTO","A INICIAR")))</f>
        <v>A INICIAR</v>
      </c>
    </row>
    <row r="3569" customFormat="false" ht="15" hidden="false" customHeight="false" outlineLevel="0" collapsed="false">
      <c r="B3569" s="4" t="n">
        <v>26744715</v>
      </c>
      <c r="C3569" s="4" t="s">
        <v>3079</v>
      </c>
      <c r="D3569" s="4" t="s">
        <v>433</v>
      </c>
      <c r="E3569" s="4" t="s">
        <v>3800</v>
      </c>
      <c r="F3569" s="127" t="n">
        <v>46860</v>
      </c>
      <c r="G3569" s="127" t="n">
        <v>46868</v>
      </c>
      <c r="H3569" s="127" t="n">
        <v>46293</v>
      </c>
      <c r="I3569" s="4" t="n">
        <v>0</v>
      </c>
      <c r="J3569" s="4" t="n">
        <v>0</v>
      </c>
      <c r="K3569" s="4" t="n">
        <v>0</v>
      </c>
      <c r="M3569" s="2" t="str">
        <f aca="false">IF(C3569="","",IFERROR(INDEX($S$5:$S$304,MATCH(C3569,$R$5:$R$304,0))&amp;"","?"))</f>
        <v>25</v>
      </c>
      <c r="N3569" s="2" t="n">
        <f aca="false">IF(E3569="","",IF(ISNUMBER(SEARCH("SUBSOLO",E3569)),IFERROR(-VALUE(LEFT(E3569,FIND("º",SUBSTITUTE(E3569,"°","º"))-1)),-1),IF(LEFT(E3569,6)="TÉRREO",0,IFERROR(VALUE(LEFT(E3569,FIND("º",SUBSTITUTE(E3569,"°","º"))-1)),""))))</f>
        <v>3</v>
      </c>
      <c r="O3569" s="2" t="str">
        <f aca="false">IF(OR(F3569="",G3569=""),"",IF(G3569&lt;='RETRATO 2027'!$K$5,"CONCLUÍDA",IF(F3569&lt;='RETRATO 2027'!$K$5,"EM ANDAMENTO","A INICIAR")))</f>
        <v>A INICIAR</v>
      </c>
    </row>
    <row r="3570" customFormat="false" ht="15" hidden="false" customHeight="false" outlineLevel="0" collapsed="false">
      <c r="B3570" s="4" t="n">
        <v>26743767</v>
      </c>
      <c r="C3570" s="4" t="s">
        <v>3009</v>
      </c>
      <c r="D3570" s="4" t="s">
        <v>433</v>
      </c>
      <c r="E3570" s="4" t="s">
        <v>3374</v>
      </c>
      <c r="F3570" s="127" t="n">
        <v>46862</v>
      </c>
      <c r="G3570" s="127" t="n">
        <v>46891</v>
      </c>
      <c r="H3570" s="127" t="n">
        <v>46293</v>
      </c>
      <c r="I3570" s="4" t="n">
        <v>0</v>
      </c>
      <c r="J3570" s="4" t="n">
        <v>0</v>
      </c>
      <c r="K3570" s="4" t="n">
        <v>0</v>
      </c>
      <c r="M3570" s="2" t="str">
        <f aca="false">IF(C3570="","",IFERROR(INDEX($S$5:$S$304,MATCH(C3570,$R$5:$R$304,0))&amp;"","?"))</f>
        <v>23</v>
      </c>
      <c r="N3570" s="2" t="n">
        <f aca="false">IF(E3570="","",IF(ISNUMBER(SEARCH("SUBSOLO",E3570)),IFERROR(-VALUE(LEFT(E3570,FIND("º",SUBSTITUTE(E3570,"°","º"))-1)),-1),IF(LEFT(E3570,6)="TÉRREO",0,IFERROR(VALUE(LEFT(E3570,FIND("º",SUBSTITUTE(E3570,"°","º"))-1)),""))))</f>
        <v>-4</v>
      </c>
      <c r="O3570" s="2" t="str">
        <f aca="false">IF(OR(F3570="",G3570=""),"",IF(G3570&lt;='RETRATO 2027'!$K$5,"CONCLUÍDA",IF(F3570&lt;='RETRATO 2027'!$K$5,"EM ANDAMENTO","A INICIAR")))</f>
        <v>A INICIAR</v>
      </c>
    </row>
    <row r="3571" customFormat="false" ht="15" hidden="false" customHeight="false" outlineLevel="0" collapsed="false">
      <c r="B3571" s="4" t="n">
        <v>26744457</v>
      </c>
      <c r="C3571" s="4" t="s">
        <v>3015</v>
      </c>
      <c r="D3571" s="4" t="s">
        <v>433</v>
      </c>
      <c r="E3571" s="4" t="s">
        <v>3829</v>
      </c>
      <c r="F3571" s="127" t="n">
        <v>46862</v>
      </c>
      <c r="G3571" s="127" t="n">
        <v>46926</v>
      </c>
      <c r="H3571" s="127" t="n">
        <v>46293</v>
      </c>
      <c r="I3571" s="4" t="n">
        <v>0</v>
      </c>
      <c r="J3571" s="4" t="n">
        <v>0</v>
      </c>
      <c r="K3571" s="4" t="n">
        <v>0</v>
      </c>
      <c r="M3571" s="2" t="str">
        <f aca="false">IF(C3571="","",IFERROR(INDEX($S$5:$S$304,MATCH(C3571,$R$5:$R$304,0))&amp;"","?"))</f>
        <v>30</v>
      </c>
      <c r="N3571" s="2" t="n">
        <f aca="false">IF(E3571="","",IF(ISNUMBER(SEARCH("SUBSOLO",E3571)),IFERROR(-VALUE(LEFT(E3571,FIND("º",SUBSTITUTE(E3571,"°","º"))-1)),-1),IF(LEFT(E3571,6)="TÉRREO",0,IFERROR(VALUE(LEFT(E3571,FIND("º",SUBSTITUTE(E3571,"°","º"))-1)),""))))</f>
        <v>3</v>
      </c>
      <c r="O3571" s="2" t="str">
        <f aca="false">IF(OR(F3571="",G3571=""),"",IF(G3571&lt;='RETRATO 2027'!$K$5,"CONCLUÍDA",IF(F3571&lt;='RETRATO 2027'!$K$5,"EM ANDAMENTO","A INICIAR")))</f>
        <v>A INICIAR</v>
      </c>
    </row>
    <row r="3572" customFormat="false" ht="15" hidden="false" customHeight="false" outlineLevel="0" collapsed="false">
      <c r="B3572" s="4" t="n">
        <v>26744682</v>
      </c>
      <c r="C3572" s="4" t="s">
        <v>2948</v>
      </c>
      <c r="D3572" s="4" t="s">
        <v>433</v>
      </c>
      <c r="E3572" s="4" t="s">
        <v>3810</v>
      </c>
      <c r="F3572" s="127" t="n">
        <v>46862</v>
      </c>
      <c r="G3572" s="127" t="n">
        <v>46870</v>
      </c>
      <c r="H3572" s="127" t="n">
        <v>46293</v>
      </c>
      <c r="I3572" s="4" t="n">
        <v>0</v>
      </c>
      <c r="J3572" s="4" t="n">
        <v>0</v>
      </c>
      <c r="K3572" s="4" t="n">
        <v>0</v>
      </c>
      <c r="M3572" s="2" t="str">
        <f aca="false">IF(C3572="","",IFERROR(INDEX($S$5:$S$304,MATCH(C3572,$R$5:$R$304,0))&amp;"","?"))</f>
        <v>25</v>
      </c>
      <c r="N3572" s="2" t="n">
        <f aca="false">IF(E3572="","",IF(ISNUMBER(SEARCH("SUBSOLO",E3572)),IFERROR(-VALUE(LEFT(E3572,FIND("º",SUBSTITUTE(E3572,"°","º"))-1)),-1),IF(LEFT(E3572,6)="TÉRREO",0,IFERROR(VALUE(LEFT(E3572,FIND("º",SUBSTITUTE(E3572,"°","º"))-1)),""))))</f>
        <v>3</v>
      </c>
      <c r="O3572" s="2" t="str">
        <f aca="false">IF(OR(F3572="",G3572=""),"",IF(G3572&lt;='RETRATO 2027'!$K$5,"CONCLUÍDA",IF(F3572&lt;='RETRATO 2027'!$K$5,"EM ANDAMENTO","A INICIAR")))</f>
        <v>A INICIAR</v>
      </c>
    </row>
    <row r="3573" customFormat="false" ht="15" hidden="false" customHeight="false" outlineLevel="0" collapsed="false">
      <c r="B3573" s="4" t="n">
        <v>30433000</v>
      </c>
      <c r="C3573" s="4" t="s">
        <v>3096</v>
      </c>
      <c r="D3573" s="4" t="s">
        <v>433</v>
      </c>
      <c r="E3573" s="4" t="s">
        <v>3678</v>
      </c>
      <c r="F3573" s="127" t="n">
        <v>46862</v>
      </c>
      <c r="G3573" s="127" t="n">
        <v>46871</v>
      </c>
      <c r="H3573" s="127" t="n">
        <v>46293</v>
      </c>
      <c r="I3573" s="4" t="n">
        <v>0</v>
      </c>
      <c r="J3573" s="4" t="n">
        <v>0</v>
      </c>
      <c r="K3573" s="4" t="n">
        <v>0</v>
      </c>
      <c r="M3573" s="2" t="str">
        <f aca="false">IF(C3573="","",IFERROR(INDEX($S$5:$S$304,MATCH(C3573,$R$5:$R$304,0))&amp;"","?"))</f>
        <v/>
      </c>
      <c r="N3573" s="2" t="n">
        <f aca="false">IF(E3573="","",IF(ISNUMBER(SEARCH("SUBSOLO",E3573)),IFERROR(-VALUE(LEFT(E3573,FIND("º",SUBSTITUTE(E3573,"°","º"))-1)),-1),IF(LEFT(E3573,6)="TÉRREO",0,IFERROR(VALUE(LEFT(E3573,FIND("º",SUBSTITUTE(E3573,"°","º"))-1)),""))))</f>
        <v>5</v>
      </c>
      <c r="O3573" s="2" t="str">
        <f aca="false">IF(OR(F3573="",G3573=""),"",IF(G3573&lt;='RETRATO 2027'!$K$5,"CONCLUÍDA",IF(F3573&lt;='RETRATO 2027'!$K$5,"EM ANDAMENTO","A INICIAR")))</f>
        <v>A INICIAR</v>
      </c>
    </row>
    <row r="3574" customFormat="false" ht="15" hidden="false" customHeight="false" outlineLevel="0" collapsed="false">
      <c r="B3574" s="4" t="n">
        <v>26743559</v>
      </c>
      <c r="C3574" s="4" t="s">
        <v>3029</v>
      </c>
      <c r="D3574" s="4" t="s">
        <v>433</v>
      </c>
      <c r="E3574" s="4" t="s">
        <v>3685</v>
      </c>
      <c r="F3574" s="127" t="n">
        <v>46862</v>
      </c>
      <c r="G3574" s="127" t="n">
        <v>46871</v>
      </c>
      <c r="H3574" s="127" t="n">
        <v>46293</v>
      </c>
      <c r="I3574" s="4" t="n">
        <v>0</v>
      </c>
      <c r="J3574" s="4" t="n">
        <v>0</v>
      </c>
      <c r="K3574" s="4" t="n">
        <v>0</v>
      </c>
      <c r="M3574" s="2" t="str">
        <f aca="false">IF(C3574="","",IFERROR(INDEX($S$5:$S$304,MATCH(C3574,$R$5:$R$304,0))&amp;"","?"))</f>
        <v/>
      </c>
      <c r="N3574" s="2" t="n">
        <f aca="false">IF(E3574="","",IF(ISNUMBER(SEARCH("SUBSOLO",E3574)),IFERROR(-VALUE(LEFT(E3574,FIND("º",SUBSTITUTE(E3574,"°","º"))-1)),-1),IF(LEFT(E3574,6)="TÉRREO",0,IFERROR(VALUE(LEFT(E3574,FIND("º",SUBSTITUTE(E3574,"°","º"))-1)),""))))</f>
        <v>6</v>
      </c>
      <c r="O3574" s="2" t="str">
        <f aca="false">IF(OR(F3574="",G3574=""),"",IF(G3574&lt;='RETRATO 2027'!$K$5,"CONCLUÍDA",IF(F3574&lt;='RETRATO 2027'!$K$5,"EM ANDAMENTO","A INICIAR")))</f>
        <v>A INICIAR</v>
      </c>
    </row>
    <row r="3575" customFormat="false" ht="15" hidden="false" customHeight="false" outlineLevel="0" collapsed="false">
      <c r="B3575" s="4" t="n">
        <v>26743520</v>
      </c>
      <c r="C3575" s="4" t="s">
        <v>2971</v>
      </c>
      <c r="D3575" s="4" t="s">
        <v>433</v>
      </c>
      <c r="E3575" s="4" t="s">
        <v>3686</v>
      </c>
      <c r="F3575" s="127" t="n">
        <v>46862</v>
      </c>
      <c r="G3575" s="127" t="n">
        <v>46871</v>
      </c>
      <c r="H3575" s="127" t="n">
        <v>46293</v>
      </c>
      <c r="I3575" s="4" t="n">
        <v>0</v>
      </c>
      <c r="J3575" s="4" t="n">
        <v>0</v>
      </c>
      <c r="K3575" s="4" t="n">
        <v>0</v>
      </c>
      <c r="M3575" s="2" t="str">
        <f aca="false">IF(C3575="","",IFERROR(INDEX($S$5:$S$304,MATCH(C3575,$R$5:$R$304,0))&amp;"","?"))</f>
        <v>37</v>
      </c>
      <c r="N3575" s="2" t="n">
        <f aca="false">IF(E3575="","",IF(ISNUMBER(SEARCH("SUBSOLO",E3575)),IFERROR(-VALUE(LEFT(E3575,FIND("º",SUBSTITUTE(E3575,"°","º"))-1)),-1),IF(LEFT(E3575,6)="TÉRREO",0,IFERROR(VALUE(LEFT(E3575,FIND("º",SUBSTITUTE(E3575,"°","º"))-1)),""))))</f>
        <v>7</v>
      </c>
      <c r="O3575" s="2" t="str">
        <f aca="false">IF(OR(F3575="",G3575=""),"",IF(G3575&lt;='RETRATO 2027'!$K$5,"CONCLUÍDA",IF(F3575&lt;='RETRATO 2027'!$K$5,"EM ANDAMENTO","A INICIAR")))</f>
        <v>A INICIAR</v>
      </c>
    </row>
    <row r="3576" customFormat="false" ht="15" hidden="false" customHeight="false" outlineLevel="0" collapsed="false">
      <c r="B3576" s="4" t="n">
        <v>26743482</v>
      </c>
      <c r="C3576" s="4" t="s">
        <v>3032</v>
      </c>
      <c r="D3576" s="4" t="s">
        <v>433</v>
      </c>
      <c r="E3576" s="4" t="s">
        <v>3706</v>
      </c>
      <c r="F3576" s="127" t="n">
        <v>46862</v>
      </c>
      <c r="G3576" s="127" t="n">
        <v>46871</v>
      </c>
      <c r="H3576" s="127" t="n">
        <v>46293</v>
      </c>
      <c r="I3576" s="4" t="n">
        <v>0</v>
      </c>
      <c r="J3576" s="4" t="n">
        <v>0</v>
      </c>
      <c r="K3576" s="4" t="n">
        <v>0</v>
      </c>
      <c r="M3576" s="2" t="str">
        <f aca="false">IF(C3576="","",IFERROR(INDEX($S$5:$S$304,MATCH(C3576,$R$5:$R$304,0))&amp;"","?"))</f>
        <v>35</v>
      </c>
      <c r="N3576" s="2" t="n">
        <f aca="false">IF(E3576="","",IF(ISNUMBER(SEARCH("SUBSOLO",E3576)),IFERROR(-VALUE(LEFT(E3576,FIND("º",SUBSTITUTE(E3576,"°","º"))-1)),-1),IF(LEFT(E3576,6)="TÉRREO",0,IFERROR(VALUE(LEFT(E3576,FIND("º",SUBSTITUTE(E3576,"°","º"))-1)),""))))</f>
        <v>8</v>
      </c>
      <c r="O3576" s="2" t="str">
        <f aca="false">IF(OR(F3576="",G3576=""),"",IF(G3576&lt;='RETRATO 2027'!$K$5,"CONCLUÍDA",IF(F3576&lt;='RETRATO 2027'!$K$5,"EM ANDAMENTO","A INICIAR")))</f>
        <v>A INICIAR</v>
      </c>
    </row>
    <row r="3577" customFormat="false" ht="15" hidden="false" customHeight="false" outlineLevel="0" collapsed="false">
      <c r="B3577" s="4" t="n">
        <v>26743439</v>
      </c>
      <c r="C3577" s="4" t="s">
        <v>3093</v>
      </c>
      <c r="D3577" s="4" t="s">
        <v>433</v>
      </c>
      <c r="E3577" s="4" t="s">
        <v>3716</v>
      </c>
      <c r="F3577" s="127" t="n">
        <v>46862</v>
      </c>
      <c r="G3577" s="127" t="n">
        <v>46871</v>
      </c>
      <c r="H3577" s="127" t="n">
        <v>46293</v>
      </c>
      <c r="I3577" s="4" t="n">
        <v>0</v>
      </c>
      <c r="J3577" s="4" t="n">
        <v>0</v>
      </c>
      <c r="K3577" s="4" t="n">
        <v>0</v>
      </c>
      <c r="M3577" s="2" t="str">
        <f aca="false">IF(C3577="","",IFERROR(INDEX($S$5:$S$304,MATCH(C3577,$R$5:$R$304,0))&amp;"","?"))</f>
        <v>34</v>
      </c>
      <c r="N3577" s="2" t="n">
        <f aca="false">IF(E3577="","",IF(ISNUMBER(SEARCH("SUBSOLO",E3577)),IFERROR(-VALUE(LEFT(E3577,FIND("º",SUBSTITUTE(E3577,"°","º"))-1)),-1),IF(LEFT(E3577,6)="TÉRREO",0,IFERROR(VALUE(LEFT(E3577,FIND("º",SUBSTITUTE(E3577,"°","º"))-1)),""))))</f>
        <v>9</v>
      </c>
      <c r="O3577" s="2" t="str">
        <f aca="false">IF(OR(F3577="",G3577=""),"",IF(G3577&lt;='RETRATO 2027'!$K$5,"CONCLUÍDA",IF(F3577&lt;='RETRATO 2027'!$K$5,"EM ANDAMENTO","A INICIAR")))</f>
        <v>A INICIAR</v>
      </c>
    </row>
    <row r="3578" customFormat="false" ht="15" hidden="false" customHeight="false" outlineLevel="0" collapsed="false">
      <c r="B3578" s="4" t="n">
        <v>26743461</v>
      </c>
      <c r="C3578" s="4" t="s">
        <v>2965</v>
      </c>
      <c r="D3578" s="4" t="s">
        <v>433</v>
      </c>
      <c r="E3578" s="4" t="s">
        <v>3716</v>
      </c>
      <c r="F3578" s="127" t="n">
        <v>46862</v>
      </c>
      <c r="G3578" s="127" t="n">
        <v>46871</v>
      </c>
      <c r="H3578" s="127" t="n">
        <v>46293</v>
      </c>
      <c r="I3578" s="4" t="n">
        <v>0</v>
      </c>
      <c r="J3578" s="4" t="n">
        <v>0</v>
      </c>
      <c r="K3578" s="4" t="n">
        <v>0</v>
      </c>
      <c r="M3578" s="2" t="str">
        <f aca="false">IF(C3578="","",IFERROR(INDEX($S$5:$S$304,MATCH(C3578,$R$5:$R$304,0))&amp;"","?"))</f>
        <v>20</v>
      </c>
      <c r="N3578" s="2" t="n">
        <f aca="false">IF(E3578="","",IF(ISNUMBER(SEARCH("SUBSOLO",E3578)),IFERROR(-VALUE(LEFT(E3578,FIND("º",SUBSTITUTE(E3578,"°","º"))-1)),-1),IF(LEFT(E3578,6)="TÉRREO",0,IFERROR(VALUE(LEFT(E3578,FIND("º",SUBSTITUTE(E3578,"°","º"))-1)),""))))</f>
        <v>9</v>
      </c>
      <c r="O3578" s="2" t="str">
        <f aca="false">IF(OR(F3578="",G3578=""),"",IF(G3578&lt;='RETRATO 2027'!$K$5,"CONCLUÍDA",IF(F3578&lt;='RETRATO 2027'!$K$5,"EM ANDAMENTO","A INICIAR")))</f>
        <v>A INICIAR</v>
      </c>
    </row>
    <row r="3579" customFormat="false" ht="15" hidden="false" customHeight="false" outlineLevel="0" collapsed="false">
      <c r="B3579" s="4" t="n">
        <v>26743401</v>
      </c>
      <c r="C3579" s="4" t="s">
        <v>3021</v>
      </c>
      <c r="D3579" s="4" t="s">
        <v>433</v>
      </c>
      <c r="E3579" s="4" t="s">
        <v>3722</v>
      </c>
      <c r="F3579" s="127" t="n">
        <v>46862</v>
      </c>
      <c r="G3579" s="127" t="n">
        <v>46871</v>
      </c>
      <c r="H3579" s="127" t="n">
        <v>46293</v>
      </c>
      <c r="I3579" s="4" t="n">
        <v>0</v>
      </c>
      <c r="J3579" s="4" t="n">
        <v>0</v>
      </c>
      <c r="K3579" s="4" t="n">
        <v>0</v>
      </c>
      <c r="M3579" s="2" t="str">
        <f aca="false">IF(C3579="","",IFERROR(INDEX($S$5:$S$304,MATCH(C3579,$R$5:$R$304,0))&amp;"","?"))</f>
        <v>35</v>
      </c>
      <c r="N3579" s="2" t="n">
        <f aca="false">IF(E3579="","",IF(ISNUMBER(SEARCH("SUBSOLO",E3579)),IFERROR(-VALUE(LEFT(E3579,FIND("º",SUBSTITUTE(E3579,"°","º"))-1)),-1),IF(LEFT(E3579,6)="TÉRREO",0,IFERROR(VALUE(LEFT(E3579,FIND("º",SUBSTITUTE(E3579,"°","º"))-1)),""))))</f>
        <v>10</v>
      </c>
      <c r="O3579" s="2" t="str">
        <f aca="false">IF(OR(F3579="",G3579=""),"",IF(G3579&lt;='RETRATO 2027'!$K$5,"CONCLUÍDA",IF(F3579&lt;='RETRATO 2027'!$K$5,"EM ANDAMENTO","A INICIAR")))</f>
        <v>A INICIAR</v>
      </c>
    </row>
    <row r="3580" customFormat="false" ht="15" hidden="false" customHeight="false" outlineLevel="0" collapsed="false">
      <c r="B3580" s="4" t="n">
        <v>26743366</v>
      </c>
      <c r="C3580" s="4" t="s">
        <v>3006</v>
      </c>
      <c r="D3580" s="4" t="s">
        <v>433</v>
      </c>
      <c r="E3580" s="4" t="s">
        <v>3762</v>
      </c>
      <c r="F3580" s="127" t="n">
        <v>46862</v>
      </c>
      <c r="G3580" s="127" t="n">
        <v>46871</v>
      </c>
      <c r="H3580" s="127" t="n">
        <v>46293</v>
      </c>
      <c r="I3580" s="4" t="n">
        <v>0</v>
      </c>
      <c r="J3580" s="4" t="n">
        <v>0</v>
      </c>
      <c r="K3580" s="4" t="n">
        <v>0</v>
      </c>
      <c r="M3580" s="2" t="str">
        <f aca="false">IF(C3580="","",IFERROR(INDEX($S$5:$S$304,MATCH(C3580,$R$5:$R$304,0))&amp;"","?"))</f>
        <v>37</v>
      </c>
      <c r="N3580" s="2" t="n">
        <f aca="false">IF(E3580="","",IF(ISNUMBER(SEARCH("SUBSOLO",E3580)),IFERROR(-VALUE(LEFT(E3580,FIND("º",SUBSTITUTE(E3580,"°","º"))-1)),-1),IF(LEFT(E3580,6)="TÉRREO",0,IFERROR(VALUE(LEFT(E3580,FIND("º",SUBSTITUTE(E3580,"°","º"))-1)),""))))</f>
        <v>11</v>
      </c>
      <c r="O3580" s="2" t="str">
        <f aca="false">IF(OR(F3580="",G3580=""),"",IF(G3580&lt;='RETRATO 2027'!$K$5,"CONCLUÍDA",IF(F3580&lt;='RETRATO 2027'!$K$5,"EM ANDAMENTO","A INICIAR")))</f>
        <v>A INICIAR</v>
      </c>
    </row>
    <row r="3581" customFormat="false" ht="15" hidden="false" customHeight="false" outlineLevel="0" collapsed="false">
      <c r="B3581" s="4" t="n">
        <v>26743331</v>
      </c>
      <c r="C3581" s="4" t="s">
        <v>2962</v>
      </c>
      <c r="D3581" s="4" t="s">
        <v>433</v>
      </c>
      <c r="E3581" s="4" t="s">
        <v>3763</v>
      </c>
      <c r="F3581" s="127" t="n">
        <v>46862</v>
      </c>
      <c r="G3581" s="127" t="n">
        <v>46871</v>
      </c>
      <c r="H3581" s="127" t="n">
        <v>46293</v>
      </c>
      <c r="I3581" s="4" t="n">
        <v>0</v>
      </c>
      <c r="J3581" s="4" t="n">
        <v>0</v>
      </c>
      <c r="K3581" s="4" t="n">
        <v>0</v>
      </c>
      <c r="M3581" s="2" t="str">
        <f aca="false">IF(C3581="","",IFERROR(INDEX($S$5:$S$304,MATCH(C3581,$R$5:$R$304,0))&amp;"","?"))</f>
        <v>34</v>
      </c>
      <c r="N3581" s="2" t="n">
        <f aca="false">IF(E3581="","",IF(ISNUMBER(SEARCH("SUBSOLO",E3581)),IFERROR(-VALUE(LEFT(E3581,FIND("º",SUBSTITUTE(E3581,"°","º"))-1)),-1),IF(LEFT(E3581,6)="TÉRREO",0,IFERROR(VALUE(LEFT(E3581,FIND("º",SUBSTITUTE(E3581,"°","º"))-1)),""))))</f>
        <v>12</v>
      </c>
      <c r="O3581" s="2" t="str">
        <f aca="false">IF(OR(F3581="",G3581=""),"",IF(G3581&lt;='RETRATO 2027'!$K$5,"CONCLUÍDA",IF(F3581&lt;='RETRATO 2027'!$K$5,"EM ANDAMENTO","A INICIAR")))</f>
        <v>A INICIAR</v>
      </c>
    </row>
    <row r="3582" customFormat="false" ht="15" hidden="false" customHeight="false" outlineLevel="0" collapsed="false">
      <c r="B3582" s="4" t="n">
        <v>26743336</v>
      </c>
      <c r="C3582" s="4" t="s">
        <v>3088</v>
      </c>
      <c r="D3582" s="4" t="s">
        <v>433</v>
      </c>
      <c r="E3582" s="4" t="s">
        <v>3763</v>
      </c>
      <c r="F3582" s="127" t="n">
        <v>46862</v>
      </c>
      <c r="G3582" s="127" t="n">
        <v>46871</v>
      </c>
      <c r="H3582" s="127" t="n">
        <v>46293</v>
      </c>
      <c r="I3582" s="4" t="n">
        <v>0</v>
      </c>
      <c r="J3582" s="4" t="n">
        <v>0</v>
      </c>
      <c r="K3582" s="4" t="n">
        <v>0</v>
      </c>
      <c r="M3582" s="2" t="str">
        <f aca="false">IF(C3582="","",IFERROR(INDEX($S$5:$S$304,MATCH(C3582,$R$5:$R$304,0))&amp;"","?"))</f>
        <v>20</v>
      </c>
      <c r="N3582" s="2" t="n">
        <f aca="false">IF(E3582="","",IF(ISNUMBER(SEARCH("SUBSOLO",E3582)),IFERROR(-VALUE(LEFT(E3582,FIND("º",SUBSTITUTE(E3582,"°","º"))-1)),-1),IF(LEFT(E3582,6)="TÉRREO",0,IFERROR(VALUE(LEFT(E3582,FIND("º",SUBSTITUTE(E3582,"°","º"))-1)),""))))</f>
        <v>12</v>
      </c>
      <c r="O3582" s="2" t="str">
        <f aca="false">IF(OR(F3582="",G3582=""),"",IF(G3582&lt;='RETRATO 2027'!$K$5,"CONCLUÍDA",IF(F3582&lt;='RETRATO 2027'!$K$5,"EM ANDAMENTO","A INICIAR")))</f>
        <v>A INICIAR</v>
      </c>
    </row>
    <row r="3583" customFormat="false" ht="15" hidden="false" customHeight="false" outlineLevel="0" collapsed="false">
      <c r="B3583" s="4" t="n">
        <v>26743355</v>
      </c>
      <c r="C3583" s="4" t="s">
        <v>3009</v>
      </c>
      <c r="D3583" s="4" t="s">
        <v>433</v>
      </c>
      <c r="E3583" s="4" t="s">
        <v>3763</v>
      </c>
      <c r="F3583" s="127" t="n">
        <v>46862</v>
      </c>
      <c r="G3583" s="127" t="n">
        <v>46871</v>
      </c>
      <c r="H3583" s="127" t="n">
        <v>46293</v>
      </c>
      <c r="I3583" s="4" t="n">
        <v>0</v>
      </c>
      <c r="J3583" s="4" t="n">
        <v>0</v>
      </c>
      <c r="K3583" s="4" t="n">
        <v>0</v>
      </c>
      <c r="M3583" s="2" t="str">
        <f aca="false">IF(C3583="","",IFERROR(INDEX($S$5:$S$304,MATCH(C3583,$R$5:$R$304,0))&amp;"","?"))</f>
        <v>23</v>
      </c>
      <c r="N3583" s="2" t="n">
        <f aca="false">IF(E3583="","",IF(ISNUMBER(SEARCH("SUBSOLO",E3583)),IFERROR(-VALUE(LEFT(E3583,FIND("º",SUBSTITUTE(E3583,"°","º"))-1)),-1),IF(LEFT(E3583,6)="TÉRREO",0,IFERROR(VALUE(LEFT(E3583,FIND("º",SUBSTITUTE(E3583,"°","º"))-1)),""))))</f>
        <v>12</v>
      </c>
      <c r="O3583" s="2" t="str">
        <f aca="false">IF(OR(F3583="",G3583=""),"",IF(G3583&lt;='RETRATO 2027'!$K$5,"CONCLUÍDA",IF(F3583&lt;='RETRATO 2027'!$K$5,"EM ANDAMENTO","A INICIAR")))</f>
        <v>A INICIAR</v>
      </c>
    </row>
    <row r="3584" customFormat="false" ht="15" hidden="false" customHeight="false" outlineLevel="0" collapsed="false">
      <c r="B3584" s="4" t="n">
        <v>26743293</v>
      </c>
      <c r="C3584" s="4" t="s">
        <v>3082</v>
      </c>
      <c r="D3584" s="4" t="s">
        <v>433</v>
      </c>
      <c r="E3584" s="4" t="s">
        <v>3764</v>
      </c>
      <c r="F3584" s="127" t="n">
        <v>46862</v>
      </c>
      <c r="G3584" s="127" t="n">
        <v>46871</v>
      </c>
      <c r="H3584" s="127" t="n">
        <v>46293</v>
      </c>
      <c r="I3584" s="4" t="n">
        <v>0</v>
      </c>
      <c r="J3584" s="4" t="n">
        <v>0</v>
      </c>
      <c r="K3584" s="4" t="n">
        <v>0</v>
      </c>
      <c r="M3584" s="2" t="str">
        <f aca="false">IF(C3584="","",IFERROR(INDEX($S$5:$S$304,MATCH(C3584,$R$5:$R$304,0))&amp;"","?"))</f>
        <v>30</v>
      </c>
      <c r="N3584" s="2" t="n">
        <f aca="false">IF(E3584="","",IF(ISNUMBER(SEARCH("SUBSOLO",E3584)),IFERROR(-VALUE(LEFT(E3584,FIND("º",SUBSTITUTE(E3584,"°","º"))-1)),-1),IF(LEFT(E3584,6)="TÉRREO",0,IFERROR(VALUE(LEFT(E3584,FIND("º",SUBSTITUTE(E3584,"°","º"))-1)),""))))</f>
        <v>13</v>
      </c>
      <c r="O3584" s="2" t="str">
        <f aca="false">IF(OR(F3584="",G3584=""),"",IF(G3584&lt;='RETRATO 2027'!$K$5,"CONCLUÍDA",IF(F3584&lt;='RETRATO 2027'!$K$5,"EM ANDAMENTO","A INICIAR")))</f>
        <v>A INICIAR</v>
      </c>
    </row>
    <row r="3585" customFormat="false" ht="15" hidden="false" customHeight="false" outlineLevel="0" collapsed="false">
      <c r="B3585" s="4" t="n">
        <v>26743286</v>
      </c>
      <c r="C3585" s="4" t="s">
        <v>3079</v>
      </c>
      <c r="D3585" s="4" t="s">
        <v>433</v>
      </c>
      <c r="E3585" s="4" t="s">
        <v>3765</v>
      </c>
      <c r="F3585" s="127" t="n">
        <v>46862</v>
      </c>
      <c r="G3585" s="127" t="n">
        <v>46871</v>
      </c>
      <c r="H3585" s="127" t="n">
        <v>46293</v>
      </c>
      <c r="I3585" s="4" t="n">
        <v>0</v>
      </c>
      <c r="J3585" s="4" t="n">
        <v>0</v>
      </c>
      <c r="K3585" s="4" t="n">
        <v>0</v>
      </c>
      <c r="M3585" s="2" t="str">
        <f aca="false">IF(C3585="","",IFERROR(INDEX($S$5:$S$304,MATCH(C3585,$R$5:$R$304,0))&amp;"","?"))</f>
        <v>25</v>
      </c>
      <c r="N3585" s="2" t="n">
        <f aca="false">IF(E3585="","",IF(ISNUMBER(SEARCH("SUBSOLO",E3585)),IFERROR(-VALUE(LEFT(E3585,FIND("º",SUBSTITUTE(E3585,"°","º"))-1)),-1),IF(LEFT(E3585,6)="TÉRREO",0,IFERROR(VALUE(LEFT(E3585,FIND("º",SUBSTITUTE(E3585,"°","º"))-1)),""))))</f>
        <v>14</v>
      </c>
      <c r="O3585" s="2" t="str">
        <f aca="false">IF(OR(F3585="",G3585=""),"",IF(G3585&lt;='RETRATO 2027'!$K$5,"CONCLUÍDA",IF(F3585&lt;='RETRATO 2027'!$K$5,"EM ANDAMENTO","A INICIAR")))</f>
        <v>A INICIAR</v>
      </c>
    </row>
    <row r="3586" customFormat="false" ht="15" hidden="false" customHeight="false" outlineLevel="0" collapsed="false">
      <c r="B3586" s="4" t="n">
        <v>26743247</v>
      </c>
      <c r="C3586" s="4" t="s">
        <v>3073</v>
      </c>
      <c r="D3586" s="4" t="s">
        <v>433</v>
      </c>
      <c r="E3586" s="4" t="s">
        <v>3768</v>
      </c>
      <c r="F3586" s="127" t="n">
        <v>46862</v>
      </c>
      <c r="G3586" s="127" t="n">
        <v>46871</v>
      </c>
      <c r="H3586" s="127" t="n">
        <v>46293</v>
      </c>
      <c r="I3586" s="4" t="n">
        <v>0</v>
      </c>
      <c r="J3586" s="4" t="n">
        <v>0</v>
      </c>
      <c r="K3586" s="4" t="n">
        <v>0</v>
      </c>
      <c r="M3586" s="2" t="str">
        <f aca="false">IF(C3586="","",IFERROR(INDEX($S$5:$S$304,MATCH(C3586,$R$5:$R$304,0))&amp;"","?"))</f>
        <v>30</v>
      </c>
      <c r="N3586" s="2" t="n">
        <f aca="false">IF(E3586="","",IF(ISNUMBER(SEARCH("SUBSOLO",E3586)),IFERROR(-VALUE(LEFT(E3586,FIND("º",SUBSTITUTE(E3586,"°","º"))-1)),-1),IF(LEFT(E3586,6)="TÉRREO",0,IFERROR(VALUE(LEFT(E3586,FIND("º",SUBSTITUTE(E3586,"°","º"))-1)),""))))</f>
        <v>15</v>
      </c>
      <c r="O3586" s="2" t="str">
        <f aca="false">IF(OR(F3586="",G3586=""),"",IF(G3586&lt;='RETRATO 2027'!$K$5,"CONCLUÍDA",IF(F3586&lt;='RETRATO 2027'!$K$5,"EM ANDAMENTO","A INICIAR")))</f>
        <v>A INICIAR</v>
      </c>
    </row>
    <row r="3587" customFormat="false" ht="15" hidden="false" customHeight="false" outlineLevel="0" collapsed="false">
      <c r="B3587" s="4" t="n">
        <v>26743172</v>
      </c>
      <c r="C3587" s="4" t="s">
        <v>3055</v>
      </c>
      <c r="D3587" s="4" t="s">
        <v>433</v>
      </c>
      <c r="E3587" s="4" t="s">
        <v>3773</v>
      </c>
      <c r="F3587" s="127" t="n">
        <v>46862</v>
      </c>
      <c r="G3587" s="127" t="n">
        <v>46871</v>
      </c>
      <c r="H3587" s="127" t="n">
        <v>46293</v>
      </c>
      <c r="I3587" s="4" t="n">
        <v>0</v>
      </c>
      <c r="J3587" s="4" t="n">
        <v>0</v>
      </c>
      <c r="K3587" s="4" t="n">
        <v>0</v>
      </c>
      <c r="M3587" s="2" t="str">
        <f aca="false">IF(C3587="","",IFERROR(INDEX($S$5:$S$304,MATCH(C3587,$R$5:$R$304,0))&amp;"","?"))</f>
        <v>25</v>
      </c>
      <c r="N3587" s="2" t="n">
        <f aca="false">IF(E3587="","",IF(ISNUMBER(SEARCH("SUBSOLO",E3587)),IFERROR(-VALUE(LEFT(E3587,FIND("º",SUBSTITUTE(E3587,"°","º"))-1)),-1),IF(LEFT(E3587,6)="TÉRREO",0,IFERROR(VALUE(LEFT(E3587,FIND("º",SUBSTITUTE(E3587,"°","º"))-1)),""))))</f>
        <v>17</v>
      </c>
      <c r="O3587" s="2" t="str">
        <f aca="false">IF(OR(F3587="",G3587=""),"",IF(G3587&lt;='RETRATO 2027'!$K$5,"CONCLUÍDA",IF(F3587&lt;='RETRATO 2027'!$K$5,"EM ANDAMENTO","A INICIAR")))</f>
        <v>A INICIAR</v>
      </c>
    </row>
    <row r="3588" customFormat="false" ht="15" hidden="false" customHeight="false" outlineLevel="0" collapsed="false">
      <c r="B3588" s="4" t="n">
        <v>26744658</v>
      </c>
      <c r="C3588" s="4" t="s">
        <v>2935</v>
      </c>
      <c r="D3588" s="4" t="s">
        <v>433</v>
      </c>
      <c r="E3588" s="4" t="s">
        <v>3774</v>
      </c>
      <c r="F3588" s="127" t="n">
        <v>46867</v>
      </c>
      <c r="G3588" s="127" t="n">
        <v>46875</v>
      </c>
      <c r="H3588" s="127" t="n">
        <v>46293</v>
      </c>
      <c r="I3588" s="4" t="n">
        <v>0</v>
      </c>
      <c r="J3588" s="4" t="n">
        <v>0</v>
      </c>
      <c r="K3588" s="4" t="n">
        <v>0</v>
      </c>
      <c r="M3588" s="2" t="str">
        <f aca="false">IF(C3588="","",IFERROR(INDEX($S$5:$S$304,MATCH(C3588,$R$5:$R$304,0))&amp;"","?"))</f>
        <v>30</v>
      </c>
      <c r="N3588" s="2" t="n">
        <f aca="false">IF(E3588="","",IF(ISNUMBER(SEARCH("SUBSOLO",E3588)),IFERROR(-VALUE(LEFT(E3588,FIND("º",SUBSTITUTE(E3588,"°","º"))-1)),-1),IF(LEFT(E3588,6)="TÉRREO",0,IFERROR(VALUE(LEFT(E3588,FIND("º",SUBSTITUTE(E3588,"°","º"))-1)),""))))</f>
        <v>3</v>
      </c>
      <c r="O3588" s="2" t="str">
        <f aca="false">IF(OR(F3588="",G3588=""),"",IF(G3588&lt;='RETRATO 2027'!$K$5,"CONCLUÍDA",IF(F3588&lt;='RETRATO 2027'!$K$5,"EM ANDAMENTO","A INICIAR")))</f>
        <v>A INICIAR</v>
      </c>
    </row>
    <row r="3589" customFormat="false" ht="15" hidden="false" customHeight="false" outlineLevel="0" collapsed="false">
      <c r="B3589" s="4" t="n">
        <v>26707602</v>
      </c>
      <c r="C3589" s="4" t="s">
        <v>3021</v>
      </c>
      <c r="D3589" s="4" t="s">
        <v>433</v>
      </c>
      <c r="E3589" s="4" t="s">
        <v>3815</v>
      </c>
      <c r="F3589" s="127" t="n">
        <v>46868</v>
      </c>
      <c r="G3589" s="127" t="n">
        <v>46889</v>
      </c>
      <c r="H3589" s="127" t="n">
        <v>46293</v>
      </c>
      <c r="I3589" s="4" t="n">
        <v>0</v>
      </c>
      <c r="J3589" s="4" t="n">
        <v>0</v>
      </c>
      <c r="K3589" s="4" t="n">
        <v>0</v>
      </c>
      <c r="M3589" s="2" t="str">
        <f aca="false">IF(C3589="","",IFERROR(INDEX($S$5:$S$304,MATCH(C3589,$R$5:$R$304,0))&amp;"","?"))</f>
        <v>35</v>
      </c>
      <c r="N3589" s="2" t="n">
        <f aca="false">IF(E3589="","",IF(ISNUMBER(SEARCH("SUBSOLO",E3589)),IFERROR(-VALUE(LEFT(E3589,FIND("º",SUBSTITUTE(E3589,"°","º"))-1)),-1),IF(LEFT(E3589,6)="TÉRREO",0,IFERROR(VALUE(LEFT(E3589,FIND("º",SUBSTITUTE(E3589,"°","º"))-1)),""))))</f>
        <v>2</v>
      </c>
      <c r="O3589" s="2" t="str">
        <f aca="false">IF(OR(F3589="",G3589=""),"",IF(G3589&lt;='RETRATO 2027'!$K$5,"CONCLUÍDA",IF(F3589&lt;='RETRATO 2027'!$K$5,"EM ANDAMENTO","A INICIAR")))</f>
        <v>A INICIAR</v>
      </c>
    </row>
    <row r="3590" customFormat="false" ht="15" hidden="false" customHeight="false" outlineLevel="0" collapsed="false">
      <c r="B3590" s="4" t="n">
        <v>26744781</v>
      </c>
      <c r="C3590" s="4" t="s">
        <v>3006</v>
      </c>
      <c r="D3590" s="4" t="s">
        <v>433</v>
      </c>
      <c r="E3590" s="4" t="s">
        <v>3769</v>
      </c>
      <c r="F3590" s="127" t="n">
        <v>46868</v>
      </c>
      <c r="G3590" s="127" t="n">
        <v>46876</v>
      </c>
      <c r="H3590" s="127" t="n">
        <v>46293</v>
      </c>
      <c r="I3590" s="4" t="n">
        <v>0</v>
      </c>
      <c r="J3590" s="4" t="n">
        <v>0</v>
      </c>
      <c r="K3590" s="4" t="n">
        <v>0</v>
      </c>
      <c r="M3590" s="2" t="str">
        <f aca="false">IF(C3590="","",IFERROR(INDEX($S$5:$S$304,MATCH(C3590,$R$5:$R$304,0))&amp;"","?"))</f>
        <v>37</v>
      </c>
      <c r="N3590" s="2" t="n">
        <f aca="false">IF(E3590="","",IF(ISNUMBER(SEARCH("SUBSOLO",E3590)),IFERROR(-VALUE(LEFT(E3590,FIND("º",SUBSTITUTE(E3590,"°","º"))-1)),-1),IF(LEFT(E3590,6)="TÉRREO",0,IFERROR(VALUE(LEFT(E3590,FIND("º",SUBSTITUTE(E3590,"°","º"))-1)),""))))</f>
        <v>3</v>
      </c>
      <c r="O3590" s="2" t="str">
        <f aca="false">IF(OR(F3590="",G3590=""),"",IF(G3590&lt;='RETRATO 2027'!$K$5,"CONCLUÍDA",IF(F3590&lt;='RETRATO 2027'!$K$5,"EM ANDAMENTO","A INICIAR")))</f>
        <v>A INICIAR</v>
      </c>
    </row>
    <row r="3591" customFormat="false" ht="15" hidden="false" customHeight="false" outlineLevel="0" collapsed="false">
      <c r="B3591" s="4" t="n">
        <v>26708160</v>
      </c>
      <c r="C3591" s="4" t="s">
        <v>2938</v>
      </c>
      <c r="D3591" s="4" t="s">
        <v>433</v>
      </c>
      <c r="E3591" s="4" t="s">
        <v>3628</v>
      </c>
      <c r="F3591" s="127" t="n">
        <v>46869</v>
      </c>
      <c r="G3591" s="127" t="n">
        <v>46881</v>
      </c>
      <c r="H3591" s="127" t="n">
        <v>46293</v>
      </c>
      <c r="I3591" s="4" t="n">
        <v>0</v>
      </c>
      <c r="J3591" s="4" t="n">
        <v>0</v>
      </c>
      <c r="K3591" s="4" t="n">
        <v>0</v>
      </c>
      <c r="M3591" s="2" t="str">
        <f aca="false">IF(C3591="","",IFERROR(INDEX($S$5:$S$304,MATCH(C3591,$R$5:$R$304,0))&amp;"","?"))</f>
        <v>30</v>
      </c>
      <c r="N3591" s="2" t="n">
        <f aca="false">IF(E3591="","",IF(ISNUMBER(SEARCH("SUBSOLO",E3591)),IFERROR(-VALUE(LEFT(E3591,FIND("º",SUBSTITUTE(E3591,"°","º"))-1)),-1),IF(LEFT(E3591,6)="TÉRREO",0,IFERROR(VALUE(LEFT(E3591,FIND("º",SUBSTITUTE(E3591,"°","º"))-1)),""))))</f>
        <v>-6</v>
      </c>
      <c r="O3591" s="2" t="str">
        <f aca="false">IF(OR(F3591="",G3591=""),"",IF(G3591&lt;='RETRATO 2027'!$K$5,"CONCLUÍDA",IF(F3591&lt;='RETRATO 2027'!$K$5,"EM ANDAMENTO","A INICIAR")))</f>
        <v>A INICIAR</v>
      </c>
    </row>
    <row r="3592" customFormat="false" ht="15" hidden="false" customHeight="false" outlineLevel="0" collapsed="false">
      <c r="B3592" s="4" t="n">
        <v>26708130</v>
      </c>
      <c r="C3592" s="4" t="s">
        <v>166</v>
      </c>
      <c r="D3592" s="4" t="s">
        <v>433</v>
      </c>
      <c r="E3592" s="4" t="s">
        <v>3813</v>
      </c>
      <c r="F3592" s="127" t="n">
        <v>46869</v>
      </c>
      <c r="G3592" s="127" t="n">
        <v>46881</v>
      </c>
      <c r="H3592" s="127" t="n">
        <v>46293</v>
      </c>
      <c r="I3592" s="4" t="n">
        <v>0</v>
      </c>
      <c r="J3592" s="4" t="n">
        <v>0</v>
      </c>
      <c r="K3592" s="4" t="n">
        <v>0</v>
      </c>
      <c r="M3592" s="2" t="str">
        <f aca="false">IF(C3592="","",IFERROR(INDEX($S$5:$S$304,MATCH(C3592,$R$5:$R$304,0))&amp;"","?"))</f>
        <v>19</v>
      </c>
      <c r="N3592" s="2" t="n">
        <f aca="false">IF(E3592="","",IF(ISNUMBER(SEARCH("SUBSOLO",E3592)),IFERROR(-VALUE(LEFT(E3592,FIND("º",SUBSTITUTE(E3592,"°","º"))-1)),-1),IF(LEFT(E3592,6)="TÉRREO",0,IFERROR(VALUE(LEFT(E3592,FIND("º",SUBSTITUTE(E3592,"°","º"))-1)),""))))</f>
        <v>-6</v>
      </c>
      <c r="O3592" s="2" t="str">
        <f aca="false">IF(OR(F3592="",G3592=""),"",IF(G3592&lt;='RETRATO 2027'!$K$5,"CONCLUÍDA",IF(F3592&lt;='RETRATO 2027'!$K$5,"EM ANDAMENTO","A INICIAR")))</f>
        <v>A INICIAR</v>
      </c>
    </row>
    <row r="3593" customFormat="false" ht="15" hidden="false" customHeight="false" outlineLevel="0" collapsed="false">
      <c r="B3593" s="4" t="n">
        <v>26744752</v>
      </c>
      <c r="C3593" s="4" t="s">
        <v>2962</v>
      </c>
      <c r="D3593" s="4" t="s">
        <v>433</v>
      </c>
      <c r="E3593" s="4" t="s">
        <v>3784</v>
      </c>
      <c r="F3593" s="127" t="n">
        <v>46869</v>
      </c>
      <c r="G3593" s="127" t="n">
        <v>46876</v>
      </c>
      <c r="H3593" s="127" t="n">
        <v>46293</v>
      </c>
      <c r="I3593" s="4" t="n">
        <v>0</v>
      </c>
      <c r="J3593" s="4" t="n">
        <v>0</v>
      </c>
      <c r="K3593" s="4" t="n">
        <v>0</v>
      </c>
      <c r="M3593" s="2" t="str">
        <f aca="false">IF(C3593="","",IFERROR(INDEX($S$5:$S$304,MATCH(C3593,$R$5:$R$304,0))&amp;"","?"))</f>
        <v>34</v>
      </c>
      <c r="N3593" s="2" t="n">
        <f aca="false">IF(E3593="","",IF(ISNUMBER(SEARCH("SUBSOLO",E3593)),IFERROR(-VALUE(LEFT(E3593,FIND("º",SUBSTITUTE(E3593,"°","º"))-1)),-1),IF(LEFT(E3593,6)="TÉRREO",0,IFERROR(VALUE(LEFT(E3593,FIND("º",SUBSTITUTE(E3593,"°","º"))-1)),""))))</f>
        <v>3</v>
      </c>
      <c r="O3593" s="2" t="str">
        <f aca="false">IF(OR(F3593="",G3593=""),"",IF(G3593&lt;='RETRATO 2027'!$K$5,"CONCLUÍDA",IF(F3593&lt;='RETRATO 2027'!$K$5,"EM ANDAMENTO","A INICIAR")))</f>
        <v>A INICIAR</v>
      </c>
    </row>
    <row r="3594" customFormat="false" ht="15" hidden="false" customHeight="false" outlineLevel="0" collapsed="false">
      <c r="B3594" s="4" t="n">
        <v>26744774</v>
      </c>
      <c r="C3594" s="4" t="s">
        <v>3088</v>
      </c>
      <c r="D3594" s="4" t="s">
        <v>433</v>
      </c>
      <c r="E3594" s="4" t="s">
        <v>3784</v>
      </c>
      <c r="F3594" s="127" t="n">
        <v>46869</v>
      </c>
      <c r="G3594" s="127" t="n">
        <v>46877</v>
      </c>
      <c r="H3594" s="127" t="n">
        <v>46293</v>
      </c>
      <c r="I3594" s="4" t="n">
        <v>0</v>
      </c>
      <c r="J3594" s="4" t="n">
        <v>0</v>
      </c>
      <c r="K3594" s="4" t="n">
        <v>0</v>
      </c>
      <c r="M3594" s="2" t="str">
        <f aca="false">IF(C3594="","",IFERROR(INDEX($S$5:$S$304,MATCH(C3594,$R$5:$R$304,0))&amp;"","?"))</f>
        <v>20</v>
      </c>
      <c r="N3594" s="2" t="n">
        <f aca="false">IF(E3594="","",IF(ISNUMBER(SEARCH("SUBSOLO",E3594)),IFERROR(-VALUE(LEFT(E3594,FIND("º",SUBSTITUTE(E3594,"°","º"))-1)),-1),IF(LEFT(E3594,6)="TÉRREO",0,IFERROR(VALUE(LEFT(E3594,FIND("º",SUBSTITUTE(E3594,"°","º"))-1)),""))))</f>
        <v>3</v>
      </c>
      <c r="O3594" s="2" t="str">
        <f aca="false">IF(OR(F3594="",G3594=""),"",IF(G3594&lt;='RETRATO 2027'!$K$5,"CONCLUÍDA",IF(F3594&lt;='RETRATO 2027'!$K$5,"EM ANDAMENTO","A INICIAR")))</f>
        <v>A INICIAR</v>
      </c>
    </row>
    <row r="3595" customFormat="false" ht="15" hidden="false" customHeight="false" outlineLevel="0" collapsed="false">
      <c r="B3595" s="4" t="n">
        <v>26744767</v>
      </c>
      <c r="C3595" s="4" t="s">
        <v>3009</v>
      </c>
      <c r="D3595" s="4" t="s">
        <v>433</v>
      </c>
      <c r="E3595" s="4" t="s">
        <v>3784</v>
      </c>
      <c r="F3595" s="127" t="n">
        <v>46869</v>
      </c>
      <c r="G3595" s="127" t="n">
        <v>46876</v>
      </c>
      <c r="H3595" s="127" t="n">
        <v>46293</v>
      </c>
      <c r="I3595" s="4" t="n">
        <v>0</v>
      </c>
      <c r="J3595" s="4" t="n">
        <v>0</v>
      </c>
      <c r="K3595" s="4" t="n">
        <v>0</v>
      </c>
      <c r="M3595" s="2" t="str">
        <f aca="false">IF(C3595="","",IFERROR(INDEX($S$5:$S$304,MATCH(C3595,$R$5:$R$304,0))&amp;"","?"))</f>
        <v>23</v>
      </c>
      <c r="N3595" s="2" t="n">
        <f aca="false">IF(E3595="","",IF(ISNUMBER(SEARCH("SUBSOLO",E3595)),IFERROR(-VALUE(LEFT(E3595,FIND("º",SUBSTITUTE(E3595,"°","º"))-1)),-1),IF(LEFT(E3595,6)="TÉRREO",0,IFERROR(VALUE(LEFT(E3595,FIND("º",SUBSTITUTE(E3595,"°","º"))-1)),""))))</f>
        <v>3</v>
      </c>
      <c r="O3595" s="2" t="str">
        <f aca="false">IF(OR(F3595="",G3595=""),"",IF(G3595&lt;='RETRATO 2027'!$K$5,"CONCLUÍDA",IF(F3595&lt;='RETRATO 2027'!$K$5,"EM ANDAMENTO","A INICIAR")))</f>
        <v>A INICIAR</v>
      </c>
    </row>
    <row r="3596" customFormat="false" ht="15" hidden="false" customHeight="false" outlineLevel="0" collapsed="false">
      <c r="B3596" s="4" t="n">
        <v>26744716</v>
      </c>
      <c r="C3596" s="4" t="s">
        <v>3082</v>
      </c>
      <c r="D3596" s="4" t="s">
        <v>433</v>
      </c>
      <c r="E3596" s="4" t="s">
        <v>3800</v>
      </c>
      <c r="F3596" s="127" t="n">
        <v>46869</v>
      </c>
      <c r="G3596" s="127" t="n">
        <v>46877</v>
      </c>
      <c r="H3596" s="127" t="n">
        <v>46293</v>
      </c>
      <c r="I3596" s="4" t="n">
        <v>0</v>
      </c>
      <c r="J3596" s="4" t="n">
        <v>0</v>
      </c>
      <c r="K3596" s="4" t="n">
        <v>0</v>
      </c>
      <c r="M3596" s="2" t="str">
        <f aca="false">IF(C3596="","",IFERROR(INDEX($S$5:$S$304,MATCH(C3596,$R$5:$R$304,0))&amp;"","?"))</f>
        <v>30</v>
      </c>
      <c r="N3596" s="2" t="n">
        <f aca="false">IF(E3596="","",IF(ISNUMBER(SEARCH("SUBSOLO",E3596)),IFERROR(-VALUE(LEFT(E3596,FIND("º",SUBSTITUTE(E3596,"°","º"))-1)),-1),IF(LEFT(E3596,6)="TÉRREO",0,IFERROR(VALUE(LEFT(E3596,FIND("º",SUBSTITUTE(E3596,"°","º"))-1)),""))))</f>
        <v>3</v>
      </c>
      <c r="O3596" s="2" t="str">
        <f aca="false">IF(OR(F3596="",G3596=""),"",IF(G3596&lt;='RETRATO 2027'!$K$5,"CONCLUÍDA",IF(F3596&lt;='RETRATO 2027'!$K$5,"EM ANDAMENTO","A INICIAR")))</f>
        <v>A INICIAR</v>
      </c>
    </row>
    <row r="3597" customFormat="false" ht="15" hidden="false" customHeight="false" outlineLevel="0" collapsed="false">
      <c r="B3597" s="4" t="n">
        <v>26745191</v>
      </c>
      <c r="C3597" s="4" t="s">
        <v>3021</v>
      </c>
      <c r="D3597" s="4" t="s">
        <v>433</v>
      </c>
      <c r="E3597" s="4" t="s">
        <v>3657</v>
      </c>
      <c r="F3597" s="127" t="n">
        <v>46870</v>
      </c>
      <c r="G3597" s="127" t="n">
        <v>46882</v>
      </c>
      <c r="H3597" s="127" t="n">
        <v>46293</v>
      </c>
      <c r="I3597" s="4" t="n">
        <v>0</v>
      </c>
      <c r="J3597" s="4" t="n">
        <v>0</v>
      </c>
      <c r="K3597" s="4" t="n">
        <v>0</v>
      </c>
      <c r="M3597" s="2" t="str">
        <f aca="false">IF(C3597="","",IFERROR(INDEX($S$5:$S$304,MATCH(C3597,$R$5:$R$304,0))&amp;"","?"))</f>
        <v>35</v>
      </c>
      <c r="N3597" s="2" t="n">
        <f aca="false">IF(E3597="","",IF(ISNUMBER(SEARCH("SUBSOLO",E3597)),IFERROR(-VALUE(LEFT(E3597,FIND("º",SUBSTITUTE(E3597,"°","º"))-1)),-1),IF(LEFT(E3597,6)="TÉRREO",0,IFERROR(VALUE(LEFT(E3597,FIND("º",SUBSTITUTE(E3597,"°","º"))-1)),""))))</f>
        <v>-5</v>
      </c>
      <c r="O3597" s="2" t="str">
        <f aca="false">IF(OR(F3597="",G3597=""),"",IF(G3597&lt;='RETRATO 2027'!$K$5,"CONCLUÍDA",IF(F3597&lt;='RETRATO 2027'!$K$5,"EM ANDAMENTO","A INICIAR")))</f>
        <v>A INICIAR</v>
      </c>
    </row>
    <row r="3598" customFormat="false" ht="15" hidden="false" customHeight="false" outlineLevel="0" collapsed="false">
      <c r="B3598" s="4" t="n">
        <v>26707622</v>
      </c>
      <c r="C3598" s="4" t="s">
        <v>3029</v>
      </c>
      <c r="D3598" s="4" t="s">
        <v>433</v>
      </c>
      <c r="E3598" s="4" t="s">
        <v>3812</v>
      </c>
      <c r="F3598" s="127" t="n">
        <v>46871</v>
      </c>
      <c r="G3598" s="127" t="n">
        <v>46885</v>
      </c>
      <c r="H3598" s="127" t="n">
        <v>46293</v>
      </c>
      <c r="I3598" s="4" t="n">
        <v>0</v>
      </c>
      <c r="J3598" s="4" t="n">
        <v>0</v>
      </c>
      <c r="K3598" s="4" t="n">
        <v>0</v>
      </c>
      <c r="M3598" s="2" t="str">
        <f aca="false">IF(C3598="","",IFERROR(INDEX($S$5:$S$304,MATCH(C3598,$R$5:$R$304,0))&amp;"","?"))</f>
        <v/>
      </c>
      <c r="N3598" s="2" t="n">
        <f aca="false">IF(E3598="","",IF(ISNUMBER(SEARCH("SUBSOLO",E3598)),IFERROR(-VALUE(LEFT(E3598,FIND("º",SUBSTITUTE(E3598,"°","º"))-1)),-1),IF(LEFT(E3598,6)="TÉRREO",0,IFERROR(VALUE(LEFT(E3598,FIND("º",SUBSTITUTE(E3598,"°","º"))-1)),""))))</f>
        <v>2</v>
      </c>
      <c r="O3598" s="2" t="str">
        <f aca="false">IF(OR(F3598="",G3598=""),"",IF(G3598&lt;='RETRATO 2027'!$K$5,"CONCLUÍDA",IF(F3598&lt;='RETRATO 2027'!$K$5,"EM ANDAMENTO","A INICIAR")))</f>
        <v>A INICIAR</v>
      </c>
    </row>
    <row r="3599" customFormat="false" ht="15" hidden="false" customHeight="false" outlineLevel="0" collapsed="false">
      <c r="B3599" s="4" t="n">
        <v>26745023</v>
      </c>
      <c r="C3599" s="4" t="s">
        <v>2971</v>
      </c>
      <c r="D3599" s="4" t="s">
        <v>433</v>
      </c>
      <c r="E3599" s="4" t="s">
        <v>3828</v>
      </c>
      <c r="F3599" s="127" t="n">
        <v>46871</v>
      </c>
      <c r="G3599" s="127" t="n">
        <v>46883</v>
      </c>
      <c r="H3599" s="127" t="n">
        <v>46293</v>
      </c>
      <c r="I3599" s="4" t="n">
        <v>0</v>
      </c>
      <c r="J3599" s="4" t="n">
        <v>0</v>
      </c>
      <c r="K3599" s="4" t="n">
        <v>0</v>
      </c>
      <c r="M3599" s="2" t="str">
        <f aca="false">IF(C3599="","",IFERROR(INDEX($S$5:$S$304,MATCH(C3599,$R$5:$R$304,0))&amp;"","?"))</f>
        <v>37</v>
      </c>
      <c r="N3599" s="2" t="n">
        <f aca="false">IF(E3599="","",IF(ISNUMBER(SEARCH("SUBSOLO",E3599)),IFERROR(-VALUE(LEFT(E3599,FIND("º",SUBSTITUTE(E3599,"°","º"))-1)),-1),IF(LEFT(E3599,6)="TÉRREO",0,IFERROR(VALUE(LEFT(E3599,FIND("º",SUBSTITUTE(E3599,"°","º"))-1)),""))))</f>
        <v>2</v>
      </c>
      <c r="O3599" s="2" t="str">
        <f aca="false">IF(OR(F3599="",G3599=""),"",IF(G3599&lt;='RETRATO 2027'!$K$5,"CONCLUÍDA",IF(F3599&lt;='RETRATO 2027'!$K$5,"EM ANDAMENTO","A INICIAR")))</f>
        <v>A INICIAR</v>
      </c>
    </row>
    <row r="3600" customFormat="false" ht="15" hidden="false" customHeight="false" outlineLevel="0" collapsed="false">
      <c r="B3600" s="4" t="n">
        <v>26744683</v>
      </c>
      <c r="C3600" s="4" t="s">
        <v>3079</v>
      </c>
      <c r="D3600" s="4" t="s">
        <v>433</v>
      </c>
      <c r="E3600" s="4" t="s">
        <v>3810</v>
      </c>
      <c r="F3600" s="127" t="n">
        <v>46871</v>
      </c>
      <c r="G3600" s="127" t="n">
        <v>46881</v>
      </c>
      <c r="H3600" s="127" t="n">
        <v>46293</v>
      </c>
      <c r="I3600" s="4" t="n">
        <v>0</v>
      </c>
      <c r="J3600" s="4" t="n">
        <v>0</v>
      </c>
      <c r="K3600" s="4" t="n">
        <v>0</v>
      </c>
      <c r="M3600" s="2" t="str">
        <f aca="false">IF(C3600="","",IFERROR(INDEX($S$5:$S$304,MATCH(C3600,$R$5:$R$304,0))&amp;"","?"))</f>
        <v>25</v>
      </c>
      <c r="N3600" s="2" t="n">
        <f aca="false">IF(E3600="","",IF(ISNUMBER(SEARCH("SUBSOLO",E3600)),IFERROR(-VALUE(LEFT(E3600,FIND("º",SUBSTITUTE(E3600,"°","º"))-1)),-1),IF(LEFT(E3600,6)="TÉRREO",0,IFERROR(VALUE(LEFT(E3600,FIND("º",SUBSTITUTE(E3600,"°","º"))-1)),""))))</f>
        <v>3</v>
      </c>
      <c r="O3600" s="2" t="str">
        <f aca="false">IF(OR(F3600="",G3600=""),"",IF(G3600&lt;='RETRATO 2027'!$K$5,"CONCLUÍDA",IF(F3600&lt;='RETRATO 2027'!$K$5,"EM ANDAMENTO","A INICIAR")))</f>
        <v>A INICIAR</v>
      </c>
    </row>
    <row r="3601" customFormat="false" ht="15" hidden="false" customHeight="false" outlineLevel="0" collapsed="false">
      <c r="B3601" s="4" t="n">
        <v>26743777</v>
      </c>
      <c r="C3601" s="4" t="s">
        <v>3063</v>
      </c>
      <c r="D3601" s="4" t="s">
        <v>433</v>
      </c>
      <c r="E3601" s="4" t="s">
        <v>3473</v>
      </c>
      <c r="F3601" s="127" t="n">
        <v>46875</v>
      </c>
      <c r="G3601" s="127" t="n">
        <v>46895</v>
      </c>
      <c r="H3601" s="127" t="n">
        <v>46293</v>
      </c>
      <c r="I3601" s="4" t="n">
        <v>0</v>
      </c>
      <c r="J3601" s="4" t="n">
        <v>0</v>
      </c>
      <c r="K3601" s="4" t="n">
        <v>0</v>
      </c>
      <c r="M3601" s="2" t="str">
        <f aca="false">IF(C3601="","",IFERROR(INDEX($S$5:$S$304,MATCH(C3601,$R$5:$R$304,0))&amp;"","?"))</f>
        <v>31</v>
      </c>
      <c r="N3601" s="2" t="n">
        <f aca="false">IF(E3601="","",IF(ISNUMBER(SEARCH("SUBSOLO",E3601)),IFERROR(-VALUE(LEFT(E3601,FIND("º",SUBSTITUTE(E3601,"°","º"))-1)),-1),IF(LEFT(E3601,6)="TÉRREO",0,IFERROR(VALUE(LEFT(E3601,FIND("º",SUBSTITUTE(E3601,"°","º"))-1)),""))))</f>
        <v>-5</v>
      </c>
      <c r="O3601" s="2" t="str">
        <f aca="false">IF(OR(F3601="",G3601=""),"",IF(G3601&lt;='RETRATO 2027'!$K$5,"CONCLUÍDA",IF(F3601&lt;='RETRATO 2027'!$K$5,"EM ANDAMENTO","A INICIAR")))</f>
        <v>A INICIAR</v>
      </c>
    </row>
    <row r="3602" customFormat="false" ht="15" hidden="false" customHeight="false" outlineLevel="0" collapsed="false">
      <c r="B3602" s="4" t="n">
        <v>26744384</v>
      </c>
      <c r="C3602" s="4" t="s">
        <v>2971</v>
      </c>
      <c r="D3602" s="4" t="s">
        <v>433</v>
      </c>
      <c r="E3602" s="4" t="s">
        <v>3243</v>
      </c>
      <c r="F3602" s="127" t="n">
        <v>46875</v>
      </c>
      <c r="G3602" s="127" t="n">
        <v>46883</v>
      </c>
      <c r="H3602" s="127" t="n">
        <v>46293</v>
      </c>
      <c r="I3602" s="4" t="n">
        <v>0</v>
      </c>
      <c r="J3602" s="4" t="n">
        <v>0</v>
      </c>
      <c r="K3602" s="4" t="n">
        <v>0</v>
      </c>
      <c r="M3602" s="2" t="str">
        <f aca="false">IF(C3602="","",IFERROR(INDEX($S$5:$S$304,MATCH(C3602,$R$5:$R$304,0))&amp;"","?"))</f>
        <v>37</v>
      </c>
      <c r="N3602" s="2" t="n">
        <f aca="false">IF(E3602="","",IF(ISNUMBER(SEARCH("SUBSOLO",E3602)),IFERROR(-VALUE(LEFT(E3602,FIND("º",SUBSTITUTE(E3602,"°","º"))-1)),-1),IF(LEFT(E3602,6)="TÉRREO",0,IFERROR(VALUE(LEFT(E3602,FIND("º",SUBSTITUTE(E3602,"°","º"))-1)),""))))</f>
        <v>1</v>
      </c>
      <c r="O3602" s="2" t="str">
        <f aca="false">IF(OR(F3602="",G3602=""),"",IF(G3602&lt;='RETRATO 2027'!$K$5,"CONCLUÍDA",IF(F3602&lt;='RETRATO 2027'!$K$5,"EM ANDAMENTO","A INICIAR")))</f>
        <v>A INICIAR</v>
      </c>
    </row>
    <row r="3603" customFormat="false" ht="15" hidden="false" customHeight="false" outlineLevel="0" collapsed="false">
      <c r="B3603" s="4" t="n">
        <v>30433001</v>
      </c>
      <c r="C3603" s="4" t="s">
        <v>3096</v>
      </c>
      <c r="D3603" s="4" t="s">
        <v>433</v>
      </c>
      <c r="E3603" s="4" t="s">
        <v>3685</v>
      </c>
      <c r="F3603" s="127" t="n">
        <v>46875</v>
      </c>
      <c r="G3603" s="127" t="n">
        <v>46883</v>
      </c>
      <c r="H3603" s="127" t="n">
        <v>46293</v>
      </c>
      <c r="I3603" s="4" t="n">
        <v>0</v>
      </c>
      <c r="J3603" s="4" t="n">
        <v>0</v>
      </c>
      <c r="K3603" s="4" t="n">
        <v>0</v>
      </c>
      <c r="M3603" s="2" t="str">
        <f aca="false">IF(C3603="","",IFERROR(INDEX($S$5:$S$304,MATCH(C3603,$R$5:$R$304,0))&amp;"","?"))</f>
        <v/>
      </c>
      <c r="N3603" s="2" t="n">
        <f aca="false">IF(E3603="","",IF(ISNUMBER(SEARCH("SUBSOLO",E3603)),IFERROR(-VALUE(LEFT(E3603,FIND("º",SUBSTITUTE(E3603,"°","º"))-1)),-1),IF(LEFT(E3603,6)="TÉRREO",0,IFERROR(VALUE(LEFT(E3603,FIND("º",SUBSTITUTE(E3603,"°","º"))-1)),""))))</f>
        <v>6</v>
      </c>
      <c r="O3603" s="2" t="str">
        <f aca="false">IF(OR(F3603="",G3603=""),"",IF(G3603&lt;='RETRATO 2027'!$K$5,"CONCLUÍDA",IF(F3603&lt;='RETRATO 2027'!$K$5,"EM ANDAMENTO","A INICIAR")))</f>
        <v>A INICIAR</v>
      </c>
    </row>
    <row r="3604" customFormat="false" ht="15" hidden="false" customHeight="false" outlineLevel="0" collapsed="false">
      <c r="B3604" s="4" t="n">
        <v>26743522</v>
      </c>
      <c r="C3604" s="4" t="s">
        <v>3029</v>
      </c>
      <c r="D3604" s="4" t="s">
        <v>433</v>
      </c>
      <c r="E3604" s="4" t="s">
        <v>3686</v>
      </c>
      <c r="F3604" s="127" t="n">
        <v>46875</v>
      </c>
      <c r="G3604" s="127" t="n">
        <v>46883</v>
      </c>
      <c r="H3604" s="127" t="n">
        <v>46293</v>
      </c>
      <c r="I3604" s="4" t="n">
        <v>0</v>
      </c>
      <c r="J3604" s="4" t="n">
        <v>0</v>
      </c>
      <c r="K3604" s="4" t="n">
        <v>0</v>
      </c>
      <c r="M3604" s="2" t="str">
        <f aca="false">IF(C3604="","",IFERROR(INDEX($S$5:$S$304,MATCH(C3604,$R$5:$R$304,0))&amp;"","?"))</f>
        <v/>
      </c>
      <c r="N3604" s="2" t="n">
        <f aca="false">IF(E3604="","",IF(ISNUMBER(SEARCH("SUBSOLO",E3604)),IFERROR(-VALUE(LEFT(E3604,FIND("º",SUBSTITUTE(E3604,"°","º"))-1)),-1),IF(LEFT(E3604,6)="TÉRREO",0,IFERROR(VALUE(LEFT(E3604,FIND("º",SUBSTITUTE(E3604,"°","º"))-1)),""))))</f>
        <v>7</v>
      </c>
      <c r="O3604" s="2" t="str">
        <f aca="false">IF(OR(F3604="",G3604=""),"",IF(G3604&lt;='RETRATO 2027'!$K$5,"CONCLUÍDA",IF(F3604&lt;='RETRATO 2027'!$K$5,"EM ANDAMENTO","A INICIAR")))</f>
        <v>A INICIAR</v>
      </c>
    </row>
    <row r="3605" customFormat="false" ht="15" hidden="false" customHeight="false" outlineLevel="0" collapsed="false">
      <c r="B3605" s="4" t="n">
        <v>26743483</v>
      </c>
      <c r="C3605" s="4" t="s">
        <v>2971</v>
      </c>
      <c r="D3605" s="4" t="s">
        <v>433</v>
      </c>
      <c r="E3605" s="4" t="s">
        <v>3706</v>
      </c>
      <c r="F3605" s="127" t="n">
        <v>46875</v>
      </c>
      <c r="G3605" s="127" t="n">
        <v>46883</v>
      </c>
      <c r="H3605" s="127" t="n">
        <v>46293</v>
      </c>
      <c r="I3605" s="4" t="n">
        <v>0</v>
      </c>
      <c r="J3605" s="4" t="n">
        <v>0</v>
      </c>
      <c r="K3605" s="4" t="n">
        <v>0</v>
      </c>
      <c r="M3605" s="2" t="str">
        <f aca="false">IF(C3605="","",IFERROR(INDEX($S$5:$S$304,MATCH(C3605,$R$5:$R$304,0))&amp;"","?"))</f>
        <v>37</v>
      </c>
      <c r="N3605" s="2" t="n">
        <f aca="false">IF(E3605="","",IF(ISNUMBER(SEARCH("SUBSOLO",E3605)),IFERROR(-VALUE(LEFT(E3605,FIND("º",SUBSTITUTE(E3605,"°","º"))-1)),-1),IF(LEFT(E3605,6)="TÉRREO",0,IFERROR(VALUE(LEFT(E3605,FIND("º",SUBSTITUTE(E3605,"°","º"))-1)),""))))</f>
        <v>8</v>
      </c>
      <c r="O3605" s="2" t="str">
        <f aca="false">IF(OR(F3605="",G3605=""),"",IF(G3605&lt;='RETRATO 2027'!$K$5,"CONCLUÍDA",IF(F3605&lt;='RETRATO 2027'!$K$5,"EM ANDAMENTO","A INICIAR")))</f>
        <v>A INICIAR</v>
      </c>
    </row>
    <row r="3606" customFormat="false" ht="15" hidden="false" customHeight="false" outlineLevel="0" collapsed="false">
      <c r="B3606" s="4" t="n">
        <v>26743445</v>
      </c>
      <c r="C3606" s="4" t="s">
        <v>3032</v>
      </c>
      <c r="D3606" s="4" t="s">
        <v>433</v>
      </c>
      <c r="E3606" s="4" t="s">
        <v>3716</v>
      </c>
      <c r="F3606" s="127" t="n">
        <v>46875</v>
      </c>
      <c r="G3606" s="127" t="n">
        <v>46883</v>
      </c>
      <c r="H3606" s="127" t="n">
        <v>46293</v>
      </c>
      <c r="I3606" s="4" t="n">
        <v>0</v>
      </c>
      <c r="J3606" s="4" t="n">
        <v>0</v>
      </c>
      <c r="K3606" s="4" t="n">
        <v>0</v>
      </c>
      <c r="M3606" s="2" t="str">
        <f aca="false">IF(C3606="","",IFERROR(INDEX($S$5:$S$304,MATCH(C3606,$R$5:$R$304,0))&amp;"","?"))</f>
        <v>35</v>
      </c>
      <c r="N3606" s="2" t="n">
        <f aca="false">IF(E3606="","",IF(ISNUMBER(SEARCH("SUBSOLO",E3606)),IFERROR(-VALUE(LEFT(E3606,FIND("º",SUBSTITUTE(E3606,"°","º"))-1)),-1),IF(LEFT(E3606,6)="TÉRREO",0,IFERROR(VALUE(LEFT(E3606,FIND("º",SUBSTITUTE(E3606,"°","º"))-1)),""))))</f>
        <v>9</v>
      </c>
      <c r="O3606" s="2" t="str">
        <f aca="false">IF(OR(F3606="",G3606=""),"",IF(G3606&lt;='RETRATO 2027'!$K$5,"CONCLUÍDA",IF(F3606&lt;='RETRATO 2027'!$K$5,"EM ANDAMENTO","A INICIAR")))</f>
        <v>A INICIAR</v>
      </c>
    </row>
    <row r="3607" customFormat="false" ht="15" hidden="false" customHeight="false" outlineLevel="0" collapsed="false">
      <c r="B3607" s="4" t="n">
        <v>26743402</v>
      </c>
      <c r="C3607" s="4" t="s">
        <v>3093</v>
      </c>
      <c r="D3607" s="4" t="s">
        <v>433</v>
      </c>
      <c r="E3607" s="4" t="s">
        <v>3722</v>
      </c>
      <c r="F3607" s="127" t="n">
        <v>46875</v>
      </c>
      <c r="G3607" s="127" t="n">
        <v>46883</v>
      </c>
      <c r="H3607" s="127" t="n">
        <v>46293</v>
      </c>
      <c r="I3607" s="4" t="n">
        <v>0</v>
      </c>
      <c r="J3607" s="4" t="n">
        <v>0</v>
      </c>
      <c r="K3607" s="4" t="n">
        <v>0</v>
      </c>
      <c r="M3607" s="2" t="str">
        <f aca="false">IF(C3607="","",IFERROR(INDEX($S$5:$S$304,MATCH(C3607,$R$5:$R$304,0))&amp;"","?"))</f>
        <v>34</v>
      </c>
      <c r="N3607" s="2" t="n">
        <f aca="false">IF(E3607="","",IF(ISNUMBER(SEARCH("SUBSOLO",E3607)),IFERROR(-VALUE(LEFT(E3607,FIND("º",SUBSTITUTE(E3607,"°","º"))-1)),-1),IF(LEFT(E3607,6)="TÉRREO",0,IFERROR(VALUE(LEFT(E3607,FIND("º",SUBSTITUTE(E3607,"°","º"))-1)),""))))</f>
        <v>10</v>
      </c>
      <c r="O3607" s="2" t="str">
        <f aca="false">IF(OR(F3607="",G3607=""),"",IF(G3607&lt;='RETRATO 2027'!$K$5,"CONCLUÍDA",IF(F3607&lt;='RETRATO 2027'!$K$5,"EM ANDAMENTO","A INICIAR")))</f>
        <v>A INICIAR</v>
      </c>
    </row>
    <row r="3608" customFormat="false" ht="15" hidden="false" customHeight="false" outlineLevel="0" collapsed="false">
      <c r="B3608" s="4" t="n">
        <v>26743424</v>
      </c>
      <c r="C3608" s="4" t="s">
        <v>2965</v>
      </c>
      <c r="D3608" s="4" t="s">
        <v>433</v>
      </c>
      <c r="E3608" s="4" t="s">
        <v>3722</v>
      </c>
      <c r="F3608" s="127" t="n">
        <v>46875</v>
      </c>
      <c r="G3608" s="127" t="n">
        <v>46883</v>
      </c>
      <c r="H3608" s="127" t="n">
        <v>46293</v>
      </c>
      <c r="I3608" s="4" t="n">
        <v>0</v>
      </c>
      <c r="J3608" s="4" t="n">
        <v>0</v>
      </c>
      <c r="K3608" s="4" t="n">
        <v>0</v>
      </c>
      <c r="M3608" s="2" t="str">
        <f aca="false">IF(C3608="","",IFERROR(INDEX($S$5:$S$304,MATCH(C3608,$R$5:$R$304,0))&amp;"","?"))</f>
        <v>20</v>
      </c>
      <c r="N3608" s="2" t="n">
        <f aca="false">IF(E3608="","",IF(ISNUMBER(SEARCH("SUBSOLO",E3608)),IFERROR(-VALUE(LEFT(E3608,FIND("º",SUBSTITUTE(E3608,"°","º"))-1)),-1),IF(LEFT(E3608,6)="TÉRREO",0,IFERROR(VALUE(LEFT(E3608,FIND("º",SUBSTITUTE(E3608,"°","º"))-1)),""))))</f>
        <v>10</v>
      </c>
      <c r="O3608" s="2" t="str">
        <f aca="false">IF(OR(F3608="",G3608=""),"",IF(G3608&lt;='RETRATO 2027'!$K$5,"CONCLUÍDA",IF(F3608&lt;='RETRATO 2027'!$K$5,"EM ANDAMENTO","A INICIAR")))</f>
        <v>A INICIAR</v>
      </c>
    </row>
    <row r="3609" customFormat="false" ht="15" hidden="false" customHeight="false" outlineLevel="0" collapsed="false">
      <c r="B3609" s="4" t="n">
        <v>26743364</v>
      </c>
      <c r="C3609" s="4" t="s">
        <v>3021</v>
      </c>
      <c r="D3609" s="4" t="s">
        <v>433</v>
      </c>
      <c r="E3609" s="4" t="s">
        <v>3762</v>
      </c>
      <c r="F3609" s="127" t="n">
        <v>46875</v>
      </c>
      <c r="G3609" s="127" t="n">
        <v>46883</v>
      </c>
      <c r="H3609" s="127" t="n">
        <v>46293</v>
      </c>
      <c r="I3609" s="4" t="n">
        <v>0</v>
      </c>
      <c r="J3609" s="4" t="n">
        <v>0</v>
      </c>
      <c r="K3609" s="4" t="n">
        <v>0</v>
      </c>
      <c r="M3609" s="2" t="str">
        <f aca="false">IF(C3609="","",IFERROR(INDEX($S$5:$S$304,MATCH(C3609,$R$5:$R$304,0))&amp;"","?"))</f>
        <v>35</v>
      </c>
      <c r="N3609" s="2" t="n">
        <f aca="false">IF(E3609="","",IF(ISNUMBER(SEARCH("SUBSOLO",E3609)),IFERROR(-VALUE(LEFT(E3609,FIND("º",SUBSTITUTE(E3609,"°","º"))-1)),-1),IF(LEFT(E3609,6)="TÉRREO",0,IFERROR(VALUE(LEFT(E3609,FIND("º",SUBSTITUTE(E3609,"°","º"))-1)),""))))</f>
        <v>11</v>
      </c>
      <c r="O3609" s="2" t="str">
        <f aca="false">IF(OR(F3609="",G3609=""),"",IF(G3609&lt;='RETRATO 2027'!$K$5,"CONCLUÍDA",IF(F3609&lt;='RETRATO 2027'!$K$5,"EM ANDAMENTO","A INICIAR")))</f>
        <v>A INICIAR</v>
      </c>
    </row>
    <row r="3610" customFormat="false" ht="15" hidden="false" customHeight="false" outlineLevel="0" collapsed="false">
      <c r="B3610" s="4" t="n">
        <v>26743329</v>
      </c>
      <c r="C3610" s="4" t="s">
        <v>3006</v>
      </c>
      <c r="D3610" s="4" t="s">
        <v>433</v>
      </c>
      <c r="E3610" s="4" t="s">
        <v>3763</v>
      </c>
      <c r="F3610" s="127" t="n">
        <v>46875</v>
      </c>
      <c r="G3610" s="127" t="n">
        <v>46883</v>
      </c>
      <c r="H3610" s="127" t="n">
        <v>46293</v>
      </c>
      <c r="I3610" s="4" t="n">
        <v>0</v>
      </c>
      <c r="J3610" s="4" t="n">
        <v>0</v>
      </c>
      <c r="K3610" s="4" t="n">
        <v>0</v>
      </c>
      <c r="M3610" s="2" t="str">
        <f aca="false">IF(C3610="","",IFERROR(INDEX($S$5:$S$304,MATCH(C3610,$R$5:$R$304,0))&amp;"","?"))</f>
        <v>37</v>
      </c>
      <c r="N3610" s="2" t="n">
        <f aca="false">IF(E3610="","",IF(ISNUMBER(SEARCH("SUBSOLO",E3610)),IFERROR(-VALUE(LEFT(E3610,FIND("º",SUBSTITUTE(E3610,"°","º"))-1)),-1),IF(LEFT(E3610,6)="TÉRREO",0,IFERROR(VALUE(LEFT(E3610,FIND("º",SUBSTITUTE(E3610,"°","º"))-1)),""))))</f>
        <v>12</v>
      </c>
      <c r="O3610" s="2" t="str">
        <f aca="false">IF(OR(F3610="",G3610=""),"",IF(G3610&lt;='RETRATO 2027'!$K$5,"CONCLUÍDA",IF(F3610&lt;='RETRATO 2027'!$K$5,"EM ANDAMENTO","A INICIAR")))</f>
        <v>A INICIAR</v>
      </c>
    </row>
    <row r="3611" customFormat="false" ht="15" hidden="false" customHeight="false" outlineLevel="0" collapsed="false">
      <c r="B3611" s="4" t="n">
        <v>26743294</v>
      </c>
      <c r="C3611" s="4" t="s">
        <v>2962</v>
      </c>
      <c r="D3611" s="4" t="s">
        <v>433</v>
      </c>
      <c r="E3611" s="4" t="s">
        <v>3764</v>
      </c>
      <c r="F3611" s="127" t="n">
        <v>46875</v>
      </c>
      <c r="G3611" s="127" t="n">
        <v>46883</v>
      </c>
      <c r="H3611" s="127" t="n">
        <v>46293</v>
      </c>
      <c r="I3611" s="4" t="n">
        <v>0</v>
      </c>
      <c r="J3611" s="4" t="n">
        <v>0</v>
      </c>
      <c r="K3611" s="4" t="n">
        <v>0</v>
      </c>
      <c r="M3611" s="2" t="str">
        <f aca="false">IF(C3611="","",IFERROR(INDEX($S$5:$S$304,MATCH(C3611,$R$5:$R$304,0))&amp;"","?"))</f>
        <v>34</v>
      </c>
      <c r="N3611" s="2" t="n">
        <f aca="false">IF(E3611="","",IF(ISNUMBER(SEARCH("SUBSOLO",E3611)),IFERROR(-VALUE(LEFT(E3611,FIND("º",SUBSTITUTE(E3611,"°","º"))-1)),-1),IF(LEFT(E3611,6)="TÉRREO",0,IFERROR(VALUE(LEFT(E3611,FIND("º",SUBSTITUTE(E3611,"°","º"))-1)),""))))</f>
        <v>13</v>
      </c>
      <c r="O3611" s="2" t="str">
        <f aca="false">IF(OR(F3611="",G3611=""),"",IF(G3611&lt;='RETRATO 2027'!$K$5,"CONCLUÍDA",IF(F3611&lt;='RETRATO 2027'!$K$5,"EM ANDAMENTO","A INICIAR")))</f>
        <v>A INICIAR</v>
      </c>
    </row>
    <row r="3612" customFormat="false" ht="15" hidden="false" customHeight="false" outlineLevel="0" collapsed="false">
      <c r="B3612" s="4" t="n">
        <v>26743299</v>
      </c>
      <c r="C3612" s="4" t="s">
        <v>3088</v>
      </c>
      <c r="D3612" s="4" t="s">
        <v>433</v>
      </c>
      <c r="E3612" s="4" t="s">
        <v>3764</v>
      </c>
      <c r="F3612" s="127" t="n">
        <v>46875</v>
      </c>
      <c r="G3612" s="127" t="n">
        <v>46883</v>
      </c>
      <c r="H3612" s="127" t="n">
        <v>46293</v>
      </c>
      <c r="I3612" s="4" t="n">
        <v>0</v>
      </c>
      <c r="J3612" s="4" t="n">
        <v>0</v>
      </c>
      <c r="K3612" s="4" t="n">
        <v>0</v>
      </c>
      <c r="M3612" s="2" t="str">
        <f aca="false">IF(C3612="","",IFERROR(INDEX($S$5:$S$304,MATCH(C3612,$R$5:$R$304,0))&amp;"","?"))</f>
        <v>20</v>
      </c>
      <c r="N3612" s="2" t="n">
        <f aca="false">IF(E3612="","",IF(ISNUMBER(SEARCH("SUBSOLO",E3612)),IFERROR(-VALUE(LEFT(E3612,FIND("º",SUBSTITUTE(E3612,"°","º"))-1)),-1),IF(LEFT(E3612,6)="TÉRREO",0,IFERROR(VALUE(LEFT(E3612,FIND("º",SUBSTITUTE(E3612,"°","º"))-1)),""))))</f>
        <v>13</v>
      </c>
      <c r="O3612" s="2" t="str">
        <f aca="false">IF(OR(F3612="",G3612=""),"",IF(G3612&lt;='RETRATO 2027'!$K$5,"CONCLUÍDA",IF(F3612&lt;='RETRATO 2027'!$K$5,"EM ANDAMENTO","A INICIAR")))</f>
        <v>A INICIAR</v>
      </c>
    </row>
    <row r="3613" customFormat="false" ht="15" hidden="false" customHeight="false" outlineLevel="0" collapsed="false">
      <c r="B3613" s="4" t="n">
        <v>26743318</v>
      </c>
      <c r="C3613" s="4" t="s">
        <v>3009</v>
      </c>
      <c r="D3613" s="4" t="s">
        <v>433</v>
      </c>
      <c r="E3613" s="4" t="s">
        <v>3764</v>
      </c>
      <c r="F3613" s="127" t="n">
        <v>46875</v>
      </c>
      <c r="G3613" s="127" t="n">
        <v>46883</v>
      </c>
      <c r="H3613" s="127" t="n">
        <v>46293</v>
      </c>
      <c r="I3613" s="4" t="n">
        <v>0</v>
      </c>
      <c r="J3613" s="4" t="n">
        <v>0</v>
      </c>
      <c r="K3613" s="4" t="n">
        <v>0</v>
      </c>
      <c r="M3613" s="2" t="str">
        <f aca="false">IF(C3613="","",IFERROR(INDEX($S$5:$S$304,MATCH(C3613,$R$5:$R$304,0))&amp;"","?"))</f>
        <v>23</v>
      </c>
      <c r="N3613" s="2" t="n">
        <f aca="false">IF(E3613="","",IF(ISNUMBER(SEARCH("SUBSOLO",E3613)),IFERROR(-VALUE(LEFT(E3613,FIND("º",SUBSTITUTE(E3613,"°","º"))-1)),-1),IF(LEFT(E3613,6)="TÉRREO",0,IFERROR(VALUE(LEFT(E3613,FIND("º",SUBSTITUTE(E3613,"°","º"))-1)),""))))</f>
        <v>13</v>
      </c>
      <c r="O3613" s="2" t="str">
        <f aca="false">IF(OR(F3613="",G3613=""),"",IF(G3613&lt;='RETRATO 2027'!$K$5,"CONCLUÍDA",IF(F3613&lt;='RETRATO 2027'!$K$5,"EM ANDAMENTO","A INICIAR")))</f>
        <v>A INICIAR</v>
      </c>
    </row>
    <row r="3614" customFormat="false" ht="15" hidden="false" customHeight="false" outlineLevel="0" collapsed="false">
      <c r="B3614" s="4" t="n">
        <v>26743256</v>
      </c>
      <c r="C3614" s="4" t="s">
        <v>3082</v>
      </c>
      <c r="D3614" s="4" t="s">
        <v>433</v>
      </c>
      <c r="E3614" s="4" t="s">
        <v>3765</v>
      </c>
      <c r="F3614" s="127" t="n">
        <v>46875</v>
      </c>
      <c r="G3614" s="127" t="n">
        <v>46883</v>
      </c>
      <c r="H3614" s="127" t="n">
        <v>46293</v>
      </c>
      <c r="I3614" s="4" t="n">
        <v>0</v>
      </c>
      <c r="J3614" s="4" t="n">
        <v>0</v>
      </c>
      <c r="K3614" s="4" t="n">
        <v>0</v>
      </c>
      <c r="M3614" s="2" t="str">
        <f aca="false">IF(C3614="","",IFERROR(INDEX($S$5:$S$304,MATCH(C3614,$R$5:$R$304,0))&amp;"","?"))</f>
        <v>30</v>
      </c>
      <c r="N3614" s="2" t="n">
        <f aca="false">IF(E3614="","",IF(ISNUMBER(SEARCH("SUBSOLO",E3614)),IFERROR(-VALUE(LEFT(E3614,FIND("º",SUBSTITUTE(E3614,"°","º"))-1)),-1),IF(LEFT(E3614,6)="TÉRREO",0,IFERROR(VALUE(LEFT(E3614,FIND("º",SUBSTITUTE(E3614,"°","º"))-1)),""))))</f>
        <v>14</v>
      </c>
      <c r="O3614" s="2" t="str">
        <f aca="false">IF(OR(F3614="",G3614=""),"",IF(G3614&lt;='RETRATO 2027'!$K$5,"CONCLUÍDA",IF(F3614&lt;='RETRATO 2027'!$K$5,"EM ANDAMENTO","A INICIAR")))</f>
        <v>A INICIAR</v>
      </c>
    </row>
    <row r="3615" customFormat="false" ht="15" hidden="false" customHeight="false" outlineLevel="0" collapsed="false">
      <c r="B3615" s="4" t="n">
        <v>26743249</v>
      </c>
      <c r="C3615" s="4" t="s">
        <v>3079</v>
      </c>
      <c r="D3615" s="4" t="s">
        <v>433</v>
      </c>
      <c r="E3615" s="4" t="s">
        <v>3768</v>
      </c>
      <c r="F3615" s="127" t="n">
        <v>46875</v>
      </c>
      <c r="G3615" s="127" t="n">
        <v>46883</v>
      </c>
      <c r="H3615" s="127" t="n">
        <v>46293</v>
      </c>
      <c r="I3615" s="4" t="n">
        <v>0</v>
      </c>
      <c r="J3615" s="4" t="n">
        <v>0</v>
      </c>
      <c r="K3615" s="4" t="n">
        <v>0</v>
      </c>
      <c r="M3615" s="2" t="str">
        <f aca="false">IF(C3615="","",IFERROR(INDEX($S$5:$S$304,MATCH(C3615,$R$5:$R$304,0))&amp;"","?"))</f>
        <v>25</v>
      </c>
      <c r="N3615" s="2" t="n">
        <f aca="false">IF(E3615="","",IF(ISNUMBER(SEARCH("SUBSOLO",E3615)),IFERROR(-VALUE(LEFT(E3615,FIND("º",SUBSTITUTE(E3615,"°","º"))-1)),-1),IF(LEFT(E3615,6)="TÉRREO",0,IFERROR(VALUE(LEFT(E3615,FIND("º",SUBSTITUTE(E3615,"°","º"))-1)),""))))</f>
        <v>15</v>
      </c>
      <c r="O3615" s="2" t="str">
        <f aca="false">IF(OR(F3615="",G3615=""),"",IF(G3615&lt;='RETRATO 2027'!$K$5,"CONCLUÍDA",IF(F3615&lt;='RETRATO 2027'!$K$5,"EM ANDAMENTO","A INICIAR")))</f>
        <v>A INICIAR</v>
      </c>
    </row>
    <row r="3616" customFormat="false" ht="15" hidden="false" customHeight="false" outlineLevel="0" collapsed="false">
      <c r="B3616" s="4" t="n">
        <v>26743173</v>
      </c>
      <c r="C3616" s="4" t="s">
        <v>3073</v>
      </c>
      <c r="D3616" s="4" t="s">
        <v>433</v>
      </c>
      <c r="E3616" s="4" t="s">
        <v>3773</v>
      </c>
      <c r="F3616" s="127" t="n">
        <v>46875</v>
      </c>
      <c r="G3616" s="127" t="n">
        <v>46883</v>
      </c>
      <c r="H3616" s="127" t="n">
        <v>46293</v>
      </c>
      <c r="I3616" s="4" t="n">
        <v>0</v>
      </c>
      <c r="J3616" s="4" t="n">
        <v>0</v>
      </c>
      <c r="K3616" s="4" t="n">
        <v>0</v>
      </c>
      <c r="M3616" s="2" t="str">
        <f aca="false">IF(C3616="","",IFERROR(INDEX($S$5:$S$304,MATCH(C3616,$R$5:$R$304,0))&amp;"","?"))</f>
        <v>30</v>
      </c>
      <c r="N3616" s="2" t="n">
        <f aca="false">IF(E3616="","",IF(ISNUMBER(SEARCH("SUBSOLO",E3616)),IFERROR(-VALUE(LEFT(E3616,FIND("º",SUBSTITUTE(E3616,"°","º"))-1)),-1),IF(LEFT(E3616,6)="TÉRREO",0,IFERROR(VALUE(LEFT(E3616,FIND("º",SUBSTITUTE(E3616,"°","º"))-1)),""))))</f>
        <v>17</v>
      </c>
      <c r="O3616" s="2" t="str">
        <f aca="false">IF(OR(F3616="",G3616=""),"",IF(G3616&lt;='RETRATO 2027'!$K$5,"CONCLUÍDA",IF(F3616&lt;='RETRATO 2027'!$K$5,"EM ANDAMENTO","A INICIAR")))</f>
        <v>A INICIAR</v>
      </c>
    </row>
    <row r="3617" customFormat="false" ht="15" hidden="false" customHeight="false" outlineLevel="0" collapsed="false">
      <c r="B3617" s="4" t="n">
        <v>26743135</v>
      </c>
      <c r="C3617" s="4" t="s">
        <v>3055</v>
      </c>
      <c r="D3617" s="4" t="s">
        <v>433</v>
      </c>
      <c r="E3617" s="4" t="s">
        <v>3776</v>
      </c>
      <c r="F3617" s="127" t="n">
        <v>46875</v>
      </c>
      <c r="G3617" s="127" t="n">
        <v>46883</v>
      </c>
      <c r="H3617" s="127" t="n">
        <v>46293</v>
      </c>
      <c r="I3617" s="4" t="n">
        <v>0</v>
      </c>
      <c r="J3617" s="4" t="n">
        <v>0</v>
      </c>
      <c r="K3617" s="4" t="n">
        <v>0</v>
      </c>
      <c r="M3617" s="2" t="str">
        <f aca="false">IF(C3617="","",IFERROR(INDEX($S$5:$S$304,MATCH(C3617,$R$5:$R$304,0))&amp;"","?"))</f>
        <v>25</v>
      </c>
      <c r="N3617" s="2" t="n">
        <f aca="false">IF(E3617="","",IF(ISNUMBER(SEARCH("SUBSOLO",E3617)),IFERROR(-VALUE(LEFT(E3617,FIND("º",SUBSTITUTE(E3617,"°","º"))-1)),-1),IF(LEFT(E3617,6)="TÉRREO",0,IFERROR(VALUE(LEFT(E3617,FIND("º",SUBSTITUTE(E3617,"°","º"))-1)),""))))</f>
        <v>18</v>
      </c>
      <c r="O3617" s="2" t="str">
        <f aca="false">IF(OR(F3617="",G3617=""),"",IF(G3617&lt;='RETRATO 2027'!$K$5,"CONCLUÍDA",IF(F3617&lt;='RETRATO 2027'!$K$5,"EM ANDAMENTO","A INICIAR")))</f>
        <v>A INICIAR</v>
      </c>
    </row>
    <row r="3618" customFormat="false" ht="15" hidden="false" customHeight="false" outlineLevel="0" collapsed="false">
      <c r="B3618" s="4" t="n">
        <v>26744659</v>
      </c>
      <c r="C3618" s="4" t="s">
        <v>2938</v>
      </c>
      <c r="D3618" s="4" t="s">
        <v>433</v>
      </c>
      <c r="E3618" s="4" t="s">
        <v>3774</v>
      </c>
      <c r="F3618" s="127" t="n">
        <v>46876</v>
      </c>
      <c r="G3618" s="127" t="n">
        <v>46883</v>
      </c>
      <c r="H3618" s="127" t="n">
        <v>46293</v>
      </c>
      <c r="I3618" s="4" t="n">
        <v>0</v>
      </c>
      <c r="J3618" s="4" t="n">
        <v>0</v>
      </c>
      <c r="K3618" s="4" t="n">
        <v>0</v>
      </c>
      <c r="M3618" s="2" t="str">
        <f aca="false">IF(C3618="","",IFERROR(INDEX($S$5:$S$304,MATCH(C3618,$R$5:$R$304,0))&amp;"","?"))</f>
        <v>30</v>
      </c>
      <c r="N3618" s="2" t="n">
        <f aca="false">IF(E3618="","",IF(ISNUMBER(SEARCH("SUBSOLO",E3618)),IFERROR(-VALUE(LEFT(E3618,FIND("º",SUBSTITUTE(E3618,"°","º"))-1)),-1),IF(LEFT(E3618,6)="TÉRREO",0,IFERROR(VALUE(LEFT(E3618,FIND("º",SUBSTITUTE(E3618,"°","º"))-1)),""))))</f>
        <v>3</v>
      </c>
      <c r="O3618" s="2" t="str">
        <f aca="false">IF(OR(F3618="",G3618=""),"",IF(G3618&lt;='RETRATO 2027'!$K$5,"CONCLUÍDA",IF(F3618&lt;='RETRATO 2027'!$K$5,"EM ANDAMENTO","A INICIAR")))</f>
        <v>A INICIAR</v>
      </c>
    </row>
    <row r="3619" customFormat="false" ht="15" hidden="false" customHeight="false" outlineLevel="0" collapsed="false">
      <c r="B3619" s="4" t="n">
        <v>26744776</v>
      </c>
      <c r="C3619" s="4" t="s">
        <v>3021</v>
      </c>
      <c r="D3619" s="4" t="s">
        <v>433</v>
      </c>
      <c r="E3619" s="4" t="s">
        <v>3769</v>
      </c>
      <c r="F3619" s="127" t="n">
        <v>46877</v>
      </c>
      <c r="G3619" s="127" t="n">
        <v>46884</v>
      </c>
      <c r="H3619" s="127" t="n">
        <v>46293</v>
      </c>
      <c r="I3619" s="4" t="n">
        <v>0</v>
      </c>
      <c r="J3619" s="4" t="n">
        <v>0</v>
      </c>
      <c r="K3619" s="4" t="n">
        <v>0</v>
      </c>
      <c r="M3619" s="2" t="str">
        <f aca="false">IF(C3619="","",IFERROR(INDEX($S$5:$S$304,MATCH(C3619,$R$5:$R$304,0))&amp;"","?"))</f>
        <v>35</v>
      </c>
      <c r="N3619" s="2" t="n">
        <f aca="false">IF(E3619="","",IF(ISNUMBER(SEARCH("SUBSOLO",E3619)),IFERROR(-VALUE(LEFT(E3619,FIND("º",SUBSTITUTE(E3619,"°","º"))-1)),-1),IF(LEFT(E3619,6)="TÉRREO",0,IFERROR(VALUE(LEFT(E3619,FIND("º",SUBSTITUTE(E3619,"°","º"))-1)),""))))</f>
        <v>3</v>
      </c>
      <c r="O3619" s="2" t="str">
        <f aca="false">IF(OR(F3619="",G3619=""),"",IF(G3619&lt;='RETRATO 2027'!$K$5,"CONCLUÍDA",IF(F3619&lt;='RETRATO 2027'!$K$5,"EM ANDAMENTO","A INICIAR")))</f>
        <v>A INICIAR</v>
      </c>
    </row>
    <row r="3620" customFormat="false" ht="15" hidden="false" customHeight="false" outlineLevel="0" collapsed="false">
      <c r="B3620" s="4" t="n">
        <v>26744749</v>
      </c>
      <c r="C3620" s="4" t="s">
        <v>3006</v>
      </c>
      <c r="D3620" s="4" t="s">
        <v>433</v>
      </c>
      <c r="E3620" s="4" t="s">
        <v>3784</v>
      </c>
      <c r="F3620" s="127" t="n">
        <v>46877</v>
      </c>
      <c r="G3620" s="127" t="n">
        <v>46884</v>
      </c>
      <c r="H3620" s="127" t="n">
        <v>46293</v>
      </c>
      <c r="I3620" s="4" t="n">
        <v>0</v>
      </c>
      <c r="J3620" s="4" t="n">
        <v>0</v>
      </c>
      <c r="K3620" s="4" t="n">
        <v>0</v>
      </c>
      <c r="M3620" s="2" t="str">
        <f aca="false">IF(C3620="","",IFERROR(INDEX($S$5:$S$304,MATCH(C3620,$R$5:$R$304,0))&amp;"","?"))</f>
        <v>37</v>
      </c>
      <c r="N3620" s="2" t="n">
        <f aca="false">IF(E3620="","",IF(ISNUMBER(SEARCH("SUBSOLO",E3620)),IFERROR(-VALUE(LEFT(E3620,FIND("º",SUBSTITUTE(E3620,"°","º"))-1)),-1),IF(LEFT(E3620,6)="TÉRREO",0,IFERROR(VALUE(LEFT(E3620,FIND("º",SUBSTITUTE(E3620,"°","º"))-1)),""))))</f>
        <v>3</v>
      </c>
      <c r="O3620" s="2" t="str">
        <f aca="false">IF(OR(F3620="",G3620=""),"",IF(G3620&lt;='RETRATO 2027'!$K$5,"CONCLUÍDA",IF(F3620&lt;='RETRATO 2027'!$K$5,"EM ANDAMENTO","A INICIAR")))</f>
        <v>A INICIAR</v>
      </c>
    </row>
    <row r="3621" customFormat="false" ht="15" hidden="false" customHeight="false" outlineLevel="0" collapsed="false">
      <c r="B3621" s="4" t="n">
        <v>26707583</v>
      </c>
      <c r="C3621" s="4" t="s">
        <v>3006</v>
      </c>
      <c r="D3621" s="4" t="s">
        <v>433</v>
      </c>
      <c r="E3621" s="4" t="s">
        <v>3822</v>
      </c>
      <c r="F3621" s="127" t="n">
        <v>46878</v>
      </c>
      <c r="G3621" s="127" t="n">
        <v>46898</v>
      </c>
      <c r="H3621" s="127" t="n">
        <v>46293</v>
      </c>
      <c r="I3621" s="4" t="n">
        <v>0</v>
      </c>
      <c r="J3621" s="4" t="n">
        <v>0</v>
      </c>
      <c r="K3621" s="4" t="n">
        <v>0</v>
      </c>
      <c r="M3621" s="2" t="str">
        <f aca="false">IF(C3621="","",IFERROR(INDEX($S$5:$S$304,MATCH(C3621,$R$5:$R$304,0))&amp;"","?"))</f>
        <v>37</v>
      </c>
      <c r="N3621" s="2" t="n">
        <f aca="false">IF(E3621="","",IF(ISNUMBER(SEARCH("SUBSOLO",E3621)),IFERROR(-VALUE(LEFT(E3621,FIND("º",SUBSTITUTE(E3621,"°","º"))-1)),-1),IF(LEFT(E3621,6)="TÉRREO",0,IFERROR(VALUE(LEFT(E3621,FIND("º",SUBSTITUTE(E3621,"°","º"))-1)),""))))</f>
        <v>2</v>
      </c>
      <c r="O3621" s="2" t="str">
        <f aca="false">IF(OR(F3621="",G3621=""),"",IF(G3621&lt;='RETRATO 2027'!$K$5,"CONCLUÍDA",IF(F3621&lt;='RETRATO 2027'!$K$5,"EM ANDAMENTO","A INICIAR")))</f>
        <v>A INICIAR</v>
      </c>
    </row>
    <row r="3622" customFormat="false" ht="15" hidden="false" customHeight="false" outlineLevel="0" collapsed="false">
      <c r="B3622" s="4" t="n">
        <v>26707578</v>
      </c>
      <c r="C3622" s="4" t="s">
        <v>3009</v>
      </c>
      <c r="D3622" s="4" t="s">
        <v>433</v>
      </c>
      <c r="E3622" s="4" t="s">
        <v>3822</v>
      </c>
      <c r="F3622" s="127" t="n">
        <v>46878</v>
      </c>
      <c r="G3622" s="127" t="n">
        <v>46898</v>
      </c>
      <c r="H3622" s="127" t="n">
        <v>46293</v>
      </c>
      <c r="I3622" s="4" t="n">
        <v>0</v>
      </c>
      <c r="J3622" s="4" t="n">
        <v>0</v>
      </c>
      <c r="K3622" s="4" t="n">
        <v>0</v>
      </c>
      <c r="M3622" s="2" t="str">
        <f aca="false">IF(C3622="","",IFERROR(INDEX($S$5:$S$304,MATCH(C3622,$R$5:$R$304,0))&amp;"","?"))</f>
        <v>23</v>
      </c>
      <c r="N3622" s="2" t="n">
        <f aca="false">IF(E3622="","",IF(ISNUMBER(SEARCH("SUBSOLO",E3622)),IFERROR(-VALUE(LEFT(E3622,FIND("º",SUBSTITUTE(E3622,"°","º"))-1)),-1),IF(LEFT(E3622,6)="TÉRREO",0,IFERROR(VALUE(LEFT(E3622,FIND("º",SUBSTITUTE(E3622,"°","º"))-1)),""))))</f>
        <v>2</v>
      </c>
      <c r="O3622" s="2" t="str">
        <f aca="false">IF(OR(F3622="",G3622=""),"",IF(G3622&lt;='RETRATO 2027'!$K$5,"CONCLUÍDA",IF(F3622&lt;='RETRATO 2027'!$K$5,"EM ANDAMENTO","A INICIAR")))</f>
        <v>A INICIAR</v>
      </c>
    </row>
    <row r="3623" customFormat="false" ht="15" hidden="false" customHeight="false" outlineLevel="0" collapsed="false">
      <c r="B3623" s="4" t="n">
        <v>26744720</v>
      </c>
      <c r="C3623" s="4" t="s">
        <v>2962</v>
      </c>
      <c r="D3623" s="4" t="s">
        <v>433</v>
      </c>
      <c r="E3623" s="4" t="s">
        <v>3800</v>
      </c>
      <c r="F3623" s="127" t="n">
        <v>46878</v>
      </c>
      <c r="G3623" s="127" t="n">
        <v>46884</v>
      </c>
      <c r="H3623" s="127" t="n">
        <v>46293</v>
      </c>
      <c r="I3623" s="4" t="n">
        <v>0</v>
      </c>
      <c r="J3623" s="4" t="n">
        <v>0</v>
      </c>
      <c r="K3623" s="4" t="n">
        <v>0</v>
      </c>
      <c r="M3623" s="2" t="str">
        <f aca="false">IF(C3623="","",IFERROR(INDEX($S$5:$S$304,MATCH(C3623,$R$5:$R$304,0))&amp;"","?"))</f>
        <v>34</v>
      </c>
      <c r="N3623" s="2" t="n">
        <f aca="false">IF(E3623="","",IF(ISNUMBER(SEARCH("SUBSOLO",E3623)),IFERROR(-VALUE(LEFT(E3623,FIND("º",SUBSTITUTE(E3623,"°","º"))-1)),-1),IF(LEFT(E3623,6)="TÉRREO",0,IFERROR(VALUE(LEFT(E3623,FIND("º",SUBSTITUTE(E3623,"°","º"))-1)),""))))</f>
        <v>3</v>
      </c>
      <c r="O3623" s="2" t="str">
        <f aca="false">IF(OR(F3623="",G3623=""),"",IF(G3623&lt;='RETRATO 2027'!$K$5,"CONCLUÍDA",IF(F3623&lt;='RETRATO 2027'!$K$5,"EM ANDAMENTO","A INICIAR")))</f>
        <v>A INICIAR</v>
      </c>
    </row>
    <row r="3624" customFormat="false" ht="15" hidden="false" customHeight="false" outlineLevel="0" collapsed="false">
      <c r="B3624" s="4" t="n">
        <v>26744742</v>
      </c>
      <c r="C3624" s="4" t="s">
        <v>3088</v>
      </c>
      <c r="D3624" s="4" t="s">
        <v>433</v>
      </c>
      <c r="E3624" s="4" t="s">
        <v>3800</v>
      </c>
      <c r="F3624" s="127" t="n">
        <v>46878</v>
      </c>
      <c r="G3624" s="127" t="n">
        <v>46885</v>
      </c>
      <c r="H3624" s="127" t="n">
        <v>46293</v>
      </c>
      <c r="I3624" s="4" t="n">
        <v>0</v>
      </c>
      <c r="J3624" s="4" t="n">
        <v>0</v>
      </c>
      <c r="K3624" s="4" t="n">
        <v>0</v>
      </c>
      <c r="M3624" s="2" t="str">
        <f aca="false">IF(C3624="","",IFERROR(INDEX($S$5:$S$304,MATCH(C3624,$R$5:$R$304,0))&amp;"","?"))</f>
        <v>20</v>
      </c>
      <c r="N3624" s="2" t="n">
        <f aca="false">IF(E3624="","",IF(ISNUMBER(SEARCH("SUBSOLO",E3624)),IFERROR(-VALUE(LEFT(E3624,FIND("º",SUBSTITUTE(E3624,"°","º"))-1)),-1),IF(LEFT(E3624,6)="TÉRREO",0,IFERROR(VALUE(LEFT(E3624,FIND("º",SUBSTITUTE(E3624,"°","º"))-1)),""))))</f>
        <v>3</v>
      </c>
      <c r="O3624" s="2" t="str">
        <f aca="false">IF(OR(F3624="",G3624=""),"",IF(G3624&lt;='RETRATO 2027'!$K$5,"CONCLUÍDA",IF(F3624&lt;='RETRATO 2027'!$K$5,"EM ANDAMENTO","A INICIAR")))</f>
        <v>A INICIAR</v>
      </c>
    </row>
    <row r="3625" customFormat="false" ht="15" hidden="false" customHeight="false" outlineLevel="0" collapsed="false">
      <c r="B3625" s="4" t="n">
        <v>26744735</v>
      </c>
      <c r="C3625" s="4" t="s">
        <v>3009</v>
      </c>
      <c r="D3625" s="4" t="s">
        <v>433</v>
      </c>
      <c r="E3625" s="4" t="s">
        <v>3800</v>
      </c>
      <c r="F3625" s="127" t="n">
        <v>46878</v>
      </c>
      <c r="G3625" s="127" t="n">
        <v>46884</v>
      </c>
      <c r="H3625" s="127" t="n">
        <v>46293</v>
      </c>
      <c r="I3625" s="4" t="n">
        <v>0</v>
      </c>
      <c r="J3625" s="4" t="n">
        <v>0</v>
      </c>
      <c r="K3625" s="4" t="n">
        <v>0</v>
      </c>
      <c r="M3625" s="2" t="str">
        <f aca="false">IF(C3625="","",IFERROR(INDEX($S$5:$S$304,MATCH(C3625,$R$5:$R$304,0))&amp;"","?"))</f>
        <v>23</v>
      </c>
      <c r="N3625" s="2" t="n">
        <f aca="false">IF(E3625="","",IF(ISNUMBER(SEARCH("SUBSOLO",E3625)),IFERROR(-VALUE(LEFT(E3625,FIND("º",SUBSTITUTE(E3625,"°","º"))-1)),-1),IF(LEFT(E3625,6)="TÉRREO",0,IFERROR(VALUE(LEFT(E3625,FIND("º",SUBSTITUTE(E3625,"°","º"))-1)),""))))</f>
        <v>3</v>
      </c>
      <c r="O3625" s="2" t="str">
        <f aca="false">IF(OR(F3625="",G3625=""),"",IF(G3625&lt;='RETRATO 2027'!$K$5,"CONCLUÍDA",IF(F3625&lt;='RETRATO 2027'!$K$5,"EM ANDAMENTO","A INICIAR")))</f>
        <v>A INICIAR</v>
      </c>
    </row>
    <row r="3626" customFormat="false" ht="15" hidden="false" customHeight="false" outlineLevel="0" collapsed="false">
      <c r="B3626" s="4" t="n">
        <v>26708161</v>
      </c>
      <c r="C3626" s="4" t="s">
        <v>2935</v>
      </c>
      <c r="D3626" s="4" t="s">
        <v>433</v>
      </c>
      <c r="E3626" s="4" t="s">
        <v>3628</v>
      </c>
      <c r="F3626" s="127" t="n">
        <v>46882</v>
      </c>
      <c r="G3626" s="127" t="n">
        <v>46891</v>
      </c>
      <c r="H3626" s="127" t="n">
        <v>46293</v>
      </c>
      <c r="I3626" s="4" t="n">
        <v>0</v>
      </c>
      <c r="J3626" s="4" t="n">
        <v>0</v>
      </c>
      <c r="K3626" s="4" t="n">
        <v>0</v>
      </c>
      <c r="M3626" s="2" t="str">
        <f aca="false">IF(C3626="","",IFERROR(INDEX($S$5:$S$304,MATCH(C3626,$R$5:$R$304,0))&amp;"","?"))</f>
        <v>30</v>
      </c>
      <c r="N3626" s="2" t="n">
        <f aca="false">IF(E3626="","",IF(ISNUMBER(SEARCH("SUBSOLO",E3626)),IFERROR(-VALUE(LEFT(E3626,FIND("º",SUBSTITUTE(E3626,"°","º"))-1)),-1),IF(LEFT(E3626,6)="TÉRREO",0,IFERROR(VALUE(LEFT(E3626,FIND("º",SUBSTITUTE(E3626,"°","º"))-1)),""))))</f>
        <v>-6</v>
      </c>
      <c r="O3626" s="2" t="str">
        <f aca="false">IF(OR(F3626="",G3626=""),"",IF(G3626&lt;='RETRATO 2027'!$K$5,"CONCLUÍDA",IF(F3626&lt;='RETRATO 2027'!$K$5,"EM ANDAMENTO","A INICIAR")))</f>
        <v>A INICIAR</v>
      </c>
    </row>
    <row r="3627" customFormat="false" ht="15" hidden="false" customHeight="false" outlineLevel="0" collapsed="false">
      <c r="B3627" s="4" t="n">
        <v>26708127</v>
      </c>
      <c r="C3627" s="4" t="s">
        <v>2938</v>
      </c>
      <c r="D3627" s="4" t="s">
        <v>433</v>
      </c>
      <c r="E3627" s="4" t="s">
        <v>3813</v>
      </c>
      <c r="F3627" s="127" t="n">
        <v>46882</v>
      </c>
      <c r="G3627" s="127" t="n">
        <v>46891</v>
      </c>
      <c r="H3627" s="127" t="n">
        <v>46293</v>
      </c>
      <c r="I3627" s="4" t="n">
        <v>0</v>
      </c>
      <c r="J3627" s="4" t="n">
        <v>0</v>
      </c>
      <c r="K3627" s="4" t="n">
        <v>0</v>
      </c>
      <c r="M3627" s="2" t="str">
        <f aca="false">IF(C3627="","",IFERROR(INDEX($S$5:$S$304,MATCH(C3627,$R$5:$R$304,0))&amp;"","?"))</f>
        <v>30</v>
      </c>
      <c r="N3627" s="2" t="n">
        <f aca="false">IF(E3627="","",IF(ISNUMBER(SEARCH("SUBSOLO",E3627)),IFERROR(-VALUE(LEFT(E3627,FIND("º",SUBSTITUTE(E3627,"°","º"))-1)),-1),IF(LEFT(E3627,6)="TÉRREO",0,IFERROR(VALUE(LEFT(E3627,FIND("º",SUBSTITUTE(E3627,"°","º"))-1)),""))))</f>
        <v>-6</v>
      </c>
      <c r="O3627" s="2" t="str">
        <f aca="false">IF(OR(F3627="",G3627=""),"",IF(G3627&lt;='RETRATO 2027'!$K$5,"CONCLUÍDA",IF(F3627&lt;='RETRATO 2027'!$K$5,"EM ANDAMENTO","A INICIAR")))</f>
        <v>A INICIAR</v>
      </c>
    </row>
    <row r="3628" customFormat="false" ht="15" hidden="false" customHeight="false" outlineLevel="0" collapsed="false">
      <c r="B3628" s="4" t="n">
        <v>26744684</v>
      </c>
      <c r="C3628" s="4" t="s">
        <v>3082</v>
      </c>
      <c r="D3628" s="4" t="s">
        <v>433</v>
      </c>
      <c r="E3628" s="4" t="s">
        <v>3810</v>
      </c>
      <c r="F3628" s="127" t="n">
        <v>46882</v>
      </c>
      <c r="G3628" s="127" t="n">
        <v>46889</v>
      </c>
      <c r="H3628" s="127" t="n">
        <v>46293</v>
      </c>
      <c r="I3628" s="4" t="n">
        <v>0</v>
      </c>
      <c r="J3628" s="4" t="n">
        <v>0</v>
      </c>
      <c r="K3628" s="4" t="n">
        <v>0</v>
      </c>
      <c r="M3628" s="2" t="str">
        <f aca="false">IF(C3628="","",IFERROR(INDEX($S$5:$S$304,MATCH(C3628,$R$5:$R$304,0))&amp;"","?"))</f>
        <v>30</v>
      </c>
      <c r="N3628" s="2" t="n">
        <f aca="false">IF(E3628="","",IF(ISNUMBER(SEARCH("SUBSOLO",E3628)),IFERROR(-VALUE(LEFT(E3628,FIND("º",SUBSTITUTE(E3628,"°","º"))-1)),-1),IF(LEFT(E3628,6)="TÉRREO",0,IFERROR(VALUE(LEFT(E3628,FIND("º",SUBSTITUTE(E3628,"°","º"))-1)),""))))</f>
        <v>3</v>
      </c>
      <c r="O3628" s="2" t="str">
        <f aca="false">IF(OR(F3628="",G3628=""),"",IF(G3628&lt;='RETRATO 2027'!$K$5,"CONCLUÍDA",IF(F3628&lt;='RETRATO 2027'!$K$5,"EM ANDAMENTO","A INICIAR")))</f>
        <v>A INICIAR</v>
      </c>
    </row>
    <row r="3629" customFormat="false" ht="15" hidden="false" customHeight="false" outlineLevel="0" collapsed="false">
      <c r="B3629" s="4" t="n">
        <v>26745192</v>
      </c>
      <c r="C3629" s="4" t="s">
        <v>2965</v>
      </c>
      <c r="D3629" s="4" t="s">
        <v>433</v>
      </c>
      <c r="E3629" s="4" t="s">
        <v>3657</v>
      </c>
      <c r="F3629" s="127" t="n">
        <v>46883</v>
      </c>
      <c r="G3629" s="127" t="n">
        <v>46892</v>
      </c>
      <c r="H3629" s="127" t="n">
        <v>46293</v>
      </c>
      <c r="I3629" s="4" t="n">
        <v>0</v>
      </c>
      <c r="J3629" s="4" t="n">
        <v>0</v>
      </c>
      <c r="K3629" s="4" t="n">
        <v>0</v>
      </c>
      <c r="M3629" s="2" t="str">
        <f aca="false">IF(C3629="","",IFERROR(INDEX($S$5:$S$304,MATCH(C3629,$R$5:$R$304,0))&amp;"","?"))</f>
        <v>20</v>
      </c>
      <c r="N3629" s="2" t="n">
        <f aca="false">IF(E3629="","",IF(ISNUMBER(SEARCH("SUBSOLO",E3629)),IFERROR(-VALUE(LEFT(E3629,FIND("º",SUBSTITUTE(E3629,"°","º"))-1)),-1),IF(LEFT(E3629,6)="TÉRREO",0,IFERROR(VALUE(LEFT(E3629,FIND("º",SUBSTITUTE(E3629,"°","º"))-1)),""))))</f>
        <v>-5</v>
      </c>
      <c r="O3629" s="2" t="str">
        <f aca="false">IF(OR(F3629="",G3629=""),"",IF(G3629&lt;='RETRATO 2027'!$K$5,"CONCLUÍDA",IF(F3629&lt;='RETRATO 2027'!$K$5,"EM ANDAMENTO","A INICIAR")))</f>
        <v>A INICIAR</v>
      </c>
    </row>
    <row r="3630" customFormat="false" ht="15" hidden="false" customHeight="false" outlineLevel="0" collapsed="false">
      <c r="B3630" s="4" t="n">
        <v>26745024</v>
      </c>
      <c r="C3630" s="4" t="s">
        <v>3029</v>
      </c>
      <c r="D3630" s="4" t="s">
        <v>433</v>
      </c>
      <c r="E3630" s="4" t="s">
        <v>3828</v>
      </c>
      <c r="F3630" s="127" t="n">
        <v>46884</v>
      </c>
      <c r="G3630" s="127" t="n">
        <v>46895</v>
      </c>
      <c r="H3630" s="127" t="n">
        <v>46293</v>
      </c>
      <c r="I3630" s="4" t="n">
        <v>0</v>
      </c>
      <c r="J3630" s="4" t="n">
        <v>0</v>
      </c>
      <c r="K3630" s="4" t="n">
        <v>0</v>
      </c>
      <c r="M3630" s="2" t="str">
        <f aca="false">IF(C3630="","",IFERROR(INDEX($S$5:$S$304,MATCH(C3630,$R$5:$R$304,0))&amp;"","?"))</f>
        <v/>
      </c>
      <c r="N3630" s="2" t="n">
        <f aca="false">IF(E3630="","",IF(ISNUMBER(SEARCH("SUBSOLO",E3630)),IFERROR(-VALUE(LEFT(E3630,FIND("º",SUBSTITUTE(E3630,"°","º"))-1)),-1),IF(LEFT(E3630,6)="TÉRREO",0,IFERROR(VALUE(LEFT(E3630,FIND("º",SUBSTITUTE(E3630,"°","º"))-1)),""))))</f>
        <v>2</v>
      </c>
      <c r="O3630" s="2" t="str">
        <f aca="false">IF(OR(F3630="",G3630=""),"",IF(G3630&lt;='RETRATO 2027'!$K$5,"CONCLUÍDA",IF(F3630&lt;='RETRATO 2027'!$K$5,"EM ANDAMENTO","A INICIAR")))</f>
        <v>A INICIAR</v>
      </c>
    </row>
    <row r="3631" customFormat="false" ht="15" hidden="false" customHeight="false" outlineLevel="0" collapsed="false">
      <c r="B3631" s="4" t="n">
        <v>26744668</v>
      </c>
      <c r="C3631" s="4" t="s">
        <v>2977</v>
      </c>
      <c r="D3631" s="4" t="s">
        <v>433</v>
      </c>
      <c r="E3631" s="4" t="s">
        <v>3774</v>
      </c>
      <c r="F3631" s="127" t="n">
        <v>46884</v>
      </c>
      <c r="G3631" s="127" t="n">
        <v>46891</v>
      </c>
      <c r="H3631" s="127" t="n">
        <v>46293</v>
      </c>
      <c r="I3631" s="4" t="n">
        <v>0</v>
      </c>
      <c r="J3631" s="4" t="n">
        <v>0</v>
      </c>
      <c r="K3631" s="4" t="n">
        <v>0</v>
      </c>
      <c r="M3631" s="2" t="str">
        <f aca="false">IF(C3631="","",IFERROR(INDEX($S$5:$S$304,MATCH(C3631,$R$5:$R$304,0))&amp;"","?"))</f>
        <v>30</v>
      </c>
      <c r="N3631" s="2" t="n">
        <f aca="false">IF(E3631="","",IF(ISNUMBER(SEARCH("SUBSOLO",E3631)),IFERROR(-VALUE(LEFT(E3631,FIND("º",SUBSTITUTE(E3631,"°","º"))-1)),-1),IF(LEFT(E3631,6)="TÉRREO",0,IFERROR(VALUE(LEFT(E3631,FIND("º",SUBSTITUTE(E3631,"°","º"))-1)),""))))</f>
        <v>3</v>
      </c>
      <c r="O3631" s="2" t="str">
        <f aca="false">IF(OR(F3631="",G3631=""),"",IF(G3631&lt;='RETRATO 2027'!$K$5,"CONCLUÍDA",IF(F3631&lt;='RETRATO 2027'!$K$5,"EM ANDAMENTO","A INICIAR")))</f>
        <v>A INICIAR</v>
      </c>
    </row>
    <row r="3632" customFormat="false" ht="15" hidden="false" customHeight="false" outlineLevel="0" collapsed="false">
      <c r="B3632" s="4" t="n">
        <v>30433002</v>
      </c>
      <c r="C3632" s="4" t="s">
        <v>3096</v>
      </c>
      <c r="D3632" s="4" t="s">
        <v>433</v>
      </c>
      <c r="E3632" s="4" t="s">
        <v>3686</v>
      </c>
      <c r="F3632" s="127" t="n">
        <v>46884</v>
      </c>
      <c r="G3632" s="127" t="n">
        <v>46892</v>
      </c>
      <c r="H3632" s="127" t="n">
        <v>46293</v>
      </c>
      <c r="I3632" s="4" t="n">
        <v>0</v>
      </c>
      <c r="J3632" s="4" t="n">
        <v>0</v>
      </c>
      <c r="K3632" s="4" t="n">
        <v>0</v>
      </c>
      <c r="M3632" s="2" t="str">
        <f aca="false">IF(C3632="","",IFERROR(INDEX($S$5:$S$304,MATCH(C3632,$R$5:$R$304,0))&amp;"","?"))</f>
        <v/>
      </c>
      <c r="N3632" s="2" t="n">
        <f aca="false">IF(E3632="","",IF(ISNUMBER(SEARCH("SUBSOLO",E3632)),IFERROR(-VALUE(LEFT(E3632,FIND("º",SUBSTITUTE(E3632,"°","º"))-1)),-1),IF(LEFT(E3632,6)="TÉRREO",0,IFERROR(VALUE(LEFT(E3632,FIND("º",SUBSTITUTE(E3632,"°","º"))-1)),""))))</f>
        <v>7</v>
      </c>
      <c r="O3632" s="2" t="str">
        <f aca="false">IF(OR(F3632="",G3632=""),"",IF(G3632&lt;='RETRATO 2027'!$K$5,"CONCLUÍDA",IF(F3632&lt;='RETRATO 2027'!$K$5,"EM ANDAMENTO","A INICIAR")))</f>
        <v>A INICIAR</v>
      </c>
    </row>
    <row r="3633" customFormat="false" ht="15" hidden="false" customHeight="false" outlineLevel="0" collapsed="false">
      <c r="B3633" s="4" t="n">
        <v>26743485</v>
      </c>
      <c r="C3633" s="4" t="s">
        <v>3029</v>
      </c>
      <c r="D3633" s="4" t="s">
        <v>433</v>
      </c>
      <c r="E3633" s="4" t="s">
        <v>3706</v>
      </c>
      <c r="F3633" s="127" t="n">
        <v>46884</v>
      </c>
      <c r="G3633" s="127" t="n">
        <v>46892</v>
      </c>
      <c r="H3633" s="127" t="n">
        <v>46293</v>
      </c>
      <c r="I3633" s="4" t="n">
        <v>0</v>
      </c>
      <c r="J3633" s="4" t="n">
        <v>0</v>
      </c>
      <c r="K3633" s="4" t="n">
        <v>0</v>
      </c>
      <c r="M3633" s="2" t="str">
        <f aca="false">IF(C3633="","",IFERROR(INDEX($S$5:$S$304,MATCH(C3633,$R$5:$R$304,0))&amp;"","?"))</f>
        <v/>
      </c>
      <c r="N3633" s="2" t="n">
        <f aca="false">IF(E3633="","",IF(ISNUMBER(SEARCH("SUBSOLO",E3633)),IFERROR(-VALUE(LEFT(E3633,FIND("º",SUBSTITUTE(E3633,"°","º"))-1)),-1),IF(LEFT(E3633,6)="TÉRREO",0,IFERROR(VALUE(LEFT(E3633,FIND("º",SUBSTITUTE(E3633,"°","º"))-1)),""))))</f>
        <v>8</v>
      </c>
      <c r="O3633" s="2" t="str">
        <f aca="false">IF(OR(F3633="",G3633=""),"",IF(G3633&lt;='RETRATO 2027'!$K$5,"CONCLUÍDA",IF(F3633&lt;='RETRATO 2027'!$K$5,"EM ANDAMENTO","A INICIAR")))</f>
        <v>A INICIAR</v>
      </c>
    </row>
    <row r="3634" customFormat="false" ht="15" hidden="false" customHeight="false" outlineLevel="0" collapsed="false">
      <c r="B3634" s="4" t="n">
        <v>26743446</v>
      </c>
      <c r="C3634" s="4" t="s">
        <v>2971</v>
      </c>
      <c r="D3634" s="4" t="s">
        <v>433</v>
      </c>
      <c r="E3634" s="4" t="s">
        <v>3716</v>
      </c>
      <c r="F3634" s="127" t="n">
        <v>46884</v>
      </c>
      <c r="G3634" s="127" t="n">
        <v>46892</v>
      </c>
      <c r="H3634" s="127" t="n">
        <v>46293</v>
      </c>
      <c r="I3634" s="4" t="n">
        <v>0</v>
      </c>
      <c r="J3634" s="4" t="n">
        <v>0</v>
      </c>
      <c r="K3634" s="4" t="n">
        <v>0</v>
      </c>
      <c r="M3634" s="2" t="str">
        <f aca="false">IF(C3634="","",IFERROR(INDEX($S$5:$S$304,MATCH(C3634,$R$5:$R$304,0))&amp;"","?"))</f>
        <v>37</v>
      </c>
      <c r="N3634" s="2" t="n">
        <f aca="false">IF(E3634="","",IF(ISNUMBER(SEARCH("SUBSOLO",E3634)),IFERROR(-VALUE(LEFT(E3634,FIND("º",SUBSTITUTE(E3634,"°","º"))-1)),-1),IF(LEFT(E3634,6)="TÉRREO",0,IFERROR(VALUE(LEFT(E3634,FIND("º",SUBSTITUTE(E3634,"°","º"))-1)),""))))</f>
        <v>9</v>
      </c>
      <c r="O3634" s="2" t="str">
        <f aca="false">IF(OR(F3634="",G3634=""),"",IF(G3634&lt;='RETRATO 2027'!$K$5,"CONCLUÍDA",IF(F3634&lt;='RETRATO 2027'!$K$5,"EM ANDAMENTO","A INICIAR")))</f>
        <v>A INICIAR</v>
      </c>
    </row>
    <row r="3635" customFormat="false" ht="15" hidden="false" customHeight="false" outlineLevel="0" collapsed="false">
      <c r="B3635" s="4" t="n">
        <v>26743408</v>
      </c>
      <c r="C3635" s="4" t="s">
        <v>3032</v>
      </c>
      <c r="D3635" s="4" t="s">
        <v>433</v>
      </c>
      <c r="E3635" s="4" t="s">
        <v>3722</v>
      </c>
      <c r="F3635" s="127" t="n">
        <v>46884</v>
      </c>
      <c r="G3635" s="127" t="n">
        <v>46892</v>
      </c>
      <c r="H3635" s="127" t="n">
        <v>46293</v>
      </c>
      <c r="I3635" s="4" t="n">
        <v>0</v>
      </c>
      <c r="J3635" s="4" t="n">
        <v>0</v>
      </c>
      <c r="K3635" s="4" t="n">
        <v>0</v>
      </c>
      <c r="M3635" s="2" t="str">
        <f aca="false">IF(C3635="","",IFERROR(INDEX($S$5:$S$304,MATCH(C3635,$R$5:$R$304,0))&amp;"","?"))</f>
        <v>35</v>
      </c>
      <c r="N3635" s="2" t="n">
        <f aca="false">IF(E3635="","",IF(ISNUMBER(SEARCH("SUBSOLO",E3635)),IFERROR(-VALUE(LEFT(E3635,FIND("º",SUBSTITUTE(E3635,"°","º"))-1)),-1),IF(LEFT(E3635,6)="TÉRREO",0,IFERROR(VALUE(LEFT(E3635,FIND("º",SUBSTITUTE(E3635,"°","º"))-1)),""))))</f>
        <v>10</v>
      </c>
      <c r="O3635" s="2" t="str">
        <f aca="false">IF(OR(F3635="",G3635=""),"",IF(G3635&lt;='RETRATO 2027'!$K$5,"CONCLUÍDA",IF(F3635&lt;='RETRATO 2027'!$K$5,"EM ANDAMENTO","A INICIAR")))</f>
        <v>A INICIAR</v>
      </c>
    </row>
    <row r="3636" customFormat="false" ht="15" hidden="false" customHeight="false" outlineLevel="0" collapsed="false">
      <c r="B3636" s="4" t="n">
        <v>26743365</v>
      </c>
      <c r="C3636" s="4" t="s">
        <v>3093</v>
      </c>
      <c r="D3636" s="4" t="s">
        <v>433</v>
      </c>
      <c r="E3636" s="4" t="s">
        <v>3762</v>
      </c>
      <c r="F3636" s="127" t="n">
        <v>46884</v>
      </c>
      <c r="G3636" s="127" t="n">
        <v>46892</v>
      </c>
      <c r="H3636" s="127" t="n">
        <v>46293</v>
      </c>
      <c r="I3636" s="4" t="n">
        <v>0</v>
      </c>
      <c r="J3636" s="4" t="n">
        <v>0</v>
      </c>
      <c r="K3636" s="4" t="n">
        <v>0</v>
      </c>
      <c r="M3636" s="2" t="str">
        <f aca="false">IF(C3636="","",IFERROR(INDEX($S$5:$S$304,MATCH(C3636,$R$5:$R$304,0))&amp;"","?"))</f>
        <v>34</v>
      </c>
      <c r="N3636" s="2" t="n">
        <f aca="false">IF(E3636="","",IF(ISNUMBER(SEARCH("SUBSOLO",E3636)),IFERROR(-VALUE(LEFT(E3636,FIND("º",SUBSTITUTE(E3636,"°","º"))-1)),-1),IF(LEFT(E3636,6)="TÉRREO",0,IFERROR(VALUE(LEFT(E3636,FIND("º",SUBSTITUTE(E3636,"°","º"))-1)),""))))</f>
        <v>11</v>
      </c>
      <c r="O3636" s="2" t="str">
        <f aca="false">IF(OR(F3636="",G3636=""),"",IF(G3636&lt;='RETRATO 2027'!$K$5,"CONCLUÍDA",IF(F3636&lt;='RETRATO 2027'!$K$5,"EM ANDAMENTO","A INICIAR")))</f>
        <v>A INICIAR</v>
      </c>
    </row>
    <row r="3637" customFormat="false" ht="15" hidden="false" customHeight="false" outlineLevel="0" collapsed="false">
      <c r="B3637" s="4" t="n">
        <v>26743387</v>
      </c>
      <c r="C3637" s="4" t="s">
        <v>2965</v>
      </c>
      <c r="D3637" s="4" t="s">
        <v>433</v>
      </c>
      <c r="E3637" s="4" t="s">
        <v>3762</v>
      </c>
      <c r="F3637" s="127" t="n">
        <v>46884</v>
      </c>
      <c r="G3637" s="127" t="n">
        <v>46892</v>
      </c>
      <c r="H3637" s="127" t="n">
        <v>46293</v>
      </c>
      <c r="I3637" s="4" t="n">
        <v>0</v>
      </c>
      <c r="J3637" s="4" t="n">
        <v>0</v>
      </c>
      <c r="K3637" s="4" t="n">
        <v>0</v>
      </c>
      <c r="M3637" s="2" t="str">
        <f aca="false">IF(C3637="","",IFERROR(INDEX($S$5:$S$304,MATCH(C3637,$R$5:$R$304,0))&amp;"","?"))</f>
        <v>20</v>
      </c>
      <c r="N3637" s="2" t="n">
        <f aca="false">IF(E3637="","",IF(ISNUMBER(SEARCH("SUBSOLO",E3637)),IFERROR(-VALUE(LEFT(E3637,FIND("º",SUBSTITUTE(E3637,"°","º"))-1)),-1),IF(LEFT(E3637,6)="TÉRREO",0,IFERROR(VALUE(LEFT(E3637,FIND("º",SUBSTITUTE(E3637,"°","º"))-1)),""))))</f>
        <v>11</v>
      </c>
      <c r="O3637" s="2" t="str">
        <f aca="false">IF(OR(F3637="",G3637=""),"",IF(G3637&lt;='RETRATO 2027'!$K$5,"CONCLUÍDA",IF(F3637&lt;='RETRATO 2027'!$K$5,"EM ANDAMENTO","A INICIAR")))</f>
        <v>A INICIAR</v>
      </c>
    </row>
    <row r="3638" customFormat="false" ht="15" hidden="false" customHeight="false" outlineLevel="0" collapsed="false">
      <c r="B3638" s="4" t="n">
        <v>26743327</v>
      </c>
      <c r="C3638" s="4" t="s">
        <v>3021</v>
      </c>
      <c r="D3638" s="4" t="s">
        <v>433</v>
      </c>
      <c r="E3638" s="4" t="s">
        <v>3763</v>
      </c>
      <c r="F3638" s="127" t="n">
        <v>46884</v>
      </c>
      <c r="G3638" s="127" t="n">
        <v>46892</v>
      </c>
      <c r="H3638" s="127" t="n">
        <v>46293</v>
      </c>
      <c r="I3638" s="4" t="n">
        <v>0</v>
      </c>
      <c r="J3638" s="4" t="n">
        <v>0</v>
      </c>
      <c r="K3638" s="4" t="n">
        <v>0</v>
      </c>
      <c r="M3638" s="2" t="str">
        <f aca="false">IF(C3638="","",IFERROR(INDEX($S$5:$S$304,MATCH(C3638,$R$5:$R$304,0))&amp;"","?"))</f>
        <v>35</v>
      </c>
      <c r="N3638" s="2" t="n">
        <f aca="false">IF(E3638="","",IF(ISNUMBER(SEARCH("SUBSOLO",E3638)),IFERROR(-VALUE(LEFT(E3638,FIND("º",SUBSTITUTE(E3638,"°","º"))-1)),-1),IF(LEFT(E3638,6)="TÉRREO",0,IFERROR(VALUE(LEFT(E3638,FIND("º",SUBSTITUTE(E3638,"°","º"))-1)),""))))</f>
        <v>12</v>
      </c>
      <c r="O3638" s="2" t="str">
        <f aca="false">IF(OR(F3638="",G3638=""),"",IF(G3638&lt;='RETRATO 2027'!$K$5,"CONCLUÍDA",IF(F3638&lt;='RETRATO 2027'!$K$5,"EM ANDAMENTO","A INICIAR")))</f>
        <v>A INICIAR</v>
      </c>
    </row>
    <row r="3639" customFormat="false" ht="15" hidden="false" customHeight="false" outlineLevel="0" collapsed="false">
      <c r="B3639" s="4" t="n">
        <v>26743292</v>
      </c>
      <c r="C3639" s="4" t="s">
        <v>3006</v>
      </c>
      <c r="D3639" s="4" t="s">
        <v>433</v>
      </c>
      <c r="E3639" s="4" t="s">
        <v>3764</v>
      </c>
      <c r="F3639" s="127" t="n">
        <v>46884</v>
      </c>
      <c r="G3639" s="127" t="n">
        <v>46892</v>
      </c>
      <c r="H3639" s="127" t="n">
        <v>46293</v>
      </c>
      <c r="I3639" s="4" t="n">
        <v>0</v>
      </c>
      <c r="J3639" s="4" t="n">
        <v>0</v>
      </c>
      <c r="K3639" s="4" t="n">
        <v>0</v>
      </c>
      <c r="M3639" s="2" t="str">
        <f aca="false">IF(C3639="","",IFERROR(INDEX($S$5:$S$304,MATCH(C3639,$R$5:$R$304,0))&amp;"","?"))</f>
        <v>37</v>
      </c>
      <c r="N3639" s="2" t="n">
        <f aca="false">IF(E3639="","",IF(ISNUMBER(SEARCH("SUBSOLO",E3639)),IFERROR(-VALUE(LEFT(E3639,FIND("º",SUBSTITUTE(E3639,"°","º"))-1)),-1),IF(LEFT(E3639,6)="TÉRREO",0,IFERROR(VALUE(LEFT(E3639,FIND("º",SUBSTITUTE(E3639,"°","º"))-1)),""))))</f>
        <v>13</v>
      </c>
      <c r="O3639" s="2" t="str">
        <f aca="false">IF(OR(F3639="",G3639=""),"",IF(G3639&lt;='RETRATO 2027'!$K$5,"CONCLUÍDA",IF(F3639&lt;='RETRATO 2027'!$K$5,"EM ANDAMENTO","A INICIAR")))</f>
        <v>A INICIAR</v>
      </c>
    </row>
    <row r="3640" customFormat="false" ht="15" hidden="false" customHeight="false" outlineLevel="0" collapsed="false">
      <c r="B3640" s="4" t="n">
        <v>26743257</v>
      </c>
      <c r="C3640" s="4" t="s">
        <v>2962</v>
      </c>
      <c r="D3640" s="4" t="s">
        <v>433</v>
      </c>
      <c r="E3640" s="4" t="s">
        <v>3765</v>
      </c>
      <c r="F3640" s="127" t="n">
        <v>46884</v>
      </c>
      <c r="G3640" s="127" t="n">
        <v>46892</v>
      </c>
      <c r="H3640" s="127" t="n">
        <v>46293</v>
      </c>
      <c r="I3640" s="4" t="n">
        <v>0</v>
      </c>
      <c r="J3640" s="4" t="n">
        <v>0</v>
      </c>
      <c r="K3640" s="4" t="n">
        <v>0</v>
      </c>
      <c r="M3640" s="2" t="str">
        <f aca="false">IF(C3640="","",IFERROR(INDEX($S$5:$S$304,MATCH(C3640,$R$5:$R$304,0))&amp;"","?"))</f>
        <v>34</v>
      </c>
      <c r="N3640" s="2" t="n">
        <f aca="false">IF(E3640="","",IF(ISNUMBER(SEARCH("SUBSOLO",E3640)),IFERROR(-VALUE(LEFT(E3640,FIND("º",SUBSTITUTE(E3640,"°","º"))-1)),-1),IF(LEFT(E3640,6)="TÉRREO",0,IFERROR(VALUE(LEFT(E3640,FIND("º",SUBSTITUTE(E3640,"°","º"))-1)),""))))</f>
        <v>14</v>
      </c>
      <c r="O3640" s="2" t="str">
        <f aca="false">IF(OR(F3640="",G3640=""),"",IF(G3640&lt;='RETRATO 2027'!$K$5,"CONCLUÍDA",IF(F3640&lt;='RETRATO 2027'!$K$5,"EM ANDAMENTO","A INICIAR")))</f>
        <v>A INICIAR</v>
      </c>
    </row>
    <row r="3641" customFormat="false" ht="15" hidden="false" customHeight="false" outlineLevel="0" collapsed="false">
      <c r="B3641" s="4" t="n">
        <v>26743262</v>
      </c>
      <c r="C3641" s="4" t="s">
        <v>3088</v>
      </c>
      <c r="D3641" s="4" t="s">
        <v>433</v>
      </c>
      <c r="E3641" s="4" t="s">
        <v>3765</v>
      </c>
      <c r="F3641" s="127" t="n">
        <v>46884</v>
      </c>
      <c r="G3641" s="127" t="n">
        <v>46892</v>
      </c>
      <c r="H3641" s="127" t="n">
        <v>46293</v>
      </c>
      <c r="I3641" s="4" t="n">
        <v>0</v>
      </c>
      <c r="J3641" s="4" t="n">
        <v>0</v>
      </c>
      <c r="K3641" s="4" t="n">
        <v>0</v>
      </c>
      <c r="M3641" s="2" t="str">
        <f aca="false">IF(C3641="","",IFERROR(INDEX($S$5:$S$304,MATCH(C3641,$R$5:$R$304,0))&amp;"","?"))</f>
        <v>20</v>
      </c>
      <c r="N3641" s="2" t="n">
        <f aca="false">IF(E3641="","",IF(ISNUMBER(SEARCH("SUBSOLO",E3641)),IFERROR(-VALUE(LEFT(E3641,FIND("º",SUBSTITUTE(E3641,"°","º"))-1)),-1),IF(LEFT(E3641,6)="TÉRREO",0,IFERROR(VALUE(LEFT(E3641,FIND("º",SUBSTITUTE(E3641,"°","º"))-1)),""))))</f>
        <v>14</v>
      </c>
      <c r="O3641" s="2" t="str">
        <f aca="false">IF(OR(F3641="",G3641=""),"",IF(G3641&lt;='RETRATO 2027'!$K$5,"CONCLUÍDA",IF(F3641&lt;='RETRATO 2027'!$K$5,"EM ANDAMENTO","A INICIAR")))</f>
        <v>A INICIAR</v>
      </c>
    </row>
    <row r="3642" customFormat="false" ht="15" hidden="false" customHeight="false" outlineLevel="0" collapsed="false">
      <c r="B3642" s="4" t="n">
        <v>26743281</v>
      </c>
      <c r="C3642" s="4" t="s">
        <v>3009</v>
      </c>
      <c r="D3642" s="4" t="s">
        <v>433</v>
      </c>
      <c r="E3642" s="4" t="s">
        <v>3765</v>
      </c>
      <c r="F3642" s="127" t="n">
        <v>46884</v>
      </c>
      <c r="G3642" s="127" t="n">
        <v>46892</v>
      </c>
      <c r="H3642" s="127" t="n">
        <v>46293</v>
      </c>
      <c r="I3642" s="4" t="n">
        <v>0</v>
      </c>
      <c r="J3642" s="4" t="n">
        <v>0</v>
      </c>
      <c r="K3642" s="4" t="n">
        <v>0</v>
      </c>
      <c r="M3642" s="2" t="str">
        <f aca="false">IF(C3642="","",IFERROR(INDEX($S$5:$S$304,MATCH(C3642,$R$5:$R$304,0))&amp;"","?"))</f>
        <v>23</v>
      </c>
      <c r="N3642" s="2" t="n">
        <f aca="false">IF(E3642="","",IF(ISNUMBER(SEARCH("SUBSOLO",E3642)),IFERROR(-VALUE(LEFT(E3642,FIND("º",SUBSTITUTE(E3642,"°","º"))-1)),-1),IF(LEFT(E3642,6)="TÉRREO",0,IFERROR(VALUE(LEFT(E3642,FIND("º",SUBSTITUTE(E3642,"°","º"))-1)),""))))</f>
        <v>14</v>
      </c>
      <c r="O3642" s="2" t="str">
        <f aca="false">IF(OR(F3642="",G3642=""),"",IF(G3642&lt;='RETRATO 2027'!$K$5,"CONCLUÍDA",IF(F3642&lt;='RETRATO 2027'!$K$5,"EM ANDAMENTO","A INICIAR")))</f>
        <v>A INICIAR</v>
      </c>
    </row>
    <row r="3643" customFormat="false" ht="15" hidden="false" customHeight="false" outlineLevel="0" collapsed="false">
      <c r="B3643" s="4" t="n">
        <v>26743219</v>
      </c>
      <c r="C3643" s="4" t="s">
        <v>3082</v>
      </c>
      <c r="D3643" s="4" t="s">
        <v>433</v>
      </c>
      <c r="E3643" s="4" t="s">
        <v>3768</v>
      </c>
      <c r="F3643" s="127" t="n">
        <v>46884</v>
      </c>
      <c r="G3643" s="127" t="n">
        <v>46892</v>
      </c>
      <c r="H3643" s="127" t="n">
        <v>46293</v>
      </c>
      <c r="I3643" s="4" t="n">
        <v>0</v>
      </c>
      <c r="J3643" s="4" t="n">
        <v>0</v>
      </c>
      <c r="K3643" s="4" t="n">
        <v>0</v>
      </c>
      <c r="M3643" s="2" t="str">
        <f aca="false">IF(C3643="","",IFERROR(INDEX($S$5:$S$304,MATCH(C3643,$R$5:$R$304,0))&amp;"","?"))</f>
        <v>30</v>
      </c>
      <c r="N3643" s="2" t="n">
        <f aca="false">IF(E3643="","",IF(ISNUMBER(SEARCH("SUBSOLO",E3643)),IFERROR(-VALUE(LEFT(E3643,FIND("º",SUBSTITUTE(E3643,"°","º"))-1)),-1),IF(LEFT(E3643,6)="TÉRREO",0,IFERROR(VALUE(LEFT(E3643,FIND("º",SUBSTITUTE(E3643,"°","º"))-1)),""))))</f>
        <v>15</v>
      </c>
      <c r="O3643" s="2" t="str">
        <f aca="false">IF(OR(F3643="",G3643=""),"",IF(G3643&lt;='RETRATO 2027'!$K$5,"CONCLUÍDA",IF(F3643&lt;='RETRATO 2027'!$K$5,"EM ANDAMENTO","A INICIAR")))</f>
        <v>A INICIAR</v>
      </c>
    </row>
    <row r="3644" customFormat="false" ht="15" hidden="false" customHeight="false" outlineLevel="0" collapsed="false">
      <c r="B3644" s="4" t="n">
        <v>26743175</v>
      </c>
      <c r="C3644" s="4" t="s">
        <v>3079</v>
      </c>
      <c r="D3644" s="4" t="s">
        <v>433</v>
      </c>
      <c r="E3644" s="4" t="s">
        <v>3773</v>
      </c>
      <c r="F3644" s="127" t="n">
        <v>46884</v>
      </c>
      <c r="G3644" s="127" t="n">
        <v>46892</v>
      </c>
      <c r="H3644" s="127" t="n">
        <v>46293</v>
      </c>
      <c r="I3644" s="4" t="n">
        <v>0</v>
      </c>
      <c r="J3644" s="4" t="n">
        <v>0</v>
      </c>
      <c r="K3644" s="4" t="n">
        <v>0</v>
      </c>
      <c r="M3644" s="2" t="str">
        <f aca="false">IF(C3644="","",IFERROR(INDEX($S$5:$S$304,MATCH(C3644,$R$5:$R$304,0))&amp;"","?"))</f>
        <v>25</v>
      </c>
      <c r="N3644" s="2" t="n">
        <f aca="false">IF(E3644="","",IF(ISNUMBER(SEARCH("SUBSOLO",E3644)),IFERROR(-VALUE(LEFT(E3644,FIND("º",SUBSTITUTE(E3644,"°","º"))-1)),-1),IF(LEFT(E3644,6)="TÉRREO",0,IFERROR(VALUE(LEFT(E3644,FIND("º",SUBSTITUTE(E3644,"°","º"))-1)),""))))</f>
        <v>17</v>
      </c>
      <c r="O3644" s="2" t="str">
        <f aca="false">IF(OR(F3644="",G3644=""),"",IF(G3644&lt;='RETRATO 2027'!$K$5,"CONCLUÍDA",IF(F3644&lt;='RETRATO 2027'!$K$5,"EM ANDAMENTO","A INICIAR")))</f>
        <v>A INICIAR</v>
      </c>
    </row>
    <row r="3645" customFormat="false" ht="15" hidden="false" customHeight="false" outlineLevel="0" collapsed="false">
      <c r="B3645" s="4" t="n">
        <v>26743136</v>
      </c>
      <c r="C3645" s="4" t="s">
        <v>3073</v>
      </c>
      <c r="D3645" s="4" t="s">
        <v>433</v>
      </c>
      <c r="E3645" s="4" t="s">
        <v>3776</v>
      </c>
      <c r="F3645" s="127" t="n">
        <v>46884</v>
      </c>
      <c r="G3645" s="127" t="n">
        <v>46892</v>
      </c>
      <c r="H3645" s="127" t="n">
        <v>46293</v>
      </c>
      <c r="I3645" s="4" t="n">
        <v>0</v>
      </c>
      <c r="J3645" s="4" t="n">
        <v>0</v>
      </c>
      <c r="K3645" s="4" t="n">
        <v>0</v>
      </c>
      <c r="M3645" s="2" t="str">
        <f aca="false">IF(C3645="","",IFERROR(INDEX($S$5:$S$304,MATCH(C3645,$R$5:$R$304,0))&amp;"","?"))</f>
        <v>30</v>
      </c>
      <c r="N3645" s="2" t="n">
        <f aca="false">IF(E3645="","",IF(ISNUMBER(SEARCH("SUBSOLO",E3645)),IFERROR(-VALUE(LEFT(E3645,FIND("º",SUBSTITUTE(E3645,"°","º"))-1)),-1),IF(LEFT(E3645,6)="TÉRREO",0,IFERROR(VALUE(LEFT(E3645,FIND("º",SUBSTITUTE(E3645,"°","º"))-1)),""))))</f>
        <v>18</v>
      </c>
      <c r="O3645" s="2" t="str">
        <f aca="false">IF(OR(F3645="",G3645=""),"",IF(G3645&lt;='RETRATO 2027'!$K$5,"CONCLUÍDA",IF(F3645&lt;='RETRATO 2027'!$K$5,"EM ANDAMENTO","A INICIAR")))</f>
        <v>A INICIAR</v>
      </c>
    </row>
    <row r="3646" customFormat="false" ht="15" hidden="false" customHeight="false" outlineLevel="0" collapsed="false">
      <c r="B3646" s="4" t="n">
        <v>26743098</v>
      </c>
      <c r="C3646" s="4" t="s">
        <v>3055</v>
      </c>
      <c r="D3646" s="4" t="s">
        <v>433</v>
      </c>
      <c r="E3646" s="4" t="s">
        <v>3779</v>
      </c>
      <c r="F3646" s="127" t="n">
        <v>46884</v>
      </c>
      <c r="G3646" s="127" t="n">
        <v>46892</v>
      </c>
      <c r="H3646" s="127" t="n">
        <v>46293</v>
      </c>
      <c r="I3646" s="4" t="n">
        <v>0</v>
      </c>
      <c r="J3646" s="4" t="n">
        <v>0</v>
      </c>
      <c r="K3646" s="4" t="n">
        <v>0</v>
      </c>
      <c r="M3646" s="2" t="str">
        <f aca="false">IF(C3646="","",IFERROR(INDEX($S$5:$S$304,MATCH(C3646,$R$5:$R$304,0))&amp;"","?"))</f>
        <v>25</v>
      </c>
      <c r="N3646" s="2" t="n">
        <f aca="false">IF(E3646="","",IF(ISNUMBER(SEARCH("SUBSOLO",E3646)),IFERROR(-VALUE(LEFT(E3646,FIND("º",SUBSTITUTE(E3646,"°","º"))-1)),-1),IF(LEFT(E3646,6)="TÉRREO",0,IFERROR(VALUE(LEFT(E3646,FIND("º",SUBSTITUTE(E3646,"°","º"))-1)),""))))</f>
        <v>19</v>
      </c>
      <c r="O3646" s="2" t="str">
        <f aca="false">IF(OR(F3646="",G3646=""),"",IF(G3646&lt;='RETRATO 2027'!$K$5,"CONCLUÍDA",IF(F3646&lt;='RETRATO 2027'!$K$5,"EM ANDAMENTO","A INICIAR")))</f>
        <v>A INICIAR</v>
      </c>
    </row>
    <row r="3647" customFormat="false" ht="15" hidden="false" customHeight="false" outlineLevel="0" collapsed="false">
      <c r="B3647" s="4" t="n">
        <v>26744782</v>
      </c>
      <c r="C3647" s="4" t="s">
        <v>3093</v>
      </c>
      <c r="D3647" s="4" t="s">
        <v>433</v>
      </c>
      <c r="E3647" s="4" t="s">
        <v>3769</v>
      </c>
      <c r="F3647" s="127" t="n">
        <v>46885</v>
      </c>
      <c r="G3647" s="127" t="n">
        <v>46892</v>
      </c>
      <c r="H3647" s="127" t="n">
        <v>46293</v>
      </c>
      <c r="I3647" s="4" t="n">
        <v>0</v>
      </c>
      <c r="J3647" s="4" t="n">
        <v>0</v>
      </c>
      <c r="K3647" s="4" t="n">
        <v>0</v>
      </c>
      <c r="M3647" s="2" t="str">
        <f aca="false">IF(C3647="","",IFERROR(INDEX($S$5:$S$304,MATCH(C3647,$R$5:$R$304,0))&amp;"","?"))</f>
        <v>34</v>
      </c>
      <c r="N3647" s="2" t="n">
        <f aca="false">IF(E3647="","",IF(ISNUMBER(SEARCH("SUBSOLO",E3647)),IFERROR(-VALUE(LEFT(E3647,FIND("º",SUBSTITUTE(E3647,"°","º"))-1)),-1),IF(LEFT(E3647,6)="TÉRREO",0,IFERROR(VALUE(LEFT(E3647,FIND("º",SUBSTITUTE(E3647,"°","º"))-1)),""))))</f>
        <v>3</v>
      </c>
      <c r="O3647" s="2" t="str">
        <f aca="false">IF(OR(F3647="",G3647=""),"",IF(G3647&lt;='RETRATO 2027'!$K$5,"CONCLUÍDA",IF(F3647&lt;='RETRATO 2027'!$K$5,"EM ANDAMENTO","A INICIAR")))</f>
        <v>A INICIAR</v>
      </c>
    </row>
    <row r="3648" customFormat="false" ht="15" hidden="false" customHeight="false" outlineLevel="0" collapsed="false">
      <c r="B3648" s="4" t="n">
        <v>26744777</v>
      </c>
      <c r="C3648" s="4" t="s">
        <v>2965</v>
      </c>
      <c r="D3648" s="4" t="s">
        <v>433</v>
      </c>
      <c r="E3648" s="4" t="s">
        <v>3769</v>
      </c>
      <c r="F3648" s="127" t="n">
        <v>46885</v>
      </c>
      <c r="G3648" s="127" t="n">
        <v>46892</v>
      </c>
      <c r="H3648" s="127" t="n">
        <v>46293</v>
      </c>
      <c r="I3648" s="4" t="n">
        <v>0</v>
      </c>
      <c r="J3648" s="4" t="n">
        <v>0</v>
      </c>
      <c r="K3648" s="4" t="n">
        <v>0</v>
      </c>
      <c r="M3648" s="2" t="str">
        <f aca="false">IF(C3648="","",IFERROR(INDEX($S$5:$S$304,MATCH(C3648,$R$5:$R$304,0))&amp;"","?"))</f>
        <v>20</v>
      </c>
      <c r="N3648" s="2" t="n">
        <f aca="false">IF(E3648="","",IF(ISNUMBER(SEARCH("SUBSOLO",E3648)),IFERROR(-VALUE(LEFT(E3648,FIND("º",SUBSTITUTE(E3648,"°","º"))-1)),-1),IF(LEFT(E3648,6)="TÉRREO",0,IFERROR(VALUE(LEFT(E3648,FIND("º",SUBSTITUTE(E3648,"°","º"))-1)),""))))</f>
        <v>3</v>
      </c>
      <c r="O3648" s="2" t="str">
        <f aca="false">IF(OR(F3648="",G3648=""),"",IF(G3648&lt;='RETRATO 2027'!$K$5,"CONCLUÍDA",IF(F3648&lt;='RETRATO 2027'!$K$5,"EM ANDAMENTO","A INICIAR")))</f>
        <v>A INICIAR</v>
      </c>
    </row>
    <row r="3649" customFormat="false" ht="15" hidden="false" customHeight="false" outlineLevel="0" collapsed="false">
      <c r="B3649" s="4" t="n">
        <v>26744744</v>
      </c>
      <c r="C3649" s="4" t="s">
        <v>3021</v>
      </c>
      <c r="D3649" s="4" t="s">
        <v>433</v>
      </c>
      <c r="E3649" s="4" t="s">
        <v>3784</v>
      </c>
      <c r="F3649" s="127" t="n">
        <v>46885</v>
      </c>
      <c r="G3649" s="127" t="n">
        <v>46892</v>
      </c>
      <c r="H3649" s="127" t="n">
        <v>46293</v>
      </c>
      <c r="I3649" s="4" t="n">
        <v>0</v>
      </c>
      <c r="J3649" s="4" t="n">
        <v>0</v>
      </c>
      <c r="K3649" s="4" t="n">
        <v>0</v>
      </c>
      <c r="M3649" s="2" t="str">
        <f aca="false">IF(C3649="","",IFERROR(INDEX($S$5:$S$304,MATCH(C3649,$R$5:$R$304,0))&amp;"","?"))</f>
        <v>35</v>
      </c>
      <c r="N3649" s="2" t="n">
        <f aca="false">IF(E3649="","",IF(ISNUMBER(SEARCH("SUBSOLO",E3649)),IFERROR(-VALUE(LEFT(E3649,FIND("º",SUBSTITUTE(E3649,"°","º"))-1)),-1),IF(LEFT(E3649,6)="TÉRREO",0,IFERROR(VALUE(LEFT(E3649,FIND("º",SUBSTITUTE(E3649,"°","º"))-1)),""))))</f>
        <v>3</v>
      </c>
      <c r="O3649" s="2" t="str">
        <f aca="false">IF(OR(F3649="",G3649=""),"",IF(G3649&lt;='RETRATO 2027'!$K$5,"CONCLUÍDA",IF(F3649&lt;='RETRATO 2027'!$K$5,"EM ANDAMENTO","A INICIAR")))</f>
        <v>A INICIAR</v>
      </c>
    </row>
    <row r="3650" customFormat="false" ht="15" hidden="false" customHeight="false" outlineLevel="0" collapsed="false">
      <c r="B3650" s="4" t="n">
        <v>26744717</v>
      </c>
      <c r="C3650" s="4" t="s">
        <v>3006</v>
      </c>
      <c r="D3650" s="4" t="s">
        <v>433</v>
      </c>
      <c r="E3650" s="4" t="s">
        <v>3800</v>
      </c>
      <c r="F3650" s="127" t="n">
        <v>46885</v>
      </c>
      <c r="G3650" s="127" t="n">
        <v>46892</v>
      </c>
      <c r="H3650" s="127" t="n">
        <v>46293</v>
      </c>
      <c r="I3650" s="4" t="n">
        <v>0</v>
      </c>
      <c r="J3650" s="4" t="n">
        <v>0</v>
      </c>
      <c r="K3650" s="4" t="n">
        <v>0</v>
      </c>
      <c r="M3650" s="2" t="str">
        <f aca="false">IF(C3650="","",IFERROR(INDEX($S$5:$S$304,MATCH(C3650,$R$5:$R$304,0))&amp;"","?"))</f>
        <v>37</v>
      </c>
      <c r="N3650" s="2" t="n">
        <f aca="false">IF(E3650="","",IF(ISNUMBER(SEARCH("SUBSOLO",E3650)),IFERROR(-VALUE(LEFT(E3650,FIND("º",SUBSTITUTE(E3650,"°","º"))-1)),-1),IF(LEFT(E3650,6)="TÉRREO",0,IFERROR(VALUE(LEFT(E3650,FIND("º",SUBSTITUTE(E3650,"°","º"))-1)),""))))</f>
        <v>3</v>
      </c>
      <c r="O3650" s="2" t="str">
        <f aca="false">IF(OR(F3650="",G3650=""),"",IF(G3650&lt;='RETRATO 2027'!$K$5,"CONCLUÍDA",IF(F3650&lt;='RETRATO 2027'!$K$5,"EM ANDAMENTO","A INICIAR")))</f>
        <v>A INICIAR</v>
      </c>
    </row>
    <row r="3651" customFormat="false" ht="15" hidden="false" customHeight="false" outlineLevel="0" collapsed="false">
      <c r="B3651" s="4" t="n">
        <v>26707603</v>
      </c>
      <c r="C3651" s="4" t="s">
        <v>2971</v>
      </c>
      <c r="D3651" s="4" t="s">
        <v>433</v>
      </c>
      <c r="E3651" s="4" t="s">
        <v>3815</v>
      </c>
      <c r="F3651" s="127" t="n">
        <v>46890</v>
      </c>
      <c r="G3651" s="127" t="n">
        <v>46903</v>
      </c>
      <c r="H3651" s="127" t="n">
        <v>46293</v>
      </c>
      <c r="I3651" s="4" t="n">
        <v>0</v>
      </c>
      <c r="J3651" s="4" t="n">
        <v>0</v>
      </c>
      <c r="K3651" s="4" t="n">
        <v>0</v>
      </c>
      <c r="M3651" s="2" t="str">
        <f aca="false">IF(C3651="","",IFERROR(INDEX($S$5:$S$304,MATCH(C3651,$R$5:$R$304,0))&amp;"","?"))</f>
        <v>37</v>
      </c>
      <c r="N3651" s="2" t="n">
        <f aca="false">IF(E3651="","",IF(ISNUMBER(SEARCH("SUBSOLO",E3651)),IFERROR(-VALUE(LEFT(E3651,FIND("º",SUBSTITUTE(E3651,"°","º"))-1)),-1),IF(LEFT(E3651,6)="TÉRREO",0,IFERROR(VALUE(LEFT(E3651,FIND("º",SUBSTITUTE(E3651,"°","º"))-1)),""))))</f>
        <v>2</v>
      </c>
      <c r="O3651" s="2" t="str">
        <f aca="false">IF(OR(F3651="",G3651=""),"",IF(G3651&lt;='RETRATO 2027'!$K$5,"CONCLUÍDA",IF(F3651&lt;='RETRATO 2027'!$K$5,"EM ANDAMENTO","A INICIAR")))</f>
        <v>A INICIAR</v>
      </c>
    </row>
    <row r="3652" customFormat="false" ht="15" hidden="false" customHeight="false" outlineLevel="0" collapsed="false">
      <c r="B3652" s="4" t="n">
        <v>26744688</v>
      </c>
      <c r="C3652" s="4" t="s">
        <v>2962</v>
      </c>
      <c r="D3652" s="4" t="s">
        <v>433</v>
      </c>
      <c r="E3652" s="4" t="s">
        <v>3810</v>
      </c>
      <c r="F3652" s="127" t="n">
        <v>46890</v>
      </c>
      <c r="G3652" s="127" t="n">
        <v>46896</v>
      </c>
      <c r="H3652" s="127" t="n">
        <v>46293</v>
      </c>
      <c r="I3652" s="4" t="n">
        <v>0</v>
      </c>
      <c r="J3652" s="4" t="n">
        <v>0</v>
      </c>
      <c r="K3652" s="4" t="n">
        <v>0</v>
      </c>
      <c r="M3652" s="2" t="str">
        <f aca="false">IF(C3652="","",IFERROR(INDEX($S$5:$S$304,MATCH(C3652,$R$5:$R$304,0))&amp;"","?"))</f>
        <v>34</v>
      </c>
      <c r="N3652" s="2" t="n">
        <f aca="false">IF(E3652="","",IF(ISNUMBER(SEARCH("SUBSOLO",E3652)),IFERROR(-VALUE(LEFT(E3652,FIND("º",SUBSTITUTE(E3652,"°","º"))-1)),-1),IF(LEFT(E3652,6)="TÉRREO",0,IFERROR(VALUE(LEFT(E3652,FIND("º",SUBSTITUTE(E3652,"°","º"))-1)),""))))</f>
        <v>3</v>
      </c>
      <c r="O3652" s="2" t="str">
        <f aca="false">IF(OR(F3652="",G3652=""),"",IF(G3652&lt;='RETRATO 2027'!$K$5,"CONCLUÍDA",IF(F3652&lt;='RETRATO 2027'!$K$5,"EM ANDAMENTO","A INICIAR")))</f>
        <v>A INICIAR</v>
      </c>
    </row>
    <row r="3653" customFormat="false" ht="15" hidden="false" customHeight="false" outlineLevel="0" collapsed="false">
      <c r="B3653" s="4" t="n">
        <v>26744710</v>
      </c>
      <c r="C3653" s="4" t="s">
        <v>3088</v>
      </c>
      <c r="D3653" s="4" t="s">
        <v>433</v>
      </c>
      <c r="E3653" s="4" t="s">
        <v>3810</v>
      </c>
      <c r="F3653" s="127" t="n">
        <v>46890</v>
      </c>
      <c r="G3653" s="127" t="n">
        <v>46897</v>
      </c>
      <c r="H3653" s="127" t="n">
        <v>46293</v>
      </c>
      <c r="I3653" s="4" t="n">
        <v>0</v>
      </c>
      <c r="J3653" s="4" t="n">
        <v>0</v>
      </c>
      <c r="K3653" s="4" t="n">
        <v>0</v>
      </c>
      <c r="M3653" s="2" t="str">
        <f aca="false">IF(C3653="","",IFERROR(INDEX($S$5:$S$304,MATCH(C3653,$R$5:$R$304,0))&amp;"","?"))</f>
        <v>20</v>
      </c>
      <c r="N3653" s="2" t="n">
        <f aca="false">IF(E3653="","",IF(ISNUMBER(SEARCH("SUBSOLO",E3653)),IFERROR(-VALUE(LEFT(E3653,FIND("º",SUBSTITUTE(E3653,"°","º"))-1)),-1),IF(LEFT(E3653,6)="TÉRREO",0,IFERROR(VALUE(LEFT(E3653,FIND("º",SUBSTITUTE(E3653,"°","º"))-1)),""))))</f>
        <v>3</v>
      </c>
      <c r="O3653" s="2" t="str">
        <f aca="false">IF(OR(F3653="",G3653=""),"",IF(G3653&lt;='RETRATO 2027'!$K$5,"CONCLUÍDA",IF(F3653&lt;='RETRATO 2027'!$K$5,"EM ANDAMENTO","A INICIAR")))</f>
        <v>A INICIAR</v>
      </c>
    </row>
    <row r="3654" customFormat="false" ht="15" hidden="false" customHeight="false" outlineLevel="0" collapsed="false">
      <c r="B3654" s="4" t="n">
        <v>26744703</v>
      </c>
      <c r="C3654" s="4" t="s">
        <v>3009</v>
      </c>
      <c r="D3654" s="4" t="s">
        <v>433</v>
      </c>
      <c r="E3654" s="4" t="s">
        <v>3810</v>
      </c>
      <c r="F3654" s="127" t="n">
        <v>46890</v>
      </c>
      <c r="G3654" s="127" t="n">
        <v>46896</v>
      </c>
      <c r="H3654" s="127" t="n">
        <v>46293</v>
      </c>
      <c r="I3654" s="4" t="n">
        <v>0</v>
      </c>
      <c r="J3654" s="4" t="n">
        <v>0</v>
      </c>
      <c r="K3654" s="4" t="n">
        <v>0</v>
      </c>
      <c r="M3654" s="2" t="str">
        <f aca="false">IF(C3654="","",IFERROR(INDEX($S$5:$S$304,MATCH(C3654,$R$5:$R$304,0))&amp;"","?"))</f>
        <v>23</v>
      </c>
      <c r="N3654" s="2" t="n">
        <f aca="false">IF(E3654="","",IF(ISNUMBER(SEARCH("SUBSOLO",E3654)),IFERROR(-VALUE(LEFT(E3654,FIND("º",SUBSTITUTE(E3654,"°","º"))-1)),-1),IF(LEFT(E3654,6)="TÉRREO",0,IFERROR(VALUE(LEFT(E3654,FIND("º",SUBSTITUTE(E3654,"°","º"))-1)),""))))</f>
        <v>3</v>
      </c>
      <c r="O3654" s="2" t="str">
        <f aca="false">IF(OR(F3654="",G3654=""),"",IF(G3654&lt;='RETRATO 2027'!$K$5,"CONCLUÍDA",IF(F3654&lt;='RETRATO 2027'!$K$5,"EM ANDAMENTO","A INICIAR")))</f>
        <v>A INICIAR</v>
      </c>
    </row>
    <row r="3655" customFormat="false" ht="15" hidden="false" customHeight="false" outlineLevel="0" collapsed="false">
      <c r="B3655" s="4" t="n">
        <v>26708183</v>
      </c>
      <c r="C3655" s="4" t="s">
        <v>2977</v>
      </c>
      <c r="D3655" s="4" t="s">
        <v>433</v>
      </c>
      <c r="E3655" s="4" t="s">
        <v>3628</v>
      </c>
      <c r="F3655" s="127" t="n">
        <v>46892</v>
      </c>
      <c r="G3655" s="127" t="n">
        <v>46903</v>
      </c>
      <c r="H3655" s="127" t="n">
        <v>46293</v>
      </c>
      <c r="I3655" s="4" t="n">
        <v>0</v>
      </c>
      <c r="J3655" s="4" t="n">
        <v>0</v>
      </c>
      <c r="K3655" s="4" t="n">
        <v>0</v>
      </c>
      <c r="M3655" s="2" t="str">
        <f aca="false">IF(C3655="","",IFERROR(INDEX($S$5:$S$304,MATCH(C3655,$R$5:$R$304,0))&amp;"","?"))</f>
        <v>30</v>
      </c>
      <c r="N3655" s="2" t="n">
        <f aca="false">IF(E3655="","",IF(ISNUMBER(SEARCH("SUBSOLO",E3655)),IFERROR(-VALUE(LEFT(E3655,FIND("º",SUBSTITUTE(E3655,"°","º"))-1)),-1),IF(LEFT(E3655,6)="TÉRREO",0,IFERROR(VALUE(LEFT(E3655,FIND("º",SUBSTITUTE(E3655,"°","º"))-1)),""))))</f>
        <v>-6</v>
      </c>
      <c r="O3655" s="2" t="str">
        <f aca="false">IF(OR(F3655="",G3655=""),"",IF(G3655&lt;='RETRATO 2027'!$K$5,"CONCLUÍDA",IF(F3655&lt;='RETRATO 2027'!$K$5,"EM ANDAMENTO","A INICIAR")))</f>
        <v>A INICIAR</v>
      </c>
    </row>
    <row r="3656" customFormat="false" ht="15" hidden="false" customHeight="false" outlineLevel="0" collapsed="false">
      <c r="B3656" s="4" t="n">
        <v>26708128</v>
      </c>
      <c r="C3656" s="4" t="s">
        <v>2935</v>
      </c>
      <c r="D3656" s="4" t="s">
        <v>433</v>
      </c>
      <c r="E3656" s="4" t="s">
        <v>3813</v>
      </c>
      <c r="F3656" s="127" t="n">
        <v>46892</v>
      </c>
      <c r="G3656" s="127" t="n">
        <v>46903</v>
      </c>
      <c r="H3656" s="127" t="n">
        <v>46293</v>
      </c>
      <c r="I3656" s="4" t="n">
        <v>0</v>
      </c>
      <c r="J3656" s="4" t="n">
        <v>0</v>
      </c>
      <c r="K3656" s="4" t="n">
        <v>0</v>
      </c>
      <c r="M3656" s="2" t="str">
        <f aca="false">IF(C3656="","",IFERROR(INDEX($S$5:$S$304,MATCH(C3656,$R$5:$R$304,0))&amp;"","?"))</f>
        <v>30</v>
      </c>
      <c r="N3656" s="2" t="n">
        <f aca="false">IF(E3656="","",IF(ISNUMBER(SEARCH("SUBSOLO",E3656)),IFERROR(-VALUE(LEFT(E3656,FIND("º",SUBSTITUTE(E3656,"°","º"))-1)),-1),IF(LEFT(E3656,6)="TÉRREO",0,IFERROR(VALUE(LEFT(E3656,FIND("º",SUBSTITUTE(E3656,"°","º"))-1)),""))))</f>
        <v>-6</v>
      </c>
      <c r="O3656" s="2" t="str">
        <f aca="false">IF(OR(F3656="",G3656=""),"",IF(G3656&lt;='RETRATO 2027'!$K$5,"CONCLUÍDA",IF(F3656&lt;='RETRATO 2027'!$K$5,"EM ANDAMENTO","A INICIAR")))</f>
        <v>A INICIAR</v>
      </c>
    </row>
    <row r="3657" customFormat="false" ht="15" hidden="false" customHeight="false" outlineLevel="0" collapsed="false">
      <c r="B3657" s="4" t="n">
        <v>26743768</v>
      </c>
      <c r="C3657" s="4" t="s">
        <v>2971</v>
      </c>
      <c r="D3657" s="4" t="s">
        <v>433</v>
      </c>
      <c r="E3657" s="4" t="s">
        <v>3374</v>
      </c>
      <c r="F3657" s="127" t="n">
        <v>46892</v>
      </c>
      <c r="G3657" s="127" t="n">
        <v>46912</v>
      </c>
      <c r="H3657" s="127" t="n">
        <v>46293</v>
      </c>
      <c r="I3657" s="4" t="n">
        <v>0</v>
      </c>
      <c r="J3657" s="4" t="n">
        <v>0</v>
      </c>
      <c r="K3657" s="4" t="n">
        <v>0</v>
      </c>
      <c r="M3657" s="2" t="str">
        <f aca="false">IF(C3657="","",IFERROR(INDEX($S$5:$S$304,MATCH(C3657,$R$5:$R$304,0))&amp;"","?"))</f>
        <v>37</v>
      </c>
      <c r="N3657" s="2" t="n">
        <f aca="false">IF(E3657="","",IF(ISNUMBER(SEARCH("SUBSOLO",E3657)),IFERROR(-VALUE(LEFT(E3657,FIND("º",SUBSTITUTE(E3657,"°","º"))-1)),-1),IF(LEFT(E3657,6)="TÉRREO",0,IFERROR(VALUE(LEFT(E3657,FIND("º",SUBSTITUTE(E3657,"°","º"))-1)),""))))</f>
        <v>-4</v>
      </c>
      <c r="O3657" s="2" t="str">
        <f aca="false">IF(OR(F3657="",G3657=""),"",IF(G3657&lt;='RETRATO 2027'!$K$5,"CONCLUÍDA",IF(F3657&lt;='RETRATO 2027'!$K$5,"EM ANDAMENTO","A INICIAR")))</f>
        <v>A INICIAR</v>
      </c>
    </row>
    <row r="3658" customFormat="false" ht="15" hidden="false" customHeight="false" outlineLevel="0" collapsed="false">
      <c r="B3658" s="4" t="n">
        <v>26744669</v>
      </c>
      <c r="C3658" s="4" t="s">
        <v>3003</v>
      </c>
      <c r="D3658" s="4" t="s">
        <v>433</v>
      </c>
      <c r="E3658" s="4" t="s">
        <v>3774</v>
      </c>
      <c r="F3658" s="127" t="n">
        <v>46892</v>
      </c>
      <c r="G3658" s="127" t="n">
        <v>46899</v>
      </c>
      <c r="H3658" s="127" t="n">
        <v>46293</v>
      </c>
      <c r="I3658" s="4" t="n">
        <v>0</v>
      </c>
      <c r="J3658" s="4" t="n">
        <v>0</v>
      </c>
      <c r="K3658" s="4" t="n">
        <v>0</v>
      </c>
      <c r="M3658" s="2" t="str">
        <f aca="false">IF(C3658="","",IFERROR(INDEX($S$5:$S$304,MATCH(C3658,$R$5:$R$304,0))&amp;"","?"))</f>
        <v>20</v>
      </c>
      <c r="N3658" s="2" t="n">
        <f aca="false">IF(E3658="","",IF(ISNUMBER(SEARCH("SUBSOLO",E3658)),IFERROR(-VALUE(LEFT(E3658,FIND("º",SUBSTITUTE(E3658,"°","º"))-1)),-1),IF(LEFT(E3658,6)="TÉRREO",0,IFERROR(VALUE(LEFT(E3658,FIND("º",SUBSTITUTE(E3658,"°","º"))-1)),""))))</f>
        <v>3</v>
      </c>
      <c r="O3658" s="2" t="str">
        <f aca="false">IF(OR(F3658="",G3658=""),"",IF(G3658&lt;='RETRATO 2027'!$K$5,"CONCLUÍDA",IF(F3658&lt;='RETRATO 2027'!$K$5,"EM ANDAMENTO","A INICIAR")))</f>
        <v>A INICIAR</v>
      </c>
    </row>
    <row r="3659" customFormat="false" ht="15" hidden="false" customHeight="false" outlineLevel="0" collapsed="false">
      <c r="B3659" s="4" t="n">
        <v>26745193</v>
      </c>
      <c r="C3659" s="4" t="s">
        <v>3057</v>
      </c>
      <c r="D3659" s="4" t="s">
        <v>433</v>
      </c>
      <c r="E3659" s="4" t="s">
        <v>3657</v>
      </c>
      <c r="F3659" s="127" t="n">
        <v>46895</v>
      </c>
      <c r="G3659" s="127" t="n">
        <v>46904</v>
      </c>
      <c r="H3659" s="127" t="n">
        <v>46293</v>
      </c>
      <c r="I3659" s="4" t="n">
        <v>0</v>
      </c>
      <c r="J3659" s="4" t="n">
        <v>0</v>
      </c>
      <c r="K3659" s="4" t="n">
        <v>0</v>
      </c>
      <c r="M3659" s="2" t="str">
        <f aca="false">IF(C3659="","",IFERROR(INDEX($S$5:$S$304,MATCH(C3659,$R$5:$R$304,0))&amp;"","?"))</f>
        <v>26</v>
      </c>
      <c r="N3659" s="2" t="n">
        <f aca="false">IF(E3659="","",IF(ISNUMBER(SEARCH("SUBSOLO",E3659)),IFERROR(-VALUE(LEFT(E3659,FIND("º",SUBSTITUTE(E3659,"°","º"))-1)),-1),IF(LEFT(E3659,6)="TÉRREO",0,IFERROR(VALUE(LEFT(E3659,FIND("º",SUBSTITUTE(E3659,"°","º"))-1)),""))))</f>
        <v>-5</v>
      </c>
      <c r="O3659" s="2" t="str">
        <f aca="false">IF(OR(F3659="",G3659=""),"",IF(G3659&lt;='RETRATO 2027'!$K$5,"CONCLUÍDA",IF(F3659&lt;='RETRATO 2027'!$K$5,"EM ANDAMENTO","A INICIAR")))</f>
        <v>A INICIAR</v>
      </c>
    </row>
    <row r="3660" customFormat="false" ht="15" hidden="false" customHeight="false" outlineLevel="0" collapsed="false">
      <c r="B3660" s="4" t="n">
        <v>26744783</v>
      </c>
      <c r="C3660" s="4" t="s">
        <v>3032</v>
      </c>
      <c r="D3660" s="4" t="s">
        <v>433</v>
      </c>
      <c r="E3660" s="4" t="s">
        <v>3769</v>
      </c>
      <c r="F3660" s="127" t="n">
        <v>46895</v>
      </c>
      <c r="G3660" s="127" t="n">
        <v>46902</v>
      </c>
      <c r="H3660" s="127" t="n">
        <v>46293</v>
      </c>
      <c r="I3660" s="4" t="n">
        <v>0</v>
      </c>
      <c r="J3660" s="4" t="n">
        <v>0</v>
      </c>
      <c r="K3660" s="4" t="n">
        <v>0</v>
      </c>
      <c r="M3660" s="2" t="str">
        <f aca="false">IF(C3660="","",IFERROR(INDEX($S$5:$S$304,MATCH(C3660,$R$5:$R$304,0))&amp;"","?"))</f>
        <v>35</v>
      </c>
      <c r="N3660" s="2" t="n">
        <f aca="false">IF(E3660="","",IF(ISNUMBER(SEARCH("SUBSOLO",E3660)),IFERROR(-VALUE(LEFT(E3660,FIND("º",SUBSTITUTE(E3660,"°","º"))-1)),-1),IF(LEFT(E3660,6)="TÉRREO",0,IFERROR(VALUE(LEFT(E3660,FIND("º",SUBSTITUTE(E3660,"°","º"))-1)),""))))</f>
        <v>3</v>
      </c>
      <c r="O3660" s="2" t="str">
        <f aca="false">IF(OR(F3660="",G3660=""),"",IF(G3660&lt;='RETRATO 2027'!$K$5,"CONCLUÍDA",IF(F3660&lt;='RETRATO 2027'!$K$5,"EM ANDAMENTO","A INICIAR")))</f>
        <v>A INICIAR</v>
      </c>
    </row>
    <row r="3661" customFormat="false" ht="15" hidden="false" customHeight="false" outlineLevel="0" collapsed="false">
      <c r="B3661" s="4" t="n">
        <v>26744750</v>
      </c>
      <c r="C3661" s="4" t="s">
        <v>3093</v>
      </c>
      <c r="D3661" s="4" t="s">
        <v>433</v>
      </c>
      <c r="E3661" s="4" t="s">
        <v>3784</v>
      </c>
      <c r="F3661" s="127" t="n">
        <v>46895</v>
      </c>
      <c r="G3661" s="127" t="n">
        <v>46902</v>
      </c>
      <c r="H3661" s="127" t="n">
        <v>46293</v>
      </c>
      <c r="I3661" s="4" t="n">
        <v>0</v>
      </c>
      <c r="J3661" s="4" t="n">
        <v>0</v>
      </c>
      <c r="K3661" s="4" t="n">
        <v>0</v>
      </c>
      <c r="M3661" s="2" t="str">
        <f aca="false">IF(C3661="","",IFERROR(INDEX($S$5:$S$304,MATCH(C3661,$R$5:$R$304,0))&amp;"","?"))</f>
        <v>34</v>
      </c>
      <c r="N3661" s="2" t="n">
        <f aca="false">IF(E3661="","",IF(ISNUMBER(SEARCH("SUBSOLO",E3661)),IFERROR(-VALUE(LEFT(E3661,FIND("º",SUBSTITUTE(E3661,"°","º"))-1)),-1),IF(LEFT(E3661,6)="TÉRREO",0,IFERROR(VALUE(LEFT(E3661,FIND("º",SUBSTITUTE(E3661,"°","º"))-1)),""))))</f>
        <v>3</v>
      </c>
      <c r="O3661" s="2" t="str">
        <f aca="false">IF(OR(F3661="",G3661=""),"",IF(G3661&lt;='RETRATO 2027'!$K$5,"CONCLUÍDA",IF(F3661&lt;='RETRATO 2027'!$K$5,"EM ANDAMENTO","A INICIAR")))</f>
        <v>A INICIAR</v>
      </c>
    </row>
    <row r="3662" customFormat="false" ht="15" hidden="false" customHeight="false" outlineLevel="0" collapsed="false">
      <c r="B3662" s="4" t="n">
        <v>26744745</v>
      </c>
      <c r="C3662" s="4" t="s">
        <v>2965</v>
      </c>
      <c r="D3662" s="4" t="s">
        <v>433</v>
      </c>
      <c r="E3662" s="4" t="s">
        <v>3784</v>
      </c>
      <c r="F3662" s="127" t="n">
        <v>46895</v>
      </c>
      <c r="G3662" s="127" t="n">
        <v>46902</v>
      </c>
      <c r="H3662" s="127" t="n">
        <v>46293</v>
      </c>
      <c r="I3662" s="4" t="n">
        <v>0</v>
      </c>
      <c r="J3662" s="4" t="n">
        <v>0</v>
      </c>
      <c r="K3662" s="4" t="n">
        <v>0</v>
      </c>
      <c r="M3662" s="2" t="str">
        <f aca="false">IF(C3662="","",IFERROR(INDEX($S$5:$S$304,MATCH(C3662,$R$5:$R$304,0))&amp;"","?"))</f>
        <v>20</v>
      </c>
      <c r="N3662" s="2" t="n">
        <f aca="false">IF(E3662="","",IF(ISNUMBER(SEARCH("SUBSOLO",E3662)),IFERROR(-VALUE(LEFT(E3662,FIND("º",SUBSTITUTE(E3662,"°","º"))-1)),-1),IF(LEFT(E3662,6)="TÉRREO",0,IFERROR(VALUE(LEFT(E3662,FIND("º",SUBSTITUTE(E3662,"°","º"))-1)),""))))</f>
        <v>3</v>
      </c>
      <c r="O3662" s="2" t="str">
        <f aca="false">IF(OR(F3662="",G3662=""),"",IF(G3662&lt;='RETRATO 2027'!$K$5,"CONCLUÍDA",IF(F3662&lt;='RETRATO 2027'!$K$5,"EM ANDAMENTO","A INICIAR")))</f>
        <v>A INICIAR</v>
      </c>
    </row>
    <row r="3663" customFormat="false" ht="15" hidden="false" customHeight="false" outlineLevel="0" collapsed="false">
      <c r="B3663" s="4" t="n">
        <v>26744712</v>
      </c>
      <c r="C3663" s="4" t="s">
        <v>3021</v>
      </c>
      <c r="D3663" s="4" t="s">
        <v>433</v>
      </c>
      <c r="E3663" s="4" t="s">
        <v>3800</v>
      </c>
      <c r="F3663" s="127" t="n">
        <v>46895</v>
      </c>
      <c r="G3663" s="127" t="n">
        <v>46902</v>
      </c>
      <c r="H3663" s="127" t="n">
        <v>46293</v>
      </c>
      <c r="I3663" s="4" t="n">
        <v>0</v>
      </c>
      <c r="J3663" s="4" t="n">
        <v>0</v>
      </c>
      <c r="K3663" s="4" t="n">
        <v>0</v>
      </c>
      <c r="M3663" s="2" t="str">
        <f aca="false">IF(C3663="","",IFERROR(INDEX($S$5:$S$304,MATCH(C3663,$R$5:$R$304,0))&amp;"","?"))</f>
        <v>35</v>
      </c>
      <c r="N3663" s="2" t="n">
        <f aca="false">IF(E3663="","",IF(ISNUMBER(SEARCH("SUBSOLO",E3663)),IFERROR(-VALUE(LEFT(E3663,FIND("º",SUBSTITUTE(E3663,"°","º"))-1)),-1),IF(LEFT(E3663,6)="TÉRREO",0,IFERROR(VALUE(LEFT(E3663,FIND("º",SUBSTITUTE(E3663,"°","º"))-1)),""))))</f>
        <v>3</v>
      </c>
      <c r="O3663" s="2" t="str">
        <f aca="false">IF(OR(F3663="",G3663=""),"",IF(G3663&lt;='RETRATO 2027'!$K$5,"CONCLUÍDA",IF(F3663&lt;='RETRATO 2027'!$K$5,"EM ANDAMENTO","A INICIAR")))</f>
        <v>A INICIAR</v>
      </c>
    </row>
    <row r="3664" customFormat="false" ht="15" hidden="false" customHeight="false" outlineLevel="0" collapsed="false">
      <c r="B3664" s="4" t="n">
        <v>30433003</v>
      </c>
      <c r="C3664" s="4" t="s">
        <v>3096</v>
      </c>
      <c r="D3664" s="4" t="s">
        <v>433</v>
      </c>
      <c r="E3664" s="4" t="s">
        <v>3706</v>
      </c>
      <c r="F3664" s="127" t="n">
        <v>46895</v>
      </c>
      <c r="G3664" s="127" t="n">
        <v>46903</v>
      </c>
      <c r="H3664" s="127" t="n">
        <v>46293</v>
      </c>
      <c r="I3664" s="4" t="n">
        <v>0</v>
      </c>
      <c r="J3664" s="4" t="n">
        <v>0</v>
      </c>
      <c r="K3664" s="4" t="n">
        <v>0</v>
      </c>
      <c r="M3664" s="2" t="str">
        <f aca="false">IF(C3664="","",IFERROR(INDEX($S$5:$S$304,MATCH(C3664,$R$5:$R$304,0))&amp;"","?"))</f>
        <v/>
      </c>
      <c r="N3664" s="2" t="n">
        <f aca="false">IF(E3664="","",IF(ISNUMBER(SEARCH("SUBSOLO",E3664)),IFERROR(-VALUE(LEFT(E3664,FIND("º",SUBSTITUTE(E3664,"°","º"))-1)),-1),IF(LEFT(E3664,6)="TÉRREO",0,IFERROR(VALUE(LEFT(E3664,FIND("º",SUBSTITUTE(E3664,"°","º"))-1)),""))))</f>
        <v>8</v>
      </c>
      <c r="O3664" s="2" t="str">
        <f aca="false">IF(OR(F3664="",G3664=""),"",IF(G3664&lt;='RETRATO 2027'!$K$5,"CONCLUÍDA",IF(F3664&lt;='RETRATO 2027'!$K$5,"EM ANDAMENTO","A INICIAR")))</f>
        <v>A INICIAR</v>
      </c>
    </row>
    <row r="3665" customFormat="false" ht="15" hidden="false" customHeight="false" outlineLevel="0" collapsed="false">
      <c r="B3665" s="4" t="n">
        <v>26743448</v>
      </c>
      <c r="C3665" s="4" t="s">
        <v>3029</v>
      </c>
      <c r="D3665" s="4" t="s">
        <v>433</v>
      </c>
      <c r="E3665" s="4" t="s">
        <v>3716</v>
      </c>
      <c r="F3665" s="127" t="n">
        <v>46895</v>
      </c>
      <c r="G3665" s="127" t="n">
        <v>46903</v>
      </c>
      <c r="H3665" s="127" t="n">
        <v>46293</v>
      </c>
      <c r="I3665" s="4" t="n">
        <v>0</v>
      </c>
      <c r="J3665" s="4" t="n">
        <v>0</v>
      </c>
      <c r="K3665" s="4" t="n">
        <v>0</v>
      </c>
      <c r="M3665" s="2" t="str">
        <f aca="false">IF(C3665="","",IFERROR(INDEX($S$5:$S$304,MATCH(C3665,$R$5:$R$304,0))&amp;"","?"))</f>
        <v/>
      </c>
      <c r="N3665" s="2" t="n">
        <f aca="false">IF(E3665="","",IF(ISNUMBER(SEARCH("SUBSOLO",E3665)),IFERROR(-VALUE(LEFT(E3665,FIND("º",SUBSTITUTE(E3665,"°","º"))-1)),-1),IF(LEFT(E3665,6)="TÉRREO",0,IFERROR(VALUE(LEFT(E3665,FIND("º",SUBSTITUTE(E3665,"°","º"))-1)),""))))</f>
        <v>9</v>
      </c>
      <c r="O3665" s="2" t="str">
        <f aca="false">IF(OR(F3665="",G3665=""),"",IF(G3665&lt;='RETRATO 2027'!$K$5,"CONCLUÍDA",IF(F3665&lt;='RETRATO 2027'!$K$5,"EM ANDAMENTO","A INICIAR")))</f>
        <v>A INICIAR</v>
      </c>
    </row>
    <row r="3666" customFormat="false" ht="15" hidden="false" customHeight="false" outlineLevel="0" collapsed="false">
      <c r="B3666" s="4" t="n">
        <v>26743409</v>
      </c>
      <c r="C3666" s="4" t="s">
        <v>2971</v>
      </c>
      <c r="D3666" s="4" t="s">
        <v>433</v>
      </c>
      <c r="E3666" s="4" t="s">
        <v>3722</v>
      </c>
      <c r="F3666" s="127" t="n">
        <v>46895</v>
      </c>
      <c r="G3666" s="127" t="n">
        <v>46903</v>
      </c>
      <c r="H3666" s="127" t="n">
        <v>46293</v>
      </c>
      <c r="I3666" s="4" t="n">
        <v>0</v>
      </c>
      <c r="J3666" s="4" t="n">
        <v>0</v>
      </c>
      <c r="K3666" s="4" t="n">
        <v>0</v>
      </c>
      <c r="M3666" s="2" t="str">
        <f aca="false">IF(C3666="","",IFERROR(INDEX($S$5:$S$304,MATCH(C3666,$R$5:$R$304,0))&amp;"","?"))</f>
        <v>37</v>
      </c>
      <c r="N3666" s="2" t="n">
        <f aca="false">IF(E3666="","",IF(ISNUMBER(SEARCH("SUBSOLO",E3666)),IFERROR(-VALUE(LEFT(E3666,FIND("º",SUBSTITUTE(E3666,"°","º"))-1)),-1),IF(LEFT(E3666,6)="TÉRREO",0,IFERROR(VALUE(LEFT(E3666,FIND("º",SUBSTITUTE(E3666,"°","º"))-1)),""))))</f>
        <v>10</v>
      </c>
      <c r="O3666" s="2" t="str">
        <f aca="false">IF(OR(F3666="",G3666=""),"",IF(G3666&lt;='RETRATO 2027'!$K$5,"CONCLUÍDA",IF(F3666&lt;='RETRATO 2027'!$K$5,"EM ANDAMENTO","A INICIAR")))</f>
        <v>A INICIAR</v>
      </c>
    </row>
    <row r="3667" customFormat="false" ht="15" hidden="false" customHeight="false" outlineLevel="0" collapsed="false">
      <c r="B3667" s="4" t="n">
        <v>26743371</v>
      </c>
      <c r="C3667" s="4" t="s">
        <v>3032</v>
      </c>
      <c r="D3667" s="4" t="s">
        <v>433</v>
      </c>
      <c r="E3667" s="4" t="s">
        <v>3762</v>
      </c>
      <c r="F3667" s="127" t="n">
        <v>46895</v>
      </c>
      <c r="G3667" s="127" t="n">
        <v>46903</v>
      </c>
      <c r="H3667" s="127" t="n">
        <v>46293</v>
      </c>
      <c r="I3667" s="4" t="n">
        <v>0</v>
      </c>
      <c r="J3667" s="4" t="n">
        <v>0</v>
      </c>
      <c r="K3667" s="4" t="n">
        <v>0</v>
      </c>
      <c r="M3667" s="2" t="str">
        <f aca="false">IF(C3667="","",IFERROR(INDEX($S$5:$S$304,MATCH(C3667,$R$5:$R$304,0))&amp;"","?"))</f>
        <v>35</v>
      </c>
      <c r="N3667" s="2" t="n">
        <f aca="false">IF(E3667="","",IF(ISNUMBER(SEARCH("SUBSOLO",E3667)),IFERROR(-VALUE(LEFT(E3667,FIND("º",SUBSTITUTE(E3667,"°","º"))-1)),-1),IF(LEFT(E3667,6)="TÉRREO",0,IFERROR(VALUE(LEFT(E3667,FIND("º",SUBSTITUTE(E3667,"°","º"))-1)),""))))</f>
        <v>11</v>
      </c>
      <c r="O3667" s="2" t="str">
        <f aca="false">IF(OR(F3667="",G3667=""),"",IF(G3667&lt;='RETRATO 2027'!$K$5,"CONCLUÍDA",IF(F3667&lt;='RETRATO 2027'!$K$5,"EM ANDAMENTO","A INICIAR")))</f>
        <v>A INICIAR</v>
      </c>
    </row>
    <row r="3668" customFormat="false" ht="15" hidden="false" customHeight="false" outlineLevel="0" collapsed="false">
      <c r="B3668" s="4" t="n">
        <v>26743328</v>
      </c>
      <c r="C3668" s="4" t="s">
        <v>3093</v>
      </c>
      <c r="D3668" s="4" t="s">
        <v>433</v>
      </c>
      <c r="E3668" s="4" t="s">
        <v>3763</v>
      </c>
      <c r="F3668" s="127" t="n">
        <v>46895</v>
      </c>
      <c r="G3668" s="127" t="n">
        <v>46903</v>
      </c>
      <c r="H3668" s="127" t="n">
        <v>46293</v>
      </c>
      <c r="I3668" s="4" t="n">
        <v>0</v>
      </c>
      <c r="J3668" s="4" t="n">
        <v>0</v>
      </c>
      <c r="K3668" s="4" t="n">
        <v>0</v>
      </c>
      <c r="M3668" s="2" t="str">
        <f aca="false">IF(C3668="","",IFERROR(INDEX($S$5:$S$304,MATCH(C3668,$R$5:$R$304,0))&amp;"","?"))</f>
        <v>34</v>
      </c>
      <c r="N3668" s="2" t="n">
        <f aca="false">IF(E3668="","",IF(ISNUMBER(SEARCH("SUBSOLO",E3668)),IFERROR(-VALUE(LEFT(E3668,FIND("º",SUBSTITUTE(E3668,"°","º"))-1)),-1),IF(LEFT(E3668,6)="TÉRREO",0,IFERROR(VALUE(LEFT(E3668,FIND("º",SUBSTITUTE(E3668,"°","º"))-1)),""))))</f>
        <v>12</v>
      </c>
      <c r="O3668" s="2" t="str">
        <f aca="false">IF(OR(F3668="",G3668=""),"",IF(G3668&lt;='RETRATO 2027'!$K$5,"CONCLUÍDA",IF(F3668&lt;='RETRATO 2027'!$K$5,"EM ANDAMENTO","A INICIAR")))</f>
        <v>A INICIAR</v>
      </c>
    </row>
    <row r="3669" customFormat="false" ht="15" hidden="false" customHeight="false" outlineLevel="0" collapsed="false">
      <c r="B3669" s="4" t="n">
        <v>26743350</v>
      </c>
      <c r="C3669" s="4" t="s">
        <v>2965</v>
      </c>
      <c r="D3669" s="4" t="s">
        <v>433</v>
      </c>
      <c r="E3669" s="4" t="s">
        <v>3763</v>
      </c>
      <c r="F3669" s="127" t="n">
        <v>46895</v>
      </c>
      <c r="G3669" s="127" t="n">
        <v>46903</v>
      </c>
      <c r="H3669" s="127" t="n">
        <v>46293</v>
      </c>
      <c r="I3669" s="4" t="n">
        <v>0</v>
      </c>
      <c r="J3669" s="4" t="n">
        <v>0</v>
      </c>
      <c r="K3669" s="4" t="n">
        <v>0</v>
      </c>
      <c r="M3669" s="2" t="str">
        <f aca="false">IF(C3669="","",IFERROR(INDEX($S$5:$S$304,MATCH(C3669,$R$5:$R$304,0))&amp;"","?"))</f>
        <v>20</v>
      </c>
      <c r="N3669" s="2" t="n">
        <f aca="false">IF(E3669="","",IF(ISNUMBER(SEARCH("SUBSOLO",E3669)),IFERROR(-VALUE(LEFT(E3669,FIND("º",SUBSTITUTE(E3669,"°","º"))-1)),-1),IF(LEFT(E3669,6)="TÉRREO",0,IFERROR(VALUE(LEFT(E3669,FIND("º",SUBSTITUTE(E3669,"°","º"))-1)),""))))</f>
        <v>12</v>
      </c>
      <c r="O3669" s="2" t="str">
        <f aca="false">IF(OR(F3669="",G3669=""),"",IF(G3669&lt;='RETRATO 2027'!$K$5,"CONCLUÍDA",IF(F3669&lt;='RETRATO 2027'!$K$5,"EM ANDAMENTO","A INICIAR")))</f>
        <v>A INICIAR</v>
      </c>
    </row>
    <row r="3670" customFormat="false" ht="15" hidden="false" customHeight="false" outlineLevel="0" collapsed="false">
      <c r="B3670" s="4" t="n">
        <v>26743290</v>
      </c>
      <c r="C3670" s="4" t="s">
        <v>3021</v>
      </c>
      <c r="D3670" s="4" t="s">
        <v>433</v>
      </c>
      <c r="E3670" s="4" t="s">
        <v>3764</v>
      </c>
      <c r="F3670" s="127" t="n">
        <v>46895</v>
      </c>
      <c r="G3670" s="127" t="n">
        <v>46903</v>
      </c>
      <c r="H3670" s="127" t="n">
        <v>46293</v>
      </c>
      <c r="I3670" s="4" t="n">
        <v>0</v>
      </c>
      <c r="J3670" s="4" t="n">
        <v>0</v>
      </c>
      <c r="K3670" s="4" t="n">
        <v>0</v>
      </c>
      <c r="M3670" s="2" t="str">
        <f aca="false">IF(C3670="","",IFERROR(INDEX($S$5:$S$304,MATCH(C3670,$R$5:$R$304,0))&amp;"","?"))</f>
        <v>35</v>
      </c>
      <c r="N3670" s="2" t="n">
        <f aca="false">IF(E3670="","",IF(ISNUMBER(SEARCH("SUBSOLO",E3670)),IFERROR(-VALUE(LEFT(E3670,FIND("º",SUBSTITUTE(E3670,"°","º"))-1)),-1),IF(LEFT(E3670,6)="TÉRREO",0,IFERROR(VALUE(LEFT(E3670,FIND("º",SUBSTITUTE(E3670,"°","º"))-1)),""))))</f>
        <v>13</v>
      </c>
      <c r="O3670" s="2" t="str">
        <f aca="false">IF(OR(F3670="",G3670=""),"",IF(G3670&lt;='RETRATO 2027'!$K$5,"CONCLUÍDA",IF(F3670&lt;='RETRATO 2027'!$K$5,"EM ANDAMENTO","A INICIAR")))</f>
        <v>A INICIAR</v>
      </c>
    </row>
    <row r="3671" customFormat="false" ht="15" hidden="false" customHeight="false" outlineLevel="0" collapsed="false">
      <c r="B3671" s="4" t="n">
        <v>26743255</v>
      </c>
      <c r="C3671" s="4" t="s">
        <v>3006</v>
      </c>
      <c r="D3671" s="4" t="s">
        <v>433</v>
      </c>
      <c r="E3671" s="4" t="s">
        <v>3765</v>
      </c>
      <c r="F3671" s="127" t="n">
        <v>46895</v>
      </c>
      <c r="G3671" s="127" t="n">
        <v>46903</v>
      </c>
      <c r="H3671" s="127" t="n">
        <v>46293</v>
      </c>
      <c r="I3671" s="4" t="n">
        <v>0</v>
      </c>
      <c r="J3671" s="4" t="n">
        <v>0</v>
      </c>
      <c r="K3671" s="4" t="n">
        <v>0</v>
      </c>
      <c r="M3671" s="2" t="str">
        <f aca="false">IF(C3671="","",IFERROR(INDEX($S$5:$S$304,MATCH(C3671,$R$5:$R$304,0))&amp;"","?"))</f>
        <v>37</v>
      </c>
      <c r="N3671" s="2" t="n">
        <f aca="false">IF(E3671="","",IF(ISNUMBER(SEARCH("SUBSOLO",E3671)),IFERROR(-VALUE(LEFT(E3671,FIND("º",SUBSTITUTE(E3671,"°","º"))-1)),-1),IF(LEFT(E3671,6)="TÉRREO",0,IFERROR(VALUE(LEFT(E3671,FIND("º",SUBSTITUTE(E3671,"°","º"))-1)),""))))</f>
        <v>14</v>
      </c>
      <c r="O3671" s="2" t="str">
        <f aca="false">IF(OR(F3671="",G3671=""),"",IF(G3671&lt;='RETRATO 2027'!$K$5,"CONCLUÍDA",IF(F3671&lt;='RETRATO 2027'!$K$5,"EM ANDAMENTO","A INICIAR")))</f>
        <v>A INICIAR</v>
      </c>
    </row>
    <row r="3672" customFormat="false" ht="15" hidden="false" customHeight="false" outlineLevel="0" collapsed="false">
      <c r="B3672" s="4" t="n">
        <v>26743220</v>
      </c>
      <c r="C3672" s="4" t="s">
        <v>2962</v>
      </c>
      <c r="D3672" s="4" t="s">
        <v>433</v>
      </c>
      <c r="E3672" s="4" t="s">
        <v>3768</v>
      </c>
      <c r="F3672" s="127" t="n">
        <v>46895</v>
      </c>
      <c r="G3672" s="127" t="n">
        <v>46903</v>
      </c>
      <c r="H3672" s="127" t="n">
        <v>46293</v>
      </c>
      <c r="I3672" s="4" t="n">
        <v>0</v>
      </c>
      <c r="J3672" s="4" t="n">
        <v>0</v>
      </c>
      <c r="K3672" s="4" t="n">
        <v>0</v>
      </c>
      <c r="M3672" s="2" t="str">
        <f aca="false">IF(C3672="","",IFERROR(INDEX($S$5:$S$304,MATCH(C3672,$R$5:$R$304,0))&amp;"","?"))</f>
        <v>34</v>
      </c>
      <c r="N3672" s="2" t="n">
        <f aca="false">IF(E3672="","",IF(ISNUMBER(SEARCH("SUBSOLO",E3672)),IFERROR(-VALUE(LEFT(E3672,FIND("º",SUBSTITUTE(E3672,"°","º"))-1)),-1),IF(LEFT(E3672,6)="TÉRREO",0,IFERROR(VALUE(LEFT(E3672,FIND("º",SUBSTITUTE(E3672,"°","º"))-1)),""))))</f>
        <v>15</v>
      </c>
      <c r="O3672" s="2" t="str">
        <f aca="false">IF(OR(F3672="",G3672=""),"",IF(G3672&lt;='RETRATO 2027'!$K$5,"CONCLUÍDA",IF(F3672&lt;='RETRATO 2027'!$K$5,"EM ANDAMENTO","A INICIAR")))</f>
        <v>A INICIAR</v>
      </c>
    </row>
    <row r="3673" customFormat="false" ht="15" hidden="false" customHeight="false" outlineLevel="0" collapsed="false">
      <c r="B3673" s="4" t="n">
        <v>26743225</v>
      </c>
      <c r="C3673" s="4" t="s">
        <v>3088</v>
      </c>
      <c r="D3673" s="4" t="s">
        <v>433</v>
      </c>
      <c r="E3673" s="4" t="s">
        <v>3768</v>
      </c>
      <c r="F3673" s="127" t="n">
        <v>46895</v>
      </c>
      <c r="G3673" s="127" t="n">
        <v>46903</v>
      </c>
      <c r="H3673" s="127" t="n">
        <v>46293</v>
      </c>
      <c r="I3673" s="4" t="n">
        <v>0</v>
      </c>
      <c r="J3673" s="4" t="n">
        <v>0</v>
      </c>
      <c r="K3673" s="4" t="n">
        <v>0</v>
      </c>
      <c r="M3673" s="2" t="str">
        <f aca="false">IF(C3673="","",IFERROR(INDEX($S$5:$S$304,MATCH(C3673,$R$5:$R$304,0))&amp;"","?"))</f>
        <v>20</v>
      </c>
      <c r="N3673" s="2" t="n">
        <f aca="false">IF(E3673="","",IF(ISNUMBER(SEARCH("SUBSOLO",E3673)),IFERROR(-VALUE(LEFT(E3673,FIND("º",SUBSTITUTE(E3673,"°","º"))-1)),-1),IF(LEFT(E3673,6)="TÉRREO",0,IFERROR(VALUE(LEFT(E3673,FIND("º",SUBSTITUTE(E3673,"°","º"))-1)),""))))</f>
        <v>15</v>
      </c>
      <c r="O3673" s="2" t="str">
        <f aca="false">IF(OR(F3673="",G3673=""),"",IF(G3673&lt;='RETRATO 2027'!$K$5,"CONCLUÍDA",IF(F3673&lt;='RETRATO 2027'!$K$5,"EM ANDAMENTO","A INICIAR")))</f>
        <v>A INICIAR</v>
      </c>
    </row>
    <row r="3674" customFormat="false" ht="15" hidden="false" customHeight="false" outlineLevel="0" collapsed="false">
      <c r="B3674" s="4" t="n">
        <v>26743244</v>
      </c>
      <c r="C3674" s="4" t="s">
        <v>3009</v>
      </c>
      <c r="D3674" s="4" t="s">
        <v>433</v>
      </c>
      <c r="E3674" s="4" t="s">
        <v>3768</v>
      </c>
      <c r="F3674" s="127" t="n">
        <v>46895</v>
      </c>
      <c r="G3674" s="127" t="n">
        <v>46903</v>
      </c>
      <c r="H3674" s="127" t="n">
        <v>46293</v>
      </c>
      <c r="I3674" s="4" t="n">
        <v>0</v>
      </c>
      <c r="J3674" s="4" t="n">
        <v>0</v>
      </c>
      <c r="K3674" s="4" t="n">
        <v>0</v>
      </c>
      <c r="M3674" s="2" t="str">
        <f aca="false">IF(C3674="","",IFERROR(INDEX($S$5:$S$304,MATCH(C3674,$R$5:$R$304,0))&amp;"","?"))</f>
        <v>23</v>
      </c>
      <c r="N3674" s="2" t="n">
        <f aca="false">IF(E3674="","",IF(ISNUMBER(SEARCH("SUBSOLO",E3674)),IFERROR(-VALUE(LEFT(E3674,FIND("º",SUBSTITUTE(E3674,"°","º"))-1)),-1),IF(LEFT(E3674,6)="TÉRREO",0,IFERROR(VALUE(LEFT(E3674,FIND("º",SUBSTITUTE(E3674,"°","º"))-1)),""))))</f>
        <v>15</v>
      </c>
      <c r="O3674" s="2" t="str">
        <f aca="false">IF(OR(F3674="",G3674=""),"",IF(G3674&lt;='RETRATO 2027'!$K$5,"CONCLUÍDA",IF(F3674&lt;='RETRATO 2027'!$K$5,"EM ANDAMENTO","A INICIAR")))</f>
        <v>A INICIAR</v>
      </c>
    </row>
    <row r="3675" customFormat="false" ht="15" hidden="false" customHeight="false" outlineLevel="0" collapsed="false">
      <c r="B3675" s="4" t="n">
        <v>26743145</v>
      </c>
      <c r="C3675" s="4" t="s">
        <v>3082</v>
      </c>
      <c r="D3675" s="4" t="s">
        <v>433</v>
      </c>
      <c r="E3675" s="4" t="s">
        <v>3773</v>
      </c>
      <c r="F3675" s="127" t="n">
        <v>46895</v>
      </c>
      <c r="G3675" s="127" t="n">
        <v>46903</v>
      </c>
      <c r="H3675" s="127" t="n">
        <v>46293</v>
      </c>
      <c r="I3675" s="4" t="n">
        <v>0</v>
      </c>
      <c r="J3675" s="4" t="n">
        <v>0</v>
      </c>
      <c r="K3675" s="4" t="n">
        <v>0</v>
      </c>
      <c r="M3675" s="2" t="str">
        <f aca="false">IF(C3675="","",IFERROR(INDEX($S$5:$S$304,MATCH(C3675,$R$5:$R$304,0))&amp;"","?"))</f>
        <v>30</v>
      </c>
      <c r="N3675" s="2" t="n">
        <f aca="false">IF(E3675="","",IF(ISNUMBER(SEARCH("SUBSOLO",E3675)),IFERROR(-VALUE(LEFT(E3675,FIND("º",SUBSTITUTE(E3675,"°","º"))-1)),-1),IF(LEFT(E3675,6)="TÉRREO",0,IFERROR(VALUE(LEFT(E3675,FIND("º",SUBSTITUTE(E3675,"°","º"))-1)),""))))</f>
        <v>17</v>
      </c>
      <c r="O3675" s="2" t="str">
        <f aca="false">IF(OR(F3675="",G3675=""),"",IF(G3675&lt;='RETRATO 2027'!$K$5,"CONCLUÍDA",IF(F3675&lt;='RETRATO 2027'!$K$5,"EM ANDAMENTO","A INICIAR")))</f>
        <v>A INICIAR</v>
      </c>
    </row>
    <row r="3676" customFormat="false" ht="15" hidden="false" customHeight="false" outlineLevel="0" collapsed="false">
      <c r="B3676" s="4" t="n">
        <v>26743138</v>
      </c>
      <c r="C3676" s="4" t="s">
        <v>3079</v>
      </c>
      <c r="D3676" s="4" t="s">
        <v>433</v>
      </c>
      <c r="E3676" s="4" t="s">
        <v>3776</v>
      </c>
      <c r="F3676" s="127" t="n">
        <v>46895</v>
      </c>
      <c r="G3676" s="127" t="n">
        <v>46903</v>
      </c>
      <c r="H3676" s="127" t="n">
        <v>46293</v>
      </c>
      <c r="I3676" s="4" t="n">
        <v>0</v>
      </c>
      <c r="J3676" s="4" t="n">
        <v>0</v>
      </c>
      <c r="K3676" s="4" t="n">
        <v>0</v>
      </c>
      <c r="M3676" s="2" t="str">
        <f aca="false">IF(C3676="","",IFERROR(INDEX($S$5:$S$304,MATCH(C3676,$R$5:$R$304,0))&amp;"","?"))</f>
        <v>25</v>
      </c>
      <c r="N3676" s="2" t="n">
        <f aca="false">IF(E3676="","",IF(ISNUMBER(SEARCH("SUBSOLO",E3676)),IFERROR(-VALUE(LEFT(E3676,FIND("º",SUBSTITUTE(E3676,"°","º"))-1)),-1),IF(LEFT(E3676,6)="TÉRREO",0,IFERROR(VALUE(LEFT(E3676,FIND("º",SUBSTITUTE(E3676,"°","º"))-1)),""))))</f>
        <v>18</v>
      </c>
      <c r="O3676" s="2" t="str">
        <f aca="false">IF(OR(F3676="",G3676=""),"",IF(G3676&lt;='RETRATO 2027'!$K$5,"CONCLUÍDA",IF(F3676&lt;='RETRATO 2027'!$K$5,"EM ANDAMENTO","A INICIAR")))</f>
        <v>A INICIAR</v>
      </c>
    </row>
    <row r="3677" customFormat="false" ht="15" hidden="false" customHeight="false" outlineLevel="0" collapsed="false">
      <c r="B3677" s="4" t="n">
        <v>26743099</v>
      </c>
      <c r="C3677" s="4" t="s">
        <v>3073</v>
      </c>
      <c r="D3677" s="4" t="s">
        <v>433</v>
      </c>
      <c r="E3677" s="4" t="s">
        <v>3779</v>
      </c>
      <c r="F3677" s="127" t="n">
        <v>46895</v>
      </c>
      <c r="G3677" s="127" t="n">
        <v>46903</v>
      </c>
      <c r="H3677" s="127" t="n">
        <v>46293</v>
      </c>
      <c r="I3677" s="4" t="n">
        <v>0</v>
      </c>
      <c r="J3677" s="4" t="n">
        <v>0</v>
      </c>
      <c r="K3677" s="4" t="n">
        <v>0</v>
      </c>
      <c r="M3677" s="2" t="str">
        <f aca="false">IF(C3677="","",IFERROR(INDEX($S$5:$S$304,MATCH(C3677,$R$5:$R$304,0))&amp;"","?"))</f>
        <v>30</v>
      </c>
      <c r="N3677" s="2" t="n">
        <f aca="false">IF(E3677="","",IF(ISNUMBER(SEARCH("SUBSOLO",E3677)),IFERROR(-VALUE(LEFT(E3677,FIND("º",SUBSTITUTE(E3677,"°","º"))-1)),-1),IF(LEFT(E3677,6)="TÉRREO",0,IFERROR(VALUE(LEFT(E3677,FIND("º",SUBSTITUTE(E3677,"°","º"))-1)),""))))</f>
        <v>19</v>
      </c>
      <c r="O3677" s="2" t="str">
        <f aca="false">IF(OR(F3677="",G3677=""),"",IF(G3677&lt;='RETRATO 2027'!$K$5,"CONCLUÍDA",IF(F3677&lt;='RETRATO 2027'!$K$5,"EM ANDAMENTO","A INICIAR")))</f>
        <v>A INICIAR</v>
      </c>
    </row>
    <row r="3678" customFormat="false" ht="15" hidden="false" customHeight="false" outlineLevel="0" collapsed="false">
      <c r="B3678" s="4" t="n">
        <v>26743061</v>
      </c>
      <c r="C3678" s="4" t="s">
        <v>3055</v>
      </c>
      <c r="D3678" s="4" t="s">
        <v>433</v>
      </c>
      <c r="E3678" s="4" t="s">
        <v>3781</v>
      </c>
      <c r="F3678" s="127" t="n">
        <v>46895</v>
      </c>
      <c r="G3678" s="127" t="n">
        <v>46903</v>
      </c>
      <c r="H3678" s="127" t="n">
        <v>46293</v>
      </c>
      <c r="I3678" s="4" t="n">
        <v>0</v>
      </c>
      <c r="J3678" s="4" t="n">
        <v>0</v>
      </c>
      <c r="K3678" s="4" t="n">
        <v>0</v>
      </c>
      <c r="M3678" s="2" t="str">
        <f aca="false">IF(C3678="","",IFERROR(INDEX($S$5:$S$304,MATCH(C3678,$R$5:$R$304,0))&amp;"","?"))</f>
        <v>25</v>
      </c>
      <c r="N3678" s="2" t="n">
        <f aca="false">IF(E3678="","",IF(ISNUMBER(SEARCH("SUBSOLO",E3678)),IFERROR(-VALUE(LEFT(E3678,FIND("º",SUBSTITUTE(E3678,"°","º"))-1)),-1),IF(LEFT(E3678,6)="TÉRREO",0,IFERROR(VALUE(LEFT(E3678,FIND("º",SUBSTITUTE(E3678,"°","º"))-1)),""))))</f>
        <v>20</v>
      </c>
      <c r="O3678" s="2" t="str">
        <f aca="false">IF(OR(F3678="",G3678=""),"",IF(G3678&lt;='RETRATO 2027'!$K$5,"CONCLUÍDA",IF(F3678&lt;='RETRATO 2027'!$K$5,"EM ANDAMENTO","A INICIAR")))</f>
        <v>A INICIAR</v>
      </c>
    </row>
    <row r="3679" customFormat="false" ht="15" hidden="false" customHeight="false" outlineLevel="0" collapsed="false">
      <c r="B3679" s="4" t="n">
        <v>26743782</v>
      </c>
      <c r="C3679" s="4" t="s">
        <v>3009</v>
      </c>
      <c r="D3679" s="4" t="s">
        <v>433</v>
      </c>
      <c r="E3679" s="4" t="s">
        <v>3473</v>
      </c>
      <c r="F3679" s="127" t="n">
        <v>46896</v>
      </c>
      <c r="G3679" s="127" t="n">
        <v>46916</v>
      </c>
      <c r="H3679" s="127" t="n">
        <v>46293</v>
      </c>
      <c r="I3679" s="4" t="n">
        <v>0</v>
      </c>
      <c r="J3679" s="4" t="n">
        <v>0</v>
      </c>
      <c r="K3679" s="4" t="n">
        <v>0</v>
      </c>
      <c r="M3679" s="2" t="str">
        <f aca="false">IF(C3679="","",IFERROR(INDEX($S$5:$S$304,MATCH(C3679,$R$5:$R$304,0))&amp;"","?"))</f>
        <v>23</v>
      </c>
      <c r="N3679" s="2" t="n">
        <f aca="false">IF(E3679="","",IF(ISNUMBER(SEARCH("SUBSOLO",E3679)),IFERROR(-VALUE(LEFT(E3679,FIND("º",SUBSTITUTE(E3679,"°","º"))-1)),-1),IF(LEFT(E3679,6)="TÉRREO",0,IFERROR(VALUE(LEFT(E3679,FIND("º",SUBSTITUTE(E3679,"°","º"))-1)),""))))</f>
        <v>-5</v>
      </c>
      <c r="O3679" s="2" t="str">
        <f aca="false">IF(OR(F3679="",G3679=""),"",IF(G3679&lt;='RETRATO 2027'!$K$5,"CONCLUÍDA",IF(F3679&lt;='RETRATO 2027'!$K$5,"EM ANDAMENTO","A INICIAR")))</f>
        <v>A INICIAR</v>
      </c>
    </row>
    <row r="3680" customFormat="false" ht="15" hidden="false" customHeight="false" outlineLevel="0" collapsed="false">
      <c r="B3680" s="4" t="n">
        <v>26750566</v>
      </c>
      <c r="C3680" s="4" t="s">
        <v>208</v>
      </c>
      <c r="D3680" s="4" t="s">
        <v>433</v>
      </c>
      <c r="E3680" s="4" t="s">
        <v>3821</v>
      </c>
      <c r="F3680" s="127" t="n">
        <v>46897</v>
      </c>
      <c r="G3680" s="127" t="n">
        <v>46903</v>
      </c>
      <c r="H3680" s="127" t="n">
        <v>46293</v>
      </c>
      <c r="I3680" s="4" t="n">
        <v>0</v>
      </c>
      <c r="J3680" s="4" t="n">
        <v>0</v>
      </c>
      <c r="K3680" s="4" t="n">
        <v>0</v>
      </c>
      <c r="M3680" s="2" t="str">
        <f aca="false">IF(C3680="","",IFERROR(INDEX($S$5:$S$304,MATCH(C3680,$R$5:$R$304,0))&amp;"","?"))</f>
        <v>33</v>
      </c>
      <c r="N3680" s="2" t="n">
        <f aca="false">IF(E3680="","",IF(ISNUMBER(SEARCH("SUBSOLO",E3680)),IFERROR(-VALUE(LEFT(E3680,FIND("º",SUBSTITUTE(E3680,"°","º"))-1)),-1),IF(LEFT(E3680,6)="TÉRREO",0,IFERROR(VALUE(LEFT(E3680,FIND("º",SUBSTITUTE(E3680,"°","º"))-1)),""))))</f>
        <v>-6</v>
      </c>
      <c r="O3680" s="2" t="str">
        <f aca="false">IF(OR(F3680="",G3680=""),"",IF(G3680&lt;='RETRATO 2027'!$K$5,"CONCLUÍDA",IF(F3680&lt;='RETRATO 2027'!$K$5,"EM ANDAMENTO","A INICIAR")))</f>
        <v>A INICIAR</v>
      </c>
    </row>
    <row r="3681" customFormat="false" ht="15" hidden="false" customHeight="false" outlineLevel="0" collapsed="false">
      <c r="B3681" s="4" t="n">
        <v>26744685</v>
      </c>
      <c r="C3681" s="4" t="s">
        <v>3006</v>
      </c>
      <c r="D3681" s="4" t="s">
        <v>433</v>
      </c>
      <c r="E3681" s="4" t="s">
        <v>3810</v>
      </c>
      <c r="F3681" s="127" t="n">
        <v>46897</v>
      </c>
      <c r="G3681" s="127" t="n">
        <v>46904</v>
      </c>
      <c r="H3681" s="127" t="n">
        <v>46293</v>
      </c>
      <c r="I3681" s="4" t="n">
        <v>0</v>
      </c>
      <c r="J3681" s="4" t="n">
        <v>0</v>
      </c>
      <c r="K3681" s="4" t="n">
        <v>0</v>
      </c>
      <c r="M3681" s="2" t="str">
        <f aca="false">IF(C3681="","",IFERROR(INDEX($S$5:$S$304,MATCH(C3681,$R$5:$R$304,0))&amp;"","?"))</f>
        <v>37</v>
      </c>
      <c r="N3681" s="2" t="n">
        <f aca="false">IF(E3681="","",IF(ISNUMBER(SEARCH("SUBSOLO",E3681)),IFERROR(-VALUE(LEFT(E3681,FIND("º",SUBSTITUTE(E3681,"°","º"))-1)),-1),IF(LEFT(E3681,6)="TÉRREO",0,IFERROR(VALUE(LEFT(E3681,FIND("º",SUBSTITUTE(E3681,"°","º"))-1)),""))))</f>
        <v>3</v>
      </c>
      <c r="O3681" s="2" t="str">
        <f aca="false">IF(OR(F3681="",G3681=""),"",IF(G3681&lt;='RETRATO 2027'!$K$5,"CONCLUÍDA",IF(F3681&lt;='RETRATO 2027'!$K$5,"EM ANDAMENTO","A INICIAR")))</f>
        <v>A INICIAR</v>
      </c>
    </row>
    <row r="3682" customFormat="false" ht="15" hidden="false" customHeight="false" outlineLevel="0" collapsed="false">
      <c r="B3682" s="4" t="n">
        <v>26259469</v>
      </c>
      <c r="C3682" s="4" t="s">
        <v>3100</v>
      </c>
      <c r="D3682" s="4" t="s">
        <v>433</v>
      </c>
      <c r="E3682" s="4" t="s">
        <v>180</v>
      </c>
      <c r="F3682" s="127" t="n">
        <v>46898</v>
      </c>
      <c r="G3682" s="127" t="n">
        <v>46930</v>
      </c>
      <c r="H3682" s="127" t="n">
        <v>46293</v>
      </c>
      <c r="I3682" s="4" t="n">
        <v>0</v>
      </c>
      <c r="J3682" s="4" t="n">
        <v>0</v>
      </c>
      <c r="K3682" s="4" t="n">
        <v>0</v>
      </c>
      <c r="M3682" s="2" t="str">
        <f aca="false">IF(C3682="","",IFERROR(INDEX($S$5:$S$304,MATCH(C3682,$R$5:$R$304,0))&amp;"","?"))</f>
        <v>24</v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>A INICIAR</v>
      </c>
    </row>
    <row r="3683" customFormat="false" ht="15" hidden="false" customHeight="false" outlineLevel="0" collapsed="false">
      <c r="B3683" s="4" t="n">
        <v>26260022</v>
      </c>
      <c r="C3683" s="4" t="s">
        <v>3103</v>
      </c>
      <c r="D3683" s="4" t="s">
        <v>433</v>
      </c>
      <c r="E3683" s="4" t="s">
        <v>180</v>
      </c>
      <c r="F3683" s="127" t="n">
        <v>46898</v>
      </c>
      <c r="G3683" s="127" t="n">
        <v>46930</v>
      </c>
      <c r="H3683" s="127" t="n">
        <v>46293</v>
      </c>
      <c r="I3683" s="4" t="n">
        <v>0</v>
      </c>
      <c r="J3683" s="4" t="n">
        <v>0</v>
      </c>
      <c r="K3683" s="4" t="n">
        <v>0</v>
      </c>
      <c r="M3683" s="2" t="str">
        <f aca="false">IF(C3683="","",IFERROR(INDEX($S$5:$S$304,MATCH(C3683,$R$5:$R$304,0))&amp;"","?"))</f>
        <v>24</v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>A INICIAR</v>
      </c>
    </row>
    <row r="3684" customFormat="false" ht="15" hidden="false" customHeight="false" outlineLevel="0" collapsed="false">
      <c r="B3684" s="4" t="n">
        <v>26707584</v>
      </c>
      <c r="C3684" s="4" t="s">
        <v>3021</v>
      </c>
      <c r="D3684" s="4" t="s">
        <v>433</v>
      </c>
      <c r="E3684" s="4" t="s">
        <v>3822</v>
      </c>
      <c r="F3684" s="127" t="n">
        <v>46899</v>
      </c>
      <c r="G3684" s="127" t="n">
        <v>46920</v>
      </c>
      <c r="H3684" s="127" t="n">
        <v>46293</v>
      </c>
      <c r="I3684" s="4" t="n">
        <v>0</v>
      </c>
      <c r="J3684" s="4" t="n">
        <v>0</v>
      </c>
      <c r="K3684" s="4" t="n">
        <v>0</v>
      </c>
      <c r="M3684" s="2" t="str">
        <f aca="false">IF(C3684="","",IFERROR(INDEX($S$5:$S$304,MATCH(C3684,$R$5:$R$304,0))&amp;"","?"))</f>
        <v>35</v>
      </c>
      <c r="N3684" s="2" t="n">
        <f aca="false">IF(E3684="","",IF(ISNUMBER(SEARCH("SUBSOLO",E3684)),IFERROR(-VALUE(LEFT(E3684,FIND("º",SUBSTITUTE(E3684,"°","º"))-1)),-1),IF(LEFT(E3684,6)="TÉRREO",0,IFERROR(VALUE(LEFT(E3684,FIND("º",SUBSTITUTE(E3684,"°","º"))-1)),""))))</f>
        <v>2</v>
      </c>
      <c r="O3684" s="2" t="str">
        <f aca="false">IF(OR(F3684="",G3684=""),"",IF(G3684&lt;='RETRATO 2027'!$K$5,"CONCLUÍDA",IF(F3684&lt;='RETRATO 2027'!$K$5,"EM ANDAMENTO","A INICIAR")))</f>
        <v>A INICIAR</v>
      </c>
    </row>
    <row r="3685" customFormat="false" ht="15" hidden="false" customHeight="false" outlineLevel="0" collapsed="false">
      <c r="B3685" s="4" t="n">
        <v>26744664</v>
      </c>
      <c r="C3685" s="4" t="s">
        <v>208</v>
      </c>
      <c r="D3685" s="4" t="s">
        <v>433</v>
      </c>
      <c r="E3685" s="4" t="s">
        <v>3774</v>
      </c>
      <c r="F3685" s="127" t="n">
        <v>46902</v>
      </c>
      <c r="G3685" s="127" t="n">
        <v>46909</v>
      </c>
      <c r="H3685" s="127" t="n">
        <v>46293</v>
      </c>
      <c r="I3685" s="4" t="n">
        <v>0</v>
      </c>
      <c r="J3685" s="4" t="n">
        <v>0</v>
      </c>
      <c r="K3685" s="4" t="n">
        <v>0</v>
      </c>
      <c r="M3685" s="2" t="str">
        <f aca="false">IF(C3685="","",IFERROR(INDEX($S$5:$S$304,MATCH(C3685,$R$5:$R$304,0))&amp;"","?"))</f>
        <v>33</v>
      </c>
      <c r="N3685" s="2" t="n">
        <f aca="false">IF(E3685="","",IF(ISNUMBER(SEARCH("SUBSOLO",E3685)),IFERROR(-VALUE(LEFT(E3685,FIND("º",SUBSTITUTE(E3685,"°","º"))-1)),-1),IF(LEFT(E3685,6)="TÉRREO",0,IFERROR(VALUE(LEFT(E3685,FIND("º",SUBSTITUTE(E3685,"°","º"))-1)),""))))</f>
        <v>3</v>
      </c>
      <c r="O3685" s="2" t="str">
        <f aca="false">IF(OR(F3685="",G3685=""),"",IF(G3685&lt;='RETRATO 2027'!$K$5,"CONCLUÍDA",IF(F3685&lt;='RETRATO 2027'!$K$5,"EM ANDAMENTO","A INICIAR")))</f>
        <v>A INICIAR</v>
      </c>
    </row>
    <row r="3686" customFormat="false" ht="15" hidden="false" customHeight="false" outlineLevel="0" collapsed="false">
      <c r="B3686" s="4" t="n">
        <v>26744788</v>
      </c>
      <c r="C3686" s="4" t="s">
        <v>2971</v>
      </c>
      <c r="D3686" s="4" t="s">
        <v>433</v>
      </c>
      <c r="E3686" s="4" t="s">
        <v>3769</v>
      </c>
      <c r="F3686" s="127" t="n">
        <v>46903</v>
      </c>
      <c r="G3686" s="127" t="n">
        <v>46910</v>
      </c>
      <c r="H3686" s="127" t="n">
        <v>46293</v>
      </c>
      <c r="I3686" s="4" t="n">
        <v>0</v>
      </c>
      <c r="J3686" s="4" t="n">
        <v>0</v>
      </c>
      <c r="K3686" s="4" t="n">
        <v>0</v>
      </c>
      <c r="M3686" s="2" t="str">
        <f aca="false">IF(C3686="","",IFERROR(INDEX($S$5:$S$304,MATCH(C3686,$R$5:$R$304,0))&amp;"","?"))</f>
        <v>37</v>
      </c>
      <c r="N3686" s="2" t="n">
        <f aca="false">IF(E3686="","",IF(ISNUMBER(SEARCH("SUBSOLO",E3686)),IFERROR(-VALUE(LEFT(E3686,FIND("º",SUBSTITUTE(E3686,"°","º"))-1)),-1),IF(LEFT(E3686,6)="TÉRREO",0,IFERROR(VALUE(LEFT(E3686,FIND("º",SUBSTITUTE(E3686,"°","º"))-1)),""))))</f>
        <v>3</v>
      </c>
      <c r="O3686" s="2" t="str">
        <f aca="false">IF(OR(F3686="",G3686=""),"",IF(G3686&lt;='RETRATO 2027'!$K$5,"CONCLUÍDA",IF(F3686&lt;='RETRATO 2027'!$K$5,"EM ANDAMENTO","A INICIAR")))</f>
        <v>A INICIAR</v>
      </c>
    </row>
    <row r="3687" customFormat="false" ht="15" hidden="false" customHeight="false" outlineLevel="0" collapsed="false">
      <c r="B3687" s="4" t="n">
        <v>26744751</v>
      </c>
      <c r="C3687" s="4" t="s">
        <v>3032</v>
      </c>
      <c r="D3687" s="4" t="s">
        <v>433</v>
      </c>
      <c r="E3687" s="4" t="s">
        <v>3784</v>
      </c>
      <c r="F3687" s="127" t="n">
        <v>46903</v>
      </c>
      <c r="G3687" s="127" t="n">
        <v>46910</v>
      </c>
      <c r="H3687" s="127" t="n">
        <v>46293</v>
      </c>
      <c r="I3687" s="4" t="n">
        <v>0</v>
      </c>
      <c r="J3687" s="4" t="n">
        <v>0</v>
      </c>
      <c r="K3687" s="4" t="n">
        <v>0</v>
      </c>
      <c r="M3687" s="2" t="str">
        <f aca="false">IF(C3687="","",IFERROR(INDEX($S$5:$S$304,MATCH(C3687,$R$5:$R$304,0))&amp;"","?"))</f>
        <v>35</v>
      </c>
      <c r="N3687" s="2" t="n">
        <f aca="false">IF(E3687="","",IF(ISNUMBER(SEARCH("SUBSOLO",E3687)),IFERROR(-VALUE(LEFT(E3687,FIND("º",SUBSTITUTE(E3687,"°","º"))-1)),-1),IF(LEFT(E3687,6)="TÉRREO",0,IFERROR(VALUE(LEFT(E3687,FIND("º",SUBSTITUTE(E3687,"°","º"))-1)),""))))</f>
        <v>3</v>
      </c>
      <c r="O3687" s="2" t="str">
        <f aca="false">IF(OR(F3687="",G3687=""),"",IF(G3687&lt;='RETRATO 2027'!$K$5,"CONCLUÍDA",IF(F3687&lt;='RETRATO 2027'!$K$5,"EM ANDAMENTO","A INICIAR")))</f>
        <v>A INICIAR</v>
      </c>
    </row>
    <row r="3688" customFormat="false" ht="15" hidden="false" customHeight="false" outlineLevel="0" collapsed="false">
      <c r="B3688" s="4" t="n">
        <v>26744718</v>
      </c>
      <c r="C3688" s="4" t="s">
        <v>3093</v>
      </c>
      <c r="D3688" s="4" t="s">
        <v>433</v>
      </c>
      <c r="E3688" s="4" t="s">
        <v>3800</v>
      </c>
      <c r="F3688" s="127" t="n">
        <v>46903</v>
      </c>
      <c r="G3688" s="127" t="n">
        <v>46910</v>
      </c>
      <c r="H3688" s="127" t="n">
        <v>46293</v>
      </c>
      <c r="I3688" s="4" t="n">
        <v>0</v>
      </c>
      <c r="J3688" s="4" t="n">
        <v>0</v>
      </c>
      <c r="K3688" s="4" t="n">
        <v>0</v>
      </c>
      <c r="M3688" s="2" t="str">
        <f aca="false">IF(C3688="","",IFERROR(INDEX($S$5:$S$304,MATCH(C3688,$R$5:$R$304,0))&amp;"","?"))</f>
        <v>34</v>
      </c>
      <c r="N3688" s="2" t="n">
        <f aca="false">IF(E3688="","",IF(ISNUMBER(SEARCH("SUBSOLO",E3688)),IFERROR(-VALUE(LEFT(E3688,FIND("º",SUBSTITUTE(E3688,"°","º"))-1)),-1),IF(LEFT(E3688,6)="TÉRREO",0,IFERROR(VALUE(LEFT(E3688,FIND("º",SUBSTITUTE(E3688,"°","º"))-1)),""))))</f>
        <v>3</v>
      </c>
      <c r="O3688" s="2" t="str">
        <f aca="false">IF(OR(F3688="",G3688=""),"",IF(G3688&lt;='RETRATO 2027'!$K$5,"CONCLUÍDA",IF(F3688&lt;='RETRATO 2027'!$K$5,"EM ANDAMENTO","A INICIAR")))</f>
        <v>A INICIAR</v>
      </c>
    </row>
    <row r="3689" customFormat="false" ht="15" hidden="false" customHeight="false" outlineLevel="0" collapsed="false">
      <c r="B3689" s="4" t="n">
        <v>26744713</v>
      </c>
      <c r="C3689" s="4" t="s">
        <v>2965</v>
      </c>
      <c r="D3689" s="4" t="s">
        <v>433</v>
      </c>
      <c r="E3689" s="4" t="s">
        <v>3800</v>
      </c>
      <c r="F3689" s="127" t="n">
        <v>46903</v>
      </c>
      <c r="G3689" s="127" t="n">
        <v>46910</v>
      </c>
      <c r="H3689" s="127" t="n">
        <v>46293</v>
      </c>
      <c r="I3689" s="4" t="n">
        <v>0</v>
      </c>
      <c r="J3689" s="4" t="n">
        <v>0</v>
      </c>
      <c r="K3689" s="4" t="n">
        <v>0</v>
      </c>
      <c r="M3689" s="2" t="str">
        <f aca="false">IF(C3689="","",IFERROR(INDEX($S$5:$S$304,MATCH(C3689,$R$5:$R$304,0))&amp;"","?"))</f>
        <v>20</v>
      </c>
      <c r="N3689" s="2" t="n">
        <f aca="false">IF(E3689="","",IF(ISNUMBER(SEARCH("SUBSOLO",E3689)),IFERROR(-VALUE(LEFT(E3689,FIND("º",SUBSTITUTE(E3689,"°","º"))-1)),-1),IF(LEFT(E3689,6)="TÉRREO",0,IFERROR(VALUE(LEFT(E3689,FIND("º",SUBSTITUTE(E3689,"°","º"))-1)),""))))</f>
        <v>3</v>
      </c>
      <c r="O3689" s="2" t="str">
        <f aca="false">IF(OR(F3689="",G3689=""),"",IF(G3689&lt;='RETRATO 2027'!$K$5,"CONCLUÍDA",IF(F3689&lt;='RETRATO 2027'!$K$5,"EM ANDAMENTO","A INICIAR")))</f>
        <v>A INICIAR</v>
      </c>
    </row>
    <row r="3690" customFormat="false" ht="15" hidden="false" customHeight="false" outlineLevel="0" collapsed="false">
      <c r="B3690" s="4" t="n">
        <v>26254936</v>
      </c>
      <c r="C3690" s="4" t="s">
        <v>3066</v>
      </c>
      <c r="D3690" s="4" t="s">
        <v>433</v>
      </c>
      <c r="E3690" s="4" t="s">
        <v>3798</v>
      </c>
      <c r="F3690" s="127" t="n">
        <v>46903</v>
      </c>
      <c r="G3690" s="127" t="n">
        <v>46931</v>
      </c>
      <c r="H3690" s="127" t="n">
        <v>46293</v>
      </c>
      <c r="I3690" s="4" t="n">
        <v>0</v>
      </c>
      <c r="J3690" s="4" t="n">
        <v>0</v>
      </c>
      <c r="K3690" s="4" t="n">
        <v>0</v>
      </c>
      <c r="M3690" s="2" t="str">
        <f aca="false">IF(C3690="","",IFERROR(INDEX($S$5:$S$304,MATCH(C3690,$R$5:$R$304,0))&amp;"","?"))</f>
        <v>32</v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>A INICIAR</v>
      </c>
    </row>
    <row r="3691" customFormat="false" ht="15" hidden="false" customHeight="false" outlineLevel="0" collapsed="false">
      <c r="B3691" s="4" t="n">
        <v>26708179</v>
      </c>
      <c r="C3691" s="4" t="s">
        <v>208</v>
      </c>
      <c r="D3691" s="4" t="s">
        <v>433</v>
      </c>
      <c r="E3691" s="4" t="s">
        <v>3628</v>
      </c>
      <c r="F3691" s="127" t="n">
        <v>46904</v>
      </c>
      <c r="G3691" s="127" t="n">
        <v>46913</v>
      </c>
      <c r="H3691" s="127" t="n">
        <v>46293</v>
      </c>
      <c r="I3691" s="4" t="n">
        <v>0</v>
      </c>
      <c r="J3691" s="4" t="n">
        <v>0</v>
      </c>
      <c r="K3691" s="4" t="n">
        <v>0</v>
      </c>
      <c r="M3691" s="2" t="str">
        <f aca="false">IF(C3691="","",IFERROR(INDEX($S$5:$S$304,MATCH(C3691,$R$5:$R$304,0))&amp;"","?"))</f>
        <v>33</v>
      </c>
      <c r="N3691" s="2" t="n">
        <f aca="false">IF(E3691="","",IF(ISNUMBER(SEARCH("SUBSOLO",E3691)),IFERROR(-VALUE(LEFT(E3691,FIND("º",SUBSTITUTE(E3691,"°","º"))-1)),-1),IF(LEFT(E3691,6)="TÉRREO",0,IFERROR(VALUE(LEFT(E3691,FIND("º",SUBSTITUTE(E3691,"°","º"))-1)),""))))</f>
        <v>-6</v>
      </c>
      <c r="O3691" s="2" t="str">
        <f aca="false">IF(OR(F3691="",G3691=""),"",IF(G3691&lt;='RETRATO 2027'!$K$5,"CONCLUÍDA",IF(F3691&lt;='RETRATO 2027'!$K$5,"EM ANDAMENTO","A INICIAR")))</f>
        <v>A INICIAR</v>
      </c>
    </row>
    <row r="3692" customFormat="false" ht="15" hidden="false" customHeight="false" outlineLevel="0" collapsed="false">
      <c r="B3692" s="4" t="n">
        <v>26708150</v>
      </c>
      <c r="C3692" s="4" t="s">
        <v>2977</v>
      </c>
      <c r="D3692" s="4" t="s">
        <v>433</v>
      </c>
      <c r="E3692" s="4" t="s">
        <v>3813</v>
      </c>
      <c r="F3692" s="127" t="n">
        <v>46904</v>
      </c>
      <c r="G3692" s="127" t="n">
        <v>46913</v>
      </c>
      <c r="H3692" s="127" t="n">
        <v>46293</v>
      </c>
      <c r="I3692" s="4" t="n">
        <v>0</v>
      </c>
      <c r="J3692" s="4" t="n">
        <v>0</v>
      </c>
      <c r="K3692" s="4" t="n">
        <v>0</v>
      </c>
      <c r="M3692" s="2" t="str">
        <f aca="false">IF(C3692="","",IFERROR(INDEX($S$5:$S$304,MATCH(C3692,$R$5:$R$304,0))&amp;"","?"))</f>
        <v>30</v>
      </c>
      <c r="N3692" s="2" t="n">
        <f aca="false">IF(E3692="","",IF(ISNUMBER(SEARCH("SUBSOLO",E3692)),IFERROR(-VALUE(LEFT(E3692,FIND("º",SUBSTITUTE(E3692,"°","º"))-1)),-1),IF(LEFT(E3692,6)="TÉRREO",0,IFERROR(VALUE(LEFT(E3692,FIND("º",SUBSTITUTE(E3692,"°","º"))-1)),""))))</f>
        <v>-6</v>
      </c>
      <c r="O3692" s="2" t="str">
        <f aca="false">IF(OR(F3692="",G3692=""),"",IF(G3692&lt;='RETRATO 2027'!$K$5,"CONCLUÍDA",IF(F3692&lt;='RETRATO 2027'!$K$5,"EM ANDAMENTO","A INICIAR")))</f>
        <v>A INICIAR</v>
      </c>
    </row>
    <row r="3693" customFormat="false" ht="15" hidden="false" customHeight="false" outlineLevel="0" collapsed="false">
      <c r="B3693" s="4" t="n">
        <v>26750567</v>
      </c>
      <c r="C3693" s="4" t="s">
        <v>2948</v>
      </c>
      <c r="D3693" s="4" t="s">
        <v>433</v>
      </c>
      <c r="E3693" s="4" t="s">
        <v>3821</v>
      </c>
      <c r="F3693" s="127" t="n">
        <v>46904</v>
      </c>
      <c r="G3693" s="127" t="n">
        <v>46910</v>
      </c>
      <c r="H3693" s="127" t="n">
        <v>46293</v>
      </c>
      <c r="I3693" s="4" t="n">
        <v>0</v>
      </c>
      <c r="J3693" s="4" t="n">
        <v>0</v>
      </c>
      <c r="K3693" s="4" t="n">
        <v>0</v>
      </c>
      <c r="M3693" s="2" t="str">
        <f aca="false">IF(C3693="","",IFERROR(INDEX($S$5:$S$304,MATCH(C3693,$R$5:$R$304,0))&amp;"","?"))</f>
        <v>25</v>
      </c>
      <c r="N3693" s="2" t="n">
        <f aca="false">IF(E3693="","",IF(ISNUMBER(SEARCH("SUBSOLO",E3693)),IFERROR(-VALUE(LEFT(E3693,FIND("º",SUBSTITUTE(E3693,"°","º"))-1)),-1),IF(LEFT(E3693,6)="TÉRREO",0,IFERROR(VALUE(LEFT(E3693,FIND("º",SUBSTITUTE(E3693,"°","º"))-1)),""))))</f>
        <v>-6</v>
      </c>
      <c r="O3693" s="2" t="str">
        <f aca="false">IF(OR(F3693="",G3693=""),"",IF(G3693&lt;='RETRATO 2027'!$K$5,"CONCLUÍDA",IF(F3693&lt;='RETRATO 2027'!$K$5,"EM ANDAMENTO","A INICIAR")))</f>
        <v>A INICIAR</v>
      </c>
    </row>
    <row r="3694" customFormat="false" ht="15" hidden="false" customHeight="false" outlineLevel="0" collapsed="false">
      <c r="B3694" s="4" t="n">
        <v>26707604</v>
      </c>
      <c r="C3694" s="4" t="s">
        <v>3029</v>
      </c>
      <c r="D3694" s="4" t="s">
        <v>433</v>
      </c>
      <c r="E3694" s="4" t="s">
        <v>3815</v>
      </c>
      <c r="F3694" s="127" t="n">
        <v>46904</v>
      </c>
      <c r="G3694" s="127" t="n">
        <v>46917</v>
      </c>
      <c r="H3694" s="127" t="n">
        <v>46293</v>
      </c>
      <c r="I3694" s="4" t="n">
        <v>0</v>
      </c>
      <c r="J3694" s="4" t="n">
        <v>0</v>
      </c>
      <c r="K3694" s="4" t="n">
        <v>0</v>
      </c>
      <c r="M3694" s="2" t="str">
        <f aca="false">IF(C3694="","",IFERROR(INDEX($S$5:$S$304,MATCH(C3694,$R$5:$R$304,0))&amp;"","?"))</f>
        <v/>
      </c>
      <c r="N3694" s="2" t="n">
        <f aca="false">IF(E3694="","",IF(ISNUMBER(SEARCH("SUBSOLO",E3694)),IFERROR(-VALUE(LEFT(E3694,FIND("º",SUBSTITUTE(E3694,"°","º"))-1)),-1),IF(LEFT(E3694,6)="TÉRREO",0,IFERROR(VALUE(LEFT(E3694,FIND("º",SUBSTITUTE(E3694,"°","º"))-1)),""))))</f>
        <v>2</v>
      </c>
      <c r="O3694" s="2" t="str">
        <f aca="false">IF(OR(F3694="",G3694=""),"",IF(G3694&lt;='RETRATO 2027'!$K$5,"CONCLUÍDA",IF(F3694&lt;='RETRATO 2027'!$K$5,"EM ANDAMENTO","A INICIAR")))</f>
        <v>A INICIAR</v>
      </c>
    </row>
    <row r="3695" customFormat="false" ht="15" hidden="false" customHeight="false" outlineLevel="0" collapsed="false">
      <c r="B3695" s="4" t="n">
        <v>30433004</v>
      </c>
      <c r="C3695" s="4" t="s">
        <v>3096</v>
      </c>
      <c r="D3695" s="4" t="s">
        <v>433</v>
      </c>
      <c r="E3695" s="4" t="s">
        <v>3716</v>
      </c>
      <c r="F3695" s="127" t="n">
        <v>46904</v>
      </c>
      <c r="G3695" s="127" t="n">
        <v>46912</v>
      </c>
      <c r="H3695" s="127" t="n">
        <v>46293</v>
      </c>
      <c r="I3695" s="4" t="n">
        <v>0</v>
      </c>
      <c r="J3695" s="4" t="n">
        <v>0</v>
      </c>
      <c r="K3695" s="4" t="n">
        <v>0</v>
      </c>
      <c r="M3695" s="2" t="str">
        <f aca="false">IF(C3695="","",IFERROR(INDEX($S$5:$S$304,MATCH(C3695,$R$5:$R$304,0))&amp;"","?"))</f>
        <v/>
      </c>
      <c r="N3695" s="2" t="n">
        <f aca="false">IF(E3695="","",IF(ISNUMBER(SEARCH("SUBSOLO",E3695)),IFERROR(-VALUE(LEFT(E3695,FIND("º",SUBSTITUTE(E3695,"°","º"))-1)),-1),IF(LEFT(E3695,6)="TÉRREO",0,IFERROR(VALUE(LEFT(E3695,FIND("º",SUBSTITUTE(E3695,"°","º"))-1)),""))))</f>
        <v>9</v>
      </c>
      <c r="O3695" s="2" t="str">
        <f aca="false">IF(OR(F3695="",G3695=""),"",IF(G3695&lt;='RETRATO 2027'!$K$5,"CONCLUÍDA",IF(F3695&lt;='RETRATO 2027'!$K$5,"EM ANDAMENTO","A INICIAR")))</f>
        <v>A INICIAR</v>
      </c>
    </row>
    <row r="3696" customFormat="false" ht="15" hidden="false" customHeight="false" outlineLevel="0" collapsed="false">
      <c r="B3696" s="4" t="n">
        <v>26743411</v>
      </c>
      <c r="C3696" s="4" t="s">
        <v>3029</v>
      </c>
      <c r="D3696" s="4" t="s">
        <v>433</v>
      </c>
      <c r="E3696" s="4" t="s">
        <v>3722</v>
      </c>
      <c r="F3696" s="127" t="n">
        <v>46904</v>
      </c>
      <c r="G3696" s="127" t="n">
        <v>46912</v>
      </c>
      <c r="H3696" s="127" t="n">
        <v>46293</v>
      </c>
      <c r="I3696" s="4" t="n">
        <v>0</v>
      </c>
      <c r="J3696" s="4" t="n">
        <v>0</v>
      </c>
      <c r="K3696" s="4" t="n">
        <v>0</v>
      </c>
      <c r="M3696" s="2" t="str">
        <f aca="false">IF(C3696="","",IFERROR(INDEX($S$5:$S$304,MATCH(C3696,$R$5:$R$304,0))&amp;"","?"))</f>
        <v/>
      </c>
      <c r="N3696" s="2" t="n">
        <f aca="false">IF(E3696="","",IF(ISNUMBER(SEARCH("SUBSOLO",E3696)),IFERROR(-VALUE(LEFT(E3696,FIND("º",SUBSTITUTE(E3696,"°","º"))-1)),-1),IF(LEFT(E3696,6)="TÉRREO",0,IFERROR(VALUE(LEFT(E3696,FIND("º",SUBSTITUTE(E3696,"°","º"))-1)),""))))</f>
        <v>10</v>
      </c>
      <c r="O3696" s="2" t="str">
        <f aca="false">IF(OR(F3696="",G3696=""),"",IF(G3696&lt;='RETRATO 2027'!$K$5,"CONCLUÍDA",IF(F3696&lt;='RETRATO 2027'!$K$5,"EM ANDAMENTO","A INICIAR")))</f>
        <v>A INICIAR</v>
      </c>
    </row>
    <row r="3697" customFormat="false" ht="15" hidden="false" customHeight="false" outlineLevel="0" collapsed="false">
      <c r="B3697" s="4" t="n">
        <v>26743372</v>
      </c>
      <c r="C3697" s="4" t="s">
        <v>2971</v>
      </c>
      <c r="D3697" s="4" t="s">
        <v>433</v>
      </c>
      <c r="E3697" s="4" t="s">
        <v>3762</v>
      </c>
      <c r="F3697" s="127" t="n">
        <v>46904</v>
      </c>
      <c r="G3697" s="127" t="n">
        <v>46912</v>
      </c>
      <c r="H3697" s="127" t="n">
        <v>46293</v>
      </c>
      <c r="I3697" s="4" t="n">
        <v>0</v>
      </c>
      <c r="J3697" s="4" t="n">
        <v>0</v>
      </c>
      <c r="K3697" s="4" t="n">
        <v>0</v>
      </c>
      <c r="M3697" s="2" t="str">
        <f aca="false">IF(C3697="","",IFERROR(INDEX($S$5:$S$304,MATCH(C3697,$R$5:$R$304,0))&amp;"","?"))</f>
        <v>37</v>
      </c>
      <c r="N3697" s="2" t="n">
        <f aca="false">IF(E3697="","",IF(ISNUMBER(SEARCH("SUBSOLO",E3697)),IFERROR(-VALUE(LEFT(E3697,FIND("º",SUBSTITUTE(E3697,"°","º"))-1)),-1),IF(LEFT(E3697,6)="TÉRREO",0,IFERROR(VALUE(LEFT(E3697,FIND("º",SUBSTITUTE(E3697,"°","º"))-1)),""))))</f>
        <v>11</v>
      </c>
      <c r="O3697" s="2" t="str">
        <f aca="false">IF(OR(F3697="",G3697=""),"",IF(G3697&lt;='RETRATO 2027'!$K$5,"CONCLUÍDA",IF(F3697&lt;='RETRATO 2027'!$K$5,"EM ANDAMENTO","A INICIAR")))</f>
        <v>A INICIAR</v>
      </c>
    </row>
    <row r="3698" customFormat="false" ht="15" hidden="false" customHeight="false" outlineLevel="0" collapsed="false">
      <c r="B3698" s="4" t="n">
        <v>26743334</v>
      </c>
      <c r="C3698" s="4" t="s">
        <v>3032</v>
      </c>
      <c r="D3698" s="4" t="s">
        <v>433</v>
      </c>
      <c r="E3698" s="4" t="s">
        <v>3763</v>
      </c>
      <c r="F3698" s="127" t="n">
        <v>46904</v>
      </c>
      <c r="G3698" s="127" t="n">
        <v>46912</v>
      </c>
      <c r="H3698" s="127" t="n">
        <v>46293</v>
      </c>
      <c r="I3698" s="4" t="n">
        <v>0</v>
      </c>
      <c r="J3698" s="4" t="n">
        <v>0</v>
      </c>
      <c r="K3698" s="4" t="n">
        <v>0</v>
      </c>
      <c r="M3698" s="2" t="str">
        <f aca="false">IF(C3698="","",IFERROR(INDEX($S$5:$S$304,MATCH(C3698,$R$5:$R$304,0))&amp;"","?"))</f>
        <v>35</v>
      </c>
      <c r="N3698" s="2" t="n">
        <f aca="false">IF(E3698="","",IF(ISNUMBER(SEARCH("SUBSOLO",E3698)),IFERROR(-VALUE(LEFT(E3698,FIND("º",SUBSTITUTE(E3698,"°","º"))-1)),-1),IF(LEFT(E3698,6)="TÉRREO",0,IFERROR(VALUE(LEFT(E3698,FIND("º",SUBSTITUTE(E3698,"°","º"))-1)),""))))</f>
        <v>12</v>
      </c>
      <c r="O3698" s="2" t="str">
        <f aca="false">IF(OR(F3698="",G3698=""),"",IF(G3698&lt;='RETRATO 2027'!$K$5,"CONCLUÍDA",IF(F3698&lt;='RETRATO 2027'!$K$5,"EM ANDAMENTO","A INICIAR")))</f>
        <v>A INICIAR</v>
      </c>
    </row>
    <row r="3699" customFormat="false" ht="15" hidden="false" customHeight="false" outlineLevel="0" collapsed="false">
      <c r="B3699" s="4" t="n">
        <v>26743291</v>
      </c>
      <c r="C3699" s="4" t="s">
        <v>3093</v>
      </c>
      <c r="D3699" s="4" t="s">
        <v>433</v>
      </c>
      <c r="E3699" s="4" t="s">
        <v>3764</v>
      </c>
      <c r="F3699" s="127" t="n">
        <v>46904</v>
      </c>
      <c r="G3699" s="127" t="n">
        <v>46912</v>
      </c>
      <c r="H3699" s="127" t="n">
        <v>46293</v>
      </c>
      <c r="I3699" s="4" t="n">
        <v>0</v>
      </c>
      <c r="J3699" s="4" t="n">
        <v>0</v>
      </c>
      <c r="K3699" s="4" t="n">
        <v>0</v>
      </c>
      <c r="M3699" s="2" t="str">
        <f aca="false">IF(C3699="","",IFERROR(INDEX($S$5:$S$304,MATCH(C3699,$R$5:$R$304,0))&amp;"","?"))</f>
        <v>34</v>
      </c>
      <c r="N3699" s="2" t="n">
        <f aca="false">IF(E3699="","",IF(ISNUMBER(SEARCH("SUBSOLO",E3699)),IFERROR(-VALUE(LEFT(E3699,FIND("º",SUBSTITUTE(E3699,"°","º"))-1)),-1),IF(LEFT(E3699,6)="TÉRREO",0,IFERROR(VALUE(LEFT(E3699,FIND("º",SUBSTITUTE(E3699,"°","º"))-1)),""))))</f>
        <v>13</v>
      </c>
      <c r="O3699" s="2" t="str">
        <f aca="false">IF(OR(F3699="",G3699=""),"",IF(G3699&lt;='RETRATO 2027'!$K$5,"CONCLUÍDA",IF(F3699&lt;='RETRATO 2027'!$K$5,"EM ANDAMENTO","A INICIAR")))</f>
        <v>A INICIAR</v>
      </c>
    </row>
    <row r="3700" customFormat="false" ht="15" hidden="false" customHeight="false" outlineLevel="0" collapsed="false">
      <c r="B3700" s="4" t="n">
        <v>26743313</v>
      </c>
      <c r="C3700" s="4" t="s">
        <v>2965</v>
      </c>
      <c r="D3700" s="4" t="s">
        <v>433</v>
      </c>
      <c r="E3700" s="4" t="s">
        <v>3764</v>
      </c>
      <c r="F3700" s="127" t="n">
        <v>46904</v>
      </c>
      <c r="G3700" s="127" t="n">
        <v>46912</v>
      </c>
      <c r="H3700" s="127" t="n">
        <v>46293</v>
      </c>
      <c r="I3700" s="4" t="n">
        <v>0</v>
      </c>
      <c r="J3700" s="4" t="n">
        <v>0</v>
      </c>
      <c r="K3700" s="4" t="n">
        <v>0</v>
      </c>
      <c r="M3700" s="2" t="str">
        <f aca="false">IF(C3700="","",IFERROR(INDEX($S$5:$S$304,MATCH(C3700,$R$5:$R$304,0))&amp;"","?"))</f>
        <v>20</v>
      </c>
      <c r="N3700" s="2" t="n">
        <f aca="false">IF(E3700="","",IF(ISNUMBER(SEARCH("SUBSOLO",E3700)),IFERROR(-VALUE(LEFT(E3700,FIND("º",SUBSTITUTE(E3700,"°","º"))-1)),-1),IF(LEFT(E3700,6)="TÉRREO",0,IFERROR(VALUE(LEFT(E3700,FIND("º",SUBSTITUTE(E3700,"°","º"))-1)),""))))</f>
        <v>13</v>
      </c>
      <c r="O3700" s="2" t="str">
        <f aca="false">IF(OR(F3700="",G3700=""),"",IF(G3700&lt;='RETRATO 2027'!$K$5,"CONCLUÍDA",IF(F3700&lt;='RETRATO 2027'!$K$5,"EM ANDAMENTO","A INICIAR")))</f>
        <v>A INICIAR</v>
      </c>
    </row>
    <row r="3701" customFormat="false" ht="15" hidden="false" customHeight="false" outlineLevel="0" collapsed="false">
      <c r="B3701" s="4" t="n">
        <v>26743253</v>
      </c>
      <c r="C3701" s="4" t="s">
        <v>3021</v>
      </c>
      <c r="D3701" s="4" t="s">
        <v>433</v>
      </c>
      <c r="E3701" s="4" t="s">
        <v>3765</v>
      </c>
      <c r="F3701" s="127" t="n">
        <v>46904</v>
      </c>
      <c r="G3701" s="127" t="n">
        <v>46912</v>
      </c>
      <c r="H3701" s="127" t="n">
        <v>46293</v>
      </c>
      <c r="I3701" s="4" t="n">
        <v>0</v>
      </c>
      <c r="J3701" s="4" t="n">
        <v>0</v>
      </c>
      <c r="K3701" s="4" t="n">
        <v>0</v>
      </c>
      <c r="M3701" s="2" t="str">
        <f aca="false">IF(C3701="","",IFERROR(INDEX($S$5:$S$304,MATCH(C3701,$R$5:$R$304,0))&amp;"","?"))</f>
        <v>35</v>
      </c>
      <c r="N3701" s="2" t="n">
        <f aca="false">IF(E3701="","",IF(ISNUMBER(SEARCH("SUBSOLO",E3701)),IFERROR(-VALUE(LEFT(E3701,FIND("º",SUBSTITUTE(E3701,"°","º"))-1)),-1),IF(LEFT(E3701,6)="TÉRREO",0,IFERROR(VALUE(LEFT(E3701,FIND("º",SUBSTITUTE(E3701,"°","º"))-1)),""))))</f>
        <v>14</v>
      </c>
      <c r="O3701" s="2" t="str">
        <f aca="false">IF(OR(F3701="",G3701=""),"",IF(G3701&lt;='RETRATO 2027'!$K$5,"CONCLUÍDA",IF(F3701&lt;='RETRATO 2027'!$K$5,"EM ANDAMENTO","A INICIAR")))</f>
        <v>A INICIAR</v>
      </c>
    </row>
    <row r="3702" customFormat="false" ht="15" hidden="false" customHeight="false" outlineLevel="0" collapsed="false">
      <c r="B3702" s="4" t="n">
        <v>26743218</v>
      </c>
      <c r="C3702" s="4" t="s">
        <v>3006</v>
      </c>
      <c r="D3702" s="4" t="s">
        <v>433</v>
      </c>
      <c r="E3702" s="4" t="s">
        <v>3768</v>
      </c>
      <c r="F3702" s="127" t="n">
        <v>46904</v>
      </c>
      <c r="G3702" s="127" t="n">
        <v>46912</v>
      </c>
      <c r="H3702" s="127" t="n">
        <v>46293</v>
      </c>
      <c r="I3702" s="4" t="n">
        <v>0</v>
      </c>
      <c r="J3702" s="4" t="n">
        <v>0</v>
      </c>
      <c r="K3702" s="4" t="n">
        <v>0</v>
      </c>
      <c r="M3702" s="2" t="str">
        <f aca="false">IF(C3702="","",IFERROR(INDEX($S$5:$S$304,MATCH(C3702,$R$5:$R$304,0))&amp;"","?"))</f>
        <v>37</v>
      </c>
      <c r="N3702" s="2" t="n">
        <f aca="false">IF(E3702="","",IF(ISNUMBER(SEARCH("SUBSOLO",E3702)),IFERROR(-VALUE(LEFT(E3702,FIND("º",SUBSTITUTE(E3702,"°","º"))-1)),-1),IF(LEFT(E3702,6)="TÉRREO",0,IFERROR(VALUE(LEFT(E3702,FIND("º",SUBSTITUTE(E3702,"°","º"))-1)),""))))</f>
        <v>15</v>
      </c>
      <c r="O3702" s="2" t="str">
        <f aca="false">IF(OR(F3702="",G3702=""),"",IF(G3702&lt;='RETRATO 2027'!$K$5,"CONCLUÍDA",IF(F3702&lt;='RETRATO 2027'!$K$5,"EM ANDAMENTO","A INICIAR")))</f>
        <v>A INICIAR</v>
      </c>
    </row>
    <row r="3703" customFormat="false" ht="15" hidden="false" customHeight="false" outlineLevel="0" collapsed="false">
      <c r="B3703" s="4" t="n">
        <v>26743146</v>
      </c>
      <c r="C3703" s="4" t="s">
        <v>2962</v>
      </c>
      <c r="D3703" s="4" t="s">
        <v>433</v>
      </c>
      <c r="E3703" s="4" t="s">
        <v>3773</v>
      </c>
      <c r="F3703" s="127" t="n">
        <v>46904</v>
      </c>
      <c r="G3703" s="127" t="n">
        <v>46912</v>
      </c>
      <c r="H3703" s="127" t="n">
        <v>46293</v>
      </c>
      <c r="I3703" s="4" t="n">
        <v>0</v>
      </c>
      <c r="J3703" s="4" t="n">
        <v>0</v>
      </c>
      <c r="K3703" s="4" t="n">
        <v>0</v>
      </c>
      <c r="M3703" s="2" t="str">
        <f aca="false">IF(C3703="","",IFERROR(INDEX($S$5:$S$304,MATCH(C3703,$R$5:$R$304,0))&amp;"","?"))</f>
        <v>34</v>
      </c>
      <c r="N3703" s="2" t="n">
        <f aca="false">IF(E3703="","",IF(ISNUMBER(SEARCH("SUBSOLO",E3703)),IFERROR(-VALUE(LEFT(E3703,FIND("º",SUBSTITUTE(E3703,"°","º"))-1)),-1),IF(LEFT(E3703,6)="TÉRREO",0,IFERROR(VALUE(LEFT(E3703,FIND("º",SUBSTITUTE(E3703,"°","º"))-1)),""))))</f>
        <v>17</v>
      </c>
      <c r="O3703" s="2" t="str">
        <f aca="false">IF(OR(F3703="",G3703=""),"",IF(G3703&lt;='RETRATO 2027'!$K$5,"CONCLUÍDA",IF(F3703&lt;='RETRATO 2027'!$K$5,"EM ANDAMENTO","A INICIAR")))</f>
        <v>A INICIAR</v>
      </c>
    </row>
    <row r="3704" customFormat="false" ht="15" hidden="false" customHeight="false" outlineLevel="0" collapsed="false">
      <c r="B3704" s="4" t="n">
        <v>26743151</v>
      </c>
      <c r="C3704" s="4" t="s">
        <v>3088</v>
      </c>
      <c r="D3704" s="4" t="s">
        <v>433</v>
      </c>
      <c r="E3704" s="4" t="s">
        <v>3773</v>
      </c>
      <c r="F3704" s="127" t="n">
        <v>46904</v>
      </c>
      <c r="G3704" s="127" t="n">
        <v>46912</v>
      </c>
      <c r="H3704" s="127" t="n">
        <v>46293</v>
      </c>
      <c r="I3704" s="4" t="n">
        <v>0</v>
      </c>
      <c r="J3704" s="4" t="n">
        <v>0</v>
      </c>
      <c r="K3704" s="4" t="n">
        <v>0</v>
      </c>
      <c r="M3704" s="2" t="str">
        <f aca="false">IF(C3704="","",IFERROR(INDEX($S$5:$S$304,MATCH(C3704,$R$5:$R$304,0))&amp;"","?"))</f>
        <v>20</v>
      </c>
      <c r="N3704" s="2" t="n">
        <f aca="false">IF(E3704="","",IF(ISNUMBER(SEARCH("SUBSOLO",E3704)),IFERROR(-VALUE(LEFT(E3704,FIND("º",SUBSTITUTE(E3704,"°","º"))-1)),-1),IF(LEFT(E3704,6)="TÉRREO",0,IFERROR(VALUE(LEFT(E3704,FIND("º",SUBSTITUTE(E3704,"°","º"))-1)),""))))</f>
        <v>17</v>
      </c>
      <c r="O3704" s="2" t="str">
        <f aca="false">IF(OR(F3704="",G3704=""),"",IF(G3704&lt;='RETRATO 2027'!$K$5,"CONCLUÍDA",IF(F3704&lt;='RETRATO 2027'!$K$5,"EM ANDAMENTO","A INICIAR")))</f>
        <v>A INICIAR</v>
      </c>
    </row>
    <row r="3705" customFormat="false" ht="15" hidden="false" customHeight="false" outlineLevel="0" collapsed="false">
      <c r="B3705" s="4" t="n">
        <v>26743170</v>
      </c>
      <c r="C3705" s="4" t="s">
        <v>3009</v>
      </c>
      <c r="D3705" s="4" t="s">
        <v>433</v>
      </c>
      <c r="E3705" s="4" t="s">
        <v>3773</v>
      </c>
      <c r="F3705" s="127" t="n">
        <v>46904</v>
      </c>
      <c r="G3705" s="127" t="n">
        <v>46912</v>
      </c>
      <c r="H3705" s="127" t="n">
        <v>46293</v>
      </c>
      <c r="I3705" s="4" t="n">
        <v>0</v>
      </c>
      <c r="J3705" s="4" t="n">
        <v>0</v>
      </c>
      <c r="K3705" s="4" t="n">
        <v>0</v>
      </c>
      <c r="M3705" s="2" t="str">
        <f aca="false">IF(C3705="","",IFERROR(INDEX($S$5:$S$304,MATCH(C3705,$R$5:$R$304,0))&amp;"","?"))</f>
        <v>23</v>
      </c>
      <c r="N3705" s="2" t="n">
        <f aca="false">IF(E3705="","",IF(ISNUMBER(SEARCH("SUBSOLO",E3705)),IFERROR(-VALUE(LEFT(E3705,FIND("º",SUBSTITUTE(E3705,"°","º"))-1)),-1),IF(LEFT(E3705,6)="TÉRREO",0,IFERROR(VALUE(LEFT(E3705,FIND("º",SUBSTITUTE(E3705,"°","º"))-1)),""))))</f>
        <v>17</v>
      </c>
      <c r="O3705" s="2" t="str">
        <f aca="false">IF(OR(F3705="",G3705=""),"",IF(G3705&lt;='RETRATO 2027'!$K$5,"CONCLUÍDA",IF(F3705&lt;='RETRATO 2027'!$K$5,"EM ANDAMENTO","A INICIAR")))</f>
        <v>A INICIAR</v>
      </c>
    </row>
    <row r="3706" customFormat="false" ht="15" hidden="false" customHeight="false" outlineLevel="0" collapsed="false">
      <c r="B3706" s="4" t="n">
        <v>26743108</v>
      </c>
      <c r="C3706" s="4" t="s">
        <v>3082</v>
      </c>
      <c r="D3706" s="4" t="s">
        <v>433</v>
      </c>
      <c r="E3706" s="4" t="s">
        <v>3776</v>
      </c>
      <c r="F3706" s="127" t="n">
        <v>46904</v>
      </c>
      <c r="G3706" s="127" t="n">
        <v>46912</v>
      </c>
      <c r="H3706" s="127" t="n">
        <v>46293</v>
      </c>
      <c r="I3706" s="4" t="n">
        <v>0</v>
      </c>
      <c r="J3706" s="4" t="n">
        <v>0</v>
      </c>
      <c r="K3706" s="4" t="n">
        <v>0</v>
      </c>
      <c r="M3706" s="2" t="str">
        <f aca="false">IF(C3706="","",IFERROR(INDEX($S$5:$S$304,MATCH(C3706,$R$5:$R$304,0))&amp;"","?"))</f>
        <v>30</v>
      </c>
      <c r="N3706" s="2" t="n">
        <f aca="false">IF(E3706="","",IF(ISNUMBER(SEARCH("SUBSOLO",E3706)),IFERROR(-VALUE(LEFT(E3706,FIND("º",SUBSTITUTE(E3706,"°","º"))-1)),-1),IF(LEFT(E3706,6)="TÉRREO",0,IFERROR(VALUE(LEFT(E3706,FIND("º",SUBSTITUTE(E3706,"°","º"))-1)),""))))</f>
        <v>18</v>
      </c>
      <c r="O3706" s="2" t="str">
        <f aca="false">IF(OR(F3706="",G3706=""),"",IF(G3706&lt;='RETRATO 2027'!$K$5,"CONCLUÍDA",IF(F3706&lt;='RETRATO 2027'!$K$5,"EM ANDAMENTO","A INICIAR")))</f>
        <v>A INICIAR</v>
      </c>
    </row>
    <row r="3707" customFormat="false" ht="15" hidden="false" customHeight="false" outlineLevel="0" collapsed="false">
      <c r="B3707" s="4" t="n">
        <v>26743101</v>
      </c>
      <c r="C3707" s="4" t="s">
        <v>3079</v>
      </c>
      <c r="D3707" s="4" t="s">
        <v>433</v>
      </c>
      <c r="E3707" s="4" t="s">
        <v>3779</v>
      </c>
      <c r="F3707" s="127" t="n">
        <v>46904</v>
      </c>
      <c r="G3707" s="127" t="n">
        <v>46912</v>
      </c>
      <c r="H3707" s="127" t="n">
        <v>46293</v>
      </c>
      <c r="I3707" s="4" t="n">
        <v>0</v>
      </c>
      <c r="J3707" s="4" t="n">
        <v>0</v>
      </c>
      <c r="K3707" s="4" t="n">
        <v>0</v>
      </c>
      <c r="M3707" s="2" t="str">
        <f aca="false">IF(C3707="","",IFERROR(INDEX($S$5:$S$304,MATCH(C3707,$R$5:$R$304,0))&amp;"","?"))</f>
        <v>25</v>
      </c>
      <c r="N3707" s="2" t="n">
        <f aca="false">IF(E3707="","",IF(ISNUMBER(SEARCH("SUBSOLO",E3707)),IFERROR(-VALUE(LEFT(E3707,FIND("º",SUBSTITUTE(E3707,"°","º"))-1)),-1),IF(LEFT(E3707,6)="TÉRREO",0,IFERROR(VALUE(LEFT(E3707,FIND("º",SUBSTITUTE(E3707,"°","º"))-1)),""))))</f>
        <v>19</v>
      </c>
      <c r="O3707" s="2" t="str">
        <f aca="false">IF(OR(F3707="",G3707=""),"",IF(G3707&lt;='RETRATO 2027'!$K$5,"CONCLUÍDA",IF(F3707&lt;='RETRATO 2027'!$K$5,"EM ANDAMENTO","A INICIAR")))</f>
        <v>A INICIAR</v>
      </c>
    </row>
    <row r="3708" customFormat="false" ht="15" hidden="false" customHeight="false" outlineLevel="0" collapsed="false">
      <c r="B3708" s="4" t="n">
        <v>26743062</v>
      </c>
      <c r="C3708" s="4" t="s">
        <v>3073</v>
      </c>
      <c r="D3708" s="4" t="s">
        <v>433</v>
      </c>
      <c r="E3708" s="4" t="s">
        <v>3781</v>
      </c>
      <c r="F3708" s="127" t="n">
        <v>46904</v>
      </c>
      <c r="G3708" s="127" t="n">
        <v>46912</v>
      </c>
      <c r="H3708" s="127" t="n">
        <v>46293</v>
      </c>
      <c r="I3708" s="4" t="n">
        <v>0</v>
      </c>
      <c r="J3708" s="4" t="n">
        <v>0</v>
      </c>
      <c r="K3708" s="4" t="n">
        <v>0</v>
      </c>
      <c r="M3708" s="2" t="str">
        <f aca="false">IF(C3708="","",IFERROR(INDEX($S$5:$S$304,MATCH(C3708,$R$5:$R$304,0))&amp;"","?"))</f>
        <v>30</v>
      </c>
      <c r="N3708" s="2" t="n">
        <f aca="false">IF(E3708="","",IF(ISNUMBER(SEARCH("SUBSOLO",E3708)),IFERROR(-VALUE(LEFT(E3708,FIND("º",SUBSTITUTE(E3708,"°","º"))-1)),-1),IF(LEFT(E3708,6)="TÉRREO",0,IFERROR(VALUE(LEFT(E3708,FIND("º",SUBSTITUTE(E3708,"°","º"))-1)),""))))</f>
        <v>20</v>
      </c>
      <c r="O3708" s="2" t="str">
        <f aca="false">IF(OR(F3708="",G3708=""),"",IF(G3708&lt;='RETRATO 2027'!$K$5,"CONCLUÍDA",IF(F3708&lt;='RETRATO 2027'!$K$5,"EM ANDAMENTO","A INICIAR")))</f>
        <v>A INICIAR</v>
      </c>
    </row>
    <row r="3709" customFormat="false" ht="15" hidden="false" customHeight="false" outlineLevel="0" collapsed="false">
      <c r="B3709" s="4" t="n">
        <v>26743024</v>
      </c>
      <c r="C3709" s="4" t="s">
        <v>3055</v>
      </c>
      <c r="D3709" s="4" t="s">
        <v>433</v>
      </c>
      <c r="E3709" s="4" t="s">
        <v>3783</v>
      </c>
      <c r="F3709" s="127" t="n">
        <v>46904</v>
      </c>
      <c r="G3709" s="127" t="n">
        <v>46912</v>
      </c>
      <c r="H3709" s="127" t="n">
        <v>46293</v>
      </c>
      <c r="I3709" s="4" t="n">
        <v>0</v>
      </c>
      <c r="J3709" s="4" t="n">
        <v>0</v>
      </c>
      <c r="K3709" s="4" t="n">
        <v>0</v>
      </c>
      <c r="M3709" s="2" t="str">
        <f aca="false">IF(C3709="","",IFERROR(INDEX($S$5:$S$304,MATCH(C3709,$R$5:$R$304,0))&amp;"","?"))</f>
        <v>25</v>
      </c>
      <c r="N3709" s="2" t="n">
        <f aca="false">IF(E3709="","",IF(ISNUMBER(SEARCH("SUBSOLO",E3709)),IFERROR(-VALUE(LEFT(E3709,FIND("º",SUBSTITUTE(E3709,"°","º"))-1)),-1),IF(LEFT(E3709,6)="TÉRREO",0,IFERROR(VALUE(LEFT(E3709,FIND("º",SUBSTITUTE(E3709,"°","º"))-1)),""))))</f>
        <v>21</v>
      </c>
      <c r="O3709" s="2" t="str">
        <f aca="false">IF(OR(F3709="",G3709=""),"",IF(G3709&lt;='RETRATO 2027'!$K$5,"CONCLUÍDA",IF(F3709&lt;='RETRATO 2027'!$K$5,"EM ANDAMENTO","A INICIAR")))</f>
        <v>A INICIAR</v>
      </c>
    </row>
    <row r="3710" customFormat="false" ht="15" hidden="false" customHeight="false" outlineLevel="0" collapsed="false">
      <c r="B3710" s="4" t="n">
        <v>26745194</v>
      </c>
      <c r="C3710" s="4" t="s">
        <v>3032</v>
      </c>
      <c r="D3710" s="4" t="s">
        <v>433</v>
      </c>
      <c r="E3710" s="4" t="s">
        <v>3657</v>
      </c>
      <c r="F3710" s="127" t="n">
        <v>46905</v>
      </c>
      <c r="G3710" s="127" t="n">
        <v>46916</v>
      </c>
      <c r="H3710" s="127" t="n">
        <v>46293</v>
      </c>
      <c r="I3710" s="4" t="n">
        <v>0</v>
      </c>
      <c r="J3710" s="4" t="n">
        <v>0</v>
      </c>
      <c r="K3710" s="4" t="n">
        <v>0</v>
      </c>
      <c r="M3710" s="2" t="str">
        <f aca="false">IF(C3710="","",IFERROR(INDEX($S$5:$S$304,MATCH(C3710,$R$5:$R$304,0))&amp;"","?"))</f>
        <v>35</v>
      </c>
      <c r="N3710" s="2" t="n">
        <f aca="false">IF(E3710="","",IF(ISNUMBER(SEARCH("SUBSOLO",E3710)),IFERROR(-VALUE(LEFT(E3710,FIND("º",SUBSTITUTE(E3710,"°","º"))-1)),-1),IF(LEFT(E3710,6)="TÉRREO",0,IFERROR(VALUE(LEFT(E3710,FIND("º",SUBSTITUTE(E3710,"°","º"))-1)),""))))</f>
        <v>-5</v>
      </c>
      <c r="O3710" s="2" t="str">
        <f aca="false">IF(OR(F3710="",G3710=""),"",IF(G3710&lt;='RETRATO 2027'!$K$5,"CONCLUÍDA",IF(F3710&lt;='RETRATO 2027'!$K$5,"EM ANDAMENTO","A INICIAR")))</f>
        <v>A INICIAR</v>
      </c>
    </row>
    <row r="3711" customFormat="false" ht="15" hidden="false" customHeight="false" outlineLevel="0" collapsed="false">
      <c r="B3711" s="4" t="n">
        <v>26744680</v>
      </c>
      <c r="C3711" s="4" t="s">
        <v>3021</v>
      </c>
      <c r="D3711" s="4" t="s">
        <v>433</v>
      </c>
      <c r="E3711" s="4" t="s">
        <v>3810</v>
      </c>
      <c r="F3711" s="127" t="n">
        <v>46905</v>
      </c>
      <c r="G3711" s="127" t="n">
        <v>46912</v>
      </c>
      <c r="H3711" s="127" t="n">
        <v>46293</v>
      </c>
      <c r="I3711" s="4" t="n">
        <v>0</v>
      </c>
      <c r="J3711" s="4" t="n">
        <v>0</v>
      </c>
      <c r="K3711" s="4" t="n">
        <v>0</v>
      </c>
      <c r="M3711" s="2" t="str">
        <f aca="false">IF(C3711="","",IFERROR(INDEX($S$5:$S$304,MATCH(C3711,$R$5:$R$304,0))&amp;"","?"))</f>
        <v>35</v>
      </c>
      <c r="N3711" s="2" t="n">
        <f aca="false">IF(E3711="","",IF(ISNUMBER(SEARCH("SUBSOLO",E3711)),IFERROR(-VALUE(LEFT(E3711,FIND("º",SUBSTITUTE(E3711,"°","º"))-1)),-1),IF(LEFT(E3711,6)="TÉRREO",0,IFERROR(VALUE(LEFT(E3711,FIND("º",SUBSTITUTE(E3711,"°","º"))-1)),""))))</f>
        <v>3</v>
      </c>
      <c r="O3711" s="2" t="str">
        <f aca="false">IF(OR(F3711="",G3711=""),"",IF(G3711&lt;='RETRATO 2027'!$K$5,"CONCLUÍDA",IF(F3711&lt;='RETRATO 2027'!$K$5,"EM ANDAMENTO","A INICIAR")))</f>
        <v>A INICIAR</v>
      </c>
    </row>
    <row r="3712" customFormat="false" ht="15" hidden="false" customHeight="false" outlineLevel="0" collapsed="false">
      <c r="B3712" s="4" t="n">
        <v>26744665</v>
      </c>
      <c r="C3712" s="4" t="s">
        <v>2980</v>
      </c>
      <c r="D3712" s="4" t="s">
        <v>433</v>
      </c>
      <c r="E3712" s="4" t="s">
        <v>3774</v>
      </c>
      <c r="F3712" s="127" t="n">
        <v>46910</v>
      </c>
      <c r="G3712" s="127" t="n">
        <v>46917</v>
      </c>
      <c r="H3712" s="127" t="n">
        <v>46293</v>
      </c>
      <c r="I3712" s="4" t="n">
        <v>0</v>
      </c>
      <c r="J3712" s="4" t="n">
        <v>0</v>
      </c>
      <c r="K3712" s="4" t="n">
        <v>0</v>
      </c>
      <c r="M3712" s="2" t="str">
        <f aca="false">IF(C3712="","",IFERROR(INDEX($S$5:$S$304,MATCH(C3712,$R$5:$R$304,0))&amp;"","?"))</f>
        <v>35</v>
      </c>
      <c r="N3712" s="2" t="n">
        <f aca="false">IF(E3712="","",IF(ISNUMBER(SEARCH("SUBSOLO",E3712)),IFERROR(-VALUE(LEFT(E3712,FIND("º",SUBSTITUTE(E3712,"°","º"))-1)),-1),IF(LEFT(E3712,6)="TÉRREO",0,IFERROR(VALUE(LEFT(E3712,FIND("º",SUBSTITUTE(E3712,"°","º"))-1)),""))))</f>
        <v>3</v>
      </c>
      <c r="O3712" s="2" t="str">
        <f aca="false">IF(OR(F3712="",G3712=""),"",IF(G3712&lt;='RETRATO 2027'!$K$5,"CONCLUÍDA",IF(F3712&lt;='RETRATO 2027'!$K$5,"EM ANDAMENTO","A INICIAR")))</f>
        <v>A INICIAR</v>
      </c>
    </row>
    <row r="3713" customFormat="false" ht="15" hidden="false" customHeight="false" outlineLevel="0" collapsed="false">
      <c r="B3713" s="4" t="n">
        <v>26750571</v>
      </c>
      <c r="C3713" s="4" t="s">
        <v>2951</v>
      </c>
      <c r="D3713" s="4" t="s">
        <v>433</v>
      </c>
      <c r="E3713" s="4" t="s">
        <v>3821</v>
      </c>
      <c r="F3713" s="127" t="n">
        <v>46911</v>
      </c>
      <c r="G3713" s="127" t="n">
        <v>46917</v>
      </c>
      <c r="H3713" s="127" t="n">
        <v>46293</v>
      </c>
      <c r="I3713" s="4" t="n">
        <v>0</v>
      </c>
      <c r="J3713" s="4" t="n">
        <v>0</v>
      </c>
      <c r="K3713" s="4" t="n">
        <v>0</v>
      </c>
      <c r="M3713" s="2" t="str">
        <f aca="false">IF(C3713="","",IFERROR(INDEX($S$5:$S$304,MATCH(C3713,$R$5:$R$304,0))&amp;"","?"))</f>
        <v>32</v>
      </c>
      <c r="N3713" s="2" t="n">
        <f aca="false">IF(E3713="","",IF(ISNUMBER(SEARCH("SUBSOLO",E3713)),IFERROR(-VALUE(LEFT(E3713,FIND("º",SUBSTITUTE(E3713,"°","º"))-1)),-1),IF(LEFT(E3713,6)="TÉRREO",0,IFERROR(VALUE(LEFT(E3713,FIND("º",SUBSTITUTE(E3713,"°","º"))-1)),""))))</f>
        <v>-6</v>
      </c>
      <c r="O3713" s="2" t="str">
        <f aca="false">IF(OR(F3713="",G3713=""),"",IF(G3713&lt;='RETRATO 2027'!$K$5,"CONCLUÍDA",IF(F3713&lt;='RETRATO 2027'!$K$5,"EM ANDAMENTO","A INICIAR")))</f>
        <v>A INICIAR</v>
      </c>
    </row>
    <row r="3714" customFormat="false" ht="15" hidden="false" customHeight="false" outlineLevel="0" collapsed="false">
      <c r="B3714" s="4" t="n">
        <v>26744807</v>
      </c>
      <c r="C3714" s="4" t="s">
        <v>3029</v>
      </c>
      <c r="D3714" s="4" t="s">
        <v>433</v>
      </c>
      <c r="E3714" s="4" t="s">
        <v>3769</v>
      </c>
      <c r="F3714" s="127" t="n">
        <v>46911</v>
      </c>
      <c r="G3714" s="127" t="n">
        <v>46918</v>
      </c>
      <c r="H3714" s="127" t="n">
        <v>46293</v>
      </c>
      <c r="I3714" s="4" t="n">
        <v>0</v>
      </c>
      <c r="J3714" s="4" t="n">
        <v>0</v>
      </c>
      <c r="K3714" s="4" t="n">
        <v>0</v>
      </c>
      <c r="M3714" s="2" t="str">
        <f aca="false">IF(C3714="","",IFERROR(INDEX($S$5:$S$304,MATCH(C3714,$R$5:$R$304,0))&amp;"","?"))</f>
        <v/>
      </c>
      <c r="N3714" s="2" t="n">
        <f aca="false">IF(E3714="","",IF(ISNUMBER(SEARCH("SUBSOLO",E3714)),IFERROR(-VALUE(LEFT(E3714,FIND("º",SUBSTITUTE(E3714,"°","º"))-1)),-1),IF(LEFT(E3714,6)="TÉRREO",0,IFERROR(VALUE(LEFT(E3714,FIND("º",SUBSTITUTE(E3714,"°","º"))-1)),""))))</f>
        <v>3</v>
      </c>
      <c r="O3714" s="2" t="str">
        <f aca="false">IF(OR(F3714="",G3714=""),"",IF(G3714&lt;='RETRATO 2027'!$K$5,"CONCLUÍDA",IF(F3714&lt;='RETRATO 2027'!$K$5,"EM ANDAMENTO","A INICIAR")))</f>
        <v>A INICIAR</v>
      </c>
    </row>
    <row r="3715" customFormat="false" ht="15" hidden="false" customHeight="false" outlineLevel="0" collapsed="false">
      <c r="B3715" s="4" t="n">
        <v>26744756</v>
      </c>
      <c r="C3715" s="4" t="s">
        <v>2971</v>
      </c>
      <c r="D3715" s="4" t="s">
        <v>433</v>
      </c>
      <c r="E3715" s="4" t="s">
        <v>3784</v>
      </c>
      <c r="F3715" s="127" t="n">
        <v>46911</v>
      </c>
      <c r="G3715" s="127" t="n">
        <v>46918</v>
      </c>
      <c r="H3715" s="127" t="n">
        <v>46293</v>
      </c>
      <c r="I3715" s="4" t="n">
        <v>0</v>
      </c>
      <c r="J3715" s="4" t="n">
        <v>0</v>
      </c>
      <c r="K3715" s="4" t="n">
        <v>0</v>
      </c>
      <c r="M3715" s="2" t="str">
        <f aca="false">IF(C3715="","",IFERROR(INDEX($S$5:$S$304,MATCH(C3715,$R$5:$R$304,0))&amp;"","?"))</f>
        <v>37</v>
      </c>
      <c r="N3715" s="2" t="n">
        <f aca="false">IF(E3715="","",IF(ISNUMBER(SEARCH("SUBSOLO",E3715)),IFERROR(-VALUE(LEFT(E3715,FIND("º",SUBSTITUTE(E3715,"°","º"))-1)),-1),IF(LEFT(E3715,6)="TÉRREO",0,IFERROR(VALUE(LEFT(E3715,FIND("º",SUBSTITUTE(E3715,"°","º"))-1)),""))))</f>
        <v>3</v>
      </c>
      <c r="O3715" s="2" t="str">
        <f aca="false">IF(OR(F3715="",G3715=""),"",IF(G3715&lt;='RETRATO 2027'!$K$5,"CONCLUÍDA",IF(F3715&lt;='RETRATO 2027'!$K$5,"EM ANDAMENTO","A INICIAR")))</f>
        <v>A INICIAR</v>
      </c>
    </row>
    <row r="3716" customFormat="false" ht="15" hidden="false" customHeight="false" outlineLevel="0" collapsed="false">
      <c r="B3716" s="4" t="n">
        <v>26744719</v>
      </c>
      <c r="C3716" s="4" t="s">
        <v>3032</v>
      </c>
      <c r="D3716" s="4" t="s">
        <v>433</v>
      </c>
      <c r="E3716" s="4" t="s">
        <v>3800</v>
      </c>
      <c r="F3716" s="127" t="n">
        <v>46911</v>
      </c>
      <c r="G3716" s="127" t="n">
        <v>46918</v>
      </c>
      <c r="H3716" s="127" t="n">
        <v>46293</v>
      </c>
      <c r="I3716" s="4" t="n">
        <v>0</v>
      </c>
      <c r="J3716" s="4" t="n">
        <v>0</v>
      </c>
      <c r="K3716" s="4" t="n">
        <v>0</v>
      </c>
      <c r="M3716" s="2" t="str">
        <f aca="false">IF(C3716="","",IFERROR(INDEX($S$5:$S$304,MATCH(C3716,$R$5:$R$304,0))&amp;"","?"))</f>
        <v>35</v>
      </c>
      <c r="N3716" s="2" t="n">
        <f aca="false">IF(E3716="","",IF(ISNUMBER(SEARCH("SUBSOLO",E3716)),IFERROR(-VALUE(LEFT(E3716,FIND("º",SUBSTITUTE(E3716,"°","º"))-1)),-1),IF(LEFT(E3716,6)="TÉRREO",0,IFERROR(VALUE(LEFT(E3716,FIND("º",SUBSTITUTE(E3716,"°","º"))-1)),""))))</f>
        <v>3</v>
      </c>
      <c r="O3716" s="2" t="str">
        <f aca="false">IF(OR(F3716="",G3716=""),"",IF(G3716&lt;='RETRATO 2027'!$K$5,"CONCLUÍDA",IF(F3716&lt;='RETRATO 2027'!$K$5,"EM ANDAMENTO","A INICIAR")))</f>
        <v>A INICIAR</v>
      </c>
    </row>
    <row r="3717" customFormat="false" ht="15" hidden="false" customHeight="false" outlineLevel="0" collapsed="false">
      <c r="B3717" s="4" t="n">
        <v>26743769</v>
      </c>
      <c r="C3717" s="4" t="s">
        <v>3029</v>
      </c>
      <c r="D3717" s="4" t="s">
        <v>433</v>
      </c>
      <c r="E3717" s="4" t="s">
        <v>3374</v>
      </c>
      <c r="F3717" s="127" t="n">
        <v>46913</v>
      </c>
      <c r="G3717" s="127" t="n">
        <v>46934</v>
      </c>
      <c r="H3717" s="127" t="n">
        <v>46293</v>
      </c>
      <c r="I3717" s="4" t="n">
        <v>0</v>
      </c>
      <c r="J3717" s="4" t="n">
        <v>0</v>
      </c>
      <c r="K3717" s="4" t="n">
        <v>0</v>
      </c>
      <c r="M3717" s="2" t="str">
        <f aca="false">IF(C3717="","",IFERROR(INDEX($S$5:$S$304,MATCH(C3717,$R$5:$R$304,0))&amp;"","?"))</f>
        <v/>
      </c>
      <c r="N3717" s="2" t="n">
        <f aca="false">IF(E3717="","",IF(ISNUMBER(SEARCH("SUBSOLO",E3717)),IFERROR(-VALUE(LEFT(E3717,FIND("º",SUBSTITUTE(E3717,"°","º"))-1)),-1),IF(LEFT(E3717,6)="TÉRREO",0,IFERROR(VALUE(LEFT(E3717,FIND("º",SUBSTITUTE(E3717,"°","º"))-1)),""))))</f>
        <v>-4</v>
      </c>
      <c r="O3717" s="2" t="str">
        <f aca="false">IF(OR(F3717="",G3717=""),"",IF(G3717&lt;='RETRATO 2027'!$K$5,"CONCLUÍDA",IF(F3717&lt;='RETRATO 2027'!$K$5,"EM ANDAMENTO","A INICIAR")))</f>
        <v>A INICIAR</v>
      </c>
    </row>
    <row r="3718" customFormat="false" ht="15" hidden="false" customHeight="false" outlineLevel="0" collapsed="false">
      <c r="B3718" s="4" t="n">
        <v>26744686</v>
      </c>
      <c r="C3718" s="4" t="s">
        <v>3093</v>
      </c>
      <c r="D3718" s="4" t="s">
        <v>433</v>
      </c>
      <c r="E3718" s="4" t="s">
        <v>3810</v>
      </c>
      <c r="F3718" s="127" t="n">
        <v>46913</v>
      </c>
      <c r="G3718" s="127" t="n">
        <v>46923</v>
      </c>
      <c r="H3718" s="127" t="n">
        <v>46293</v>
      </c>
      <c r="I3718" s="4" t="n">
        <v>0</v>
      </c>
      <c r="J3718" s="4" t="n">
        <v>0</v>
      </c>
      <c r="K3718" s="4" t="n">
        <v>0</v>
      </c>
      <c r="M3718" s="2" t="str">
        <f aca="false">IF(C3718="","",IFERROR(INDEX($S$5:$S$304,MATCH(C3718,$R$5:$R$304,0))&amp;"","?"))</f>
        <v>34</v>
      </c>
      <c r="N3718" s="2" t="n">
        <f aca="false">IF(E3718="","",IF(ISNUMBER(SEARCH("SUBSOLO",E3718)),IFERROR(-VALUE(LEFT(E3718,FIND("º",SUBSTITUTE(E3718,"°","º"))-1)),-1),IF(LEFT(E3718,6)="TÉRREO",0,IFERROR(VALUE(LEFT(E3718,FIND("º",SUBSTITUTE(E3718,"°","º"))-1)),""))))</f>
        <v>3</v>
      </c>
      <c r="O3718" s="2" t="str">
        <f aca="false">IF(OR(F3718="",G3718=""),"",IF(G3718&lt;='RETRATO 2027'!$K$5,"CONCLUÍDA",IF(F3718&lt;='RETRATO 2027'!$K$5,"EM ANDAMENTO","A INICIAR")))</f>
        <v>A INICIAR</v>
      </c>
    </row>
    <row r="3719" customFormat="false" ht="15" hidden="false" customHeight="false" outlineLevel="0" collapsed="false">
      <c r="B3719" s="4" t="n">
        <v>26744681</v>
      </c>
      <c r="C3719" s="4" t="s">
        <v>2965</v>
      </c>
      <c r="D3719" s="4" t="s">
        <v>433</v>
      </c>
      <c r="E3719" s="4" t="s">
        <v>3810</v>
      </c>
      <c r="F3719" s="127" t="n">
        <v>46913</v>
      </c>
      <c r="G3719" s="127" t="n">
        <v>46923</v>
      </c>
      <c r="H3719" s="127" t="n">
        <v>46293</v>
      </c>
      <c r="I3719" s="4" t="n">
        <v>0</v>
      </c>
      <c r="J3719" s="4" t="n">
        <v>0</v>
      </c>
      <c r="K3719" s="4" t="n">
        <v>0</v>
      </c>
      <c r="M3719" s="2" t="str">
        <f aca="false">IF(C3719="","",IFERROR(INDEX($S$5:$S$304,MATCH(C3719,$R$5:$R$304,0))&amp;"","?"))</f>
        <v>20</v>
      </c>
      <c r="N3719" s="2" t="n">
        <f aca="false">IF(E3719="","",IF(ISNUMBER(SEARCH("SUBSOLO",E3719)),IFERROR(-VALUE(LEFT(E3719,FIND("º",SUBSTITUTE(E3719,"°","º"))-1)),-1),IF(LEFT(E3719,6)="TÉRREO",0,IFERROR(VALUE(LEFT(E3719,FIND("º",SUBSTITUTE(E3719,"°","º"))-1)),""))))</f>
        <v>3</v>
      </c>
      <c r="O3719" s="2" t="str">
        <f aca="false">IF(OR(F3719="",G3719=""),"",IF(G3719&lt;='RETRATO 2027'!$K$5,"CONCLUÍDA",IF(F3719&lt;='RETRATO 2027'!$K$5,"EM ANDAMENTO","A INICIAR")))</f>
        <v>A INICIAR</v>
      </c>
    </row>
    <row r="3720" customFormat="false" ht="15" hidden="false" customHeight="false" outlineLevel="0" collapsed="false">
      <c r="B3720" s="4" t="n">
        <v>30433005</v>
      </c>
      <c r="C3720" s="4" t="s">
        <v>3096</v>
      </c>
      <c r="D3720" s="4" t="s">
        <v>433</v>
      </c>
      <c r="E3720" s="4" t="s">
        <v>3722</v>
      </c>
      <c r="F3720" s="127" t="n">
        <v>46913</v>
      </c>
      <c r="G3720" s="127" t="n">
        <v>46924</v>
      </c>
      <c r="H3720" s="127" t="n">
        <v>46293</v>
      </c>
      <c r="I3720" s="4" t="n">
        <v>0</v>
      </c>
      <c r="J3720" s="4" t="n">
        <v>0</v>
      </c>
      <c r="K3720" s="4" t="n">
        <v>0</v>
      </c>
      <c r="M3720" s="2" t="str">
        <f aca="false">IF(C3720="","",IFERROR(INDEX($S$5:$S$304,MATCH(C3720,$R$5:$R$304,0))&amp;"","?"))</f>
        <v/>
      </c>
      <c r="N3720" s="2" t="n">
        <f aca="false">IF(E3720="","",IF(ISNUMBER(SEARCH("SUBSOLO",E3720)),IFERROR(-VALUE(LEFT(E3720,FIND("º",SUBSTITUTE(E3720,"°","º"))-1)),-1),IF(LEFT(E3720,6)="TÉRREO",0,IFERROR(VALUE(LEFT(E3720,FIND("º",SUBSTITUTE(E3720,"°","º"))-1)),""))))</f>
        <v>10</v>
      </c>
      <c r="O3720" s="2" t="str">
        <f aca="false">IF(OR(F3720="",G3720=""),"",IF(G3720&lt;='RETRATO 2027'!$K$5,"CONCLUÍDA",IF(F3720&lt;='RETRATO 2027'!$K$5,"EM ANDAMENTO","A INICIAR")))</f>
        <v>A INICIAR</v>
      </c>
    </row>
    <row r="3721" customFormat="false" ht="15" hidden="false" customHeight="false" outlineLevel="0" collapsed="false">
      <c r="B3721" s="4" t="n">
        <v>26743374</v>
      </c>
      <c r="C3721" s="4" t="s">
        <v>3029</v>
      </c>
      <c r="D3721" s="4" t="s">
        <v>433</v>
      </c>
      <c r="E3721" s="4" t="s">
        <v>3762</v>
      </c>
      <c r="F3721" s="127" t="n">
        <v>46913</v>
      </c>
      <c r="G3721" s="127" t="n">
        <v>46924</v>
      </c>
      <c r="H3721" s="127" t="n">
        <v>46293</v>
      </c>
      <c r="I3721" s="4" t="n">
        <v>0</v>
      </c>
      <c r="J3721" s="4" t="n">
        <v>0</v>
      </c>
      <c r="K3721" s="4" t="n">
        <v>0</v>
      </c>
      <c r="M3721" s="2" t="str">
        <f aca="false">IF(C3721="","",IFERROR(INDEX($S$5:$S$304,MATCH(C3721,$R$5:$R$304,0))&amp;"","?"))</f>
        <v/>
      </c>
      <c r="N3721" s="2" t="n">
        <f aca="false">IF(E3721="","",IF(ISNUMBER(SEARCH("SUBSOLO",E3721)),IFERROR(-VALUE(LEFT(E3721,FIND("º",SUBSTITUTE(E3721,"°","º"))-1)),-1),IF(LEFT(E3721,6)="TÉRREO",0,IFERROR(VALUE(LEFT(E3721,FIND("º",SUBSTITUTE(E3721,"°","º"))-1)),""))))</f>
        <v>11</v>
      </c>
      <c r="O3721" s="2" t="str">
        <f aca="false">IF(OR(F3721="",G3721=""),"",IF(G3721&lt;='RETRATO 2027'!$K$5,"CONCLUÍDA",IF(F3721&lt;='RETRATO 2027'!$K$5,"EM ANDAMENTO","A INICIAR")))</f>
        <v>A INICIAR</v>
      </c>
    </row>
    <row r="3722" customFormat="false" ht="15" hidden="false" customHeight="false" outlineLevel="0" collapsed="false">
      <c r="B3722" s="4" t="n">
        <v>26743335</v>
      </c>
      <c r="C3722" s="4" t="s">
        <v>2971</v>
      </c>
      <c r="D3722" s="4" t="s">
        <v>433</v>
      </c>
      <c r="E3722" s="4" t="s">
        <v>3763</v>
      </c>
      <c r="F3722" s="127" t="n">
        <v>46913</v>
      </c>
      <c r="G3722" s="127" t="n">
        <v>46924</v>
      </c>
      <c r="H3722" s="127" t="n">
        <v>46293</v>
      </c>
      <c r="I3722" s="4" t="n">
        <v>0</v>
      </c>
      <c r="J3722" s="4" t="n">
        <v>0</v>
      </c>
      <c r="K3722" s="4" t="n">
        <v>0</v>
      </c>
      <c r="M3722" s="2" t="str">
        <f aca="false">IF(C3722="","",IFERROR(INDEX($S$5:$S$304,MATCH(C3722,$R$5:$R$304,0))&amp;"","?"))</f>
        <v>37</v>
      </c>
      <c r="N3722" s="2" t="n">
        <f aca="false">IF(E3722="","",IF(ISNUMBER(SEARCH("SUBSOLO",E3722)),IFERROR(-VALUE(LEFT(E3722,FIND("º",SUBSTITUTE(E3722,"°","º"))-1)),-1),IF(LEFT(E3722,6)="TÉRREO",0,IFERROR(VALUE(LEFT(E3722,FIND("º",SUBSTITUTE(E3722,"°","º"))-1)),""))))</f>
        <v>12</v>
      </c>
      <c r="O3722" s="2" t="str">
        <f aca="false">IF(OR(F3722="",G3722=""),"",IF(G3722&lt;='RETRATO 2027'!$K$5,"CONCLUÍDA",IF(F3722&lt;='RETRATO 2027'!$K$5,"EM ANDAMENTO","A INICIAR")))</f>
        <v>A INICIAR</v>
      </c>
    </row>
    <row r="3723" customFormat="false" ht="15" hidden="false" customHeight="false" outlineLevel="0" collapsed="false">
      <c r="B3723" s="4" t="n">
        <v>26743297</v>
      </c>
      <c r="C3723" s="4" t="s">
        <v>3032</v>
      </c>
      <c r="D3723" s="4" t="s">
        <v>433</v>
      </c>
      <c r="E3723" s="4" t="s">
        <v>3764</v>
      </c>
      <c r="F3723" s="127" t="n">
        <v>46913</v>
      </c>
      <c r="G3723" s="127" t="n">
        <v>46924</v>
      </c>
      <c r="H3723" s="127" t="n">
        <v>46293</v>
      </c>
      <c r="I3723" s="4" t="n">
        <v>0</v>
      </c>
      <c r="J3723" s="4" t="n">
        <v>0</v>
      </c>
      <c r="K3723" s="4" t="n">
        <v>0</v>
      </c>
      <c r="M3723" s="2" t="str">
        <f aca="false">IF(C3723="","",IFERROR(INDEX($S$5:$S$304,MATCH(C3723,$R$5:$R$304,0))&amp;"","?"))</f>
        <v>35</v>
      </c>
      <c r="N3723" s="2" t="n">
        <f aca="false">IF(E3723="","",IF(ISNUMBER(SEARCH("SUBSOLO",E3723)),IFERROR(-VALUE(LEFT(E3723,FIND("º",SUBSTITUTE(E3723,"°","º"))-1)),-1),IF(LEFT(E3723,6)="TÉRREO",0,IFERROR(VALUE(LEFT(E3723,FIND("º",SUBSTITUTE(E3723,"°","º"))-1)),""))))</f>
        <v>13</v>
      </c>
      <c r="O3723" s="2" t="str">
        <f aca="false">IF(OR(F3723="",G3723=""),"",IF(G3723&lt;='RETRATO 2027'!$K$5,"CONCLUÍDA",IF(F3723&lt;='RETRATO 2027'!$K$5,"EM ANDAMENTO","A INICIAR")))</f>
        <v>A INICIAR</v>
      </c>
    </row>
    <row r="3724" customFormat="false" ht="15" hidden="false" customHeight="false" outlineLevel="0" collapsed="false">
      <c r="B3724" s="4" t="n">
        <v>26743254</v>
      </c>
      <c r="C3724" s="4" t="s">
        <v>3093</v>
      </c>
      <c r="D3724" s="4" t="s">
        <v>433</v>
      </c>
      <c r="E3724" s="4" t="s">
        <v>3765</v>
      </c>
      <c r="F3724" s="127" t="n">
        <v>46913</v>
      </c>
      <c r="G3724" s="127" t="n">
        <v>46924</v>
      </c>
      <c r="H3724" s="127" t="n">
        <v>46293</v>
      </c>
      <c r="I3724" s="4" t="n">
        <v>0</v>
      </c>
      <c r="J3724" s="4" t="n">
        <v>0</v>
      </c>
      <c r="K3724" s="4" t="n">
        <v>0</v>
      </c>
      <c r="M3724" s="2" t="str">
        <f aca="false">IF(C3724="","",IFERROR(INDEX($S$5:$S$304,MATCH(C3724,$R$5:$R$304,0))&amp;"","?"))</f>
        <v>34</v>
      </c>
      <c r="N3724" s="2" t="n">
        <f aca="false">IF(E3724="","",IF(ISNUMBER(SEARCH("SUBSOLO",E3724)),IFERROR(-VALUE(LEFT(E3724,FIND("º",SUBSTITUTE(E3724,"°","º"))-1)),-1),IF(LEFT(E3724,6)="TÉRREO",0,IFERROR(VALUE(LEFT(E3724,FIND("º",SUBSTITUTE(E3724,"°","º"))-1)),""))))</f>
        <v>14</v>
      </c>
      <c r="O3724" s="2" t="str">
        <f aca="false">IF(OR(F3724="",G3724=""),"",IF(G3724&lt;='RETRATO 2027'!$K$5,"CONCLUÍDA",IF(F3724&lt;='RETRATO 2027'!$K$5,"EM ANDAMENTO","A INICIAR")))</f>
        <v>A INICIAR</v>
      </c>
    </row>
    <row r="3725" customFormat="false" ht="15" hidden="false" customHeight="false" outlineLevel="0" collapsed="false">
      <c r="B3725" s="4" t="n">
        <v>26743276</v>
      </c>
      <c r="C3725" s="4" t="s">
        <v>2965</v>
      </c>
      <c r="D3725" s="4" t="s">
        <v>433</v>
      </c>
      <c r="E3725" s="4" t="s">
        <v>3765</v>
      </c>
      <c r="F3725" s="127" t="n">
        <v>46913</v>
      </c>
      <c r="G3725" s="127" t="n">
        <v>46924</v>
      </c>
      <c r="H3725" s="127" t="n">
        <v>46293</v>
      </c>
      <c r="I3725" s="4" t="n">
        <v>0</v>
      </c>
      <c r="J3725" s="4" t="n">
        <v>0</v>
      </c>
      <c r="K3725" s="4" t="n">
        <v>0</v>
      </c>
      <c r="M3725" s="2" t="str">
        <f aca="false">IF(C3725="","",IFERROR(INDEX($S$5:$S$304,MATCH(C3725,$R$5:$R$304,0))&amp;"","?"))</f>
        <v>20</v>
      </c>
      <c r="N3725" s="2" t="n">
        <f aca="false">IF(E3725="","",IF(ISNUMBER(SEARCH("SUBSOLO",E3725)),IFERROR(-VALUE(LEFT(E3725,FIND("º",SUBSTITUTE(E3725,"°","º"))-1)),-1),IF(LEFT(E3725,6)="TÉRREO",0,IFERROR(VALUE(LEFT(E3725,FIND("º",SUBSTITUTE(E3725,"°","º"))-1)),""))))</f>
        <v>14</v>
      </c>
      <c r="O3725" s="2" t="str">
        <f aca="false">IF(OR(F3725="",G3725=""),"",IF(G3725&lt;='RETRATO 2027'!$K$5,"CONCLUÍDA",IF(F3725&lt;='RETRATO 2027'!$K$5,"EM ANDAMENTO","A INICIAR")))</f>
        <v>A INICIAR</v>
      </c>
    </row>
    <row r="3726" customFormat="false" ht="15" hidden="false" customHeight="false" outlineLevel="0" collapsed="false">
      <c r="B3726" s="4" t="n">
        <v>26743216</v>
      </c>
      <c r="C3726" s="4" t="s">
        <v>3021</v>
      </c>
      <c r="D3726" s="4" t="s">
        <v>433</v>
      </c>
      <c r="E3726" s="4" t="s">
        <v>3768</v>
      </c>
      <c r="F3726" s="127" t="n">
        <v>46913</v>
      </c>
      <c r="G3726" s="127" t="n">
        <v>46924</v>
      </c>
      <c r="H3726" s="127" t="n">
        <v>46293</v>
      </c>
      <c r="I3726" s="4" t="n">
        <v>0</v>
      </c>
      <c r="J3726" s="4" t="n">
        <v>0</v>
      </c>
      <c r="K3726" s="4" t="n">
        <v>0</v>
      </c>
      <c r="M3726" s="2" t="str">
        <f aca="false">IF(C3726="","",IFERROR(INDEX($S$5:$S$304,MATCH(C3726,$R$5:$R$304,0))&amp;"","?"))</f>
        <v>35</v>
      </c>
      <c r="N3726" s="2" t="n">
        <f aca="false">IF(E3726="","",IF(ISNUMBER(SEARCH("SUBSOLO",E3726)),IFERROR(-VALUE(LEFT(E3726,FIND("º",SUBSTITUTE(E3726,"°","º"))-1)),-1),IF(LEFT(E3726,6)="TÉRREO",0,IFERROR(VALUE(LEFT(E3726,FIND("º",SUBSTITUTE(E3726,"°","º"))-1)),""))))</f>
        <v>15</v>
      </c>
      <c r="O3726" s="2" t="str">
        <f aca="false">IF(OR(F3726="",G3726=""),"",IF(G3726&lt;='RETRATO 2027'!$K$5,"CONCLUÍDA",IF(F3726&lt;='RETRATO 2027'!$K$5,"EM ANDAMENTO","A INICIAR")))</f>
        <v>A INICIAR</v>
      </c>
    </row>
    <row r="3727" customFormat="false" ht="15" hidden="false" customHeight="false" outlineLevel="0" collapsed="false">
      <c r="B3727" s="4" t="n">
        <v>26743144</v>
      </c>
      <c r="C3727" s="4" t="s">
        <v>3006</v>
      </c>
      <c r="D3727" s="4" t="s">
        <v>433</v>
      </c>
      <c r="E3727" s="4" t="s">
        <v>3773</v>
      </c>
      <c r="F3727" s="127" t="n">
        <v>46913</v>
      </c>
      <c r="G3727" s="127" t="n">
        <v>46924</v>
      </c>
      <c r="H3727" s="127" t="n">
        <v>46293</v>
      </c>
      <c r="I3727" s="4" t="n">
        <v>0</v>
      </c>
      <c r="J3727" s="4" t="n">
        <v>0</v>
      </c>
      <c r="K3727" s="4" t="n">
        <v>0</v>
      </c>
      <c r="M3727" s="2" t="str">
        <f aca="false">IF(C3727="","",IFERROR(INDEX($S$5:$S$304,MATCH(C3727,$R$5:$R$304,0))&amp;"","?"))</f>
        <v>37</v>
      </c>
      <c r="N3727" s="2" t="n">
        <f aca="false">IF(E3727="","",IF(ISNUMBER(SEARCH("SUBSOLO",E3727)),IFERROR(-VALUE(LEFT(E3727,FIND("º",SUBSTITUTE(E3727,"°","º"))-1)),-1),IF(LEFT(E3727,6)="TÉRREO",0,IFERROR(VALUE(LEFT(E3727,FIND("º",SUBSTITUTE(E3727,"°","º"))-1)),""))))</f>
        <v>17</v>
      </c>
      <c r="O3727" s="2" t="str">
        <f aca="false">IF(OR(F3727="",G3727=""),"",IF(G3727&lt;='RETRATO 2027'!$K$5,"CONCLUÍDA",IF(F3727&lt;='RETRATO 2027'!$K$5,"EM ANDAMENTO","A INICIAR")))</f>
        <v>A INICIAR</v>
      </c>
    </row>
    <row r="3728" customFormat="false" ht="15" hidden="false" customHeight="false" outlineLevel="0" collapsed="false">
      <c r="B3728" s="4" t="n">
        <v>26743109</v>
      </c>
      <c r="C3728" s="4" t="s">
        <v>2962</v>
      </c>
      <c r="D3728" s="4" t="s">
        <v>433</v>
      </c>
      <c r="E3728" s="4" t="s">
        <v>3776</v>
      </c>
      <c r="F3728" s="127" t="n">
        <v>46913</v>
      </c>
      <c r="G3728" s="127" t="n">
        <v>46924</v>
      </c>
      <c r="H3728" s="127" t="n">
        <v>46293</v>
      </c>
      <c r="I3728" s="4" t="n">
        <v>0</v>
      </c>
      <c r="J3728" s="4" t="n">
        <v>0</v>
      </c>
      <c r="K3728" s="4" t="n">
        <v>0</v>
      </c>
      <c r="M3728" s="2" t="str">
        <f aca="false">IF(C3728="","",IFERROR(INDEX($S$5:$S$304,MATCH(C3728,$R$5:$R$304,0))&amp;"","?"))</f>
        <v>34</v>
      </c>
      <c r="N3728" s="2" t="n">
        <f aca="false">IF(E3728="","",IF(ISNUMBER(SEARCH("SUBSOLO",E3728)),IFERROR(-VALUE(LEFT(E3728,FIND("º",SUBSTITUTE(E3728,"°","º"))-1)),-1),IF(LEFT(E3728,6)="TÉRREO",0,IFERROR(VALUE(LEFT(E3728,FIND("º",SUBSTITUTE(E3728,"°","º"))-1)),""))))</f>
        <v>18</v>
      </c>
      <c r="O3728" s="2" t="str">
        <f aca="false">IF(OR(F3728="",G3728=""),"",IF(G3728&lt;='RETRATO 2027'!$K$5,"CONCLUÍDA",IF(F3728&lt;='RETRATO 2027'!$K$5,"EM ANDAMENTO","A INICIAR")))</f>
        <v>A INICIAR</v>
      </c>
    </row>
    <row r="3729" customFormat="false" ht="15" hidden="false" customHeight="false" outlineLevel="0" collapsed="false">
      <c r="B3729" s="4" t="n">
        <v>26743114</v>
      </c>
      <c r="C3729" s="4" t="s">
        <v>3088</v>
      </c>
      <c r="D3729" s="4" t="s">
        <v>433</v>
      </c>
      <c r="E3729" s="4" t="s">
        <v>3776</v>
      </c>
      <c r="F3729" s="127" t="n">
        <v>46913</v>
      </c>
      <c r="G3729" s="127" t="n">
        <v>46924</v>
      </c>
      <c r="H3729" s="127" t="n">
        <v>46293</v>
      </c>
      <c r="I3729" s="4" t="n">
        <v>0</v>
      </c>
      <c r="J3729" s="4" t="n">
        <v>0</v>
      </c>
      <c r="K3729" s="4" t="n">
        <v>0</v>
      </c>
      <c r="M3729" s="2" t="str">
        <f aca="false">IF(C3729="","",IFERROR(INDEX($S$5:$S$304,MATCH(C3729,$R$5:$R$304,0))&amp;"","?"))</f>
        <v>20</v>
      </c>
      <c r="N3729" s="2" t="n">
        <f aca="false">IF(E3729="","",IF(ISNUMBER(SEARCH("SUBSOLO",E3729)),IFERROR(-VALUE(LEFT(E3729,FIND("º",SUBSTITUTE(E3729,"°","º"))-1)),-1),IF(LEFT(E3729,6)="TÉRREO",0,IFERROR(VALUE(LEFT(E3729,FIND("º",SUBSTITUTE(E3729,"°","º"))-1)),""))))</f>
        <v>18</v>
      </c>
      <c r="O3729" s="2" t="str">
        <f aca="false">IF(OR(F3729="",G3729=""),"",IF(G3729&lt;='RETRATO 2027'!$K$5,"CONCLUÍDA",IF(F3729&lt;='RETRATO 2027'!$K$5,"EM ANDAMENTO","A INICIAR")))</f>
        <v>A INICIAR</v>
      </c>
    </row>
    <row r="3730" customFormat="false" ht="15" hidden="false" customHeight="false" outlineLevel="0" collapsed="false">
      <c r="B3730" s="4" t="n">
        <v>26743133</v>
      </c>
      <c r="C3730" s="4" t="s">
        <v>3009</v>
      </c>
      <c r="D3730" s="4" t="s">
        <v>433</v>
      </c>
      <c r="E3730" s="4" t="s">
        <v>3776</v>
      </c>
      <c r="F3730" s="127" t="n">
        <v>46913</v>
      </c>
      <c r="G3730" s="127" t="n">
        <v>46924</v>
      </c>
      <c r="H3730" s="127" t="n">
        <v>46293</v>
      </c>
      <c r="I3730" s="4" t="n">
        <v>0</v>
      </c>
      <c r="J3730" s="4" t="n">
        <v>0</v>
      </c>
      <c r="K3730" s="4" t="n">
        <v>0</v>
      </c>
      <c r="M3730" s="2" t="str">
        <f aca="false">IF(C3730="","",IFERROR(INDEX($S$5:$S$304,MATCH(C3730,$R$5:$R$304,0))&amp;"","?"))</f>
        <v>23</v>
      </c>
      <c r="N3730" s="2" t="n">
        <f aca="false">IF(E3730="","",IF(ISNUMBER(SEARCH("SUBSOLO",E3730)),IFERROR(-VALUE(LEFT(E3730,FIND("º",SUBSTITUTE(E3730,"°","º"))-1)),-1),IF(LEFT(E3730,6)="TÉRREO",0,IFERROR(VALUE(LEFT(E3730,FIND("º",SUBSTITUTE(E3730,"°","º"))-1)),""))))</f>
        <v>18</v>
      </c>
      <c r="O3730" s="2" t="str">
        <f aca="false">IF(OR(F3730="",G3730=""),"",IF(G3730&lt;='RETRATO 2027'!$K$5,"CONCLUÍDA",IF(F3730&lt;='RETRATO 2027'!$K$5,"EM ANDAMENTO","A INICIAR")))</f>
        <v>A INICIAR</v>
      </c>
    </row>
    <row r="3731" customFormat="false" ht="15" hidden="false" customHeight="false" outlineLevel="0" collapsed="false">
      <c r="B3731" s="4" t="n">
        <v>26743071</v>
      </c>
      <c r="C3731" s="4" t="s">
        <v>3082</v>
      </c>
      <c r="D3731" s="4" t="s">
        <v>433</v>
      </c>
      <c r="E3731" s="4" t="s">
        <v>3779</v>
      </c>
      <c r="F3731" s="127" t="n">
        <v>46913</v>
      </c>
      <c r="G3731" s="127" t="n">
        <v>46924</v>
      </c>
      <c r="H3731" s="127" t="n">
        <v>46293</v>
      </c>
      <c r="I3731" s="4" t="n">
        <v>0</v>
      </c>
      <c r="J3731" s="4" t="n">
        <v>0</v>
      </c>
      <c r="K3731" s="4" t="n">
        <v>0</v>
      </c>
      <c r="M3731" s="2" t="str">
        <f aca="false">IF(C3731="","",IFERROR(INDEX($S$5:$S$304,MATCH(C3731,$R$5:$R$304,0))&amp;"","?"))</f>
        <v>30</v>
      </c>
      <c r="N3731" s="2" t="n">
        <f aca="false">IF(E3731="","",IF(ISNUMBER(SEARCH("SUBSOLO",E3731)),IFERROR(-VALUE(LEFT(E3731,FIND("º",SUBSTITUTE(E3731,"°","º"))-1)),-1),IF(LEFT(E3731,6)="TÉRREO",0,IFERROR(VALUE(LEFT(E3731,FIND("º",SUBSTITUTE(E3731,"°","º"))-1)),""))))</f>
        <v>19</v>
      </c>
      <c r="O3731" s="2" t="str">
        <f aca="false">IF(OR(F3731="",G3731=""),"",IF(G3731&lt;='RETRATO 2027'!$K$5,"CONCLUÍDA",IF(F3731&lt;='RETRATO 2027'!$K$5,"EM ANDAMENTO","A INICIAR")))</f>
        <v>A INICIAR</v>
      </c>
    </row>
    <row r="3732" customFormat="false" ht="15" hidden="false" customHeight="false" outlineLevel="0" collapsed="false">
      <c r="B3732" s="4" t="n">
        <v>26743064</v>
      </c>
      <c r="C3732" s="4" t="s">
        <v>3079</v>
      </c>
      <c r="D3732" s="4" t="s">
        <v>433</v>
      </c>
      <c r="E3732" s="4" t="s">
        <v>3781</v>
      </c>
      <c r="F3732" s="127" t="n">
        <v>46913</v>
      </c>
      <c r="G3732" s="127" t="n">
        <v>46924</v>
      </c>
      <c r="H3732" s="127" t="n">
        <v>46293</v>
      </c>
      <c r="I3732" s="4" t="n">
        <v>0</v>
      </c>
      <c r="J3732" s="4" t="n">
        <v>0</v>
      </c>
      <c r="K3732" s="4" t="n">
        <v>0</v>
      </c>
      <c r="M3732" s="2" t="str">
        <f aca="false">IF(C3732="","",IFERROR(INDEX($S$5:$S$304,MATCH(C3732,$R$5:$R$304,0))&amp;"","?"))</f>
        <v>25</v>
      </c>
      <c r="N3732" s="2" t="n">
        <f aca="false">IF(E3732="","",IF(ISNUMBER(SEARCH("SUBSOLO",E3732)),IFERROR(-VALUE(LEFT(E3732,FIND("º",SUBSTITUTE(E3732,"°","º"))-1)),-1),IF(LEFT(E3732,6)="TÉRREO",0,IFERROR(VALUE(LEFT(E3732,FIND("º",SUBSTITUTE(E3732,"°","º"))-1)),""))))</f>
        <v>20</v>
      </c>
      <c r="O3732" s="2" t="str">
        <f aca="false">IF(OR(F3732="",G3732=""),"",IF(G3732&lt;='RETRATO 2027'!$K$5,"CONCLUÍDA",IF(F3732&lt;='RETRATO 2027'!$K$5,"EM ANDAMENTO","A INICIAR")))</f>
        <v>A INICIAR</v>
      </c>
    </row>
    <row r="3733" customFormat="false" ht="15" hidden="false" customHeight="false" outlineLevel="0" collapsed="false">
      <c r="B3733" s="4" t="n">
        <v>26743025</v>
      </c>
      <c r="C3733" s="4" t="s">
        <v>3073</v>
      </c>
      <c r="D3733" s="4" t="s">
        <v>433</v>
      </c>
      <c r="E3733" s="4" t="s">
        <v>3783</v>
      </c>
      <c r="F3733" s="127" t="n">
        <v>46913</v>
      </c>
      <c r="G3733" s="127" t="n">
        <v>46924</v>
      </c>
      <c r="H3733" s="127" t="n">
        <v>46293</v>
      </c>
      <c r="I3733" s="4" t="n">
        <v>0</v>
      </c>
      <c r="J3733" s="4" t="n">
        <v>0</v>
      </c>
      <c r="K3733" s="4" t="n">
        <v>0</v>
      </c>
      <c r="M3733" s="2" t="str">
        <f aca="false">IF(C3733="","",IFERROR(INDEX($S$5:$S$304,MATCH(C3733,$R$5:$R$304,0))&amp;"","?"))</f>
        <v>30</v>
      </c>
      <c r="N3733" s="2" t="n">
        <f aca="false">IF(E3733="","",IF(ISNUMBER(SEARCH("SUBSOLO",E3733)),IFERROR(-VALUE(LEFT(E3733,FIND("º",SUBSTITUTE(E3733,"°","º"))-1)),-1),IF(LEFT(E3733,6)="TÉRREO",0,IFERROR(VALUE(LEFT(E3733,FIND("º",SUBSTITUTE(E3733,"°","º"))-1)),""))))</f>
        <v>21</v>
      </c>
      <c r="O3733" s="2" t="str">
        <f aca="false">IF(OR(F3733="",G3733=""),"",IF(G3733&lt;='RETRATO 2027'!$K$5,"CONCLUÍDA",IF(F3733&lt;='RETRATO 2027'!$K$5,"EM ANDAMENTO","A INICIAR")))</f>
        <v>A INICIAR</v>
      </c>
    </row>
    <row r="3734" customFormat="false" ht="15" hidden="false" customHeight="false" outlineLevel="0" collapsed="false">
      <c r="B3734" s="4" t="n">
        <v>26742987</v>
      </c>
      <c r="C3734" s="4" t="s">
        <v>3055</v>
      </c>
      <c r="D3734" s="4" t="s">
        <v>433</v>
      </c>
      <c r="E3734" s="4" t="s">
        <v>3786</v>
      </c>
      <c r="F3734" s="127" t="n">
        <v>46913</v>
      </c>
      <c r="G3734" s="127" t="n">
        <v>46924</v>
      </c>
      <c r="H3734" s="127" t="n">
        <v>46293</v>
      </c>
      <c r="I3734" s="4" t="n">
        <v>0</v>
      </c>
      <c r="J3734" s="4" t="n">
        <v>0</v>
      </c>
      <c r="K3734" s="4" t="n">
        <v>0</v>
      </c>
      <c r="M3734" s="2" t="str">
        <f aca="false">IF(C3734="","",IFERROR(INDEX($S$5:$S$304,MATCH(C3734,$R$5:$R$304,0))&amp;"","?"))</f>
        <v>25</v>
      </c>
      <c r="N3734" s="2" t="n">
        <f aca="false">IF(E3734="","",IF(ISNUMBER(SEARCH("SUBSOLO",E3734)),IFERROR(-VALUE(LEFT(E3734,FIND("º",SUBSTITUTE(E3734,"°","º"))-1)),-1),IF(LEFT(E3734,6)="TÉRREO",0,IFERROR(VALUE(LEFT(E3734,FIND("º",SUBSTITUTE(E3734,"°","º"))-1)),""))))</f>
        <v>22</v>
      </c>
      <c r="O3734" s="2" t="str">
        <f aca="false">IF(OR(F3734="",G3734=""),"",IF(G3734&lt;='RETRATO 2027'!$K$5,"CONCLUÍDA",IF(F3734&lt;='RETRATO 2027'!$K$5,"EM ANDAMENTO","A INICIAR")))</f>
        <v>A INICIAR</v>
      </c>
    </row>
    <row r="3735" customFormat="false" ht="15" hidden="false" customHeight="false" outlineLevel="0" collapsed="false">
      <c r="B3735" s="4" t="n">
        <v>26708169</v>
      </c>
      <c r="C3735" s="4" t="s">
        <v>2980</v>
      </c>
      <c r="D3735" s="4" t="s">
        <v>433</v>
      </c>
      <c r="E3735" s="4" t="s">
        <v>3628</v>
      </c>
      <c r="F3735" s="127" t="n">
        <v>46916</v>
      </c>
      <c r="G3735" s="127" t="n">
        <v>46926</v>
      </c>
      <c r="H3735" s="127" t="n">
        <v>46293</v>
      </c>
      <c r="I3735" s="4" t="n">
        <v>0</v>
      </c>
      <c r="J3735" s="4" t="n">
        <v>0</v>
      </c>
      <c r="K3735" s="4" t="n">
        <v>0</v>
      </c>
      <c r="M3735" s="2" t="str">
        <f aca="false">IF(C3735="","",IFERROR(INDEX($S$5:$S$304,MATCH(C3735,$R$5:$R$304,0))&amp;"","?"))</f>
        <v>35</v>
      </c>
      <c r="N3735" s="2" t="n">
        <f aca="false">IF(E3735="","",IF(ISNUMBER(SEARCH("SUBSOLO",E3735)),IFERROR(-VALUE(LEFT(E3735,FIND("º",SUBSTITUTE(E3735,"°","º"))-1)),-1),IF(LEFT(E3735,6)="TÉRREO",0,IFERROR(VALUE(LEFT(E3735,FIND("º",SUBSTITUTE(E3735,"°","º"))-1)),""))))</f>
        <v>-6</v>
      </c>
      <c r="O3735" s="2" t="str">
        <f aca="false">IF(OR(F3735="",G3735=""),"",IF(G3735&lt;='RETRATO 2027'!$K$5,"CONCLUÍDA",IF(F3735&lt;='RETRATO 2027'!$K$5,"EM ANDAMENTO","A INICIAR")))</f>
        <v>A INICIAR</v>
      </c>
    </row>
    <row r="3736" customFormat="false" ht="15" hidden="false" customHeight="false" outlineLevel="0" collapsed="false">
      <c r="B3736" s="4" t="n">
        <v>26708146</v>
      </c>
      <c r="C3736" s="4" t="s">
        <v>208</v>
      </c>
      <c r="D3736" s="4" t="s">
        <v>433</v>
      </c>
      <c r="E3736" s="4" t="s">
        <v>3813</v>
      </c>
      <c r="F3736" s="127" t="n">
        <v>46916</v>
      </c>
      <c r="G3736" s="127" t="n">
        <v>46926</v>
      </c>
      <c r="H3736" s="127" t="n">
        <v>46293</v>
      </c>
      <c r="I3736" s="4" t="n">
        <v>0</v>
      </c>
      <c r="J3736" s="4" t="n">
        <v>0</v>
      </c>
      <c r="K3736" s="4" t="n">
        <v>0</v>
      </c>
      <c r="M3736" s="2" t="str">
        <f aca="false">IF(C3736="","",IFERROR(INDEX($S$5:$S$304,MATCH(C3736,$R$5:$R$304,0))&amp;"","?"))</f>
        <v>33</v>
      </c>
      <c r="N3736" s="2" t="n">
        <f aca="false">IF(E3736="","",IF(ISNUMBER(SEARCH("SUBSOLO",E3736)),IFERROR(-VALUE(LEFT(E3736,FIND("º",SUBSTITUTE(E3736,"°","º"))-1)),-1),IF(LEFT(E3736,6)="TÉRREO",0,IFERROR(VALUE(LEFT(E3736,FIND("º",SUBSTITUTE(E3736,"°","º"))-1)),""))))</f>
        <v>-6</v>
      </c>
      <c r="O3736" s="2" t="str">
        <f aca="false">IF(OR(F3736="",G3736=""),"",IF(G3736&lt;='RETRATO 2027'!$K$5,"CONCLUÍDA",IF(F3736&lt;='RETRATO 2027'!$K$5,"EM ANDAMENTO","A INICIAR")))</f>
        <v>A INICIAR</v>
      </c>
    </row>
    <row r="3737" customFormat="false" ht="15" hidden="false" customHeight="false" outlineLevel="0" collapsed="false">
      <c r="B3737" s="4" t="n">
        <v>26743783</v>
      </c>
      <c r="C3737" s="4" t="s">
        <v>2971</v>
      </c>
      <c r="D3737" s="4" t="s">
        <v>433</v>
      </c>
      <c r="E3737" s="4" t="s">
        <v>3473</v>
      </c>
      <c r="F3737" s="127" t="n">
        <v>46917</v>
      </c>
      <c r="G3737" s="127" t="n">
        <v>46931</v>
      </c>
      <c r="H3737" s="127" t="n">
        <v>46293</v>
      </c>
      <c r="I3737" s="4" t="n">
        <v>0</v>
      </c>
      <c r="J3737" s="4" t="n">
        <v>0</v>
      </c>
      <c r="K3737" s="4" t="n">
        <v>0</v>
      </c>
      <c r="M3737" s="2" t="str">
        <f aca="false">IF(C3737="","",IFERROR(INDEX($S$5:$S$304,MATCH(C3737,$R$5:$R$304,0))&amp;"","?"))</f>
        <v>37</v>
      </c>
      <c r="N3737" s="2" t="n">
        <f aca="false">IF(E3737="","",IF(ISNUMBER(SEARCH("SUBSOLO",E3737)),IFERROR(-VALUE(LEFT(E3737,FIND("º",SUBSTITUTE(E3737,"°","º"))-1)),-1),IF(LEFT(E3737,6)="TÉRREO",0,IFERROR(VALUE(LEFT(E3737,FIND("º",SUBSTITUTE(E3737,"°","º"))-1)),""))))</f>
        <v>-5</v>
      </c>
      <c r="O3737" s="2" t="str">
        <f aca="false">IF(OR(F3737="",G3737=""),"",IF(G3737&lt;='RETRATO 2027'!$K$5,"CONCLUÍDA",IF(F3737&lt;='RETRATO 2027'!$K$5,"EM ANDAMENTO","A INICIAR")))</f>
        <v>A INICIAR</v>
      </c>
    </row>
    <row r="3738" customFormat="false" ht="15" hidden="false" customHeight="false" outlineLevel="0" collapsed="false">
      <c r="B3738" s="4" t="n">
        <v>26745195</v>
      </c>
      <c r="C3738" s="4" t="s">
        <v>2971</v>
      </c>
      <c r="D3738" s="4" t="s">
        <v>433</v>
      </c>
      <c r="E3738" s="4" t="s">
        <v>3657</v>
      </c>
      <c r="F3738" s="127" t="n">
        <v>46917</v>
      </c>
      <c r="G3738" s="127" t="n">
        <v>46927</v>
      </c>
      <c r="H3738" s="127" t="n">
        <v>46293</v>
      </c>
      <c r="I3738" s="4" t="n">
        <v>0</v>
      </c>
      <c r="J3738" s="4" t="n">
        <v>0</v>
      </c>
      <c r="K3738" s="4" t="n">
        <v>0</v>
      </c>
      <c r="M3738" s="2" t="str">
        <f aca="false">IF(C3738="","",IFERROR(INDEX($S$5:$S$304,MATCH(C3738,$R$5:$R$304,0))&amp;"","?"))</f>
        <v>37</v>
      </c>
      <c r="N3738" s="2" t="n">
        <f aca="false">IF(E3738="","",IF(ISNUMBER(SEARCH("SUBSOLO",E3738)),IFERROR(-VALUE(LEFT(E3738,FIND("º",SUBSTITUTE(E3738,"°","º"))-1)),-1),IF(LEFT(E3738,6)="TÉRREO",0,IFERROR(VALUE(LEFT(E3738,FIND("º",SUBSTITUTE(E3738,"°","º"))-1)),""))))</f>
        <v>-5</v>
      </c>
      <c r="O3738" s="2" t="str">
        <f aca="false">IF(OR(F3738="",G3738=""),"",IF(G3738&lt;='RETRATO 2027'!$K$5,"CONCLUÍDA",IF(F3738&lt;='RETRATO 2027'!$K$5,"EM ANDAMENTO","A INICIAR")))</f>
        <v>A INICIAR</v>
      </c>
    </row>
    <row r="3739" customFormat="false" ht="15" hidden="false" customHeight="false" outlineLevel="0" collapsed="false">
      <c r="B3739" s="4" t="n">
        <v>26750572</v>
      </c>
      <c r="C3739" s="4" t="s">
        <v>214</v>
      </c>
      <c r="D3739" s="4" t="s">
        <v>433</v>
      </c>
      <c r="E3739" s="4" t="s">
        <v>3821</v>
      </c>
      <c r="F3739" s="127" t="n">
        <v>46918</v>
      </c>
      <c r="G3739" s="127" t="n">
        <v>46925</v>
      </c>
      <c r="H3739" s="127" t="n">
        <v>46293</v>
      </c>
      <c r="I3739" s="4" t="n">
        <v>0</v>
      </c>
      <c r="J3739" s="4" t="n">
        <v>0</v>
      </c>
      <c r="K3739" s="4" t="n">
        <v>0</v>
      </c>
      <c r="M3739" s="2" t="str">
        <f aca="false">IF(C3739="","",IFERROR(INDEX($S$5:$S$304,MATCH(C3739,$R$5:$R$304,0))&amp;"","?"))</f>
        <v>35</v>
      </c>
      <c r="N3739" s="2" t="n">
        <f aca="false">IF(E3739="","",IF(ISNUMBER(SEARCH("SUBSOLO",E3739)),IFERROR(-VALUE(LEFT(E3739,FIND("º",SUBSTITUTE(E3739,"°","º"))-1)),-1),IF(LEFT(E3739,6)="TÉRREO",0,IFERROR(VALUE(LEFT(E3739,FIND("º",SUBSTITUTE(E3739,"°","º"))-1)),""))))</f>
        <v>-6</v>
      </c>
      <c r="O3739" s="2" t="str">
        <f aca="false">IF(OR(F3739="",G3739=""),"",IF(G3739&lt;='RETRATO 2027'!$K$5,"CONCLUÍDA",IF(F3739&lt;='RETRATO 2027'!$K$5,"EM ANDAMENTO","A INICIAR")))</f>
        <v>A INICIAR</v>
      </c>
    </row>
    <row r="3740" customFormat="false" ht="15" hidden="false" customHeight="false" outlineLevel="0" collapsed="false">
      <c r="B3740" s="4" t="n">
        <v>26744672</v>
      </c>
      <c r="C3740" s="4" t="s">
        <v>2997</v>
      </c>
      <c r="D3740" s="4" t="s">
        <v>433</v>
      </c>
      <c r="E3740" s="4" t="s">
        <v>3774</v>
      </c>
      <c r="F3740" s="127" t="n">
        <v>46918</v>
      </c>
      <c r="G3740" s="127" t="n">
        <v>46926</v>
      </c>
      <c r="H3740" s="127" t="n">
        <v>46293</v>
      </c>
      <c r="I3740" s="4" t="n">
        <v>0</v>
      </c>
      <c r="J3740" s="4" t="n">
        <v>0</v>
      </c>
      <c r="K3740" s="4" t="n">
        <v>0</v>
      </c>
      <c r="M3740" s="2" t="str">
        <f aca="false">IF(C3740="","",IFERROR(INDEX($S$5:$S$304,MATCH(C3740,$R$5:$R$304,0))&amp;"","?"))</f>
        <v>35</v>
      </c>
      <c r="N3740" s="2" t="n">
        <f aca="false">IF(E3740="","",IF(ISNUMBER(SEARCH("SUBSOLO",E3740)),IFERROR(-VALUE(LEFT(E3740,FIND("º",SUBSTITUTE(E3740,"°","º"))-1)),-1),IF(LEFT(E3740,6)="TÉRREO",0,IFERROR(VALUE(LEFT(E3740,FIND("º",SUBSTITUTE(E3740,"°","º"))-1)),""))))</f>
        <v>3</v>
      </c>
      <c r="O3740" s="2" t="str">
        <f aca="false">IF(OR(F3740="",G3740=""),"",IF(G3740&lt;='RETRATO 2027'!$K$5,"CONCLUÍDA",IF(F3740&lt;='RETRATO 2027'!$K$5,"EM ANDAMENTO","A INICIAR")))</f>
        <v>A INICIAR</v>
      </c>
    </row>
    <row r="3741" customFormat="false" ht="15" hidden="false" customHeight="false" outlineLevel="0" collapsed="false">
      <c r="B3741" s="4" t="n">
        <v>26744775</v>
      </c>
      <c r="C3741" s="4" t="s">
        <v>3029</v>
      </c>
      <c r="D3741" s="4" t="s">
        <v>433</v>
      </c>
      <c r="E3741" s="4" t="s">
        <v>3784</v>
      </c>
      <c r="F3741" s="127" t="n">
        <v>46920</v>
      </c>
      <c r="G3741" s="127" t="n">
        <v>46927</v>
      </c>
      <c r="H3741" s="127" t="n">
        <v>46293</v>
      </c>
      <c r="I3741" s="4" t="n">
        <v>0</v>
      </c>
      <c r="J3741" s="4" t="n">
        <v>0</v>
      </c>
      <c r="K3741" s="4" t="n">
        <v>0</v>
      </c>
      <c r="M3741" s="2" t="str">
        <f aca="false">IF(C3741="","",IFERROR(INDEX($S$5:$S$304,MATCH(C3741,$R$5:$R$304,0))&amp;"","?"))</f>
        <v/>
      </c>
      <c r="N3741" s="2" t="n">
        <f aca="false">IF(E3741="","",IF(ISNUMBER(SEARCH("SUBSOLO",E3741)),IFERROR(-VALUE(LEFT(E3741,FIND("º",SUBSTITUTE(E3741,"°","º"))-1)),-1),IF(LEFT(E3741,6)="TÉRREO",0,IFERROR(VALUE(LEFT(E3741,FIND("º",SUBSTITUTE(E3741,"°","º"))-1)),""))))</f>
        <v>3</v>
      </c>
      <c r="O3741" s="2" t="str">
        <f aca="false">IF(OR(F3741="",G3741=""),"",IF(G3741&lt;='RETRATO 2027'!$K$5,"CONCLUÍDA",IF(F3741&lt;='RETRATO 2027'!$K$5,"EM ANDAMENTO","A INICIAR")))</f>
        <v>A INICIAR</v>
      </c>
    </row>
    <row r="3742" customFormat="false" ht="15" hidden="false" customHeight="false" outlineLevel="0" collapsed="false">
      <c r="B3742" s="4" t="n">
        <v>26744724</v>
      </c>
      <c r="C3742" s="4" t="s">
        <v>2971</v>
      </c>
      <c r="D3742" s="4" t="s">
        <v>433</v>
      </c>
      <c r="E3742" s="4" t="s">
        <v>3800</v>
      </c>
      <c r="F3742" s="127" t="n">
        <v>46920</v>
      </c>
      <c r="G3742" s="127" t="n">
        <v>46927</v>
      </c>
      <c r="H3742" s="127" t="n">
        <v>46293</v>
      </c>
      <c r="I3742" s="4" t="n">
        <v>0</v>
      </c>
      <c r="J3742" s="4" t="n">
        <v>0</v>
      </c>
      <c r="K3742" s="4" t="n">
        <v>0</v>
      </c>
      <c r="M3742" s="2" t="str">
        <f aca="false">IF(C3742="","",IFERROR(INDEX($S$5:$S$304,MATCH(C3742,$R$5:$R$304,0))&amp;"","?"))</f>
        <v>37</v>
      </c>
      <c r="N3742" s="2" t="n">
        <f aca="false">IF(E3742="","",IF(ISNUMBER(SEARCH("SUBSOLO",E3742)),IFERROR(-VALUE(LEFT(E3742,FIND("º",SUBSTITUTE(E3742,"°","º"))-1)),-1),IF(LEFT(E3742,6)="TÉRREO",0,IFERROR(VALUE(LEFT(E3742,FIND("º",SUBSTITUTE(E3742,"°","º"))-1)),""))))</f>
        <v>3</v>
      </c>
      <c r="O3742" s="2" t="str">
        <f aca="false">IF(OR(F3742="",G3742=""),"",IF(G3742&lt;='RETRATO 2027'!$K$5,"CONCLUÍDA",IF(F3742&lt;='RETRATO 2027'!$K$5,"EM ANDAMENTO","A INICIAR")))</f>
        <v>A INICIAR</v>
      </c>
    </row>
    <row r="3743" customFormat="false" ht="15" hidden="false" customHeight="false" outlineLevel="0" collapsed="false">
      <c r="B3743" s="4" t="n">
        <v>26707585</v>
      </c>
      <c r="C3743" s="4" t="s">
        <v>2971</v>
      </c>
      <c r="D3743" s="4" t="s">
        <v>433</v>
      </c>
      <c r="E3743" s="4" t="s">
        <v>3822</v>
      </c>
      <c r="F3743" s="127" t="n">
        <v>46923</v>
      </c>
      <c r="G3743" s="127" t="n">
        <v>46934</v>
      </c>
      <c r="H3743" s="127" t="n">
        <v>46293</v>
      </c>
      <c r="I3743" s="4" t="n">
        <v>0</v>
      </c>
      <c r="J3743" s="4" t="n">
        <v>0</v>
      </c>
      <c r="K3743" s="4" t="n">
        <v>0</v>
      </c>
      <c r="M3743" s="2" t="str">
        <f aca="false">IF(C3743="","",IFERROR(INDEX($S$5:$S$304,MATCH(C3743,$R$5:$R$304,0))&amp;"","?"))</f>
        <v>37</v>
      </c>
      <c r="N3743" s="2" t="n">
        <f aca="false">IF(E3743="","",IF(ISNUMBER(SEARCH("SUBSOLO",E3743)),IFERROR(-VALUE(LEFT(E3743,FIND("º",SUBSTITUTE(E3743,"°","º"))-1)),-1),IF(LEFT(E3743,6)="TÉRREO",0,IFERROR(VALUE(LEFT(E3743,FIND("º",SUBSTITUTE(E3743,"°","º"))-1)),""))))</f>
        <v>2</v>
      </c>
      <c r="O3743" s="2" t="str">
        <f aca="false">IF(OR(F3743="",G3743=""),"",IF(G3743&lt;='RETRATO 2027'!$K$5,"CONCLUÍDA",IF(F3743&lt;='RETRATO 2027'!$K$5,"EM ANDAMENTO","A INICIAR")))</f>
        <v>A INICIAR</v>
      </c>
    </row>
    <row r="3744" customFormat="false" ht="15" hidden="false" customHeight="false" outlineLevel="0" collapsed="false">
      <c r="B3744" s="4" t="n">
        <v>26744687</v>
      </c>
      <c r="C3744" s="4" t="s">
        <v>3032</v>
      </c>
      <c r="D3744" s="4" t="s">
        <v>433</v>
      </c>
      <c r="E3744" s="4" t="s">
        <v>3810</v>
      </c>
      <c r="F3744" s="127" t="n">
        <v>46924</v>
      </c>
      <c r="G3744" s="127" t="n">
        <v>46931</v>
      </c>
      <c r="H3744" s="127" t="n">
        <v>46293</v>
      </c>
      <c r="I3744" s="4" t="n">
        <v>0</v>
      </c>
      <c r="J3744" s="4" t="n">
        <v>0</v>
      </c>
      <c r="K3744" s="4" t="n">
        <v>0</v>
      </c>
      <c r="M3744" s="2" t="str">
        <f aca="false">IF(C3744="","",IFERROR(INDEX($S$5:$S$304,MATCH(C3744,$R$5:$R$304,0))&amp;"","?"))</f>
        <v>35</v>
      </c>
      <c r="N3744" s="2" t="n">
        <f aca="false">IF(E3744="","",IF(ISNUMBER(SEARCH("SUBSOLO",E3744)),IFERROR(-VALUE(LEFT(E3744,FIND("º",SUBSTITUTE(E3744,"°","º"))-1)),-1),IF(LEFT(E3744,6)="TÉRREO",0,IFERROR(VALUE(LEFT(E3744,FIND("º",SUBSTITUTE(E3744,"°","º"))-1)),""))))</f>
        <v>3</v>
      </c>
      <c r="O3744" s="2" t="str">
        <f aca="false">IF(OR(F3744="",G3744=""),"",IF(G3744&lt;='RETRATO 2027'!$K$5,"CONCLUÍDA",IF(F3744&lt;='RETRATO 2027'!$K$5,"EM ANDAMENTO","A INICIAR")))</f>
        <v>A INICIAR</v>
      </c>
    </row>
    <row r="3745" customFormat="false" ht="15" hidden="false" customHeight="false" outlineLevel="0" collapsed="false">
      <c r="B3745" s="4" t="n">
        <v>30433006</v>
      </c>
      <c r="C3745" s="4" t="s">
        <v>3096</v>
      </c>
      <c r="D3745" s="4" t="s">
        <v>433</v>
      </c>
      <c r="E3745" s="4" t="s">
        <v>3762</v>
      </c>
      <c r="F3745" s="127" t="n">
        <v>46925</v>
      </c>
      <c r="G3745" s="127" t="n">
        <v>46933</v>
      </c>
      <c r="H3745" s="127" t="n">
        <v>46293</v>
      </c>
      <c r="I3745" s="4" t="n">
        <v>0</v>
      </c>
      <c r="J3745" s="4" t="n">
        <v>0</v>
      </c>
      <c r="K3745" s="4" t="n">
        <v>0</v>
      </c>
      <c r="M3745" s="2" t="str">
        <f aca="false">IF(C3745="","",IFERROR(INDEX($S$5:$S$304,MATCH(C3745,$R$5:$R$304,0))&amp;"","?"))</f>
        <v/>
      </c>
      <c r="N3745" s="2" t="n">
        <f aca="false">IF(E3745="","",IF(ISNUMBER(SEARCH("SUBSOLO",E3745)),IFERROR(-VALUE(LEFT(E3745,FIND("º",SUBSTITUTE(E3745,"°","º"))-1)),-1),IF(LEFT(E3745,6)="TÉRREO",0,IFERROR(VALUE(LEFT(E3745,FIND("º",SUBSTITUTE(E3745,"°","º"))-1)),""))))</f>
        <v>11</v>
      </c>
      <c r="O3745" s="2" t="str">
        <f aca="false">IF(OR(F3745="",G3745=""),"",IF(G3745&lt;='RETRATO 2027'!$K$5,"CONCLUÍDA",IF(F3745&lt;='RETRATO 2027'!$K$5,"EM ANDAMENTO","A INICIAR")))</f>
        <v>A INICIAR</v>
      </c>
    </row>
    <row r="3746" customFormat="false" ht="15" hidden="false" customHeight="false" outlineLevel="0" collapsed="false">
      <c r="B3746" s="4" t="n">
        <v>26743337</v>
      </c>
      <c r="C3746" s="4" t="s">
        <v>3029</v>
      </c>
      <c r="D3746" s="4" t="s">
        <v>433</v>
      </c>
      <c r="E3746" s="4" t="s">
        <v>3763</v>
      </c>
      <c r="F3746" s="127" t="n">
        <v>46925</v>
      </c>
      <c r="G3746" s="127" t="n">
        <v>46933</v>
      </c>
      <c r="H3746" s="127" t="n">
        <v>46293</v>
      </c>
      <c r="I3746" s="4" t="n">
        <v>0</v>
      </c>
      <c r="J3746" s="4" t="n">
        <v>0</v>
      </c>
      <c r="K3746" s="4" t="n">
        <v>0</v>
      </c>
      <c r="M3746" s="2" t="str">
        <f aca="false">IF(C3746="","",IFERROR(INDEX($S$5:$S$304,MATCH(C3746,$R$5:$R$304,0))&amp;"","?"))</f>
        <v/>
      </c>
      <c r="N3746" s="2" t="n">
        <f aca="false">IF(E3746="","",IF(ISNUMBER(SEARCH("SUBSOLO",E3746)),IFERROR(-VALUE(LEFT(E3746,FIND("º",SUBSTITUTE(E3746,"°","º"))-1)),-1),IF(LEFT(E3746,6)="TÉRREO",0,IFERROR(VALUE(LEFT(E3746,FIND("º",SUBSTITUTE(E3746,"°","º"))-1)),""))))</f>
        <v>12</v>
      </c>
      <c r="O3746" s="2" t="str">
        <f aca="false">IF(OR(F3746="",G3746=""),"",IF(G3746&lt;='RETRATO 2027'!$K$5,"CONCLUÍDA",IF(F3746&lt;='RETRATO 2027'!$K$5,"EM ANDAMENTO","A INICIAR")))</f>
        <v>A INICIAR</v>
      </c>
    </row>
    <row r="3747" customFormat="false" ht="15" hidden="false" customHeight="false" outlineLevel="0" collapsed="false">
      <c r="B3747" s="4" t="n">
        <v>26743298</v>
      </c>
      <c r="C3747" s="4" t="s">
        <v>2971</v>
      </c>
      <c r="D3747" s="4" t="s">
        <v>433</v>
      </c>
      <c r="E3747" s="4" t="s">
        <v>3764</v>
      </c>
      <c r="F3747" s="127" t="n">
        <v>46925</v>
      </c>
      <c r="G3747" s="127" t="n">
        <v>46933</v>
      </c>
      <c r="H3747" s="127" t="n">
        <v>46293</v>
      </c>
      <c r="I3747" s="4" t="n">
        <v>0</v>
      </c>
      <c r="J3747" s="4" t="n">
        <v>0</v>
      </c>
      <c r="K3747" s="4" t="n">
        <v>0</v>
      </c>
      <c r="M3747" s="2" t="str">
        <f aca="false">IF(C3747="","",IFERROR(INDEX($S$5:$S$304,MATCH(C3747,$R$5:$R$304,0))&amp;"","?"))</f>
        <v>37</v>
      </c>
      <c r="N3747" s="2" t="n">
        <f aca="false">IF(E3747="","",IF(ISNUMBER(SEARCH("SUBSOLO",E3747)),IFERROR(-VALUE(LEFT(E3747,FIND("º",SUBSTITUTE(E3747,"°","º"))-1)),-1),IF(LEFT(E3747,6)="TÉRREO",0,IFERROR(VALUE(LEFT(E3747,FIND("º",SUBSTITUTE(E3747,"°","º"))-1)),""))))</f>
        <v>13</v>
      </c>
      <c r="O3747" s="2" t="str">
        <f aca="false">IF(OR(F3747="",G3747=""),"",IF(G3747&lt;='RETRATO 2027'!$K$5,"CONCLUÍDA",IF(F3747&lt;='RETRATO 2027'!$K$5,"EM ANDAMENTO","A INICIAR")))</f>
        <v>A INICIAR</v>
      </c>
    </row>
    <row r="3748" customFormat="false" ht="15" hidden="false" customHeight="false" outlineLevel="0" collapsed="false">
      <c r="B3748" s="4" t="n">
        <v>26743260</v>
      </c>
      <c r="C3748" s="4" t="s">
        <v>3032</v>
      </c>
      <c r="D3748" s="4" t="s">
        <v>433</v>
      </c>
      <c r="E3748" s="4" t="s">
        <v>3765</v>
      </c>
      <c r="F3748" s="127" t="n">
        <v>46925</v>
      </c>
      <c r="G3748" s="127" t="n">
        <v>46933</v>
      </c>
      <c r="H3748" s="127" t="n">
        <v>46293</v>
      </c>
      <c r="I3748" s="4" t="n">
        <v>0</v>
      </c>
      <c r="J3748" s="4" t="n">
        <v>0</v>
      </c>
      <c r="K3748" s="4" t="n">
        <v>0</v>
      </c>
      <c r="M3748" s="2" t="str">
        <f aca="false">IF(C3748="","",IFERROR(INDEX($S$5:$S$304,MATCH(C3748,$R$5:$R$304,0))&amp;"","?"))</f>
        <v>35</v>
      </c>
      <c r="N3748" s="2" t="n">
        <f aca="false">IF(E3748="","",IF(ISNUMBER(SEARCH("SUBSOLO",E3748)),IFERROR(-VALUE(LEFT(E3748,FIND("º",SUBSTITUTE(E3748,"°","º"))-1)),-1),IF(LEFT(E3748,6)="TÉRREO",0,IFERROR(VALUE(LEFT(E3748,FIND("º",SUBSTITUTE(E3748,"°","º"))-1)),""))))</f>
        <v>14</v>
      </c>
      <c r="O3748" s="2" t="str">
        <f aca="false">IF(OR(F3748="",G3748=""),"",IF(G3748&lt;='RETRATO 2027'!$K$5,"CONCLUÍDA",IF(F3748&lt;='RETRATO 2027'!$K$5,"EM ANDAMENTO","A INICIAR")))</f>
        <v>A INICIAR</v>
      </c>
    </row>
    <row r="3749" customFormat="false" ht="15" hidden="false" customHeight="false" outlineLevel="0" collapsed="false">
      <c r="B3749" s="4" t="n">
        <v>26743217</v>
      </c>
      <c r="C3749" s="4" t="s">
        <v>3093</v>
      </c>
      <c r="D3749" s="4" t="s">
        <v>433</v>
      </c>
      <c r="E3749" s="4" t="s">
        <v>3768</v>
      </c>
      <c r="F3749" s="127" t="n">
        <v>46925</v>
      </c>
      <c r="G3749" s="127" t="n">
        <v>46933</v>
      </c>
      <c r="H3749" s="127" t="n">
        <v>46293</v>
      </c>
      <c r="I3749" s="4" t="n">
        <v>0</v>
      </c>
      <c r="J3749" s="4" t="n">
        <v>0</v>
      </c>
      <c r="K3749" s="4" t="n">
        <v>0</v>
      </c>
      <c r="M3749" s="2" t="str">
        <f aca="false">IF(C3749="","",IFERROR(INDEX($S$5:$S$304,MATCH(C3749,$R$5:$R$304,0))&amp;"","?"))</f>
        <v>34</v>
      </c>
      <c r="N3749" s="2" t="n">
        <f aca="false">IF(E3749="","",IF(ISNUMBER(SEARCH("SUBSOLO",E3749)),IFERROR(-VALUE(LEFT(E3749,FIND("º",SUBSTITUTE(E3749,"°","º"))-1)),-1),IF(LEFT(E3749,6)="TÉRREO",0,IFERROR(VALUE(LEFT(E3749,FIND("º",SUBSTITUTE(E3749,"°","º"))-1)),""))))</f>
        <v>15</v>
      </c>
      <c r="O3749" s="2" t="str">
        <f aca="false">IF(OR(F3749="",G3749=""),"",IF(G3749&lt;='RETRATO 2027'!$K$5,"CONCLUÍDA",IF(F3749&lt;='RETRATO 2027'!$K$5,"EM ANDAMENTO","A INICIAR")))</f>
        <v>A INICIAR</v>
      </c>
    </row>
    <row r="3750" customFormat="false" ht="15" hidden="false" customHeight="false" outlineLevel="0" collapsed="false">
      <c r="B3750" s="4" t="n">
        <v>26743239</v>
      </c>
      <c r="C3750" s="4" t="s">
        <v>2965</v>
      </c>
      <c r="D3750" s="4" t="s">
        <v>433</v>
      </c>
      <c r="E3750" s="4" t="s">
        <v>3768</v>
      </c>
      <c r="F3750" s="127" t="n">
        <v>46925</v>
      </c>
      <c r="G3750" s="127" t="n">
        <v>46933</v>
      </c>
      <c r="H3750" s="127" t="n">
        <v>46293</v>
      </c>
      <c r="I3750" s="4" t="n">
        <v>0</v>
      </c>
      <c r="J3750" s="4" t="n">
        <v>0</v>
      </c>
      <c r="K3750" s="4" t="n">
        <v>0</v>
      </c>
      <c r="M3750" s="2" t="str">
        <f aca="false">IF(C3750="","",IFERROR(INDEX($S$5:$S$304,MATCH(C3750,$R$5:$R$304,0))&amp;"","?"))</f>
        <v>20</v>
      </c>
      <c r="N3750" s="2" t="n">
        <f aca="false">IF(E3750="","",IF(ISNUMBER(SEARCH("SUBSOLO",E3750)),IFERROR(-VALUE(LEFT(E3750,FIND("º",SUBSTITUTE(E3750,"°","º"))-1)),-1),IF(LEFT(E3750,6)="TÉRREO",0,IFERROR(VALUE(LEFT(E3750,FIND("º",SUBSTITUTE(E3750,"°","º"))-1)),""))))</f>
        <v>15</v>
      </c>
      <c r="O3750" s="2" t="str">
        <f aca="false">IF(OR(F3750="",G3750=""),"",IF(G3750&lt;='RETRATO 2027'!$K$5,"CONCLUÍDA",IF(F3750&lt;='RETRATO 2027'!$K$5,"EM ANDAMENTO","A INICIAR")))</f>
        <v>A INICIAR</v>
      </c>
    </row>
    <row r="3751" customFormat="false" ht="15" hidden="false" customHeight="false" outlineLevel="0" collapsed="false">
      <c r="B3751" s="4" t="n">
        <v>26743142</v>
      </c>
      <c r="C3751" s="4" t="s">
        <v>3021</v>
      </c>
      <c r="D3751" s="4" t="s">
        <v>433</v>
      </c>
      <c r="E3751" s="4" t="s">
        <v>3773</v>
      </c>
      <c r="F3751" s="127" t="n">
        <v>46925</v>
      </c>
      <c r="G3751" s="127" t="n">
        <v>46933</v>
      </c>
      <c r="H3751" s="127" t="n">
        <v>46293</v>
      </c>
      <c r="I3751" s="4" t="n">
        <v>0</v>
      </c>
      <c r="J3751" s="4" t="n">
        <v>0</v>
      </c>
      <c r="K3751" s="4" t="n">
        <v>0</v>
      </c>
      <c r="M3751" s="2" t="str">
        <f aca="false">IF(C3751="","",IFERROR(INDEX($S$5:$S$304,MATCH(C3751,$R$5:$R$304,0))&amp;"","?"))</f>
        <v>35</v>
      </c>
      <c r="N3751" s="2" t="n">
        <f aca="false">IF(E3751="","",IF(ISNUMBER(SEARCH("SUBSOLO",E3751)),IFERROR(-VALUE(LEFT(E3751,FIND("º",SUBSTITUTE(E3751,"°","º"))-1)),-1),IF(LEFT(E3751,6)="TÉRREO",0,IFERROR(VALUE(LEFT(E3751,FIND("º",SUBSTITUTE(E3751,"°","º"))-1)),""))))</f>
        <v>17</v>
      </c>
      <c r="O3751" s="2" t="str">
        <f aca="false">IF(OR(F3751="",G3751=""),"",IF(G3751&lt;='RETRATO 2027'!$K$5,"CONCLUÍDA",IF(F3751&lt;='RETRATO 2027'!$K$5,"EM ANDAMENTO","A INICIAR")))</f>
        <v>A INICIAR</v>
      </c>
    </row>
    <row r="3752" customFormat="false" ht="15" hidden="false" customHeight="false" outlineLevel="0" collapsed="false">
      <c r="B3752" s="4" t="n">
        <v>26743107</v>
      </c>
      <c r="C3752" s="4" t="s">
        <v>3006</v>
      </c>
      <c r="D3752" s="4" t="s">
        <v>433</v>
      </c>
      <c r="E3752" s="4" t="s">
        <v>3776</v>
      </c>
      <c r="F3752" s="127" t="n">
        <v>46925</v>
      </c>
      <c r="G3752" s="127" t="n">
        <v>46933</v>
      </c>
      <c r="H3752" s="127" t="n">
        <v>46293</v>
      </c>
      <c r="I3752" s="4" t="n">
        <v>0</v>
      </c>
      <c r="J3752" s="4" t="n">
        <v>0</v>
      </c>
      <c r="K3752" s="4" t="n">
        <v>0</v>
      </c>
      <c r="M3752" s="2" t="str">
        <f aca="false">IF(C3752="","",IFERROR(INDEX($S$5:$S$304,MATCH(C3752,$R$5:$R$304,0))&amp;"","?"))</f>
        <v>37</v>
      </c>
      <c r="N3752" s="2" t="n">
        <f aca="false">IF(E3752="","",IF(ISNUMBER(SEARCH("SUBSOLO",E3752)),IFERROR(-VALUE(LEFT(E3752,FIND("º",SUBSTITUTE(E3752,"°","º"))-1)),-1),IF(LEFT(E3752,6)="TÉRREO",0,IFERROR(VALUE(LEFT(E3752,FIND("º",SUBSTITUTE(E3752,"°","º"))-1)),""))))</f>
        <v>18</v>
      </c>
      <c r="O3752" s="2" t="str">
        <f aca="false">IF(OR(F3752="",G3752=""),"",IF(G3752&lt;='RETRATO 2027'!$K$5,"CONCLUÍDA",IF(F3752&lt;='RETRATO 2027'!$K$5,"EM ANDAMENTO","A INICIAR")))</f>
        <v>A INICIAR</v>
      </c>
    </row>
    <row r="3753" customFormat="false" ht="15" hidden="false" customHeight="false" outlineLevel="0" collapsed="false">
      <c r="B3753" s="4" t="n">
        <v>26743072</v>
      </c>
      <c r="C3753" s="4" t="s">
        <v>2962</v>
      </c>
      <c r="D3753" s="4" t="s">
        <v>433</v>
      </c>
      <c r="E3753" s="4" t="s">
        <v>3779</v>
      </c>
      <c r="F3753" s="127" t="n">
        <v>46925</v>
      </c>
      <c r="G3753" s="127" t="n">
        <v>46933</v>
      </c>
      <c r="H3753" s="127" t="n">
        <v>46293</v>
      </c>
      <c r="I3753" s="4" t="n">
        <v>0</v>
      </c>
      <c r="J3753" s="4" t="n">
        <v>0</v>
      </c>
      <c r="K3753" s="4" t="n">
        <v>0</v>
      </c>
      <c r="M3753" s="2" t="str">
        <f aca="false">IF(C3753="","",IFERROR(INDEX($S$5:$S$304,MATCH(C3753,$R$5:$R$304,0))&amp;"","?"))</f>
        <v>34</v>
      </c>
      <c r="N3753" s="2" t="n">
        <f aca="false">IF(E3753="","",IF(ISNUMBER(SEARCH("SUBSOLO",E3753)),IFERROR(-VALUE(LEFT(E3753,FIND("º",SUBSTITUTE(E3753,"°","º"))-1)),-1),IF(LEFT(E3753,6)="TÉRREO",0,IFERROR(VALUE(LEFT(E3753,FIND("º",SUBSTITUTE(E3753,"°","º"))-1)),""))))</f>
        <v>19</v>
      </c>
      <c r="O3753" s="2" t="str">
        <f aca="false">IF(OR(F3753="",G3753=""),"",IF(G3753&lt;='RETRATO 2027'!$K$5,"CONCLUÍDA",IF(F3753&lt;='RETRATO 2027'!$K$5,"EM ANDAMENTO","A INICIAR")))</f>
        <v>A INICIAR</v>
      </c>
    </row>
    <row r="3754" customFormat="false" ht="15" hidden="false" customHeight="false" outlineLevel="0" collapsed="false">
      <c r="B3754" s="4" t="n">
        <v>26743077</v>
      </c>
      <c r="C3754" s="4" t="s">
        <v>3088</v>
      </c>
      <c r="D3754" s="4" t="s">
        <v>433</v>
      </c>
      <c r="E3754" s="4" t="s">
        <v>3779</v>
      </c>
      <c r="F3754" s="127" t="n">
        <v>46925</v>
      </c>
      <c r="G3754" s="127" t="n">
        <v>46933</v>
      </c>
      <c r="H3754" s="127" t="n">
        <v>46293</v>
      </c>
      <c r="I3754" s="4" t="n">
        <v>0</v>
      </c>
      <c r="J3754" s="4" t="n">
        <v>0</v>
      </c>
      <c r="K3754" s="4" t="n">
        <v>0</v>
      </c>
      <c r="M3754" s="2" t="str">
        <f aca="false">IF(C3754="","",IFERROR(INDEX($S$5:$S$304,MATCH(C3754,$R$5:$R$304,0))&amp;"","?"))</f>
        <v>20</v>
      </c>
      <c r="N3754" s="2" t="n">
        <f aca="false">IF(E3754="","",IF(ISNUMBER(SEARCH("SUBSOLO",E3754)),IFERROR(-VALUE(LEFT(E3754,FIND("º",SUBSTITUTE(E3754,"°","º"))-1)),-1),IF(LEFT(E3754,6)="TÉRREO",0,IFERROR(VALUE(LEFT(E3754,FIND("º",SUBSTITUTE(E3754,"°","º"))-1)),""))))</f>
        <v>19</v>
      </c>
      <c r="O3754" s="2" t="str">
        <f aca="false">IF(OR(F3754="",G3754=""),"",IF(G3754&lt;='RETRATO 2027'!$K$5,"CONCLUÍDA",IF(F3754&lt;='RETRATO 2027'!$K$5,"EM ANDAMENTO","A INICIAR")))</f>
        <v>A INICIAR</v>
      </c>
    </row>
    <row r="3755" customFormat="false" ht="15" hidden="false" customHeight="false" outlineLevel="0" collapsed="false">
      <c r="B3755" s="4" t="n">
        <v>26743096</v>
      </c>
      <c r="C3755" s="4" t="s">
        <v>3009</v>
      </c>
      <c r="D3755" s="4" t="s">
        <v>433</v>
      </c>
      <c r="E3755" s="4" t="s">
        <v>3779</v>
      </c>
      <c r="F3755" s="127" t="n">
        <v>46925</v>
      </c>
      <c r="G3755" s="127" t="n">
        <v>46933</v>
      </c>
      <c r="H3755" s="127" t="n">
        <v>46293</v>
      </c>
      <c r="I3755" s="4" t="n">
        <v>0</v>
      </c>
      <c r="J3755" s="4" t="n">
        <v>0</v>
      </c>
      <c r="K3755" s="4" t="n">
        <v>0</v>
      </c>
      <c r="M3755" s="2" t="str">
        <f aca="false">IF(C3755="","",IFERROR(INDEX($S$5:$S$304,MATCH(C3755,$R$5:$R$304,0))&amp;"","?"))</f>
        <v>23</v>
      </c>
      <c r="N3755" s="2" t="n">
        <f aca="false">IF(E3755="","",IF(ISNUMBER(SEARCH("SUBSOLO",E3755)),IFERROR(-VALUE(LEFT(E3755,FIND("º",SUBSTITUTE(E3755,"°","º"))-1)),-1),IF(LEFT(E3755,6)="TÉRREO",0,IFERROR(VALUE(LEFT(E3755,FIND("º",SUBSTITUTE(E3755,"°","º"))-1)),""))))</f>
        <v>19</v>
      </c>
      <c r="O3755" s="2" t="str">
        <f aca="false">IF(OR(F3755="",G3755=""),"",IF(G3755&lt;='RETRATO 2027'!$K$5,"CONCLUÍDA",IF(F3755&lt;='RETRATO 2027'!$K$5,"EM ANDAMENTO","A INICIAR")))</f>
        <v>A INICIAR</v>
      </c>
    </row>
    <row r="3756" customFormat="false" ht="15" hidden="false" customHeight="false" outlineLevel="0" collapsed="false">
      <c r="B3756" s="4" t="n">
        <v>26743034</v>
      </c>
      <c r="C3756" s="4" t="s">
        <v>3082</v>
      </c>
      <c r="D3756" s="4" t="s">
        <v>433</v>
      </c>
      <c r="E3756" s="4" t="s">
        <v>3781</v>
      </c>
      <c r="F3756" s="127" t="n">
        <v>46925</v>
      </c>
      <c r="G3756" s="127" t="n">
        <v>46933</v>
      </c>
      <c r="H3756" s="127" t="n">
        <v>46293</v>
      </c>
      <c r="I3756" s="4" t="n">
        <v>0</v>
      </c>
      <c r="J3756" s="4" t="n">
        <v>0</v>
      </c>
      <c r="K3756" s="4" t="n">
        <v>0</v>
      </c>
      <c r="M3756" s="2" t="str">
        <f aca="false">IF(C3756="","",IFERROR(INDEX($S$5:$S$304,MATCH(C3756,$R$5:$R$304,0))&amp;"","?"))</f>
        <v>30</v>
      </c>
      <c r="N3756" s="2" t="n">
        <f aca="false">IF(E3756="","",IF(ISNUMBER(SEARCH("SUBSOLO",E3756)),IFERROR(-VALUE(LEFT(E3756,FIND("º",SUBSTITUTE(E3756,"°","º"))-1)),-1),IF(LEFT(E3756,6)="TÉRREO",0,IFERROR(VALUE(LEFT(E3756,FIND("º",SUBSTITUTE(E3756,"°","º"))-1)),""))))</f>
        <v>20</v>
      </c>
      <c r="O3756" s="2" t="str">
        <f aca="false">IF(OR(F3756="",G3756=""),"",IF(G3756&lt;='RETRATO 2027'!$K$5,"CONCLUÍDA",IF(F3756&lt;='RETRATO 2027'!$K$5,"EM ANDAMENTO","A INICIAR")))</f>
        <v>A INICIAR</v>
      </c>
    </row>
    <row r="3757" customFormat="false" ht="15" hidden="false" customHeight="false" outlineLevel="0" collapsed="false">
      <c r="B3757" s="4" t="n">
        <v>26743027</v>
      </c>
      <c r="C3757" s="4" t="s">
        <v>3079</v>
      </c>
      <c r="D3757" s="4" t="s">
        <v>433</v>
      </c>
      <c r="E3757" s="4" t="s">
        <v>3783</v>
      </c>
      <c r="F3757" s="127" t="n">
        <v>46925</v>
      </c>
      <c r="G3757" s="127" t="n">
        <v>46933</v>
      </c>
      <c r="H3757" s="127" t="n">
        <v>46293</v>
      </c>
      <c r="I3757" s="4" t="n">
        <v>0</v>
      </c>
      <c r="J3757" s="4" t="n">
        <v>0</v>
      </c>
      <c r="K3757" s="4" t="n">
        <v>0</v>
      </c>
      <c r="M3757" s="2" t="str">
        <f aca="false">IF(C3757="","",IFERROR(INDEX($S$5:$S$304,MATCH(C3757,$R$5:$R$304,0))&amp;"","?"))</f>
        <v>25</v>
      </c>
      <c r="N3757" s="2" t="n">
        <f aca="false">IF(E3757="","",IF(ISNUMBER(SEARCH("SUBSOLO",E3757)),IFERROR(-VALUE(LEFT(E3757,FIND("º",SUBSTITUTE(E3757,"°","º"))-1)),-1),IF(LEFT(E3757,6)="TÉRREO",0,IFERROR(VALUE(LEFT(E3757,FIND("º",SUBSTITUTE(E3757,"°","º"))-1)),""))))</f>
        <v>21</v>
      </c>
      <c r="O3757" s="2" t="str">
        <f aca="false">IF(OR(F3757="",G3757=""),"",IF(G3757&lt;='RETRATO 2027'!$K$5,"CONCLUÍDA",IF(F3757&lt;='RETRATO 2027'!$K$5,"EM ANDAMENTO","A INICIAR")))</f>
        <v>A INICIAR</v>
      </c>
    </row>
    <row r="3758" customFormat="false" ht="15" hidden="false" customHeight="false" outlineLevel="0" collapsed="false">
      <c r="B3758" s="4" t="n">
        <v>26742988</v>
      </c>
      <c r="C3758" s="4" t="s">
        <v>3073</v>
      </c>
      <c r="D3758" s="4" t="s">
        <v>433</v>
      </c>
      <c r="E3758" s="4" t="s">
        <v>3786</v>
      </c>
      <c r="F3758" s="127" t="n">
        <v>46925</v>
      </c>
      <c r="G3758" s="127" t="n">
        <v>46933</v>
      </c>
      <c r="H3758" s="127" t="n">
        <v>46293</v>
      </c>
      <c r="I3758" s="4" t="n">
        <v>0</v>
      </c>
      <c r="J3758" s="4" t="n">
        <v>0</v>
      </c>
      <c r="K3758" s="4" t="n">
        <v>0</v>
      </c>
      <c r="M3758" s="2" t="str">
        <f aca="false">IF(C3758="","",IFERROR(INDEX($S$5:$S$304,MATCH(C3758,$R$5:$R$304,0))&amp;"","?"))</f>
        <v>30</v>
      </c>
      <c r="N3758" s="2" t="n">
        <f aca="false">IF(E3758="","",IF(ISNUMBER(SEARCH("SUBSOLO",E3758)),IFERROR(-VALUE(LEFT(E3758,FIND("º",SUBSTITUTE(E3758,"°","º"))-1)),-1),IF(LEFT(E3758,6)="TÉRREO",0,IFERROR(VALUE(LEFT(E3758,FIND("º",SUBSTITUTE(E3758,"°","º"))-1)),""))))</f>
        <v>22</v>
      </c>
      <c r="O3758" s="2" t="str">
        <f aca="false">IF(OR(F3758="",G3758=""),"",IF(G3758&lt;='RETRATO 2027'!$K$5,"CONCLUÍDA",IF(F3758&lt;='RETRATO 2027'!$K$5,"EM ANDAMENTO","A INICIAR")))</f>
        <v>A INICIAR</v>
      </c>
    </row>
    <row r="3759" customFormat="false" ht="15" hidden="false" customHeight="false" outlineLevel="0" collapsed="false">
      <c r="B3759" s="4" t="n">
        <v>26742950</v>
      </c>
      <c r="C3759" s="4" t="s">
        <v>3055</v>
      </c>
      <c r="D3759" s="4" t="s">
        <v>433</v>
      </c>
      <c r="E3759" s="4" t="s">
        <v>3787</v>
      </c>
      <c r="F3759" s="127" t="n">
        <v>46925</v>
      </c>
      <c r="G3759" s="127" t="n">
        <v>46933</v>
      </c>
      <c r="H3759" s="127" t="n">
        <v>46293</v>
      </c>
      <c r="I3759" s="4" t="n">
        <v>0</v>
      </c>
      <c r="J3759" s="4" t="n">
        <v>0</v>
      </c>
      <c r="K3759" s="4" t="n">
        <v>0</v>
      </c>
      <c r="M3759" s="2" t="str">
        <f aca="false">IF(C3759="","",IFERROR(INDEX($S$5:$S$304,MATCH(C3759,$R$5:$R$304,0))&amp;"","?"))</f>
        <v>25</v>
      </c>
      <c r="N3759" s="2" t="n">
        <f aca="false">IF(E3759="","",IF(ISNUMBER(SEARCH("SUBSOLO",E3759)),IFERROR(-VALUE(LEFT(E3759,FIND("º",SUBSTITUTE(E3759,"°","º"))-1)),-1),IF(LEFT(E3759,6)="TÉRREO",0,IFERROR(VALUE(LEFT(E3759,FIND("º",SUBSTITUTE(E3759,"°","º"))-1)),""))))</f>
        <v>23</v>
      </c>
      <c r="O3759" s="2" t="str">
        <f aca="false">IF(OR(F3759="",G3759=""),"",IF(G3759&lt;='RETRATO 2027'!$K$5,"CONCLUÍDA",IF(F3759&lt;='RETRATO 2027'!$K$5,"EM ANDAMENTO","A INICIAR")))</f>
        <v>A INICIAR</v>
      </c>
    </row>
    <row r="3760" customFormat="false" ht="15" hidden="false" customHeight="false" outlineLevel="0" collapsed="false">
      <c r="B3760" s="4" t="n">
        <v>26750573</v>
      </c>
      <c r="C3760" s="4" t="s">
        <v>2965</v>
      </c>
      <c r="D3760" s="4" t="s">
        <v>433</v>
      </c>
      <c r="E3760" s="4" t="s">
        <v>3821</v>
      </c>
      <c r="F3760" s="127" t="n">
        <v>46926</v>
      </c>
      <c r="G3760" s="127" t="n">
        <v>46932</v>
      </c>
      <c r="H3760" s="127" t="n">
        <v>46293</v>
      </c>
      <c r="I3760" s="4" t="n">
        <v>0</v>
      </c>
      <c r="J3760" s="4" t="n">
        <v>0</v>
      </c>
      <c r="K3760" s="4" t="n">
        <v>0</v>
      </c>
      <c r="M3760" s="2" t="str">
        <f aca="false">IF(C3760="","",IFERROR(INDEX($S$5:$S$304,MATCH(C3760,$R$5:$R$304,0))&amp;"","?"))</f>
        <v>20</v>
      </c>
      <c r="N3760" s="2" t="n">
        <f aca="false">IF(E3760="","",IF(ISNUMBER(SEARCH("SUBSOLO",E3760)),IFERROR(-VALUE(LEFT(E3760,FIND("º",SUBSTITUTE(E3760,"°","º"))-1)),-1),IF(LEFT(E3760,6)="TÉRREO",0,IFERROR(VALUE(LEFT(E3760,FIND("º",SUBSTITUTE(E3760,"°","º"))-1)),""))))</f>
        <v>-6</v>
      </c>
      <c r="O3760" s="2" t="str">
        <f aca="false">IF(OR(F3760="",G3760=""),"",IF(G3760&lt;='RETRATO 2027'!$K$5,"CONCLUÍDA",IF(F3760&lt;='RETRATO 2027'!$K$5,"EM ANDAMENTO","A INICIAR")))</f>
        <v>A INICIAR</v>
      </c>
    </row>
    <row r="3761" customFormat="false" ht="15" hidden="false" customHeight="false" outlineLevel="0" collapsed="false">
      <c r="B3761" s="4" t="n">
        <v>26743185</v>
      </c>
      <c r="C3761" s="4" t="s">
        <v>2938</v>
      </c>
      <c r="D3761" s="4" t="s">
        <v>433</v>
      </c>
      <c r="E3761" s="4" t="s">
        <v>3771</v>
      </c>
      <c r="F3761" s="127" t="n">
        <v>46926</v>
      </c>
      <c r="G3761" s="127" t="n">
        <v>46934</v>
      </c>
      <c r="H3761" s="127" t="n">
        <v>46293</v>
      </c>
      <c r="I3761" s="4" t="n">
        <v>0</v>
      </c>
      <c r="J3761" s="4" t="n">
        <v>0</v>
      </c>
      <c r="K3761" s="4" t="n">
        <v>0</v>
      </c>
      <c r="M3761" s="2" t="str">
        <f aca="false">IF(C3761="","",IFERROR(INDEX($S$5:$S$304,MATCH(C3761,$R$5:$R$304,0))&amp;"","?"))</f>
        <v>30</v>
      </c>
      <c r="N3761" s="2" t="n">
        <f aca="false">IF(E3761="","",IF(ISNUMBER(SEARCH("SUBSOLO",E3761)),IFERROR(-VALUE(LEFT(E3761,FIND("º",SUBSTITUTE(E3761,"°","º"))-1)),-1),IF(LEFT(E3761,6)="TÉRREO",0,IFERROR(VALUE(LEFT(E3761,FIND("º",SUBSTITUTE(E3761,"°","º"))-1)),""))))</f>
        <v>16</v>
      </c>
      <c r="O3761" s="2" t="str">
        <f aca="false">IF(OR(F3761="",G3761=""),"",IF(G3761&lt;='RETRATO 2027'!$K$5,"CONCLUÍDA",IF(F3761&lt;='RETRATO 2027'!$K$5,"EM ANDAMENTO","A INICIAR")))</f>
        <v>A INICIAR</v>
      </c>
    </row>
    <row r="3762" customFormat="false" ht="15" hidden="false" customHeight="false" outlineLevel="0" collapsed="false">
      <c r="B3762" s="4" t="n">
        <v>26708170</v>
      </c>
      <c r="C3762" s="4" t="s">
        <v>2948</v>
      </c>
      <c r="D3762" s="4" t="s">
        <v>433</v>
      </c>
      <c r="E3762" s="4" t="s">
        <v>3628</v>
      </c>
      <c r="F3762" s="127" t="n">
        <v>46927</v>
      </c>
      <c r="G3762" s="127" t="n">
        <v>46938</v>
      </c>
      <c r="H3762" s="127" t="n">
        <v>46293</v>
      </c>
      <c r="I3762" s="4" t="n">
        <v>0</v>
      </c>
      <c r="J3762" s="4" t="n">
        <v>0</v>
      </c>
      <c r="K3762" s="4" t="n">
        <v>0</v>
      </c>
      <c r="M3762" s="2" t="str">
        <f aca="false">IF(C3762="","",IFERROR(INDEX($S$5:$S$304,MATCH(C3762,$R$5:$R$304,0))&amp;"","?"))</f>
        <v>25</v>
      </c>
      <c r="N3762" s="2" t="n">
        <f aca="false">IF(E3762="","",IF(ISNUMBER(SEARCH("SUBSOLO",E3762)),IFERROR(-VALUE(LEFT(E3762,FIND("º",SUBSTITUTE(E3762,"°","º"))-1)),-1),IF(LEFT(E3762,6)="TÉRREO",0,IFERROR(VALUE(LEFT(E3762,FIND("º",SUBSTITUTE(E3762,"°","º"))-1)),""))))</f>
        <v>-6</v>
      </c>
      <c r="O3762" s="2" t="str">
        <f aca="false">IF(OR(F3762="",G3762=""),"",IF(G3762&lt;='RETRATO 2027'!$K$5,"CONCLUÍDA",IF(F3762&lt;='RETRATO 2027'!$K$5,"EM ANDAMENTO","A INICIAR")))</f>
        <v>A INICIAR</v>
      </c>
    </row>
    <row r="3763" customFormat="false" ht="15" hidden="false" customHeight="false" outlineLevel="0" collapsed="false">
      <c r="B3763" s="4" t="n">
        <v>26708136</v>
      </c>
      <c r="C3763" s="4" t="s">
        <v>2980</v>
      </c>
      <c r="D3763" s="4" t="s">
        <v>433</v>
      </c>
      <c r="E3763" s="4" t="s">
        <v>3813</v>
      </c>
      <c r="F3763" s="127" t="n">
        <v>46927</v>
      </c>
      <c r="G3763" s="127" t="n">
        <v>46938</v>
      </c>
      <c r="H3763" s="127" t="n">
        <v>46293</v>
      </c>
      <c r="I3763" s="4" t="n">
        <v>0</v>
      </c>
      <c r="J3763" s="4" t="n">
        <v>0</v>
      </c>
      <c r="K3763" s="4" t="n">
        <v>0</v>
      </c>
      <c r="M3763" s="2" t="str">
        <f aca="false">IF(C3763="","",IFERROR(INDEX($S$5:$S$304,MATCH(C3763,$R$5:$R$304,0))&amp;"","?"))</f>
        <v>35</v>
      </c>
      <c r="N3763" s="2" t="n">
        <f aca="false">IF(E3763="","",IF(ISNUMBER(SEARCH("SUBSOLO",E3763)),IFERROR(-VALUE(LEFT(E3763,FIND("º",SUBSTITUTE(E3763,"°","º"))-1)),-1),IF(LEFT(E3763,6)="TÉRREO",0,IFERROR(VALUE(LEFT(E3763,FIND("º",SUBSTITUTE(E3763,"°","º"))-1)),""))))</f>
        <v>-6</v>
      </c>
      <c r="O3763" s="2" t="str">
        <f aca="false">IF(OR(F3763="",G3763=""),"",IF(G3763&lt;='RETRATO 2027'!$K$5,"CONCLUÍDA",IF(F3763&lt;='RETRATO 2027'!$K$5,"EM ANDAMENTO","A INICIAR")))</f>
        <v>A INICIAR</v>
      </c>
    </row>
    <row r="3764" customFormat="false" ht="15" hidden="false" customHeight="false" outlineLevel="0" collapsed="false">
      <c r="B3764" s="4" t="n">
        <v>26750579</v>
      </c>
      <c r="C3764" s="4" t="s">
        <v>208</v>
      </c>
      <c r="D3764" s="4" t="s">
        <v>433</v>
      </c>
      <c r="E3764" s="4" t="s">
        <v>3814</v>
      </c>
      <c r="F3764" s="127" t="n">
        <v>46927</v>
      </c>
      <c r="G3764" s="127" t="n">
        <v>46938</v>
      </c>
      <c r="H3764" s="127" t="n">
        <v>46293</v>
      </c>
      <c r="I3764" s="4" t="n">
        <v>0</v>
      </c>
      <c r="J3764" s="4" t="n">
        <v>0</v>
      </c>
      <c r="K3764" s="4" t="n">
        <v>0</v>
      </c>
      <c r="M3764" s="2" t="str">
        <f aca="false">IF(C3764="","",IFERROR(INDEX($S$5:$S$304,MATCH(C3764,$R$5:$R$304,0))&amp;"","?"))</f>
        <v>33</v>
      </c>
      <c r="N3764" s="2" t="n">
        <f aca="false">IF(E3764="","",IF(ISNUMBER(SEARCH("SUBSOLO",E3764)),IFERROR(-VALUE(LEFT(E3764,FIND("º",SUBSTITUTE(E3764,"°","º"))-1)),-1),IF(LEFT(E3764,6)="TÉRREO",0,IFERROR(VALUE(LEFT(E3764,FIND("º",SUBSTITUTE(E3764,"°","º"))-1)),""))))</f>
        <v>-6</v>
      </c>
      <c r="O3764" s="2" t="str">
        <f aca="false">IF(OR(F3764="",G3764=""),"",IF(G3764&lt;='RETRATO 2027'!$K$5,"CONCLUÍDA",IF(F3764&lt;='RETRATO 2027'!$K$5,"EM ANDAMENTO","A INICIAR")))</f>
        <v>A INICIAR</v>
      </c>
    </row>
    <row r="3765" customFormat="false" ht="15" hidden="false" customHeight="false" outlineLevel="0" collapsed="false">
      <c r="B3765" s="4" t="n">
        <v>26744462</v>
      </c>
      <c r="C3765" s="4" t="s">
        <v>77</v>
      </c>
      <c r="D3765" s="4" t="s">
        <v>433</v>
      </c>
      <c r="E3765" s="4" t="s">
        <v>3829</v>
      </c>
      <c r="F3765" s="127" t="n">
        <v>46927</v>
      </c>
      <c r="G3765" s="127" t="n">
        <v>46958</v>
      </c>
      <c r="H3765" s="127" t="n">
        <v>46293</v>
      </c>
      <c r="I3765" s="4" t="n">
        <v>0</v>
      </c>
      <c r="J3765" s="4" t="n">
        <v>0</v>
      </c>
      <c r="K3765" s="4" t="n">
        <v>0</v>
      </c>
      <c r="M3765" s="2" t="str">
        <f aca="false">IF(C3765="","",IFERROR(INDEX($S$5:$S$304,MATCH(C3765,$R$5:$R$304,0))&amp;"","?"))</f>
        <v>20</v>
      </c>
      <c r="N3765" s="2" t="n">
        <f aca="false">IF(E3765="","",IF(ISNUMBER(SEARCH("SUBSOLO",E3765)),IFERROR(-VALUE(LEFT(E3765,FIND("º",SUBSTITUTE(E3765,"°","º"))-1)),-1),IF(LEFT(E3765,6)="TÉRREO",0,IFERROR(VALUE(LEFT(E3765,FIND("º",SUBSTITUTE(E3765,"°","º"))-1)),""))))</f>
        <v>3</v>
      </c>
      <c r="O3765" s="2" t="str">
        <f aca="false">IF(OR(F3765="",G3765=""),"",IF(G3765&lt;='RETRATO 2027'!$K$5,"CONCLUÍDA",IF(F3765&lt;='RETRATO 2027'!$K$5,"EM ANDAMENTO","A INICIAR")))</f>
        <v>A INICIAR</v>
      </c>
    </row>
    <row r="3766" customFormat="false" ht="15" hidden="false" customHeight="false" outlineLevel="0" collapsed="false">
      <c r="B3766" s="4" t="n">
        <v>26744458</v>
      </c>
      <c r="C3766" s="4" t="s">
        <v>3043</v>
      </c>
      <c r="D3766" s="4" t="s">
        <v>433</v>
      </c>
      <c r="E3766" s="4" t="s">
        <v>3829</v>
      </c>
      <c r="F3766" s="127" t="n">
        <v>46927</v>
      </c>
      <c r="G3766" s="127" t="n">
        <v>46958</v>
      </c>
      <c r="H3766" s="127" t="n">
        <v>46293</v>
      </c>
      <c r="I3766" s="4" t="n">
        <v>0</v>
      </c>
      <c r="J3766" s="4" t="n">
        <v>0</v>
      </c>
      <c r="K3766" s="4" t="n">
        <v>0</v>
      </c>
      <c r="M3766" s="2" t="str">
        <f aca="false">IF(C3766="","",IFERROR(INDEX($S$5:$S$304,MATCH(C3766,$R$5:$R$304,0))&amp;"","?"))</f>
        <v>30</v>
      </c>
      <c r="N3766" s="2" t="n">
        <f aca="false">IF(E3766="","",IF(ISNUMBER(SEARCH("SUBSOLO",E3766)),IFERROR(-VALUE(LEFT(E3766,FIND("º",SUBSTITUTE(E3766,"°","º"))-1)),-1),IF(LEFT(E3766,6)="TÉRREO",0,IFERROR(VALUE(LEFT(E3766,FIND("º",SUBSTITUTE(E3766,"°","º"))-1)),""))))</f>
        <v>3</v>
      </c>
      <c r="O3766" s="2" t="str">
        <f aca="false">IF(OR(F3766="",G3766=""),"",IF(G3766&lt;='RETRATO 2027'!$K$5,"CONCLUÍDA",IF(F3766&lt;='RETRATO 2027'!$K$5,"EM ANDAMENTO","A INICIAR")))</f>
        <v>A INICIAR</v>
      </c>
    </row>
    <row r="3767" customFormat="false" ht="15" hidden="false" customHeight="false" outlineLevel="0" collapsed="false">
      <c r="B3767" s="4" t="n">
        <v>26744515</v>
      </c>
      <c r="C3767" s="4" t="s">
        <v>3015</v>
      </c>
      <c r="D3767" s="4" t="s">
        <v>433</v>
      </c>
      <c r="E3767" s="4" t="s">
        <v>3827</v>
      </c>
      <c r="F3767" s="127" t="n">
        <v>46927</v>
      </c>
      <c r="G3767" s="127" t="n">
        <v>46958</v>
      </c>
      <c r="H3767" s="127" t="n">
        <v>46293</v>
      </c>
      <c r="I3767" s="4" t="n">
        <v>0</v>
      </c>
      <c r="J3767" s="4" t="n">
        <v>0</v>
      </c>
      <c r="K3767" s="4" t="n">
        <v>0</v>
      </c>
      <c r="M3767" s="2" t="str">
        <f aca="false">IF(C3767="","",IFERROR(INDEX($S$5:$S$304,MATCH(C3767,$R$5:$R$304,0))&amp;"","?"))</f>
        <v>30</v>
      </c>
      <c r="N3767" s="2" t="n">
        <f aca="false">IF(E3767="","",IF(ISNUMBER(SEARCH("SUBSOLO",E3767)),IFERROR(-VALUE(LEFT(E3767,FIND("º",SUBSTITUTE(E3767,"°","º"))-1)),-1),IF(LEFT(E3767,6)="TÉRREO",0,IFERROR(VALUE(LEFT(E3767,FIND("º",SUBSTITUTE(E3767,"°","º"))-1)),""))))</f>
        <v>3</v>
      </c>
      <c r="O3767" s="2" t="str">
        <f aca="false">IF(OR(F3767="",G3767=""),"",IF(G3767&lt;='RETRATO 2027'!$K$5,"CONCLUÍDA",IF(F3767&lt;='RETRATO 2027'!$K$5,"EM ANDAMENTO","A INICIAR")))</f>
        <v>A INICIAR</v>
      </c>
    </row>
    <row r="3768" customFormat="false" ht="15" hidden="false" customHeight="false" outlineLevel="0" collapsed="false">
      <c r="B3768" s="4" t="n">
        <v>26744465</v>
      </c>
      <c r="C3768" s="4" t="s">
        <v>3015</v>
      </c>
      <c r="D3768" s="4" t="s">
        <v>433</v>
      </c>
      <c r="E3768" s="4" t="s">
        <v>3796</v>
      </c>
      <c r="F3768" s="127" t="n">
        <v>46927</v>
      </c>
      <c r="G3768" s="127" t="n">
        <v>46947</v>
      </c>
      <c r="H3768" s="127" t="n">
        <v>46293</v>
      </c>
      <c r="I3768" s="4" t="n">
        <v>0</v>
      </c>
      <c r="J3768" s="4" t="n">
        <v>0</v>
      </c>
      <c r="K3768" s="4" t="n">
        <v>0</v>
      </c>
      <c r="M3768" s="2" t="str">
        <f aca="false">IF(C3768="","",IFERROR(INDEX($S$5:$S$304,MATCH(C3768,$R$5:$R$304,0))&amp;"","?"))</f>
        <v>30</v>
      </c>
      <c r="N3768" s="2" t="n">
        <f aca="false">IF(E3768="","",IF(ISNUMBER(SEARCH("SUBSOLO",E3768)),IFERROR(-VALUE(LEFT(E3768,FIND("º",SUBSTITUTE(E3768,"°","º"))-1)),-1),IF(LEFT(E3768,6)="TÉRREO",0,IFERROR(VALUE(LEFT(E3768,FIND("º",SUBSTITUTE(E3768,"°","º"))-1)),""))))</f>
        <v>3</v>
      </c>
      <c r="O3768" s="2" t="str">
        <f aca="false">IF(OR(F3768="",G3768=""),"",IF(G3768&lt;='RETRATO 2027'!$K$5,"CONCLUÍDA",IF(F3768&lt;='RETRATO 2027'!$K$5,"EM ANDAMENTO","A INICIAR")))</f>
        <v>A INICIAR</v>
      </c>
    </row>
    <row r="3769" customFormat="false" ht="15" hidden="false" customHeight="false" outlineLevel="0" collapsed="false">
      <c r="B3769" s="4" t="n">
        <v>26744650</v>
      </c>
      <c r="C3769" s="4" t="s">
        <v>2948</v>
      </c>
      <c r="D3769" s="4" t="s">
        <v>433</v>
      </c>
      <c r="E3769" s="4" t="s">
        <v>3774</v>
      </c>
      <c r="F3769" s="127" t="n">
        <v>46927</v>
      </c>
      <c r="G3769" s="127" t="n">
        <v>46934</v>
      </c>
      <c r="H3769" s="127" t="n">
        <v>46293</v>
      </c>
      <c r="I3769" s="4" t="n">
        <v>0</v>
      </c>
      <c r="J3769" s="4" t="n">
        <v>0</v>
      </c>
      <c r="K3769" s="4" t="n">
        <v>0</v>
      </c>
      <c r="M3769" s="2" t="str">
        <f aca="false">IF(C3769="","",IFERROR(INDEX($S$5:$S$304,MATCH(C3769,$R$5:$R$304,0))&amp;"","?"))</f>
        <v>25</v>
      </c>
      <c r="N3769" s="2" t="n">
        <f aca="false">IF(E3769="","",IF(ISNUMBER(SEARCH("SUBSOLO",E3769)),IFERROR(-VALUE(LEFT(E3769,FIND("º",SUBSTITUTE(E3769,"°","º"))-1)),-1),IF(LEFT(E3769,6)="TÉRREO",0,IFERROR(VALUE(LEFT(E3769,FIND("º",SUBSTITUTE(E3769,"°","º"))-1)),""))))</f>
        <v>3</v>
      </c>
      <c r="O3769" s="2" t="str">
        <f aca="false">IF(OR(F3769="",G3769=""),"",IF(G3769&lt;='RETRATO 2027'!$K$5,"CONCLUÍDA",IF(F3769&lt;='RETRATO 2027'!$K$5,"EM ANDAMENTO","A INICIAR")))</f>
        <v>A INICIAR</v>
      </c>
    </row>
    <row r="3770" customFormat="false" ht="15" hidden="false" customHeight="false" outlineLevel="0" collapsed="false">
      <c r="B3770" s="4" t="n">
        <v>26745196</v>
      </c>
      <c r="C3770" s="4" t="s">
        <v>3029</v>
      </c>
      <c r="D3770" s="4" t="s">
        <v>433</v>
      </c>
      <c r="E3770" s="4" t="s">
        <v>3657</v>
      </c>
      <c r="F3770" s="127" t="n">
        <v>46930</v>
      </c>
      <c r="G3770" s="127" t="n">
        <v>46939</v>
      </c>
      <c r="H3770" s="127" t="n">
        <v>46293</v>
      </c>
      <c r="I3770" s="4" t="n">
        <v>0</v>
      </c>
      <c r="J3770" s="4" t="n">
        <v>0</v>
      </c>
      <c r="K3770" s="4" t="n">
        <v>0</v>
      </c>
      <c r="M3770" s="2" t="str">
        <f aca="false">IF(C3770="","",IFERROR(INDEX($S$5:$S$304,MATCH(C3770,$R$5:$R$304,0))&amp;"","?"))</f>
        <v/>
      </c>
      <c r="N3770" s="2" t="n">
        <f aca="false">IF(E3770="","",IF(ISNUMBER(SEARCH("SUBSOLO",E3770)),IFERROR(-VALUE(LEFT(E3770,FIND("º",SUBSTITUTE(E3770,"°","º"))-1)),-1),IF(LEFT(E3770,6)="TÉRREO",0,IFERROR(VALUE(LEFT(E3770,FIND("º",SUBSTITUTE(E3770,"°","º"))-1)),""))))</f>
        <v>-5</v>
      </c>
      <c r="O3770" s="2" t="str">
        <f aca="false">IF(OR(F3770="",G3770=""),"",IF(G3770&lt;='RETRATO 2027'!$K$5,"CONCLUÍDA",IF(F3770&lt;='RETRATO 2027'!$K$5,"EM ANDAMENTO","A INICIAR")))</f>
        <v>A INICIAR</v>
      </c>
    </row>
    <row r="3771" customFormat="false" ht="15" hidden="false" customHeight="false" outlineLevel="0" collapsed="false">
      <c r="B3771" s="4" t="n">
        <v>26744743</v>
      </c>
      <c r="C3771" s="4" t="s">
        <v>3029</v>
      </c>
      <c r="D3771" s="4" t="s">
        <v>433</v>
      </c>
      <c r="E3771" s="4" t="s">
        <v>3800</v>
      </c>
      <c r="F3771" s="127" t="n">
        <v>46930</v>
      </c>
      <c r="G3771" s="127" t="n">
        <v>46937</v>
      </c>
      <c r="H3771" s="127" t="n">
        <v>46293</v>
      </c>
      <c r="I3771" s="4" t="n">
        <v>0</v>
      </c>
      <c r="J3771" s="4" t="n">
        <v>0</v>
      </c>
      <c r="K3771" s="4" t="n">
        <v>0</v>
      </c>
      <c r="M3771" s="2" t="str">
        <f aca="false">IF(C3771="","",IFERROR(INDEX($S$5:$S$304,MATCH(C3771,$R$5:$R$304,0))&amp;"","?"))</f>
        <v/>
      </c>
      <c r="N3771" s="2" t="n">
        <f aca="false">IF(E3771="","",IF(ISNUMBER(SEARCH("SUBSOLO",E3771)),IFERROR(-VALUE(LEFT(E3771,FIND("º",SUBSTITUTE(E3771,"°","º"))-1)),-1),IF(LEFT(E3771,6)="TÉRREO",0,IFERROR(VALUE(LEFT(E3771,FIND("º",SUBSTITUTE(E3771,"°","º"))-1)),""))))</f>
        <v>3</v>
      </c>
      <c r="O3771" s="2" t="str">
        <f aca="false">IF(OR(F3771="",G3771=""),"",IF(G3771&lt;='RETRATO 2027'!$K$5,"CONCLUÍDA",IF(F3771&lt;='RETRATO 2027'!$K$5,"EM ANDAMENTO","A INICIAR")))</f>
        <v>A INICIAR</v>
      </c>
    </row>
    <row r="3772" customFormat="false" ht="15" hidden="false" customHeight="false" outlineLevel="0" collapsed="false">
      <c r="B3772" s="4" t="n">
        <v>26743784</v>
      </c>
      <c r="C3772" s="4" t="s">
        <v>3029</v>
      </c>
      <c r="D3772" s="4" t="s">
        <v>433</v>
      </c>
      <c r="E3772" s="4" t="s">
        <v>3473</v>
      </c>
      <c r="F3772" s="127" t="n">
        <v>46932</v>
      </c>
      <c r="G3772" s="127" t="n">
        <v>46938</v>
      </c>
      <c r="H3772" s="127" t="n">
        <v>46293</v>
      </c>
      <c r="I3772" s="4" t="n">
        <v>0</v>
      </c>
      <c r="J3772" s="4" t="n">
        <v>0</v>
      </c>
      <c r="K3772" s="4" t="n">
        <v>0</v>
      </c>
      <c r="M3772" s="2" t="str">
        <f aca="false">IF(C3772="","",IFERROR(INDEX($S$5:$S$304,MATCH(C3772,$R$5:$R$304,0))&amp;"","?"))</f>
        <v/>
      </c>
      <c r="N3772" s="2" t="n">
        <f aca="false">IF(E3772="","",IF(ISNUMBER(SEARCH("SUBSOLO",E3772)),IFERROR(-VALUE(LEFT(E3772,FIND("º",SUBSTITUTE(E3772,"°","º"))-1)),-1),IF(LEFT(E3772,6)="TÉRREO",0,IFERROR(VALUE(LEFT(E3772,FIND("º",SUBSTITUTE(E3772,"°","º"))-1)),""))))</f>
        <v>-5</v>
      </c>
      <c r="O3772" s="2" t="str">
        <f aca="false">IF(OR(F3772="",G3772=""),"",IF(G3772&lt;='RETRATO 2027'!$K$5,"CONCLUÍDA",IF(F3772&lt;='RETRATO 2027'!$K$5,"EM ANDAMENTO","A INICIAR")))</f>
        <v>A INICIAR</v>
      </c>
    </row>
    <row r="3773" customFormat="false" ht="15" hidden="false" customHeight="false" outlineLevel="0" collapsed="false">
      <c r="B3773" s="4" t="n">
        <v>26744692</v>
      </c>
      <c r="C3773" s="4" t="s">
        <v>2971</v>
      </c>
      <c r="D3773" s="4" t="s">
        <v>433</v>
      </c>
      <c r="E3773" s="4" t="s">
        <v>3810</v>
      </c>
      <c r="F3773" s="127" t="n">
        <v>46932</v>
      </c>
      <c r="G3773" s="127" t="n">
        <v>46939</v>
      </c>
      <c r="H3773" s="127" t="n">
        <v>46293</v>
      </c>
      <c r="I3773" s="4" t="n">
        <v>0</v>
      </c>
      <c r="J3773" s="4" t="n">
        <v>0</v>
      </c>
      <c r="K3773" s="4" t="n">
        <v>0</v>
      </c>
      <c r="M3773" s="2" t="str">
        <f aca="false">IF(C3773="","",IFERROR(INDEX($S$5:$S$304,MATCH(C3773,$R$5:$R$304,0))&amp;"","?"))</f>
        <v>37</v>
      </c>
      <c r="N3773" s="2" t="n">
        <f aca="false">IF(E3773="","",IF(ISNUMBER(SEARCH("SUBSOLO",E3773)),IFERROR(-VALUE(LEFT(E3773,FIND("º",SUBSTITUTE(E3773,"°","º"))-1)),-1),IF(LEFT(E3773,6)="TÉRREO",0,IFERROR(VALUE(LEFT(E3773,FIND("º",SUBSTITUTE(E3773,"°","º"))-1)),""))))</f>
        <v>3</v>
      </c>
      <c r="O3773" s="2" t="str">
        <f aca="false">IF(OR(F3773="",G3773=""),"",IF(G3773&lt;='RETRATO 2027'!$K$5,"CONCLUÍDA",IF(F3773&lt;='RETRATO 2027'!$K$5,"EM ANDAMENTO","A INICIAR")))</f>
        <v>A INICIAR</v>
      </c>
    </row>
    <row r="3774" customFormat="false" ht="15" hidden="false" customHeight="false" outlineLevel="0" collapsed="false">
      <c r="B3774" s="4" t="n">
        <v>26750574</v>
      </c>
      <c r="C3774" s="4" t="s">
        <v>2971</v>
      </c>
      <c r="D3774" s="4" t="s">
        <v>433</v>
      </c>
      <c r="E3774" s="4" t="s">
        <v>3821</v>
      </c>
      <c r="F3774" s="127" t="n">
        <v>46933</v>
      </c>
      <c r="G3774" s="127" t="n">
        <v>46939</v>
      </c>
      <c r="H3774" s="127" t="n">
        <v>46293</v>
      </c>
      <c r="I3774" s="4" t="n">
        <v>0</v>
      </c>
      <c r="J3774" s="4" t="n">
        <v>0</v>
      </c>
      <c r="K3774" s="4" t="n">
        <v>0</v>
      </c>
      <c r="M3774" s="2" t="str">
        <f aca="false">IF(C3774="","",IFERROR(INDEX($S$5:$S$304,MATCH(C3774,$R$5:$R$304,0))&amp;"","?"))</f>
        <v>37</v>
      </c>
      <c r="N3774" s="2" t="n">
        <f aca="false">IF(E3774="","",IF(ISNUMBER(SEARCH("SUBSOLO",E3774)),IFERROR(-VALUE(LEFT(E3774,FIND("º",SUBSTITUTE(E3774,"°","º"))-1)),-1),IF(LEFT(E3774,6)="TÉRREO",0,IFERROR(VALUE(LEFT(E3774,FIND("º",SUBSTITUTE(E3774,"°","º"))-1)),""))))</f>
        <v>-6</v>
      </c>
      <c r="O3774" s="2" t="str">
        <f aca="false">IF(OR(F3774="",G3774=""),"",IF(G3774&lt;='RETRATO 2027'!$K$5,"CONCLUÍDA",IF(F3774&lt;='RETRATO 2027'!$K$5,"EM ANDAMENTO","A INICIAR")))</f>
        <v>A INICIAR</v>
      </c>
    </row>
    <row r="3775" customFormat="false" ht="15" hidden="false" customHeight="false" outlineLevel="0" collapsed="false">
      <c r="B3775" s="4" t="n">
        <v>30433007</v>
      </c>
      <c r="C3775" s="4" t="s">
        <v>3096</v>
      </c>
      <c r="D3775" s="4" t="s">
        <v>433</v>
      </c>
      <c r="E3775" s="4" t="s">
        <v>3763</v>
      </c>
      <c r="F3775" s="127" t="n">
        <v>46934</v>
      </c>
      <c r="G3775" s="127" t="n">
        <v>46944</v>
      </c>
      <c r="H3775" s="127" t="n">
        <v>46293</v>
      </c>
      <c r="I3775" s="4" t="n">
        <v>0</v>
      </c>
      <c r="J3775" s="4" t="n">
        <v>0</v>
      </c>
      <c r="K3775" s="4" t="n">
        <v>0</v>
      </c>
      <c r="M3775" s="2" t="str">
        <f aca="false">IF(C3775="","",IFERROR(INDEX($S$5:$S$304,MATCH(C3775,$R$5:$R$304,0))&amp;"","?"))</f>
        <v/>
      </c>
      <c r="N3775" s="2" t="n">
        <f aca="false">IF(E3775="","",IF(ISNUMBER(SEARCH("SUBSOLO",E3775)),IFERROR(-VALUE(LEFT(E3775,FIND("º",SUBSTITUTE(E3775,"°","º"))-1)),-1),IF(LEFT(E3775,6)="TÉRREO",0,IFERROR(VALUE(LEFT(E3775,FIND("º",SUBSTITUTE(E3775,"°","º"))-1)),""))))</f>
        <v>12</v>
      </c>
      <c r="O3775" s="2" t="str">
        <f aca="false">IF(OR(F3775="",G3775=""),"",IF(G3775&lt;='RETRATO 2027'!$K$5,"CONCLUÍDA",IF(F3775&lt;='RETRATO 2027'!$K$5,"EM ANDAMENTO","A INICIAR")))</f>
        <v>A INICIAR</v>
      </c>
    </row>
    <row r="3776" customFormat="false" ht="15" hidden="false" customHeight="false" outlineLevel="0" collapsed="false">
      <c r="B3776" s="4" t="n">
        <v>26743300</v>
      </c>
      <c r="C3776" s="4" t="s">
        <v>3029</v>
      </c>
      <c r="D3776" s="4" t="s">
        <v>433</v>
      </c>
      <c r="E3776" s="4" t="s">
        <v>3764</v>
      </c>
      <c r="F3776" s="127" t="n">
        <v>46934</v>
      </c>
      <c r="G3776" s="127" t="n">
        <v>46944</v>
      </c>
      <c r="H3776" s="127" t="n">
        <v>46293</v>
      </c>
      <c r="I3776" s="4" t="n">
        <v>0</v>
      </c>
      <c r="J3776" s="4" t="n">
        <v>0</v>
      </c>
      <c r="K3776" s="4" t="n">
        <v>0</v>
      </c>
      <c r="M3776" s="2" t="str">
        <f aca="false">IF(C3776="","",IFERROR(INDEX($S$5:$S$304,MATCH(C3776,$R$5:$R$304,0))&amp;"","?"))</f>
        <v/>
      </c>
      <c r="N3776" s="2" t="n">
        <f aca="false">IF(E3776="","",IF(ISNUMBER(SEARCH("SUBSOLO",E3776)),IFERROR(-VALUE(LEFT(E3776,FIND("º",SUBSTITUTE(E3776,"°","º"))-1)),-1),IF(LEFT(E3776,6)="TÉRREO",0,IFERROR(VALUE(LEFT(E3776,FIND("º",SUBSTITUTE(E3776,"°","º"))-1)),""))))</f>
        <v>13</v>
      </c>
      <c r="O3776" s="2" t="str">
        <f aca="false">IF(OR(F3776="",G3776=""),"",IF(G3776&lt;='RETRATO 2027'!$K$5,"CONCLUÍDA",IF(F3776&lt;='RETRATO 2027'!$K$5,"EM ANDAMENTO","A INICIAR")))</f>
        <v>A INICIAR</v>
      </c>
    </row>
    <row r="3777" customFormat="false" ht="15" hidden="false" customHeight="false" outlineLevel="0" collapsed="false">
      <c r="B3777" s="4" t="n">
        <v>26743261</v>
      </c>
      <c r="C3777" s="4" t="s">
        <v>2971</v>
      </c>
      <c r="D3777" s="4" t="s">
        <v>433</v>
      </c>
      <c r="E3777" s="4" t="s">
        <v>3765</v>
      </c>
      <c r="F3777" s="127" t="n">
        <v>46934</v>
      </c>
      <c r="G3777" s="127" t="n">
        <v>46944</v>
      </c>
      <c r="H3777" s="127" t="n">
        <v>46293</v>
      </c>
      <c r="I3777" s="4" t="n">
        <v>0</v>
      </c>
      <c r="J3777" s="4" t="n">
        <v>0</v>
      </c>
      <c r="K3777" s="4" t="n">
        <v>0</v>
      </c>
      <c r="M3777" s="2" t="str">
        <f aca="false">IF(C3777="","",IFERROR(INDEX($S$5:$S$304,MATCH(C3777,$R$5:$R$304,0))&amp;"","?"))</f>
        <v>37</v>
      </c>
      <c r="N3777" s="2" t="n">
        <f aca="false">IF(E3777="","",IF(ISNUMBER(SEARCH("SUBSOLO",E3777)),IFERROR(-VALUE(LEFT(E3777,FIND("º",SUBSTITUTE(E3777,"°","º"))-1)),-1),IF(LEFT(E3777,6)="TÉRREO",0,IFERROR(VALUE(LEFT(E3777,FIND("º",SUBSTITUTE(E3777,"°","º"))-1)),""))))</f>
        <v>14</v>
      </c>
      <c r="O3777" s="2" t="str">
        <f aca="false">IF(OR(F3777="",G3777=""),"",IF(G3777&lt;='RETRATO 2027'!$K$5,"CONCLUÍDA",IF(F3777&lt;='RETRATO 2027'!$K$5,"EM ANDAMENTO","A INICIAR")))</f>
        <v>A INICIAR</v>
      </c>
    </row>
    <row r="3778" customFormat="false" ht="15" hidden="false" customHeight="false" outlineLevel="0" collapsed="false">
      <c r="B3778" s="4" t="n">
        <v>26743223</v>
      </c>
      <c r="C3778" s="4" t="s">
        <v>3032</v>
      </c>
      <c r="D3778" s="4" t="s">
        <v>433</v>
      </c>
      <c r="E3778" s="4" t="s">
        <v>3768</v>
      </c>
      <c r="F3778" s="127" t="n">
        <v>46934</v>
      </c>
      <c r="G3778" s="127" t="n">
        <v>46944</v>
      </c>
      <c r="H3778" s="127" t="n">
        <v>46293</v>
      </c>
      <c r="I3778" s="4" t="n">
        <v>0</v>
      </c>
      <c r="J3778" s="4" t="n">
        <v>0</v>
      </c>
      <c r="K3778" s="4" t="n">
        <v>0</v>
      </c>
      <c r="M3778" s="2" t="str">
        <f aca="false">IF(C3778="","",IFERROR(INDEX($S$5:$S$304,MATCH(C3778,$R$5:$R$304,0))&amp;"","?"))</f>
        <v>35</v>
      </c>
      <c r="N3778" s="2" t="n">
        <f aca="false">IF(E3778="","",IF(ISNUMBER(SEARCH("SUBSOLO",E3778)),IFERROR(-VALUE(LEFT(E3778,FIND("º",SUBSTITUTE(E3778,"°","º"))-1)),-1),IF(LEFT(E3778,6)="TÉRREO",0,IFERROR(VALUE(LEFT(E3778,FIND("º",SUBSTITUTE(E3778,"°","º"))-1)),""))))</f>
        <v>15</v>
      </c>
      <c r="O3778" s="2" t="str">
        <f aca="false">IF(OR(F3778="",G3778=""),"",IF(G3778&lt;='RETRATO 2027'!$K$5,"CONCLUÍDA",IF(F3778&lt;='RETRATO 2027'!$K$5,"EM ANDAMENTO","A INICIAR")))</f>
        <v>A INICIAR</v>
      </c>
    </row>
    <row r="3779" customFormat="false" ht="15" hidden="false" customHeight="false" outlineLevel="0" collapsed="false">
      <c r="B3779" s="4" t="n">
        <v>26743143</v>
      </c>
      <c r="C3779" s="4" t="s">
        <v>3093</v>
      </c>
      <c r="D3779" s="4" t="s">
        <v>433</v>
      </c>
      <c r="E3779" s="4" t="s">
        <v>3773</v>
      </c>
      <c r="F3779" s="127" t="n">
        <v>46934</v>
      </c>
      <c r="G3779" s="127" t="n">
        <v>46944</v>
      </c>
      <c r="H3779" s="127" t="n">
        <v>46293</v>
      </c>
      <c r="I3779" s="4" t="n">
        <v>0</v>
      </c>
      <c r="J3779" s="4" t="n">
        <v>0</v>
      </c>
      <c r="K3779" s="4" t="n">
        <v>0</v>
      </c>
      <c r="M3779" s="2" t="str">
        <f aca="false">IF(C3779="","",IFERROR(INDEX($S$5:$S$304,MATCH(C3779,$R$5:$R$304,0))&amp;"","?"))</f>
        <v>34</v>
      </c>
      <c r="N3779" s="2" t="n">
        <f aca="false">IF(E3779="","",IF(ISNUMBER(SEARCH("SUBSOLO",E3779)),IFERROR(-VALUE(LEFT(E3779,FIND("º",SUBSTITUTE(E3779,"°","º"))-1)),-1),IF(LEFT(E3779,6)="TÉRREO",0,IFERROR(VALUE(LEFT(E3779,FIND("º",SUBSTITUTE(E3779,"°","º"))-1)),""))))</f>
        <v>17</v>
      </c>
      <c r="O3779" s="2" t="str">
        <f aca="false">IF(OR(F3779="",G3779=""),"",IF(G3779&lt;='RETRATO 2027'!$K$5,"CONCLUÍDA",IF(F3779&lt;='RETRATO 2027'!$K$5,"EM ANDAMENTO","A INICIAR")))</f>
        <v>A INICIAR</v>
      </c>
    </row>
    <row r="3780" customFormat="false" ht="15" hidden="false" customHeight="false" outlineLevel="0" collapsed="false">
      <c r="B3780" s="4" t="n">
        <v>26743165</v>
      </c>
      <c r="C3780" s="4" t="s">
        <v>2965</v>
      </c>
      <c r="D3780" s="4" t="s">
        <v>433</v>
      </c>
      <c r="E3780" s="4" t="s">
        <v>3773</v>
      </c>
      <c r="F3780" s="127" t="n">
        <v>46934</v>
      </c>
      <c r="G3780" s="127" t="n">
        <v>46944</v>
      </c>
      <c r="H3780" s="127" t="n">
        <v>46293</v>
      </c>
      <c r="I3780" s="4" t="n">
        <v>0</v>
      </c>
      <c r="J3780" s="4" t="n">
        <v>0</v>
      </c>
      <c r="K3780" s="4" t="n">
        <v>0</v>
      </c>
      <c r="M3780" s="2" t="str">
        <f aca="false">IF(C3780="","",IFERROR(INDEX($S$5:$S$304,MATCH(C3780,$R$5:$R$304,0))&amp;"","?"))</f>
        <v>20</v>
      </c>
      <c r="N3780" s="2" t="n">
        <f aca="false">IF(E3780="","",IF(ISNUMBER(SEARCH("SUBSOLO",E3780)),IFERROR(-VALUE(LEFT(E3780,FIND("º",SUBSTITUTE(E3780,"°","º"))-1)),-1),IF(LEFT(E3780,6)="TÉRREO",0,IFERROR(VALUE(LEFT(E3780,FIND("º",SUBSTITUTE(E3780,"°","º"))-1)),""))))</f>
        <v>17</v>
      </c>
      <c r="O3780" s="2" t="str">
        <f aca="false">IF(OR(F3780="",G3780=""),"",IF(G3780&lt;='RETRATO 2027'!$K$5,"CONCLUÍDA",IF(F3780&lt;='RETRATO 2027'!$K$5,"EM ANDAMENTO","A INICIAR")))</f>
        <v>A INICIAR</v>
      </c>
    </row>
    <row r="3781" customFormat="false" ht="15" hidden="false" customHeight="false" outlineLevel="0" collapsed="false">
      <c r="B3781" s="4" t="n">
        <v>26743105</v>
      </c>
      <c r="C3781" s="4" t="s">
        <v>3021</v>
      </c>
      <c r="D3781" s="4" t="s">
        <v>433</v>
      </c>
      <c r="E3781" s="4" t="s">
        <v>3776</v>
      </c>
      <c r="F3781" s="127" t="n">
        <v>46934</v>
      </c>
      <c r="G3781" s="127" t="n">
        <v>46944</v>
      </c>
      <c r="H3781" s="127" t="n">
        <v>46293</v>
      </c>
      <c r="I3781" s="4" t="n">
        <v>0</v>
      </c>
      <c r="J3781" s="4" t="n">
        <v>0</v>
      </c>
      <c r="K3781" s="4" t="n">
        <v>0</v>
      </c>
      <c r="M3781" s="2" t="str">
        <f aca="false">IF(C3781="","",IFERROR(INDEX($S$5:$S$304,MATCH(C3781,$R$5:$R$304,0))&amp;"","?"))</f>
        <v>35</v>
      </c>
      <c r="N3781" s="2" t="n">
        <f aca="false">IF(E3781="","",IF(ISNUMBER(SEARCH("SUBSOLO",E3781)),IFERROR(-VALUE(LEFT(E3781,FIND("º",SUBSTITUTE(E3781,"°","º"))-1)),-1),IF(LEFT(E3781,6)="TÉRREO",0,IFERROR(VALUE(LEFT(E3781,FIND("º",SUBSTITUTE(E3781,"°","º"))-1)),""))))</f>
        <v>18</v>
      </c>
      <c r="O3781" s="2" t="str">
        <f aca="false">IF(OR(F3781="",G3781=""),"",IF(G3781&lt;='RETRATO 2027'!$K$5,"CONCLUÍDA",IF(F3781&lt;='RETRATO 2027'!$K$5,"EM ANDAMENTO","A INICIAR")))</f>
        <v>A INICIAR</v>
      </c>
    </row>
    <row r="3782" customFormat="false" ht="15" hidden="false" customHeight="false" outlineLevel="0" collapsed="false">
      <c r="B3782" s="4" t="n">
        <v>26743070</v>
      </c>
      <c r="C3782" s="4" t="s">
        <v>3006</v>
      </c>
      <c r="D3782" s="4" t="s">
        <v>433</v>
      </c>
      <c r="E3782" s="4" t="s">
        <v>3779</v>
      </c>
      <c r="F3782" s="127" t="n">
        <v>46934</v>
      </c>
      <c r="G3782" s="127" t="n">
        <v>46944</v>
      </c>
      <c r="H3782" s="127" t="n">
        <v>46293</v>
      </c>
      <c r="I3782" s="4" t="n">
        <v>0</v>
      </c>
      <c r="J3782" s="4" t="n">
        <v>0</v>
      </c>
      <c r="K3782" s="4" t="n">
        <v>0</v>
      </c>
      <c r="M3782" s="2" t="str">
        <f aca="false">IF(C3782="","",IFERROR(INDEX($S$5:$S$304,MATCH(C3782,$R$5:$R$304,0))&amp;"","?"))</f>
        <v>37</v>
      </c>
      <c r="N3782" s="2" t="n">
        <f aca="false">IF(E3782="","",IF(ISNUMBER(SEARCH("SUBSOLO",E3782)),IFERROR(-VALUE(LEFT(E3782,FIND("º",SUBSTITUTE(E3782,"°","º"))-1)),-1),IF(LEFT(E3782,6)="TÉRREO",0,IFERROR(VALUE(LEFT(E3782,FIND("º",SUBSTITUTE(E3782,"°","º"))-1)),""))))</f>
        <v>19</v>
      </c>
      <c r="O3782" s="2" t="str">
        <f aca="false">IF(OR(F3782="",G3782=""),"",IF(G3782&lt;='RETRATO 2027'!$K$5,"CONCLUÍDA",IF(F3782&lt;='RETRATO 2027'!$K$5,"EM ANDAMENTO","A INICIAR")))</f>
        <v>A INICIAR</v>
      </c>
    </row>
    <row r="3783" customFormat="false" ht="15" hidden="false" customHeight="false" outlineLevel="0" collapsed="false">
      <c r="B3783" s="4" t="n">
        <v>26743035</v>
      </c>
      <c r="C3783" s="4" t="s">
        <v>2962</v>
      </c>
      <c r="D3783" s="4" t="s">
        <v>433</v>
      </c>
      <c r="E3783" s="4" t="s">
        <v>3781</v>
      </c>
      <c r="F3783" s="127" t="n">
        <v>46934</v>
      </c>
      <c r="G3783" s="127" t="n">
        <v>46944</v>
      </c>
      <c r="H3783" s="127" t="n">
        <v>46293</v>
      </c>
      <c r="I3783" s="4" t="n">
        <v>0</v>
      </c>
      <c r="J3783" s="4" t="n">
        <v>0</v>
      </c>
      <c r="K3783" s="4" t="n">
        <v>0</v>
      </c>
      <c r="M3783" s="2" t="str">
        <f aca="false">IF(C3783="","",IFERROR(INDEX($S$5:$S$304,MATCH(C3783,$R$5:$R$304,0))&amp;"","?"))</f>
        <v>34</v>
      </c>
      <c r="N3783" s="2" t="n">
        <f aca="false">IF(E3783="","",IF(ISNUMBER(SEARCH("SUBSOLO",E3783)),IFERROR(-VALUE(LEFT(E3783,FIND("º",SUBSTITUTE(E3783,"°","º"))-1)),-1),IF(LEFT(E3783,6)="TÉRREO",0,IFERROR(VALUE(LEFT(E3783,FIND("º",SUBSTITUTE(E3783,"°","º"))-1)),""))))</f>
        <v>20</v>
      </c>
      <c r="O3783" s="2" t="str">
        <f aca="false">IF(OR(F3783="",G3783=""),"",IF(G3783&lt;='RETRATO 2027'!$K$5,"CONCLUÍDA",IF(F3783&lt;='RETRATO 2027'!$K$5,"EM ANDAMENTO","A INICIAR")))</f>
        <v>A INICIAR</v>
      </c>
    </row>
    <row r="3784" customFormat="false" ht="15" hidden="false" customHeight="false" outlineLevel="0" collapsed="false">
      <c r="B3784" s="4" t="n">
        <v>26743040</v>
      </c>
      <c r="C3784" s="4" t="s">
        <v>3088</v>
      </c>
      <c r="D3784" s="4" t="s">
        <v>433</v>
      </c>
      <c r="E3784" s="4" t="s">
        <v>3781</v>
      </c>
      <c r="F3784" s="127" t="n">
        <v>46934</v>
      </c>
      <c r="G3784" s="127" t="n">
        <v>46944</v>
      </c>
      <c r="H3784" s="127" t="n">
        <v>46293</v>
      </c>
      <c r="I3784" s="4" t="n">
        <v>0</v>
      </c>
      <c r="J3784" s="4" t="n">
        <v>0</v>
      </c>
      <c r="K3784" s="4" t="n">
        <v>0</v>
      </c>
      <c r="M3784" s="2" t="str">
        <f aca="false">IF(C3784="","",IFERROR(INDEX($S$5:$S$304,MATCH(C3784,$R$5:$R$304,0))&amp;"","?"))</f>
        <v>20</v>
      </c>
      <c r="N3784" s="2" t="n">
        <f aca="false">IF(E3784="","",IF(ISNUMBER(SEARCH("SUBSOLO",E3784)),IFERROR(-VALUE(LEFT(E3784,FIND("º",SUBSTITUTE(E3784,"°","º"))-1)),-1),IF(LEFT(E3784,6)="TÉRREO",0,IFERROR(VALUE(LEFT(E3784,FIND("º",SUBSTITUTE(E3784,"°","º"))-1)),""))))</f>
        <v>20</v>
      </c>
      <c r="O3784" s="2" t="str">
        <f aca="false">IF(OR(F3784="",G3784=""),"",IF(G3784&lt;='RETRATO 2027'!$K$5,"CONCLUÍDA",IF(F3784&lt;='RETRATO 2027'!$K$5,"EM ANDAMENTO","A INICIAR")))</f>
        <v>A INICIAR</v>
      </c>
    </row>
    <row r="3785" customFormat="false" ht="15" hidden="false" customHeight="false" outlineLevel="0" collapsed="false">
      <c r="B3785" s="4" t="n">
        <v>26743059</v>
      </c>
      <c r="C3785" s="4" t="s">
        <v>3009</v>
      </c>
      <c r="D3785" s="4" t="s">
        <v>433</v>
      </c>
      <c r="E3785" s="4" t="s">
        <v>3781</v>
      </c>
      <c r="F3785" s="127" t="n">
        <v>46934</v>
      </c>
      <c r="G3785" s="127" t="n">
        <v>46944</v>
      </c>
      <c r="H3785" s="127" t="n">
        <v>46293</v>
      </c>
      <c r="I3785" s="4" t="n">
        <v>0</v>
      </c>
      <c r="J3785" s="4" t="n">
        <v>0</v>
      </c>
      <c r="K3785" s="4" t="n">
        <v>0</v>
      </c>
      <c r="M3785" s="2" t="str">
        <f aca="false">IF(C3785="","",IFERROR(INDEX($S$5:$S$304,MATCH(C3785,$R$5:$R$304,0))&amp;"","?"))</f>
        <v>23</v>
      </c>
      <c r="N3785" s="2" t="n">
        <f aca="false">IF(E3785="","",IF(ISNUMBER(SEARCH("SUBSOLO",E3785)),IFERROR(-VALUE(LEFT(E3785,FIND("º",SUBSTITUTE(E3785,"°","º"))-1)),-1),IF(LEFT(E3785,6)="TÉRREO",0,IFERROR(VALUE(LEFT(E3785,FIND("º",SUBSTITUTE(E3785,"°","º"))-1)),""))))</f>
        <v>20</v>
      </c>
      <c r="O3785" s="2" t="str">
        <f aca="false">IF(OR(F3785="",G3785=""),"",IF(G3785&lt;='RETRATO 2027'!$K$5,"CONCLUÍDA",IF(F3785&lt;='RETRATO 2027'!$K$5,"EM ANDAMENTO","A INICIAR")))</f>
        <v>A INICIAR</v>
      </c>
    </row>
    <row r="3786" customFormat="false" ht="15" hidden="false" customHeight="false" outlineLevel="0" collapsed="false">
      <c r="B3786" s="4" t="n">
        <v>26742997</v>
      </c>
      <c r="C3786" s="4" t="s">
        <v>3082</v>
      </c>
      <c r="D3786" s="4" t="s">
        <v>433</v>
      </c>
      <c r="E3786" s="4" t="s">
        <v>3783</v>
      </c>
      <c r="F3786" s="127" t="n">
        <v>46934</v>
      </c>
      <c r="G3786" s="127" t="n">
        <v>46944</v>
      </c>
      <c r="H3786" s="127" t="n">
        <v>46293</v>
      </c>
      <c r="I3786" s="4" t="n">
        <v>0</v>
      </c>
      <c r="J3786" s="4" t="n">
        <v>0</v>
      </c>
      <c r="K3786" s="4" t="n">
        <v>0</v>
      </c>
      <c r="M3786" s="2" t="str">
        <f aca="false">IF(C3786="","",IFERROR(INDEX($S$5:$S$304,MATCH(C3786,$R$5:$R$304,0))&amp;"","?"))</f>
        <v>30</v>
      </c>
      <c r="N3786" s="2" t="n">
        <f aca="false">IF(E3786="","",IF(ISNUMBER(SEARCH("SUBSOLO",E3786)),IFERROR(-VALUE(LEFT(E3786,FIND("º",SUBSTITUTE(E3786,"°","º"))-1)),-1),IF(LEFT(E3786,6)="TÉRREO",0,IFERROR(VALUE(LEFT(E3786,FIND("º",SUBSTITUTE(E3786,"°","º"))-1)),""))))</f>
        <v>21</v>
      </c>
      <c r="O3786" s="2" t="str">
        <f aca="false">IF(OR(F3786="",G3786=""),"",IF(G3786&lt;='RETRATO 2027'!$K$5,"CONCLUÍDA",IF(F3786&lt;='RETRATO 2027'!$K$5,"EM ANDAMENTO","A INICIAR")))</f>
        <v>A INICIAR</v>
      </c>
    </row>
    <row r="3787" customFormat="false" ht="15" hidden="false" customHeight="false" outlineLevel="0" collapsed="false">
      <c r="B3787" s="4" t="n">
        <v>26742990</v>
      </c>
      <c r="C3787" s="4" t="s">
        <v>3079</v>
      </c>
      <c r="D3787" s="4" t="s">
        <v>433</v>
      </c>
      <c r="E3787" s="4" t="s">
        <v>3786</v>
      </c>
      <c r="F3787" s="127" t="n">
        <v>46934</v>
      </c>
      <c r="G3787" s="127" t="n">
        <v>46944</v>
      </c>
      <c r="H3787" s="127" t="n">
        <v>46293</v>
      </c>
      <c r="I3787" s="4" t="n">
        <v>0</v>
      </c>
      <c r="J3787" s="4" t="n">
        <v>0</v>
      </c>
      <c r="K3787" s="4" t="n">
        <v>0</v>
      </c>
      <c r="M3787" s="2" t="str">
        <f aca="false">IF(C3787="","",IFERROR(INDEX($S$5:$S$304,MATCH(C3787,$R$5:$R$304,0))&amp;"","?"))</f>
        <v>25</v>
      </c>
      <c r="N3787" s="2" t="n">
        <f aca="false">IF(E3787="","",IF(ISNUMBER(SEARCH("SUBSOLO",E3787)),IFERROR(-VALUE(LEFT(E3787,FIND("º",SUBSTITUTE(E3787,"°","º"))-1)),-1),IF(LEFT(E3787,6)="TÉRREO",0,IFERROR(VALUE(LEFT(E3787,FIND("º",SUBSTITUTE(E3787,"°","º"))-1)),""))))</f>
        <v>22</v>
      </c>
      <c r="O3787" s="2" t="str">
        <f aca="false">IF(OR(F3787="",G3787=""),"",IF(G3787&lt;='RETRATO 2027'!$K$5,"CONCLUÍDA",IF(F3787&lt;='RETRATO 2027'!$K$5,"EM ANDAMENTO","A INICIAR")))</f>
        <v>A INICIAR</v>
      </c>
    </row>
    <row r="3788" customFormat="false" ht="15" hidden="false" customHeight="false" outlineLevel="0" collapsed="false">
      <c r="B3788" s="4" t="n">
        <v>26742951</v>
      </c>
      <c r="C3788" s="4" t="s">
        <v>3073</v>
      </c>
      <c r="D3788" s="4" t="s">
        <v>433</v>
      </c>
      <c r="E3788" s="4" t="s">
        <v>3787</v>
      </c>
      <c r="F3788" s="127" t="n">
        <v>46934</v>
      </c>
      <c r="G3788" s="127" t="n">
        <v>46944</v>
      </c>
      <c r="H3788" s="127" t="n">
        <v>46293</v>
      </c>
      <c r="I3788" s="4" t="n">
        <v>0</v>
      </c>
      <c r="J3788" s="4" t="n">
        <v>0</v>
      </c>
      <c r="K3788" s="4" t="n">
        <v>0</v>
      </c>
      <c r="M3788" s="2" t="str">
        <f aca="false">IF(C3788="","",IFERROR(INDEX($S$5:$S$304,MATCH(C3788,$R$5:$R$304,0))&amp;"","?"))</f>
        <v>30</v>
      </c>
      <c r="N3788" s="2" t="n">
        <f aca="false">IF(E3788="","",IF(ISNUMBER(SEARCH("SUBSOLO",E3788)),IFERROR(-VALUE(LEFT(E3788,FIND("º",SUBSTITUTE(E3788,"°","º"))-1)),-1),IF(LEFT(E3788,6)="TÉRREO",0,IFERROR(VALUE(LEFT(E3788,FIND("º",SUBSTITUTE(E3788,"°","º"))-1)),""))))</f>
        <v>23</v>
      </c>
      <c r="O3788" s="2" t="str">
        <f aca="false">IF(OR(F3788="",G3788=""),"",IF(G3788&lt;='RETRATO 2027'!$K$5,"CONCLUÍDA",IF(F3788&lt;='RETRATO 2027'!$K$5,"EM ANDAMENTO","A INICIAR")))</f>
        <v>A INICIAR</v>
      </c>
    </row>
    <row r="3789" customFormat="false" ht="15" hidden="false" customHeight="false" outlineLevel="0" collapsed="false">
      <c r="B3789" s="4" t="n">
        <v>26742913</v>
      </c>
      <c r="C3789" s="4" t="s">
        <v>3055</v>
      </c>
      <c r="D3789" s="4" t="s">
        <v>433</v>
      </c>
      <c r="E3789" s="4" t="s">
        <v>3788</v>
      </c>
      <c r="F3789" s="127" t="n">
        <v>46934</v>
      </c>
      <c r="G3789" s="127" t="n">
        <v>46944</v>
      </c>
      <c r="H3789" s="127" t="n">
        <v>46293</v>
      </c>
      <c r="I3789" s="4" t="n">
        <v>0</v>
      </c>
      <c r="J3789" s="4" t="n">
        <v>0</v>
      </c>
      <c r="K3789" s="4" t="n">
        <v>0</v>
      </c>
      <c r="M3789" s="2" t="str">
        <f aca="false">IF(C3789="","",IFERROR(INDEX($S$5:$S$304,MATCH(C3789,$R$5:$R$304,0))&amp;"","?"))</f>
        <v>25</v>
      </c>
      <c r="N3789" s="2" t="n">
        <f aca="false">IF(E3789="","",IF(ISNUMBER(SEARCH("SUBSOLO",E3789)),IFERROR(-VALUE(LEFT(E3789,FIND("º",SUBSTITUTE(E3789,"°","º"))-1)),-1),IF(LEFT(E3789,6)="TÉRREO",0,IFERROR(VALUE(LEFT(E3789,FIND("º",SUBSTITUTE(E3789,"°","º"))-1)),""))))</f>
        <v>24</v>
      </c>
      <c r="O3789" s="2" t="str">
        <f aca="false">IF(OR(F3789="",G3789=""),"",IF(G3789&lt;='RETRATO 2027'!$K$5,"CONCLUÍDA",IF(F3789&lt;='RETRATO 2027'!$K$5,"EM ANDAMENTO","A INICIAR")))</f>
        <v>A INICIAR</v>
      </c>
    </row>
    <row r="3790" customFormat="false" ht="15" hidden="false" customHeight="false" outlineLevel="0" collapsed="false">
      <c r="B3790" s="4" t="n">
        <v>26707586</v>
      </c>
      <c r="C3790" s="4" t="s">
        <v>3029</v>
      </c>
      <c r="D3790" s="4" t="s">
        <v>433</v>
      </c>
      <c r="E3790" s="4" t="s">
        <v>3822</v>
      </c>
      <c r="F3790" s="127" t="n">
        <v>46937</v>
      </c>
      <c r="G3790" s="127" t="n">
        <v>46948</v>
      </c>
      <c r="H3790" s="127" t="n">
        <v>46293</v>
      </c>
      <c r="I3790" s="4" t="n">
        <v>0</v>
      </c>
      <c r="J3790" s="4" t="n">
        <v>0</v>
      </c>
      <c r="K3790" s="4" t="n">
        <v>0</v>
      </c>
      <c r="M3790" s="2" t="str">
        <f aca="false">IF(C3790="","",IFERROR(INDEX($S$5:$S$304,MATCH(C3790,$R$5:$R$304,0))&amp;"","?"))</f>
        <v/>
      </c>
      <c r="N3790" s="2" t="n">
        <f aca="false">IF(E3790="","",IF(ISNUMBER(SEARCH("SUBSOLO",E3790)),IFERROR(-VALUE(LEFT(E3790,FIND("º",SUBSTITUTE(E3790,"°","º"))-1)),-1),IF(LEFT(E3790,6)="TÉRREO",0,IFERROR(VALUE(LEFT(E3790,FIND("º",SUBSTITUTE(E3790,"°","º"))-1)),""))))</f>
        <v>2</v>
      </c>
      <c r="O3790" s="2" t="str">
        <f aca="false">IF(OR(F3790="",G3790=""),"",IF(G3790&lt;='RETRATO 2027'!$K$5,"CONCLUÍDA",IF(F3790&lt;='RETRATO 2027'!$K$5,"EM ANDAMENTO","A INICIAR")))</f>
        <v>A INICIAR</v>
      </c>
    </row>
    <row r="3791" customFormat="false" ht="15" hidden="false" customHeight="false" outlineLevel="0" collapsed="false">
      <c r="B3791" s="4" t="n">
        <v>26744651</v>
      </c>
      <c r="C3791" s="4" t="s">
        <v>3079</v>
      </c>
      <c r="D3791" s="4" t="s">
        <v>433</v>
      </c>
      <c r="E3791" s="4" t="s">
        <v>3774</v>
      </c>
      <c r="F3791" s="127" t="n">
        <v>46937</v>
      </c>
      <c r="G3791" s="127" t="n">
        <v>46944</v>
      </c>
      <c r="H3791" s="127" t="n">
        <v>46293</v>
      </c>
      <c r="I3791" s="4" t="n">
        <v>0</v>
      </c>
      <c r="J3791" s="4" t="n">
        <v>0</v>
      </c>
      <c r="K3791" s="4" t="n">
        <v>0</v>
      </c>
      <c r="M3791" s="2" t="str">
        <f aca="false">IF(C3791="","",IFERROR(INDEX($S$5:$S$304,MATCH(C3791,$R$5:$R$304,0))&amp;"","?"))</f>
        <v>25</v>
      </c>
      <c r="N3791" s="2" t="n">
        <f aca="false">IF(E3791="","",IF(ISNUMBER(SEARCH("SUBSOLO",E3791)),IFERROR(-VALUE(LEFT(E3791,FIND("º",SUBSTITUTE(E3791,"°","º"))-1)),-1),IF(LEFT(E3791,6)="TÉRREO",0,IFERROR(VALUE(LEFT(E3791,FIND("º",SUBSTITUTE(E3791,"°","º"))-1)),""))))</f>
        <v>3</v>
      </c>
      <c r="O3791" s="2" t="str">
        <f aca="false">IF(OR(F3791="",G3791=""),"",IF(G3791&lt;='RETRATO 2027'!$K$5,"CONCLUÍDA",IF(F3791&lt;='RETRATO 2027'!$K$5,"EM ANDAMENTO","A INICIAR")))</f>
        <v>A INICIAR</v>
      </c>
    </row>
    <row r="3792" customFormat="false" ht="15" hidden="false" customHeight="false" outlineLevel="0" collapsed="false">
      <c r="B3792" s="4" t="n">
        <v>26743201</v>
      </c>
      <c r="C3792" s="4" t="s">
        <v>2935</v>
      </c>
      <c r="D3792" s="4" t="s">
        <v>433</v>
      </c>
      <c r="E3792" s="4" t="s">
        <v>3771</v>
      </c>
      <c r="F3792" s="127" t="n">
        <v>46937</v>
      </c>
      <c r="G3792" s="127" t="n">
        <v>46945</v>
      </c>
      <c r="H3792" s="127" t="n">
        <v>46293</v>
      </c>
      <c r="I3792" s="4" t="n">
        <v>0</v>
      </c>
      <c r="J3792" s="4" t="n">
        <v>0</v>
      </c>
      <c r="K3792" s="4" t="n">
        <v>0</v>
      </c>
      <c r="M3792" s="2" t="str">
        <f aca="false">IF(C3792="","",IFERROR(INDEX($S$5:$S$304,MATCH(C3792,$R$5:$R$304,0))&amp;"","?"))</f>
        <v>30</v>
      </c>
      <c r="N3792" s="2" t="n">
        <f aca="false">IF(E3792="","",IF(ISNUMBER(SEARCH("SUBSOLO",E3792)),IFERROR(-VALUE(LEFT(E3792,FIND("º",SUBSTITUTE(E3792,"°","º"))-1)),-1),IF(LEFT(E3792,6)="TÉRREO",0,IFERROR(VALUE(LEFT(E3792,FIND("º",SUBSTITUTE(E3792,"°","º"))-1)),""))))</f>
        <v>16</v>
      </c>
      <c r="O3792" s="2" t="str">
        <f aca="false">IF(OR(F3792="",G3792=""),"",IF(G3792&lt;='RETRATO 2027'!$K$5,"CONCLUÍDA",IF(F3792&lt;='RETRATO 2027'!$K$5,"EM ANDAMENTO","A INICIAR")))</f>
        <v>A INICIAR</v>
      </c>
    </row>
    <row r="3793" customFormat="false" ht="15" hidden="false" customHeight="false" outlineLevel="0" collapsed="false">
      <c r="B3793" s="4" t="n">
        <v>26708173</v>
      </c>
      <c r="C3793" s="4" t="s">
        <v>2997</v>
      </c>
      <c r="D3793" s="4" t="s">
        <v>433</v>
      </c>
      <c r="E3793" s="4" t="s">
        <v>3628</v>
      </c>
      <c r="F3793" s="127" t="n">
        <v>46939</v>
      </c>
      <c r="G3793" s="127" t="n">
        <v>46948</v>
      </c>
      <c r="H3793" s="127" t="n">
        <v>46293</v>
      </c>
      <c r="I3793" s="4" t="n">
        <v>0</v>
      </c>
      <c r="J3793" s="4" t="n">
        <v>0</v>
      </c>
      <c r="K3793" s="4" t="n">
        <v>0</v>
      </c>
      <c r="M3793" s="2" t="str">
        <f aca="false">IF(C3793="","",IFERROR(INDEX($S$5:$S$304,MATCH(C3793,$R$5:$R$304,0))&amp;"","?"))</f>
        <v>35</v>
      </c>
      <c r="N3793" s="2" t="n">
        <f aca="false">IF(E3793="","",IF(ISNUMBER(SEARCH("SUBSOLO",E3793)),IFERROR(-VALUE(LEFT(E3793,FIND("º",SUBSTITUTE(E3793,"°","º"))-1)),-1),IF(LEFT(E3793,6)="TÉRREO",0,IFERROR(VALUE(LEFT(E3793,FIND("º",SUBSTITUTE(E3793,"°","º"))-1)),""))))</f>
        <v>-6</v>
      </c>
      <c r="O3793" s="2" t="str">
        <f aca="false">IF(OR(F3793="",G3793=""),"",IF(G3793&lt;='RETRATO 2027'!$K$5,"CONCLUÍDA",IF(F3793&lt;='RETRATO 2027'!$K$5,"EM ANDAMENTO","A INICIAR")))</f>
        <v>A INICIAR</v>
      </c>
    </row>
    <row r="3794" customFormat="false" ht="15" hidden="false" customHeight="false" outlineLevel="0" collapsed="false">
      <c r="B3794" s="4" t="n">
        <v>26708137</v>
      </c>
      <c r="C3794" s="4" t="s">
        <v>2948</v>
      </c>
      <c r="D3794" s="4" t="s">
        <v>433</v>
      </c>
      <c r="E3794" s="4" t="s">
        <v>3813</v>
      </c>
      <c r="F3794" s="127" t="n">
        <v>46939</v>
      </c>
      <c r="G3794" s="127" t="n">
        <v>46948</v>
      </c>
      <c r="H3794" s="127" t="n">
        <v>46293</v>
      </c>
      <c r="I3794" s="4" t="n">
        <v>0</v>
      </c>
      <c r="J3794" s="4" t="n">
        <v>0</v>
      </c>
      <c r="K3794" s="4" t="n">
        <v>0</v>
      </c>
      <c r="M3794" s="2" t="str">
        <f aca="false">IF(C3794="","",IFERROR(INDEX($S$5:$S$304,MATCH(C3794,$R$5:$R$304,0))&amp;"","?"))</f>
        <v>25</v>
      </c>
      <c r="N3794" s="2" t="n">
        <f aca="false">IF(E3794="","",IF(ISNUMBER(SEARCH("SUBSOLO",E3794)),IFERROR(-VALUE(LEFT(E3794,FIND("º",SUBSTITUTE(E3794,"°","º"))-1)),-1),IF(LEFT(E3794,6)="TÉRREO",0,IFERROR(VALUE(LEFT(E3794,FIND("º",SUBSTITUTE(E3794,"°","º"))-1)),""))))</f>
        <v>-6</v>
      </c>
      <c r="O3794" s="2" t="str">
        <f aca="false">IF(OR(F3794="",G3794=""),"",IF(G3794&lt;='RETRATO 2027'!$K$5,"CONCLUÍDA",IF(F3794&lt;='RETRATO 2027'!$K$5,"EM ANDAMENTO","A INICIAR")))</f>
        <v>A INICIAR</v>
      </c>
    </row>
    <row r="3795" customFormat="false" ht="15" hidden="false" customHeight="false" outlineLevel="0" collapsed="false">
      <c r="B3795" s="4" t="n">
        <v>26750580</v>
      </c>
      <c r="C3795" s="4" t="s">
        <v>2980</v>
      </c>
      <c r="D3795" s="4" t="s">
        <v>433</v>
      </c>
      <c r="E3795" s="4" t="s">
        <v>3814</v>
      </c>
      <c r="F3795" s="127" t="n">
        <v>46939</v>
      </c>
      <c r="G3795" s="127" t="n">
        <v>46948</v>
      </c>
      <c r="H3795" s="127" t="n">
        <v>46293</v>
      </c>
      <c r="I3795" s="4" t="n">
        <v>0</v>
      </c>
      <c r="J3795" s="4" t="n">
        <v>0</v>
      </c>
      <c r="K3795" s="4" t="n">
        <v>0</v>
      </c>
      <c r="M3795" s="2" t="str">
        <f aca="false">IF(C3795="","",IFERROR(INDEX($S$5:$S$304,MATCH(C3795,$R$5:$R$304,0))&amp;"","?"))</f>
        <v>35</v>
      </c>
      <c r="N3795" s="2" t="n">
        <f aca="false">IF(E3795="","",IF(ISNUMBER(SEARCH("SUBSOLO",E3795)),IFERROR(-VALUE(LEFT(E3795,FIND("º",SUBSTITUTE(E3795,"°","º"))-1)),-1),IF(LEFT(E3795,6)="TÉRREO",0,IFERROR(VALUE(LEFT(E3795,FIND("º",SUBSTITUTE(E3795,"°","º"))-1)),""))))</f>
        <v>-6</v>
      </c>
      <c r="O3795" s="2" t="str">
        <f aca="false">IF(OR(F3795="",G3795=""),"",IF(G3795&lt;='RETRATO 2027'!$K$5,"CONCLUÍDA",IF(F3795&lt;='RETRATO 2027'!$K$5,"EM ANDAMENTO","A INICIAR")))</f>
        <v>A INICIAR</v>
      </c>
    </row>
    <row r="3796" customFormat="false" ht="15" hidden="false" customHeight="false" outlineLevel="0" collapsed="false">
      <c r="B3796" s="4" t="n">
        <v>26745000</v>
      </c>
      <c r="C3796" s="4" t="s">
        <v>208</v>
      </c>
      <c r="D3796" s="4" t="s">
        <v>433</v>
      </c>
      <c r="E3796" s="4" t="s">
        <v>3816</v>
      </c>
      <c r="F3796" s="127" t="n">
        <v>46939</v>
      </c>
      <c r="G3796" s="127" t="n">
        <v>46947</v>
      </c>
      <c r="H3796" s="127" t="n">
        <v>46293</v>
      </c>
      <c r="I3796" s="4" t="n">
        <v>0</v>
      </c>
      <c r="J3796" s="4" t="n">
        <v>0</v>
      </c>
      <c r="K3796" s="4" t="n">
        <v>0</v>
      </c>
      <c r="M3796" s="2" t="str">
        <f aca="false">IF(C3796="","",IFERROR(INDEX($S$5:$S$304,MATCH(C3796,$R$5:$R$304,0))&amp;"","?"))</f>
        <v>33</v>
      </c>
      <c r="N3796" s="2" t="n">
        <f aca="false">IF(E3796="","",IF(ISNUMBER(SEARCH("SUBSOLO",E3796)),IFERROR(-VALUE(LEFT(E3796,FIND("º",SUBSTITUTE(E3796,"°","º"))-1)),-1),IF(LEFT(E3796,6)="TÉRREO",0,IFERROR(VALUE(LEFT(E3796,FIND("º",SUBSTITUTE(E3796,"°","º"))-1)),""))))</f>
        <v>-6</v>
      </c>
      <c r="O3796" s="2" t="str">
        <f aca="false">IF(OR(F3796="",G3796=""),"",IF(G3796&lt;='RETRATO 2027'!$K$5,"CONCLUÍDA",IF(F3796&lt;='RETRATO 2027'!$K$5,"EM ANDAMENTO","A INICIAR")))</f>
        <v>A INICIAR</v>
      </c>
    </row>
    <row r="3797" customFormat="false" ht="15" hidden="false" customHeight="false" outlineLevel="0" collapsed="false">
      <c r="B3797" s="4" t="n">
        <v>26750564</v>
      </c>
      <c r="C3797" s="4" t="s">
        <v>2829</v>
      </c>
      <c r="D3797" s="4" t="s">
        <v>433</v>
      </c>
      <c r="E3797" s="4" t="s">
        <v>3782</v>
      </c>
      <c r="F3797" s="127" t="n">
        <v>46940</v>
      </c>
      <c r="G3797" s="127" t="n">
        <v>46987</v>
      </c>
      <c r="H3797" s="127" t="n">
        <v>46293</v>
      </c>
      <c r="I3797" s="4" t="n">
        <v>0</v>
      </c>
      <c r="J3797" s="4" t="n">
        <v>0</v>
      </c>
      <c r="K3797" s="4" t="n">
        <v>0</v>
      </c>
      <c r="M3797" s="2" t="str">
        <f aca="false">IF(C3797="","",IFERROR(INDEX($S$5:$S$304,MATCH(C3797,$R$5:$R$304,0))&amp;"","?"))</f>
        <v>21</v>
      </c>
      <c r="N3797" s="2" t="n">
        <f aca="false">IF(E3797="","",IF(ISNUMBER(SEARCH("SUBSOLO",E3797)),IFERROR(-VALUE(LEFT(E3797,FIND("º",SUBSTITUTE(E3797,"°","º"))-1)),-1),IF(LEFT(E3797,6)="TÉRREO",0,IFERROR(VALUE(LEFT(E3797,FIND("º",SUBSTITUTE(E3797,"°","º"))-1)),""))))</f>
        <v>-4</v>
      </c>
      <c r="O3797" s="2" t="str">
        <f aca="false">IF(OR(F3797="",G3797=""),"",IF(G3797&lt;='RETRATO 2027'!$K$5,"CONCLUÍDA",IF(F3797&lt;='RETRATO 2027'!$K$5,"EM ANDAMENTO","A INICIAR")))</f>
        <v>A INICIAR</v>
      </c>
    </row>
    <row r="3798" customFormat="false" ht="15" hidden="false" customHeight="false" outlineLevel="0" collapsed="false">
      <c r="B3798" s="4" t="n">
        <v>26744711</v>
      </c>
      <c r="C3798" s="4" t="s">
        <v>3029</v>
      </c>
      <c r="D3798" s="4" t="s">
        <v>433</v>
      </c>
      <c r="E3798" s="4" t="s">
        <v>3810</v>
      </c>
      <c r="F3798" s="127" t="n">
        <v>46940</v>
      </c>
      <c r="G3798" s="127" t="n">
        <v>46947</v>
      </c>
      <c r="H3798" s="127" t="n">
        <v>46293</v>
      </c>
      <c r="I3798" s="4" t="n">
        <v>0</v>
      </c>
      <c r="J3798" s="4" t="n">
        <v>0</v>
      </c>
      <c r="K3798" s="4" t="n">
        <v>0</v>
      </c>
      <c r="M3798" s="2" t="str">
        <f aca="false">IF(C3798="","",IFERROR(INDEX($S$5:$S$304,MATCH(C3798,$R$5:$R$304,0))&amp;"","?"))</f>
        <v/>
      </c>
      <c r="N3798" s="2" t="n">
        <f aca="false">IF(E3798="","",IF(ISNUMBER(SEARCH("SUBSOLO",E3798)),IFERROR(-VALUE(LEFT(E3798,FIND("º",SUBSTITUTE(E3798,"°","º"))-1)),-1),IF(LEFT(E3798,6)="TÉRREO",0,IFERROR(VALUE(LEFT(E3798,FIND("º",SUBSTITUTE(E3798,"°","º"))-1)),""))))</f>
        <v>3</v>
      </c>
      <c r="O3798" s="2" t="str">
        <f aca="false">IF(OR(F3798="",G3798=""),"",IF(G3798&lt;='RETRATO 2027'!$K$5,"CONCLUÍDA",IF(F3798&lt;='RETRATO 2027'!$K$5,"EM ANDAMENTO","A INICIAR")))</f>
        <v>A INICIAR</v>
      </c>
    </row>
    <row r="3799" customFormat="false" ht="15" hidden="false" customHeight="false" outlineLevel="0" collapsed="false">
      <c r="B3799" s="4" t="n">
        <v>26744652</v>
      </c>
      <c r="C3799" s="4" t="s">
        <v>3082</v>
      </c>
      <c r="D3799" s="4" t="s">
        <v>433</v>
      </c>
      <c r="E3799" s="4" t="s">
        <v>3774</v>
      </c>
      <c r="F3799" s="127" t="n">
        <v>46945</v>
      </c>
      <c r="G3799" s="127" t="n">
        <v>46952</v>
      </c>
      <c r="H3799" s="127" t="n">
        <v>46293</v>
      </c>
      <c r="I3799" s="4" t="n">
        <v>0</v>
      </c>
      <c r="J3799" s="4" t="n">
        <v>0</v>
      </c>
      <c r="K3799" s="4" t="n">
        <v>0</v>
      </c>
      <c r="M3799" s="2" t="str">
        <f aca="false">IF(C3799="","",IFERROR(INDEX($S$5:$S$304,MATCH(C3799,$R$5:$R$304,0))&amp;"","?"))</f>
        <v>30</v>
      </c>
      <c r="N3799" s="2" t="n">
        <f aca="false">IF(E3799="","",IF(ISNUMBER(SEARCH("SUBSOLO",E3799)),IFERROR(-VALUE(LEFT(E3799,FIND("º",SUBSTITUTE(E3799,"°","º"))-1)),-1),IF(LEFT(E3799,6)="TÉRREO",0,IFERROR(VALUE(LEFT(E3799,FIND("º",SUBSTITUTE(E3799,"°","º"))-1)),""))))</f>
        <v>3</v>
      </c>
      <c r="O3799" s="2" t="str">
        <f aca="false">IF(OR(F3799="",G3799=""),"",IF(G3799&lt;='RETRATO 2027'!$K$5,"CONCLUÍDA",IF(F3799&lt;='RETRATO 2027'!$K$5,"EM ANDAMENTO","A INICIAR")))</f>
        <v>A INICIAR</v>
      </c>
    </row>
    <row r="3800" customFormat="false" ht="15" hidden="false" customHeight="false" outlineLevel="0" collapsed="false">
      <c r="B3800" s="4" t="n">
        <v>30433008</v>
      </c>
      <c r="C3800" s="4" t="s">
        <v>3096</v>
      </c>
      <c r="D3800" s="4" t="s">
        <v>433</v>
      </c>
      <c r="E3800" s="4" t="s">
        <v>3764</v>
      </c>
      <c r="F3800" s="127" t="n">
        <v>46945</v>
      </c>
      <c r="G3800" s="127" t="n">
        <v>46953</v>
      </c>
      <c r="H3800" s="127" t="n">
        <v>46293</v>
      </c>
      <c r="I3800" s="4" t="n">
        <v>0</v>
      </c>
      <c r="J3800" s="4" t="n">
        <v>0</v>
      </c>
      <c r="K3800" s="4" t="n">
        <v>0</v>
      </c>
      <c r="M3800" s="2" t="str">
        <f aca="false">IF(C3800="","",IFERROR(INDEX($S$5:$S$304,MATCH(C3800,$R$5:$R$304,0))&amp;"","?"))</f>
        <v/>
      </c>
      <c r="N3800" s="2" t="n">
        <f aca="false">IF(E3800="","",IF(ISNUMBER(SEARCH("SUBSOLO",E3800)),IFERROR(-VALUE(LEFT(E3800,FIND("º",SUBSTITUTE(E3800,"°","º"))-1)),-1),IF(LEFT(E3800,6)="TÉRREO",0,IFERROR(VALUE(LEFT(E3800,FIND("º",SUBSTITUTE(E3800,"°","º"))-1)),""))))</f>
        <v>13</v>
      </c>
      <c r="O3800" s="2" t="str">
        <f aca="false">IF(OR(F3800="",G3800=""),"",IF(G3800&lt;='RETRATO 2027'!$K$5,"CONCLUÍDA",IF(F3800&lt;='RETRATO 2027'!$K$5,"EM ANDAMENTO","A INICIAR")))</f>
        <v>A INICIAR</v>
      </c>
    </row>
    <row r="3801" customFormat="false" ht="15" hidden="false" customHeight="false" outlineLevel="0" collapsed="false">
      <c r="B3801" s="4" t="n">
        <v>26743263</v>
      </c>
      <c r="C3801" s="4" t="s">
        <v>3029</v>
      </c>
      <c r="D3801" s="4" t="s">
        <v>433</v>
      </c>
      <c r="E3801" s="4" t="s">
        <v>3765</v>
      </c>
      <c r="F3801" s="127" t="n">
        <v>46945</v>
      </c>
      <c r="G3801" s="127" t="n">
        <v>46953</v>
      </c>
      <c r="H3801" s="127" t="n">
        <v>46293</v>
      </c>
      <c r="I3801" s="4" t="n">
        <v>0</v>
      </c>
      <c r="J3801" s="4" t="n">
        <v>0</v>
      </c>
      <c r="K3801" s="4" t="n">
        <v>0</v>
      </c>
      <c r="M3801" s="2" t="str">
        <f aca="false">IF(C3801="","",IFERROR(INDEX($S$5:$S$304,MATCH(C3801,$R$5:$R$304,0))&amp;"","?"))</f>
        <v/>
      </c>
      <c r="N3801" s="2" t="n">
        <f aca="false">IF(E3801="","",IF(ISNUMBER(SEARCH("SUBSOLO",E3801)),IFERROR(-VALUE(LEFT(E3801,FIND("º",SUBSTITUTE(E3801,"°","º"))-1)),-1),IF(LEFT(E3801,6)="TÉRREO",0,IFERROR(VALUE(LEFT(E3801,FIND("º",SUBSTITUTE(E3801,"°","º"))-1)),""))))</f>
        <v>14</v>
      </c>
      <c r="O3801" s="2" t="str">
        <f aca="false">IF(OR(F3801="",G3801=""),"",IF(G3801&lt;='RETRATO 2027'!$K$5,"CONCLUÍDA",IF(F3801&lt;='RETRATO 2027'!$K$5,"EM ANDAMENTO","A INICIAR")))</f>
        <v>A INICIAR</v>
      </c>
    </row>
    <row r="3802" customFormat="false" ht="15" hidden="false" customHeight="false" outlineLevel="0" collapsed="false">
      <c r="B3802" s="4" t="n">
        <v>26743224</v>
      </c>
      <c r="C3802" s="4" t="s">
        <v>2971</v>
      </c>
      <c r="D3802" s="4" t="s">
        <v>433</v>
      </c>
      <c r="E3802" s="4" t="s">
        <v>3768</v>
      </c>
      <c r="F3802" s="127" t="n">
        <v>46945</v>
      </c>
      <c r="G3802" s="127" t="n">
        <v>46953</v>
      </c>
      <c r="H3802" s="127" t="n">
        <v>46293</v>
      </c>
      <c r="I3802" s="4" t="n">
        <v>0</v>
      </c>
      <c r="J3802" s="4" t="n">
        <v>0</v>
      </c>
      <c r="K3802" s="4" t="n">
        <v>0</v>
      </c>
      <c r="M3802" s="2" t="str">
        <f aca="false">IF(C3802="","",IFERROR(INDEX($S$5:$S$304,MATCH(C3802,$R$5:$R$304,0))&amp;"","?"))</f>
        <v>37</v>
      </c>
      <c r="N3802" s="2" t="n">
        <f aca="false">IF(E3802="","",IF(ISNUMBER(SEARCH("SUBSOLO",E3802)),IFERROR(-VALUE(LEFT(E3802,FIND("º",SUBSTITUTE(E3802,"°","º"))-1)),-1),IF(LEFT(E3802,6)="TÉRREO",0,IFERROR(VALUE(LEFT(E3802,FIND("º",SUBSTITUTE(E3802,"°","º"))-1)),""))))</f>
        <v>15</v>
      </c>
      <c r="O3802" s="2" t="str">
        <f aca="false">IF(OR(F3802="",G3802=""),"",IF(G3802&lt;='RETRATO 2027'!$K$5,"CONCLUÍDA",IF(F3802&lt;='RETRATO 2027'!$K$5,"EM ANDAMENTO","A INICIAR")))</f>
        <v>A INICIAR</v>
      </c>
    </row>
    <row r="3803" customFormat="false" ht="15" hidden="false" customHeight="false" outlineLevel="0" collapsed="false">
      <c r="B3803" s="4" t="n">
        <v>26743149</v>
      </c>
      <c r="C3803" s="4" t="s">
        <v>3032</v>
      </c>
      <c r="D3803" s="4" t="s">
        <v>433</v>
      </c>
      <c r="E3803" s="4" t="s">
        <v>3773</v>
      </c>
      <c r="F3803" s="127" t="n">
        <v>46945</v>
      </c>
      <c r="G3803" s="127" t="n">
        <v>46953</v>
      </c>
      <c r="H3803" s="127" t="n">
        <v>46293</v>
      </c>
      <c r="I3803" s="4" t="n">
        <v>0</v>
      </c>
      <c r="J3803" s="4" t="n">
        <v>0</v>
      </c>
      <c r="K3803" s="4" t="n">
        <v>0</v>
      </c>
      <c r="M3803" s="2" t="str">
        <f aca="false">IF(C3803="","",IFERROR(INDEX($S$5:$S$304,MATCH(C3803,$R$5:$R$304,0))&amp;"","?"))</f>
        <v>35</v>
      </c>
      <c r="N3803" s="2" t="n">
        <f aca="false">IF(E3803="","",IF(ISNUMBER(SEARCH("SUBSOLO",E3803)),IFERROR(-VALUE(LEFT(E3803,FIND("º",SUBSTITUTE(E3803,"°","º"))-1)),-1),IF(LEFT(E3803,6)="TÉRREO",0,IFERROR(VALUE(LEFT(E3803,FIND("º",SUBSTITUTE(E3803,"°","º"))-1)),""))))</f>
        <v>17</v>
      </c>
      <c r="O3803" s="2" t="str">
        <f aca="false">IF(OR(F3803="",G3803=""),"",IF(G3803&lt;='RETRATO 2027'!$K$5,"CONCLUÍDA",IF(F3803&lt;='RETRATO 2027'!$K$5,"EM ANDAMENTO","A INICIAR")))</f>
        <v>A INICIAR</v>
      </c>
    </row>
    <row r="3804" customFormat="false" ht="15" hidden="false" customHeight="false" outlineLevel="0" collapsed="false">
      <c r="B3804" s="4" t="n">
        <v>26743106</v>
      </c>
      <c r="C3804" s="4" t="s">
        <v>3093</v>
      </c>
      <c r="D3804" s="4" t="s">
        <v>433</v>
      </c>
      <c r="E3804" s="4" t="s">
        <v>3776</v>
      </c>
      <c r="F3804" s="127" t="n">
        <v>46945</v>
      </c>
      <c r="G3804" s="127" t="n">
        <v>46953</v>
      </c>
      <c r="H3804" s="127" t="n">
        <v>46293</v>
      </c>
      <c r="I3804" s="4" t="n">
        <v>0</v>
      </c>
      <c r="J3804" s="4" t="n">
        <v>0</v>
      </c>
      <c r="K3804" s="4" t="n">
        <v>0</v>
      </c>
      <c r="M3804" s="2" t="str">
        <f aca="false">IF(C3804="","",IFERROR(INDEX($S$5:$S$304,MATCH(C3804,$R$5:$R$304,0))&amp;"","?"))</f>
        <v>34</v>
      </c>
      <c r="N3804" s="2" t="n">
        <f aca="false">IF(E3804="","",IF(ISNUMBER(SEARCH("SUBSOLO",E3804)),IFERROR(-VALUE(LEFT(E3804,FIND("º",SUBSTITUTE(E3804,"°","º"))-1)),-1),IF(LEFT(E3804,6)="TÉRREO",0,IFERROR(VALUE(LEFT(E3804,FIND("º",SUBSTITUTE(E3804,"°","º"))-1)),""))))</f>
        <v>18</v>
      </c>
      <c r="O3804" s="2" t="str">
        <f aca="false">IF(OR(F3804="",G3804=""),"",IF(G3804&lt;='RETRATO 2027'!$K$5,"CONCLUÍDA",IF(F3804&lt;='RETRATO 2027'!$K$5,"EM ANDAMENTO","A INICIAR")))</f>
        <v>A INICIAR</v>
      </c>
    </row>
    <row r="3805" customFormat="false" ht="15" hidden="false" customHeight="false" outlineLevel="0" collapsed="false">
      <c r="B3805" s="4" t="n">
        <v>26743128</v>
      </c>
      <c r="C3805" s="4" t="s">
        <v>2965</v>
      </c>
      <c r="D3805" s="4" t="s">
        <v>433</v>
      </c>
      <c r="E3805" s="4" t="s">
        <v>3776</v>
      </c>
      <c r="F3805" s="127" t="n">
        <v>46945</v>
      </c>
      <c r="G3805" s="127" t="n">
        <v>46953</v>
      </c>
      <c r="H3805" s="127" t="n">
        <v>46293</v>
      </c>
      <c r="I3805" s="4" t="n">
        <v>0</v>
      </c>
      <c r="J3805" s="4" t="n">
        <v>0</v>
      </c>
      <c r="K3805" s="4" t="n">
        <v>0</v>
      </c>
      <c r="M3805" s="2" t="str">
        <f aca="false">IF(C3805="","",IFERROR(INDEX($S$5:$S$304,MATCH(C3805,$R$5:$R$304,0))&amp;"","?"))</f>
        <v>20</v>
      </c>
      <c r="N3805" s="2" t="n">
        <f aca="false">IF(E3805="","",IF(ISNUMBER(SEARCH("SUBSOLO",E3805)),IFERROR(-VALUE(LEFT(E3805,FIND("º",SUBSTITUTE(E3805,"°","º"))-1)),-1),IF(LEFT(E3805,6)="TÉRREO",0,IFERROR(VALUE(LEFT(E3805,FIND("º",SUBSTITUTE(E3805,"°","º"))-1)),""))))</f>
        <v>18</v>
      </c>
      <c r="O3805" s="2" t="str">
        <f aca="false">IF(OR(F3805="",G3805=""),"",IF(G3805&lt;='RETRATO 2027'!$K$5,"CONCLUÍDA",IF(F3805&lt;='RETRATO 2027'!$K$5,"EM ANDAMENTO","A INICIAR")))</f>
        <v>A INICIAR</v>
      </c>
    </row>
    <row r="3806" customFormat="false" ht="15" hidden="false" customHeight="false" outlineLevel="0" collapsed="false">
      <c r="B3806" s="4" t="n">
        <v>26743068</v>
      </c>
      <c r="C3806" s="4" t="s">
        <v>3021</v>
      </c>
      <c r="D3806" s="4" t="s">
        <v>433</v>
      </c>
      <c r="E3806" s="4" t="s">
        <v>3779</v>
      </c>
      <c r="F3806" s="127" t="n">
        <v>46945</v>
      </c>
      <c r="G3806" s="127" t="n">
        <v>46953</v>
      </c>
      <c r="H3806" s="127" t="n">
        <v>46293</v>
      </c>
      <c r="I3806" s="4" t="n">
        <v>0</v>
      </c>
      <c r="J3806" s="4" t="n">
        <v>0</v>
      </c>
      <c r="K3806" s="4" t="n">
        <v>0</v>
      </c>
      <c r="M3806" s="2" t="str">
        <f aca="false">IF(C3806="","",IFERROR(INDEX($S$5:$S$304,MATCH(C3806,$R$5:$R$304,0))&amp;"","?"))</f>
        <v>35</v>
      </c>
      <c r="N3806" s="2" t="n">
        <f aca="false">IF(E3806="","",IF(ISNUMBER(SEARCH("SUBSOLO",E3806)),IFERROR(-VALUE(LEFT(E3806,FIND("º",SUBSTITUTE(E3806,"°","º"))-1)),-1),IF(LEFT(E3806,6)="TÉRREO",0,IFERROR(VALUE(LEFT(E3806,FIND("º",SUBSTITUTE(E3806,"°","º"))-1)),""))))</f>
        <v>19</v>
      </c>
      <c r="O3806" s="2" t="str">
        <f aca="false">IF(OR(F3806="",G3806=""),"",IF(G3806&lt;='RETRATO 2027'!$K$5,"CONCLUÍDA",IF(F3806&lt;='RETRATO 2027'!$K$5,"EM ANDAMENTO","A INICIAR")))</f>
        <v>A INICIAR</v>
      </c>
    </row>
    <row r="3807" customFormat="false" ht="15" hidden="false" customHeight="false" outlineLevel="0" collapsed="false">
      <c r="B3807" s="4" t="n">
        <v>26743033</v>
      </c>
      <c r="C3807" s="4" t="s">
        <v>3006</v>
      </c>
      <c r="D3807" s="4" t="s">
        <v>433</v>
      </c>
      <c r="E3807" s="4" t="s">
        <v>3781</v>
      </c>
      <c r="F3807" s="127" t="n">
        <v>46945</v>
      </c>
      <c r="G3807" s="127" t="n">
        <v>46953</v>
      </c>
      <c r="H3807" s="127" t="n">
        <v>46293</v>
      </c>
      <c r="I3807" s="4" t="n">
        <v>0</v>
      </c>
      <c r="J3807" s="4" t="n">
        <v>0</v>
      </c>
      <c r="K3807" s="4" t="n">
        <v>0</v>
      </c>
      <c r="M3807" s="2" t="str">
        <f aca="false">IF(C3807="","",IFERROR(INDEX($S$5:$S$304,MATCH(C3807,$R$5:$R$304,0))&amp;"","?"))</f>
        <v>37</v>
      </c>
      <c r="N3807" s="2" t="n">
        <f aca="false">IF(E3807="","",IF(ISNUMBER(SEARCH("SUBSOLO",E3807)),IFERROR(-VALUE(LEFT(E3807,FIND("º",SUBSTITUTE(E3807,"°","º"))-1)),-1),IF(LEFT(E3807,6)="TÉRREO",0,IFERROR(VALUE(LEFT(E3807,FIND("º",SUBSTITUTE(E3807,"°","º"))-1)),""))))</f>
        <v>20</v>
      </c>
      <c r="O3807" s="2" t="str">
        <f aca="false">IF(OR(F3807="",G3807=""),"",IF(G3807&lt;='RETRATO 2027'!$K$5,"CONCLUÍDA",IF(F3807&lt;='RETRATO 2027'!$K$5,"EM ANDAMENTO","A INICIAR")))</f>
        <v>A INICIAR</v>
      </c>
    </row>
    <row r="3808" customFormat="false" ht="15" hidden="false" customHeight="false" outlineLevel="0" collapsed="false">
      <c r="B3808" s="4" t="n">
        <v>26742998</v>
      </c>
      <c r="C3808" s="4" t="s">
        <v>2962</v>
      </c>
      <c r="D3808" s="4" t="s">
        <v>433</v>
      </c>
      <c r="E3808" s="4" t="s">
        <v>3783</v>
      </c>
      <c r="F3808" s="127" t="n">
        <v>46945</v>
      </c>
      <c r="G3808" s="127" t="n">
        <v>46953</v>
      </c>
      <c r="H3808" s="127" t="n">
        <v>46293</v>
      </c>
      <c r="I3808" s="4" t="n">
        <v>0</v>
      </c>
      <c r="J3808" s="4" t="n">
        <v>0</v>
      </c>
      <c r="K3808" s="4" t="n">
        <v>0</v>
      </c>
      <c r="M3808" s="2" t="str">
        <f aca="false">IF(C3808="","",IFERROR(INDEX($S$5:$S$304,MATCH(C3808,$R$5:$R$304,0))&amp;"","?"))</f>
        <v>34</v>
      </c>
      <c r="N3808" s="2" t="n">
        <f aca="false">IF(E3808="","",IF(ISNUMBER(SEARCH("SUBSOLO",E3808)),IFERROR(-VALUE(LEFT(E3808,FIND("º",SUBSTITUTE(E3808,"°","º"))-1)),-1),IF(LEFT(E3808,6)="TÉRREO",0,IFERROR(VALUE(LEFT(E3808,FIND("º",SUBSTITUTE(E3808,"°","º"))-1)),""))))</f>
        <v>21</v>
      </c>
      <c r="O3808" s="2" t="str">
        <f aca="false">IF(OR(F3808="",G3808=""),"",IF(G3808&lt;='RETRATO 2027'!$K$5,"CONCLUÍDA",IF(F3808&lt;='RETRATO 2027'!$K$5,"EM ANDAMENTO","A INICIAR")))</f>
        <v>A INICIAR</v>
      </c>
    </row>
    <row r="3809" customFormat="false" ht="15" hidden="false" customHeight="false" outlineLevel="0" collapsed="false">
      <c r="B3809" s="4" t="n">
        <v>26743003</v>
      </c>
      <c r="C3809" s="4" t="s">
        <v>3088</v>
      </c>
      <c r="D3809" s="4" t="s">
        <v>433</v>
      </c>
      <c r="E3809" s="4" t="s">
        <v>3783</v>
      </c>
      <c r="F3809" s="127" t="n">
        <v>46945</v>
      </c>
      <c r="G3809" s="127" t="n">
        <v>46953</v>
      </c>
      <c r="H3809" s="127" t="n">
        <v>46293</v>
      </c>
      <c r="I3809" s="4" t="n">
        <v>0</v>
      </c>
      <c r="J3809" s="4" t="n">
        <v>0</v>
      </c>
      <c r="K3809" s="4" t="n">
        <v>0</v>
      </c>
      <c r="M3809" s="2" t="str">
        <f aca="false">IF(C3809="","",IFERROR(INDEX($S$5:$S$304,MATCH(C3809,$R$5:$R$304,0))&amp;"","?"))</f>
        <v>20</v>
      </c>
      <c r="N3809" s="2" t="n">
        <f aca="false">IF(E3809="","",IF(ISNUMBER(SEARCH("SUBSOLO",E3809)),IFERROR(-VALUE(LEFT(E3809,FIND("º",SUBSTITUTE(E3809,"°","º"))-1)),-1),IF(LEFT(E3809,6)="TÉRREO",0,IFERROR(VALUE(LEFT(E3809,FIND("º",SUBSTITUTE(E3809,"°","º"))-1)),""))))</f>
        <v>21</v>
      </c>
      <c r="O3809" s="2" t="str">
        <f aca="false">IF(OR(F3809="",G3809=""),"",IF(G3809&lt;='RETRATO 2027'!$K$5,"CONCLUÍDA",IF(F3809&lt;='RETRATO 2027'!$K$5,"EM ANDAMENTO","A INICIAR")))</f>
        <v>A INICIAR</v>
      </c>
    </row>
    <row r="3810" customFormat="false" ht="15" hidden="false" customHeight="false" outlineLevel="0" collapsed="false">
      <c r="B3810" s="4" t="n">
        <v>26743022</v>
      </c>
      <c r="C3810" s="4" t="s">
        <v>3009</v>
      </c>
      <c r="D3810" s="4" t="s">
        <v>433</v>
      </c>
      <c r="E3810" s="4" t="s">
        <v>3783</v>
      </c>
      <c r="F3810" s="127" t="n">
        <v>46945</v>
      </c>
      <c r="G3810" s="127" t="n">
        <v>46953</v>
      </c>
      <c r="H3810" s="127" t="n">
        <v>46293</v>
      </c>
      <c r="I3810" s="4" t="n">
        <v>0</v>
      </c>
      <c r="J3810" s="4" t="n">
        <v>0</v>
      </c>
      <c r="K3810" s="4" t="n">
        <v>0</v>
      </c>
      <c r="M3810" s="2" t="str">
        <f aca="false">IF(C3810="","",IFERROR(INDEX($S$5:$S$304,MATCH(C3810,$R$5:$R$304,0))&amp;"","?"))</f>
        <v>23</v>
      </c>
      <c r="N3810" s="2" t="n">
        <f aca="false">IF(E3810="","",IF(ISNUMBER(SEARCH("SUBSOLO",E3810)),IFERROR(-VALUE(LEFT(E3810,FIND("º",SUBSTITUTE(E3810,"°","º"))-1)),-1),IF(LEFT(E3810,6)="TÉRREO",0,IFERROR(VALUE(LEFT(E3810,FIND("º",SUBSTITUTE(E3810,"°","º"))-1)),""))))</f>
        <v>21</v>
      </c>
      <c r="O3810" s="2" t="str">
        <f aca="false">IF(OR(F3810="",G3810=""),"",IF(G3810&lt;='RETRATO 2027'!$K$5,"CONCLUÍDA",IF(F3810&lt;='RETRATO 2027'!$K$5,"EM ANDAMENTO","A INICIAR")))</f>
        <v>A INICIAR</v>
      </c>
    </row>
    <row r="3811" customFormat="false" ht="15" hidden="false" customHeight="false" outlineLevel="0" collapsed="false">
      <c r="B3811" s="4" t="n">
        <v>26742960</v>
      </c>
      <c r="C3811" s="4" t="s">
        <v>3082</v>
      </c>
      <c r="D3811" s="4" t="s">
        <v>433</v>
      </c>
      <c r="E3811" s="4" t="s">
        <v>3786</v>
      </c>
      <c r="F3811" s="127" t="n">
        <v>46945</v>
      </c>
      <c r="G3811" s="127" t="n">
        <v>46953</v>
      </c>
      <c r="H3811" s="127" t="n">
        <v>46293</v>
      </c>
      <c r="I3811" s="4" t="n">
        <v>0</v>
      </c>
      <c r="J3811" s="4" t="n">
        <v>0</v>
      </c>
      <c r="K3811" s="4" t="n">
        <v>0</v>
      </c>
      <c r="M3811" s="2" t="str">
        <f aca="false">IF(C3811="","",IFERROR(INDEX($S$5:$S$304,MATCH(C3811,$R$5:$R$304,0))&amp;"","?"))</f>
        <v>30</v>
      </c>
      <c r="N3811" s="2" t="n">
        <f aca="false">IF(E3811="","",IF(ISNUMBER(SEARCH("SUBSOLO",E3811)),IFERROR(-VALUE(LEFT(E3811,FIND("º",SUBSTITUTE(E3811,"°","º"))-1)),-1),IF(LEFT(E3811,6)="TÉRREO",0,IFERROR(VALUE(LEFT(E3811,FIND("º",SUBSTITUTE(E3811,"°","º"))-1)),""))))</f>
        <v>22</v>
      </c>
      <c r="O3811" s="2" t="str">
        <f aca="false">IF(OR(F3811="",G3811=""),"",IF(G3811&lt;='RETRATO 2027'!$K$5,"CONCLUÍDA",IF(F3811&lt;='RETRATO 2027'!$K$5,"EM ANDAMENTO","A INICIAR")))</f>
        <v>A INICIAR</v>
      </c>
    </row>
    <row r="3812" customFormat="false" ht="15" hidden="false" customHeight="false" outlineLevel="0" collapsed="false">
      <c r="B3812" s="4" t="n">
        <v>26742953</v>
      </c>
      <c r="C3812" s="4" t="s">
        <v>3079</v>
      </c>
      <c r="D3812" s="4" t="s">
        <v>433</v>
      </c>
      <c r="E3812" s="4" t="s">
        <v>3787</v>
      </c>
      <c r="F3812" s="127" t="n">
        <v>46945</v>
      </c>
      <c r="G3812" s="127" t="n">
        <v>46953</v>
      </c>
      <c r="H3812" s="127" t="n">
        <v>46293</v>
      </c>
      <c r="I3812" s="4" t="n">
        <v>0</v>
      </c>
      <c r="J3812" s="4" t="n">
        <v>0</v>
      </c>
      <c r="K3812" s="4" t="n">
        <v>0</v>
      </c>
      <c r="M3812" s="2" t="str">
        <f aca="false">IF(C3812="","",IFERROR(INDEX($S$5:$S$304,MATCH(C3812,$R$5:$R$304,0))&amp;"","?"))</f>
        <v>25</v>
      </c>
      <c r="N3812" s="2" t="n">
        <f aca="false">IF(E3812="","",IF(ISNUMBER(SEARCH("SUBSOLO",E3812)),IFERROR(-VALUE(LEFT(E3812,FIND("º",SUBSTITUTE(E3812,"°","º"))-1)),-1),IF(LEFT(E3812,6)="TÉRREO",0,IFERROR(VALUE(LEFT(E3812,FIND("º",SUBSTITUTE(E3812,"°","º"))-1)),""))))</f>
        <v>23</v>
      </c>
      <c r="O3812" s="2" t="str">
        <f aca="false">IF(OR(F3812="",G3812=""),"",IF(G3812&lt;='RETRATO 2027'!$K$5,"CONCLUÍDA",IF(F3812&lt;='RETRATO 2027'!$K$5,"EM ANDAMENTO","A INICIAR")))</f>
        <v>A INICIAR</v>
      </c>
    </row>
    <row r="3813" customFormat="false" ht="15" hidden="false" customHeight="false" outlineLevel="0" collapsed="false">
      <c r="B3813" s="4" t="n">
        <v>26742914</v>
      </c>
      <c r="C3813" s="4" t="s">
        <v>3073</v>
      </c>
      <c r="D3813" s="4" t="s">
        <v>433</v>
      </c>
      <c r="E3813" s="4" t="s">
        <v>3788</v>
      </c>
      <c r="F3813" s="127" t="n">
        <v>46945</v>
      </c>
      <c r="G3813" s="127" t="n">
        <v>46953</v>
      </c>
      <c r="H3813" s="127" t="n">
        <v>46293</v>
      </c>
      <c r="I3813" s="4" t="n">
        <v>0</v>
      </c>
      <c r="J3813" s="4" t="n">
        <v>0</v>
      </c>
      <c r="K3813" s="4" t="n">
        <v>0</v>
      </c>
      <c r="M3813" s="2" t="str">
        <f aca="false">IF(C3813="","",IFERROR(INDEX($S$5:$S$304,MATCH(C3813,$R$5:$R$304,0))&amp;"","?"))</f>
        <v>30</v>
      </c>
      <c r="N3813" s="2" t="n">
        <f aca="false">IF(E3813="","",IF(ISNUMBER(SEARCH("SUBSOLO",E3813)),IFERROR(-VALUE(LEFT(E3813,FIND("º",SUBSTITUTE(E3813,"°","º"))-1)),-1),IF(LEFT(E3813,6)="TÉRREO",0,IFERROR(VALUE(LEFT(E3813,FIND("º",SUBSTITUTE(E3813,"°","º"))-1)),""))))</f>
        <v>24</v>
      </c>
      <c r="O3813" s="2" t="str">
        <f aca="false">IF(OR(F3813="",G3813=""),"",IF(G3813&lt;='RETRATO 2027'!$K$5,"CONCLUÍDA",IF(F3813&lt;='RETRATO 2027'!$K$5,"EM ANDAMENTO","A INICIAR")))</f>
        <v>A INICIAR</v>
      </c>
    </row>
    <row r="3814" customFormat="false" ht="15" hidden="false" customHeight="false" outlineLevel="0" collapsed="false">
      <c r="B3814" s="4" t="n">
        <v>26742876</v>
      </c>
      <c r="C3814" s="4" t="s">
        <v>3055</v>
      </c>
      <c r="D3814" s="4" t="s">
        <v>433</v>
      </c>
      <c r="E3814" s="4" t="s">
        <v>3794</v>
      </c>
      <c r="F3814" s="127" t="n">
        <v>46945</v>
      </c>
      <c r="G3814" s="127" t="n">
        <v>46953</v>
      </c>
      <c r="H3814" s="127" t="n">
        <v>46293</v>
      </c>
      <c r="I3814" s="4" t="n">
        <v>0</v>
      </c>
      <c r="J3814" s="4" t="n">
        <v>0</v>
      </c>
      <c r="K3814" s="4" t="n">
        <v>0</v>
      </c>
      <c r="M3814" s="2" t="str">
        <f aca="false">IF(C3814="","",IFERROR(INDEX($S$5:$S$304,MATCH(C3814,$R$5:$R$304,0))&amp;"","?"))</f>
        <v>25</v>
      </c>
      <c r="N3814" s="2" t="n">
        <f aca="false">IF(E3814="","",IF(ISNUMBER(SEARCH("SUBSOLO",E3814)),IFERROR(-VALUE(LEFT(E3814,FIND("º",SUBSTITUTE(E3814,"°","º"))-1)),-1),IF(LEFT(E3814,6)="TÉRREO",0,IFERROR(VALUE(LEFT(E3814,FIND("º",SUBSTITUTE(E3814,"°","º"))-1)),""))))</f>
        <v>25</v>
      </c>
      <c r="O3814" s="2" t="str">
        <f aca="false">IF(OR(F3814="",G3814=""),"",IF(G3814&lt;='RETRATO 2027'!$K$5,"CONCLUÍDA",IF(F3814&lt;='RETRATO 2027'!$K$5,"EM ANDAMENTO","A INICIAR")))</f>
        <v>A INICIAR</v>
      </c>
    </row>
    <row r="3815" customFormat="false" ht="15" hidden="false" customHeight="false" outlineLevel="0" collapsed="false">
      <c r="B3815" s="4" t="n">
        <v>26743208</v>
      </c>
      <c r="C3815" s="4" t="s">
        <v>2977</v>
      </c>
      <c r="D3815" s="4" t="s">
        <v>433</v>
      </c>
      <c r="E3815" s="4" t="s">
        <v>3771</v>
      </c>
      <c r="F3815" s="127" t="n">
        <v>46946</v>
      </c>
      <c r="G3815" s="127" t="n">
        <v>46954</v>
      </c>
      <c r="H3815" s="127" t="n">
        <v>46293</v>
      </c>
      <c r="I3815" s="4" t="n">
        <v>0</v>
      </c>
      <c r="J3815" s="4" t="n">
        <v>0</v>
      </c>
      <c r="K3815" s="4" t="n">
        <v>0</v>
      </c>
      <c r="M3815" s="2" t="str">
        <f aca="false">IF(C3815="","",IFERROR(INDEX($S$5:$S$304,MATCH(C3815,$R$5:$R$304,0))&amp;"","?"))</f>
        <v>30</v>
      </c>
      <c r="N3815" s="2" t="n">
        <f aca="false">IF(E3815="","",IF(ISNUMBER(SEARCH("SUBSOLO",E3815)),IFERROR(-VALUE(LEFT(E3815,FIND("º",SUBSTITUTE(E3815,"°","º"))-1)),-1),IF(LEFT(E3815,6)="TÉRREO",0,IFERROR(VALUE(LEFT(E3815,FIND("º",SUBSTITUTE(E3815,"°","º"))-1)),""))))</f>
        <v>16</v>
      </c>
      <c r="O3815" s="2" t="str">
        <f aca="false">IF(OR(F3815="",G3815=""),"",IF(G3815&lt;='RETRATO 2027'!$K$5,"CONCLUÍDA",IF(F3815&lt;='RETRATO 2027'!$K$5,"EM ANDAMENTO","A INICIAR")))</f>
        <v>A INICIAR</v>
      </c>
    </row>
    <row r="3816" customFormat="false" ht="15" hidden="false" customHeight="false" outlineLevel="0" collapsed="false">
      <c r="B3816" s="4" t="n">
        <v>26744902</v>
      </c>
      <c r="C3816" s="4" t="s">
        <v>3106</v>
      </c>
      <c r="D3816" s="4" t="s">
        <v>433</v>
      </c>
      <c r="E3816" s="4" t="s">
        <v>3805</v>
      </c>
      <c r="F3816" s="127" t="n">
        <v>46947</v>
      </c>
      <c r="G3816" s="127" t="n">
        <v>46953</v>
      </c>
      <c r="H3816" s="127" t="n">
        <v>46293</v>
      </c>
      <c r="I3816" s="4" t="n">
        <v>0</v>
      </c>
      <c r="J3816" s="4" t="n">
        <v>0</v>
      </c>
      <c r="K3816" s="4" t="n">
        <v>0</v>
      </c>
      <c r="M3816" s="2" t="str">
        <f aca="false">IF(C3816="","",IFERROR(INDEX($S$5:$S$304,MATCH(C3816,$R$5:$R$304,0))&amp;"","?"))</f>
        <v>23</v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>A INICIAR</v>
      </c>
    </row>
    <row r="3817" customFormat="false" ht="15" hidden="false" customHeight="false" outlineLevel="0" collapsed="false">
      <c r="B3817" s="4" t="n">
        <v>26745001</v>
      </c>
      <c r="C3817" s="4" t="s">
        <v>2980</v>
      </c>
      <c r="D3817" s="4" t="s">
        <v>433</v>
      </c>
      <c r="E3817" s="4" t="s">
        <v>3816</v>
      </c>
      <c r="F3817" s="127" t="n">
        <v>46948</v>
      </c>
      <c r="G3817" s="127" t="n">
        <v>46958</v>
      </c>
      <c r="H3817" s="127" t="n">
        <v>46293</v>
      </c>
      <c r="I3817" s="4" t="n">
        <v>0</v>
      </c>
      <c r="J3817" s="4" t="n">
        <v>0</v>
      </c>
      <c r="K3817" s="4" t="n">
        <v>0</v>
      </c>
      <c r="M3817" s="2" t="str">
        <f aca="false">IF(C3817="","",IFERROR(INDEX($S$5:$S$304,MATCH(C3817,$R$5:$R$304,0))&amp;"","?"))</f>
        <v>35</v>
      </c>
      <c r="N3817" s="2" t="n">
        <f aca="false">IF(E3817="","",IF(ISNUMBER(SEARCH("SUBSOLO",E3817)),IFERROR(-VALUE(LEFT(E3817,FIND("º",SUBSTITUTE(E3817,"°","º"))-1)),-1),IF(LEFT(E3817,6)="TÉRREO",0,IFERROR(VALUE(LEFT(E3817,FIND("º",SUBSTITUTE(E3817,"°","º"))-1)),""))))</f>
        <v>-6</v>
      </c>
      <c r="O3817" s="2" t="str">
        <f aca="false">IF(OR(F3817="",G3817=""),"",IF(G3817&lt;='RETRATO 2027'!$K$5,"CONCLUÍDA",IF(F3817&lt;='RETRATO 2027'!$K$5,"EM ANDAMENTO","A INICIAR")))</f>
        <v>A INICIAR</v>
      </c>
    </row>
    <row r="3818" customFormat="false" ht="15" hidden="false" customHeight="false" outlineLevel="0" collapsed="false">
      <c r="B3818" s="4" t="n">
        <v>26744484</v>
      </c>
      <c r="C3818" s="4" t="s">
        <v>3015</v>
      </c>
      <c r="D3818" s="4" t="s">
        <v>433</v>
      </c>
      <c r="E3818" s="4" t="s">
        <v>3804</v>
      </c>
      <c r="F3818" s="127" t="n">
        <v>46948</v>
      </c>
      <c r="G3818" s="127" t="n">
        <v>46968</v>
      </c>
      <c r="H3818" s="127" t="n">
        <v>46293</v>
      </c>
      <c r="I3818" s="4" t="n">
        <v>0</v>
      </c>
      <c r="J3818" s="4" t="n">
        <v>0</v>
      </c>
      <c r="K3818" s="4" t="n">
        <v>0</v>
      </c>
      <c r="M3818" s="2" t="str">
        <f aca="false">IF(C3818="","",IFERROR(INDEX($S$5:$S$304,MATCH(C3818,$R$5:$R$304,0))&amp;"","?"))</f>
        <v>30</v>
      </c>
      <c r="N3818" s="2" t="n">
        <f aca="false">IF(E3818="","",IF(ISNUMBER(SEARCH("SUBSOLO",E3818)),IFERROR(-VALUE(LEFT(E3818,FIND("º",SUBSTITUTE(E3818,"°","º"))-1)),-1),IF(LEFT(E3818,6)="TÉRREO",0,IFERROR(VALUE(LEFT(E3818,FIND("º",SUBSTITUTE(E3818,"°","º"))-1)),""))))</f>
        <v>3</v>
      </c>
      <c r="O3818" s="2" t="str">
        <f aca="false">IF(OR(F3818="",G3818=""),"",IF(G3818&lt;='RETRATO 2027'!$K$5,"CONCLUÍDA",IF(F3818&lt;='RETRATO 2027'!$K$5,"EM ANDAMENTO","A INICIAR")))</f>
        <v>A INICIAR</v>
      </c>
    </row>
    <row r="3819" customFormat="false" ht="15" hidden="false" customHeight="false" outlineLevel="0" collapsed="false">
      <c r="B3819" s="4" t="n">
        <v>26708174</v>
      </c>
      <c r="C3819" s="4" t="s">
        <v>3079</v>
      </c>
      <c r="D3819" s="4" t="s">
        <v>433</v>
      </c>
      <c r="E3819" s="4" t="s">
        <v>3628</v>
      </c>
      <c r="F3819" s="127" t="n">
        <v>46951</v>
      </c>
      <c r="G3819" s="127" t="n">
        <v>46960</v>
      </c>
      <c r="H3819" s="127" t="n">
        <v>46293</v>
      </c>
      <c r="I3819" s="4" t="n">
        <v>0</v>
      </c>
      <c r="J3819" s="4" t="n">
        <v>0</v>
      </c>
      <c r="K3819" s="4" t="n">
        <v>0</v>
      </c>
      <c r="M3819" s="2" t="str">
        <f aca="false">IF(C3819="","",IFERROR(INDEX($S$5:$S$304,MATCH(C3819,$R$5:$R$304,0))&amp;"","?"))</f>
        <v>25</v>
      </c>
      <c r="N3819" s="2" t="n">
        <f aca="false">IF(E3819="","",IF(ISNUMBER(SEARCH("SUBSOLO",E3819)),IFERROR(-VALUE(LEFT(E3819,FIND("º",SUBSTITUTE(E3819,"°","º"))-1)),-1),IF(LEFT(E3819,6)="TÉRREO",0,IFERROR(VALUE(LEFT(E3819,FIND("º",SUBSTITUTE(E3819,"°","º"))-1)),""))))</f>
        <v>-6</v>
      </c>
      <c r="O3819" s="2" t="str">
        <f aca="false">IF(OR(F3819="",G3819=""),"",IF(G3819&lt;='RETRATO 2027'!$K$5,"CONCLUÍDA",IF(F3819&lt;='RETRATO 2027'!$K$5,"EM ANDAMENTO","A INICIAR")))</f>
        <v>A INICIAR</v>
      </c>
    </row>
    <row r="3820" customFormat="false" ht="15" hidden="false" customHeight="false" outlineLevel="0" collapsed="false">
      <c r="B3820" s="4" t="n">
        <v>26708175</v>
      </c>
      <c r="C3820" s="4" t="s">
        <v>2962</v>
      </c>
      <c r="D3820" s="4" t="s">
        <v>433</v>
      </c>
      <c r="E3820" s="4" t="s">
        <v>3628</v>
      </c>
      <c r="F3820" s="127" t="n">
        <v>46951</v>
      </c>
      <c r="G3820" s="127" t="n">
        <v>46960</v>
      </c>
      <c r="H3820" s="127" t="n">
        <v>46293</v>
      </c>
      <c r="I3820" s="4" t="n">
        <v>0</v>
      </c>
      <c r="J3820" s="4" t="n">
        <v>0</v>
      </c>
      <c r="K3820" s="4" t="n">
        <v>0</v>
      </c>
      <c r="M3820" s="2" t="str">
        <f aca="false">IF(C3820="","",IFERROR(INDEX($S$5:$S$304,MATCH(C3820,$R$5:$R$304,0))&amp;"","?"))</f>
        <v>34</v>
      </c>
      <c r="N3820" s="2" t="n">
        <f aca="false">IF(E3820="","",IF(ISNUMBER(SEARCH("SUBSOLO",E3820)),IFERROR(-VALUE(LEFT(E3820,FIND("º",SUBSTITUTE(E3820,"°","º"))-1)),-1),IF(LEFT(E3820,6)="TÉRREO",0,IFERROR(VALUE(LEFT(E3820,FIND("º",SUBSTITUTE(E3820,"°","º"))-1)),""))))</f>
        <v>-6</v>
      </c>
      <c r="O3820" s="2" t="str">
        <f aca="false">IF(OR(F3820="",G3820=""),"",IF(G3820&lt;='RETRATO 2027'!$K$5,"CONCLUÍDA",IF(F3820&lt;='RETRATO 2027'!$K$5,"EM ANDAMENTO","A INICIAR")))</f>
        <v>A INICIAR</v>
      </c>
    </row>
    <row r="3821" customFormat="false" ht="15" hidden="false" customHeight="false" outlineLevel="0" collapsed="false">
      <c r="B3821" s="4" t="n">
        <v>26708182</v>
      </c>
      <c r="C3821" s="4" t="s">
        <v>3009</v>
      </c>
      <c r="D3821" s="4" t="s">
        <v>433</v>
      </c>
      <c r="E3821" s="4" t="s">
        <v>3628</v>
      </c>
      <c r="F3821" s="127" t="n">
        <v>46951</v>
      </c>
      <c r="G3821" s="127" t="n">
        <v>46960</v>
      </c>
      <c r="H3821" s="127" t="n">
        <v>46293</v>
      </c>
      <c r="I3821" s="4" t="n">
        <v>0</v>
      </c>
      <c r="J3821" s="4" t="n">
        <v>0</v>
      </c>
      <c r="K3821" s="4" t="n">
        <v>0</v>
      </c>
      <c r="M3821" s="2" t="str">
        <f aca="false">IF(C3821="","",IFERROR(INDEX($S$5:$S$304,MATCH(C3821,$R$5:$R$304,0))&amp;"","?"))</f>
        <v>23</v>
      </c>
      <c r="N3821" s="2" t="n">
        <f aca="false">IF(E3821="","",IF(ISNUMBER(SEARCH("SUBSOLO",E3821)),IFERROR(-VALUE(LEFT(E3821,FIND("º",SUBSTITUTE(E3821,"°","º"))-1)),-1),IF(LEFT(E3821,6)="TÉRREO",0,IFERROR(VALUE(LEFT(E3821,FIND("º",SUBSTITUTE(E3821,"°","º"))-1)),""))))</f>
        <v>-6</v>
      </c>
      <c r="O3821" s="2" t="str">
        <f aca="false">IF(OR(F3821="",G3821=""),"",IF(G3821&lt;='RETRATO 2027'!$K$5,"CONCLUÍDA",IF(F3821&lt;='RETRATO 2027'!$K$5,"EM ANDAMENTO","A INICIAR")))</f>
        <v>A INICIAR</v>
      </c>
    </row>
    <row r="3822" customFormat="false" ht="15" hidden="false" customHeight="false" outlineLevel="0" collapsed="false">
      <c r="B3822" s="4" t="n">
        <v>26708140</v>
      </c>
      <c r="C3822" s="4" t="s">
        <v>2997</v>
      </c>
      <c r="D3822" s="4" t="s">
        <v>433</v>
      </c>
      <c r="E3822" s="4" t="s">
        <v>3813</v>
      </c>
      <c r="F3822" s="127" t="n">
        <v>46951</v>
      </c>
      <c r="G3822" s="127" t="n">
        <v>46960</v>
      </c>
      <c r="H3822" s="127" t="n">
        <v>46293</v>
      </c>
      <c r="I3822" s="4" t="n">
        <v>0</v>
      </c>
      <c r="J3822" s="4" t="n">
        <v>0</v>
      </c>
      <c r="K3822" s="4" t="n">
        <v>0</v>
      </c>
      <c r="M3822" s="2" t="str">
        <f aca="false">IF(C3822="","",IFERROR(INDEX($S$5:$S$304,MATCH(C3822,$R$5:$R$304,0))&amp;"","?"))</f>
        <v>35</v>
      </c>
      <c r="N3822" s="2" t="n">
        <f aca="false">IF(E3822="","",IF(ISNUMBER(SEARCH("SUBSOLO",E3822)),IFERROR(-VALUE(LEFT(E3822,FIND("º",SUBSTITUTE(E3822,"°","º"))-1)),-1),IF(LEFT(E3822,6)="TÉRREO",0,IFERROR(VALUE(LEFT(E3822,FIND("º",SUBSTITUTE(E3822,"°","º"))-1)),""))))</f>
        <v>-6</v>
      </c>
      <c r="O3822" s="2" t="str">
        <f aca="false">IF(OR(F3822="",G3822=""),"",IF(G3822&lt;='RETRATO 2027'!$K$5,"CONCLUÍDA",IF(F3822&lt;='RETRATO 2027'!$K$5,"EM ANDAMENTO","A INICIAR")))</f>
        <v>A INICIAR</v>
      </c>
    </row>
    <row r="3823" customFormat="false" ht="15" hidden="false" customHeight="false" outlineLevel="0" collapsed="false">
      <c r="B3823" s="4" t="n">
        <v>26750581</v>
      </c>
      <c r="C3823" s="4" t="s">
        <v>2997</v>
      </c>
      <c r="D3823" s="4" t="s">
        <v>433</v>
      </c>
      <c r="E3823" s="4" t="s">
        <v>3814</v>
      </c>
      <c r="F3823" s="127" t="n">
        <v>46951</v>
      </c>
      <c r="G3823" s="127" t="n">
        <v>46960</v>
      </c>
      <c r="H3823" s="127" t="n">
        <v>46293</v>
      </c>
      <c r="I3823" s="4" t="n">
        <v>0</v>
      </c>
      <c r="J3823" s="4" t="n">
        <v>0</v>
      </c>
      <c r="K3823" s="4" t="n">
        <v>0</v>
      </c>
      <c r="M3823" s="2" t="str">
        <f aca="false">IF(C3823="","",IFERROR(INDEX($S$5:$S$304,MATCH(C3823,$R$5:$R$304,0))&amp;"","?"))</f>
        <v>35</v>
      </c>
      <c r="N3823" s="2" t="n">
        <f aca="false">IF(E3823="","",IF(ISNUMBER(SEARCH("SUBSOLO",E3823)),IFERROR(-VALUE(LEFT(E3823,FIND("º",SUBSTITUTE(E3823,"°","º"))-1)),-1),IF(LEFT(E3823,6)="TÉRREO",0,IFERROR(VALUE(LEFT(E3823,FIND("º",SUBSTITUTE(E3823,"°","º"))-1)),""))))</f>
        <v>-6</v>
      </c>
      <c r="O3823" s="2" t="str">
        <f aca="false">IF(OR(F3823="",G3823=""),"",IF(G3823&lt;='RETRATO 2027'!$K$5,"CONCLUÍDA",IF(F3823&lt;='RETRATO 2027'!$K$5,"EM ANDAMENTO","A INICIAR")))</f>
        <v>A INICIAR</v>
      </c>
    </row>
    <row r="3824" customFormat="false" ht="15" hidden="false" customHeight="false" outlineLevel="0" collapsed="false">
      <c r="B3824" s="4" t="n">
        <v>26744656</v>
      </c>
      <c r="C3824" s="4" t="s">
        <v>2962</v>
      </c>
      <c r="D3824" s="4" t="s">
        <v>433</v>
      </c>
      <c r="E3824" s="4" t="s">
        <v>3774</v>
      </c>
      <c r="F3824" s="127" t="n">
        <v>46953</v>
      </c>
      <c r="G3824" s="127" t="n">
        <v>46959</v>
      </c>
      <c r="H3824" s="127" t="n">
        <v>46293</v>
      </c>
      <c r="I3824" s="4" t="n">
        <v>0</v>
      </c>
      <c r="J3824" s="4" t="n">
        <v>0</v>
      </c>
      <c r="K3824" s="4" t="n">
        <v>0</v>
      </c>
      <c r="M3824" s="2" t="str">
        <f aca="false">IF(C3824="","",IFERROR(INDEX($S$5:$S$304,MATCH(C3824,$R$5:$R$304,0))&amp;"","?"))</f>
        <v>34</v>
      </c>
      <c r="N3824" s="2" t="n">
        <f aca="false">IF(E3824="","",IF(ISNUMBER(SEARCH("SUBSOLO",E3824)),IFERROR(-VALUE(LEFT(E3824,FIND("º",SUBSTITUTE(E3824,"°","º"))-1)),-1),IF(LEFT(E3824,6)="TÉRREO",0,IFERROR(VALUE(LEFT(E3824,FIND("º",SUBSTITUTE(E3824,"°","º"))-1)),""))))</f>
        <v>3</v>
      </c>
      <c r="O3824" s="2" t="str">
        <f aca="false">IF(OR(F3824="",G3824=""),"",IF(G3824&lt;='RETRATO 2027'!$K$5,"CONCLUÍDA",IF(F3824&lt;='RETRATO 2027'!$K$5,"EM ANDAMENTO","A INICIAR")))</f>
        <v>A INICIAR</v>
      </c>
    </row>
    <row r="3825" customFormat="false" ht="15" hidden="false" customHeight="false" outlineLevel="0" collapsed="false">
      <c r="B3825" s="4" t="n">
        <v>26744678</v>
      </c>
      <c r="C3825" s="4" t="s">
        <v>3088</v>
      </c>
      <c r="D3825" s="4" t="s">
        <v>433</v>
      </c>
      <c r="E3825" s="4" t="s">
        <v>3774</v>
      </c>
      <c r="F3825" s="127" t="n">
        <v>46953</v>
      </c>
      <c r="G3825" s="127" t="n">
        <v>46960</v>
      </c>
      <c r="H3825" s="127" t="n">
        <v>46293</v>
      </c>
      <c r="I3825" s="4" t="n">
        <v>0</v>
      </c>
      <c r="J3825" s="4" t="n">
        <v>0</v>
      </c>
      <c r="K3825" s="4" t="n">
        <v>0</v>
      </c>
      <c r="M3825" s="2" t="str">
        <f aca="false">IF(C3825="","",IFERROR(INDEX($S$5:$S$304,MATCH(C3825,$R$5:$R$304,0))&amp;"","?"))</f>
        <v>20</v>
      </c>
      <c r="N3825" s="2" t="n">
        <f aca="false">IF(E3825="","",IF(ISNUMBER(SEARCH("SUBSOLO",E3825)),IFERROR(-VALUE(LEFT(E3825,FIND("º",SUBSTITUTE(E3825,"°","º"))-1)),-1),IF(LEFT(E3825,6)="TÉRREO",0,IFERROR(VALUE(LEFT(E3825,FIND("º",SUBSTITUTE(E3825,"°","º"))-1)),""))))</f>
        <v>3</v>
      </c>
      <c r="O3825" s="2" t="str">
        <f aca="false">IF(OR(F3825="",G3825=""),"",IF(G3825&lt;='RETRATO 2027'!$K$5,"CONCLUÍDA",IF(F3825&lt;='RETRATO 2027'!$K$5,"EM ANDAMENTO","A INICIAR")))</f>
        <v>A INICIAR</v>
      </c>
    </row>
    <row r="3826" customFormat="false" ht="15" hidden="false" customHeight="false" outlineLevel="0" collapsed="false">
      <c r="B3826" s="4" t="n">
        <v>26744671</v>
      </c>
      <c r="C3826" s="4" t="s">
        <v>3009</v>
      </c>
      <c r="D3826" s="4" t="s">
        <v>433</v>
      </c>
      <c r="E3826" s="4" t="s">
        <v>3774</v>
      </c>
      <c r="F3826" s="127" t="n">
        <v>46953</v>
      </c>
      <c r="G3826" s="127" t="n">
        <v>46959</v>
      </c>
      <c r="H3826" s="127" t="n">
        <v>46293</v>
      </c>
      <c r="I3826" s="4" t="n">
        <v>0</v>
      </c>
      <c r="J3826" s="4" t="n">
        <v>0</v>
      </c>
      <c r="K3826" s="4" t="n">
        <v>0</v>
      </c>
      <c r="M3826" s="2" t="str">
        <f aca="false">IF(C3826="","",IFERROR(INDEX($S$5:$S$304,MATCH(C3826,$R$5:$R$304,0))&amp;"","?"))</f>
        <v>23</v>
      </c>
      <c r="N3826" s="2" t="n">
        <f aca="false">IF(E3826="","",IF(ISNUMBER(SEARCH("SUBSOLO",E3826)),IFERROR(-VALUE(LEFT(E3826,FIND("º",SUBSTITUTE(E3826,"°","º"))-1)),-1),IF(LEFT(E3826,6)="TÉRREO",0,IFERROR(VALUE(LEFT(E3826,FIND("º",SUBSTITUTE(E3826,"°","º"))-1)),""))))</f>
        <v>3</v>
      </c>
      <c r="O3826" s="2" t="str">
        <f aca="false">IF(OR(F3826="",G3826=""),"",IF(G3826&lt;='RETRATO 2027'!$K$5,"CONCLUÍDA",IF(F3826&lt;='RETRATO 2027'!$K$5,"EM ANDAMENTO","A INICIAR")))</f>
        <v>A INICIAR</v>
      </c>
    </row>
    <row r="3827" customFormat="false" ht="15" hidden="false" customHeight="false" outlineLevel="0" collapsed="false">
      <c r="B3827" s="4" t="n">
        <v>30433009</v>
      </c>
      <c r="C3827" s="4" t="s">
        <v>3096</v>
      </c>
      <c r="D3827" s="4" t="s">
        <v>433</v>
      </c>
      <c r="E3827" s="4" t="s">
        <v>3765</v>
      </c>
      <c r="F3827" s="127" t="n">
        <v>46954</v>
      </c>
      <c r="G3827" s="127" t="n">
        <v>46962</v>
      </c>
      <c r="H3827" s="127" t="n">
        <v>46293</v>
      </c>
      <c r="I3827" s="4" t="n">
        <v>0</v>
      </c>
      <c r="J3827" s="4" t="n">
        <v>0</v>
      </c>
      <c r="K3827" s="4" t="n">
        <v>0</v>
      </c>
      <c r="M3827" s="2" t="str">
        <f aca="false">IF(C3827="","",IFERROR(INDEX($S$5:$S$304,MATCH(C3827,$R$5:$R$304,0))&amp;"","?"))</f>
        <v/>
      </c>
      <c r="N3827" s="2" t="n">
        <f aca="false">IF(E3827="","",IF(ISNUMBER(SEARCH("SUBSOLO",E3827)),IFERROR(-VALUE(LEFT(E3827,FIND("º",SUBSTITUTE(E3827,"°","º"))-1)),-1),IF(LEFT(E3827,6)="TÉRREO",0,IFERROR(VALUE(LEFT(E3827,FIND("º",SUBSTITUTE(E3827,"°","º"))-1)),""))))</f>
        <v>14</v>
      </c>
      <c r="O3827" s="2" t="str">
        <f aca="false">IF(OR(F3827="",G3827=""),"",IF(G3827&lt;='RETRATO 2027'!$K$5,"CONCLUÍDA",IF(F3827&lt;='RETRATO 2027'!$K$5,"EM ANDAMENTO","A INICIAR")))</f>
        <v>A INICIAR</v>
      </c>
    </row>
    <row r="3828" customFormat="false" ht="15" hidden="false" customHeight="false" outlineLevel="0" collapsed="false">
      <c r="B3828" s="4" t="n">
        <v>26743226</v>
      </c>
      <c r="C3828" s="4" t="s">
        <v>3029</v>
      </c>
      <c r="D3828" s="4" t="s">
        <v>433</v>
      </c>
      <c r="E3828" s="4" t="s">
        <v>3768</v>
      </c>
      <c r="F3828" s="127" t="n">
        <v>46954</v>
      </c>
      <c r="G3828" s="127" t="n">
        <v>46962</v>
      </c>
      <c r="H3828" s="127" t="n">
        <v>46293</v>
      </c>
      <c r="I3828" s="4" t="n">
        <v>0</v>
      </c>
      <c r="J3828" s="4" t="n">
        <v>0</v>
      </c>
      <c r="K3828" s="4" t="n">
        <v>0</v>
      </c>
      <c r="M3828" s="2" t="str">
        <f aca="false">IF(C3828="","",IFERROR(INDEX($S$5:$S$304,MATCH(C3828,$R$5:$R$304,0))&amp;"","?"))</f>
        <v/>
      </c>
      <c r="N3828" s="2" t="n">
        <f aca="false">IF(E3828="","",IF(ISNUMBER(SEARCH("SUBSOLO",E3828)),IFERROR(-VALUE(LEFT(E3828,FIND("º",SUBSTITUTE(E3828,"°","º"))-1)),-1),IF(LEFT(E3828,6)="TÉRREO",0,IFERROR(VALUE(LEFT(E3828,FIND("º",SUBSTITUTE(E3828,"°","º"))-1)),""))))</f>
        <v>15</v>
      </c>
      <c r="O3828" s="2" t="str">
        <f aca="false">IF(OR(F3828="",G3828=""),"",IF(G3828&lt;='RETRATO 2027'!$K$5,"CONCLUÍDA",IF(F3828&lt;='RETRATO 2027'!$K$5,"EM ANDAMENTO","A INICIAR")))</f>
        <v>A INICIAR</v>
      </c>
    </row>
    <row r="3829" customFormat="false" ht="15" hidden="false" customHeight="false" outlineLevel="0" collapsed="false">
      <c r="B3829" s="4" t="n">
        <v>26743150</v>
      </c>
      <c r="C3829" s="4" t="s">
        <v>2971</v>
      </c>
      <c r="D3829" s="4" t="s">
        <v>433</v>
      </c>
      <c r="E3829" s="4" t="s">
        <v>3773</v>
      </c>
      <c r="F3829" s="127" t="n">
        <v>46954</v>
      </c>
      <c r="G3829" s="127" t="n">
        <v>46962</v>
      </c>
      <c r="H3829" s="127" t="n">
        <v>46293</v>
      </c>
      <c r="I3829" s="4" t="n">
        <v>0</v>
      </c>
      <c r="J3829" s="4" t="n">
        <v>0</v>
      </c>
      <c r="K3829" s="4" t="n">
        <v>0</v>
      </c>
      <c r="M3829" s="2" t="str">
        <f aca="false">IF(C3829="","",IFERROR(INDEX($S$5:$S$304,MATCH(C3829,$R$5:$R$304,0))&amp;"","?"))</f>
        <v>37</v>
      </c>
      <c r="N3829" s="2" t="n">
        <f aca="false">IF(E3829="","",IF(ISNUMBER(SEARCH("SUBSOLO",E3829)),IFERROR(-VALUE(LEFT(E3829,FIND("º",SUBSTITUTE(E3829,"°","º"))-1)),-1),IF(LEFT(E3829,6)="TÉRREO",0,IFERROR(VALUE(LEFT(E3829,FIND("º",SUBSTITUTE(E3829,"°","º"))-1)),""))))</f>
        <v>17</v>
      </c>
      <c r="O3829" s="2" t="str">
        <f aca="false">IF(OR(F3829="",G3829=""),"",IF(G3829&lt;='RETRATO 2027'!$K$5,"CONCLUÍDA",IF(F3829&lt;='RETRATO 2027'!$K$5,"EM ANDAMENTO","A INICIAR")))</f>
        <v>A INICIAR</v>
      </c>
    </row>
    <row r="3830" customFormat="false" ht="15" hidden="false" customHeight="false" outlineLevel="0" collapsed="false">
      <c r="B3830" s="4" t="n">
        <v>26743112</v>
      </c>
      <c r="C3830" s="4" t="s">
        <v>3032</v>
      </c>
      <c r="D3830" s="4" t="s">
        <v>433</v>
      </c>
      <c r="E3830" s="4" t="s">
        <v>3776</v>
      </c>
      <c r="F3830" s="127" t="n">
        <v>46954</v>
      </c>
      <c r="G3830" s="127" t="n">
        <v>46962</v>
      </c>
      <c r="H3830" s="127" t="n">
        <v>46293</v>
      </c>
      <c r="I3830" s="4" t="n">
        <v>0</v>
      </c>
      <c r="J3830" s="4" t="n">
        <v>0</v>
      </c>
      <c r="K3830" s="4" t="n">
        <v>0</v>
      </c>
      <c r="M3830" s="2" t="str">
        <f aca="false">IF(C3830="","",IFERROR(INDEX($S$5:$S$304,MATCH(C3830,$R$5:$R$304,0))&amp;"","?"))</f>
        <v>35</v>
      </c>
      <c r="N3830" s="2" t="n">
        <f aca="false">IF(E3830="","",IF(ISNUMBER(SEARCH("SUBSOLO",E3830)),IFERROR(-VALUE(LEFT(E3830,FIND("º",SUBSTITUTE(E3830,"°","º"))-1)),-1),IF(LEFT(E3830,6)="TÉRREO",0,IFERROR(VALUE(LEFT(E3830,FIND("º",SUBSTITUTE(E3830,"°","º"))-1)),""))))</f>
        <v>18</v>
      </c>
      <c r="O3830" s="2" t="str">
        <f aca="false">IF(OR(F3830="",G3830=""),"",IF(G3830&lt;='RETRATO 2027'!$K$5,"CONCLUÍDA",IF(F3830&lt;='RETRATO 2027'!$K$5,"EM ANDAMENTO","A INICIAR")))</f>
        <v>A INICIAR</v>
      </c>
    </row>
    <row r="3831" customFormat="false" ht="15" hidden="false" customHeight="false" outlineLevel="0" collapsed="false">
      <c r="B3831" s="4" t="n">
        <v>26743069</v>
      </c>
      <c r="C3831" s="4" t="s">
        <v>3093</v>
      </c>
      <c r="D3831" s="4" t="s">
        <v>433</v>
      </c>
      <c r="E3831" s="4" t="s">
        <v>3779</v>
      </c>
      <c r="F3831" s="127" t="n">
        <v>46954</v>
      </c>
      <c r="G3831" s="127" t="n">
        <v>46962</v>
      </c>
      <c r="H3831" s="127" t="n">
        <v>46293</v>
      </c>
      <c r="I3831" s="4" t="n">
        <v>0</v>
      </c>
      <c r="J3831" s="4" t="n">
        <v>0</v>
      </c>
      <c r="K3831" s="4" t="n">
        <v>0</v>
      </c>
      <c r="M3831" s="2" t="str">
        <f aca="false">IF(C3831="","",IFERROR(INDEX($S$5:$S$304,MATCH(C3831,$R$5:$R$304,0))&amp;"","?"))</f>
        <v>34</v>
      </c>
      <c r="N3831" s="2" t="n">
        <f aca="false">IF(E3831="","",IF(ISNUMBER(SEARCH("SUBSOLO",E3831)),IFERROR(-VALUE(LEFT(E3831,FIND("º",SUBSTITUTE(E3831,"°","º"))-1)),-1),IF(LEFT(E3831,6)="TÉRREO",0,IFERROR(VALUE(LEFT(E3831,FIND("º",SUBSTITUTE(E3831,"°","º"))-1)),""))))</f>
        <v>19</v>
      </c>
      <c r="O3831" s="2" t="str">
        <f aca="false">IF(OR(F3831="",G3831=""),"",IF(G3831&lt;='RETRATO 2027'!$K$5,"CONCLUÍDA",IF(F3831&lt;='RETRATO 2027'!$K$5,"EM ANDAMENTO","A INICIAR")))</f>
        <v>A INICIAR</v>
      </c>
    </row>
    <row r="3832" customFormat="false" ht="15" hidden="false" customHeight="false" outlineLevel="0" collapsed="false">
      <c r="B3832" s="4" t="n">
        <v>26743091</v>
      </c>
      <c r="C3832" s="4" t="s">
        <v>2965</v>
      </c>
      <c r="D3832" s="4" t="s">
        <v>433</v>
      </c>
      <c r="E3832" s="4" t="s">
        <v>3779</v>
      </c>
      <c r="F3832" s="127" t="n">
        <v>46954</v>
      </c>
      <c r="G3832" s="127" t="n">
        <v>46962</v>
      </c>
      <c r="H3832" s="127" t="n">
        <v>46293</v>
      </c>
      <c r="I3832" s="4" t="n">
        <v>0</v>
      </c>
      <c r="J3832" s="4" t="n">
        <v>0</v>
      </c>
      <c r="K3832" s="4" t="n">
        <v>0</v>
      </c>
      <c r="M3832" s="2" t="str">
        <f aca="false">IF(C3832="","",IFERROR(INDEX($S$5:$S$304,MATCH(C3832,$R$5:$R$304,0))&amp;"","?"))</f>
        <v>20</v>
      </c>
      <c r="N3832" s="2" t="n">
        <f aca="false">IF(E3832="","",IF(ISNUMBER(SEARCH("SUBSOLO",E3832)),IFERROR(-VALUE(LEFT(E3832,FIND("º",SUBSTITUTE(E3832,"°","º"))-1)),-1),IF(LEFT(E3832,6)="TÉRREO",0,IFERROR(VALUE(LEFT(E3832,FIND("º",SUBSTITUTE(E3832,"°","º"))-1)),""))))</f>
        <v>19</v>
      </c>
      <c r="O3832" s="2" t="str">
        <f aca="false">IF(OR(F3832="",G3832=""),"",IF(G3832&lt;='RETRATO 2027'!$K$5,"CONCLUÍDA",IF(F3832&lt;='RETRATO 2027'!$K$5,"EM ANDAMENTO","A INICIAR")))</f>
        <v>A INICIAR</v>
      </c>
    </row>
    <row r="3833" customFormat="false" ht="15" hidden="false" customHeight="false" outlineLevel="0" collapsed="false">
      <c r="B3833" s="4" t="n">
        <v>26743031</v>
      </c>
      <c r="C3833" s="4" t="s">
        <v>3021</v>
      </c>
      <c r="D3833" s="4" t="s">
        <v>433</v>
      </c>
      <c r="E3833" s="4" t="s">
        <v>3781</v>
      </c>
      <c r="F3833" s="127" t="n">
        <v>46954</v>
      </c>
      <c r="G3833" s="127" t="n">
        <v>46962</v>
      </c>
      <c r="H3833" s="127" t="n">
        <v>46293</v>
      </c>
      <c r="I3833" s="4" t="n">
        <v>0</v>
      </c>
      <c r="J3833" s="4" t="n">
        <v>0</v>
      </c>
      <c r="K3833" s="4" t="n">
        <v>0</v>
      </c>
      <c r="M3833" s="2" t="str">
        <f aca="false">IF(C3833="","",IFERROR(INDEX($S$5:$S$304,MATCH(C3833,$R$5:$R$304,0))&amp;"","?"))</f>
        <v>35</v>
      </c>
      <c r="N3833" s="2" t="n">
        <f aca="false">IF(E3833="","",IF(ISNUMBER(SEARCH("SUBSOLO",E3833)),IFERROR(-VALUE(LEFT(E3833,FIND("º",SUBSTITUTE(E3833,"°","º"))-1)),-1),IF(LEFT(E3833,6)="TÉRREO",0,IFERROR(VALUE(LEFT(E3833,FIND("º",SUBSTITUTE(E3833,"°","º"))-1)),""))))</f>
        <v>20</v>
      </c>
      <c r="O3833" s="2" t="str">
        <f aca="false">IF(OR(F3833="",G3833=""),"",IF(G3833&lt;='RETRATO 2027'!$K$5,"CONCLUÍDA",IF(F3833&lt;='RETRATO 2027'!$K$5,"EM ANDAMENTO","A INICIAR")))</f>
        <v>A INICIAR</v>
      </c>
    </row>
    <row r="3834" customFormat="false" ht="15" hidden="false" customHeight="false" outlineLevel="0" collapsed="false">
      <c r="B3834" s="4" t="n">
        <v>26742996</v>
      </c>
      <c r="C3834" s="4" t="s">
        <v>3006</v>
      </c>
      <c r="D3834" s="4" t="s">
        <v>433</v>
      </c>
      <c r="E3834" s="4" t="s">
        <v>3783</v>
      </c>
      <c r="F3834" s="127" t="n">
        <v>46954</v>
      </c>
      <c r="G3834" s="127" t="n">
        <v>46962</v>
      </c>
      <c r="H3834" s="127" t="n">
        <v>46293</v>
      </c>
      <c r="I3834" s="4" t="n">
        <v>0</v>
      </c>
      <c r="J3834" s="4" t="n">
        <v>0</v>
      </c>
      <c r="K3834" s="4" t="n">
        <v>0</v>
      </c>
      <c r="M3834" s="2" t="str">
        <f aca="false">IF(C3834="","",IFERROR(INDEX($S$5:$S$304,MATCH(C3834,$R$5:$R$304,0))&amp;"","?"))</f>
        <v>37</v>
      </c>
      <c r="N3834" s="2" t="n">
        <f aca="false">IF(E3834="","",IF(ISNUMBER(SEARCH("SUBSOLO",E3834)),IFERROR(-VALUE(LEFT(E3834,FIND("º",SUBSTITUTE(E3834,"°","º"))-1)),-1),IF(LEFT(E3834,6)="TÉRREO",0,IFERROR(VALUE(LEFT(E3834,FIND("º",SUBSTITUTE(E3834,"°","º"))-1)),""))))</f>
        <v>21</v>
      </c>
      <c r="O3834" s="2" t="str">
        <f aca="false">IF(OR(F3834="",G3834=""),"",IF(G3834&lt;='RETRATO 2027'!$K$5,"CONCLUÍDA",IF(F3834&lt;='RETRATO 2027'!$K$5,"EM ANDAMENTO","A INICIAR")))</f>
        <v>A INICIAR</v>
      </c>
    </row>
    <row r="3835" customFormat="false" ht="15" hidden="false" customHeight="false" outlineLevel="0" collapsed="false">
      <c r="B3835" s="4" t="n">
        <v>26742961</v>
      </c>
      <c r="C3835" s="4" t="s">
        <v>2962</v>
      </c>
      <c r="D3835" s="4" t="s">
        <v>433</v>
      </c>
      <c r="E3835" s="4" t="s">
        <v>3786</v>
      </c>
      <c r="F3835" s="127" t="n">
        <v>46954</v>
      </c>
      <c r="G3835" s="127" t="n">
        <v>46962</v>
      </c>
      <c r="H3835" s="127" t="n">
        <v>46293</v>
      </c>
      <c r="I3835" s="4" t="n">
        <v>0</v>
      </c>
      <c r="J3835" s="4" t="n">
        <v>0</v>
      </c>
      <c r="K3835" s="4" t="n">
        <v>0</v>
      </c>
      <c r="M3835" s="2" t="str">
        <f aca="false">IF(C3835="","",IFERROR(INDEX($S$5:$S$304,MATCH(C3835,$R$5:$R$304,0))&amp;"","?"))</f>
        <v>34</v>
      </c>
      <c r="N3835" s="2" t="n">
        <f aca="false">IF(E3835="","",IF(ISNUMBER(SEARCH("SUBSOLO",E3835)),IFERROR(-VALUE(LEFT(E3835,FIND("º",SUBSTITUTE(E3835,"°","º"))-1)),-1),IF(LEFT(E3835,6)="TÉRREO",0,IFERROR(VALUE(LEFT(E3835,FIND("º",SUBSTITUTE(E3835,"°","º"))-1)),""))))</f>
        <v>22</v>
      </c>
      <c r="O3835" s="2" t="str">
        <f aca="false">IF(OR(F3835="",G3835=""),"",IF(G3835&lt;='RETRATO 2027'!$K$5,"CONCLUÍDA",IF(F3835&lt;='RETRATO 2027'!$K$5,"EM ANDAMENTO","A INICIAR")))</f>
        <v>A INICIAR</v>
      </c>
    </row>
    <row r="3836" customFormat="false" ht="15" hidden="false" customHeight="false" outlineLevel="0" collapsed="false">
      <c r="B3836" s="4" t="n">
        <v>26742966</v>
      </c>
      <c r="C3836" s="4" t="s">
        <v>3088</v>
      </c>
      <c r="D3836" s="4" t="s">
        <v>433</v>
      </c>
      <c r="E3836" s="4" t="s">
        <v>3786</v>
      </c>
      <c r="F3836" s="127" t="n">
        <v>46954</v>
      </c>
      <c r="G3836" s="127" t="n">
        <v>46962</v>
      </c>
      <c r="H3836" s="127" t="n">
        <v>46293</v>
      </c>
      <c r="I3836" s="4" t="n">
        <v>0</v>
      </c>
      <c r="J3836" s="4" t="n">
        <v>0</v>
      </c>
      <c r="K3836" s="4" t="n">
        <v>0</v>
      </c>
      <c r="M3836" s="2" t="str">
        <f aca="false">IF(C3836="","",IFERROR(INDEX($S$5:$S$304,MATCH(C3836,$R$5:$R$304,0))&amp;"","?"))</f>
        <v>20</v>
      </c>
      <c r="N3836" s="2" t="n">
        <f aca="false">IF(E3836="","",IF(ISNUMBER(SEARCH("SUBSOLO",E3836)),IFERROR(-VALUE(LEFT(E3836,FIND("º",SUBSTITUTE(E3836,"°","º"))-1)),-1),IF(LEFT(E3836,6)="TÉRREO",0,IFERROR(VALUE(LEFT(E3836,FIND("º",SUBSTITUTE(E3836,"°","º"))-1)),""))))</f>
        <v>22</v>
      </c>
      <c r="O3836" s="2" t="str">
        <f aca="false">IF(OR(F3836="",G3836=""),"",IF(G3836&lt;='RETRATO 2027'!$K$5,"CONCLUÍDA",IF(F3836&lt;='RETRATO 2027'!$K$5,"EM ANDAMENTO","A INICIAR")))</f>
        <v>A INICIAR</v>
      </c>
    </row>
    <row r="3837" customFormat="false" ht="15" hidden="false" customHeight="false" outlineLevel="0" collapsed="false">
      <c r="B3837" s="4" t="n">
        <v>26742985</v>
      </c>
      <c r="C3837" s="4" t="s">
        <v>3009</v>
      </c>
      <c r="D3837" s="4" t="s">
        <v>433</v>
      </c>
      <c r="E3837" s="4" t="s">
        <v>3786</v>
      </c>
      <c r="F3837" s="127" t="n">
        <v>46954</v>
      </c>
      <c r="G3837" s="127" t="n">
        <v>46962</v>
      </c>
      <c r="H3837" s="127" t="n">
        <v>46293</v>
      </c>
      <c r="I3837" s="4" t="n">
        <v>0</v>
      </c>
      <c r="J3837" s="4" t="n">
        <v>0</v>
      </c>
      <c r="K3837" s="4" t="n">
        <v>0</v>
      </c>
      <c r="M3837" s="2" t="str">
        <f aca="false">IF(C3837="","",IFERROR(INDEX($S$5:$S$304,MATCH(C3837,$R$5:$R$304,0))&amp;"","?"))</f>
        <v>23</v>
      </c>
      <c r="N3837" s="2" t="n">
        <f aca="false">IF(E3837="","",IF(ISNUMBER(SEARCH("SUBSOLO",E3837)),IFERROR(-VALUE(LEFT(E3837,FIND("º",SUBSTITUTE(E3837,"°","º"))-1)),-1),IF(LEFT(E3837,6)="TÉRREO",0,IFERROR(VALUE(LEFT(E3837,FIND("º",SUBSTITUTE(E3837,"°","º"))-1)),""))))</f>
        <v>22</v>
      </c>
      <c r="O3837" s="2" t="str">
        <f aca="false">IF(OR(F3837="",G3837=""),"",IF(G3837&lt;='RETRATO 2027'!$K$5,"CONCLUÍDA",IF(F3837&lt;='RETRATO 2027'!$K$5,"EM ANDAMENTO","A INICIAR")))</f>
        <v>A INICIAR</v>
      </c>
    </row>
    <row r="3838" customFormat="false" ht="15" hidden="false" customHeight="false" outlineLevel="0" collapsed="false">
      <c r="B3838" s="4" t="n">
        <v>26742923</v>
      </c>
      <c r="C3838" s="4" t="s">
        <v>3082</v>
      </c>
      <c r="D3838" s="4" t="s">
        <v>433</v>
      </c>
      <c r="E3838" s="4" t="s">
        <v>3787</v>
      </c>
      <c r="F3838" s="127" t="n">
        <v>46954</v>
      </c>
      <c r="G3838" s="127" t="n">
        <v>46962</v>
      </c>
      <c r="H3838" s="127" t="n">
        <v>46293</v>
      </c>
      <c r="I3838" s="4" t="n">
        <v>0</v>
      </c>
      <c r="J3838" s="4" t="n">
        <v>0</v>
      </c>
      <c r="K3838" s="4" t="n">
        <v>0</v>
      </c>
      <c r="M3838" s="2" t="str">
        <f aca="false">IF(C3838="","",IFERROR(INDEX($S$5:$S$304,MATCH(C3838,$R$5:$R$304,0))&amp;"","?"))</f>
        <v>30</v>
      </c>
      <c r="N3838" s="2" t="n">
        <f aca="false">IF(E3838="","",IF(ISNUMBER(SEARCH("SUBSOLO",E3838)),IFERROR(-VALUE(LEFT(E3838,FIND("º",SUBSTITUTE(E3838,"°","º"))-1)),-1),IF(LEFT(E3838,6)="TÉRREO",0,IFERROR(VALUE(LEFT(E3838,FIND("º",SUBSTITUTE(E3838,"°","º"))-1)),""))))</f>
        <v>23</v>
      </c>
      <c r="O3838" s="2" t="str">
        <f aca="false">IF(OR(F3838="",G3838=""),"",IF(G3838&lt;='RETRATO 2027'!$K$5,"CONCLUÍDA",IF(F3838&lt;='RETRATO 2027'!$K$5,"EM ANDAMENTO","A INICIAR")))</f>
        <v>A INICIAR</v>
      </c>
    </row>
    <row r="3839" customFormat="false" ht="15" hidden="false" customHeight="false" outlineLevel="0" collapsed="false">
      <c r="B3839" s="4" t="n">
        <v>26742916</v>
      </c>
      <c r="C3839" s="4" t="s">
        <v>3079</v>
      </c>
      <c r="D3839" s="4" t="s">
        <v>433</v>
      </c>
      <c r="E3839" s="4" t="s">
        <v>3788</v>
      </c>
      <c r="F3839" s="127" t="n">
        <v>46954</v>
      </c>
      <c r="G3839" s="127" t="n">
        <v>46962</v>
      </c>
      <c r="H3839" s="127" t="n">
        <v>46293</v>
      </c>
      <c r="I3839" s="4" t="n">
        <v>0</v>
      </c>
      <c r="J3839" s="4" t="n">
        <v>0</v>
      </c>
      <c r="K3839" s="4" t="n">
        <v>0</v>
      </c>
      <c r="M3839" s="2" t="str">
        <f aca="false">IF(C3839="","",IFERROR(INDEX($S$5:$S$304,MATCH(C3839,$R$5:$R$304,0))&amp;"","?"))</f>
        <v>25</v>
      </c>
      <c r="N3839" s="2" t="n">
        <f aca="false">IF(E3839="","",IF(ISNUMBER(SEARCH("SUBSOLO",E3839)),IFERROR(-VALUE(LEFT(E3839,FIND("º",SUBSTITUTE(E3839,"°","º"))-1)),-1),IF(LEFT(E3839,6)="TÉRREO",0,IFERROR(VALUE(LEFT(E3839,FIND("º",SUBSTITUTE(E3839,"°","º"))-1)),""))))</f>
        <v>24</v>
      </c>
      <c r="O3839" s="2" t="str">
        <f aca="false">IF(OR(F3839="",G3839=""),"",IF(G3839&lt;='RETRATO 2027'!$K$5,"CONCLUÍDA",IF(F3839&lt;='RETRATO 2027'!$K$5,"EM ANDAMENTO","A INICIAR")))</f>
        <v>A INICIAR</v>
      </c>
    </row>
    <row r="3840" customFormat="false" ht="15" hidden="false" customHeight="false" outlineLevel="0" collapsed="false">
      <c r="B3840" s="4" t="n">
        <v>26742877</v>
      </c>
      <c r="C3840" s="4" t="s">
        <v>3073</v>
      </c>
      <c r="D3840" s="4" t="s">
        <v>433</v>
      </c>
      <c r="E3840" s="4" t="s">
        <v>3794</v>
      </c>
      <c r="F3840" s="127" t="n">
        <v>46954</v>
      </c>
      <c r="G3840" s="127" t="n">
        <v>46962</v>
      </c>
      <c r="H3840" s="127" t="n">
        <v>46293</v>
      </c>
      <c r="I3840" s="4" t="n">
        <v>0</v>
      </c>
      <c r="J3840" s="4" t="n">
        <v>0</v>
      </c>
      <c r="K3840" s="4" t="n">
        <v>0</v>
      </c>
      <c r="M3840" s="2" t="str">
        <f aca="false">IF(C3840="","",IFERROR(INDEX($S$5:$S$304,MATCH(C3840,$R$5:$R$304,0))&amp;"","?"))</f>
        <v>30</v>
      </c>
      <c r="N3840" s="2" t="n">
        <f aca="false">IF(E3840="","",IF(ISNUMBER(SEARCH("SUBSOLO",E3840)),IFERROR(-VALUE(LEFT(E3840,FIND("º",SUBSTITUTE(E3840,"°","º"))-1)),-1),IF(LEFT(E3840,6)="TÉRREO",0,IFERROR(VALUE(LEFT(E3840,FIND("º",SUBSTITUTE(E3840,"°","º"))-1)),""))))</f>
        <v>25</v>
      </c>
      <c r="O3840" s="2" t="str">
        <f aca="false">IF(OR(F3840="",G3840=""),"",IF(G3840&lt;='RETRATO 2027'!$K$5,"CONCLUÍDA",IF(F3840&lt;='RETRATO 2027'!$K$5,"EM ANDAMENTO","A INICIAR")))</f>
        <v>A INICIAR</v>
      </c>
    </row>
    <row r="3841" customFormat="false" ht="15" hidden="false" customHeight="false" outlineLevel="0" collapsed="false">
      <c r="B3841" s="4" t="n">
        <v>26742839</v>
      </c>
      <c r="C3841" s="4" t="s">
        <v>3055</v>
      </c>
      <c r="D3841" s="4" t="s">
        <v>433</v>
      </c>
      <c r="E3841" s="4" t="s">
        <v>3797</v>
      </c>
      <c r="F3841" s="127" t="n">
        <v>46954</v>
      </c>
      <c r="G3841" s="127" t="n">
        <v>46962</v>
      </c>
      <c r="H3841" s="127" t="n">
        <v>46293</v>
      </c>
      <c r="I3841" s="4" t="n">
        <v>0</v>
      </c>
      <c r="J3841" s="4" t="n">
        <v>0</v>
      </c>
      <c r="K3841" s="4" t="n">
        <v>0</v>
      </c>
      <c r="M3841" s="2" t="str">
        <f aca="false">IF(C3841="","",IFERROR(INDEX($S$5:$S$304,MATCH(C3841,$R$5:$R$304,0))&amp;"","?"))</f>
        <v>25</v>
      </c>
      <c r="N3841" s="2" t="n">
        <f aca="false">IF(E3841="","",IF(ISNUMBER(SEARCH("SUBSOLO",E3841)),IFERROR(-VALUE(LEFT(E3841,FIND("º",SUBSTITUTE(E3841,"°","º"))-1)),-1),IF(LEFT(E3841,6)="TÉRREO",0,IFERROR(VALUE(LEFT(E3841,FIND("º",SUBSTITUTE(E3841,"°","º"))-1)),""))))</f>
        <v>26</v>
      </c>
      <c r="O3841" s="2" t="str">
        <f aca="false">IF(OR(F3841="",G3841=""),"",IF(G3841&lt;='RETRATO 2027'!$K$5,"CONCLUÍDA",IF(F3841&lt;='RETRATO 2027'!$K$5,"EM ANDAMENTO","A INICIAR")))</f>
        <v>A INICIAR</v>
      </c>
    </row>
    <row r="3842" customFormat="false" ht="15" hidden="false" customHeight="false" outlineLevel="0" collapsed="false">
      <c r="B3842" s="4" t="n">
        <v>26744903</v>
      </c>
      <c r="C3842" s="4" t="s">
        <v>3055</v>
      </c>
      <c r="D3842" s="4" t="s">
        <v>433</v>
      </c>
      <c r="E3842" s="4" t="s">
        <v>3805</v>
      </c>
      <c r="F3842" s="127" t="n">
        <v>46954</v>
      </c>
      <c r="G3842" s="127" t="n">
        <v>46962</v>
      </c>
      <c r="H3842" s="127" t="n">
        <v>46293</v>
      </c>
      <c r="I3842" s="4" t="n">
        <v>0</v>
      </c>
      <c r="J3842" s="4" t="n">
        <v>0</v>
      </c>
      <c r="K3842" s="4" t="n">
        <v>0</v>
      </c>
      <c r="M3842" s="2" t="str">
        <f aca="false">IF(C3842="","",IFERROR(INDEX($S$5:$S$304,MATCH(C3842,$R$5:$R$304,0))&amp;"","?"))</f>
        <v>25</v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>A INICIAR</v>
      </c>
    </row>
    <row r="3843" customFormat="false" ht="15" hidden="false" customHeight="false" outlineLevel="0" collapsed="false">
      <c r="B3843" s="4" t="n">
        <v>29845963</v>
      </c>
      <c r="C3843" s="4" t="s">
        <v>2983</v>
      </c>
      <c r="D3843" s="4" t="s">
        <v>433</v>
      </c>
      <c r="E3843" s="4" t="s">
        <v>3771</v>
      </c>
      <c r="F3843" s="127" t="n">
        <v>46955</v>
      </c>
      <c r="G3843" s="127" t="n">
        <v>46965</v>
      </c>
      <c r="H3843" s="127" t="n">
        <v>46293</v>
      </c>
      <c r="I3843" s="4" t="n">
        <v>0</v>
      </c>
      <c r="J3843" s="4" t="n">
        <v>0</v>
      </c>
      <c r="K3843" s="4" t="n">
        <v>0</v>
      </c>
      <c r="M3843" s="2" t="str">
        <f aca="false">IF(C3843="","",IFERROR(INDEX($S$5:$S$304,MATCH(C3843,$R$5:$R$304,0))&amp;"","?"))</f>
        <v>20</v>
      </c>
      <c r="N3843" s="2" t="n">
        <f aca="false">IF(E3843="","",IF(ISNUMBER(SEARCH("SUBSOLO",E3843)),IFERROR(-VALUE(LEFT(E3843,FIND("º",SUBSTITUTE(E3843,"°","º"))-1)),-1),IF(LEFT(E3843,6)="TÉRREO",0,IFERROR(VALUE(LEFT(E3843,FIND("º",SUBSTITUTE(E3843,"°","º"))-1)),""))))</f>
        <v>16</v>
      </c>
      <c r="O3843" s="2" t="str">
        <f aca="false">IF(OR(F3843="",G3843=""),"",IF(G3843&lt;='RETRATO 2027'!$K$5,"CONCLUÍDA",IF(F3843&lt;='RETRATO 2027'!$K$5,"EM ANDAMENTO","A INICIAR")))</f>
        <v>A INICIAR</v>
      </c>
    </row>
    <row r="3844" customFormat="false" ht="15" hidden="false" customHeight="false" outlineLevel="0" collapsed="false">
      <c r="B3844" s="4" t="n">
        <v>29845902</v>
      </c>
      <c r="C3844" s="4" t="s">
        <v>2986</v>
      </c>
      <c r="D3844" s="4" t="s">
        <v>433</v>
      </c>
      <c r="E3844" s="4" t="s">
        <v>3771</v>
      </c>
      <c r="F3844" s="127" t="n">
        <v>46955</v>
      </c>
      <c r="G3844" s="127" t="n">
        <v>46966</v>
      </c>
      <c r="H3844" s="127" t="n">
        <v>46293</v>
      </c>
      <c r="I3844" s="4" t="n">
        <v>0</v>
      </c>
      <c r="J3844" s="4" t="n">
        <v>0</v>
      </c>
      <c r="K3844" s="4" t="n">
        <v>0</v>
      </c>
      <c r="M3844" s="2" t="str">
        <f aca="false">IF(C3844="","",IFERROR(INDEX($S$5:$S$304,MATCH(C3844,$R$5:$R$304,0))&amp;"","?"))</f>
        <v>20</v>
      </c>
      <c r="N3844" s="2" t="n">
        <f aca="false">IF(E3844="","",IF(ISNUMBER(SEARCH("SUBSOLO",E3844)),IFERROR(-VALUE(LEFT(E3844,FIND("º",SUBSTITUTE(E3844,"°","º"))-1)),-1),IF(LEFT(E3844,6)="TÉRREO",0,IFERROR(VALUE(LEFT(E3844,FIND("º",SUBSTITUTE(E3844,"°","º"))-1)),""))))</f>
        <v>16</v>
      </c>
      <c r="O3844" s="2" t="str">
        <f aca="false">IF(OR(F3844="",G3844=""),"",IF(G3844&lt;='RETRATO 2027'!$K$5,"CONCLUÍDA",IF(F3844&lt;='RETRATO 2027'!$K$5,"EM ANDAMENTO","A INICIAR")))</f>
        <v>A INICIAR</v>
      </c>
    </row>
    <row r="3845" customFormat="false" ht="15" hidden="false" customHeight="false" outlineLevel="0" collapsed="false">
      <c r="B3845" s="4" t="n">
        <v>26745002</v>
      </c>
      <c r="C3845" s="4" t="s">
        <v>2997</v>
      </c>
      <c r="D3845" s="4" t="s">
        <v>433</v>
      </c>
      <c r="E3845" s="4" t="s">
        <v>3816</v>
      </c>
      <c r="F3845" s="127" t="n">
        <v>46959</v>
      </c>
      <c r="G3845" s="127" t="n">
        <v>46967</v>
      </c>
      <c r="H3845" s="127" t="n">
        <v>46293</v>
      </c>
      <c r="I3845" s="4" t="n">
        <v>0</v>
      </c>
      <c r="J3845" s="4" t="n">
        <v>0</v>
      </c>
      <c r="K3845" s="4" t="n">
        <v>0</v>
      </c>
      <c r="M3845" s="2" t="str">
        <f aca="false">IF(C3845="","",IFERROR(INDEX($S$5:$S$304,MATCH(C3845,$R$5:$R$304,0))&amp;"","?"))</f>
        <v>35</v>
      </c>
      <c r="N3845" s="2" t="n">
        <f aca="false">IF(E3845="","",IF(ISNUMBER(SEARCH("SUBSOLO",E3845)),IFERROR(-VALUE(LEFT(E3845,FIND("º",SUBSTITUTE(E3845,"°","º"))-1)),-1),IF(LEFT(E3845,6)="TÉRREO",0,IFERROR(VALUE(LEFT(E3845,FIND("º",SUBSTITUTE(E3845,"°","º"))-1)),""))))</f>
        <v>-6</v>
      </c>
      <c r="O3845" s="2" t="str">
        <f aca="false">IF(OR(F3845="",G3845=""),"",IF(G3845&lt;='RETRATO 2027'!$K$5,"CONCLUÍDA",IF(F3845&lt;='RETRATO 2027'!$K$5,"EM ANDAMENTO","A INICIAR")))</f>
        <v>A INICIAR</v>
      </c>
    </row>
    <row r="3846" customFormat="false" ht="15" hidden="false" customHeight="false" outlineLevel="0" collapsed="false">
      <c r="B3846" s="4" t="n">
        <v>26744469</v>
      </c>
      <c r="C3846" s="4" t="s">
        <v>77</v>
      </c>
      <c r="D3846" s="4" t="s">
        <v>433</v>
      </c>
      <c r="E3846" s="4" t="s">
        <v>3796</v>
      </c>
      <c r="F3846" s="127" t="n">
        <v>46959</v>
      </c>
      <c r="G3846" s="127" t="n">
        <v>46979</v>
      </c>
      <c r="H3846" s="127" t="n">
        <v>46293</v>
      </c>
      <c r="I3846" s="4" t="n">
        <v>0</v>
      </c>
      <c r="J3846" s="4" t="n">
        <v>0</v>
      </c>
      <c r="K3846" s="4" t="n">
        <v>0</v>
      </c>
      <c r="M3846" s="2" t="str">
        <f aca="false">IF(C3846="","",IFERROR(INDEX($S$5:$S$304,MATCH(C3846,$R$5:$R$304,0))&amp;"","?"))</f>
        <v>20</v>
      </c>
      <c r="N3846" s="2" t="n">
        <f aca="false">IF(E3846="","",IF(ISNUMBER(SEARCH("SUBSOLO",E3846)),IFERROR(-VALUE(LEFT(E3846,FIND("º",SUBSTITUTE(E3846,"°","º"))-1)),-1),IF(LEFT(E3846,6)="TÉRREO",0,IFERROR(VALUE(LEFT(E3846,FIND("º",SUBSTITUTE(E3846,"°","º"))-1)),""))))</f>
        <v>3</v>
      </c>
      <c r="O3846" s="2" t="str">
        <f aca="false">IF(OR(F3846="",G3846=""),"",IF(G3846&lt;='RETRATO 2027'!$K$5,"CONCLUÍDA",IF(F3846&lt;='RETRATO 2027'!$K$5,"EM ANDAMENTO","A INICIAR")))</f>
        <v>A INICIAR</v>
      </c>
    </row>
    <row r="3847" customFormat="false" ht="15" hidden="false" customHeight="false" outlineLevel="0" collapsed="false">
      <c r="B3847" s="4" t="n">
        <v>26744468</v>
      </c>
      <c r="C3847" s="4" t="s">
        <v>3043</v>
      </c>
      <c r="D3847" s="4" t="s">
        <v>433</v>
      </c>
      <c r="E3847" s="4" t="s">
        <v>3796</v>
      </c>
      <c r="F3847" s="127" t="n">
        <v>46959</v>
      </c>
      <c r="G3847" s="127" t="n">
        <v>46979</v>
      </c>
      <c r="H3847" s="127" t="n">
        <v>46293</v>
      </c>
      <c r="I3847" s="4" t="n">
        <v>0</v>
      </c>
      <c r="J3847" s="4" t="n">
        <v>0</v>
      </c>
      <c r="K3847" s="4" t="n">
        <v>0</v>
      </c>
      <c r="M3847" s="2" t="str">
        <f aca="false">IF(C3847="","",IFERROR(INDEX($S$5:$S$304,MATCH(C3847,$R$5:$R$304,0))&amp;"","?"))</f>
        <v>30</v>
      </c>
      <c r="N3847" s="2" t="n">
        <f aca="false">IF(E3847="","",IF(ISNUMBER(SEARCH("SUBSOLO",E3847)),IFERROR(-VALUE(LEFT(E3847,FIND("º",SUBSTITUTE(E3847,"°","º"))-1)),-1),IF(LEFT(E3847,6)="TÉRREO",0,IFERROR(VALUE(LEFT(E3847,FIND("º",SUBSTITUTE(E3847,"°","º"))-1)),""))))</f>
        <v>3</v>
      </c>
      <c r="O3847" s="2" t="str">
        <f aca="false">IF(OR(F3847="",G3847=""),"",IF(G3847&lt;='RETRATO 2027'!$K$5,"CONCLUÍDA",IF(F3847&lt;='RETRATO 2027'!$K$5,"EM ANDAMENTO","A INICIAR")))</f>
        <v>A INICIAR</v>
      </c>
    </row>
    <row r="3848" customFormat="false" ht="15" hidden="false" customHeight="false" outlineLevel="0" collapsed="false">
      <c r="B3848" s="4" t="n">
        <v>26744653</v>
      </c>
      <c r="C3848" s="4" t="s">
        <v>3006</v>
      </c>
      <c r="D3848" s="4" t="s">
        <v>433</v>
      </c>
      <c r="E3848" s="4" t="s">
        <v>3774</v>
      </c>
      <c r="F3848" s="127" t="n">
        <v>46960</v>
      </c>
      <c r="G3848" s="127" t="n">
        <v>46967</v>
      </c>
      <c r="H3848" s="127" t="n">
        <v>46293</v>
      </c>
      <c r="I3848" s="4" t="n">
        <v>0</v>
      </c>
      <c r="J3848" s="4" t="n">
        <v>0</v>
      </c>
      <c r="K3848" s="4" t="n">
        <v>0</v>
      </c>
      <c r="M3848" s="2" t="str">
        <f aca="false">IF(C3848="","",IFERROR(INDEX($S$5:$S$304,MATCH(C3848,$R$5:$R$304,0))&amp;"","?"))</f>
        <v>37</v>
      </c>
      <c r="N3848" s="2" t="n">
        <f aca="false">IF(E3848="","",IF(ISNUMBER(SEARCH("SUBSOLO",E3848)),IFERROR(-VALUE(LEFT(E3848,FIND("º",SUBSTITUTE(E3848,"°","º"))-1)),-1),IF(LEFT(E3848,6)="TÉRREO",0,IFERROR(VALUE(LEFT(E3848,FIND("º",SUBSTITUTE(E3848,"°","º"))-1)),""))))</f>
        <v>3</v>
      </c>
      <c r="O3848" s="2" t="str">
        <f aca="false">IF(OR(F3848="",G3848=""),"",IF(G3848&lt;='RETRATO 2027'!$K$5,"CONCLUÍDA",IF(F3848&lt;='RETRATO 2027'!$K$5,"EM ANDAMENTO","A INICIAR")))</f>
        <v>A INICIAR</v>
      </c>
    </row>
    <row r="3849" customFormat="false" ht="15" hidden="false" customHeight="false" outlineLevel="0" collapsed="false">
      <c r="B3849" s="4" t="n">
        <v>36118610</v>
      </c>
      <c r="C3849" s="4" t="s">
        <v>3038</v>
      </c>
      <c r="D3849" s="4" t="s">
        <v>433</v>
      </c>
      <c r="E3849" s="4" t="s">
        <v>3583</v>
      </c>
      <c r="F3849" s="127" t="n">
        <v>46961</v>
      </c>
      <c r="G3849" s="127" t="n">
        <v>46974</v>
      </c>
      <c r="H3849" s="127" t="n">
        <v>46293</v>
      </c>
      <c r="I3849" s="4" t="n">
        <v>0</v>
      </c>
      <c r="J3849" s="4" t="n">
        <v>0</v>
      </c>
      <c r="K3849" s="4" t="n">
        <v>0</v>
      </c>
      <c r="M3849" s="2" t="str">
        <f aca="false">IF(C3849="","",IFERROR(INDEX($S$5:$S$304,MATCH(C3849,$R$5:$R$304,0))&amp;"","?"))</f>
        <v>26</v>
      </c>
      <c r="N3849" s="2" t="n">
        <f aca="false">IF(E3849="","",IF(ISNUMBER(SEARCH("SUBSOLO",E3849)),IFERROR(-VALUE(LEFT(E3849,FIND("º",SUBSTITUTE(E3849,"°","º"))-1)),-1),IF(LEFT(E3849,6)="TÉRREO",0,IFERROR(VALUE(LEFT(E3849,FIND("º",SUBSTITUTE(E3849,"°","º"))-1)),""))))</f>
        <v>-6</v>
      </c>
      <c r="O3849" s="2" t="str">
        <f aca="false">IF(OR(F3849="",G3849=""),"",IF(G3849&lt;='RETRATO 2027'!$K$5,"CONCLUÍDA",IF(F3849&lt;='RETRATO 2027'!$K$5,"EM ANDAMENTO","A INICIAR")))</f>
        <v>A INICIAR</v>
      </c>
    </row>
    <row r="3850" customFormat="false" ht="15" hidden="false" customHeight="false" outlineLevel="0" collapsed="false">
      <c r="B3850" s="4" t="n">
        <v>26708166</v>
      </c>
      <c r="C3850" s="4" t="s">
        <v>3088</v>
      </c>
      <c r="D3850" s="4" t="s">
        <v>433</v>
      </c>
      <c r="E3850" s="4" t="s">
        <v>3628</v>
      </c>
      <c r="F3850" s="127" t="n">
        <v>46961</v>
      </c>
      <c r="G3850" s="127" t="n">
        <v>46972</v>
      </c>
      <c r="H3850" s="127" t="n">
        <v>46293</v>
      </c>
      <c r="I3850" s="4" t="n">
        <v>0</v>
      </c>
      <c r="J3850" s="4" t="n">
        <v>0</v>
      </c>
      <c r="K3850" s="4" t="n">
        <v>0</v>
      </c>
      <c r="M3850" s="2" t="str">
        <f aca="false">IF(C3850="","",IFERROR(INDEX($S$5:$S$304,MATCH(C3850,$R$5:$R$304,0))&amp;"","?"))</f>
        <v>20</v>
      </c>
      <c r="N3850" s="2" t="n">
        <f aca="false">IF(E3850="","",IF(ISNUMBER(SEARCH("SUBSOLO",E3850)),IFERROR(-VALUE(LEFT(E3850,FIND("º",SUBSTITUTE(E3850,"°","º"))-1)),-1),IF(LEFT(E3850,6)="TÉRREO",0,IFERROR(VALUE(LEFT(E3850,FIND("º",SUBSTITUTE(E3850,"°","º"))-1)),""))))</f>
        <v>-6</v>
      </c>
      <c r="O3850" s="2" t="str">
        <f aca="false">IF(OR(F3850="",G3850=""),"",IF(G3850&lt;='RETRATO 2027'!$K$5,"CONCLUÍDA",IF(F3850&lt;='RETRATO 2027'!$K$5,"EM ANDAMENTO","A INICIAR")))</f>
        <v>A INICIAR</v>
      </c>
    </row>
    <row r="3851" customFormat="false" ht="15" hidden="false" customHeight="false" outlineLevel="0" collapsed="false">
      <c r="B3851" s="4" t="n">
        <v>26708141</v>
      </c>
      <c r="C3851" s="4" t="s">
        <v>3079</v>
      </c>
      <c r="D3851" s="4" t="s">
        <v>433</v>
      </c>
      <c r="E3851" s="4" t="s">
        <v>3813</v>
      </c>
      <c r="F3851" s="127" t="n">
        <v>46961</v>
      </c>
      <c r="G3851" s="127" t="n">
        <v>46972</v>
      </c>
      <c r="H3851" s="127" t="n">
        <v>46293</v>
      </c>
      <c r="I3851" s="4" t="n">
        <v>0</v>
      </c>
      <c r="J3851" s="4" t="n">
        <v>0</v>
      </c>
      <c r="K3851" s="4" t="n">
        <v>0</v>
      </c>
      <c r="M3851" s="2" t="str">
        <f aca="false">IF(C3851="","",IFERROR(INDEX($S$5:$S$304,MATCH(C3851,$R$5:$R$304,0))&amp;"","?"))</f>
        <v>25</v>
      </c>
      <c r="N3851" s="2" t="n">
        <f aca="false">IF(E3851="","",IF(ISNUMBER(SEARCH("SUBSOLO",E3851)),IFERROR(-VALUE(LEFT(E3851,FIND("º",SUBSTITUTE(E3851,"°","º"))-1)),-1),IF(LEFT(E3851,6)="TÉRREO",0,IFERROR(VALUE(LEFT(E3851,FIND("º",SUBSTITUTE(E3851,"°","º"))-1)),""))))</f>
        <v>-6</v>
      </c>
      <c r="O3851" s="2" t="str">
        <f aca="false">IF(OR(F3851="",G3851=""),"",IF(G3851&lt;='RETRATO 2027'!$K$5,"CONCLUÍDA",IF(F3851&lt;='RETRATO 2027'!$K$5,"EM ANDAMENTO","A INICIAR")))</f>
        <v>A INICIAR</v>
      </c>
    </row>
    <row r="3852" customFormat="false" ht="15" hidden="false" customHeight="false" outlineLevel="0" collapsed="false">
      <c r="B3852" s="4" t="n">
        <v>26708142</v>
      </c>
      <c r="C3852" s="4" t="s">
        <v>2962</v>
      </c>
      <c r="D3852" s="4" t="s">
        <v>433</v>
      </c>
      <c r="E3852" s="4" t="s">
        <v>3813</v>
      </c>
      <c r="F3852" s="127" t="n">
        <v>46961</v>
      </c>
      <c r="G3852" s="127" t="n">
        <v>46972</v>
      </c>
      <c r="H3852" s="127" t="n">
        <v>46293</v>
      </c>
      <c r="I3852" s="4" t="n">
        <v>0</v>
      </c>
      <c r="J3852" s="4" t="n">
        <v>0</v>
      </c>
      <c r="K3852" s="4" t="n">
        <v>0</v>
      </c>
      <c r="M3852" s="2" t="str">
        <f aca="false">IF(C3852="","",IFERROR(INDEX($S$5:$S$304,MATCH(C3852,$R$5:$R$304,0))&amp;"","?"))</f>
        <v>34</v>
      </c>
      <c r="N3852" s="2" t="n">
        <f aca="false">IF(E3852="","",IF(ISNUMBER(SEARCH("SUBSOLO",E3852)),IFERROR(-VALUE(LEFT(E3852,FIND("º",SUBSTITUTE(E3852,"°","º"))-1)),-1),IF(LEFT(E3852,6)="TÉRREO",0,IFERROR(VALUE(LEFT(E3852,FIND("º",SUBSTITUTE(E3852,"°","º"))-1)),""))))</f>
        <v>-6</v>
      </c>
      <c r="O3852" s="2" t="str">
        <f aca="false">IF(OR(F3852="",G3852=""),"",IF(G3852&lt;='RETRATO 2027'!$K$5,"CONCLUÍDA",IF(F3852&lt;='RETRATO 2027'!$K$5,"EM ANDAMENTO","A INICIAR")))</f>
        <v>A INICIAR</v>
      </c>
    </row>
    <row r="3853" customFormat="false" ht="15" hidden="false" customHeight="false" outlineLevel="0" collapsed="false">
      <c r="B3853" s="4" t="n">
        <v>26708149</v>
      </c>
      <c r="C3853" s="4" t="s">
        <v>3009</v>
      </c>
      <c r="D3853" s="4" t="s">
        <v>433</v>
      </c>
      <c r="E3853" s="4" t="s">
        <v>3813</v>
      </c>
      <c r="F3853" s="127" t="n">
        <v>46961</v>
      </c>
      <c r="G3853" s="127" t="n">
        <v>46972</v>
      </c>
      <c r="H3853" s="127" t="n">
        <v>46293</v>
      </c>
      <c r="I3853" s="4" t="n">
        <v>0</v>
      </c>
      <c r="J3853" s="4" t="n">
        <v>0</v>
      </c>
      <c r="K3853" s="4" t="n">
        <v>0</v>
      </c>
      <c r="M3853" s="2" t="str">
        <f aca="false">IF(C3853="","",IFERROR(INDEX($S$5:$S$304,MATCH(C3853,$R$5:$R$304,0))&amp;"","?"))</f>
        <v>23</v>
      </c>
      <c r="N3853" s="2" t="n">
        <f aca="false">IF(E3853="","",IF(ISNUMBER(SEARCH("SUBSOLO",E3853)),IFERROR(-VALUE(LEFT(E3853,FIND("º",SUBSTITUTE(E3853,"°","º"))-1)),-1),IF(LEFT(E3853,6)="TÉRREO",0,IFERROR(VALUE(LEFT(E3853,FIND("º",SUBSTITUTE(E3853,"°","º"))-1)),""))))</f>
        <v>-6</v>
      </c>
      <c r="O3853" s="2" t="str">
        <f aca="false">IF(OR(F3853="",G3853=""),"",IF(G3853&lt;='RETRATO 2027'!$K$5,"CONCLUÍDA",IF(F3853&lt;='RETRATO 2027'!$K$5,"EM ANDAMENTO","A INICIAR")))</f>
        <v>A INICIAR</v>
      </c>
    </row>
    <row r="3854" customFormat="false" ht="15" hidden="false" customHeight="false" outlineLevel="0" collapsed="false">
      <c r="B3854" s="4" t="n">
        <v>26750582</v>
      </c>
      <c r="C3854" s="4" t="s">
        <v>2948</v>
      </c>
      <c r="D3854" s="4" t="s">
        <v>433</v>
      </c>
      <c r="E3854" s="4" t="s">
        <v>3814</v>
      </c>
      <c r="F3854" s="127" t="n">
        <v>46961</v>
      </c>
      <c r="G3854" s="127" t="n">
        <v>46972</v>
      </c>
      <c r="H3854" s="127" t="n">
        <v>46293</v>
      </c>
      <c r="I3854" s="4" t="n">
        <v>0</v>
      </c>
      <c r="J3854" s="4" t="n">
        <v>0</v>
      </c>
      <c r="K3854" s="4" t="n">
        <v>0</v>
      </c>
      <c r="M3854" s="2" t="str">
        <f aca="false">IF(C3854="","",IFERROR(INDEX($S$5:$S$304,MATCH(C3854,$R$5:$R$304,0))&amp;"","?"))</f>
        <v>25</v>
      </c>
      <c r="N3854" s="2" t="n">
        <f aca="false">IF(E3854="","",IF(ISNUMBER(SEARCH("SUBSOLO",E3854)),IFERROR(-VALUE(LEFT(E3854,FIND("º",SUBSTITUTE(E3854,"°","º"))-1)),-1),IF(LEFT(E3854,6)="TÉRREO",0,IFERROR(VALUE(LEFT(E3854,FIND("º",SUBSTITUTE(E3854,"°","º"))-1)),""))))</f>
        <v>-6</v>
      </c>
      <c r="O3854" s="2" t="str">
        <f aca="false">IF(OR(F3854="",G3854=""),"",IF(G3854&lt;='RETRATO 2027'!$K$5,"CONCLUÍDA",IF(F3854&lt;='RETRATO 2027'!$K$5,"EM ANDAMENTO","A INICIAR")))</f>
        <v>A INICIAR</v>
      </c>
    </row>
    <row r="3855" customFormat="false" ht="15" hidden="false" customHeight="false" outlineLevel="0" collapsed="false">
      <c r="B3855" s="4" t="n">
        <v>30433010</v>
      </c>
      <c r="C3855" s="4" t="s">
        <v>3096</v>
      </c>
      <c r="D3855" s="4" t="s">
        <v>433</v>
      </c>
      <c r="E3855" s="4" t="s">
        <v>3768</v>
      </c>
      <c r="F3855" s="127" t="n">
        <v>46965</v>
      </c>
      <c r="G3855" s="127" t="n">
        <v>46973</v>
      </c>
      <c r="H3855" s="127" t="n">
        <v>46293</v>
      </c>
      <c r="I3855" s="4" t="n">
        <v>0</v>
      </c>
      <c r="J3855" s="4" t="n">
        <v>0</v>
      </c>
      <c r="K3855" s="4" t="n">
        <v>0</v>
      </c>
      <c r="M3855" s="2" t="str">
        <f aca="false">IF(C3855="","",IFERROR(INDEX($S$5:$S$304,MATCH(C3855,$R$5:$R$304,0))&amp;"","?"))</f>
        <v/>
      </c>
      <c r="N3855" s="2" t="n">
        <f aca="false">IF(E3855="","",IF(ISNUMBER(SEARCH("SUBSOLO",E3855)),IFERROR(-VALUE(LEFT(E3855,FIND("º",SUBSTITUTE(E3855,"°","º"))-1)),-1),IF(LEFT(E3855,6)="TÉRREO",0,IFERROR(VALUE(LEFT(E3855,FIND("º",SUBSTITUTE(E3855,"°","º"))-1)),""))))</f>
        <v>15</v>
      </c>
      <c r="O3855" s="2" t="str">
        <f aca="false">IF(OR(F3855="",G3855=""),"",IF(G3855&lt;='RETRATO 2027'!$K$5,"CONCLUÍDA",IF(F3855&lt;='RETRATO 2027'!$K$5,"EM ANDAMENTO","A INICIAR")))</f>
        <v>A INICIAR</v>
      </c>
    </row>
    <row r="3856" customFormat="false" ht="15" hidden="false" customHeight="false" outlineLevel="0" collapsed="false">
      <c r="B3856" s="4" t="n">
        <v>26743152</v>
      </c>
      <c r="C3856" s="4" t="s">
        <v>3029</v>
      </c>
      <c r="D3856" s="4" t="s">
        <v>433</v>
      </c>
      <c r="E3856" s="4" t="s">
        <v>3773</v>
      </c>
      <c r="F3856" s="127" t="n">
        <v>46965</v>
      </c>
      <c r="G3856" s="127" t="n">
        <v>46973</v>
      </c>
      <c r="H3856" s="127" t="n">
        <v>46293</v>
      </c>
      <c r="I3856" s="4" t="n">
        <v>0</v>
      </c>
      <c r="J3856" s="4" t="n">
        <v>0</v>
      </c>
      <c r="K3856" s="4" t="n">
        <v>0</v>
      </c>
      <c r="M3856" s="2" t="str">
        <f aca="false">IF(C3856="","",IFERROR(INDEX($S$5:$S$304,MATCH(C3856,$R$5:$R$304,0))&amp;"","?"))</f>
        <v/>
      </c>
      <c r="N3856" s="2" t="n">
        <f aca="false">IF(E3856="","",IF(ISNUMBER(SEARCH("SUBSOLO",E3856)),IFERROR(-VALUE(LEFT(E3856,FIND("º",SUBSTITUTE(E3856,"°","º"))-1)),-1),IF(LEFT(E3856,6)="TÉRREO",0,IFERROR(VALUE(LEFT(E3856,FIND("º",SUBSTITUTE(E3856,"°","º"))-1)),""))))</f>
        <v>17</v>
      </c>
      <c r="O3856" s="2" t="str">
        <f aca="false">IF(OR(F3856="",G3856=""),"",IF(G3856&lt;='RETRATO 2027'!$K$5,"CONCLUÍDA",IF(F3856&lt;='RETRATO 2027'!$K$5,"EM ANDAMENTO","A INICIAR")))</f>
        <v>A INICIAR</v>
      </c>
    </row>
    <row r="3857" customFormat="false" ht="15" hidden="false" customHeight="false" outlineLevel="0" collapsed="false">
      <c r="B3857" s="4" t="n">
        <v>26743113</v>
      </c>
      <c r="C3857" s="4" t="s">
        <v>2971</v>
      </c>
      <c r="D3857" s="4" t="s">
        <v>433</v>
      </c>
      <c r="E3857" s="4" t="s">
        <v>3776</v>
      </c>
      <c r="F3857" s="127" t="n">
        <v>46965</v>
      </c>
      <c r="G3857" s="127" t="n">
        <v>46973</v>
      </c>
      <c r="H3857" s="127" t="n">
        <v>46293</v>
      </c>
      <c r="I3857" s="4" t="n">
        <v>0</v>
      </c>
      <c r="J3857" s="4" t="n">
        <v>0</v>
      </c>
      <c r="K3857" s="4" t="n">
        <v>0</v>
      </c>
      <c r="M3857" s="2" t="str">
        <f aca="false">IF(C3857="","",IFERROR(INDEX($S$5:$S$304,MATCH(C3857,$R$5:$R$304,0))&amp;"","?"))</f>
        <v>37</v>
      </c>
      <c r="N3857" s="2" t="n">
        <f aca="false">IF(E3857="","",IF(ISNUMBER(SEARCH("SUBSOLO",E3857)),IFERROR(-VALUE(LEFT(E3857,FIND("º",SUBSTITUTE(E3857,"°","º"))-1)),-1),IF(LEFT(E3857,6)="TÉRREO",0,IFERROR(VALUE(LEFT(E3857,FIND("º",SUBSTITUTE(E3857,"°","º"))-1)),""))))</f>
        <v>18</v>
      </c>
      <c r="O3857" s="2" t="str">
        <f aca="false">IF(OR(F3857="",G3857=""),"",IF(G3857&lt;='RETRATO 2027'!$K$5,"CONCLUÍDA",IF(F3857&lt;='RETRATO 2027'!$K$5,"EM ANDAMENTO","A INICIAR")))</f>
        <v>A INICIAR</v>
      </c>
    </row>
    <row r="3858" customFormat="false" ht="15" hidden="false" customHeight="false" outlineLevel="0" collapsed="false">
      <c r="B3858" s="4" t="n">
        <v>26743075</v>
      </c>
      <c r="C3858" s="4" t="s">
        <v>3032</v>
      </c>
      <c r="D3858" s="4" t="s">
        <v>433</v>
      </c>
      <c r="E3858" s="4" t="s">
        <v>3779</v>
      </c>
      <c r="F3858" s="127" t="n">
        <v>46965</v>
      </c>
      <c r="G3858" s="127" t="n">
        <v>46973</v>
      </c>
      <c r="H3858" s="127" t="n">
        <v>46293</v>
      </c>
      <c r="I3858" s="4" t="n">
        <v>0</v>
      </c>
      <c r="J3858" s="4" t="n">
        <v>0</v>
      </c>
      <c r="K3858" s="4" t="n">
        <v>0</v>
      </c>
      <c r="M3858" s="2" t="str">
        <f aca="false">IF(C3858="","",IFERROR(INDEX($S$5:$S$304,MATCH(C3858,$R$5:$R$304,0))&amp;"","?"))</f>
        <v>35</v>
      </c>
      <c r="N3858" s="2" t="n">
        <f aca="false">IF(E3858="","",IF(ISNUMBER(SEARCH("SUBSOLO",E3858)),IFERROR(-VALUE(LEFT(E3858,FIND("º",SUBSTITUTE(E3858,"°","º"))-1)),-1),IF(LEFT(E3858,6)="TÉRREO",0,IFERROR(VALUE(LEFT(E3858,FIND("º",SUBSTITUTE(E3858,"°","º"))-1)),""))))</f>
        <v>19</v>
      </c>
      <c r="O3858" s="2" t="str">
        <f aca="false">IF(OR(F3858="",G3858=""),"",IF(G3858&lt;='RETRATO 2027'!$K$5,"CONCLUÍDA",IF(F3858&lt;='RETRATO 2027'!$K$5,"EM ANDAMENTO","A INICIAR")))</f>
        <v>A INICIAR</v>
      </c>
    </row>
    <row r="3859" customFormat="false" ht="15" hidden="false" customHeight="false" outlineLevel="0" collapsed="false">
      <c r="B3859" s="4" t="n">
        <v>26743032</v>
      </c>
      <c r="C3859" s="4" t="s">
        <v>3093</v>
      </c>
      <c r="D3859" s="4" t="s">
        <v>433</v>
      </c>
      <c r="E3859" s="4" t="s">
        <v>3781</v>
      </c>
      <c r="F3859" s="127" t="n">
        <v>46965</v>
      </c>
      <c r="G3859" s="127" t="n">
        <v>46973</v>
      </c>
      <c r="H3859" s="127" t="n">
        <v>46293</v>
      </c>
      <c r="I3859" s="4" t="n">
        <v>0</v>
      </c>
      <c r="J3859" s="4" t="n">
        <v>0</v>
      </c>
      <c r="K3859" s="4" t="n">
        <v>0</v>
      </c>
      <c r="M3859" s="2" t="str">
        <f aca="false">IF(C3859="","",IFERROR(INDEX($S$5:$S$304,MATCH(C3859,$R$5:$R$304,0))&amp;"","?"))</f>
        <v>34</v>
      </c>
      <c r="N3859" s="2" t="n">
        <f aca="false">IF(E3859="","",IF(ISNUMBER(SEARCH("SUBSOLO",E3859)),IFERROR(-VALUE(LEFT(E3859,FIND("º",SUBSTITUTE(E3859,"°","º"))-1)),-1),IF(LEFT(E3859,6)="TÉRREO",0,IFERROR(VALUE(LEFT(E3859,FIND("º",SUBSTITUTE(E3859,"°","º"))-1)),""))))</f>
        <v>20</v>
      </c>
      <c r="O3859" s="2" t="str">
        <f aca="false">IF(OR(F3859="",G3859=""),"",IF(G3859&lt;='RETRATO 2027'!$K$5,"CONCLUÍDA",IF(F3859&lt;='RETRATO 2027'!$K$5,"EM ANDAMENTO","A INICIAR")))</f>
        <v>A INICIAR</v>
      </c>
    </row>
    <row r="3860" customFormat="false" ht="15" hidden="false" customHeight="false" outlineLevel="0" collapsed="false">
      <c r="B3860" s="4" t="n">
        <v>26743054</v>
      </c>
      <c r="C3860" s="4" t="s">
        <v>2965</v>
      </c>
      <c r="D3860" s="4" t="s">
        <v>433</v>
      </c>
      <c r="E3860" s="4" t="s">
        <v>3781</v>
      </c>
      <c r="F3860" s="127" t="n">
        <v>46965</v>
      </c>
      <c r="G3860" s="127" t="n">
        <v>46973</v>
      </c>
      <c r="H3860" s="127" t="n">
        <v>46293</v>
      </c>
      <c r="I3860" s="4" t="n">
        <v>0</v>
      </c>
      <c r="J3860" s="4" t="n">
        <v>0</v>
      </c>
      <c r="K3860" s="4" t="n">
        <v>0</v>
      </c>
      <c r="M3860" s="2" t="str">
        <f aca="false">IF(C3860="","",IFERROR(INDEX($S$5:$S$304,MATCH(C3860,$R$5:$R$304,0))&amp;"","?"))</f>
        <v>20</v>
      </c>
      <c r="N3860" s="2" t="n">
        <f aca="false">IF(E3860="","",IF(ISNUMBER(SEARCH("SUBSOLO",E3860)),IFERROR(-VALUE(LEFT(E3860,FIND("º",SUBSTITUTE(E3860,"°","º"))-1)),-1),IF(LEFT(E3860,6)="TÉRREO",0,IFERROR(VALUE(LEFT(E3860,FIND("º",SUBSTITUTE(E3860,"°","º"))-1)),""))))</f>
        <v>20</v>
      </c>
      <c r="O3860" s="2" t="str">
        <f aca="false">IF(OR(F3860="",G3860=""),"",IF(G3860&lt;='RETRATO 2027'!$K$5,"CONCLUÍDA",IF(F3860&lt;='RETRATO 2027'!$K$5,"EM ANDAMENTO","A INICIAR")))</f>
        <v>A INICIAR</v>
      </c>
    </row>
    <row r="3861" customFormat="false" ht="15" hidden="false" customHeight="false" outlineLevel="0" collapsed="false">
      <c r="B3861" s="4" t="n">
        <v>26742994</v>
      </c>
      <c r="C3861" s="4" t="s">
        <v>3021</v>
      </c>
      <c r="D3861" s="4" t="s">
        <v>433</v>
      </c>
      <c r="E3861" s="4" t="s">
        <v>3783</v>
      </c>
      <c r="F3861" s="127" t="n">
        <v>46965</v>
      </c>
      <c r="G3861" s="127" t="n">
        <v>46973</v>
      </c>
      <c r="H3861" s="127" t="n">
        <v>46293</v>
      </c>
      <c r="I3861" s="4" t="n">
        <v>0</v>
      </c>
      <c r="J3861" s="4" t="n">
        <v>0</v>
      </c>
      <c r="K3861" s="4" t="n">
        <v>0</v>
      </c>
      <c r="M3861" s="2" t="str">
        <f aca="false">IF(C3861="","",IFERROR(INDEX($S$5:$S$304,MATCH(C3861,$R$5:$R$304,0))&amp;"","?"))</f>
        <v>35</v>
      </c>
      <c r="N3861" s="2" t="n">
        <f aca="false">IF(E3861="","",IF(ISNUMBER(SEARCH("SUBSOLO",E3861)),IFERROR(-VALUE(LEFT(E3861,FIND("º",SUBSTITUTE(E3861,"°","º"))-1)),-1),IF(LEFT(E3861,6)="TÉRREO",0,IFERROR(VALUE(LEFT(E3861,FIND("º",SUBSTITUTE(E3861,"°","º"))-1)),""))))</f>
        <v>21</v>
      </c>
      <c r="O3861" s="2" t="str">
        <f aca="false">IF(OR(F3861="",G3861=""),"",IF(G3861&lt;='RETRATO 2027'!$K$5,"CONCLUÍDA",IF(F3861&lt;='RETRATO 2027'!$K$5,"EM ANDAMENTO","A INICIAR")))</f>
        <v>A INICIAR</v>
      </c>
    </row>
    <row r="3862" customFormat="false" ht="15" hidden="false" customHeight="false" outlineLevel="0" collapsed="false">
      <c r="B3862" s="4" t="n">
        <v>26742959</v>
      </c>
      <c r="C3862" s="4" t="s">
        <v>3006</v>
      </c>
      <c r="D3862" s="4" t="s">
        <v>433</v>
      </c>
      <c r="E3862" s="4" t="s">
        <v>3786</v>
      </c>
      <c r="F3862" s="127" t="n">
        <v>46965</v>
      </c>
      <c r="G3862" s="127" t="n">
        <v>46973</v>
      </c>
      <c r="H3862" s="127" t="n">
        <v>46293</v>
      </c>
      <c r="I3862" s="4" t="n">
        <v>0</v>
      </c>
      <c r="J3862" s="4" t="n">
        <v>0</v>
      </c>
      <c r="K3862" s="4" t="n">
        <v>0</v>
      </c>
      <c r="M3862" s="2" t="str">
        <f aca="false">IF(C3862="","",IFERROR(INDEX($S$5:$S$304,MATCH(C3862,$R$5:$R$304,0))&amp;"","?"))</f>
        <v>37</v>
      </c>
      <c r="N3862" s="2" t="n">
        <f aca="false">IF(E3862="","",IF(ISNUMBER(SEARCH("SUBSOLO",E3862)),IFERROR(-VALUE(LEFT(E3862,FIND("º",SUBSTITUTE(E3862,"°","º"))-1)),-1),IF(LEFT(E3862,6)="TÉRREO",0,IFERROR(VALUE(LEFT(E3862,FIND("º",SUBSTITUTE(E3862,"°","º"))-1)),""))))</f>
        <v>22</v>
      </c>
      <c r="O3862" s="2" t="str">
        <f aca="false">IF(OR(F3862="",G3862=""),"",IF(G3862&lt;='RETRATO 2027'!$K$5,"CONCLUÍDA",IF(F3862&lt;='RETRATO 2027'!$K$5,"EM ANDAMENTO","A INICIAR")))</f>
        <v>A INICIAR</v>
      </c>
    </row>
    <row r="3863" customFormat="false" ht="15" hidden="false" customHeight="false" outlineLevel="0" collapsed="false">
      <c r="B3863" s="4" t="n">
        <v>26742924</v>
      </c>
      <c r="C3863" s="4" t="s">
        <v>2962</v>
      </c>
      <c r="D3863" s="4" t="s">
        <v>433</v>
      </c>
      <c r="E3863" s="4" t="s">
        <v>3787</v>
      </c>
      <c r="F3863" s="127" t="n">
        <v>46965</v>
      </c>
      <c r="G3863" s="127" t="n">
        <v>46973</v>
      </c>
      <c r="H3863" s="127" t="n">
        <v>46293</v>
      </c>
      <c r="I3863" s="4" t="n">
        <v>0</v>
      </c>
      <c r="J3863" s="4" t="n">
        <v>0</v>
      </c>
      <c r="K3863" s="4" t="n">
        <v>0</v>
      </c>
      <c r="M3863" s="2" t="str">
        <f aca="false">IF(C3863="","",IFERROR(INDEX($S$5:$S$304,MATCH(C3863,$R$5:$R$304,0))&amp;"","?"))</f>
        <v>34</v>
      </c>
      <c r="N3863" s="2" t="n">
        <f aca="false">IF(E3863="","",IF(ISNUMBER(SEARCH("SUBSOLO",E3863)),IFERROR(-VALUE(LEFT(E3863,FIND("º",SUBSTITUTE(E3863,"°","º"))-1)),-1),IF(LEFT(E3863,6)="TÉRREO",0,IFERROR(VALUE(LEFT(E3863,FIND("º",SUBSTITUTE(E3863,"°","º"))-1)),""))))</f>
        <v>23</v>
      </c>
      <c r="O3863" s="2" t="str">
        <f aca="false">IF(OR(F3863="",G3863=""),"",IF(G3863&lt;='RETRATO 2027'!$K$5,"CONCLUÍDA",IF(F3863&lt;='RETRATO 2027'!$K$5,"EM ANDAMENTO","A INICIAR")))</f>
        <v>A INICIAR</v>
      </c>
    </row>
    <row r="3864" customFormat="false" ht="15" hidden="false" customHeight="false" outlineLevel="0" collapsed="false">
      <c r="B3864" s="4" t="n">
        <v>26742929</v>
      </c>
      <c r="C3864" s="4" t="s">
        <v>3088</v>
      </c>
      <c r="D3864" s="4" t="s">
        <v>433</v>
      </c>
      <c r="E3864" s="4" t="s">
        <v>3787</v>
      </c>
      <c r="F3864" s="127" t="n">
        <v>46965</v>
      </c>
      <c r="G3864" s="127" t="n">
        <v>46973</v>
      </c>
      <c r="H3864" s="127" t="n">
        <v>46293</v>
      </c>
      <c r="I3864" s="4" t="n">
        <v>0</v>
      </c>
      <c r="J3864" s="4" t="n">
        <v>0</v>
      </c>
      <c r="K3864" s="4" t="n">
        <v>0</v>
      </c>
      <c r="M3864" s="2" t="str">
        <f aca="false">IF(C3864="","",IFERROR(INDEX($S$5:$S$304,MATCH(C3864,$R$5:$R$304,0))&amp;"","?"))</f>
        <v>20</v>
      </c>
      <c r="N3864" s="2" t="n">
        <f aca="false">IF(E3864="","",IF(ISNUMBER(SEARCH("SUBSOLO",E3864)),IFERROR(-VALUE(LEFT(E3864,FIND("º",SUBSTITUTE(E3864,"°","º"))-1)),-1),IF(LEFT(E3864,6)="TÉRREO",0,IFERROR(VALUE(LEFT(E3864,FIND("º",SUBSTITUTE(E3864,"°","º"))-1)),""))))</f>
        <v>23</v>
      </c>
      <c r="O3864" s="2" t="str">
        <f aca="false">IF(OR(F3864="",G3864=""),"",IF(G3864&lt;='RETRATO 2027'!$K$5,"CONCLUÍDA",IF(F3864&lt;='RETRATO 2027'!$K$5,"EM ANDAMENTO","A INICIAR")))</f>
        <v>A INICIAR</v>
      </c>
    </row>
    <row r="3865" customFormat="false" ht="15" hidden="false" customHeight="false" outlineLevel="0" collapsed="false">
      <c r="B3865" s="4" t="n">
        <v>26742948</v>
      </c>
      <c r="C3865" s="4" t="s">
        <v>3009</v>
      </c>
      <c r="D3865" s="4" t="s">
        <v>433</v>
      </c>
      <c r="E3865" s="4" t="s">
        <v>3787</v>
      </c>
      <c r="F3865" s="127" t="n">
        <v>46965</v>
      </c>
      <c r="G3865" s="127" t="n">
        <v>46973</v>
      </c>
      <c r="H3865" s="127" t="n">
        <v>46293</v>
      </c>
      <c r="I3865" s="4" t="n">
        <v>0</v>
      </c>
      <c r="J3865" s="4" t="n">
        <v>0</v>
      </c>
      <c r="K3865" s="4" t="n">
        <v>0</v>
      </c>
      <c r="M3865" s="2" t="str">
        <f aca="false">IF(C3865="","",IFERROR(INDEX($S$5:$S$304,MATCH(C3865,$R$5:$R$304,0))&amp;"","?"))</f>
        <v>23</v>
      </c>
      <c r="N3865" s="2" t="n">
        <f aca="false">IF(E3865="","",IF(ISNUMBER(SEARCH("SUBSOLO",E3865)),IFERROR(-VALUE(LEFT(E3865,FIND("º",SUBSTITUTE(E3865,"°","º"))-1)),-1),IF(LEFT(E3865,6)="TÉRREO",0,IFERROR(VALUE(LEFT(E3865,FIND("º",SUBSTITUTE(E3865,"°","º"))-1)),""))))</f>
        <v>23</v>
      </c>
      <c r="O3865" s="2" t="str">
        <f aca="false">IF(OR(F3865="",G3865=""),"",IF(G3865&lt;='RETRATO 2027'!$K$5,"CONCLUÍDA",IF(F3865&lt;='RETRATO 2027'!$K$5,"EM ANDAMENTO","A INICIAR")))</f>
        <v>A INICIAR</v>
      </c>
    </row>
    <row r="3866" customFormat="false" ht="15" hidden="false" customHeight="false" outlineLevel="0" collapsed="false">
      <c r="B3866" s="4" t="n">
        <v>26742886</v>
      </c>
      <c r="C3866" s="4" t="s">
        <v>3082</v>
      </c>
      <c r="D3866" s="4" t="s">
        <v>433</v>
      </c>
      <c r="E3866" s="4" t="s">
        <v>3788</v>
      </c>
      <c r="F3866" s="127" t="n">
        <v>46965</v>
      </c>
      <c r="G3866" s="127" t="n">
        <v>46973</v>
      </c>
      <c r="H3866" s="127" t="n">
        <v>46293</v>
      </c>
      <c r="I3866" s="4" t="n">
        <v>0</v>
      </c>
      <c r="J3866" s="4" t="n">
        <v>0</v>
      </c>
      <c r="K3866" s="4" t="n">
        <v>0</v>
      </c>
      <c r="M3866" s="2" t="str">
        <f aca="false">IF(C3866="","",IFERROR(INDEX($S$5:$S$304,MATCH(C3866,$R$5:$R$304,0))&amp;"","?"))</f>
        <v>30</v>
      </c>
      <c r="N3866" s="2" t="n">
        <f aca="false">IF(E3866="","",IF(ISNUMBER(SEARCH("SUBSOLO",E3866)),IFERROR(-VALUE(LEFT(E3866,FIND("º",SUBSTITUTE(E3866,"°","º"))-1)),-1),IF(LEFT(E3866,6)="TÉRREO",0,IFERROR(VALUE(LEFT(E3866,FIND("º",SUBSTITUTE(E3866,"°","º"))-1)),""))))</f>
        <v>24</v>
      </c>
      <c r="O3866" s="2" t="str">
        <f aca="false">IF(OR(F3866="",G3866=""),"",IF(G3866&lt;='RETRATO 2027'!$K$5,"CONCLUÍDA",IF(F3866&lt;='RETRATO 2027'!$K$5,"EM ANDAMENTO","A INICIAR")))</f>
        <v>A INICIAR</v>
      </c>
    </row>
    <row r="3867" customFormat="false" ht="15" hidden="false" customHeight="false" outlineLevel="0" collapsed="false">
      <c r="B3867" s="4" t="n">
        <v>26742879</v>
      </c>
      <c r="C3867" s="4" t="s">
        <v>3079</v>
      </c>
      <c r="D3867" s="4" t="s">
        <v>433</v>
      </c>
      <c r="E3867" s="4" t="s">
        <v>3794</v>
      </c>
      <c r="F3867" s="127" t="n">
        <v>46965</v>
      </c>
      <c r="G3867" s="127" t="n">
        <v>46973</v>
      </c>
      <c r="H3867" s="127" t="n">
        <v>46293</v>
      </c>
      <c r="I3867" s="4" t="n">
        <v>0</v>
      </c>
      <c r="J3867" s="4" t="n">
        <v>0</v>
      </c>
      <c r="K3867" s="4" t="n">
        <v>0</v>
      </c>
      <c r="M3867" s="2" t="str">
        <f aca="false">IF(C3867="","",IFERROR(INDEX($S$5:$S$304,MATCH(C3867,$R$5:$R$304,0))&amp;"","?"))</f>
        <v>25</v>
      </c>
      <c r="N3867" s="2" t="n">
        <f aca="false">IF(E3867="","",IF(ISNUMBER(SEARCH("SUBSOLO",E3867)),IFERROR(-VALUE(LEFT(E3867,FIND("º",SUBSTITUTE(E3867,"°","º"))-1)),-1),IF(LEFT(E3867,6)="TÉRREO",0,IFERROR(VALUE(LEFT(E3867,FIND("º",SUBSTITUTE(E3867,"°","º"))-1)),""))))</f>
        <v>25</v>
      </c>
      <c r="O3867" s="2" t="str">
        <f aca="false">IF(OR(F3867="",G3867=""),"",IF(G3867&lt;='RETRATO 2027'!$K$5,"CONCLUÍDA",IF(F3867&lt;='RETRATO 2027'!$K$5,"EM ANDAMENTO","A INICIAR")))</f>
        <v>A INICIAR</v>
      </c>
    </row>
    <row r="3868" customFormat="false" ht="15" hidden="false" customHeight="false" outlineLevel="0" collapsed="false">
      <c r="B3868" s="4" t="n">
        <v>26742840</v>
      </c>
      <c r="C3868" s="4" t="s">
        <v>3073</v>
      </c>
      <c r="D3868" s="4" t="s">
        <v>433</v>
      </c>
      <c r="E3868" s="4" t="s">
        <v>3797</v>
      </c>
      <c r="F3868" s="127" t="n">
        <v>46965</v>
      </c>
      <c r="G3868" s="127" t="n">
        <v>46973</v>
      </c>
      <c r="H3868" s="127" t="n">
        <v>46293</v>
      </c>
      <c r="I3868" s="4" t="n">
        <v>0</v>
      </c>
      <c r="J3868" s="4" t="n">
        <v>0</v>
      </c>
      <c r="K3868" s="4" t="n">
        <v>0</v>
      </c>
      <c r="M3868" s="2" t="str">
        <f aca="false">IF(C3868="","",IFERROR(INDEX($S$5:$S$304,MATCH(C3868,$R$5:$R$304,0))&amp;"","?"))</f>
        <v>30</v>
      </c>
      <c r="N3868" s="2" t="n">
        <f aca="false">IF(E3868="","",IF(ISNUMBER(SEARCH("SUBSOLO",E3868)),IFERROR(-VALUE(LEFT(E3868,FIND("º",SUBSTITUTE(E3868,"°","º"))-1)),-1),IF(LEFT(E3868,6)="TÉRREO",0,IFERROR(VALUE(LEFT(E3868,FIND("º",SUBSTITUTE(E3868,"°","º"))-1)),""))))</f>
        <v>26</v>
      </c>
      <c r="O3868" s="2" t="str">
        <f aca="false">IF(OR(F3868="",G3868=""),"",IF(G3868&lt;='RETRATO 2027'!$K$5,"CONCLUÍDA",IF(F3868&lt;='RETRATO 2027'!$K$5,"EM ANDAMENTO","A INICIAR")))</f>
        <v>A INICIAR</v>
      </c>
    </row>
    <row r="3869" customFormat="false" ht="15" hidden="false" customHeight="false" outlineLevel="0" collapsed="false">
      <c r="B3869" s="4" t="n">
        <v>26742802</v>
      </c>
      <c r="C3869" s="4" t="s">
        <v>3055</v>
      </c>
      <c r="D3869" s="4" t="s">
        <v>433</v>
      </c>
      <c r="E3869" s="4" t="s">
        <v>3799</v>
      </c>
      <c r="F3869" s="127" t="n">
        <v>46965</v>
      </c>
      <c r="G3869" s="127" t="n">
        <v>46973</v>
      </c>
      <c r="H3869" s="127" t="n">
        <v>46293</v>
      </c>
      <c r="I3869" s="4" t="n">
        <v>0</v>
      </c>
      <c r="J3869" s="4" t="n">
        <v>0</v>
      </c>
      <c r="K3869" s="4" t="n">
        <v>0</v>
      </c>
      <c r="M3869" s="2" t="str">
        <f aca="false">IF(C3869="","",IFERROR(INDEX($S$5:$S$304,MATCH(C3869,$R$5:$R$304,0))&amp;"","?"))</f>
        <v>25</v>
      </c>
      <c r="N3869" s="2" t="n">
        <f aca="false">IF(E3869="","",IF(ISNUMBER(SEARCH("SUBSOLO",E3869)),IFERROR(-VALUE(LEFT(E3869,FIND("º",SUBSTITUTE(E3869,"°","º"))-1)),-1),IF(LEFT(E3869,6)="TÉRREO",0,IFERROR(VALUE(LEFT(E3869,FIND("º",SUBSTITUTE(E3869,"°","º"))-1)),""))))</f>
        <v>27</v>
      </c>
      <c r="O3869" s="2" t="str">
        <f aca="false">IF(OR(F3869="",G3869=""),"",IF(G3869&lt;='RETRATO 2027'!$K$5,"CONCLUÍDA",IF(F3869&lt;='RETRATO 2027'!$K$5,"EM ANDAMENTO","A INICIAR")))</f>
        <v>A INICIAR</v>
      </c>
    </row>
    <row r="3870" customFormat="false" ht="15" hidden="false" customHeight="false" outlineLevel="0" collapsed="false">
      <c r="B3870" s="4" t="n">
        <v>26744907</v>
      </c>
      <c r="C3870" s="4" t="s">
        <v>186</v>
      </c>
      <c r="D3870" s="4" t="s">
        <v>433</v>
      </c>
      <c r="E3870" s="4" t="s">
        <v>3805</v>
      </c>
      <c r="F3870" s="127" t="n">
        <v>46965</v>
      </c>
      <c r="G3870" s="127" t="n">
        <v>46986</v>
      </c>
      <c r="H3870" s="127" t="n">
        <v>46293</v>
      </c>
      <c r="I3870" s="4" t="n">
        <v>0</v>
      </c>
      <c r="J3870" s="4" t="n">
        <v>0</v>
      </c>
      <c r="K3870" s="4" t="n">
        <v>0</v>
      </c>
      <c r="M3870" s="2" t="str">
        <f aca="false">IF(C3870="","",IFERROR(INDEX($S$5:$S$304,MATCH(C3870,$R$5:$R$304,0))&amp;"","?"))</f>
        <v>26</v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>A INICIAR</v>
      </c>
    </row>
    <row r="3871" customFormat="false" ht="15" hidden="false" customHeight="false" outlineLevel="0" collapsed="false">
      <c r="B3871" s="4" t="n">
        <v>53609735</v>
      </c>
      <c r="C3871" s="4" t="s">
        <v>3111</v>
      </c>
      <c r="D3871" s="4" t="s">
        <v>433</v>
      </c>
      <c r="E3871" s="4" t="s">
        <v>81</v>
      </c>
      <c r="F3871" s="127" t="n">
        <v>46966</v>
      </c>
      <c r="G3871" s="127" t="n">
        <v>47100</v>
      </c>
      <c r="H3871" s="127" t="n">
        <v>46293</v>
      </c>
      <c r="I3871" s="4" t="n">
        <v>0</v>
      </c>
      <c r="J3871" s="4" t="n">
        <v>0</v>
      </c>
      <c r="K3871" s="4" t="n">
        <v>0</v>
      </c>
      <c r="M3871" s="2" t="str">
        <f aca="false">IF(C3871="","",IFERROR(INDEX($S$5:$S$304,MATCH(C3871,$R$5:$R$304,0))&amp;"","?"))</f>
        <v>18</v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>A INICIAR</v>
      </c>
    </row>
    <row r="3872" customFormat="false" ht="15" hidden="false" customHeight="false" outlineLevel="0" collapsed="false">
      <c r="B3872" s="4" t="n">
        <v>26743206</v>
      </c>
      <c r="C3872" s="4" t="s">
        <v>208</v>
      </c>
      <c r="D3872" s="4" t="s">
        <v>433</v>
      </c>
      <c r="E3872" s="4" t="s">
        <v>3771</v>
      </c>
      <c r="F3872" s="127" t="n">
        <v>46966</v>
      </c>
      <c r="G3872" s="127" t="n">
        <v>46975</v>
      </c>
      <c r="H3872" s="127" t="n">
        <v>46293</v>
      </c>
      <c r="I3872" s="4" t="n">
        <v>0</v>
      </c>
      <c r="J3872" s="4" t="n">
        <v>0</v>
      </c>
      <c r="K3872" s="4" t="n">
        <v>0</v>
      </c>
      <c r="M3872" s="2" t="str">
        <f aca="false">IF(C3872="","",IFERROR(INDEX($S$5:$S$304,MATCH(C3872,$R$5:$R$304,0))&amp;"","?"))</f>
        <v>33</v>
      </c>
      <c r="N3872" s="2" t="n">
        <f aca="false">IF(E3872="","",IF(ISNUMBER(SEARCH("SUBSOLO",E3872)),IFERROR(-VALUE(LEFT(E3872,FIND("º",SUBSTITUTE(E3872,"°","º"))-1)),-1),IF(LEFT(E3872,6)="TÉRREO",0,IFERROR(VALUE(LEFT(E3872,FIND("º",SUBSTITUTE(E3872,"°","º"))-1)),""))))</f>
        <v>16</v>
      </c>
      <c r="O3872" s="2" t="str">
        <f aca="false">IF(OR(F3872="",G3872=""),"",IF(G3872&lt;='RETRATO 2027'!$K$5,"CONCLUÍDA",IF(F3872&lt;='RETRATO 2027'!$K$5,"EM ANDAMENTO","A INICIAR")))</f>
        <v>A INICIAR</v>
      </c>
    </row>
    <row r="3873" customFormat="false" ht="15" hidden="false" customHeight="false" outlineLevel="0" collapsed="false">
      <c r="B3873" s="4" t="n">
        <v>26745003</v>
      </c>
      <c r="C3873" s="4" t="s">
        <v>3006</v>
      </c>
      <c r="D3873" s="4" t="s">
        <v>433</v>
      </c>
      <c r="E3873" s="4" t="s">
        <v>3816</v>
      </c>
      <c r="F3873" s="127" t="n">
        <v>46968</v>
      </c>
      <c r="G3873" s="127" t="n">
        <v>46976</v>
      </c>
      <c r="H3873" s="127" t="n">
        <v>46293</v>
      </c>
      <c r="I3873" s="4" t="n">
        <v>0</v>
      </c>
      <c r="J3873" s="4" t="n">
        <v>0</v>
      </c>
      <c r="K3873" s="4" t="n">
        <v>0</v>
      </c>
      <c r="M3873" s="2" t="str">
        <f aca="false">IF(C3873="","",IFERROR(INDEX($S$5:$S$304,MATCH(C3873,$R$5:$R$304,0))&amp;"","?"))</f>
        <v>37</v>
      </c>
      <c r="N3873" s="2" t="n">
        <f aca="false">IF(E3873="","",IF(ISNUMBER(SEARCH("SUBSOLO",E3873)),IFERROR(-VALUE(LEFT(E3873,FIND("º",SUBSTITUTE(E3873,"°","º"))-1)),-1),IF(LEFT(E3873,6)="TÉRREO",0,IFERROR(VALUE(LEFT(E3873,FIND("º",SUBSTITUTE(E3873,"°","º"))-1)),""))))</f>
        <v>-6</v>
      </c>
      <c r="O3873" s="2" t="str">
        <f aca="false">IF(OR(F3873="",G3873=""),"",IF(G3873&lt;='RETRATO 2027'!$K$5,"CONCLUÍDA",IF(F3873&lt;='RETRATO 2027'!$K$5,"EM ANDAMENTO","A INICIAR")))</f>
        <v>A INICIAR</v>
      </c>
    </row>
    <row r="3874" customFormat="false" ht="15" hidden="false" customHeight="false" outlineLevel="0" collapsed="false">
      <c r="B3874" s="4" t="n">
        <v>26744648</v>
      </c>
      <c r="C3874" s="4" t="s">
        <v>3021</v>
      </c>
      <c r="D3874" s="4" t="s">
        <v>433</v>
      </c>
      <c r="E3874" s="4" t="s">
        <v>3774</v>
      </c>
      <c r="F3874" s="127" t="n">
        <v>46968</v>
      </c>
      <c r="G3874" s="127" t="n">
        <v>46975</v>
      </c>
      <c r="H3874" s="127" t="n">
        <v>46293</v>
      </c>
      <c r="I3874" s="4" t="n">
        <v>0</v>
      </c>
      <c r="J3874" s="4" t="n">
        <v>0</v>
      </c>
      <c r="K3874" s="4" t="n">
        <v>0</v>
      </c>
      <c r="M3874" s="2" t="str">
        <f aca="false">IF(C3874="","",IFERROR(INDEX($S$5:$S$304,MATCH(C3874,$R$5:$R$304,0))&amp;"","?"))</f>
        <v>35</v>
      </c>
      <c r="N3874" s="2" t="n">
        <f aca="false">IF(E3874="","",IF(ISNUMBER(SEARCH("SUBSOLO",E3874)),IFERROR(-VALUE(LEFT(E3874,FIND("º",SUBSTITUTE(E3874,"°","º"))-1)),-1),IF(LEFT(E3874,6)="TÉRREO",0,IFERROR(VALUE(LEFT(E3874,FIND("º",SUBSTITUTE(E3874,"°","º"))-1)),""))))</f>
        <v>3</v>
      </c>
      <c r="O3874" s="2" t="str">
        <f aca="false">IF(OR(F3874="",G3874=""),"",IF(G3874&lt;='RETRATO 2027'!$K$5,"CONCLUÍDA",IF(F3874&lt;='RETRATO 2027'!$K$5,"EM ANDAMENTO","A INICIAR")))</f>
        <v>A INICIAR</v>
      </c>
    </row>
    <row r="3875" customFormat="false" ht="15" hidden="false" customHeight="false" outlineLevel="0" collapsed="false">
      <c r="B3875" s="4" t="n">
        <v>26744486</v>
      </c>
      <c r="C3875" s="4" t="s">
        <v>3114</v>
      </c>
      <c r="D3875" s="4" t="s">
        <v>433</v>
      </c>
      <c r="E3875" s="4" t="s">
        <v>3804</v>
      </c>
      <c r="F3875" s="127" t="n">
        <v>46969</v>
      </c>
      <c r="G3875" s="127" t="n">
        <v>47066</v>
      </c>
      <c r="H3875" s="127" t="n">
        <v>46293</v>
      </c>
      <c r="I3875" s="4" t="n">
        <v>0</v>
      </c>
      <c r="J3875" s="4" t="n">
        <v>0</v>
      </c>
      <c r="K3875" s="4" t="n">
        <v>0</v>
      </c>
      <c r="M3875" s="2" t="str">
        <f aca="false">IF(C3875="","",IFERROR(INDEX($S$5:$S$304,MATCH(C3875,$R$5:$R$304,0))&amp;"","?"))</f>
        <v>31</v>
      </c>
      <c r="N3875" s="2" t="n">
        <f aca="false">IF(E3875="","",IF(ISNUMBER(SEARCH("SUBSOLO",E3875)),IFERROR(-VALUE(LEFT(E3875,FIND("º",SUBSTITUTE(E3875,"°","º"))-1)),-1),IF(LEFT(E3875,6)="TÉRREO",0,IFERROR(VALUE(LEFT(E3875,FIND("º",SUBSTITUTE(E3875,"°","º"))-1)),""))))</f>
        <v>3</v>
      </c>
      <c r="O3875" s="2" t="str">
        <f aca="false">IF(OR(F3875="",G3875=""),"",IF(G3875&lt;='RETRATO 2027'!$K$5,"CONCLUÍDA",IF(F3875&lt;='RETRATO 2027'!$K$5,"EM ANDAMENTO","A INICIAR")))</f>
        <v>A INICIAR</v>
      </c>
    </row>
    <row r="3876" customFormat="false" ht="15" hidden="false" customHeight="false" outlineLevel="0" collapsed="false">
      <c r="B3876" s="4" t="n">
        <v>26790202</v>
      </c>
      <c r="C3876" s="4" t="s">
        <v>3117</v>
      </c>
      <c r="D3876" s="4" t="s">
        <v>433</v>
      </c>
      <c r="E3876" s="4" t="s">
        <v>3809</v>
      </c>
      <c r="F3876" s="127" t="n">
        <v>46969</v>
      </c>
      <c r="G3876" s="127" t="n">
        <v>47050</v>
      </c>
      <c r="H3876" s="127" t="n">
        <v>46293</v>
      </c>
      <c r="I3876" s="4" t="n">
        <v>0</v>
      </c>
      <c r="J3876" s="4" t="n">
        <v>0</v>
      </c>
      <c r="K3876" s="4" t="n">
        <v>0</v>
      </c>
      <c r="M3876" s="2" t="str">
        <f aca="false">IF(C3876="","",IFERROR(INDEX($S$5:$S$304,MATCH(C3876,$R$5:$R$304,0))&amp;"","?"))</f>
        <v>21</v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>A INICIAR</v>
      </c>
    </row>
    <row r="3877" customFormat="false" ht="15" hidden="false" customHeight="false" outlineLevel="0" collapsed="false">
      <c r="B3877" s="4" t="n">
        <v>26750565</v>
      </c>
      <c r="C3877" s="4" t="s">
        <v>3120</v>
      </c>
      <c r="D3877" s="4" t="s">
        <v>433</v>
      </c>
      <c r="E3877" s="4" t="s">
        <v>3782</v>
      </c>
      <c r="F3877" s="127" t="n">
        <v>46972</v>
      </c>
      <c r="G3877" s="127" t="n">
        <v>46986</v>
      </c>
      <c r="H3877" s="127" t="n">
        <v>46293</v>
      </c>
      <c r="I3877" s="4" t="n">
        <v>0</v>
      </c>
      <c r="J3877" s="4" t="n">
        <v>0</v>
      </c>
      <c r="K3877" s="4" t="n">
        <v>0</v>
      </c>
      <c r="M3877" s="2" t="str">
        <f aca="false">IF(C3877="","",IFERROR(INDEX($S$5:$S$304,MATCH(C3877,$R$5:$R$304,0))&amp;"","?"))</f>
        <v>21</v>
      </c>
      <c r="N3877" s="2" t="n">
        <f aca="false">IF(E3877="","",IF(ISNUMBER(SEARCH("SUBSOLO",E3877)),IFERROR(-VALUE(LEFT(E3877,FIND("º",SUBSTITUTE(E3877,"°","º"))-1)),-1),IF(LEFT(E3877,6)="TÉRREO",0,IFERROR(VALUE(LEFT(E3877,FIND("º",SUBSTITUTE(E3877,"°","º"))-1)),""))))</f>
        <v>-4</v>
      </c>
      <c r="O3877" s="2" t="str">
        <f aca="false">IF(OR(F3877="",G3877=""),"",IF(G3877&lt;='RETRATO 2027'!$K$5,"CONCLUÍDA",IF(F3877&lt;='RETRATO 2027'!$K$5,"EM ANDAMENTO","A INICIAR")))</f>
        <v>A INICIAR</v>
      </c>
    </row>
    <row r="3878" customFormat="false" ht="15" hidden="false" customHeight="false" outlineLevel="0" collapsed="false">
      <c r="B3878" s="4" t="n">
        <v>26708167</v>
      </c>
      <c r="C3878" s="4" t="s">
        <v>3006</v>
      </c>
      <c r="D3878" s="4" t="s">
        <v>433</v>
      </c>
      <c r="E3878" s="4" t="s">
        <v>3628</v>
      </c>
      <c r="F3878" s="127" t="n">
        <v>46973</v>
      </c>
      <c r="G3878" s="127" t="n">
        <v>46983</v>
      </c>
      <c r="H3878" s="127" t="n">
        <v>46293</v>
      </c>
      <c r="I3878" s="4" t="n">
        <v>0</v>
      </c>
      <c r="J3878" s="4" t="n">
        <v>0</v>
      </c>
      <c r="K3878" s="4" t="n">
        <v>0</v>
      </c>
      <c r="M3878" s="2" t="str">
        <f aca="false">IF(C3878="","",IFERROR(INDEX($S$5:$S$304,MATCH(C3878,$R$5:$R$304,0))&amp;"","?"))</f>
        <v>37</v>
      </c>
      <c r="N3878" s="2" t="n">
        <f aca="false">IF(E3878="","",IF(ISNUMBER(SEARCH("SUBSOLO",E3878)),IFERROR(-VALUE(LEFT(E3878,FIND("º",SUBSTITUTE(E3878,"°","º"))-1)),-1),IF(LEFT(E3878,6)="TÉRREO",0,IFERROR(VALUE(LEFT(E3878,FIND("º",SUBSTITUTE(E3878,"°","º"))-1)),""))))</f>
        <v>-6</v>
      </c>
      <c r="O3878" s="2" t="str">
        <f aca="false">IF(OR(F3878="",G3878=""),"",IF(G3878&lt;='RETRATO 2027'!$K$5,"CONCLUÍDA",IF(F3878&lt;='RETRATO 2027'!$K$5,"EM ANDAMENTO","A INICIAR")))</f>
        <v>A INICIAR</v>
      </c>
    </row>
    <row r="3879" customFormat="false" ht="15" hidden="false" customHeight="false" outlineLevel="0" collapsed="false">
      <c r="B3879" s="4" t="n">
        <v>26708133</v>
      </c>
      <c r="C3879" s="4" t="s">
        <v>3088</v>
      </c>
      <c r="D3879" s="4" t="s">
        <v>433</v>
      </c>
      <c r="E3879" s="4" t="s">
        <v>3813</v>
      </c>
      <c r="F3879" s="127" t="n">
        <v>46973</v>
      </c>
      <c r="G3879" s="127" t="n">
        <v>46983</v>
      </c>
      <c r="H3879" s="127" t="n">
        <v>46293</v>
      </c>
      <c r="I3879" s="4" t="n">
        <v>0</v>
      </c>
      <c r="J3879" s="4" t="n">
        <v>0</v>
      </c>
      <c r="K3879" s="4" t="n">
        <v>0</v>
      </c>
      <c r="M3879" s="2" t="str">
        <f aca="false">IF(C3879="","",IFERROR(INDEX($S$5:$S$304,MATCH(C3879,$R$5:$R$304,0))&amp;"","?"))</f>
        <v>20</v>
      </c>
      <c r="N3879" s="2" t="n">
        <f aca="false">IF(E3879="","",IF(ISNUMBER(SEARCH("SUBSOLO",E3879)),IFERROR(-VALUE(LEFT(E3879,FIND("º",SUBSTITUTE(E3879,"°","º"))-1)),-1),IF(LEFT(E3879,6)="TÉRREO",0,IFERROR(VALUE(LEFT(E3879,FIND("º",SUBSTITUTE(E3879,"°","º"))-1)),""))))</f>
        <v>-6</v>
      </c>
      <c r="O3879" s="2" t="str">
        <f aca="false">IF(OR(F3879="",G3879=""),"",IF(G3879&lt;='RETRATO 2027'!$K$5,"CONCLUÍDA",IF(F3879&lt;='RETRATO 2027'!$K$5,"EM ANDAMENTO","A INICIAR")))</f>
        <v>A INICIAR</v>
      </c>
    </row>
    <row r="3880" customFormat="false" ht="15" hidden="false" customHeight="false" outlineLevel="0" collapsed="false">
      <c r="B3880" s="4" t="n">
        <v>26750583</v>
      </c>
      <c r="C3880" s="4" t="s">
        <v>3006</v>
      </c>
      <c r="D3880" s="4" t="s">
        <v>433</v>
      </c>
      <c r="E3880" s="4" t="s">
        <v>3814</v>
      </c>
      <c r="F3880" s="127" t="n">
        <v>46973</v>
      </c>
      <c r="G3880" s="127" t="n">
        <v>46983</v>
      </c>
      <c r="H3880" s="127" t="n">
        <v>46293</v>
      </c>
      <c r="I3880" s="4" t="n">
        <v>0</v>
      </c>
      <c r="J3880" s="4" t="n">
        <v>0</v>
      </c>
      <c r="K3880" s="4" t="n">
        <v>0</v>
      </c>
      <c r="M3880" s="2" t="str">
        <f aca="false">IF(C3880="","",IFERROR(INDEX($S$5:$S$304,MATCH(C3880,$R$5:$R$304,0))&amp;"","?"))</f>
        <v>37</v>
      </c>
      <c r="N3880" s="2" t="n">
        <f aca="false">IF(E3880="","",IF(ISNUMBER(SEARCH("SUBSOLO",E3880)),IFERROR(-VALUE(LEFT(E3880,FIND("º",SUBSTITUTE(E3880,"°","º"))-1)),-1),IF(LEFT(E3880,6)="TÉRREO",0,IFERROR(VALUE(LEFT(E3880,FIND("º",SUBSTITUTE(E3880,"°","º"))-1)),""))))</f>
        <v>-6</v>
      </c>
      <c r="O3880" s="2" t="str">
        <f aca="false">IF(OR(F3880="",G3880=""),"",IF(G3880&lt;='RETRATO 2027'!$K$5,"CONCLUÍDA",IF(F3880&lt;='RETRATO 2027'!$K$5,"EM ANDAMENTO","A INICIAR")))</f>
        <v>A INICIAR</v>
      </c>
    </row>
    <row r="3881" customFormat="false" ht="15" hidden="false" customHeight="false" outlineLevel="0" collapsed="false">
      <c r="B3881" s="4" t="n">
        <v>33806556</v>
      </c>
      <c r="C3881" s="4" t="s">
        <v>3123</v>
      </c>
      <c r="D3881" s="4" t="s">
        <v>433</v>
      </c>
      <c r="E3881" s="4" t="s">
        <v>3834</v>
      </c>
      <c r="F3881" s="127" t="n">
        <v>46974</v>
      </c>
      <c r="G3881" s="127" t="n">
        <v>47106</v>
      </c>
      <c r="H3881" s="127" t="n">
        <v>46293</v>
      </c>
      <c r="I3881" s="4" t="n">
        <v>0</v>
      </c>
      <c r="J3881" s="4" t="n">
        <v>0</v>
      </c>
      <c r="K3881" s="4" t="n">
        <v>0</v>
      </c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>A INICIAR</v>
      </c>
    </row>
    <row r="3882" customFormat="false" ht="15" hidden="false" customHeight="false" outlineLevel="0" collapsed="false">
      <c r="B3882" s="4" t="n">
        <v>30433012</v>
      </c>
      <c r="C3882" s="4" t="s">
        <v>3096</v>
      </c>
      <c r="D3882" s="4" t="s">
        <v>433</v>
      </c>
      <c r="E3882" s="4" t="s">
        <v>3773</v>
      </c>
      <c r="F3882" s="127" t="n">
        <v>46974</v>
      </c>
      <c r="G3882" s="127" t="n">
        <v>46983</v>
      </c>
      <c r="H3882" s="127" t="n">
        <v>46293</v>
      </c>
      <c r="I3882" s="4" t="n">
        <v>0</v>
      </c>
      <c r="J3882" s="4" t="n">
        <v>0</v>
      </c>
      <c r="K3882" s="4" t="n">
        <v>0</v>
      </c>
      <c r="M3882" s="2" t="str">
        <f aca="false">IF(C3882="","",IFERROR(INDEX($S$5:$S$304,MATCH(C3882,$R$5:$R$304,0))&amp;"","?"))</f>
        <v/>
      </c>
      <c r="N3882" s="2" t="n">
        <f aca="false">IF(E3882="","",IF(ISNUMBER(SEARCH("SUBSOLO",E3882)),IFERROR(-VALUE(LEFT(E3882,FIND("º",SUBSTITUTE(E3882,"°","º"))-1)),-1),IF(LEFT(E3882,6)="TÉRREO",0,IFERROR(VALUE(LEFT(E3882,FIND("º",SUBSTITUTE(E3882,"°","º"))-1)),""))))</f>
        <v>17</v>
      </c>
      <c r="O3882" s="2" t="str">
        <f aca="false">IF(OR(F3882="",G3882=""),"",IF(G3882&lt;='RETRATO 2027'!$K$5,"CONCLUÍDA",IF(F3882&lt;='RETRATO 2027'!$K$5,"EM ANDAMENTO","A INICIAR")))</f>
        <v>A INICIAR</v>
      </c>
    </row>
    <row r="3883" customFormat="false" ht="15" hidden="false" customHeight="false" outlineLevel="0" collapsed="false">
      <c r="B3883" s="4" t="n">
        <v>26743115</v>
      </c>
      <c r="C3883" s="4" t="s">
        <v>3029</v>
      </c>
      <c r="D3883" s="4" t="s">
        <v>433</v>
      </c>
      <c r="E3883" s="4" t="s">
        <v>3776</v>
      </c>
      <c r="F3883" s="127" t="n">
        <v>46974</v>
      </c>
      <c r="G3883" s="127" t="n">
        <v>46983</v>
      </c>
      <c r="H3883" s="127" t="n">
        <v>46293</v>
      </c>
      <c r="I3883" s="4" t="n">
        <v>0</v>
      </c>
      <c r="J3883" s="4" t="n">
        <v>0</v>
      </c>
      <c r="K3883" s="4" t="n">
        <v>0</v>
      </c>
      <c r="M3883" s="2" t="str">
        <f aca="false">IF(C3883="","",IFERROR(INDEX($S$5:$S$304,MATCH(C3883,$R$5:$R$304,0))&amp;"","?"))</f>
        <v/>
      </c>
      <c r="N3883" s="2" t="n">
        <f aca="false">IF(E3883="","",IF(ISNUMBER(SEARCH("SUBSOLO",E3883)),IFERROR(-VALUE(LEFT(E3883,FIND("º",SUBSTITUTE(E3883,"°","º"))-1)),-1),IF(LEFT(E3883,6)="TÉRREO",0,IFERROR(VALUE(LEFT(E3883,FIND("º",SUBSTITUTE(E3883,"°","º"))-1)),""))))</f>
        <v>18</v>
      </c>
      <c r="O3883" s="2" t="str">
        <f aca="false">IF(OR(F3883="",G3883=""),"",IF(G3883&lt;='RETRATO 2027'!$K$5,"CONCLUÍDA",IF(F3883&lt;='RETRATO 2027'!$K$5,"EM ANDAMENTO","A INICIAR")))</f>
        <v>A INICIAR</v>
      </c>
    </row>
    <row r="3884" customFormat="false" ht="15" hidden="false" customHeight="false" outlineLevel="0" collapsed="false">
      <c r="B3884" s="4" t="n">
        <v>26743076</v>
      </c>
      <c r="C3884" s="4" t="s">
        <v>2971</v>
      </c>
      <c r="D3884" s="4" t="s">
        <v>433</v>
      </c>
      <c r="E3884" s="4" t="s">
        <v>3779</v>
      </c>
      <c r="F3884" s="127" t="n">
        <v>46974</v>
      </c>
      <c r="G3884" s="127" t="n">
        <v>46983</v>
      </c>
      <c r="H3884" s="127" t="n">
        <v>46293</v>
      </c>
      <c r="I3884" s="4" t="n">
        <v>0</v>
      </c>
      <c r="J3884" s="4" t="n">
        <v>0</v>
      </c>
      <c r="K3884" s="4" t="n">
        <v>0</v>
      </c>
      <c r="M3884" s="2" t="str">
        <f aca="false">IF(C3884="","",IFERROR(INDEX($S$5:$S$304,MATCH(C3884,$R$5:$R$304,0))&amp;"","?"))</f>
        <v>37</v>
      </c>
      <c r="N3884" s="2" t="n">
        <f aca="false">IF(E3884="","",IF(ISNUMBER(SEARCH("SUBSOLO",E3884)),IFERROR(-VALUE(LEFT(E3884,FIND("º",SUBSTITUTE(E3884,"°","º"))-1)),-1),IF(LEFT(E3884,6)="TÉRREO",0,IFERROR(VALUE(LEFT(E3884,FIND("º",SUBSTITUTE(E3884,"°","º"))-1)),""))))</f>
        <v>19</v>
      </c>
      <c r="O3884" s="2" t="str">
        <f aca="false">IF(OR(F3884="",G3884=""),"",IF(G3884&lt;='RETRATO 2027'!$K$5,"CONCLUÍDA",IF(F3884&lt;='RETRATO 2027'!$K$5,"EM ANDAMENTO","A INICIAR")))</f>
        <v>A INICIAR</v>
      </c>
    </row>
    <row r="3885" customFormat="false" ht="15" hidden="false" customHeight="false" outlineLevel="0" collapsed="false">
      <c r="B3885" s="4" t="n">
        <v>26743038</v>
      </c>
      <c r="C3885" s="4" t="s">
        <v>3032</v>
      </c>
      <c r="D3885" s="4" t="s">
        <v>433</v>
      </c>
      <c r="E3885" s="4" t="s">
        <v>3781</v>
      </c>
      <c r="F3885" s="127" t="n">
        <v>46974</v>
      </c>
      <c r="G3885" s="127" t="n">
        <v>46983</v>
      </c>
      <c r="H3885" s="127" t="n">
        <v>46293</v>
      </c>
      <c r="I3885" s="4" t="n">
        <v>0</v>
      </c>
      <c r="J3885" s="4" t="n">
        <v>0</v>
      </c>
      <c r="K3885" s="4" t="n">
        <v>0</v>
      </c>
      <c r="M3885" s="2" t="str">
        <f aca="false">IF(C3885="","",IFERROR(INDEX($S$5:$S$304,MATCH(C3885,$R$5:$R$304,0))&amp;"","?"))</f>
        <v>35</v>
      </c>
      <c r="N3885" s="2" t="n">
        <f aca="false">IF(E3885="","",IF(ISNUMBER(SEARCH("SUBSOLO",E3885)),IFERROR(-VALUE(LEFT(E3885,FIND("º",SUBSTITUTE(E3885,"°","º"))-1)),-1),IF(LEFT(E3885,6)="TÉRREO",0,IFERROR(VALUE(LEFT(E3885,FIND("º",SUBSTITUTE(E3885,"°","º"))-1)),""))))</f>
        <v>20</v>
      </c>
      <c r="O3885" s="2" t="str">
        <f aca="false">IF(OR(F3885="",G3885=""),"",IF(G3885&lt;='RETRATO 2027'!$K$5,"CONCLUÍDA",IF(F3885&lt;='RETRATO 2027'!$K$5,"EM ANDAMENTO","A INICIAR")))</f>
        <v>A INICIAR</v>
      </c>
    </row>
    <row r="3886" customFormat="false" ht="15" hidden="false" customHeight="false" outlineLevel="0" collapsed="false">
      <c r="B3886" s="4" t="n">
        <v>26742995</v>
      </c>
      <c r="C3886" s="4" t="s">
        <v>3093</v>
      </c>
      <c r="D3886" s="4" t="s">
        <v>433</v>
      </c>
      <c r="E3886" s="4" t="s">
        <v>3783</v>
      </c>
      <c r="F3886" s="127" t="n">
        <v>46974</v>
      </c>
      <c r="G3886" s="127" t="n">
        <v>46983</v>
      </c>
      <c r="H3886" s="127" t="n">
        <v>46293</v>
      </c>
      <c r="I3886" s="4" t="n">
        <v>0</v>
      </c>
      <c r="J3886" s="4" t="n">
        <v>0</v>
      </c>
      <c r="K3886" s="4" t="n">
        <v>0</v>
      </c>
      <c r="M3886" s="2" t="str">
        <f aca="false">IF(C3886="","",IFERROR(INDEX($S$5:$S$304,MATCH(C3886,$R$5:$R$304,0))&amp;"","?"))</f>
        <v>34</v>
      </c>
      <c r="N3886" s="2" t="n">
        <f aca="false">IF(E3886="","",IF(ISNUMBER(SEARCH("SUBSOLO",E3886)),IFERROR(-VALUE(LEFT(E3886,FIND("º",SUBSTITUTE(E3886,"°","º"))-1)),-1),IF(LEFT(E3886,6)="TÉRREO",0,IFERROR(VALUE(LEFT(E3886,FIND("º",SUBSTITUTE(E3886,"°","º"))-1)),""))))</f>
        <v>21</v>
      </c>
      <c r="O3886" s="2" t="str">
        <f aca="false">IF(OR(F3886="",G3886=""),"",IF(G3886&lt;='RETRATO 2027'!$K$5,"CONCLUÍDA",IF(F3886&lt;='RETRATO 2027'!$K$5,"EM ANDAMENTO","A INICIAR")))</f>
        <v>A INICIAR</v>
      </c>
    </row>
    <row r="3887" customFormat="false" ht="15" hidden="false" customHeight="false" outlineLevel="0" collapsed="false">
      <c r="B3887" s="4" t="n">
        <v>26743017</v>
      </c>
      <c r="C3887" s="4" t="s">
        <v>2965</v>
      </c>
      <c r="D3887" s="4" t="s">
        <v>433</v>
      </c>
      <c r="E3887" s="4" t="s">
        <v>3783</v>
      </c>
      <c r="F3887" s="127" t="n">
        <v>46974</v>
      </c>
      <c r="G3887" s="127" t="n">
        <v>46983</v>
      </c>
      <c r="H3887" s="127" t="n">
        <v>46293</v>
      </c>
      <c r="I3887" s="4" t="n">
        <v>0</v>
      </c>
      <c r="J3887" s="4" t="n">
        <v>0</v>
      </c>
      <c r="K3887" s="4" t="n">
        <v>0</v>
      </c>
      <c r="M3887" s="2" t="str">
        <f aca="false">IF(C3887="","",IFERROR(INDEX($S$5:$S$304,MATCH(C3887,$R$5:$R$304,0))&amp;"","?"))</f>
        <v>20</v>
      </c>
      <c r="N3887" s="2" t="n">
        <f aca="false">IF(E3887="","",IF(ISNUMBER(SEARCH("SUBSOLO",E3887)),IFERROR(-VALUE(LEFT(E3887,FIND("º",SUBSTITUTE(E3887,"°","º"))-1)),-1),IF(LEFT(E3887,6)="TÉRREO",0,IFERROR(VALUE(LEFT(E3887,FIND("º",SUBSTITUTE(E3887,"°","º"))-1)),""))))</f>
        <v>21</v>
      </c>
      <c r="O3887" s="2" t="str">
        <f aca="false">IF(OR(F3887="",G3887=""),"",IF(G3887&lt;='RETRATO 2027'!$K$5,"CONCLUÍDA",IF(F3887&lt;='RETRATO 2027'!$K$5,"EM ANDAMENTO","A INICIAR")))</f>
        <v>A INICIAR</v>
      </c>
    </row>
    <row r="3888" customFormat="false" ht="15" hidden="false" customHeight="false" outlineLevel="0" collapsed="false">
      <c r="B3888" s="4" t="n">
        <v>26742957</v>
      </c>
      <c r="C3888" s="4" t="s">
        <v>3021</v>
      </c>
      <c r="D3888" s="4" t="s">
        <v>433</v>
      </c>
      <c r="E3888" s="4" t="s">
        <v>3786</v>
      </c>
      <c r="F3888" s="127" t="n">
        <v>46974</v>
      </c>
      <c r="G3888" s="127" t="n">
        <v>46983</v>
      </c>
      <c r="H3888" s="127" t="n">
        <v>46293</v>
      </c>
      <c r="I3888" s="4" t="n">
        <v>0</v>
      </c>
      <c r="J3888" s="4" t="n">
        <v>0</v>
      </c>
      <c r="K3888" s="4" t="n">
        <v>0</v>
      </c>
      <c r="M3888" s="2" t="str">
        <f aca="false">IF(C3888="","",IFERROR(INDEX($S$5:$S$304,MATCH(C3888,$R$5:$R$304,0))&amp;"","?"))</f>
        <v>35</v>
      </c>
      <c r="N3888" s="2" t="n">
        <f aca="false">IF(E3888="","",IF(ISNUMBER(SEARCH("SUBSOLO",E3888)),IFERROR(-VALUE(LEFT(E3888,FIND("º",SUBSTITUTE(E3888,"°","º"))-1)),-1),IF(LEFT(E3888,6)="TÉRREO",0,IFERROR(VALUE(LEFT(E3888,FIND("º",SUBSTITUTE(E3888,"°","º"))-1)),""))))</f>
        <v>22</v>
      </c>
      <c r="O3888" s="2" t="str">
        <f aca="false">IF(OR(F3888="",G3888=""),"",IF(G3888&lt;='RETRATO 2027'!$K$5,"CONCLUÍDA",IF(F3888&lt;='RETRATO 2027'!$K$5,"EM ANDAMENTO","A INICIAR")))</f>
        <v>A INICIAR</v>
      </c>
    </row>
    <row r="3889" customFormat="false" ht="15" hidden="false" customHeight="false" outlineLevel="0" collapsed="false">
      <c r="B3889" s="4" t="n">
        <v>26742922</v>
      </c>
      <c r="C3889" s="4" t="s">
        <v>3006</v>
      </c>
      <c r="D3889" s="4" t="s">
        <v>433</v>
      </c>
      <c r="E3889" s="4" t="s">
        <v>3787</v>
      </c>
      <c r="F3889" s="127" t="n">
        <v>46974</v>
      </c>
      <c r="G3889" s="127" t="n">
        <v>46983</v>
      </c>
      <c r="H3889" s="127" t="n">
        <v>46293</v>
      </c>
      <c r="I3889" s="4" t="n">
        <v>0</v>
      </c>
      <c r="J3889" s="4" t="n">
        <v>0</v>
      </c>
      <c r="K3889" s="4" t="n">
        <v>0</v>
      </c>
      <c r="M3889" s="2" t="str">
        <f aca="false">IF(C3889="","",IFERROR(INDEX($S$5:$S$304,MATCH(C3889,$R$5:$R$304,0))&amp;"","?"))</f>
        <v>37</v>
      </c>
      <c r="N3889" s="2" t="n">
        <f aca="false">IF(E3889="","",IF(ISNUMBER(SEARCH("SUBSOLO",E3889)),IFERROR(-VALUE(LEFT(E3889,FIND("º",SUBSTITUTE(E3889,"°","º"))-1)),-1),IF(LEFT(E3889,6)="TÉRREO",0,IFERROR(VALUE(LEFT(E3889,FIND("º",SUBSTITUTE(E3889,"°","º"))-1)),""))))</f>
        <v>23</v>
      </c>
      <c r="O3889" s="2" t="str">
        <f aca="false">IF(OR(F3889="",G3889=""),"",IF(G3889&lt;='RETRATO 2027'!$K$5,"CONCLUÍDA",IF(F3889&lt;='RETRATO 2027'!$K$5,"EM ANDAMENTO","A INICIAR")))</f>
        <v>A INICIAR</v>
      </c>
    </row>
    <row r="3890" customFormat="false" ht="15" hidden="false" customHeight="false" outlineLevel="0" collapsed="false">
      <c r="B3890" s="4" t="n">
        <v>26742887</v>
      </c>
      <c r="C3890" s="4" t="s">
        <v>2962</v>
      </c>
      <c r="D3890" s="4" t="s">
        <v>433</v>
      </c>
      <c r="E3890" s="4" t="s">
        <v>3788</v>
      </c>
      <c r="F3890" s="127" t="n">
        <v>46974</v>
      </c>
      <c r="G3890" s="127" t="n">
        <v>46983</v>
      </c>
      <c r="H3890" s="127" t="n">
        <v>46293</v>
      </c>
      <c r="I3890" s="4" t="n">
        <v>0</v>
      </c>
      <c r="J3890" s="4" t="n">
        <v>0</v>
      </c>
      <c r="K3890" s="4" t="n">
        <v>0</v>
      </c>
      <c r="M3890" s="2" t="str">
        <f aca="false">IF(C3890="","",IFERROR(INDEX($S$5:$S$304,MATCH(C3890,$R$5:$R$304,0))&amp;"","?"))</f>
        <v>34</v>
      </c>
      <c r="N3890" s="2" t="n">
        <f aca="false">IF(E3890="","",IF(ISNUMBER(SEARCH("SUBSOLO",E3890)),IFERROR(-VALUE(LEFT(E3890,FIND("º",SUBSTITUTE(E3890,"°","º"))-1)),-1),IF(LEFT(E3890,6)="TÉRREO",0,IFERROR(VALUE(LEFT(E3890,FIND("º",SUBSTITUTE(E3890,"°","º"))-1)),""))))</f>
        <v>24</v>
      </c>
      <c r="O3890" s="2" t="str">
        <f aca="false">IF(OR(F3890="",G3890=""),"",IF(G3890&lt;='RETRATO 2027'!$K$5,"CONCLUÍDA",IF(F3890&lt;='RETRATO 2027'!$K$5,"EM ANDAMENTO","A INICIAR")))</f>
        <v>A INICIAR</v>
      </c>
    </row>
    <row r="3891" customFormat="false" ht="15" hidden="false" customHeight="false" outlineLevel="0" collapsed="false">
      <c r="B3891" s="4" t="n">
        <v>26742892</v>
      </c>
      <c r="C3891" s="4" t="s">
        <v>3088</v>
      </c>
      <c r="D3891" s="4" t="s">
        <v>433</v>
      </c>
      <c r="E3891" s="4" t="s">
        <v>3788</v>
      </c>
      <c r="F3891" s="127" t="n">
        <v>46974</v>
      </c>
      <c r="G3891" s="127" t="n">
        <v>46983</v>
      </c>
      <c r="H3891" s="127" t="n">
        <v>46293</v>
      </c>
      <c r="I3891" s="4" t="n">
        <v>0</v>
      </c>
      <c r="J3891" s="4" t="n">
        <v>0</v>
      </c>
      <c r="K3891" s="4" t="n">
        <v>0</v>
      </c>
      <c r="M3891" s="2" t="str">
        <f aca="false">IF(C3891="","",IFERROR(INDEX($S$5:$S$304,MATCH(C3891,$R$5:$R$304,0))&amp;"","?"))</f>
        <v>20</v>
      </c>
      <c r="N3891" s="2" t="n">
        <f aca="false">IF(E3891="","",IF(ISNUMBER(SEARCH("SUBSOLO",E3891)),IFERROR(-VALUE(LEFT(E3891,FIND("º",SUBSTITUTE(E3891,"°","º"))-1)),-1),IF(LEFT(E3891,6)="TÉRREO",0,IFERROR(VALUE(LEFT(E3891,FIND("º",SUBSTITUTE(E3891,"°","º"))-1)),""))))</f>
        <v>24</v>
      </c>
      <c r="O3891" s="2" t="str">
        <f aca="false">IF(OR(F3891="",G3891=""),"",IF(G3891&lt;='RETRATO 2027'!$K$5,"CONCLUÍDA",IF(F3891&lt;='RETRATO 2027'!$K$5,"EM ANDAMENTO","A INICIAR")))</f>
        <v>A INICIAR</v>
      </c>
    </row>
    <row r="3892" customFormat="false" ht="15" hidden="false" customHeight="false" outlineLevel="0" collapsed="false">
      <c r="B3892" s="4" t="n">
        <v>26742911</v>
      </c>
      <c r="C3892" s="4" t="s">
        <v>3009</v>
      </c>
      <c r="D3892" s="4" t="s">
        <v>433</v>
      </c>
      <c r="E3892" s="4" t="s">
        <v>3788</v>
      </c>
      <c r="F3892" s="127" t="n">
        <v>46974</v>
      </c>
      <c r="G3892" s="127" t="n">
        <v>46983</v>
      </c>
      <c r="H3892" s="127" t="n">
        <v>46293</v>
      </c>
      <c r="I3892" s="4" t="n">
        <v>0</v>
      </c>
      <c r="J3892" s="4" t="n">
        <v>0</v>
      </c>
      <c r="K3892" s="4" t="n">
        <v>0</v>
      </c>
      <c r="M3892" s="2" t="str">
        <f aca="false">IF(C3892="","",IFERROR(INDEX($S$5:$S$304,MATCH(C3892,$R$5:$R$304,0))&amp;"","?"))</f>
        <v>23</v>
      </c>
      <c r="N3892" s="2" t="n">
        <f aca="false">IF(E3892="","",IF(ISNUMBER(SEARCH("SUBSOLO",E3892)),IFERROR(-VALUE(LEFT(E3892,FIND("º",SUBSTITUTE(E3892,"°","º"))-1)),-1),IF(LEFT(E3892,6)="TÉRREO",0,IFERROR(VALUE(LEFT(E3892,FIND("º",SUBSTITUTE(E3892,"°","º"))-1)),""))))</f>
        <v>24</v>
      </c>
      <c r="O3892" s="2" t="str">
        <f aca="false">IF(OR(F3892="",G3892=""),"",IF(G3892&lt;='RETRATO 2027'!$K$5,"CONCLUÍDA",IF(F3892&lt;='RETRATO 2027'!$K$5,"EM ANDAMENTO","A INICIAR")))</f>
        <v>A INICIAR</v>
      </c>
    </row>
    <row r="3893" customFormat="false" ht="15" hidden="false" customHeight="false" outlineLevel="0" collapsed="false">
      <c r="B3893" s="4" t="n">
        <v>26742849</v>
      </c>
      <c r="C3893" s="4" t="s">
        <v>3082</v>
      </c>
      <c r="D3893" s="4" t="s">
        <v>433</v>
      </c>
      <c r="E3893" s="4" t="s">
        <v>3794</v>
      </c>
      <c r="F3893" s="127" t="n">
        <v>46974</v>
      </c>
      <c r="G3893" s="127" t="n">
        <v>46983</v>
      </c>
      <c r="H3893" s="127" t="n">
        <v>46293</v>
      </c>
      <c r="I3893" s="4" t="n">
        <v>0</v>
      </c>
      <c r="J3893" s="4" t="n">
        <v>0</v>
      </c>
      <c r="K3893" s="4" t="n">
        <v>0</v>
      </c>
      <c r="M3893" s="2" t="str">
        <f aca="false">IF(C3893="","",IFERROR(INDEX($S$5:$S$304,MATCH(C3893,$R$5:$R$304,0))&amp;"","?"))</f>
        <v>30</v>
      </c>
      <c r="N3893" s="2" t="n">
        <f aca="false">IF(E3893="","",IF(ISNUMBER(SEARCH("SUBSOLO",E3893)),IFERROR(-VALUE(LEFT(E3893,FIND("º",SUBSTITUTE(E3893,"°","º"))-1)),-1),IF(LEFT(E3893,6)="TÉRREO",0,IFERROR(VALUE(LEFT(E3893,FIND("º",SUBSTITUTE(E3893,"°","º"))-1)),""))))</f>
        <v>25</v>
      </c>
      <c r="O3893" s="2" t="str">
        <f aca="false">IF(OR(F3893="",G3893=""),"",IF(G3893&lt;='RETRATO 2027'!$K$5,"CONCLUÍDA",IF(F3893&lt;='RETRATO 2027'!$K$5,"EM ANDAMENTO","A INICIAR")))</f>
        <v>A INICIAR</v>
      </c>
    </row>
    <row r="3894" customFormat="false" ht="15" hidden="false" customHeight="false" outlineLevel="0" collapsed="false">
      <c r="B3894" s="4" t="n">
        <v>26742842</v>
      </c>
      <c r="C3894" s="4" t="s">
        <v>3079</v>
      </c>
      <c r="D3894" s="4" t="s">
        <v>433</v>
      </c>
      <c r="E3894" s="4" t="s">
        <v>3797</v>
      </c>
      <c r="F3894" s="127" t="n">
        <v>46974</v>
      </c>
      <c r="G3894" s="127" t="n">
        <v>46983</v>
      </c>
      <c r="H3894" s="127" t="n">
        <v>46293</v>
      </c>
      <c r="I3894" s="4" t="n">
        <v>0</v>
      </c>
      <c r="J3894" s="4" t="n">
        <v>0</v>
      </c>
      <c r="K3894" s="4" t="n">
        <v>0</v>
      </c>
      <c r="M3894" s="2" t="str">
        <f aca="false">IF(C3894="","",IFERROR(INDEX($S$5:$S$304,MATCH(C3894,$R$5:$R$304,0))&amp;"","?"))</f>
        <v>25</v>
      </c>
      <c r="N3894" s="2" t="n">
        <f aca="false">IF(E3894="","",IF(ISNUMBER(SEARCH("SUBSOLO",E3894)),IFERROR(-VALUE(LEFT(E3894,FIND("º",SUBSTITUTE(E3894,"°","º"))-1)),-1),IF(LEFT(E3894,6)="TÉRREO",0,IFERROR(VALUE(LEFT(E3894,FIND("º",SUBSTITUTE(E3894,"°","º"))-1)),""))))</f>
        <v>26</v>
      </c>
      <c r="O3894" s="2" t="str">
        <f aca="false">IF(OR(F3894="",G3894=""),"",IF(G3894&lt;='RETRATO 2027'!$K$5,"CONCLUÍDA",IF(F3894&lt;='RETRATO 2027'!$K$5,"EM ANDAMENTO","A INICIAR")))</f>
        <v>A INICIAR</v>
      </c>
    </row>
    <row r="3895" customFormat="false" ht="15" hidden="false" customHeight="false" outlineLevel="0" collapsed="false">
      <c r="B3895" s="4" t="n">
        <v>26742803</v>
      </c>
      <c r="C3895" s="4" t="s">
        <v>3073</v>
      </c>
      <c r="D3895" s="4" t="s">
        <v>433</v>
      </c>
      <c r="E3895" s="4" t="s">
        <v>3799</v>
      </c>
      <c r="F3895" s="127" t="n">
        <v>46974</v>
      </c>
      <c r="G3895" s="127" t="n">
        <v>46983</v>
      </c>
      <c r="H3895" s="127" t="n">
        <v>46293</v>
      </c>
      <c r="I3895" s="4" t="n">
        <v>0</v>
      </c>
      <c r="J3895" s="4" t="n">
        <v>0</v>
      </c>
      <c r="K3895" s="4" t="n">
        <v>0</v>
      </c>
      <c r="M3895" s="2" t="str">
        <f aca="false">IF(C3895="","",IFERROR(INDEX($S$5:$S$304,MATCH(C3895,$R$5:$R$304,0))&amp;"","?"))</f>
        <v>30</v>
      </c>
      <c r="N3895" s="2" t="n">
        <f aca="false">IF(E3895="","",IF(ISNUMBER(SEARCH("SUBSOLO",E3895)),IFERROR(-VALUE(LEFT(E3895,FIND("º",SUBSTITUTE(E3895,"°","º"))-1)),-1),IF(LEFT(E3895,6)="TÉRREO",0,IFERROR(VALUE(LEFT(E3895,FIND("º",SUBSTITUTE(E3895,"°","º"))-1)),""))))</f>
        <v>27</v>
      </c>
      <c r="O3895" s="2" t="str">
        <f aca="false">IF(OR(F3895="",G3895=""),"",IF(G3895&lt;='RETRATO 2027'!$K$5,"CONCLUÍDA",IF(F3895&lt;='RETRATO 2027'!$K$5,"EM ANDAMENTO","A INICIAR")))</f>
        <v>A INICIAR</v>
      </c>
    </row>
    <row r="3896" customFormat="false" ht="15" hidden="false" customHeight="false" outlineLevel="0" collapsed="false">
      <c r="B3896" s="4" t="n">
        <v>26742765</v>
      </c>
      <c r="C3896" s="4" t="s">
        <v>3055</v>
      </c>
      <c r="D3896" s="4" t="s">
        <v>433</v>
      </c>
      <c r="E3896" s="4" t="s">
        <v>3802</v>
      </c>
      <c r="F3896" s="127" t="n">
        <v>46974</v>
      </c>
      <c r="G3896" s="127" t="n">
        <v>46983</v>
      </c>
      <c r="H3896" s="127" t="n">
        <v>46293</v>
      </c>
      <c r="I3896" s="4" t="n">
        <v>0</v>
      </c>
      <c r="J3896" s="4" t="n">
        <v>0</v>
      </c>
      <c r="K3896" s="4" t="n">
        <v>0</v>
      </c>
      <c r="M3896" s="2" t="str">
        <f aca="false">IF(C3896="","",IFERROR(INDEX($S$5:$S$304,MATCH(C3896,$R$5:$R$304,0))&amp;"","?"))</f>
        <v>25</v>
      </c>
      <c r="N3896" s="2" t="n">
        <f aca="false">IF(E3896="","",IF(ISNUMBER(SEARCH("SUBSOLO",E3896)),IFERROR(-VALUE(LEFT(E3896,FIND("º",SUBSTITUTE(E3896,"°","º"))-1)),-1),IF(LEFT(E3896,6)="TÉRREO",0,IFERROR(VALUE(LEFT(E3896,FIND("º",SUBSTITUTE(E3896,"°","º"))-1)),""))))</f>
        <v>28</v>
      </c>
      <c r="O3896" s="2" t="str">
        <f aca="false">IF(OR(F3896="",G3896=""),"",IF(G3896&lt;='RETRATO 2027'!$K$5,"CONCLUÍDA",IF(F3896&lt;='RETRATO 2027'!$K$5,"EM ANDAMENTO","A INICIAR")))</f>
        <v>A INICIAR</v>
      </c>
    </row>
    <row r="3897" customFormat="false" ht="15" hidden="false" customHeight="false" outlineLevel="0" collapsed="false">
      <c r="B3897" s="4" t="n">
        <v>30432937</v>
      </c>
      <c r="C3897" s="4" t="s">
        <v>3126</v>
      </c>
      <c r="D3897" s="4" t="s">
        <v>433</v>
      </c>
      <c r="E3897" s="4" t="s">
        <v>3834</v>
      </c>
      <c r="F3897" s="127" t="n">
        <v>46976</v>
      </c>
      <c r="G3897" s="127" t="n">
        <v>47035</v>
      </c>
      <c r="H3897" s="127" t="n">
        <v>46293</v>
      </c>
      <c r="I3897" s="4" t="n">
        <v>0</v>
      </c>
      <c r="J3897" s="4" t="n">
        <v>0</v>
      </c>
      <c r="K3897" s="4" t="n">
        <v>0</v>
      </c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>A INICIAR</v>
      </c>
    </row>
    <row r="3898" customFormat="false" ht="15" hidden="false" customHeight="false" outlineLevel="0" collapsed="false">
      <c r="B3898" s="4" t="n">
        <v>26744654</v>
      </c>
      <c r="C3898" s="4" t="s">
        <v>3093</v>
      </c>
      <c r="D3898" s="4" t="s">
        <v>433</v>
      </c>
      <c r="E3898" s="4" t="s">
        <v>3774</v>
      </c>
      <c r="F3898" s="127" t="n">
        <v>46976</v>
      </c>
      <c r="G3898" s="127" t="n">
        <v>46986</v>
      </c>
      <c r="H3898" s="127" t="n">
        <v>46293</v>
      </c>
      <c r="I3898" s="4" t="n">
        <v>0</v>
      </c>
      <c r="J3898" s="4" t="n">
        <v>0</v>
      </c>
      <c r="K3898" s="4" t="n">
        <v>0</v>
      </c>
      <c r="M3898" s="2" t="str">
        <f aca="false">IF(C3898="","",IFERROR(INDEX($S$5:$S$304,MATCH(C3898,$R$5:$R$304,0))&amp;"","?"))</f>
        <v>34</v>
      </c>
      <c r="N3898" s="2" t="n">
        <f aca="false">IF(E3898="","",IF(ISNUMBER(SEARCH("SUBSOLO",E3898)),IFERROR(-VALUE(LEFT(E3898,FIND("º",SUBSTITUTE(E3898,"°","º"))-1)),-1),IF(LEFT(E3898,6)="TÉRREO",0,IFERROR(VALUE(LEFT(E3898,FIND("º",SUBSTITUTE(E3898,"°","º"))-1)),""))))</f>
        <v>3</v>
      </c>
      <c r="O3898" s="2" t="str">
        <f aca="false">IF(OR(F3898="",G3898=""),"",IF(G3898&lt;='RETRATO 2027'!$K$5,"CONCLUÍDA",IF(F3898&lt;='RETRATO 2027'!$K$5,"EM ANDAMENTO","A INICIAR")))</f>
        <v>A INICIAR</v>
      </c>
    </row>
    <row r="3899" customFormat="false" ht="15" hidden="false" customHeight="false" outlineLevel="0" collapsed="false">
      <c r="B3899" s="4" t="n">
        <v>26744649</v>
      </c>
      <c r="C3899" s="4" t="s">
        <v>2965</v>
      </c>
      <c r="D3899" s="4" t="s">
        <v>433</v>
      </c>
      <c r="E3899" s="4" t="s">
        <v>3774</v>
      </c>
      <c r="F3899" s="127" t="n">
        <v>46976</v>
      </c>
      <c r="G3899" s="127" t="n">
        <v>46986</v>
      </c>
      <c r="H3899" s="127" t="n">
        <v>46293</v>
      </c>
      <c r="I3899" s="4" t="n">
        <v>0</v>
      </c>
      <c r="J3899" s="4" t="n">
        <v>0</v>
      </c>
      <c r="K3899" s="4" t="n">
        <v>0</v>
      </c>
      <c r="M3899" s="2" t="str">
        <f aca="false">IF(C3899="","",IFERROR(INDEX($S$5:$S$304,MATCH(C3899,$R$5:$R$304,0))&amp;"","?"))</f>
        <v>20</v>
      </c>
      <c r="N3899" s="2" t="n">
        <f aca="false">IF(E3899="","",IF(ISNUMBER(SEARCH("SUBSOLO",E3899)),IFERROR(-VALUE(LEFT(E3899,FIND("º",SUBSTITUTE(E3899,"°","º"))-1)),-1),IF(LEFT(E3899,6)="TÉRREO",0,IFERROR(VALUE(LEFT(E3899,FIND("º",SUBSTITUTE(E3899,"°","º"))-1)),""))))</f>
        <v>3</v>
      </c>
      <c r="O3899" s="2" t="str">
        <f aca="false">IF(OR(F3899="",G3899=""),"",IF(G3899&lt;='RETRATO 2027'!$K$5,"CONCLUÍDA",IF(F3899&lt;='RETRATO 2027'!$K$5,"EM ANDAMENTO","A INICIAR")))</f>
        <v>A INICIAR</v>
      </c>
    </row>
    <row r="3900" customFormat="false" ht="15" hidden="false" customHeight="false" outlineLevel="0" collapsed="false">
      <c r="B3900" s="4" t="n">
        <v>26743199</v>
      </c>
      <c r="C3900" s="4" t="s">
        <v>2980</v>
      </c>
      <c r="D3900" s="4" t="s">
        <v>433</v>
      </c>
      <c r="E3900" s="4" t="s">
        <v>3771</v>
      </c>
      <c r="F3900" s="127" t="n">
        <v>46976</v>
      </c>
      <c r="G3900" s="127" t="n">
        <v>46988</v>
      </c>
      <c r="H3900" s="127" t="n">
        <v>46293</v>
      </c>
      <c r="I3900" s="4" t="n">
        <v>0</v>
      </c>
      <c r="J3900" s="4" t="n">
        <v>0</v>
      </c>
      <c r="K3900" s="4" t="n">
        <v>0</v>
      </c>
      <c r="M3900" s="2" t="str">
        <f aca="false">IF(C3900="","",IFERROR(INDEX($S$5:$S$304,MATCH(C3900,$R$5:$R$304,0))&amp;"","?"))</f>
        <v>35</v>
      </c>
      <c r="N3900" s="2" t="n">
        <f aca="false">IF(E3900="","",IF(ISNUMBER(SEARCH("SUBSOLO",E3900)),IFERROR(-VALUE(LEFT(E3900,FIND("º",SUBSTITUTE(E3900,"°","º"))-1)),-1),IF(LEFT(E3900,6)="TÉRREO",0,IFERROR(VALUE(LEFT(E3900,FIND("º",SUBSTITUTE(E3900,"°","º"))-1)),""))))</f>
        <v>16</v>
      </c>
      <c r="O3900" s="2" t="str">
        <f aca="false">IF(OR(F3900="",G3900=""),"",IF(G3900&lt;='RETRATO 2027'!$K$5,"CONCLUÍDA",IF(F3900&lt;='RETRATO 2027'!$K$5,"EM ANDAMENTO","A INICIAR")))</f>
        <v>A INICIAR</v>
      </c>
    </row>
    <row r="3901" customFormat="false" ht="15" hidden="false" customHeight="false" outlineLevel="0" collapsed="false">
      <c r="B3901" s="4" t="n">
        <v>30432936</v>
      </c>
      <c r="C3901" s="4" t="s">
        <v>3128</v>
      </c>
      <c r="D3901" s="4" t="s">
        <v>433</v>
      </c>
      <c r="E3901" s="4" t="s">
        <v>3834</v>
      </c>
      <c r="F3901" s="127" t="n">
        <v>46979</v>
      </c>
      <c r="G3901" s="127" t="n">
        <v>47036</v>
      </c>
      <c r="H3901" s="127" t="n">
        <v>46293</v>
      </c>
      <c r="I3901" s="4" t="n">
        <v>0</v>
      </c>
      <c r="J3901" s="4" t="n">
        <v>0</v>
      </c>
      <c r="K3901" s="4" t="n">
        <v>0</v>
      </c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>A INICIAR</v>
      </c>
    </row>
    <row r="3902" customFormat="false" ht="15" hidden="false" customHeight="false" outlineLevel="0" collapsed="false">
      <c r="B3902" s="4" t="n">
        <v>26745004</v>
      </c>
      <c r="C3902" s="4" t="s">
        <v>189</v>
      </c>
      <c r="D3902" s="4" t="s">
        <v>433</v>
      </c>
      <c r="E3902" s="4" t="s">
        <v>3816</v>
      </c>
      <c r="F3902" s="127" t="n">
        <v>46979</v>
      </c>
      <c r="G3902" s="127" t="n">
        <v>46988</v>
      </c>
      <c r="H3902" s="127" t="n">
        <v>46293</v>
      </c>
      <c r="I3902" s="4" t="n">
        <v>0</v>
      </c>
      <c r="J3902" s="4" t="n">
        <v>0</v>
      </c>
      <c r="K3902" s="4" t="n">
        <v>0</v>
      </c>
      <c r="M3902" s="2" t="str">
        <f aca="false">IF(C3902="","",IFERROR(INDEX($S$5:$S$304,MATCH(C3902,$R$5:$R$304,0))&amp;"","?"))</f>
        <v>27</v>
      </c>
      <c r="N3902" s="2" t="n">
        <f aca="false">IF(E3902="","",IF(ISNUMBER(SEARCH("SUBSOLO",E3902)),IFERROR(-VALUE(LEFT(E3902,FIND("º",SUBSTITUTE(E3902,"°","º"))-1)),-1),IF(LEFT(E3902,6)="TÉRREO",0,IFERROR(VALUE(LEFT(E3902,FIND("º",SUBSTITUTE(E3902,"°","º"))-1)),""))))</f>
        <v>-6</v>
      </c>
      <c r="O3902" s="2" t="str">
        <f aca="false">IF(OR(F3902="",G3902=""),"",IF(G3902&lt;='RETRATO 2027'!$K$5,"CONCLUÍDA",IF(F3902&lt;='RETRATO 2027'!$K$5,"EM ANDAMENTO","A INICIAR")))</f>
        <v>A INICIAR</v>
      </c>
    </row>
    <row r="3903" customFormat="false" ht="15" hidden="false" customHeight="false" outlineLevel="0" collapsed="false">
      <c r="B3903" s="4" t="n">
        <v>26744485</v>
      </c>
      <c r="C3903" s="4" t="s">
        <v>3043</v>
      </c>
      <c r="D3903" s="4" t="s">
        <v>433</v>
      </c>
      <c r="E3903" s="4" t="s">
        <v>3804</v>
      </c>
      <c r="F3903" s="127" t="n">
        <v>46981</v>
      </c>
      <c r="G3903" s="127" t="n">
        <v>47011</v>
      </c>
      <c r="H3903" s="127" t="n">
        <v>46293</v>
      </c>
      <c r="I3903" s="4" t="n">
        <v>0</v>
      </c>
      <c r="J3903" s="4" t="n">
        <v>0</v>
      </c>
      <c r="K3903" s="4" t="n">
        <v>0</v>
      </c>
      <c r="M3903" s="2" t="str">
        <f aca="false">IF(C3903="","",IFERROR(INDEX($S$5:$S$304,MATCH(C3903,$R$5:$R$304,0))&amp;"","?"))</f>
        <v>30</v>
      </c>
      <c r="N3903" s="2" t="n">
        <f aca="false">IF(E3903="","",IF(ISNUMBER(SEARCH("SUBSOLO",E3903)),IFERROR(-VALUE(LEFT(E3903,FIND("º",SUBSTITUTE(E3903,"°","º"))-1)),-1),IF(LEFT(E3903,6)="TÉRREO",0,IFERROR(VALUE(LEFT(E3903,FIND("º",SUBSTITUTE(E3903,"°","º"))-1)),""))))</f>
        <v>3</v>
      </c>
      <c r="O3903" s="2" t="str">
        <f aca="false">IF(OR(F3903="",G3903=""),"",IF(G3903&lt;='RETRATO 2027'!$K$5,"CONCLUÍDA",IF(F3903&lt;='RETRATO 2027'!$K$5,"EM ANDAMENTO","A INICIAR")))</f>
        <v>A INICIAR</v>
      </c>
    </row>
    <row r="3904" customFormat="false" ht="15" hidden="false" customHeight="false" outlineLevel="0" collapsed="false">
      <c r="B3904" s="4" t="n">
        <v>26744472</v>
      </c>
      <c r="C3904" s="4" t="s">
        <v>3055</v>
      </c>
      <c r="D3904" s="4" t="s">
        <v>433</v>
      </c>
      <c r="E3904" s="4" t="s">
        <v>3796</v>
      </c>
      <c r="F3904" s="127" t="n">
        <v>46981</v>
      </c>
      <c r="G3904" s="127" t="n">
        <v>46994</v>
      </c>
      <c r="H3904" s="127" t="n">
        <v>46293</v>
      </c>
      <c r="I3904" s="4" t="n">
        <v>0</v>
      </c>
      <c r="J3904" s="4" t="n">
        <v>0</v>
      </c>
      <c r="K3904" s="4" t="n">
        <v>0</v>
      </c>
      <c r="M3904" s="2" t="str">
        <f aca="false">IF(C3904="","",IFERROR(INDEX($S$5:$S$304,MATCH(C3904,$R$5:$R$304,0))&amp;"","?"))</f>
        <v>25</v>
      </c>
      <c r="N3904" s="2" t="n">
        <f aca="false">IF(E3904="","",IF(ISNUMBER(SEARCH("SUBSOLO",E3904)),IFERROR(-VALUE(LEFT(E3904,FIND("º",SUBSTITUTE(E3904,"°","º"))-1)),-1),IF(LEFT(E3904,6)="TÉRREO",0,IFERROR(VALUE(LEFT(E3904,FIND("º",SUBSTITUTE(E3904,"°","º"))-1)),""))))</f>
        <v>3</v>
      </c>
      <c r="O3904" s="2" t="str">
        <f aca="false">IF(OR(F3904="",G3904=""),"",IF(G3904&lt;='RETRATO 2027'!$K$5,"CONCLUÍDA",IF(F3904&lt;='RETRATO 2027'!$K$5,"EM ANDAMENTO","A INICIAR")))</f>
        <v>A INICIAR</v>
      </c>
    </row>
    <row r="3905" customFormat="false" ht="15" hidden="false" customHeight="false" outlineLevel="0" collapsed="false">
      <c r="B3905" s="4" t="n">
        <v>26744487</v>
      </c>
      <c r="C3905" s="4" t="s">
        <v>77</v>
      </c>
      <c r="D3905" s="4" t="s">
        <v>433</v>
      </c>
      <c r="E3905" s="4" t="s">
        <v>3804</v>
      </c>
      <c r="F3905" s="127" t="n">
        <v>46982</v>
      </c>
      <c r="G3905" s="127" t="n">
        <v>47014</v>
      </c>
      <c r="H3905" s="127" t="n">
        <v>46293</v>
      </c>
      <c r="I3905" s="4" t="n">
        <v>0</v>
      </c>
      <c r="J3905" s="4" t="n">
        <v>0</v>
      </c>
      <c r="K3905" s="4" t="n">
        <v>0</v>
      </c>
      <c r="M3905" s="2" t="str">
        <f aca="false">IF(C3905="","",IFERROR(INDEX($S$5:$S$304,MATCH(C3905,$R$5:$R$304,0))&amp;"","?"))</f>
        <v>20</v>
      </c>
      <c r="N3905" s="2" t="n">
        <f aca="false">IF(E3905="","",IF(ISNUMBER(SEARCH("SUBSOLO",E3905)),IFERROR(-VALUE(LEFT(E3905,FIND("º",SUBSTITUTE(E3905,"°","º"))-1)),-1),IF(LEFT(E3905,6)="TÉRREO",0,IFERROR(VALUE(LEFT(E3905,FIND("º",SUBSTITUTE(E3905,"°","º"))-1)),""))))</f>
        <v>3</v>
      </c>
      <c r="O3905" s="2" t="str">
        <f aca="false">IF(OR(F3905="",G3905=""),"",IF(G3905&lt;='RETRATO 2027'!$K$5,"CONCLUÍDA",IF(F3905&lt;='RETRATO 2027'!$K$5,"EM ANDAMENTO","A INICIAR")))</f>
        <v>A INICIAR</v>
      </c>
    </row>
    <row r="3906" customFormat="false" ht="15" hidden="false" customHeight="false" outlineLevel="0" collapsed="false">
      <c r="B3906" s="4" t="n">
        <v>26708164</v>
      </c>
      <c r="C3906" s="4" t="s">
        <v>3021</v>
      </c>
      <c r="D3906" s="4" t="s">
        <v>433</v>
      </c>
      <c r="E3906" s="4" t="s">
        <v>3628</v>
      </c>
      <c r="F3906" s="127" t="n">
        <v>46986</v>
      </c>
      <c r="G3906" s="127" t="n">
        <v>46995</v>
      </c>
      <c r="H3906" s="127" t="n">
        <v>46293</v>
      </c>
      <c r="I3906" s="4" t="n">
        <v>0</v>
      </c>
      <c r="J3906" s="4" t="n">
        <v>0</v>
      </c>
      <c r="K3906" s="4" t="n">
        <v>0</v>
      </c>
      <c r="M3906" s="2" t="str">
        <f aca="false">IF(C3906="","",IFERROR(INDEX($S$5:$S$304,MATCH(C3906,$R$5:$R$304,0))&amp;"","?"))</f>
        <v>35</v>
      </c>
      <c r="N3906" s="2" t="n">
        <f aca="false">IF(E3906="","",IF(ISNUMBER(SEARCH("SUBSOLO",E3906)),IFERROR(-VALUE(LEFT(E3906,FIND("º",SUBSTITUTE(E3906,"°","º"))-1)),-1),IF(LEFT(E3906,6)="TÉRREO",0,IFERROR(VALUE(LEFT(E3906,FIND("º",SUBSTITUTE(E3906,"°","º"))-1)),""))))</f>
        <v>-6</v>
      </c>
      <c r="O3906" s="2" t="str">
        <f aca="false">IF(OR(F3906="",G3906=""),"",IF(G3906&lt;='RETRATO 2027'!$K$5,"CONCLUÍDA",IF(F3906&lt;='RETRATO 2027'!$K$5,"EM ANDAMENTO","A INICIAR")))</f>
        <v>A INICIAR</v>
      </c>
    </row>
    <row r="3907" customFormat="false" ht="15" hidden="false" customHeight="false" outlineLevel="0" collapsed="false">
      <c r="B3907" s="4" t="n">
        <v>26708134</v>
      </c>
      <c r="C3907" s="4" t="s">
        <v>3006</v>
      </c>
      <c r="D3907" s="4" t="s">
        <v>433</v>
      </c>
      <c r="E3907" s="4" t="s">
        <v>3813</v>
      </c>
      <c r="F3907" s="127" t="n">
        <v>46986</v>
      </c>
      <c r="G3907" s="127" t="n">
        <v>46990</v>
      </c>
      <c r="H3907" s="127" t="n">
        <v>46293</v>
      </c>
      <c r="I3907" s="4" t="n">
        <v>0</v>
      </c>
      <c r="J3907" s="4" t="n">
        <v>0</v>
      </c>
      <c r="K3907" s="4" t="n">
        <v>0</v>
      </c>
      <c r="M3907" s="2" t="str">
        <f aca="false">IF(C3907="","",IFERROR(INDEX($S$5:$S$304,MATCH(C3907,$R$5:$R$304,0))&amp;"","?"))</f>
        <v>37</v>
      </c>
      <c r="N3907" s="2" t="n">
        <f aca="false">IF(E3907="","",IF(ISNUMBER(SEARCH("SUBSOLO",E3907)),IFERROR(-VALUE(LEFT(E3907,FIND("º",SUBSTITUTE(E3907,"°","º"))-1)),-1),IF(LEFT(E3907,6)="TÉRREO",0,IFERROR(VALUE(LEFT(E3907,FIND("º",SUBSTITUTE(E3907,"°","º"))-1)),""))))</f>
        <v>-6</v>
      </c>
      <c r="O3907" s="2" t="str">
        <f aca="false">IF(OR(F3907="",G3907=""),"",IF(G3907&lt;='RETRATO 2027'!$K$5,"CONCLUÍDA",IF(F3907&lt;='RETRATO 2027'!$K$5,"EM ANDAMENTO","A INICIAR")))</f>
        <v>A INICIAR</v>
      </c>
    </row>
    <row r="3908" customFormat="false" ht="15" hidden="false" customHeight="false" outlineLevel="0" collapsed="false">
      <c r="B3908" s="4" t="n">
        <v>26750584</v>
      </c>
      <c r="C3908" s="4" t="s">
        <v>3021</v>
      </c>
      <c r="D3908" s="4" t="s">
        <v>433</v>
      </c>
      <c r="E3908" s="4" t="s">
        <v>3814</v>
      </c>
      <c r="F3908" s="127" t="n">
        <v>46986</v>
      </c>
      <c r="G3908" s="127" t="n">
        <v>46995</v>
      </c>
      <c r="H3908" s="127" t="n">
        <v>46293</v>
      </c>
      <c r="I3908" s="4" t="n">
        <v>0</v>
      </c>
      <c r="J3908" s="4" t="n">
        <v>0</v>
      </c>
      <c r="K3908" s="4" t="n">
        <v>0</v>
      </c>
      <c r="M3908" s="2" t="str">
        <f aca="false">IF(C3908="","",IFERROR(INDEX($S$5:$S$304,MATCH(C3908,$R$5:$R$304,0))&amp;"","?"))</f>
        <v>35</v>
      </c>
      <c r="N3908" s="2" t="n">
        <f aca="false">IF(E3908="","",IF(ISNUMBER(SEARCH("SUBSOLO",E3908)),IFERROR(-VALUE(LEFT(E3908,FIND("º",SUBSTITUTE(E3908,"°","º"))-1)),-1),IF(LEFT(E3908,6)="TÉRREO",0,IFERROR(VALUE(LEFT(E3908,FIND("º",SUBSTITUTE(E3908,"°","º"))-1)),""))))</f>
        <v>-6</v>
      </c>
      <c r="O3908" s="2" t="str">
        <f aca="false">IF(OR(F3908="",G3908=""),"",IF(G3908&lt;='RETRATO 2027'!$K$5,"CONCLUÍDA",IF(F3908&lt;='RETRATO 2027'!$K$5,"EM ANDAMENTO","A INICIAR")))</f>
        <v>A INICIAR</v>
      </c>
    </row>
    <row r="3909" customFormat="false" ht="15" hidden="false" customHeight="false" outlineLevel="0" collapsed="false">
      <c r="B3909" s="4" t="n">
        <v>30433013</v>
      </c>
      <c r="C3909" s="4" t="s">
        <v>3096</v>
      </c>
      <c r="D3909" s="4" t="s">
        <v>433</v>
      </c>
      <c r="E3909" s="4" t="s">
        <v>3776</v>
      </c>
      <c r="F3909" s="127" t="n">
        <v>46986</v>
      </c>
      <c r="G3909" s="127" t="n">
        <v>46994</v>
      </c>
      <c r="H3909" s="127" t="n">
        <v>46293</v>
      </c>
      <c r="I3909" s="4" t="n">
        <v>0</v>
      </c>
      <c r="J3909" s="4" t="n">
        <v>0</v>
      </c>
      <c r="K3909" s="4" t="n">
        <v>0</v>
      </c>
      <c r="M3909" s="2" t="str">
        <f aca="false">IF(C3909="","",IFERROR(INDEX($S$5:$S$304,MATCH(C3909,$R$5:$R$304,0))&amp;"","?"))</f>
        <v/>
      </c>
      <c r="N3909" s="2" t="n">
        <f aca="false">IF(E3909="","",IF(ISNUMBER(SEARCH("SUBSOLO",E3909)),IFERROR(-VALUE(LEFT(E3909,FIND("º",SUBSTITUTE(E3909,"°","º"))-1)),-1),IF(LEFT(E3909,6)="TÉRREO",0,IFERROR(VALUE(LEFT(E3909,FIND("º",SUBSTITUTE(E3909,"°","º"))-1)),""))))</f>
        <v>18</v>
      </c>
      <c r="O3909" s="2" t="str">
        <f aca="false">IF(OR(F3909="",G3909=""),"",IF(G3909&lt;='RETRATO 2027'!$K$5,"CONCLUÍDA",IF(F3909&lt;='RETRATO 2027'!$K$5,"EM ANDAMENTO","A INICIAR")))</f>
        <v>A INICIAR</v>
      </c>
    </row>
    <row r="3910" customFormat="false" ht="15" hidden="false" customHeight="false" outlineLevel="0" collapsed="false">
      <c r="B3910" s="4" t="n">
        <v>26743078</v>
      </c>
      <c r="C3910" s="4" t="s">
        <v>3029</v>
      </c>
      <c r="D3910" s="4" t="s">
        <v>433</v>
      </c>
      <c r="E3910" s="4" t="s">
        <v>3779</v>
      </c>
      <c r="F3910" s="127" t="n">
        <v>46986</v>
      </c>
      <c r="G3910" s="127" t="n">
        <v>46994</v>
      </c>
      <c r="H3910" s="127" t="n">
        <v>46293</v>
      </c>
      <c r="I3910" s="4" t="n">
        <v>0</v>
      </c>
      <c r="J3910" s="4" t="n">
        <v>0</v>
      </c>
      <c r="K3910" s="4" t="n">
        <v>0</v>
      </c>
      <c r="M3910" s="2" t="str">
        <f aca="false">IF(C3910="","",IFERROR(INDEX($S$5:$S$304,MATCH(C3910,$R$5:$R$304,0))&amp;"","?"))</f>
        <v/>
      </c>
      <c r="N3910" s="2" t="n">
        <f aca="false">IF(E3910="","",IF(ISNUMBER(SEARCH("SUBSOLO",E3910)),IFERROR(-VALUE(LEFT(E3910,FIND("º",SUBSTITUTE(E3910,"°","º"))-1)),-1),IF(LEFT(E3910,6)="TÉRREO",0,IFERROR(VALUE(LEFT(E3910,FIND("º",SUBSTITUTE(E3910,"°","º"))-1)),""))))</f>
        <v>19</v>
      </c>
      <c r="O3910" s="2" t="str">
        <f aca="false">IF(OR(F3910="",G3910=""),"",IF(G3910&lt;='RETRATO 2027'!$K$5,"CONCLUÍDA",IF(F3910&lt;='RETRATO 2027'!$K$5,"EM ANDAMENTO","A INICIAR")))</f>
        <v>A INICIAR</v>
      </c>
    </row>
    <row r="3911" customFormat="false" ht="15" hidden="false" customHeight="false" outlineLevel="0" collapsed="false">
      <c r="B3911" s="4" t="n">
        <v>26743039</v>
      </c>
      <c r="C3911" s="4" t="s">
        <v>2971</v>
      </c>
      <c r="D3911" s="4" t="s">
        <v>433</v>
      </c>
      <c r="E3911" s="4" t="s">
        <v>3781</v>
      </c>
      <c r="F3911" s="127" t="n">
        <v>46986</v>
      </c>
      <c r="G3911" s="127" t="n">
        <v>46994</v>
      </c>
      <c r="H3911" s="127" t="n">
        <v>46293</v>
      </c>
      <c r="I3911" s="4" t="n">
        <v>0</v>
      </c>
      <c r="J3911" s="4" t="n">
        <v>0</v>
      </c>
      <c r="K3911" s="4" t="n">
        <v>0</v>
      </c>
      <c r="M3911" s="2" t="str">
        <f aca="false">IF(C3911="","",IFERROR(INDEX($S$5:$S$304,MATCH(C3911,$R$5:$R$304,0))&amp;"","?"))</f>
        <v>37</v>
      </c>
      <c r="N3911" s="2" t="n">
        <f aca="false">IF(E3911="","",IF(ISNUMBER(SEARCH("SUBSOLO",E3911)),IFERROR(-VALUE(LEFT(E3911,FIND("º",SUBSTITUTE(E3911,"°","º"))-1)),-1),IF(LEFT(E3911,6)="TÉRREO",0,IFERROR(VALUE(LEFT(E3911,FIND("º",SUBSTITUTE(E3911,"°","º"))-1)),""))))</f>
        <v>20</v>
      </c>
      <c r="O3911" s="2" t="str">
        <f aca="false">IF(OR(F3911="",G3911=""),"",IF(G3911&lt;='RETRATO 2027'!$K$5,"CONCLUÍDA",IF(F3911&lt;='RETRATO 2027'!$K$5,"EM ANDAMENTO","A INICIAR")))</f>
        <v>A INICIAR</v>
      </c>
    </row>
    <row r="3912" customFormat="false" ht="15" hidden="false" customHeight="false" outlineLevel="0" collapsed="false">
      <c r="B3912" s="4" t="n">
        <v>26743001</v>
      </c>
      <c r="C3912" s="4" t="s">
        <v>3032</v>
      </c>
      <c r="D3912" s="4" t="s">
        <v>433</v>
      </c>
      <c r="E3912" s="4" t="s">
        <v>3783</v>
      </c>
      <c r="F3912" s="127" t="n">
        <v>46986</v>
      </c>
      <c r="G3912" s="127" t="n">
        <v>46994</v>
      </c>
      <c r="H3912" s="127" t="n">
        <v>46293</v>
      </c>
      <c r="I3912" s="4" t="n">
        <v>0</v>
      </c>
      <c r="J3912" s="4" t="n">
        <v>0</v>
      </c>
      <c r="K3912" s="4" t="n">
        <v>0</v>
      </c>
      <c r="M3912" s="2" t="str">
        <f aca="false">IF(C3912="","",IFERROR(INDEX($S$5:$S$304,MATCH(C3912,$R$5:$R$304,0))&amp;"","?"))</f>
        <v>35</v>
      </c>
      <c r="N3912" s="2" t="n">
        <f aca="false">IF(E3912="","",IF(ISNUMBER(SEARCH("SUBSOLO",E3912)),IFERROR(-VALUE(LEFT(E3912,FIND("º",SUBSTITUTE(E3912,"°","º"))-1)),-1),IF(LEFT(E3912,6)="TÉRREO",0,IFERROR(VALUE(LEFT(E3912,FIND("º",SUBSTITUTE(E3912,"°","º"))-1)),""))))</f>
        <v>21</v>
      </c>
      <c r="O3912" s="2" t="str">
        <f aca="false">IF(OR(F3912="",G3912=""),"",IF(G3912&lt;='RETRATO 2027'!$K$5,"CONCLUÍDA",IF(F3912&lt;='RETRATO 2027'!$K$5,"EM ANDAMENTO","A INICIAR")))</f>
        <v>A INICIAR</v>
      </c>
    </row>
    <row r="3913" customFormat="false" ht="15" hidden="false" customHeight="false" outlineLevel="0" collapsed="false">
      <c r="B3913" s="4" t="n">
        <v>26742958</v>
      </c>
      <c r="C3913" s="4" t="s">
        <v>3093</v>
      </c>
      <c r="D3913" s="4" t="s">
        <v>433</v>
      </c>
      <c r="E3913" s="4" t="s">
        <v>3786</v>
      </c>
      <c r="F3913" s="127" t="n">
        <v>46986</v>
      </c>
      <c r="G3913" s="127" t="n">
        <v>46994</v>
      </c>
      <c r="H3913" s="127" t="n">
        <v>46293</v>
      </c>
      <c r="I3913" s="4" t="n">
        <v>0</v>
      </c>
      <c r="J3913" s="4" t="n">
        <v>0</v>
      </c>
      <c r="K3913" s="4" t="n">
        <v>0</v>
      </c>
      <c r="M3913" s="2" t="str">
        <f aca="false">IF(C3913="","",IFERROR(INDEX($S$5:$S$304,MATCH(C3913,$R$5:$R$304,0))&amp;"","?"))</f>
        <v>34</v>
      </c>
      <c r="N3913" s="2" t="n">
        <f aca="false">IF(E3913="","",IF(ISNUMBER(SEARCH("SUBSOLO",E3913)),IFERROR(-VALUE(LEFT(E3913,FIND("º",SUBSTITUTE(E3913,"°","º"))-1)),-1),IF(LEFT(E3913,6)="TÉRREO",0,IFERROR(VALUE(LEFT(E3913,FIND("º",SUBSTITUTE(E3913,"°","º"))-1)),""))))</f>
        <v>22</v>
      </c>
      <c r="O3913" s="2" t="str">
        <f aca="false">IF(OR(F3913="",G3913=""),"",IF(G3913&lt;='RETRATO 2027'!$K$5,"CONCLUÍDA",IF(F3913&lt;='RETRATO 2027'!$K$5,"EM ANDAMENTO","A INICIAR")))</f>
        <v>A INICIAR</v>
      </c>
    </row>
    <row r="3914" customFormat="false" ht="15" hidden="false" customHeight="false" outlineLevel="0" collapsed="false">
      <c r="B3914" s="4" t="n">
        <v>26742980</v>
      </c>
      <c r="C3914" s="4" t="s">
        <v>2965</v>
      </c>
      <c r="D3914" s="4" t="s">
        <v>433</v>
      </c>
      <c r="E3914" s="4" t="s">
        <v>3786</v>
      </c>
      <c r="F3914" s="127" t="n">
        <v>46986</v>
      </c>
      <c r="G3914" s="127" t="n">
        <v>46994</v>
      </c>
      <c r="H3914" s="127" t="n">
        <v>46293</v>
      </c>
      <c r="I3914" s="4" t="n">
        <v>0</v>
      </c>
      <c r="J3914" s="4" t="n">
        <v>0</v>
      </c>
      <c r="K3914" s="4" t="n">
        <v>0</v>
      </c>
      <c r="M3914" s="2" t="str">
        <f aca="false">IF(C3914="","",IFERROR(INDEX($S$5:$S$304,MATCH(C3914,$R$5:$R$304,0))&amp;"","?"))</f>
        <v>20</v>
      </c>
      <c r="N3914" s="2" t="n">
        <f aca="false">IF(E3914="","",IF(ISNUMBER(SEARCH("SUBSOLO",E3914)),IFERROR(-VALUE(LEFT(E3914,FIND("º",SUBSTITUTE(E3914,"°","º"))-1)),-1),IF(LEFT(E3914,6)="TÉRREO",0,IFERROR(VALUE(LEFT(E3914,FIND("º",SUBSTITUTE(E3914,"°","º"))-1)),""))))</f>
        <v>22</v>
      </c>
      <c r="O3914" s="2" t="str">
        <f aca="false">IF(OR(F3914="",G3914=""),"",IF(G3914&lt;='RETRATO 2027'!$K$5,"CONCLUÍDA",IF(F3914&lt;='RETRATO 2027'!$K$5,"EM ANDAMENTO","A INICIAR")))</f>
        <v>A INICIAR</v>
      </c>
    </row>
    <row r="3915" customFormat="false" ht="15" hidden="false" customHeight="false" outlineLevel="0" collapsed="false">
      <c r="B3915" s="4" t="n">
        <v>26742920</v>
      </c>
      <c r="C3915" s="4" t="s">
        <v>3021</v>
      </c>
      <c r="D3915" s="4" t="s">
        <v>433</v>
      </c>
      <c r="E3915" s="4" t="s">
        <v>3787</v>
      </c>
      <c r="F3915" s="127" t="n">
        <v>46986</v>
      </c>
      <c r="G3915" s="127" t="n">
        <v>46994</v>
      </c>
      <c r="H3915" s="127" t="n">
        <v>46293</v>
      </c>
      <c r="I3915" s="4" t="n">
        <v>0</v>
      </c>
      <c r="J3915" s="4" t="n">
        <v>0</v>
      </c>
      <c r="K3915" s="4" t="n">
        <v>0</v>
      </c>
      <c r="M3915" s="2" t="str">
        <f aca="false">IF(C3915="","",IFERROR(INDEX($S$5:$S$304,MATCH(C3915,$R$5:$R$304,0))&amp;"","?"))</f>
        <v>35</v>
      </c>
      <c r="N3915" s="2" t="n">
        <f aca="false">IF(E3915="","",IF(ISNUMBER(SEARCH("SUBSOLO",E3915)),IFERROR(-VALUE(LEFT(E3915,FIND("º",SUBSTITUTE(E3915,"°","º"))-1)),-1),IF(LEFT(E3915,6)="TÉRREO",0,IFERROR(VALUE(LEFT(E3915,FIND("º",SUBSTITUTE(E3915,"°","º"))-1)),""))))</f>
        <v>23</v>
      </c>
      <c r="O3915" s="2" t="str">
        <f aca="false">IF(OR(F3915="",G3915=""),"",IF(G3915&lt;='RETRATO 2027'!$K$5,"CONCLUÍDA",IF(F3915&lt;='RETRATO 2027'!$K$5,"EM ANDAMENTO","A INICIAR")))</f>
        <v>A INICIAR</v>
      </c>
    </row>
    <row r="3916" customFormat="false" ht="15" hidden="false" customHeight="false" outlineLevel="0" collapsed="false">
      <c r="B3916" s="4" t="n">
        <v>26742885</v>
      </c>
      <c r="C3916" s="4" t="s">
        <v>3006</v>
      </c>
      <c r="D3916" s="4" t="s">
        <v>433</v>
      </c>
      <c r="E3916" s="4" t="s">
        <v>3788</v>
      </c>
      <c r="F3916" s="127" t="n">
        <v>46986</v>
      </c>
      <c r="G3916" s="127" t="n">
        <v>46994</v>
      </c>
      <c r="H3916" s="127" t="n">
        <v>46293</v>
      </c>
      <c r="I3916" s="4" t="n">
        <v>0</v>
      </c>
      <c r="J3916" s="4" t="n">
        <v>0</v>
      </c>
      <c r="K3916" s="4" t="n">
        <v>0</v>
      </c>
      <c r="M3916" s="2" t="str">
        <f aca="false">IF(C3916="","",IFERROR(INDEX($S$5:$S$304,MATCH(C3916,$R$5:$R$304,0))&amp;"","?"))</f>
        <v>37</v>
      </c>
      <c r="N3916" s="2" t="n">
        <f aca="false">IF(E3916="","",IF(ISNUMBER(SEARCH("SUBSOLO",E3916)),IFERROR(-VALUE(LEFT(E3916,FIND("º",SUBSTITUTE(E3916,"°","º"))-1)),-1),IF(LEFT(E3916,6)="TÉRREO",0,IFERROR(VALUE(LEFT(E3916,FIND("º",SUBSTITUTE(E3916,"°","º"))-1)),""))))</f>
        <v>24</v>
      </c>
      <c r="O3916" s="2" t="str">
        <f aca="false">IF(OR(F3916="",G3916=""),"",IF(G3916&lt;='RETRATO 2027'!$K$5,"CONCLUÍDA",IF(F3916&lt;='RETRATO 2027'!$K$5,"EM ANDAMENTO","A INICIAR")))</f>
        <v>A INICIAR</v>
      </c>
    </row>
    <row r="3917" customFormat="false" ht="15" hidden="false" customHeight="false" outlineLevel="0" collapsed="false">
      <c r="B3917" s="4" t="n">
        <v>26742850</v>
      </c>
      <c r="C3917" s="4" t="s">
        <v>2962</v>
      </c>
      <c r="D3917" s="4" t="s">
        <v>433</v>
      </c>
      <c r="E3917" s="4" t="s">
        <v>3794</v>
      </c>
      <c r="F3917" s="127" t="n">
        <v>46986</v>
      </c>
      <c r="G3917" s="127" t="n">
        <v>46994</v>
      </c>
      <c r="H3917" s="127" t="n">
        <v>46293</v>
      </c>
      <c r="I3917" s="4" t="n">
        <v>0</v>
      </c>
      <c r="J3917" s="4" t="n">
        <v>0</v>
      </c>
      <c r="K3917" s="4" t="n">
        <v>0</v>
      </c>
      <c r="M3917" s="2" t="str">
        <f aca="false">IF(C3917="","",IFERROR(INDEX($S$5:$S$304,MATCH(C3917,$R$5:$R$304,0))&amp;"","?"))</f>
        <v>34</v>
      </c>
      <c r="N3917" s="2" t="n">
        <f aca="false">IF(E3917="","",IF(ISNUMBER(SEARCH("SUBSOLO",E3917)),IFERROR(-VALUE(LEFT(E3917,FIND("º",SUBSTITUTE(E3917,"°","º"))-1)),-1),IF(LEFT(E3917,6)="TÉRREO",0,IFERROR(VALUE(LEFT(E3917,FIND("º",SUBSTITUTE(E3917,"°","º"))-1)),""))))</f>
        <v>25</v>
      </c>
      <c r="O3917" s="2" t="str">
        <f aca="false">IF(OR(F3917="",G3917=""),"",IF(G3917&lt;='RETRATO 2027'!$K$5,"CONCLUÍDA",IF(F3917&lt;='RETRATO 2027'!$K$5,"EM ANDAMENTO","A INICIAR")))</f>
        <v>A INICIAR</v>
      </c>
    </row>
    <row r="3918" customFormat="false" ht="15" hidden="false" customHeight="false" outlineLevel="0" collapsed="false">
      <c r="B3918" s="4" t="n">
        <v>26742855</v>
      </c>
      <c r="C3918" s="4" t="s">
        <v>3088</v>
      </c>
      <c r="D3918" s="4" t="s">
        <v>433</v>
      </c>
      <c r="E3918" s="4" t="s">
        <v>3794</v>
      </c>
      <c r="F3918" s="127" t="n">
        <v>46986</v>
      </c>
      <c r="G3918" s="127" t="n">
        <v>46994</v>
      </c>
      <c r="H3918" s="127" t="n">
        <v>46293</v>
      </c>
      <c r="I3918" s="4" t="n">
        <v>0</v>
      </c>
      <c r="J3918" s="4" t="n">
        <v>0</v>
      </c>
      <c r="K3918" s="4" t="n">
        <v>0</v>
      </c>
      <c r="M3918" s="2" t="str">
        <f aca="false">IF(C3918="","",IFERROR(INDEX($S$5:$S$304,MATCH(C3918,$R$5:$R$304,0))&amp;"","?"))</f>
        <v>20</v>
      </c>
      <c r="N3918" s="2" t="n">
        <f aca="false">IF(E3918="","",IF(ISNUMBER(SEARCH("SUBSOLO",E3918)),IFERROR(-VALUE(LEFT(E3918,FIND("º",SUBSTITUTE(E3918,"°","º"))-1)),-1),IF(LEFT(E3918,6)="TÉRREO",0,IFERROR(VALUE(LEFT(E3918,FIND("º",SUBSTITUTE(E3918,"°","º"))-1)),""))))</f>
        <v>25</v>
      </c>
      <c r="O3918" s="2" t="str">
        <f aca="false">IF(OR(F3918="",G3918=""),"",IF(G3918&lt;='RETRATO 2027'!$K$5,"CONCLUÍDA",IF(F3918&lt;='RETRATO 2027'!$K$5,"EM ANDAMENTO","A INICIAR")))</f>
        <v>A INICIAR</v>
      </c>
    </row>
    <row r="3919" customFormat="false" ht="15" hidden="false" customHeight="false" outlineLevel="0" collapsed="false">
      <c r="B3919" s="4" t="n">
        <v>26742874</v>
      </c>
      <c r="C3919" s="4" t="s">
        <v>3009</v>
      </c>
      <c r="D3919" s="4" t="s">
        <v>433</v>
      </c>
      <c r="E3919" s="4" t="s">
        <v>3794</v>
      </c>
      <c r="F3919" s="127" t="n">
        <v>46986</v>
      </c>
      <c r="G3919" s="127" t="n">
        <v>46994</v>
      </c>
      <c r="H3919" s="127" t="n">
        <v>46293</v>
      </c>
      <c r="I3919" s="4" t="n">
        <v>0</v>
      </c>
      <c r="J3919" s="4" t="n">
        <v>0</v>
      </c>
      <c r="K3919" s="4" t="n">
        <v>0</v>
      </c>
      <c r="M3919" s="2" t="str">
        <f aca="false">IF(C3919="","",IFERROR(INDEX($S$5:$S$304,MATCH(C3919,$R$5:$R$304,0))&amp;"","?"))</f>
        <v>23</v>
      </c>
      <c r="N3919" s="2" t="n">
        <f aca="false">IF(E3919="","",IF(ISNUMBER(SEARCH("SUBSOLO",E3919)),IFERROR(-VALUE(LEFT(E3919,FIND("º",SUBSTITUTE(E3919,"°","º"))-1)),-1),IF(LEFT(E3919,6)="TÉRREO",0,IFERROR(VALUE(LEFT(E3919,FIND("º",SUBSTITUTE(E3919,"°","º"))-1)),""))))</f>
        <v>25</v>
      </c>
      <c r="O3919" s="2" t="str">
        <f aca="false">IF(OR(F3919="",G3919=""),"",IF(G3919&lt;='RETRATO 2027'!$K$5,"CONCLUÍDA",IF(F3919&lt;='RETRATO 2027'!$K$5,"EM ANDAMENTO","A INICIAR")))</f>
        <v>A INICIAR</v>
      </c>
    </row>
    <row r="3920" customFormat="false" ht="15" hidden="false" customHeight="false" outlineLevel="0" collapsed="false">
      <c r="B3920" s="4" t="n">
        <v>26742812</v>
      </c>
      <c r="C3920" s="4" t="s">
        <v>3082</v>
      </c>
      <c r="D3920" s="4" t="s">
        <v>433</v>
      </c>
      <c r="E3920" s="4" t="s">
        <v>3797</v>
      </c>
      <c r="F3920" s="127" t="n">
        <v>46986</v>
      </c>
      <c r="G3920" s="127" t="n">
        <v>46994</v>
      </c>
      <c r="H3920" s="127" t="n">
        <v>46293</v>
      </c>
      <c r="I3920" s="4" t="n">
        <v>0</v>
      </c>
      <c r="J3920" s="4" t="n">
        <v>0</v>
      </c>
      <c r="K3920" s="4" t="n">
        <v>0</v>
      </c>
      <c r="M3920" s="2" t="str">
        <f aca="false">IF(C3920="","",IFERROR(INDEX($S$5:$S$304,MATCH(C3920,$R$5:$R$304,0))&amp;"","?"))</f>
        <v>30</v>
      </c>
      <c r="N3920" s="2" t="n">
        <f aca="false">IF(E3920="","",IF(ISNUMBER(SEARCH("SUBSOLO",E3920)),IFERROR(-VALUE(LEFT(E3920,FIND("º",SUBSTITUTE(E3920,"°","º"))-1)),-1),IF(LEFT(E3920,6)="TÉRREO",0,IFERROR(VALUE(LEFT(E3920,FIND("º",SUBSTITUTE(E3920,"°","º"))-1)),""))))</f>
        <v>26</v>
      </c>
      <c r="O3920" s="2" t="str">
        <f aca="false">IF(OR(F3920="",G3920=""),"",IF(G3920&lt;='RETRATO 2027'!$K$5,"CONCLUÍDA",IF(F3920&lt;='RETRATO 2027'!$K$5,"EM ANDAMENTO","A INICIAR")))</f>
        <v>A INICIAR</v>
      </c>
    </row>
    <row r="3921" customFormat="false" ht="15" hidden="false" customHeight="false" outlineLevel="0" collapsed="false">
      <c r="B3921" s="4" t="n">
        <v>26742805</v>
      </c>
      <c r="C3921" s="4" t="s">
        <v>3079</v>
      </c>
      <c r="D3921" s="4" t="s">
        <v>433</v>
      </c>
      <c r="E3921" s="4" t="s">
        <v>3799</v>
      </c>
      <c r="F3921" s="127" t="n">
        <v>46986</v>
      </c>
      <c r="G3921" s="127" t="n">
        <v>46994</v>
      </c>
      <c r="H3921" s="127" t="n">
        <v>46293</v>
      </c>
      <c r="I3921" s="4" t="n">
        <v>0</v>
      </c>
      <c r="J3921" s="4" t="n">
        <v>0</v>
      </c>
      <c r="K3921" s="4" t="n">
        <v>0</v>
      </c>
      <c r="M3921" s="2" t="str">
        <f aca="false">IF(C3921="","",IFERROR(INDEX($S$5:$S$304,MATCH(C3921,$R$5:$R$304,0))&amp;"","?"))</f>
        <v>25</v>
      </c>
      <c r="N3921" s="2" t="n">
        <f aca="false">IF(E3921="","",IF(ISNUMBER(SEARCH("SUBSOLO",E3921)),IFERROR(-VALUE(LEFT(E3921,FIND("º",SUBSTITUTE(E3921,"°","º"))-1)),-1),IF(LEFT(E3921,6)="TÉRREO",0,IFERROR(VALUE(LEFT(E3921,FIND("º",SUBSTITUTE(E3921,"°","º"))-1)),""))))</f>
        <v>27</v>
      </c>
      <c r="O3921" s="2" t="str">
        <f aca="false">IF(OR(F3921="",G3921=""),"",IF(G3921&lt;='RETRATO 2027'!$K$5,"CONCLUÍDA",IF(F3921&lt;='RETRATO 2027'!$K$5,"EM ANDAMENTO","A INICIAR")))</f>
        <v>A INICIAR</v>
      </c>
    </row>
    <row r="3922" customFormat="false" ht="15" hidden="false" customHeight="false" outlineLevel="0" collapsed="false">
      <c r="B3922" s="4" t="n">
        <v>26742766</v>
      </c>
      <c r="C3922" s="4" t="s">
        <v>3073</v>
      </c>
      <c r="D3922" s="4" t="s">
        <v>433</v>
      </c>
      <c r="E3922" s="4" t="s">
        <v>3802</v>
      </c>
      <c r="F3922" s="127" t="n">
        <v>46986</v>
      </c>
      <c r="G3922" s="127" t="n">
        <v>46994</v>
      </c>
      <c r="H3922" s="127" t="n">
        <v>46293</v>
      </c>
      <c r="I3922" s="4" t="n">
        <v>0</v>
      </c>
      <c r="J3922" s="4" t="n">
        <v>0</v>
      </c>
      <c r="K3922" s="4" t="n">
        <v>0</v>
      </c>
      <c r="M3922" s="2" t="str">
        <f aca="false">IF(C3922="","",IFERROR(INDEX($S$5:$S$304,MATCH(C3922,$R$5:$R$304,0))&amp;"","?"))</f>
        <v>30</v>
      </c>
      <c r="N3922" s="2" t="n">
        <f aca="false">IF(E3922="","",IF(ISNUMBER(SEARCH("SUBSOLO",E3922)),IFERROR(-VALUE(LEFT(E3922,FIND("º",SUBSTITUTE(E3922,"°","º"))-1)),-1),IF(LEFT(E3922,6)="TÉRREO",0,IFERROR(VALUE(LEFT(E3922,FIND("º",SUBSTITUTE(E3922,"°","º"))-1)),""))))</f>
        <v>28</v>
      </c>
      <c r="O3922" s="2" t="str">
        <f aca="false">IF(OR(F3922="",G3922=""),"",IF(G3922&lt;='RETRATO 2027'!$K$5,"CONCLUÍDA",IF(F3922&lt;='RETRATO 2027'!$K$5,"EM ANDAMENTO","A INICIAR")))</f>
        <v>A INICIAR</v>
      </c>
    </row>
    <row r="3923" customFormat="false" ht="15" hidden="false" customHeight="false" outlineLevel="0" collapsed="false">
      <c r="B3923" s="4" t="n">
        <v>26742728</v>
      </c>
      <c r="C3923" s="4" t="s">
        <v>3055</v>
      </c>
      <c r="D3923" s="4" t="s">
        <v>433</v>
      </c>
      <c r="E3923" s="4" t="s">
        <v>3803</v>
      </c>
      <c r="F3923" s="127" t="n">
        <v>46986</v>
      </c>
      <c r="G3923" s="127" t="n">
        <v>46994</v>
      </c>
      <c r="H3923" s="127" t="n">
        <v>46293</v>
      </c>
      <c r="I3923" s="4" t="n">
        <v>0</v>
      </c>
      <c r="J3923" s="4" t="n">
        <v>0</v>
      </c>
      <c r="K3923" s="4" t="n">
        <v>0</v>
      </c>
      <c r="M3923" s="2" t="str">
        <f aca="false">IF(C3923="","",IFERROR(INDEX($S$5:$S$304,MATCH(C3923,$R$5:$R$304,0))&amp;"","?"))</f>
        <v>25</v>
      </c>
      <c r="N3923" s="2" t="n">
        <f aca="false">IF(E3923="","",IF(ISNUMBER(SEARCH("SUBSOLO",E3923)),IFERROR(-VALUE(LEFT(E3923,FIND("º",SUBSTITUTE(E3923,"°","º"))-1)),-1),IF(LEFT(E3923,6)="TÉRREO",0,IFERROR(VALUE(LEFT(E3923,FIND("º",SUBSTITUTE(E3923,"°","º"))-1)),""))))</f>
        <v>29</v>
      </c>
      <c r="O3923" s="2" t="str">
        <f aca="false">IF(OR(F3923="",G3923=""),"",IF(G3923&lt;='RETRATO 2027'!$K$5,"CONCLUÍDA",IF(F3923&lt;='RETRATO 2027'!$K$5,"EM ANDAMENTO","A INICIAR")))</f>
        <v>A INICIAR</v>
      </c>
    </row>
    <row r="3924" customFormat="false" ht="15" hidden="false" customHeight="false" outlineLevel="0" collapsed="false">
      <c r="B3924" s="4" t="n">
        <v>26744655</v>
      </c>
      <c r="C3924" s="4" t="s">
        <v>3032</v>
      </c>
      <c r="D3924" s="4" t="s">
        <v>433</v>
      </c>
      <c r="E3924" s="4" t="s">
        <v>3774</v>
      </c>
      <c r="F3924" s="127" t="n">
        <v>46987</v>
      </c>
      <c r="G3924" s="127" t="n">
        <v>46994</v>
      </c>
      <c r="H3924" s="127" t="n">
        <v>46293</v>
      </c>
      <c r="I3924" s="4" t="n">
        <v>0</v>
      </c>
      <c r="J3924" s="4" t="n">
        <v>0</v>
      </c>
      <c r="K3924" s="4" t="n">
        <v>0</v>
      </c>
      <c r="M3924" s="2" t="str">
        <f aca="false">IF(C3924="","",IFERROR(INDEX($S$5:$S$304,MATCH(C3924,$R$5:$R$304,0))&amp;"","?"))</f>
        <v>35</v>
      </c>
      <c r="N3924" s="2" t="n">
        <f aca="false">IF(E3924="","",IF(ISNUMBER(SEARCH("SUBSOLO",E3924)),IFERROR(-VALUE(LEFT(E3924,FIND("º",SUBSTITUTE(E3924,"°","º"))-1)),-1),IF(LEFT(E3924,6)="TÉRREO",0,IFERROR(VALUE(LEFT(E3924,FIND("º",SUBSTITUTE(E3924,"°","º"))-1)),""))))</f>
        <v>3</v>
      </c>
      <c r="O3924" s="2" t="str">
        <f aca="false">IF(OR(F3924="",G3924=""),"",IF(G3924&lt;='RETRATO 2027'!$K$5,"CONCLUÍDA",IF(F3924&lt;='RETRATO 2027'!$K$5,"EM ANDAMENTO","A INICIAR")))</f>
        <v>A INICIAR</v>
      </c>
    </row>
    <row r="3925" customFormat="false" ht="15" hidden="false" customHeight="false" outlineLevel="0" collapsed="false">
      <c r="B3925" s="4" t="n">
        <v>26744904</v>
      </c>
      <c r="C3925" s="4" t="s">
        <v>214</v>
      </c>
      <c r="D3925" s="4" t="s">
        <v>433</v>
      </c>
      <c r="E3925" s="4" t="s">
        <v>3805</v>
      </c>
      <c r="F3925" s="127" t="n">
        <v>46987</v>
      </c>
      <c r="G3925" s="127" t="n">
        <v>47015</v>
      </c>
      <c r="H3925" s="127" t="n">
        <v>46293</v>
      </c>
      <c r="I3925" s="4" t="n">
        <v>0</v>
      </c>
      <c r="J3925" s="4" t="n">
        <v>0</v>
      </c>
      <c r="K3925" s="4" t="n">
        <v>0</v>
      </c>
      <c r="M3925" s="2" t="str">
        <f aca="false">IF(C3925="","",IFERROR(INDEX($S$5:$S$304,MATCH(C3925,$R$5:$R$304,0))&amp;"","?"))</f>
        <v>35</v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>A INICIAR</v>
      </c>
    </row>
    <row r="3926" customFormat="false" ht="15" hidden="false" customHeight="false" outlineLevel="0" collapsed="false">
      <c r="B3926" s="4" t="n">
        <v>26744908</v>
      </c>
      <c r="C3926" s="4" t="s">
        <v>3120</v>
      </c>
      <c r="D3926" s="4" t="s">
        <v>433</v>
      </c>
      <c r="E3926" s="4" t="s">
        <v>3805</v>
      </c>
      <c r="F3926" s="127" t="n">
        <v>46987</v>
      </c>
      <c r="G3926" s="127" t="n">
        <v>47000</v>
      </c>
      <c r="H3926" s="127" t="n">
        <v>46293</v>
      </c>
      <c r="I3926" s="4" t="n">
        <v>0</v>
      </c>
      <c r="J3926" s="4" t="n">
        <v>0</v>
      </c>
      <c r="K3926" s="4" t="n">
        <v>0</v>
      </c>
      <c r="M3926" s="2" t="str">
        <f aca="false">IF(C3926="","",IFERROR(INDEX($S$5:$S$304,MATCH(C3926,$R$5:$R$304,0))&amp;"","?"))</f>
        <v>21</v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>A INICIAR</v>
      </c>
    </row>
    <row r="3927" customFormat="false" ht="15" hidden="false" customHeight="false" outlineLevel="0" collapsed="false">
      <c r="B3927" s="4" t="n">
        <v>26254941</v>
      </c>
      <c r="C3927" s="4" t="s">
        <v>3066</v>
      </c>
      <c r="D3927" s="4" t="s">
        <v>433</v>
      </c>
      <c r="E3927" s="4" t="s">
        <v>3806</v>
      </c>
      <c r="F3927" s="127" t="n">
        <v>46987</v>
      </c>
      <c r="G3927" s="127" t="n">
        <v>47029</v>
      </c>
      <c r="H3927" s="127" t="n">
        <v>46293</v>
      </c>
      <c r="I3927" s="4" t="n">
        <v>0</v>
      </c>
      <c r="J3927" s="4" t="n">
        <v>0</v>
      </c>
      <c r="K3927" s="4" t="n">
        <v>0</v>
      </c>
      <c r="M3927" s="2" t="str">
        <f aca="false">IF(C3927="","",IFERROR(INDEX($S$5:$S$304,MATCH(C3927,$R$5:$R$304,0))&amp;"","?"))</f>
        <v>32</v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>A INICIAR</v>
      </c>
    </row>
    <row r="3928" customFormat="false" ht="15" hidden="false" customHeight="false" outlineLevel="0" collapsed="false">
      <c r="B3928" s="4" t="n">
        <v>26745005</v>
      </c>
      <c r="C3928" s="4" t="s">
        <v>3021</v>
      </c>
      <c r="D3928" s="4" t="s">
        <v>433</v>
      </c>
      <c r="E3928" s="4" t="s">
        <v>3816</v>
      </c>
      <c r="F3928" s="127" t="n">
        <v>46989</v>
      </c>
      <c r="G3928" s="127" t="n">
        <v>46997</v>
      </c>
      <c r="H3928" s="127" t="n">
        <v>46293</v>
      </c>
      <c r="I3928" s="4" t="n">
        <v>0</v>
      </c>
      <c r="J3928" s="4" t="n">
        <v>0</v>
      </c>
      <c r="K3928" s="4" t="n">
        <v>0</v>
      </c>
      <c r="M3928" s="2" t="str">
        <f aca="false">IF(C3928="","",IFERROR(INDEX($S$5:$S$304,MATCH(C3928,$R$5:$R$304,0))&amp;"","?"))</f>
        <v>35</v>
      </c>
      <c r="N3928" s="2" t="n">
        <f aca="false">IF(E3928="","",IF(ISNUMBER(SEARCH("SUBSOLO",E3928)),IFERROR(-VALUE(LEFT(E3928,FIND("º",SUBSTITUTE(E3928,"°","º"))-1)),-1),IF(LEFT(E3928,6)="TÉRREO",0,IFERROR(VALUE(LEFT(E3928,FIND("º",SUBSTITUTE(E3928,"°","º"))-1)),""))))</f>
        <v>-6</v>
      </c>
      <c r="O3928" s="2" t="str">
        <f aca="false">IF(OR(F3928="",G3928=""),"",IF(G3928&lt;='RETRATO 2027'!$K$5,"CONCLUÍDA",IF(F3928&lt;='RETRATO 2027'!$K$5,"EM ANDAMENTO","A INICIAR")))</f>
        <v>A INICIAR</v>
      </c>
    </row>
    <row r="3929" customFormat="false" ht="15" hidden="false" customHeight="false" outlineLevel="0" collapsed="false">
      <c r="B3929" s="4" t="n">
        <v>26743200</v>
      </c>
      <c r="C3929" s="4" t="s">
        <v>2997</v>
      </c>
      <c r="D3929" s="4" t="s">
        <v>433</v>
      </c>
      <c r="E3929" s="4" t="s">
        <v>3771</v>
      </c>
      <c r="F3929" s="127" t="n">
        <v>46989</v>
      </c>
      <c r="G3929" s="127" t="n">
        <v>46997</v>
      </c>
      <c r="H3929" s="127" t="n">
        <v>46293</v>
      </c>
      <c r="I3929" s="4" t="n">
        <v>0</v>
      </c>
      <c r="J3929" s="4" t="n">
        <v>0</v>
      </c>
      <c r="K3929" s="4" t="n">
        <v>0</v>
      </c>
      <c r="M3929" s="2" t="str">
        <f aca="false">IF(C3929="","",IFERROR(INDEX($S$5:$S$304,MATCH(C3929,$R$5:$R$304,0))&amp;"","?"))</f>
        <v>35</v>
      </c>
      <c r="N3929" s="2" t="n">
        <f aca="false">IF(E3929="","",IF(ISNUMBER(SEARCH("SUBSOLO",E3929)),IFERROR(-VALUE(LEFT(E3929,FIND("º",SUBSTITUTE(E3929,"°","º"))-1)),-1),IF(LEFT(E3929,6)="TÉRREO",0,IFERROR(VALUE(LEFT(E3929,FIND("º",SUBSTITUTE(E3929,"°","º"))-1)),""))))</f>
        <v>16</v>
      </c>
      <c r="O3929" s="2" t="str">
        <f aca="false">IF(OR(F3929="",G3929=""),"",IF(G3929&lt;='RETRATO 2027'!$K$5,"CONCLUÍDA",IF(F3929&lt;='RETRATO 2027'!$K$5,"EM ANDAMENTO","A INICIAR")))</f>
        <v>A INICIAR</v>
      </c>
    </row>
    <row r="3930" customFormat="false" ht="15" hidden="false" customHeight="false" outlineLevel="0" collapsed="false">
      <c r="B3930" s="4" t="n">
        <v>26744473</v>
      </c>
      <c r="C3930" s="4" t="s">
        <v>217</v>
      </c>
      <c r="D3930" s="4" t="s">
        <v>433</v>
      </c>
      <c r="E3930" s="4" t="s">
        <v>3796</v>
      </c>
      <c r="F3930" s="127" t="n">
        <v>46995</v>
      </c>
      <c r="G3930" s="127" t="n">
        <v>47009</v>
      </c>
      <c r="H3930" s="127" t="n">
        <v>46293</v>
      </c>
      <c r="I3930" s="4" t="n">
        <v>0</v>
      </c>
      <c r="J3930" s="4" t="n">
        <v>0</v>
      </c>
      <c r="K3930" s="4" t="n">
        <v>0</v>
      </c>
      <c r="M3930" s="2" t="str">
        <f aca="false">IF(C3930="","",IFERROR(INDEX($S$5:$S$304,MATCH(C3930,$R$5:$R$304,0))&amp;"","?"))</f>
        <v>36</v>
      </c>
      <c r="N3930" s="2" t="n">
        <f aca="false">IF(E3930="","",IF(ISNUMBER(SEARCH("SUBSOLO",E3930)),IFERROR(-VALUE(LEFT(E3930,FIND("º",SUBSTITUTE(E3930,"°","º"))-1)),-1),IF(LEFT(E3930,6)="TÉRREO",0,IFERROR(VALUE(LEFT(E3930,FIND("º",SUBSTITUTE(E3930,"°","º"))-1)),""))))</f>
        <v>3</v>
      </c>
      <c r="O3930" s="2" t="str">
        <f aca="false">IF(OR(F3930="",G3930=""),"",IF(G3930&lt;='RETRATO 2027'!$K$5,"CONCLUÍDA",IF(F3930&lt;='RETRATO 2027'!$K$5,"EM ANDAMENTO","A INICIAR")))</f>
        <v>A INICIAR</v>
      </c>
    </row>
    <row r="3931" customFormat="false" ht="15" hidden="false" customHeight="false" outlineLevel="0" collapsed="false">
      <c r="B3931" s="4" t="n">
        <v>26744660</v>
      </c>
      <c r="C3931" s="4" t="s">
        <v>2971</v>
      </c>
      <c r="D3931" s="4" t="s">
        <v>433</v>
      </c>
      <c r="E3931" s="4" t="s">
        <v>3774</v>
      </c>
      <c r="F3931" s="127" t="n">
        <v>46995</v>
      </c>
      <c r="G3931" s="127" t="n">
        <v>47002</v>
      </c>
      <c r="H3931" s="127" t="n">
        <v>46293</v>
      </c>
      <c r="I3931" s="4" t="n">
        <v>0</v>
      </c>
      <c r="J3931" s="4" t="n">
        <v>0</v>
      </c>
      <c r="K3931" s="4" t="n">
        <v>0</v>
      </c>
      <c r="M3931" s="2" t="str">
        <f aca="false">IF(C3931="","",IFERROR(INDEX($S$5:$S$304,MATCH(C3931,$R$5:$R$304,0))&amp;"","?"))</f>
        <v>37</v>
      </c>
      <c r="N3931" s="2" t="n">
        <f aca="false">IF(E3931="","",IF(ISNUMBER(SEARCH("SUBSOLO",E3931)),IFERROR(-VALUE(LEFT(E3931,FIND("º",SUBSTITUTE(E3931,"°","º"))-1)),-1),IF(LEFT(E3931,6)="TÉRREO",0,IFERROR(VALUE(LEFT(E3931,FIND("º",SUBSTITUTE(E3931,"°","º"))-1)),""))))</f>
        <v>3</v>
      </c>
      <c r="O3931" s="2" t="str">
        <f aca="false">IF(OR(F3931="",G3931=""),"",IF(G3931&lt;='RETRATO 2027'!$K$5,"CONCLUÍDA",IF(F3931&lt;='RETRATO 2027'!$K$5,"EM ANDAMENTO","A INICIAR")))</f>
        <v>A INICIAR</v>
      </c>
    </row>
    <row r="3932" customFormat="false" ht="15" hidden="false" customHeight="false" outlineLevel="0" collapsed="false">
      <c r="B3932" s="4" t="n">
        <v>30433014</v>
      </c>
      <c r="C3932" s="4" t="s">
        <v>3096</v>
      </c>
      <c r="D3932" s="4" t="s">
        <v>433</v>
      </c>
      <c r="E3932" s="4" t="s">
        <v>3779</v>
      </c>
      <c r="F3932" s="127" t="n">
        <v>46995</v>
      </c>
      <c r="G3932" s="127" t="n">
        <v>47004</v>
      </c>
      <c r="H3932" s="127" t="n">
        <v>46293</v>
      </c>
      <c r="I3932" s="4" t="n">
        <v>0</v>
      </c>
      <c r="J3932" s="4" t="n">
        <v>0</v>
      </c>
      <c r="K3932" s="4" t="n">
        <v>0</v>
      </c>
      <c r="M3932" s="2" t="str">
        <f aca="false">IF(C3932="","",IFERROR(INDEX($S$5:$S$304,MATCH(C3932,$R$5:$R$304,0))&amp;"","?"))</f>
        <v/>
      </c>
      <c r="N3932" s="2" t="n">
        <f aca="false">IF(E3932="","",IF(ISNUMBER(SEARCH("SUBSOLO",E3932)),IFERROR(-VALUE(LEFT(E3932,FIND("º",SUBSTITUTE(E3932,"°","º"))-1)),-1),IF(LEFT(E3932,6)="TÉRREO",0,IFERROR(VALUE(LEFT(E3932,FIND("º",SUBSTITUTE(E3932,"°","º"))-1)),""))))</f>
        <v>19</v>
      </c>
      <c r="O3932" s="2" t="str">
        <f aca="false">IF(OR(F3932="",G3932=""),"",IF(G3932&lt;='RETRATO 2027'!$K$5,"CONCLUÍDA",IF(F3932&lt;='RETRATO 2027'!$K$5,"EM ANDAMENTO","A INICIAR")))</f>
        <v>A INICIAR</v>
      </c>
    </row>
    <row r="3933" customFormat="false" ht="15" hidden="false" customHeight="false" outlineLevel="0" collapsed="false">
      <c r="B3933" s="4" t="n">
        <v>26743041</v>
      </c>
      <c r="C3933" s="4" t="s">
        <v>3029</v>
      </c>
      <c r="D3933" s="4" t="s">
        <v>433</v>
      </c>
      <c r="E3933" s="4" t="s">
        <v>3781</v>
      </c>
      <c r="F3933" s="127" t="n">
        <v>46995</v>
      </c>
      <c r="G3933" s="127" t="n">
        <v>47004</v>
      </c>
      <c r="H3933" s="127" t="n">
        <v>46293</v>
      </c>
      <c r="I3933" s="4" t="n">
        <v>0</v>
      </c>
      <c r="J3933" s="4" t="n">
        <v>0</v>
      </c>
      <c r="K3933" s="4" t="n">
        <v>0</v>
      </c>
      <c r="M3933" s="2" t="str">
        <f aca="false">IF(C3933="","",IFERROR(INDEX($S$5:$S$304,MATCH(C3933,$R$5:$R$304,0))&amp;"","?"))</f>
        <v/>
      </c>
      <c r="N3933" s="2" t="n">
        <f aca="false">IF(E3933="","",IF(ISNUMBER(SEARCH("SUBSOLO",E3933)),IFERROR(-VALUE(LEFT(E3933,FIND("º",SUBSTITUTE(E3933,"°","º"))-1)),-1),IF(LEFT(E3933,6)="TÉRREO",0,IFERROR(VALUE(LEFT(E3933,FIND("º",SUBSTITUTE(E3933,"°","º"))-1)),""))))</f>
        <v>20</v>
      </c>
      <c r="O3933" s="2" t="str">
        <f aca="false">IF(OR(F3933="",G3933=""),"",IF(G3933&lt;='RETRATO 2027'!$K$5,"CONCLUÍDA",IF(F3933&lt;='RETRATO 2027'!$K$5,"EM ANDAMENTO","A INICIAR")))</f>
        <v>A INICIAR</v>
      </c>
    </row>
    <row r="3934" customFormat="false" ht="15" hidden="false" customHeight="false" outlineLevel="0" collapsed="false">
      <c r="B3934" s="4" t="n">
        <v>26743002</v>
      </c>
      <c r="C3934" s="4" t="s">
        <v>2971</v>
      </c>
      <c r="D3934" s="4" t="s">
        <v>433</v>
      </c>
      <c r="E3934" s="4" t="s">
        <v>3783</v>
      </c>
      <c r="F3934" s="127" t="n">
        <v>46995</v>
      </c>
      <c r="G3934" s="127" t="n">
        <v>47004</v>
      </c>
      <c r="H3934" s="127" t="n">
        <v>46293</v>
      </c>
      <c r="I3934" s="4" t="n">
        <v>0</v>
      </c>
      <c r="J3934" s="4" t="n">
        <v>0</v>
      </c>
      <c r="K3934" s="4" t="n">
        <v>0</v>
      </c>
      <c r="M3934" s="2" t="str">
        <f aca="false">IF(C3934="","",IFERROR(INDEX($S$5:$S$304,MATCH(C3934,$R$5:$R$304,0))&amp;"","?"))</f>
        <v>37</v>
      </c>
      <c r="N3934" s="2" t="n">
        <f aca="false">IF(E3934="","",IF(ISNUMBER(SEARCH("SUBSOLO",E3934)),IFERROR(-VALUE(LEFT(E3934,FIND("º",SUBSTITUTE(E3934,"°","º"))-1)),-1),IF(LEFT(E3934,6)="TÉRREO",0,IFERROR(VALUE(LEFT(E3934,FIND("º",SUBSTITUTE(E3934,"°","º"))-1)),""))))</f>
        <v>21</v>
      </c>
      <c r="O3934" s="2" t="str">
        <f aca="false">IF(OR(F3934="",G3934=""),"",IF(G3934&lt;='RETRATO 2027'!$K$5,"CONCLUÍDA",IF(F3934&lt;='RETRATO 2027'!$K$5,"EM ANDAMENTO","A INICIAR")))</f>
        <v>A INICIAR</v>
      </c>
    </row>
    <row r="3935" customFormat="false" ht="15" hidden="false" customHeight="false" outlineLevel="0" collapsed="false">
      <c r="B3935" s="4" t="n">
        <v>26742964</v>
      </c>
      <c r="C3935" s="4" t="s">
        <v>3032</v>
      </c>
      <c r="D3935" s="4" t="s">
        <v>433</v>
      </c>
      <c r="E3935" s="4" t="s">
        <v>3786</v>
      </c>
      <c r="F3935" s="127" t="n">
        <v>46995</v>
      </c>
      <c r="G3935" s="127" t="n">
        <v>47004</v>
      </c>
      <c r="H3935" s="127" t="n">
        <v>46293</v>
      </c>
      <c r="I3935" s="4" t="n">
        <v>0</v>
      </c>
      <c r="J3935" s="4" t="n">
        <v>0</v>
      </c>
      <c r="K3935" s="4" t="n">
        <v>0</v>
      </c>
      <c r="M3935" s="2" t="str">
        <f aca="false">IF(C3935="","",IFERROR(INDEX($S$5:$S$304,MATCH(C3935,$R$5:$R$304,0))&amp;"","?"))</f>
        <v>35</v>
      </c>
      <c r="N3935" s="2" t="n">
        <f aca="false">IF(E3935="","",IF(ISNUMBER(SEARCH("SUBSOLO",E3935)),IFERROR(-VALUE(LEFT(E3935,FIND("º",SUBSTITUTE(E3935,"°","º"))-1)),-1),IF(LEFT(E3935,6)="TÉRREO",0,IFERROR(VALUE(LEFT(E3935,FIND("º",SUBSTITUTE(E3935,"°","º"))-1)),""))))</f>
        <v>22</v>
      </c>
      <c r="O3935" s="2" t="str">
        <f aca="false">IF(OR(F3935="",G3935=""),"",IF(G3935&lt;='RETRATO 2027'!$K$5,"CONCLUÍDA",IF(F3935&lt;='RETRATO 2027'!$K$5,"EM ANDAMENTO","A INICIAR")))</f>
        <v>A INICIAR</v>
      </c>
    </row>
    <row r="3936" customFormat="false" ht="15" hidden="false" customHeight="false" outlineLevel="0" collapsed="false">
      <c r="B3936" s="4" t="n">
        <v>26742921</v>
      </c>
      <c r="C3936" s="4" t="s">
        <v>3093</v>
      </c>
      <c r="D3936" s="4" t="s">
        <v>433</v>
      </c>
      <c r="E3936" s="4" t="s">
        <v>3787</v>
      </c>
      <c r="F3936" s="127" t="n">
        <v>46995</v>
      </c>
      <c r="G3936" s="127" t="n">
        <v>47004</v>
      </c>
      <c r="H3936" s="127" t="n">
        <v>46293</v>
      </c>
      <c r="I3936" s="4" t="n">
        <v>0</v>
      </c>
      <c r="J3936" s="4" t="n">
        <v>0</v>
      </c>
      <c r="K3936" s="4" t="n">
        <v>0</v>
      </c>
      <c r="M3936" s="2" t="str">
        <f aca="false">IF(C3936="","",IFERROR(INDEX($S$5:$S$304,MATCH(C3936,$R$5:$R$304,0))&amp;"","?"))</f>
        <v>34</v>
      </c>
      <c r="N3936" s="2" t="n">
        <f aca="false">IF(E3936="","",IF(ISNUMBER(SEARCH("SUBSOLO",E3936)),IFERROR(-VALUE(LEFT(E3936,FIND("º",SUBSTITUTE(E3936,"°","º"))-1)),-1),IF(LEFT(E3936,6)="TÉRREO",0,IFERROR(VALUE(LEFT(E3936,FIND("º",SUBSTITUTE(E3936,"°","º"))-1)),""))))</f>
        <v>23</v>
      </c>
      <c r="O3936" s="2" t="str">
        <f aca="false">IF(OR(F3936="",G3936=""),"",IF(G3936&lt;='RETRATO 2027'!$K$5,"CONCLUÍDA",IF(F3936&lt;='RETRATO 2027'!$K$5,"EM ANDAMENTO","A INICIAR")))</f>
        <v>A INICIAR</v>
      </c>
    </row>
    <row r="3937" customFormat="false" ht="15" hidden="false" customHeight="false" outlineLevel="0" collapsed="false">
      <c r="B3937" s="4" t="n">
        <v>26742943</v>
      </c>
      <c r="C3937" s="4" t="s">
        <v>2965</v>
      </c>
      <c r="D3937" s="4" t="s">
        <v>433</v>
      </c>
      <c r="E3937" s="4" t="s">
        <v>3787</v>
      </c>
      <c r="F3937" s="127" t="n">
        <v>46995</v>
      </c>
      <c r="G3937" s="127" t="n">
        <v>47004</v>
      </c>
      <c r="H3937" s="127" t="n">
        <v>46293</v>
      </c>
      <c r="I3937" s="4" t="n">
        <v>0</v>
      </c>
      <c r="J3937" s="4" t="n">
        <v>0</v>
      </c>
      <c r="K3937" s="4" t="n">
        <v>0</v>
      </c>
      <c r="M3937" s="2" t="str">
        <f aca="false">IF(C3937="","",IFERROR(INDEX($S$5:$S$304,MATCH(C3937,$R$5:$R$304,0))&amp;"","?"))</f>
        <v>20</v>
      </c>
      <c r="N3937" s="2" t="n">
        <f aca="false">IF(E3937="","",IF(ISNUMBER(SEARCH("SUBSOLO",E3937)),IFERROR(-VALUE(LEFT(E3937,FIND("º",SUBSTITUTE(E3937,"°","º"))-1)),-1),IF(LEFT(E3937,6)="TÉRREO",0,IFERROR(VALUE(LEFT(E3937,FIND("º",SUBSTITUTE(E3937,"°","º"))-1)),""))))</f>
        <v>23</v>
      </c>
      <c r="O3937" s="2" t="str">
        <f aca="false">IF(OR(F3937="",G3937=""),"",IF(G3937&lt;='RETRATO 2027'!$K$5,"CONCLUÍDA",IF(F3937&lt;='RETRATO 2027'!$K$5,"EM ANDAMENTO","A INICIAR")))</f>
        <v>A INICIAR</v>
      </c>
    </row>
    <row r="3938" customFormat="false" ht="15" hidden="false" customHeight="false" outlineLevel="0" collapsed="false">
      <c r="B3938" s="4" t="n">
        <v>26742883</v>
      </c>
      <c r="C3938" s="4" t="s">
        <v>3021</v>
      </c>
      <c r="D3938" s="4" t="s">
        <v>433</v>
      </c>
      <c r="E3938" s="4" t="s">
        <v>3788</v>
      </c>
      <c r="F3938" s="127" t="n">
        <v>46995</v>
      </c>
      <c r="G3938" s="127" t="n">
        <v>47004</v>
      </c>
      <c r="H3938" s="127" t="n">
        <v>46293</v>
      </c>
      <c r="I3938" s="4" t="n">
        <v>0</v>
      </c>
      <c r="J3938" s="4" t="n">
        <v>0</v>
      </c>
      <c r="K3938" s="4" t="n">
        <v>0</v>
      </c>
      <c r="M3938" s="2" t="str">
        <f aca="false">IF(C3938="","",IFERROR(INDEX($S$5:$S$304,MATCH(C3938,$R$5:$R$304,0))&amp;"","?"))</f>
        <v>35</v>
      </c>
      <c r="N3938" s="2" t="n">
        <f aca="false">IF(E3938="","",IF(ISNUMBER(SEARCH("SUBSOLO",E3938)),IFERROR(-VALUE(LEFT(E3938,FIND("º",SUBSTITUTE(E3938,"°","º"))-1)),-1),IF(LEFT(E3938,6)="TÉRREO",0,IFERROR(VALUE(LEFT(E3938,FIND("º",SUBSTITUTE(E3938,"°","º"))-1)),""))))</f>
        <v>24</v>
      </c>
      <c r="O3938" s="2" t="str">
        <f aca="false">IF(OR(F3938="",G3938=""),"",IF(G3938&lt;='RETRATO 2027'!$K$5,"CONCLUÍDA",IF(F3938&lt;='RETRATO 2027'!$K$5,"EM ANDAMENTO","A INICIAR")))</f>
        <v>A INICIAR</v>
      </c>
    </row>
    <row r="3939" customFormat="false" ht="15" hidden="false" customHeight="false" outlineLevel="0" collapsed="false">
      <c r="B3939" s="4" t="n">
        <v>26742848</v>
      </c>
      <c r="C3939" s="4" t="s">
        <v>3006</v>
      </c>
      <c r="D3939" s="4" t="s">
        <v>433</v>
      </c>
      <c r="E3939" s="4" t="s">
        <v>3794</v>
      </c>
      <c r="F3939" s="127" t="n">
        <v>46995</v>
      </c>
      <c r="G3939" s="127" t="n">
        <v>47004</v>
      </c>
      <c r="H3939" s="127" t="n">
        <v>46293</v>
      </c>
      <c r="I3939" s="4" t="n">
        <v>0</v>
      </c>
      <c r="J3939" s="4" t="n">
        <v>0</v>
      </c>
      <c r="K3939" s="4" t="n">
        <v>0</v>
      </c>
      <c r="M3939" s="2" t="str">
        <f aca="false">IF(C3939="","",IFERROR(INDEX($S$5:$S$304,MATCH(C3939,$R$5:$R$304,0))&amp;"","?"))</f>
        <v>37</v>
      </c>
      <c r="N3939" s="2" t="n">
        <f aca="false">IF(E3939="","",IF(ISNUMBER(SEARCH("SUBSOLO",E3939)),IFERROR(-VALUE(LEFT(E3939,FIND("º",SUBSTITUTE(E3939,"°","º"))-1)),-1),IF(LEFT(E3939,6)="TÉRREO",0,IFERROR(VALUE(LEFT(E3939,FIND("º",SUBSTITUTE(E3939,"°","º"))-1)),""))))</f>
        <v>25</v>
      </c>
      <c r="O3939" s="2" t="str">
        <f aca="false">IF(OR(F3939="",G3939=""),"",IF(G3939&lt;='RETRATO 2027'!$K$5,"CONCLUÍDA",IF(F3939&lt;='RETRATO 2027'!$K$5,"EM ANDAMENTO","A INICIAR")))</f>
        <v>A INICIAR</v>
      </c>
    </row>
    <row r="3940" customFormat="false" ht="15" hidden="false" customHeight="false" outlineLevel="0" collapsed="false">
      <c r="B3940" s="4" t="n">
        <v>26742813</v>
      </c>
      <c r="C3940" s="4" t="s">
        <v>2962</v>
      </c>
      <c r="D3940" s="4" t="s">
        <v>433</v>
      </c>
      <c r="E3940" s="4" t="s">
        <v>3797</v>
      </c>
      <c r="F3940" s="127" t="n">
        <v>46995</v>
      </c>
      <c r="G3940" s="127" t="n">
        <v>47004</v>
      </c>
      <c r="H3940" s="127" t="n">
        <v>46293</v>
      </c>
      <c r="I3940" s="4" t="n">
        <v>0</v>
      </c>
      <c r="J3940" s="4" t="n">
        <v>0</v>
      </c>
      <c r="K3940" s="4" t="n">
        <v>0</v>
      </c>
      <c r="M3940" s="2" t="str">
        <f aca="false">IF(C3940="","",IFERROR(INDEX($S$5:$S$304,MATCH(C3940,$R$5:$R$304,0))&amp;"","?"))</f>
        <v>34</v>
      </c>
      <c r="N3940" s="2" t="n">
        <f aca="false">IF(E3940="","",IF(ISNUMBER(SEARCH("SUBSOLO",E3940)),IFERROR(-VALUE(LEFT(E3940,FIND("º",SUBSTITUTE(E3940,"°","º"))-1)),-1),IF(LEFT(E3940,6)="TÉRREO",0,IFERROR(VALUE(LEFT(E3940,FIND("º",SUBSTITUTE(E3940,"°","º"))-1)),""))))</f>
        <v>26</v>
      </c>
      <c r="O3940" s="2" t="str">
        <f aca="false">IF(OR(F3940="",G3940=""),"",IF(G3940&lt;='RETRATO 2027'!$K$5,"CONCLUÍDA",IF(F3940&lt;='RETRATO 2027'!$K$5,"EM ANDAMENTO","A INICIAR")))</f>
        <v>A INICIAR</v>
      </c>
    </row>
    <row r="3941" customFormat="false" ht="15" hidden="false" customHeight="false" outlineLevel="0" collapsed="false">
      <c r="B3941" s="4" t="n">
        <v>26742818</v>
      </c>
      <c r="C3941" s="4" t="s">
        <v>3088</v>
      </c>
      <c r="D3941" s="4" t="s">
        <v>433</v>
      </c>
      <c r="E3941" s="4" t="s">
        <v>3797</v>
      </c>
      <c r="F3941" s="127" t="n">
        <v>46995</v>
      </c>
      <c r="G3941" s="127" t="n">
        <v>47004</v>
      </c>
      <c r="H3941" s="127" t="n">
        <v>46293</v>
      </c>
      <c r="I3941" s="4" t="n">
        <v>0</v>
      </c>
      <c r="J3941" s="4" t="n">
        <v>0</v>
      </c>
      <c r="K3941" s="4" t="n">
        <v>0</v>
      </c>
      <c r="M3941" s="2" t="str">
        <f aca="false">IF(C3941="","",IFERROR(INDEX($S$5:$S$304,MATCH(C3941,$R$5:$R$304,0))&amp;"","?"))</f>
        <v>20</v>
      </c>
      <c r="N3941" s="2" t="n">
        <f aca="false">IF(E3941="","",IF(ISNUMBER(SEARCH("SUBSOLO",E3941)),IFERROR(-VALUE(LEFT(E3941,FIND("º",SUBSTITUTE(E3941,"°","º"))-1)),-1),IF(LEFT(E3941,6)="TÉRREO",0,IFERROR(VALUE(LEFT(E3941,FIND("º",SUBSTITUTE(E3941,"°","º"))-1)),""))))</f>
        <v>26</v>
      </c>
      <c r="O3941" s="2" t="str">
        <f aca="false">IF(OR(F3941="",G3941=""),"",IF(G3941&lt;='RETRATO 2027'!$K$5,"CONCLUÍDA",IF(F3941&lt;='RETRATO 2027'!$K$5,"EM ANDAMENTO","A INICIAR")))</f>
        <v>A INICIAR</v>
      </c>
    </row>
    <row r="3942" customFormat="false" ht="15" hidden="false" customHeight="false" outlineLevel="0" collapsed="false">
      <c r="B3942" s="4" t="n">
        <v>26742837</v>
      </c>
      <c r="C3942" s="4" t="s">
        <v>3009</v>
      </c>
      <c r="D3942" s="4" t="s">
        <v>433</v>
      </c>
      <c r="E3942" s="4" t="s">
        <v>3797</v>
      </c>
      <c r="F3942" s="127" t="n">
        <v>46995</v>
      </c>
      <c r="G3942" s="127" t="n">
        <v>47004</v>
      </c>
      <c r="H3942" s="127" t="n">
        <v>46293</v>
      </c>
      <c r="I3942" s="4" t="n">
        <v>0</v>
      </c>
      <c r="J3942" s="4" t="n">
        <v>0</v>
      </c>
      <c r="K3942" s="4" t="n">
        <v>0</v>
      </c>
      <c r="M3942" s="2" t="str">
        <f aca="false">IF(C3942="","",IFERROR(INDEX($S$5:$S$304,MATCH(C3942,$R$5:$R$304,0))&amp;"","?"))</f>
        <v>23</v>
      </c>
      <c r="N3942" s="2" t="n">
        <f aca="false">IF(E3942="","",IF(ISNUMBER(SEARCH("SUBSOLO",E3942)),IFERROR(-VALUE(LEFT(E3942,FIND("º",SUBSTITUTE(E3942,"°","º"))-1)),-1),IF(LEFT(E3942,6)="TÉRREO",0,IFERROR(VALUE(LEFT(E3942,FIND("º",SUBSTITUTE(E3942,"°","º"))-1)),""))))</f>
        <v>26</v>
      </c>
      <c r="O3942" s="2" t="str">
        <f aca="false">IF(OR(F3942="",G3942=""),"",IF(G3942&lt;='RETRATO 2027'!$K$5,"CONCLUÍDA",IF(F3942&lt;='RETRATO 2027'!$K$5,"EM ANDAMENTO","A INICIAR")))</f>
        <v>A INICIAR</v>
      </c>
    </row>
    <row r="3943" customFormat="false" ht="15" hidden="false" customHeight="false" outlineLevel="0" collapsed="false">
      <c r="B3943" s="4" t="n">
        <v>26742775</v>
      </c>
      <c r="C3943" s="4" t="s">
        <v>3082</v>
      </c>
      <c r="D3943" s="4" t="s">
        <v>433</v>
      </c>
      <c r="E3943" s="4" t="s">
        <v>3799</v>
      </c>
      <c r="F3943" s="127" t="n">
        <v>46995</v>
      </c>
      <c r="G3943" s="127" t="n">
        <v>47004</v>
      </c>
      <c r="H3943" s="127" t="n">
        <v>46293</v>
      </c>
      <c r="I3943" s="4" t="n">
        <v>0</v>
      </c>
      <c r="J3943" s="4" t="n">
        <v>0</v>
      </c>
      <c r="K3943" s="4" t="n">
        <v>0</v>
      </c>
      <c r="M3943" s="2" t="str">
        <f aca="false">IF(C3943="","",IFERROR(INDEX($S$5:$S$304,MATCH(C3943,$R$5:$R$304,0))&amp;"","?"))</f>
        <v>30</v>
      </c>
      <c r="N3943" s="2" t="n">
        <f aca="false">IF(E3943="","",IF(ISNUMBER(SEARCH("SUBSOLO",E3943)),IFERROR(-VALUE(LEFT(E3943,FIND("º",SUBSTITUTE(E3943,"°","º"))-1)),-1),IF(LEFT(E3943,6)="TÉRREO",0,IFERROR(VALUE(LEFT(E3943,FIND("º",SUBSTITUTE(E3943,"°","º"))-1)),""))))</f>
        <v>27</v>
      </c>
      <c r="O3943" s="2" t="str">
        <f aca="false">IF(OR(F3943="",G3943=""),"",IF(G3943&lt;='RETRATO 2027'!$K$5,"CONCLUÍDA",IF(F3943&lt;='RETRATO 2027'!$K$5,"EM ANDAMENTO","A INICIAR")))</f>
        <v>A INICIAR</v>
      </c>
    </row>
    <row r="3944" customFormat="false" ht="15" hidden="false" customHeight="false" outlineLevel="0" collapsed="false">
      <c r="B3944" s="4" t="n">
        <v>26742768</v>
      </c>
      <c r="C3944" s="4" t="s">
        <v>3079</v>
      </c>
      <c r="D3944" s="4" t="s">
        <v>433</v>
      </c>
      <c r="E3944" s="4" t="s">
        <v>3802</v>
      </c>
      <c r="F3944" s="127" t="n">
        <v>46995</v>
      </c>
      <c r="G3944" s="127" t="n">
        <v>47004</v>
      </c>
      <c r="H3944" s="127" t="n">
        <v>46293</v>
      </c>
      <c r="I3944" s="4" t="n">
        <v>0</v>
      </c>
      <c r="J3944" s="4" t="n">
        <v>0</v>
      </c>
      <c r="K3944" s="4" t="n">
        <v>0</v>
      </c>
      <c r="M3944" s="2" t="str">
        <f aca="false">IF(C3944="","",IFERROR(INDEX($S$5:$S$304,MATCH(C3944,$R$5:$R$304,0))&amp;"","?"))</f>
        <v>25</v>
      </c>
      <c r="N3944" s="2" t="n">
        <f aca="false">IF(E3944="","",IF(ISNUMBER(SEARCH("SUBSOLO",E3944)),IFERROR(-VALUE(LEFT(E3944,FIND("º",SUBSTITUTE(E3944,"°","º"))-1)),-1),IF(LEFT(E3944,6)="TÉRREO",0,IFERROR(VALUE(LEFT(E3944,FIND("º",SUBSTITUTE(E3944,"°","º"))-1)),""))))</f>
        <v>28</v>
      </c>
      <c r="O3944" s="2" t="str">
        <f aca="false">IF(OR(F3944="",G3944=""),"",IF(G3944&lt;='RETRATO 2027'!$K$5,"CONCLUÍDA",IF(F3944&lt;='RETRATO 2027'!$K$5,"EM ANDAMENTO","A INICIAR")))</f>
        <v>A INICIAR</v>
      </c>
    </row>
    <row r="3945" customFormat="false" ht="15" hidden="false" customHeight="false" outlineLevel="0" collapsed="false">
      <c r="B3945" s="4" t="n">
        <v>26742729</v>
      </c>
      <c r="C3945" s="4" t="s">
        <v>3073</v>
      </c>
      <c r="D3945" s="4" t="s">
        <v>433</v>
      </c>
      <c r="E3945" s="4" t="s">
        <v>3803</v>
      </c>
      <c r="F3945" s="127" t="n">
        <v>46995</v>
      </c>
      <c r="G3945" s="127" t="n">
        <v>47004</v>
      </c>
      <c r="H3945" s="127" t="n">
        <v>46293</v>
      </c>
      <c r="I3945" s="4" t="n">
        <v>0</v>
      </c>
      <c r="J3945" s="4" t="n">
        <v>0</v>
      </c>
      <c r="K3945" s="4" t="n">
        <v>0</v>
      </c>
      <c r="M3945" s="2" t="str">
        <f aca="false">IF(C3945="","",IFERROR(INDEX($S$5:$S$304,MATCH(C3945,$R$5:$R$304,0))&amp;"","?"))</f>
        <v>30</v>
      </c>
      <c r="N3945" s="2" t="n">
        <f aca="false">IF(E3945="","",IF(ISNUMBER(SEARCH("SUBSOLO",E3945)),IFERROR(-VALUE(LEFT(E3945,FIND("º",SUBSTITUTE(E3945,"°","º"))-1)),-1),IF(LEFT(E3945,6)="TÉRREO",0,IFERROR(VALUE(LEFT(E3945,FIND("º",SUBSTITUTE(E3945,"°","º"))-1)),""))))</f>
        <v>29</v>
      </c>
      <c r="O3945" s="2" t="str">
        <f aca="false">IF(OR(F3945="",G3945=""),"",IF(G3945&lt;='RETRATO 2027'!$K$5,"CONCLUÍDA",IF(F3945&lt;='RETRATO 2027'!$K$5,"EM ANDAMENTO","A INICIAR")))</f>
        <v>A INICIAR</v>
      </c>
    </row>
    <row r="3946" customFormat="false" ht="15" hidden="false" customHeight="false" outlineLevel="0" collapsed="false">
      <c r="B3946" s="4" t="n">
        <v>26708165</v>
      </c>
      <c r="C3946" s="4" t="s">
        <v>2965</v>
      </c>
      <c r="D3946" s="4" t="s">
        <v>433</v>
      </c>
      <c r="E3946" s="4" t="s">
        <v>3628</v>
      </c>
      <c r="F3946" s="127" t="n">
        <v>46996</v>
      </c>
      <c r="G3946" s="127" t="n">
        <v>47008</v>
      </c>
      <c r="H3946" s="127" t="n">
        <v>46293</v>
      </c>
      <c r="I3946" s="4" t="n">
        <v>0</v>
      </c>
      <c r="J3946" s="4" t="n">
        <v>0</v>
      </c>
      <c r="K3946" s="4" t="n">
        <v>0</v>
      </c>
      <c r="M3946" s="2" t="str">
        <f aca="false">IF(C3946="","",IFERROR(INDEX($S$5:$S$304,MATCH(C3946,$R$5:$R$304,0))&amp;"","?"))</f>
        <v>20</v>
      </c>
      <c r="N3946" s="2" t="n">
        <f aca="false">IF(E3946="","",IF(ISNUMBER(SEARCH("SUBSOLO",E3946)),IFERROR(-VALUE(LEFT(E3946,FIND("º",SUBSTITUTE(E3946,"°","º"))-1)),-1),IF(LEFT(E3946,6)="TÉRREO",0,IFERROR(VALUE(LEFT(E3946,FIND("º",SUBSTITUTE(E3946,"°","º"))-1)),""))))</f>
        <v>-6</v>
      </c>
      <c r="O3946" s="2" t="str">
        <f aca="false">IF(OR(F3946="",G3946=""),"",IF(G3946&lt;='RETRATO 2027'!$K$5,"CONCLUÍDA",IF(F3946&lt;='RETRATO 2027'!$K$5,"EM ANDAMENTO","A INICIAR")))</f>
        <v>A INICIAR</v>
      </c>
    </row>
    <row r="3947" customFormat="false" ht="15" hidden="false" customHeight="false" outlineLevel="0" collapsed="false">
      <c r="B3947" s="4" t="n">
        <v>26708131</v>
      </c>
      <c r="C3947" s="4" t="s">
        <v>3021</v>
      </c>
      <c r="D3947" s="4" t="s">
        <v>433</v>
      </c>
      <c r="E3947" s="4" t="s">
        <v>3813</v>
      </c>
      <c r="F3947" s="127" t="n">
        <v>46996</v>
      </c>
      <c r="G3947" s="127" t="n">
        <v>47008</v>
      </c>
      <c r="H3947" s="127" t="n">
        <v>46293</v>
      </c>
      <c r="I3947" s="4" t="n">
        <v>0</v>
      </c>
      <c r="J3947" s="4" t="n">
        <v>0</v>
      </c>
      <c r="K3947" s="4" t="n">
        <v>0</v>
      </c>
      <c r="M3947" s="2" t="str">
        <f aca="false">IF(C3947="","",IFERROR(INDEX($S$5:$S$304,MATCH(C3947,$R$5:$R$304,0))&amp;"","?"))</f>
        <v>35</v>
      </c>
      <c r="N3947" s="2" t="n">
        <f aca="false">IF(E3947="","",IF(ISNUMBER(SEARCH("SUBSOLO",E3947)),IFERROR(-VALUE(LEFT(E3947,FIND("º",SUBSTITUTE(E3947,"°","º"))-1)),-1),IF(LEFT(E3947,6)="TÉRREO",0,IFERROR(VALUE(LEFT(E3947,FIND("º",SUBSTITUTE(E3947,"°","º"))-1)),""))))</f>
        <v>-6</v>
      </c>
      <c r="O3947" s="2" t="str">
        <f aca="false">IF(OR(F3947="",G3947=""),"",IF(G3947&lt;='RETRATO 2027'!$K$5,"CONCLUÍDA",IF(F3947&lt;='RETRATO 2027'!$K$5,"EM ANDAMENTO","A INICIAR")))</f>
        <v>A INICIAR</v>
      </c>
    </row>
    <row r="3948" customFormat="false" ht="15" hidden="false" customHeight="false" outlineLevel="0" collapsed="false">
      <c r="B3948" s="4" t="n">
        <v>26750585</v>
      </c>
      <c r="C3948" s="4" t="s">
        <v>2965</v>
      </c>
      <c r="D3948" s="4" t="s">
        <v>433</v>
      </c>
      <c r="E3948" s="4" t="s">
        <v>3814</v>
      </c>
      <c r="F3948" s="127" t="n">
        <v>46996</v>
      </c>
      <c r="G3948" s="127" t="n">
        <v>47002</v>
      </c>
      <c r="H3948" s="127" t="n">
        <v>46293</v>
      </c>
      <c r="I3948" s="4" t="n">
        <v>0</v>
      </c>
      <c r="J3948" s="4" t="n">
        <v>0</v>
      </c>
      <c r="K3948" s="4" t="n">
        <v>0</v>
      </c>
      <c r="M3948" s="2" t="str">
        <f aca="false">IF(C3948="","",IFERROR(INDEX($S$5:$S$304,MATCH(C3948,$R$5:$R$304,0))&amp;"","?"))</f>
        <v>20</v>
      </c>
      <c r="N3948" s="2" t="n">
        <f aca="false">IF(E3948="","",IF(ISNUMBER(SEARCH("SUBSOLO",E3948)),IFERROR(-VALUE(LEFT(E3948,FIND("º",SUBSTITUTE(E3948,"°","º"))-1)),-1),IF(LEFT(E3948,6)="TÉRREO",0,IFERROR(VALUE(LEFT(E3948,FIND("º",SUBSTITUTE(E3948,"°","º"))-1)),""))))</f>
        <v>-6</v>
      </c>
      <c r="O3948" s="2" t="str">
        <f aca="false">IF(OR(F3948="",G3948=""),"",IF(G3948&lt;='RETRATO 2027'!$K$5,"CONCLUÍDA",IF(F3948&lt;='RETRATO 2027'!$K$5,"EM ANDAMENTO","A INICIAR")))</f>
        <v>A INICIAR</v>
      </c>
    </row>
    <row r="3949" customFormat="false" ht="15" hidden="false" customHeight="false" outlineLevel="0" collapsed="false">
      <c r="B3949" s="4" t="n">
        <v>26745006</v>
      </c>
      <c r="C3949" s="4" t="s">
        <v>2965</v>
      </c>
      <c r="D3949" s="4" t="s">
        <v>433</v>
      </c>
      <c r="E3949" s="4" t="s">
        <v>3816</v>
      </c>
      <c r="F3949" s="127" t="n">
        <v>47000</v>
      </c>
      <c r="G3949" s="127" t="n">
        <v>47009</v>
      </c>
      <c r="H3949" s="127" t="n">
        <v>46293</v>
      </c>
      <c r="I3949" s="4" t="n">
        <v>0</v>
      </c>
      <c r="J3949" s="4" t="n">
        <v>0</v>
      </c>
      <c r="K3949" s="4" t="n">
        <v>0</v>
      </c>
      <c r="M3949" s="2" t="str">
        <f aca="false">IF(C3949="","",IFERROR(INDEX($S$5:$S$304,MATCH(C3949,$R$5:$R$304,0))&amp;"","?"))</f>
        <v>20</v>
      </c>
      <c r="N3949" s="2" t="n">
        <f aca="false">IF(E3949="","",IF(ISNUMBER(SEARCH("SUBSOLO",E3949)),IFERROR(-VALUE(LEFT(E3949,FIND("º",SUBSTITUTE(E3949,"°","º"))-1)),-1),IF(LEFT(E3949,6)="TÉRREO",0,IFERROR(VALUE(LEFT(E3949,FIND("º",SUBSTITUTE(E3949,"°","º"))-1)),""))))</f>
        <v>-6</v>
      </c>
      <c r="O3949" s="2" t="str">
        <f aca="false">IF(OR(F3949="",G3949=""),"",IF(G3949&lt;='RETRATO 2027'!$K$5,"CONCLUÍDA",IF(F3949&lt;='RETRATO 2027'!$K$5,"EM ANDAMENTO","A INICIAR")))</f>
        <v>A INICIAR</v>
      </c>
    </row>
    <row r="3950" customFormat="false" ht="15" hidden="false" customHeight="false" outlineLevel="0" collapsed="false">
      <c r="B3950" s="4" t="n">
        <v>26743209</v>
      </c>
      <c r="C3950" s="4" t="s">
        <v>3055</v>
      </c>
      <c r="D3950" s="4" t="s">
        <v>433</v>
      </c>
      <c r="E3950" s="4" t="s">
        <v>3771</v>
      </c>
      <c r="F3950" s="127" t="n">
        <v>47000</v>
      </c>
      <c r="G3950" s="127" t="n">
        <v>47009</v>
      </c>
      <c r="H3950" s="127" t="n">
        <v>46293</v>
      </c>
      <c r="I3950" s="4" t="n">
        <v>0</v>
      </c>
      <c r="J3950" s="4" t="n">
        <v>0</v>
      </c>
      <c r="K3950" s="4" t="n">
        <v>0</v>
      </c>
      <c r="M3950" s="2" t="str">
        <f aca="false">IF(C3950="","",IFERROR(INDEX($S$5:$S$304,MATCH(C3950,$R$5:$R$304,0))&amp;"","?"))</f>
        <v>25</v>
      </c>
      <c r="N3950" s="2" t="n">
        <f aca="false">IF(E3950="","",IF(ISNUMBER(SEARCH("SUBSOLO",E3950)),IFERROR(-VALUE(LEFT(E3950,FIND("º",SUBSTITUTE(E3950,"°","º"))-1)),-1),IF(LEFT(E3950,6)="TÉRREO",0,IFERROR(VALUE(LEFT(E3950,FIND("º",SUBSTITUTE(E3950,"°","º"))-1)),""))))</f>
        <v>16</v>
      </c>
      <c r="O3950" s="2" t="str">
        <f aca="false">IF(OR(F3950="",G3950=""),"",IF(G3950&lt;='RETRATO 2027'!$K$5,"CONCLUÍDA",IF(F3950&lt;='RETRATO 2027'!$K$5,"EM ANDAMENTO","A INICIAR")))</f>
        <v>A INICIAR</v>
      </c>
    </row>
    <row r="3951" customFormat="false" ht="15" hidden="false" customHeight="false" outlineLevel="0" collapsed="false">
      <c r="B3951" s="4" t="n">
        <v>26750586</v>
      </c>
      <c r="C3951" s="4" t="s">
        <v>3057</v>
      </c>
      <c r="D3951" s="4" t="s">
        <v>433</v>
      </c>
      <c r="E3951" s="4" t="s">
        <v>3814</v>
      </c>
      <c r="F3951" s="127" t="n">
        <v>47004</v>
      </c>
      <c r="G3951" s="127" t="n">
        <v>47010</v>
      </c>
      <c r="H3951" s="127" t="n">
        <v>46293</v>
      </c>
      <c r="I3951" s="4" t="n">
        <v>0</v>
      </c>
      <c r="J3951" s="4" t="n">
        <v>0</v>
      </c>
      <c r="K3951" s="4" t="n">
        <v>0</v>
      </c>
      <c r="M3951" s="2" t="str">
        <f aca="false">IF(C3951="","",IFERROR(INDEX($S$5:$S$304,MATCH(C3951,$R$5:$R$304,0))&amp;"","?"))</f>
        <v>26</v>
      </c>
      <c r="N3951" s="2" t="n">
        <f aca="false">IF(E3951="","",IF(ISNUMBER(SEARCH("SUBSOLO",E3951)),IFERROR(-VALUE(LEFT(E3951,FIND("º",SUBSTITUTE(E3951,"°","º"))-1)),-1),IF(LEFT(E3951,6)="TÉRREO",0,IFERROR(VALUE(LEFT(E3951,FIND("º",SUBSTITUTE(E3951,"°","º"))-1)),""))))</f>
        <v>-6</v>
      </c>
      <c r="O3951" s="2" t="str">
        <f aca="false">IF(OR(F3951="",G3951=""),"",IF(G3951&lt;='RETRATO 2027'!$K$5,"CONCLUÍDA",IF(F3951&lt;='RETRATO 2027'!$K$5,"EM ANDAMENTO","A INICIAR")))</f>
        <v>A INICIAR</v>
      </c>
    </row>
    <row r="3952" customFormat="false" ht="15" hidden="false" customHeight="false" outlineLevel="0" collapsed="false">
      <c r="B3952" s="4" t="n">
        <v>26744679</v>
      </c>
      <c r="C3952" s="4" t="s">
        <v>3029</v>
      </c>
      <c r="D3952" s="4" t="s">
        <v>433</v>
      </c>
      <c r="E3952" s="4" t="s">
        <v>3774</v>
      </c>
      <c r="F3952" s="127" t="n">
        <v>47004</v>
      </c>
      <c r="G3952" s="127" t="n">
        <v>47011</v>
      </c>
      <c r="H3952" s="127" t="n">
        <v>46293</v>
      </c>
      <c r="I3952" s="4" t="n">
        <v>0</v>
      </c>
      <c r="J3952" s="4" t="n">
        <v>0</v>
      </c>
      <c r="K3952" s="4" t="n">
        <v>0</v>
      </c>
      <c r="M3952" s="2" t="str">
        <f aca="false">IF(C3952="","",IFERROR(INDEX($S$5:$S$304,MATCH(C3952,$R$5:$R$304,0))&amp;"","?"))</f>
        <v/>
      </c>
      <c r="N3952" s="2" t="n">
        <f aca="false">IF(E3952="","",IF(ISNUMBER(SEARCH("SUBSOLO",E3952)),IFERROR(-VALUE(LEFT(E3952,FIND("º",SUBSTITUTE(E3952,"°","º"))-1)),-1),IF(LEFT(E3952,6)="TÉRREO",0,IFERROR(VALUE(LEFT(E3952,FIND("º",SUBSTITUTE(E3952,"°","º"))-1)),""))))</f>
        <v>3</v>
      </c>
      <c r="O3952" s="2" t="str">
        <f aca="false">IF(OR(F3952="",G3952=""),"",IF(G3952&lt;='RETRATO 2027'!$K$5,"CONCLUÍDA",IF(F3952&lt;='RETRATO 2027'!$K$5,"EM ANDAMENTO","A INICIAR")))</f>
        <v>A INICIAR</v>
      </c>
    </row>
    <row r="3953" customFormat="false" ht="15" hidden="false" customHeight="false" outlineLevel="0" collapsed="false">
      <c r="B3953" s="4" t="n">
        <v>30433015</v>
      </c>
      <c r="C3953" s="4" t="s">
        <v>3096</v>
      </c>
      <c r="D3953" s="4" t="s">
        <v>433</v>
      </c>
      <c r="E3953" s="4" t="s">
        <v>3781</v>
      </c>
      <c r="F3953" s="127" t="n">
        <v>47007</v>
      </c>
      <c r="G3953" s="127" t="n">
        <v>47015</v>
      </c>
      <c r="H3953" s="127" t="n">
        <v>46293</v>
      </c>
      <c r="I3953" s="4" t="n">
        <v>0</v>
      </c>
      <c r="J3953" s="4" t="n">
        <v>0</v>
      </c>
      <c r="K3953" s="4" t="n">
        <v>0</v>
      </c>
      <c r="M3953" s="2" t="str">
        <f aca="false">IF(C3953="","",IFERROR(INDEX($S$5:$S$304,MATCH(C3953,$R$5:$R$304,0))&amp;"","?"))</f>
        <v/>
      </c>
      <c r="N3953" s="2" t="n">
        <f aca="false">IF(E3953="","",IF(ISNUMBER(SEARCH("SUBSOLO",E3953)),IFERROR(-VALUE(LEFT(E3953,FIND("º",SUBSTITUTE(E3953,"°","º"))-1)),-1),IF(LEFT(E3953,6)="TÉRREO",0,IFERROR(VALUE(LEFT(E3953,FIND("º",SUBSTITUTE(E3953,"°","º"))-1)),""))))</f>
        <v>20</v>
      </c>
      <c r="O3953" s="2" t="str">
        <f aca="false">IF(OR(F3953="",G3953=""),"",IF(G3953&lt;='RETRATO 2027'!$K$5,"CONCLUÍDA",IF(F3953&lt;='RETRATO 2027'!$K$5,"EM ANDAMENTO","A INICIAR")))</f>
        <v>A INICIAR</v>
      </c>
    </row>
    <row r="3954" customFormat="false" ht="15" hidden="false" customHeight="false" outlineLevel="0" collapsed="false">
      <c r="B3954" s="4" t="n">
        <v>26743004</v>
      </c>
      <c r="C3954" s="4" t="s">
        <v>3029</v>
      </c>
      <c r="D3954" s="4" t="s">
        <v>433</v>
      </c>
      <c r="E3954" s="4" t="s">
        <v>3783</v>
      </c>
      <c r="F3954" s="127" t="n">
        <v>47007</v>
      </c>
      <c r="G3954" s="127" t="n">
        <v>47015</v>
      </c>
      <c r="H3954" s="127" t="n">
        <v>46293</v>
      </c>
      <c r="I3954" s="4" t="n">
        <v>0</v>
      </c>
      <c r="J3954" s="4" t="n">
        <v>0</v>
      </c>
      <c r="K3954" s="4" t="n">
        <v>0</v>
      </c>
      <c r="M3954" s="2" t="str">
        <f aca="false">IF(C3954="","",IFERROR(INDEX($S$5:$S$304,MATCH(C3954,$R$5:$R$304,0))&amp;"","?"))</f>
        <v/>
      </c>
      <c r="N3954" s="2" t="n">
        <f aca="false">IF(E3954="","",IF(ISNUMBER(SEARCH("SUBSOLO",E3954)),IFERROR(-VALUE(LEFT(E3954,FIND("º",SUBSTITUTE(E3954,"°","º"))-1)),-1),IF(LEFT(E3954,6)="TÉRREO",0,IFERROR(VALUE(LEFT(E3954,FIND("º",SUBSTITUTE(E3954,"°","º"))-1)),""))))</f>
        <v>21</v>
      </c>
      <c r="O3954" s="2" t="str">
        <f aca="false">IF(OR(F3954="",G3954=""),"",IF(G3954&lt;='RETRATO 2027'!$K$5,"CONCLUÍDA",IF(F3954&lt;='RETRATO 2027'!$K$5,"EM ANDAMENTO","A INICIAR")))</f>
        <v>A INICIAR</v>
      </c>
    </row>
    <row r="3955" customFormat="false" ht="15" hidden="false" customHeight="false" outlineLevel="0" collapsed="false">
      <c r="B3955" s="4" t="n">
        <v>26742965</v>
      </c>
      <c r="C3955" s="4" t="s">
        <v>2971</v>
      </c>
      <c r="D3955" s="4" t="s">
        <v>433</v>
      </c>
      <c r="E3955" s="4" t="s">
        <v>3786</v>
      </c>
      <c r="F3955" s="127" t="n">
        <v>47007</v>
      </c>
      <c r="G3955" s="127" t="n">
        <v>47015</v>
      </c>
      <c r="H3955" s="127" t="n">
        <v>46293</v>
      </c>
      <c r="I3955" s="4" t="n">
        <v>0</v>
      </c>
      <c r="J3955" s="4" t="n">
        <v>0</v>
      </c>
      <c r="K3955" s="4" t="n">
        <v>0</v>
      </c>
      <c r="M3955" s="2" t="str">
        <f aca="false">IF(C3955="","",IFERROR(INDEX($S$5:$S$304,MATCH(C3955,$R$5:$R$304,0))&amp;"","?"))</f>
        <v>37</v>
      </c>
      <c r="N3955" s="2" t="n">
        <f aca="false">IF(E3955="","",IF(ISNUMBER(SEARCH("SUBSOLO",E3955)),IFERROR(-VALUE(LEFT(E3955,FIND("º",SUBSTITUTE(E3955,"°","º"))-1)),-1),IF(LEFT(E3955,6)="TÉRREO",0,IFERROR(VALUE(LEFT(E3955,FIND("º",SUBSTITUTE(E3955,"°","º"))-1)),""))))</f>
        <v>22</v>
      </c>
      <c r="O3955" s="2" t="str">
        <f aca="false">IF(OR(F3955="",G3955=""),"",IF(G3955&lt;='RETRATO 2027'!$K$5,"CONCLUÍDA",IF(F3955&lt;='RETRATO 2027'!$K$5,"EM ANDAMENTO","A INICIAR")))</f>
        <v>A INICIAR</v>
      </c>
    </row>
    <row r="3956" customFormat="false" ht="15" hidden="false" customHeight="false" outlineLevel="0" collapsed="false">
      <c r="B3956" s="4" t="n">
        <v>26742927</v>
      </c>
      <c r="C3956" s="4" t="s">
        <v>3032</v>
      </c>
      <c r="D3956" s="4" t="s">
        <v>433</v>
      </c>
      <c r="E3956" s="4" t="s">
        <v>3787</v>
      </c>
      <c r="F3956" s="127" t="n">
        <v>47007</v>
      </c>
      <c r="G3956" s="127" t="n">
        <v>47015</v>
      </c>
      <c r="H3956" s="127" t="n">
        <v>46293</v>
      </c>
      <c r="I3956" s="4" t="n">
        <v>0</v>
      </c>
      <c r="J3956" s="4" t="n">
        <v>0</v>
      </c>
      <c r="K3956" s="4" t="n">
        <v>0</v>
      </c>
      <c r="M3956" s="2" t="str">
        <f aca="false">IF(C3956="","",IFERROR(INDEX($S$5:$S$304,MATCH(C3956,$R$5:$R$304,0))&amp;"","?"))</f>
        <v>35</v>
      </c>
      <c r="N3956" s="2" t="n">
        <f aca="false">IF(E3956="","",IF(ISNUMBER(SEARCH("SUBSOLO",E3956)),IFERROR(-VALUE(LEFT(E3956,FIND("º",SUBSTITUTE(E3956,"°","º"))-1)),-1),IF(LEFT(E3956,6)="TÉRREO",0,IFERROR(VALUE(LEFT(E3956,FIND("º",SUBSTITUTE(E3956,"°","º"))-1)),""))))</f>
        <v>23</v>
      </c>
      <c r="O3956" s="2" t="str">
        <f aca="false">IF(OR(F3956="",G3956=""),"",IF(G3956&lt;='RETRATO 2027'!$K$5,"CONCLUÍDA",IF(F3956&lt;='RETRATO 2027'!$K$5,"EM ANDAMENTO","A INICIAR")))</f>
        <v>A INICIAR</v>
      </c>
    </row>
    <row r="3957" customFormat="false" ht="15" hidden="false" customHeight="false" outlineLevel="0" collapsed="false">
      <c r="B3957" s="4" t="n">
        <v>26742884</v>
      </c>
      <c r="C3957" s="4" t="s">
        <v>3093</v>
      </c>
      <c r="D3957" s="4" t="s">
        <v>433</v>
      </c>
      <c r="E3957" s="4" t="s">
        <v>3788</v>
      </c>
      <c r="F3957" s="127" t="n">
        <v>47007</v>
      </c>
      <c r="G3957" s="127" t="n">
        <v>47015</v>
      </c>
      <c r="H3957" s="127" t="n">
        <v>46293</v>
      </c>
      <c r="I3957" s="4" t="n">
        <v>0</v>
      </c>
      <c r="J3957" s="4" t="n">
        <v>0</v>
      </c>
      <c r="K3957" s="4" t="n">
        <v>0</v>
      </c>
      <c r="M3957" s="2" t="str">
        <f aca="false">IF(C3957="","",IFERROR(INDEX($S$5:$S$304,MATCH(C3957,$R$5:$R$304,0))&amp;"","?"))</f>
        <v>34</v>
      </c>
      <c r="N3957" s="2" t="n">
        <f aca="false">IF(E3957="","",IF(ISNUMBER(SEARCH("SUBSOLO",E3957)),IFERROR(-VALUE(LEFT(E3957,FIND("º",SUBSTITUTE(E3957,"°","º"))-1)),-1),IF(LEFT(E3957,6)="TÉRREO",0,IFERROR(VALUE(LEFT(E3957,FIND("º",SUBSTITUTE(E3957,"°","º"))-1)),""))))</f>
        <v>24</v>
      </c>
      <c r="O3957" s="2" t="str">
        <f aca="false">IF(OR(F3957="",G3957=""),"",IF(G3957&lt;='RETRATO 2027'!$K$5,"CONCLUÍDA",IF(F3957&lt;='RETRATO 2027'!$K$5,"EM ANDAMENTO","A INICIAR")))</f>
        <v>A INICIAR</v>
      </c>
    </row>
    <row r="3958" customFormat="false" ht="15" hidden="false" customHeight="false" outlineLevel="0" collapsed="false">
      <c r="B3958" s="4" t="n">
        <v>26742906</v>
      </c>
      <c r="C3958" s="4" t="s">
        <v>2965</v>
      </c>
      <c r="D3958" s="4" t="s">
        <v>433</v>
      </c>
      <c r="E3958" s="4" t="s">
        <v>3788</v>
      </c>
      <c r="F3958" s="127" t="n">
        <v>47007</v>
      </c>
      <c r="G3958" s="127" t="n">
        <v>47015</v>
      </c>
      <c r="H3958" s="127" t="n">
        <v>46293</v>
      </c>
      <c r="I3958" s="4" t="n">
        <v>0</v>
      </c>
      <c r="J3958" s="4" t="n">
        <v>0</v>
      </c>
      <c r="K3958" s="4" t="n">
        <v>0</v>
      </c>
      <c r="M3958" s="2" t="str">
        <f aca="false">IF(C3958="","",IFERROR(INDEX($S$5:$S$304,MATCH(C3958,$R$5:$R$304,0))&amp;"","?"))</f>
        <v>20</v>
      </c>
      <c r="N3958" s="2" t="n">
        <f aca="false">IF(E3958="","",IF(ISNUMBER(SEARCH("SUBSOLO",E3958)),IFERROR(-VALUE(LEFT(E3958,FIND("º",SUBSTITUTE(E3958,"°","º"))-1)),-1),IF(LEFT(E3958,6)="TÉRREO",0,IFERROR(VALUE(LEFT(E3958,FIND("º",SUBSTITUTE(E3958,"°","º"))-1)),""))))</f>
        <v>24</v>
      </c>
      <c r="O3958" s="2" t="str">
        <f aca="false">IF(OR(F3958="",G3958=""),"",IF(G3958&lt;='RETRATO 2027'!$K$5,"CONCLUÍDA",IF(F3958&lt;='RETRATO 2027'!$K$5,"EM ANDAMENTO","A INICIAR")))</f>
        <v>A INICIAR</v>
      </c>
    </row>
    <row r="3959" customFormat="false" ht="15" hidden="false" customHeight="false" outlineLevel="0" collapsed="false">
      <c r="B3959" s="4" t="n">
        <v>26742846</v>
      </c>
      <c r="C3959" s="4" t="s">
        <v>3021</v>
      </c>
      <c r="D3959" s="4" t="s">
        <v>433</v>
      </c>
      <c r="E3959" s="4" t="s">
        <v>3794</v>
      </c>
      <c r="F3959" s="127" t="n">
        <v>47007</v>
      </c>
      <c r="G3959" s="127" t="n">
        <v>47015</v>
      </c>
      <c r="H3959" s="127" t="n">
        <v>46293</v>
      </c>
      <c r="I3959" s="4" t="n">
        <v>0</v>
      </c>
      <c r="J3959" s="4" t="n">
        <v>0</v>
      </c>
      <c r="K3959" s="4" t="n">
        <v>0</v>
      </c>
      <c r="M3959" s="2" t="str">
        <f aca="false">IF(C3959="","",IFERROR(INDEX($S$5:$S$304,MATCH(C3959,$R$5:$R$304,0))&amp;"","?"))</f>
        <v>35</v>
      </c>
      <c r="N3959" s="2" t="n">
        <f aca="false">IF(E3959="","",IF(ISNUMBER(SEARCH("SUBSOLO",E3959)),IFERROR(-VALUE(LEFT(E3959,FIND("º",SUBSTITUTE(E3959,"°","º"))-1)),-1),IF(LEFT(E3959,6)="TÉRREO",0,IFERROR(VALUE(LEFT(E3959,FIND("º",SUBSTITUTE(E3959,"°","º"))-1)),""))))</f>
        <v>25</v>
      </c>
      <c r="O3959" s="2" t="str">
        <f aca="false">IF(OR(F3959="",G3959=""),"",IF(G3959&lt;='RETRATO 2027'!$K$5,"CONCLUÍDA",IF(F3959&lt;='RETRATO 2027'!$K$5,"EM ANDAMENTO","A INICIAR")))</f>
        <v>A INICIAR</v>
      </c>
    </row>
    <row r="3960" customFormat="false" ht="15" hidden="false" customHeight="false" outlineLevel="0" collapsed="false">
      <c r="B3960" s="4" t="n">
        <v>26742811</v>
      </c>
      <c r="C3960" s="4" t="s">
        <v>3006</v>
      </c>
      <c r="D3960" s="4" t="s">
        <v>433</v>
      </c>
      <c r="E3960" s="4" t="s">
        <v>3797</v>
      </c>
      <c r="F3960" s="127" t="n">
        <v>47007</v>
      </c>
      <c r="G3960" s="127" t="n">
        <v>47015</v>
      </c>
      <c r="H3960" s="127" t="n">
        <v>46293</v>
      </c>
      <c r="I3960" s="4" t="n">
        <v>0</v>
      </c>
      <c r="J3960" s="4" t="n">
        <v>0</v>
      </c>
      <c r="K3960" s="4" t="n">
        <v>0</v>
      </c>
      <c r="M3960" s="2" t="str">
        <f aca="false">IF(C3960="","",IFERROR(INDEX($S$5:$S$304,MATCH(C3960,$R$5:$R$304,0))&amp;"","?"))</f>
        <v>37</v>
      </c>
      <c r="N3960" s="2" t="n">
        <f aca="false">IF(E3960="","",IF(ISNUMBER(SEARCH("SUBSOLO",E3960)),IFERROR(-VALUE(LEFT(E3960,FIND("º",SUBSTITUTE(E3960,"°","º"))-1)),-1),IF(LEFT(E3960,6)="TÉRREO",0,IFERROR(VALUE(LEFT(E3960,FIND("º",SUBSTITUTE(E3960,"°","º"))-1)),""))))</f>
        <v>26</v>
      </c>
      <c r="O3960" s="2" t="str">
        <f aca="false">IF(OR(F3960="",G3960=""),"",IF(G3960&lt;='RETRATO 2027'!$K$5,"CONCLUÍDA",IF(F3960&lt;='RETRATO 2027'!$K$5,"EM ANDAMENTO","A INICIAR")))</f>
        <v>A INICIAR</v>
      </c>
    </row>
    <row r="3961" customFormat="false" ht="15" hidden="false" customHeight="false" outlineLevel="0" collapsed="false">
      <c r="B3961" s="4" t="n">
        <v>26742776</v>
      </c>
      <c r="C3961" s="4" t="s">
        <v>2962</v>
      </c>
      <c r="D3961" s="4" t="s">
        <v>433</v>
      </c>
      <c r="E3961" s="4" t="s">
        <v>3799</v>
      </c>
      <c r="F3961" s="127" t="n">
        <v>47007</v>
      </c>
      <c r="G3961" s="127" t="n">
        <v>47015</v>
      </c>
      <c r="H3961" s="127" t="n">
        <v>46293</v>
      </c>
      <c r="I3961" s="4" t="n">
        <v>0</v>
      </c>
      <c r="J3961" s="4" t="n">
        <v>0</v>
      </c>
      <c r="K3961" s="4" t="n">
        <v>0</v>
      </c>
      <c r="M3961" s="2" t="str">
        <f aca="false">IF(C3961="","",IFERROR(INDEX($S$5:$S$304,MATCH(C3961,$R$5:$R$304,0))&amp;"","?"))</f>
        <v>34</v>
      </c>
      <c r="N3961" s="2" t="n">
        <f aca="false">IF(E3961="","",IF(ISNUMBER(SEARCH("SUBSOLO",E3961)),IFERROR(-VALUE(LEFT(E3961,FIND("º",SUBSTITUTE(E3961,"°","º"))-1)),-1),IF(LEFT(E3961,6)="TÉRREO",0,IFERROR(VALUE(LEFT(E3961,FIND("º",SUBSTITUTE(E3961,"°","º"))-1)),""))))</f>
        <v>27</v>
      </c>
      <c r="O3961" s="2" t="str">
        <f aca="false">IF(OR(F3961="",G3961=""),"",IF(G3961&lt;='RETRATO 2027'!$K$5,"CONCLUÍDA",IF(F3961&lt;='RETRATO 2027'!$K$5,"EM ANDAMENTO","A INICIAR")))</f>
        <v>A INICIAR</v>
      </c>
    </row>
    <row r="3962" customFormat="false" ht="15" hidden="false" customHeight="false" outlineLevel="0" collapsed="false">
      <c r="B3962" s="4" t="n">
        <v>26742781</v>
      </c>
      <c r="C3962" s="4" t="s">
        <v>3088</v>
      </c>
      <c r="D3962" s="4" t="s">
        <v>433</v>
      </c>
      <c r="E3962" s="4" t="s">
        <v>3799</v>
      </c>
      <c r="F3962" s="127" t="n">
        <v>47007</v>
      </c>
      <c r="G3962" s="127" t="n">
        <v>47015</v>
      </c>
      <c r="H3962" s="127" t="n">
        <v>46293</v>
      </c>
      <c r="I3962" s="4" t="n">
        <v>0</v>
      </c>
      <c r="J3962" s="4" t="n">
        <v>0</v>
      </c>
      <c r="K3962" s="4" t="n">
        <v>0</v>
      </c>
      <c r="M3962" s="2" t="str">
        <f aca="false">IF(C3962="","",IFERROR(INDEX($S$5:$S$304,MATCH(C3962,$R$5:$R$304,0))&amp;"","?"))</f>
        <v>20</v>
      </c>
      <c r="N3962" s="2" t="n">
        <f aca="false">IF(E3962="","",IF(ISNUMBER(SEARCH("SUBSOLO",E3962)),IFERROR(-VALUE(LEFT(E3962,FIND("º",SUBSTITUTE(E3962,"°","º"))-1)),-1),IF(LEFT(E3962,6)="TÉRREO",0,IFERROR(VALUE(LEFT(E3962,FIND("º",SUBSTITUTE(E3962,"°","º"))-1)),""))))</f>
        <v>27</v>
      </c>
      <c r="O3962" s="2" t="str">
        <f aca="false">IF(OR(F3962="",G3962=""),"",IF(G3962&lt;='RETRATO 2027'!$K$5,"CONCLUÍDA",IF(F3962&lt;='RETRATO 2027'!$K$5,"EM ANDAMENTO","A INICIAR")))</f>
        <v>A INICIAR</v>
      </c>
    </row>
    <row r="3963" customFormat="false" ht="15" hidden="false" customHeight="false" outlineLevel="0" collapsed="false">
      <c r="B3963" s="4" t="n">
        <v>26742800</v>
      </c>
      <c r="C3963" s="4" t="s">
        <v>3009</v>
      </c>
      <c r="D3963" s="4" t="s">
        <v>433</v>
      </c>
      <c r="E3963" s="4" t="s">
        <v>3799</v>
      </c>
      <c r="F3963" s="127" t="n">
        <v>47007</v>
      </c>
      <c r="G3963" s="127" t="n">
        <v>47015</v>
      </c>
      <c r="H3963" s="127" t="n">
        <v>46293</v>
      </c>
      <c r="I3963" s="4" t="n">
        <v>0</v>
      </c>
      <c r="J3963" s="4" t="n">
        <v>0</v>
      </c>
      <c r="K3963" s="4" t="n">
        <v>0</v>
      </c>
      <c r="M3963" s="2" t="str">
        <f aca="false">IF(C3963="","",IFERROR(INDEX($S$5:$S$304,MATCH(C3963,$R$5:$R$304,0))&amp;"","?"))</f>
        <v>23</v>
      </c>
      <c r="N3963" s="2" t="n">
        <f aca="false">IF(E3963="","",IF(ISNUMBER(SEARCH("SUBSOLO",E3963)),IFERROR(-VALUE(LEFT(E3963,FIND("º",SUBSTITUTE(E3963,"°","º"))-1)),-1),IF(LEFT(E3963,6)="TÉRREO",0,IFERROR(VALUE(LEFT(E3963,FIND("º",SUBSTITUTE(E3963,"°","º"))-1)),""))))</f>
        <v>27</v>
      </c>
      <c r="O3963" s="2" t="str">
        <f aca="false">IF(OR(F3963="",G3963=""),"",IF(G3963&lt;='RETRATO 2027'!$K$5,"CONCLUÍDA",IF(F3963&lt;='RETRATO 2027'!$K$5,"EM ANDAMENTO","A INICIAR")))</f>
        <v>A INICIAR</v>
      </c>
    </row>
    <row r="3964" customFormat="false" ht="15" hidden="false" customHeight="false" outlineLevel="0" collapsed="false">
      <c r="B3964" s="4" t="n">
        <v>26742738</v>
      </c>
      <c r="C3964" s="4" t="s">
        <v>3082</v>
      </c>
      <c r="D3964" s="4" t="s">
        <v>433</v>
      </c>
      <c r="E3964" s="4" t="s">
        <v>3802</v>
      </c>
      <c r="F3964" s="127" t="n">
        <v>47007</v>
      </c>
      <c r="G3964" s="127" t="n">
        <v>47015</v>
      </c>
      <c r="H3964" s="127" t="n">
        <v>46293</v>
      </c>
      <c r="I3964" s="4" t="n">
        <v>0</v>
      </c>
      <c r="J3964" s="4" t="n">
        <v>0</v>
      </c>
      <c r="K3964" s="4" t="n">
        <v>0</v>
      </c>
      <c r="M3964" s="2" t="str">
        <f aca="false">IF(C3964="","",IFERROR(INDEX($S$5:$S$304,MATCH(C3964,$R$5:$R$304,0))&amp;"","?"))</f>
        <v>30</v>
      </c>
      <c r="N3964" s="2" t="n">
        <f aca="false">IF(E3964="","",IF(ISNUMBER(SEARCH("SUBSOLO",E3964)),IFERROR(-VALUE(LEFT(E3964,FIND("º",SUBSTITUTE(E3964,"°","º"))-1)),-1),IF(LEFT(E3964,6)="TÉRREO",0,IFERROR(VALUE(LEFT(E3964,FIND("º",SUBSTITUTE(E3964,"°","º"))-1)),""))))</f>
        <v>28</v>
      </c>
      <c r="O3964" s="2" t="str">
        <f aca="false">IF(OR(F3964="",G3964=""),"",IF(G3964&lt;='RETRATO 2027'!$K$5,"CONCLUÍDA",IF(F3964&lt;='RETRATO 2027'!$K$5,"EM ANDAMENTO","A INICIAR")))</f>
        <v>A INICIAR</v>
      </c>
    </row>
    <row r="3965" customFormat="false" ht="15" hidden="false" customHeight="false" outlineLevel="0" collapsed="false">
      <c r="B3965" s="4" t="n">
        <v>26742731</v>
      </c>
      <c r="C3965" s="4" t="s">
        <v>3079</v>
      </c>
      <c r="D3965" s="4" t="s">
        <v>433</v>
      </c>
      <c r="E3965" s="4" t="s">
        <v>3803</v>
      </c>
      <c r="F3965" s="127" t="n">
        <v>47007</v>
      </c>
      <c r="G3965" s="127" t="n">
        <v>47015</v>
      </c>
      <c r="H3965" s="127" t="n">
        <v>46293</v>
      </c>
      <c r="I3965" s="4" t="n">
        <v>0</v>
      </c>
      <c r="J3965" s="4" t="n">
        <v>0</v>
      </c>
      <c r="K3965" s="4" t="n">
        <v>0</v>
      </c>
      <c r="M3965" s="2" t="str">
        <f aca="false">IF(C3965="","",IFERROR(INDEX($S$5:$S$304,MATCH(C3965,$R$5:$R$304,0))&amp;"","?"))</f>
        <v>25</v>
      </c>
      <c r="N3965" s="2" t="n">
        <f aca="false">IF(E3965="","",IF(ISNUMBER(SEARCH("SUBSOLO",E3965)),IFERROR(-VALUE(LEFT(E3965,FIND("º",SUBSTITUTE(E3965,"°","º"))-1)),-1),IF(LEFT(E3965,6)="TÉRREO",0,IFERROR(VALUE(LEFT(E3965,FIND("º",SUBSTITUTE(E3965,"°","º"))-1)),""))))</f>
        <v>29</v>
      </c>
      <c r="O3965" s="2" t="str">
        <f aca="false">IF(OR(F3965="",G3965=""),"",IF(G3965&lt;='RETRATO 2027'!$K$5,"CONCLUÍDA",IF(F3965&lt;='RETRATO 2027'!$K$5,"EM ANDAMENTO","A INICIAR")))</f>
        <v>A INICIAR</v>
      </c>
    </row>
    <row r="3966" customFormat="false" ht="15" hidden="false" customHeight="false" outlineLevel="0" collapsed="false">
      <c r="B3966" s="4" t="n">
        <v>26708168</v>
      </c>
      <c r="C3966" s="4" t="s">
        <v>3093</v>
      </c>
      <c r="D3966" s="4" t="s">
        <v>433</v>
      </c>
      <c r="E3966" s="4" t="s">
        <v>3628</v>
      </c>
      <c r="F3966" s="127" t="n">
        <v>47009</v>
      </c>
      <c r="G3966" s="127" t="n">
        <v>47018</v>
      </c>
      <c r="H3966" s="127" t="n">
        <v>46293</v>
      </c>
      <c r="I3966" s="4" t="n">
        <v>0</v>
      </c>
      <c r="J3966" s="4" t="n">
        <v>0</v>
      </c>
      <c r="K3966" s="4" t="n">
        <v>0</v>
      </c>
      <c r="M3966" s="2" t="str">
        <f aca="false">IF(C3966="","",IFERROR(INDEX($S$5:$S$304,MATCH(C3966,$R$5:$R$304,0))&amp;"","?"))</f>
        <v>34</v>
      </c>
      <c r="N3966" s="2" t="n">
        <f aca="false">IF(E3966="","",IF(ISNUMBER(SEARCH("SUBSOLO",E3966)),IFERROR(-VALUE(LEFT(E3966,FIND("º",SUBSTITUTE(E3966,"°","º"))-1)),-1),IF(LEFT(E3966,6)="TÉRREO",0,IFERROR(VALUE(LEFT(E3966,FIND("º",SUBSTITUTE(E3966,"°","º"))-1)),""))))</f>
        <v>-6</v>
      </c>
      <c r="O3966" s="2" t="str">
        <f aca="false">IF(OR(F3966="",G3966=""),"",IF(G3966&lt;='RETRATO 2027'!$K$5,"CONCLUÍDA",IF(F3966&lt;='RETRATO 2027'!$K$5,"EM ANDAMENTO","A INICIAR")))</f>
        <v>A INICIAR</v>
      </c>
    </row>
    <row r="3967" customFormat="false" ht="15" hidden="false" customHeight="false" outlineLevel="0" collapsed="false">
      <c r="B3967" s="4" t="n">
        <v>26708132</v>
      </c>
      <c r="C3967" s="4" t="s">
        <v>2965</v>
      </c>
      <c r="D3967" s="4" t="s">
        <v>433</v>
      </c>
      <c r="E3967" s="4" t="s">
        <v>3813</v>
      </c>
      <c r="F3967" s="127" t="n">
        <v>47009</v>
      </c>
      <c r="G3967" s="127" t="n">
        <v>47011</v>
      </c>
      <c r="H3967" s="127" t="n">
        <v>46293</v>
      </c>
      <c r="I3967" s="4" t="n">
        <v>0</v>
      </c>
      <c r="J3967" s="4" t="n">
        <v>0</v>
      </c>
      <c r="K3967" s="4" t="n">
        <v>0</v>
      </c>
      <c r="M3967" s="2" t="str">
        <f aca="false">IF(C3967="","",IFERROR(INDEX($S$5:$S$304,MATCH(C3967,$R$5:$R$304,0))&amp;"","?"))</f>
        <v>20</v>
      </c>
      <c r="N3967" s="2" t="n">
        <f aca="false">IF(E3967="","",IF(ISNUMBER(SEARCH("SUBSOLO",E3967)),IFERROR(-VALUE(LEFT(E3967,FIND("º",SUBSTITUTE(E3967,"°","º"))-1)),-1),IF(LEFT(E3967,6)="TÉRREO",0,IFERROR(VALUE(LEFT(E3967,FIND("º",SUBSTITUTE(E3967,"°","º"))-1)),""))))</f>
        <v>-6</v>
      </c>
      <c r="O3967" s="2" t="str">
        <f aca="false">IF(OR(F3967="",G3967=""),"",IF(G3967&lt;='RETRATO 2027'!$K$5,"CONCLUÍDA",IF(F3967&lt;='RETRATO 2027'!$K$5,"EM ANDAMENTO","A INICIAR")))</f>
        <v>A INICIAR</v>
      </c>
    </row>
    <row r="3968" customFormat="false" ht="15" hidden="false" customHeight="false" outlineLevel="0" collapsed="false">
      <c r="B3968" s="4" t="n">
        <v>26745007</v>
      </c>
      <c r="C3968" s="4" t="s">
        <v>3032</v>
      </c>
      <c r="D3968" s="4" t="s">
        <v>433</v>
      </c>
      <c r="E3968" s="4" t="s">
        <v>3816</v>
      </c>
      <c r="F3968" s="127" t="n">
        <v>47010</v>
      </c>
      <c r="G3968" s="127" t="n">
        <v>47018</v>
      </c>
      <c r="H3968" s="127" t="n">
        <v>46293</v>
      </c>
      <c r="I3968" s="4" t="n">
        <v>0</v>
      </c>
      <c r="J3968" s="4" t="n">
        <v>0</v>
      </c>
      <c r="K3968" s="4" t="n">
        <v>0</v>
      </c>
      <c r="M3968" s="2" t="str">
        <f aca="false">IF(C3968="","",IFERROR(INDEX($S$5:$S$304,MATCH(C3968,$R$5:$R$304,0))&amp;"","?"))</f>
        <v>35</v>
      </c>
      <c r="N3968" s="2" t="n">
        <f aca="false">IF(E3968="","",IF(ISNUMBER(SEARCH("SUBSOLO",E3968)),IFERROR(-VALUE(LEFT(E3968,FIND("º",SUBSTITUTE(E3968,"°","º"))-1)),-1),IF(LEFT(E3968,6)="TÉRREO",0,IFERROR(VALUE(LEFT(E3968,FIND("º",SUBSTITUTE(E3968,"°","º"))-1)),""))))</f>
        <v>-6</v>
      </c>
      <c r="O3968" s="2" t="str">
        <f aca="false">IF(OR(F3968="",G3968=""),"",IF(G3968&lt;='RETRATO 2027'!$K$5,"CONCLUÍDA",IF(F3968&lt;='RETRATO 2027'!$K$5,"EM ANDAMENTO","A INICIAR")))</f>
        <v>A INICIAR</v>
      </c>
    </row>
    <row r="3969" customFormat="false" ht="15" hidden="false" customHeight="false" outlineLevel="0" collapsed="false">
      <c r="B3969" s="4" t="n">
        <v>26744474</v>
      </c>
      <c r="C3969" s="4" t="s">
        <v>214</v>
      </c>
      <c r="D3969" s="4" t="s">
        <v>433</v>
      </c>
      <c r="E3969" s="4" t="s">
        <v>3796</v>
      </c>
      <c r="F3969" s="127" t="n">
        <v>47010</v>
      </c>
      <c r="G3969" s="127" t="n">
        <v>47023</v>
      </c>
      <c r="H3969" s="127" t="n">
        <v>46293</v>
      </c>
      <c r="I3969" s="4" t="n">
        <v>0</v>
      </c>
      <c r="J3969" s="4" t="n">
        <v>0</v>
      </c>
      <c r="K3969" s="4" t="n">
        <v>0</v>
      </c>
      <c r="M3969" s="2" t="str">
        <f aca="false">IF(C3969="","",IFERROR(INDEX($S$5:$S$304,MATCH(C3969,$R$5:$R$304,0))&amp;"","?"))</f>
        <v>35</v>
      </c>
      <c r="N3969" s="2" t="n">
        <f aca="false">IF(E3969="","",IF(ISNUMBER(SEARCH("SUBSOLO",E3969)),IFERROR(-VALUE(LEFT(E3969,FIND("º",SUBSTITUTE(E3969,"°","º"))-1)),-1),IF(LEFT(E3969,6)="TÉRREO",0,IFERROR(VALUE(LEFT(E3969,FIND("º",SUBSTITUTE(E3969,"°","º"))-1)),""))))</f>
        <v>3</v>
      </c>
      <c r="O3969" s="2" t="str">
        <f aca="false">IF(OR(F3969="",G3969=""),"",IF(G3969&lt;='RETRATO 2027'!$K$5,"CONCLUÍDA",IF(F3969&lt;='RETRATO 2027'!$K$5,"EM ANDAMENTO","A INICIAR")))</f>
        <v>A INICIAR</v>
      </c>
    </row>
    <row r="3970" customFormat="false" ht="15" hidden="false" customHeight="false" outlineLevel="0" collapsed="false">
      <c r="B3970" s="4" t="n">
        <v>26743210</v>
      </c>
      <c r="C3970" s="4" t="s">
        <v>3073</v>
      </c>
      <c r="D3970" s="4" t="s">
        <v>433</v>
      </c>
      <c r="E3970" s="4" t="s">
        <v>3771</v>
      </c>
      <c r="F3970" s="127" t="n">
        <v>47010</v>
      </c>
      <c r="G3970" s="127" t="n">
        <v>47018</v>
      </c>
      <c r="H3970" s="127" t="n">
        <v>46293</v>
      </c>
      <c r="I3970" s="4" t="n">
        <v>0</v>
      </c>
      <c r="J3970" s="4" t="n">
        <v>0</v>
      </c>
      <c r="K3970" s="4" t="n">
        <v>0</v>
      </c>
      <c r="M3970" s="2" t="str">
        <f aca="false">IF(C3970="","",IFERROR(INDEX($S$5:$S$304,MATCH(C3970,$R$5:$R$304,0))&amp;"","?"))</f>
        <v>30</v>
      </c>
      <c r="N3970" s="2" t="n">
        <f aca="false">IF(E3970="","",IF(ISNUMBER(SEARCH("SUBSOLO",E3970)),IFERROR(-VALUE(LEFT(E3970,FIND("º",SUBSTITUTE(E3970,"°","º"))-1)),-1),IF(LEFT(E3970,6)="TÉRREO",0,IFERROR(VALUE(LEFT(E3970,FIND("º",SUBSTITUTE(E3970,"°","º"))-1)),""))))</f>
        <v>16</v>
      </c>
      <c r="O3970" s="2" t="str">
        <f aca="false">IF(OR(F3970="",G3970=""),"",IF(G3970&lt;='RETRATO 2027'!$K$5,"CONCLUÍDA",IF(F3970&lt;='RETRATO 2027'!$K$5,"EM ANDAMENTO","A INICIAR")))</f>
        <v>A INICIAR</v>
      </c>
    </row>
    <row r="3971" customFormat="false" ht="15" hidden="false" customHeight="false" outlineLevel="0" collapsed="false">
      <c r="B3971" s="4" t="n">
        <v>26750587</v>
      </c>
      <c r="C3971" s="4" t="s">
        <v>3032</v>
      </c>
      <c r="D3971" s="4" t="s">
        <v>433</v>
      </c>
      <c r="E3971" s="4" t="s">
        <v>3814</v>
      </c>
      <c r="F3971" s="127" t="n">
        <v>47011</v>
      </c>
      <c r="G3971" s="127" t="n">
        <v>47017</v>
      </c>
      <c r="H3971" s="127" t="n">
        <v>46293</v>
      </c>
      <c r="I3971" s="4" t="n">
        <v>0</v>
      </c>
      <c r="J3971" s="4" t="n">
        <v>0</v>
      </c>
      <c r="K3971" s="4" t="n">
        <v>0</v>
      </c>
      <c r="M3971" s="2" t="str">
        <f aca="false">IF(C3971="","",IFERROR(INDEX($S$5:$S$304,MATCH(C3971,$R$5:$R$304,0))&amp;"","?"))</f>
        <v>35</v>
      </c>
      <c r="N3971" s="2" t="n">
        <f aca="false">IF(E3971="","",IF(ISNUMBER(SEARCH("SUBSOLO",E3971)),IFERROR(-VALUE(LEFT(E3971,FIND("º",SUBSTITUTE(E3971,"°","º"))-1)),-1),IF(LEFT(E3971,6)="TÉRREO",0,IFERROR(VALUE(LEFT(E3971,FIND("º",SUBSTITUTE(E3971,"°","º"))-1)),""))))</f>
        <v>-6</v>
      </c>
      <c r="O3971" s="2" t="str">
        <f aca="false">IF(OR(F3971="",G3971=""),"",IF(G3971&lt;='RETRATO 2027'!$K$5,"CONCLUÍDA",IF(F3971&lt;='RETRATO 2027'!$K$5,"EM ANDAMENTO","A INICIAR")))</f>
        <v>A INICIAR</v>
      </c>
    </row>
    <row r="3972" customFormat="false" ht="15" hidden="false" customHeight="false" outlineLevel="0" collapsed="false">
      <c r="B3972" s="4" t="n">
        <v>26744491</v>
      </c>
      <c r="C3972" s="4" t="s">
        <v>3055</v>
      </c>
      <c r="D3972" s="4" t="s">
        <v>433</v>
      </c>
      <c r="E3972" s="4" t="s">
        <v>3804</v>
      </c>
      <c r="F3972" s="127" t="n">
        <v>47014</v>
      </c>
      <c r="G3972" s="127" t="n">
        <v>47032</v>
      </c>
      <c r="H3972" s="127" t="n">
        <v>46293</v>
      </c>
      <c r="I3972" s="4" t="n">
        <v>0</v>
      </c>
      <c r="J3972" s="4" t="n">
        <v>0</v>
      </c>
      <c r="K3972" s="4" t="n">
        <v>0</v>
      </c>
      <c r="M3972" s="2" t="str">
        <f aca="false">IF(C3972="","",IFERROR(INDEX($S$5:$S$304,MATCH(C3972,$R$5:$R$304,0))&amp;"","?"))</f>
        <v>25</v>
      </c>
      <c r="N3972" s="2" t="n">
        <f aca="false">IF(E3972="","",IF(ISNUMBER(SEARCH("SUBSOLO",E3972)),IFERROR(-VALUE(LEFT(E3972,FIND("º",SUBSTITUTE(E3972,"°","º"))-1)),-1),IF(LEFT(E3972,6)="TÉRREO",0,IFERROR(VALUE(LEFT(E3972,FIND("º",SUBSTITUTE(E3972,"°","º"))-1)),""))))</f>
        <v>3</v>
      </c>
      <c r="O3972" s="2" t="str">
        <f aca="false">IF(OR(F3972="",G3972=""),"",IF(G3972&lt;='RETRATO 2027'!$K$5,"CONCLUÍDA",IF(F3972&lt;='RETRATO 2027'!$K$5,"EM ANDAMENTO","A INICIAR")))</f>
        <v>A INICIAR</v>
      </c>
    </row>
    <row r="3973" customFormat="false" ht="15" hidden="false" customHeight="false" outlineLevel="0" collapsed="false">
      <c r="B3973" s="4" t="n">
        <v>30433016</v>
      </c>
      <c r="C3973" s="4" t="s">
        <v>3096</v>
      </c>
      <c r="D3973" s="4" t="s">
        <v>433</v>
      </c>
      <c r="E3973" s="4" t="s">
        <v>3783</v>
      </c>
      <c r="F3973" s="127" t="n">
        <v>47016</v>
      </c>
      <c r="G3973" s="127" t="n">
        <v>47024</v>
      </c>
      <c r="H3973" s="127" t="n">
        <v>46293</v>
      </c>
      <c r="I3973" s="4" t="n">
        <v>0</v>
      </c>
      <c r="J3973" s="4" t="n">
        <v>0</v>
      </c>
      <c r="K3973" s="4" t="n">
        <v>0</v>
      </c>
      <c r="M3973" s="2" t="str">
        <f aca="false">IF(C3973="","",IFERROR(INDEX($S$5:$S$304,MATCH(C3973,$R$5:$R$304,0))&amp;"","?"))</f>
        <v/>
      </c>
      <c r="N3973" s="2" t="n">
        <f aca="false">IF(E3973="","",IF(ISNUMBER(SEARCH("SUBSOLO",E3973)),IFERROR(-VALUE(LEFT(E3973,FIND("º",SUBSTITUTE(E3973,"°","º"))-1)),-1),IF(LEFT(E3973,6)="TÉRREO",0,IFERROR(VALUE(LEFT(E3973,FIND("º",SUBSTITUTE(E3973,"°","º"))-1)),""))))</f>
        <v>21</v>
      </c>
      <c r="O3973" s="2" t="str">
        <f aca="false">IF(OR(F3973="",G3973=""),"",IF(G3973&lt;='RETRATO 2027'!$K$5,"CONCLUÍDA",IF(F3973&lt;='RETRATO 2027'!$K$5,"EM ANDAMENTO","A INICIAR")))</f>
        <v>A INICIAR</v>
      </c>
    </row>
    <row r="3974" customFormat="false" ht="15" hidden="false" customHeight="false" outlineLevel="0" collapsed="false">
      <c r="B3974" s="4" t="n">
        <v>26742967</v>
      </c>
      <c r="C3974" s="4" t="s">
        <v>3029</v>
      </c>
      <c r="D3974" s="4" t="s">
        <v>433</v>
      </c>
      <c r="E3974" s="4" t="s">
        <v>3786</v>
      </c>
      <c r="F3974" s="127" t="n">
        <v>47016</v>
      </c>
      <c r="G3974" s="127" t="n">
        <v>47024</v>
      </c>
      <c r="H3974" s="127" t="n">
        <v>46293</v>
      </c>
      <c r="I3974" s="4" t="n">
        <v>0</v>
      </c>
      <c r="J3974" s="4" t="n">
        <v>0</v>
      </c>
      <c r="K3974" s="4" t="n">
        <v>0</v>
      </c>
      <c r="M3974" s="2" t="str">
        <f aca="false">IF(C3974="","",IFERROR(INDEX($S$5:$S$304,MATCH(C3974,$R$5:$R$304,0))&amp;"","?"))</f>
        <v/>
      </c>
      <c r="N3974" s="2" t="n">
        <f aca="false">IF(E3974="","",IF(ISNUMBER(SEARCH("SUBSOLO",E3974)),IFERROR(-VALUE(LEFT(E3974,FIND("º",SUBSTITUTE(E3974,"°","º"))-1)),-1),IF(LEFT(E3974,6)="TÉRREO",0,IFERROR(VALUE(LEFT(E3974,FIND("º",SUBSTITUTE(E3974,"°","º"))-1)),""))))</f>
        <v>22</v>
      </c>
      <c r="O3974" s="2" t="str">
        <f aca="false">IF(OR(F3974="",G3974=""),"",IF(G3974&lt;='RETRATO 2027'!$K$5,"CONCLUÍDA",IF(F3974&lt;='RETRATO 2027'!$K$5,"EM ANDAMENTO","A INICIAR")))</f>
        <v>A INICIAR</v>
      </c>
    </row>
    <row r="3975" customFormat="false" ht="15" hidden="false" customHeight="false" outlineLevel="0" collapsed="false">
      <c r="B3975" s="4" t="n">
        <v>26742928</v>
      </c>
      <c r="C3975" s="4" t="s">
        <v>2971</v>
      </c>
      <c r="D3975" s="4" t="s">
        <v>433</v>
      </c>
      <c r="E3975" s="4" t="s">
        <v>3787</v>
      </c>
      <c r="F3975" s="127" t="n">
        <v>47016</v>
      </c>
      <c r="G3975" s="127" t="n">
        <v>47024</v>
      </c>
      <c r="H3975" s="127" t="n">
        <v>46293</v>
      </c>
      <c r="I3975" s="4" t="n">
        <v>0</v>
      </c>
      <c r="J3975" s="4" t="n">
        <v>0</v>
      </c>
      <c r="K3975" s="4" t="n">
        <v>0</v>
      </c>
      <c r="M3975" s="2" t="str">
        <f aca="false">IF(C3975="","",IFERROR(INDEX($S$5:$S$304,MATCH(C3975,$R$5:$R$304,0))&amp;"","?"))</f>
        <v>37</v>
      </c>
      <c r="N3975" s="2" t="n">
        <f aca="false">IF(E3975="","",IF(ISNUMBER(SEARCH("SUBSOLO",E3975)),IFERROR(-VALUE(LEFT(E3975,FIND("º",SUBSTITUTE(E3975,"°","º"))-1)),-1),IF(LEFT(E3975,6)="TÉRREO",0,IFERROR(VALUE(LEFT(E3975,FIND("º",SUBSTITUTE(E3975,"°","º"))-1)),""))))</f>
        <v>23</v>
      </c>
      <c r="O3975" s="2" t="str">
        <f aca="false">IF(OR(F3975="",G3975=""),"",IF(G3975&lt;='RETRATO 2027'!$K$5,"CONCLUÍDA",IF(F3975&lt;='RETRATO 2027'!$K$5,"EM ANDAMENTO","A INICIAR")))</f>
        <v>A INICIAR</v>
      </c>
    </row>
    <row r="3976" customFormat="false" ht="15" hidden="false" customHeight="false" outlineLevel="0" collapsed="false">
      <c r="B3976" s="4" t="n">
        <v>26742890</v>
      </c>
      <c r="C3976" s="4" t="s">
        <v>3032</v>
      </c>
      <c r="D3976" s="4" t="s">
        <v>433</v>
      </c>
      <c r="E3976" s="4" t="s">
        <v>3788</v>
      </c>
      <c r="F3976" s="127" t="n">
        <v>47016</v>
      </c>
      <c r="G3976" s="127" t="n">
        <v>47024</v>
      </c>
      <c r="H3976" s="127" t="n">
        <v>46293</v>
      </c>
      <c r="I3976" s="4" t="n">
        <v>0</v>
      </c>
      <c r="J3976" s="4" t="n">
        <v>0</v>
      </c>
      <c r="K3976" s="4" t="n">
        <v>0</v>
      </c>
      <c r="M3976" s="2" t="str">
        <f aca="false">IF(C3976="","",IFERROR(INDEX($S$5:$S$304,MATCH(C3976,$R$5:$R$304,0))&amp;"","?"))</f>
        <v>35</v>
      </c>
      <c r="N3976" s="2" t="n">
        <f aca="false">IF(E3976="","",IF(ISNUMBER(SEARCH("SUBSOLO",E3976)),IFERROR(-VALUE(LEFT(E3976,FIND("º",SUBSTITUTE(E3976,"°","º"))-1)),-1),IF(LEFT(E3976,6)="TÉRREO",0,IFERROR(VALUE(LEFT(E3976,FIND("º",SUBSTITUTE(E3976,"°","º"))-1)),""))))</f>
        <v>24</v>
      </c>
      <c r="O3976" s="2" t="str">
        <f aca="false">IF(OR(F3976="",G3976=""),"",IF(G3976&lt;='RETRATO 2027'!$K$5,"CONCLUÍDA",IF(F3976&lt;='RETRATO 2027'!$K$5,"EM ANDAMENTO","A INICIAR")))</f>
        <v>A INICIAR</v>
      </c>
    </row>
    <row r="3977" customFormat="false" ht="15" hidden="false" customHeight="false" outlineLevel="0" collapsed="false">
      <c r="B3977" s="4" t="n">
        <v>26742847</v>
      </c>
      <c r="C3977" s="4" t="s">
        <v>3093</v>
      </c>
      <c r="D3977" s="4" t="s">
        <v>433</v>
      </c>
      <c r="E3977" s="4" t="s">
        <v>3794</v>
      </c>
      <c r="F3977" s="127" t="n">
        <v>47016</v>
      </c>
      <c r="G3977" s="127" t="n">
        <v>47024</v>
      </c>
      <c r="H3977" s="127" t="n">
        <v>46293</v>
      </c>
      <c r="I3977" s="4" t="n">
        <v>0</v>
      </c>
      <c r="J3977" s="4" t="n">
        <v>0</v>
      </c>
      <c r="K3977" s="4" t="n">
        <v>0</v>
      </c>
      <c r="M3977" s="2" t="str">
        <f aca="false">IF(C3977="","",IFERROR(INDEX($S$5:$S$304,MATCH(C3977,$R$5:$R$304,0))&amp;"","?"))</f>
        <v>34</v>
      </c>
      <c r="N3977" s="2" t="n">
        <f aca="false">IF(E3977="","",IF(ISNUMBER(SEARCH("SUBSOLO",E3977)),IFERROR(-VALUE(LEFT(E3977,FIND("º",SUBSTITUTE(E3977,"°","º"))-1)),-1),IF(LEFT(E3977,6)="TÉRREO",0,IFERROR(VALUE(LEFT(E3977,FIND("º",SUBSTITUTE(E3977,"°","º"))-1)),""))))</f>
        <v>25</v>
      </c>
      <c r="O3977" s="2" t="str">
        <f aca="false">IF(OR(F3977="",G3977=""),"",IF(G3977&lt;='RETRATO 2027'!$K$5,"CONCLUÍDA",IF(F3977&lt;='RETRATO 2027'!$K$5,"EM ANDAMENTO","A INICIAR")))</f>
        <v>A INICIAR</v>
      </c>
    </row>
    <row r="3978" customFormat="false" ht="15" hidden="false" customHeight="false" outlineLevel="0" collapsed="false">
      <c r="B3978" s="4" t="n">
        <v>26742869</v>
      </c>
      <c r="C3978" s="4" t="s">
        <v>2965</v>
      </c>
      <c r="D3978" s="4" t="s">
        <v>433</v>
      </c>
      <c r="E3978" s="4" t="s">
        <v>3794</v>
      </c>
      <c r="F3978" s="127" t="n">
        <v>47016</v>
      </c>
      <c r="G3978" s="127" t="n">
        <v>47024</v>
      </c>
      <c r="H3978" s="127" t="n">
        <v>46293</v>
      </c>
      <c r="I3978" s="4" t="n">
        <v>0</v>
      </c>
      <c r="J3978" s="4" t="n">
        <v>0</v>
      </c>
      <c r="K3978" s="4" t="n">
        <v>0</v>
      </c>
      <c r="M3978" s="2" t="str">
        <f aca="false">IF(C3978="","",IFERROR(INDEX($S$5:$S$304,MATCH(C3978,$R$5:$R$304,0))&amp;"","?"))</f>
        <v>20</v>
      </c>
      <c r="N3978" s="2" t="n">
        <f aca="false">IF(E3978="","",IF(ISNUMBER(SEARCH("SUBSOLO",E3978)),IFERROR(-VALUE(LEFT(E3978,FIND("º",SUBSTITUTE(E3978,"°","º"))-1)),-1),IF(LEFT(E3978,6)="TÉRREO",0,IFERROR(VALUE(LEFT(E3978,FIND("º",SUBSTITUTE(E3978,"°","º"))-1)),""))))</f>
        <v>25</v>
      </c>
      <c r="O3978" s="2" t="str">
        <f aca="false">IF(OR(F3978="",G3978=""),"",IF(G3978&lt;='RETRATO 2027'!$K$5,"CONCLUÍDA",IF(F3978&lt;='RETRATO 2027'!$K$5,"EM ANDAMENTO","A INICIAR")))</f>
        <v>A INICIAR</v>
      </c>
    </row>
    <row r="3979" customFormat="false" ht="15" hidden="false" customHeight="false" outlineLevel="0" collapsed="false">
      <c r="B3979" s="4" t="n">
        <v>26742809</v>
      </c>
      <c r="C3979" s="4" t="s">
        <v>3021</v>
      </c>
      <c r="D3979" s="4" t="s">
        <v>433</v>
      </c>
      <c r="E3979" s="4" t="s">
        <v>3797</v>
      </c>
      <c r="F3979" s="127" t="n">
        <v>47016</v>
      </c>
      <c r="G3979" s="127" t="n">
        <v>47024</v>
      </c>
      <c r="H3979" s="127" t="n">
        <v>46293</v>
      </c>
      <c r="I3979" s="4" t="n">
        <v>0</v>
      </c>
      <c r="J3979" s="4" t="n">
        <v>0</v>
      </c>
      <c r="K3979" s="4" t="n">
        <v>0</v>
      </c>
      <c r="M3979" s="2" t="str">
        <f aca="false">IF(C3979="","",IFERROR(INDEX($S$5:$S$304,MATCH(C3979,$R$5:$R$304,0))&amp;"","?"))</f>
        <v>35</v>
      </c>
      <c r="N3979" s="2" t="n">
        <f aca="false">IF(E3979="","",IF(ISNUMBER(SEARCH("SUBSOLO",E3979)),IFERROR(-VALUE(LEFT(E3979,FIND("º",SUBSTITUTE(E3979,"°","º"))-1)),-1),IF(LEFT(E3979,6)="TÉRREO",0,IFERROR(VALUE(LEFT(E3979,FIND("º",SUBSTITUTE(E3979,"°","º"))-1)),""))))</f>
        <v>26</v>
      </c>
      <c r="O3979" s="2" t="str">
        <f aca="false">IF(OR(F3979="",G3979=""),"",IF(G3979&lt;='RETRATO 2027'!$K$5,"CONCLUÍDA",IF(F3979&lt;='RETRATO 2027'!$K$5,"EM ANDAMENTO","A INICIAR")))</f>
        <v>A INICIAR</v>
      </c>
    </row>
    <row r="3980" customFormat="false" ht="15" hidden="false" customHeight="false" outlineLevel="0" collapsed="false">
      <c r="B3980" s="4" t="n">
        <v>26742774</v>
      </c>
      <c r="C3980" s="4" t="s">
        <v>3006</v>
      </c>
      <c r="D3980" s="4" t="s">
        <v>433</v>
      </c>
      <c r="E3980" s="4" t="s">
        <v>3799</v>
      </c>
      <c r="F3980" s="127" t="n">
        <v>47016</v>
      </c>
      <c r="G3980" s="127" t="n">
        <v>47024</v>
      </c>
      <c r="H3980" s="127" t="n">
        <v>46293</v>
      </c>
      <c r="I3980" s="4" t="n">
        <v>0</v>
      </c>
      <c r="J3980" s="4" t="n">
        <v>0</v>
      </c>
      <c r="K3980" s="4" t="n">
        <v>0</v>
      </c>
      <c r="M3980" s="2" t="str">
        <f aca="false">IF(C3980="","",IFERROR(INDEX($S$5:$S$304,MATCH(C3980,$R$5:$R$304,0))&amp;"","?"))</f>
        <v>37</v>
      </c>
      <c r="N3980" s="2" t="n">
        <f aca="false">IF(E3980="","",IF(ISNUMBER(SEARCH("SUBSOLO",E3980)),IFERROR(-VALUE(LEFT(E3980,FIND("º",SUBSTITUTE(E3980,"°","º"))-1)),-1),IF(LEFT(E3980,6)="TÉRREO",0,IFERROR(VALUE(LEFT(E3980,FIND("º",SUBSTITUTE(E3980,"°","º"))-1)),""))))</f>
        <v>27</v>
      </c>
      <c r="O3980" s="2" t="str">
        <f aca="false">IF(OR(F3980="",G3980=""),"",IF(G3980&lt;='RETRATO 2027'!$K$5,"CONCLUÍDA",IF(F3980&lt;='RETRATO 2027'!$K$5,"EM ANDAMENTO","A INICIAR")))</f>
        <v>A INICIAR</v>
      </c>
    </row>
    <row r="3981" customFormat="false" ht="15" hidden="false" customHeight="false" outlineLevel="0" collapsed="false">
      <c r="B3981" s="4" t="n">
        <v>26742739</v>
      </c>
      <c r="C3981" s="4" t="s">
        <v>2962</v>
      </c>
      <c r="D3981" s="4" t="s">
        <v>433</v>
      </c>
      <c r="E3981" s="4" t="s">
        <v>3802</v>
      </c>
      <c r="F3981" s="127" t="n">
        <v>47016</v>
      </c>
      <c r="G3981" s="127" t="n">
        <v>47024</v>
      </c>
      <c r="H3981" s="127" t="n">
        <v>46293</v>
      </c>
      <c r="I3981" s="4" t="n">
        <v>0</v>
      </c>
      <c r="J3981" s="4" t="n">
        <v>0</v>
      </c>
      <c r="K3981" s="4" t="n">
        <v>0</v>
      </c>
      <c r="M3981" s="2" t="str">
        <f aca="false">IF(C3981="","",IFERROR(INDEX($S$5:$S$304,MATCH(C3981,$R$5:$R$304,0))&amp;"","?"))</f>
        <v>34</v>
      </c>
      <c r="N3981" s="2" t="n">
        <f aca="false">IF(E3981="","",IF(ISNUMBER(SEARCH("SUBSOLO",E3981)),IFERROR(-VALUE(LEFT(E3981,FIND("º",SUBSTITUTE(E3981,"°","º"))-1)),-1),IF(LEFT(E3981,6)="TÉRREO",0,IFERROR(VALUE(LEFT(E3981,FIND("º",SUBSTITUTE(E3981,"°","º"))-1)),""))))</f>
        <v>28</v>
      </c>
      <c r="O3981" s="2" t="str">
        <f aca="false">IF(OR(F3981="",G3981=""),"",IF(G3981&lt;='RETRATO 2027'!$K$5,"CONCLUÍDA",IF(F3981&lt;='RETRATO 2027'!$K$5,"EM ANDAMENTO","A INICIAR")))</f>
        <v>A INICIAR</v>
      </c>
    </row>
    <row r="3982" customFormat="false" ht="15" hidden="false" customHeight="false" outlineLevel="0" collapsed="false">
      <c r="B3982" s="4" t="n">
        <v>26742744</v>
      </c>
      <c r="C3982" s="4" t="s">
        <v>3088</v>
      </c>
      <c r="D3982" s="4" t="s">
        <v>433</v>
      </c>
      <c r="E3982" s="4" t="s">
        <v>3802</v>
      </c>
      <c r="F3982" s="127" t="n">
        <v>47016</v>
      </c>
      <c r="G3982" s="127" t="n">
        <v>47024</v>
      </c>
      <c r="H3982" s="127" t="n">
        <v>46293</v>
      </c>
      <c r="I3982" s="4" t="n">
        <v>0</v>
      </c>
      <c r="J3982" s="4" t="n">
        <v>0</v>
      </c>
      <c r="K3982" s="4" t="n">
        <v>0</v>
      </c>
      <c r="M3982" s="2" t="str">
        <f aca="false">IF(C3982="","",IFERROR(INDEX($S$5:$S$304,MATCH(C3982,$R$5:$R$304,0))&amp;"","?"))</f>
        <v>20</v>
      </c>
      <c r="N3982" s="2" t="n">
        <f aca="false">IF(E3982="","",IF(ISNUMBER(SEARCH("SUBSOLO",E3982)),IFERROR(-VALUE(LEFT(E3982,FIND("º",SUBSTITUTE(E3982,"°","º"))-1)),-1),IF(LEFT(E3982,6)="TÉRREO",0,IFERROR(VALUE(LEFT(E3982,FIND("º",SUBSTITUTE(E3982,"°","º"))-1)),""))))</f>
        <v>28</v>
      </c>
      <c r="O3982" s="2" t="str">
        <f aca="false">IF(OR(F3982="",G3982=""),"",IF(G3982&lt;='RETRATO 2027'!$K$5,"CONCLUÍDA",IF(F3982&lt;='RETRATO 2027'!$K$5,"EM ANDAMENTO","A INICIAR")))</f>
        <v>A INICIAR</v>
      </c>
    </row>
    <row r="3983" customFormat="false" ht="15" hidden="false" customHeight="false" outlineLevel="0" collapsed="false">
      <c r="B3983" s="4" t="n">
        <v>26742763</v>
      </c>
      <c r="C3983" s="4" t="s">
        <v>3009</v>
      </c>
      <c r="D3983" s="4" t="s">
        <v>433</v>
      </c>
      <c r="E3983" s="4" t="s">
        <v>3802</v>
      </c>
      <c r="F3983" s="127" t="n">
        <v>47016</v>
      </c>
      <c r="G3983" s="127" t="n">
        <v>47024</v>
      </c>
      <c r="H3983" s="127" t="n">
        <v>46293</v>
      </c>
      <c r="I3983" s="4" t="n">
        <v>0</v>
      </c>
      <c r="J3983" s="4" t="n">
        <v>0</v>
      </c>
      <c r="K3983" s="4" t="n">
        <v>0</v>
      </c>
      <c r="M3983" s="2" t="str">
        <f aca="false">IF(C3983="","",IFERROR(INDEX($S$5:$S$304,MATCH(C3983,$R$5:$R$304,0))&amp;"","?"))</f>
        <v>23</v>
      </c>
      <c r="N3983" s="2" t="n">
        <f aca="false">IF(E3983="","",IF(ISNUMBER(SEARCH("SUBSOLO",E3983)),IFERROR(-VALUE(LEFT(E3983,FIND("º",SUBSTITUTE(E3983,"°","º"))-1)),-1),IF(LEFT(E3983,6)="TÉRREO",0,IFERROR(VALUE(LEFT(E3983,FIND("º",SUBSTITUTE(E3983,"°","º"))-1)),""))))</f>
        <v>28</v>
      </c>
      <c r="O3983" s="2" t="str">
        <f aca="false">IF(OR(F3983="",G3983=""),"",IF(G3983&lt;='RETRATO 2027'!$K$5,"CONCLUÍDA",IF(F3983&lt;='RETRATO 2027'!$K$5,"EM ANDAMENTO","A INICIAR")))</f>
        <v>A INICIAR</v>
      </c>
    </row>
    <row r="3984" customFormat="false" ht="15" hidden="false" customHeight="false" outlineLevel="0" collapsed="false">
      <c r="B3984" s="4" t="n">
        <v>26742701</v>
      </c>
      <c r="C3984" s="4" t="s">
        <v>3082</v>
      </c>
      <c r="D3984" s="4" t="s">
        <v>433</v>
      </c>
      <c r="E3984" s="4" t="s">
        <v>3803</v>
      </c>
      <c r="F3984" s="127" t="n">
        <v>47016</v>
      </c>
      <c r="G3984" s="127" t="n">
        <v>47024</v>
      </c>
      <c r="H3984" s="127" t="n">
        <v>46293</v>
      </c>
      <c r="I3984" s="4" t="n">
        <v>0</v>
      </c>
      <c r="J3984" s="4" t="n">
        <v>0</v>
      </c>
      <c r="K3984" s="4" t="n">
        <v>0</v>
      </c>
      <c r="M3984" s="2" t="str">
        <f aca="false">IF(C3984="","",IFERROR(INDEX($S$5:$S$304,MATCH(C3984,$R$5:$R$304,0))&amp;"","?"))</f>
        <v>30</v>
      </c>
      <c r="N3984" s="2" t="n">
        <f aca="false">IF(E3984="","",IF(ISNUMBER(SEARCH("SUBSOLO",E3984)),IFERROR(-VALUE(LEFT(E3984,FIND("º",SUBSTITUTE(E3984,"°","º"))-1)),-1),IF(LEFT(E3984,6)="TÉRREO",0,IFERROR(VALUE(LEFT(E3984,FIND("º",SUBSTITUTE(E3984,"°","º"))-1)),""))))</f>
        <v>29</v>
      </c>
      <c r="O3984" s="2" t="str">
        <f aca="false">IF(OR(F3984="",G3984=""),"",IF(G3984&lt;='RETRATO 2027'!$K$5,"CONCLUÍDA",IF(F3984&lt;='RETRATO 2027'!$K$5,"EM ANDAMENTO","A INICIAR")))</f>
        <v>A INICIAR</v>
      </c>
    </row>
    <row r="3985" customFormat="false" ht="15" hidden="false" customHeight="false" outlineLevel="0" collapsed="false">
      <c r="B3985" s="4" t="n">
        <v>26744905</v>
      </c>
      <c r="C3985" s="4" t="s">
        <v>2971</v>
      </c>
      <c r="D3985" s="4" t="s">
        <v>433</v>
      </c>
      <c r="E3985" s="4" t="s">
        <v>3805</v>
      </c>
      <c r="F3985" s="127" t="n">
        <v>47016</v>
      </c>
      <c r="G3985" s="127" t="n">
        <v>47024</v>
      </c>
      <c r="H3985" s="127" t="n">
        <v>46293</v>
      </c>
      <c r="I3985" s="4" t="n">
        <v>0</v>
      </c>
      <c r="J3985" s="4" t="n">
        <v>0</v>
      </c>
      <c r="K3985" s="4" t="n">
        <v>0</v>
      </c>
      <c r="M3985" s="2" t="str">
        <f aca="false">IF(C3985="","",IFERROR(INDEX($S$5:$S$304,MATCH(C3985,$R$5:$R$304,0))&amp;"","?"))</f>
        <v>37</v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>A INICIAR</v>
      </c>
    </row>
    <row r="3986" customFormat="false" ht="15" hidden="false" customHeight="false" outlineLevel="0" collapsed="false">
      <c r="B3986" s="4" t="n">
        <v>26750588</v>
      </c>
      <c r="C3986" s="4" t="s">
        <v>2971</v>
      </c>
      <c r="D3986" s="4" t="s">
        <v>433</v>
      </c>
      <c r="E3986" s="4" t="s">
        <v>3814</v>
      </c>
      <c r="F3986" s="127" t="n">
        <v>47018</v>
      </c>
      <c r="G3986" s="127" t="n">
        <v>47024</v>
      </c>
      <c r="H3986" s="127" t="n">
        <v>46293</v>
      </c>
      <c r="I3986" s="4" t="n">
        <v>0</v>
      </c>
      <c r="J3986" s="4" t="n">
        <v>0</v>
      </c>
      <c r="K3986" s="4" t="n">
        <v>0</v>
      </c>
      <c r="M3986" s="2" t="str">
        <f aca="false">IF(C3986="","",IFERROR(INDEX($S$5:$S$304,MATCH(C3986,$R$5:$R$304,0))&amp;"","?"))</f>
        <v>37</v>
      </c>
      <c r="N3986" s="2" t="n">
        <f aca="false">IF(E3986="","",IF(ISNUMBER(SEARCH("SUBSOLO",E3986)),IFERROR(-VALUE(LEFT(E3986,FIND("º",SUBSTITUTE(E3986,"°","º"))-1)),-1),IF(LEFT(E3986,6)="TÉRREO",0,IFERROR(VALUE(LEFT(E3986,FIND("º",SUBSTITUTE(E3986,"°","º"))-1)),""))))</f>
        <v>-6</v>
      </c>
      <c r="O3986" s="2" t="str">
        <f aca="false">IF(OR(F3986="",G3986=""),"",IF(G3986&lt;='RETRATO 2027'!$K$5,"CONCLUÍDA",IF(F3986&lt;='RETRATO 2027'!$K$5,"EM ANDAMENTO","A INICIAR")))</f>
        <v>A INICIAR</v>
      </c>
    </row>
    <row r="3987" customFormat="false" ht="15" hidden="false" customHeight="false" outlineLevel="0" collapsed="false">
      <c r="B3987" s="4" t="n">
        <v>26708176</v>
      </c>
      <c r="C3987" s="4" t="s">
        <v>2971</v>
      </c>
      <c r="D3987" s="4" t="s">
        <v>433</v>
      </c>
      <c r="E3987" s="4" t="s">
        <v>3628</v>
      </c>
      <c r="F3987" s="127" t="n">
        <v>47021</v>
      </c>
      <c r="G3987" s="127" t="n">
        <v>47030</v>
      </c>
      <c r="H3987" s="127" t="n">
        <v>46293</v>
      </c>
      <c r="I3987" s="4" t="n">
        <v>0</v>
      </c>
      <c r="J3987" s="4" t="n">
        <v>0</v>
      </c>
      <c r="K3987" s="4" t="n">
        <v>0</v>
      </c>
      <c r="M3987" s="2" t="str">
        <f aca="false">IF(C3987="","",IFERROR(INDEX($S$5:$S$304,MATCH(C3987,$R$5:$R$304,0))&amp;"","?"))</f>
        <v>37</v>
      </c>
      <c r="N3987" s="2" t="n">
        <f aca="false">IF(E3987="","",IF(ISNUMBER(SEARCH("SUBSOLO",E3987)),IFERROR(-VALUE(LEFT(E3987,FIND("º",SUBSTITUTE(E3987,"°","º"))-1)),-1),IF(LEFT(E3987,6)="TÉRREO",0,IFERROR(VALUE(LEFT(E3987,FIND("º",SUBSTITUTE(E3987,"°","º"))-1)),""))))</f>
        <v>-6</v>
      </c>
      <c r="O3987" s="2" t="str">
        <f aca="false">IF(OR(F3987="",G3987=""),"",IF(G3987&lt;='RETRATO 2027'!$K$5,"CONCLUÍDA",IF(F3987&lt;='RETRATO 2027'!$K$5,"EM ANDAMENTO","A INICIAR")))</f>
        <v>A INICIAR</v>
      </c>
    </row>
    <row r="3988" customFormat="false" ht="15" hidden="false" customHeight="false" outlineLevel="0" collapsed="false">
      <c r="B3988" s="4" t="n">
        <v>26708135</v>
      </c>
      <c r="C3988" s="4" t="s">
        <v>3093</v>
      </c>
      <c r="D3988" s="4" t="s">
        <v>433</v>
      </c>
      <c r="E3988" s="4" t="s">
        <v>3813</v>
      </c>
      <c r="F3988" s="127" t="n">
        <v>47021</v>
      </c>
      <c r="G3988" s="127" t="n">
        <v>47023</v>
      </c>
      <c r="H3988" s="127" t="n">
        <v>46293</v>
      </c>
      <c r="I3988" s="4" t="n">
        <v>0</v>
      </c>
      <c r="J3988" s="4" t="n">
        <v>0</v>
      </c>
      <c r="K3988" s="4" t="n">
        <v>0</v>
      </c>
      <c r="M3988" s="2" t="str">
        <f aca="false">IF(C3988="","",IFERROR(INDEX($S$5:$S$304,MATCH(C3988,$R$5:$R$304,0))&amp;"","?"))</f>
        <v>34</v>
      </c>
      <c r="N3988" s="2" t="n">
        <f aca="false">IF(E3988="","",IF(ISNUMBER(SEARCH("SUBSOLO",E3988)),IFERROR(-VALUE(LEFT(E3988,FIND("º",SUBSTITUTE(E3988,"°","º"))-1)),-1),IF(LEFT(E3988,6)="TÉRREO",0,IFERROR(VALUE(LEFT(E3988,FIND("º",SUBSTITUTE(E3988,"°","º"))-1)),""))))</f>
        <v>-6</v>
      </c>
      <c r="O3988" s="2" t="str">
        <f aca="false">IF(OR(F3988="",G3988=""),"",IF(G3988&lt;='RETRATO 2027'!$K$5,"CONCLUÍDA",IF(F3988&lt;='RETRATO 2027'!$K$5,"EM ANDAMENTO","A INICIAR")))</f>
        <v>A INICIAR</v>
      </c>
    </row>
    <row r="3989" customFormat="false" ht="15" hidden="false" customHeight="false" outlineLevel="0" collapsed="false">
      <c r="B3989" s="4" t="n">
        <v>26745008</v>
      </c>
      <c r="C3989" s="4" t="s">
        <v>2971</v>
      </c>
      <c r="D3989" s="4" t="s">
        <v>433</v>
      </c>
      <c r="E3989" s="4" t="s">
        <v>3816</v>
      </c>
      <c r="F3989" s="127" t="n">
        <v>47021</v>
      </c>
      <c r="G3989" s="127" t="n">
        <v>47029</v>
      </c>
      <c r="H3989" s="127" t="n">
        <v>46293</v>
      </c>
      <c r="I3989" s="4" t="n">
        <v>0</v>
      </c>
      <c r="J3989" s="4" t="n">
        <v>0</v>
      </c>
      <c r="K3989" s="4" t="n">
        <v>0</v>
      </c>
      <c r="M3989" s="2" t="str">
        <f aca="false">IF(C3989="","",IFERROR(INDEX($S$5:$S$304,MATCH(C3989,$R$5:$R$304,0))&amp;"","?"))</f>
        <v>37</v>
      </c>
      <c r="N3989" s="2" t="n">
        <f aca="false">IF(E3989="","",IF(ISNUMBER(SEARCH("SUBSOLO",E3989)),IFERROR(-VALUE(LEFT(E3989,FIND("º",SUBSTITUTE(E3989,"°","º"))-1)),-1),IF(LEFT(E3989,6)="TÉRREO",0,IFERROR(VALUE(LEFT(E3989,FIND("º",SUBSTITUTE(E3989,"°","º"))-1)),""))))</f>
        <v>-6</v>
      </c>
      <c r="O3989" s="2" t="str">
        <f aca="false">IF(OR(F3989="",G3989=""),"",IF(G3989&lt;='RETRATO 2027'!$K$5,"CONCLUÍDA",IF(F3989&lt;='RETRATO 2027'!$K$5,"EM ANDAMENTO","A INICIAR")))</f>
        <v>A INICIAR</v>
      </c>
    </row>
    <row r="3990" customFormat="false" ht="15" hidden="false" customHeight="false" outlineLevel="0" collapsed="false">
      <c r="B3990" s="4" t="n">
        <v>26743212</v>
      </c>
      <c r="C3990" s="4" t="s">
        <v>3079</v>
      </c>
      <c r="D3990" s="4" t="s">
        <v>433</v>
      </c>
      <c r="E3990" s="4" t="s">
        <v>3771</v>
      </c>
      <c r="F3990" s="127" t="n">
        <v>47021</v>
      </c>
      <c r="G3990" s="127" t="n">
        <v>47029</v>
      </c>
      <c r="H3990" s="127" t="n">
        <v>46293</v>
      </c>
      <c r="I3990" s="4" t="n">
        <v>0</v>
      </c>
      <c r="J3990" s="4" t="n">
        <v>0</v>
      </c>
      <c r="K3990" s="4" t="n">
        <v>0</v>
      </c>
      <c r="M3990" s="2" t="str">
        <f aca="false">IF(C3990="","",IFERROR(INDEX($S$5:$S$304,MATCH(C3990,$R$5:$R$304,0))&amp;"","?"))</f>
        <v>25</v>
      </c>
      <c r="N3990" s="2" t="n">
        <f aca="false">IF(E3990="","",IF(ISNUMBER(SEARCH("SUBSOLO",E3990)),IFERROR(-VALUE(LEFT(E3990,FIND("º",SUBSTITUTE(E3990,"°","º"))-1)),-1),IF(LEFT(E3990,6)="TÉRREO",0,IFERROR(VALUE(LEFT(E3990,FIND("º",SUBSTITUTE(E3990,"°","º"))-1)),""))))</f>
        <v>16</v>
      </c>
      <c r="O3990" s="2" t="str">
        <f aca="false">IF(OR(F3990="",G3990=""),"",IF(G3990&lt;='RETRATO 2027'!$K$5,"CONCLUÍDA",IF(F3990&lt;='RETRATO 2027'!$K$5,"EM ANDAMENTO","A INICIAR")))</f>
        <v>A INICIAR</v>
      </c>
    </row>
    <row r="3991" customFormat="false" ht="15" hidden="false" customHeight="false" outlineLevel="0" collapsed="false">
      <c r="B3991" s="4" t="n">
        <v>26744532</v>
      </c>
      <c r="C3991" s="4" t="s">
        <v>214</v>
      </c>
      <c r="D3991" s="4" t="s">
        <v>433</v>
      </c>
      <c r="E3991" s="4" t="s">
        <v>3829</v>
      </c>
      <c r="F3991" s="127" t="n">
        <v>47024</v>
      </c>
      <c r="G3991" s="127" t="n">
        <v>47037</v>
      </c>
      <c r="H3991" s="127" t="n">
        <v>46293</v>
      </c>
      <c r="I3991" s="4" t="n">
        <v>0</v>
      </c>
      <c r="J3991" s="4" t="n">
        <v>0</v>
      </c>
      <c r="K3991" s="4" t="n">
        <v>0</v>
      </c>
      <c r="M3991" s="2" t="str">
        <f aca="false">IF(C3991="","",IFERROR(INDEX($S$5:$S$304,MATCH(C3991,$R$5:$R$304,0))&amp;"","?"))</f>
        <v>35</v>
      </c>
      <c r="N3991" s="2" t="n">
        <f aca="false">IF(E3991="","",IF(ISNUMBER(SEARCH("SUBSOLO",E3991)),IFERROR(-VALUE(LEFT(E3991,FIND("º",SUBSTITUTE(E3991,"°","º"))-1)),-1),IF(LEFT(E3991,6)="TÉRREO",0,IFERROR(VALUE(LEFT(E3991,FIND("º",SUBSTITUTE(E3991,"°","º"))-1)),""))))</f>
        <v>3</v>
      </c>
      <c r="O3991" s="2" t="str">
        <f aca="false">IF(OR(F3991="",G3991=""),"",IF(G3991&lt;='RETRATO 2027'!$K$5,"CONCLUÍDA",IF(F3991&lt;='RETRATO 2027'!$K$5,"EM ANDAMENTO","A INICIAR")))</f>
        <v>A INICIAR</v>
      </c>
    </row>
    <row r="3992" customFormat="false" ht="15" hidden="false" customHeight="false" outlineLevel="0" collapsed="false">
      <c r="B3992" s="4" t="n">
        <v>26744495</v>
      </c>
      <c r="C3992" s="4" t="s">
        <v>2965</v>
      </c>
      <c r="D3992" s="4" t="s">
        <v>433</v>
      </c>
      <c r="E3992" s="4" t="s">
        <v>3796</v>
      </c>
      <c r="F3992" s="127" t="n">
        <v>47024</v>
      </c>
      <c r="G3992" s="127" t="n">
        <v>47037</v>
      </c>
      <c r="H3992" s="127" t="n">
        <v>46293</v>
      </c>
      <c r="I3992" s="4" t="n">
        <v>0</v>
      </c>
      <c r="J3992" s="4" t="n">
        <v>0</v>
      </c>
      <c r="K3992" s="4" t="n">
        <v>0</v>
      </c>
      <c r="M3992" s="2" t="str">
        <f aca="false">IF(C3992="","",IFERROR(INDEX($S$5:$S$304,MATCH(C3992,$R$5:$R$304,0))&amp;"","?"))</f>
        <v>20</v>
      </c>
      <c r="N3992" s="2" t="n">
        <f aca="false">IF(E3992="","",IF(ISNUMBER(SEARCH("SUBSOLO",E3992)),IFERROR(-VALUE(LEFT(E3992,FIND("º",SUBSTITUTE(E3992,"°","º"))-1)),-1),IF(LEFT(E3992,6)="TÉRREO",0,IFERROR(VALUE(LEFT(E3992,FIND("º",SUBSTITUTE(E3992,"°","º"))-1)),""))))</f>
        <v>3</v>
      </c>
      <c r="O3992" s="2" t="str">
        <f aca="false">IF(OR(F3992="",G3992=""),"",IF(G3992&lt;='RETRATO 2027'!$K$5,"CONCLUÍDA",IF(F3992&lt;='RETRATO 2027'!$K$5,"EM ANDAMENTO","A INICIAR")))</f>
        <v>A INICIAR</v>
      </c>
    </row>
    <row r="3993" customFormat="false" ht="15" hidden="false" customHeight="false" outlineLevel="0" collapsed="false">
      <c r="B3993" s="4" t="n">
        <v>26750589</v>
      </c>
      <c r="C3993" s="4" t="s">
        <v>3029</v>
      </c>
      <c r="D3993" s="4" t="s">
        <v>433</v>
      </c>
      <c r="E3993" s="4" t="s">
        <v>3814</v>
      </c>
      <c r="F3993" s="127" t="n">
        <v>47025</v>
      </c>
      <c r="G3993" s="127" t="n">
        <v>47031</v>
      </c>
      <c r="H3993" s="127" t="n">
        <v>46293</v>
      </c>
      <c r="I3993" s="4" t="n">
        <v>0</v>
      </c>
      <c r="J3993" s="4" t="n">
        <v>0</v>
      </c>
      <c r="K3993" s="4" t="n">
        <v>0</v>
      </c>
      <c r="M3993" s="2" t="str">
        <f aca="false">IF(C3993="","",IFERROR(INDEX($S$5:$S$304,MATCH(C3993,$R$5:$R$304,0))&amp;"","?"))</f>
        <v/>
      </c>
      <c r="N3993" s="2" t="n">
        <f aca="false">IF(E3993="","",IF(ISNUMBER(SEARCH("SUBSOLO",E3993)),IFERROR(-VALUE(LEFT(E3993,FIND("º",SUBSTITUTE(E3993,"°","º"))-1)),-1),IF(LEFT(E3993,6)="TÉRREO",0,IFERROR(VALUE(LEFT(E3993,FIND("º",SUBSTITUTE(E3993,"°","º"))-1)),""))))</f>
        <v>-6</v>
      </c>
      <c r="O3993" s="2" t="str">
        <f aca="false">IF(OR(F3993="",G3993=""),"",IF(G3993&lt;='RETRATO 2027'!$K$5,"CONCLUÍDA",IF(F3993&lt;='RETRATO 2027'!$K$5,"EM ANDAMENTO","A INICIAR")))</f>
        <v>A INICIAR</v>
      </c>
    </row>
    <row r="3994" customFormat="false" ht="15" hidden="false" customHeight="false" outlineLevel="0" collapsed="false">
      <c r="B3994" s="4" t="n">
        <v>30433017</v>
      </c>
      <c r="C3994" s="4" t="s">
        <v>3096</v>
      </c>
      <c r="D3994" s="4" t="s">
        <v>433</v>
      </c>
      <c r="E3994" s="4" t="s">
        <v>3786</v>
      </c>
      <c r="F3994" s="127" t="n">
        <v>47025</v>
      </c>
      <c r="G3994" s="127" t="n">
        <v>47035</v>
      </c>
      <c r="H3994" s="127" t="n">
        <v>46293</v>
      </c>
      <c r="I3994" s="4" t="n">
        <v>0</v>
      </c>
      <c r="J3994" s="4" t="n">
        <v>0</v>
      </c>
      <c r="K3994" s="4" t="n">
        <v>0</v>
      </c>
      <c r="M3994" s="2" t="str">
        <f aca="false">IF(C3994="","",IFERROR(INDEX($S$5:$S$304,MATCH(C3994,$R$5:$R$304,0))&amp;"","?"))</f>
        <v/>
      </c>
      <c r="N3994" s="2" t="n">
        <f aca="false">IF(E3994="","",IF(ISNUMBER(SEARCH("SUBSOLO",E3994)),IFERROR(-VALUE(LEFT(E3994,FIND("º",SUBSTITUTE(E3994,"°","º"))-1)),-1),IF(LEFT(E3994,6)="TÉRREO",0,IFERROR(VALUE(LEFT(E3994,FIND("º",SUBSTITUTE(E3994,"°","º"))-1)),""))))</f>
        <v>22</v>
      </c>
      <c r="O3994" s="2" t="str">
        <f aca="false">IF(OR(F3994="",G3994=""),"",IF(G3994&lt;='RETRATO 2027'!$K$5,"CONCLUÍDA",IF(F3994&lt;='RETRATO 2027'!$K$5,"EM ANDAMENTO","A INICIAR")))</f>
        <v>A INICIAR</v>
      </c>
    </row>
    <row r="3995" customFormat="false" ht="15" hidden="false" customHeight="false" outlineLevel="0" collapsed="false">
      <c r="B3995" s="4" t="n">
        <v>26742930</v>
      </c>
      <c r="C3995" s="4" t="s">
        <v>3029</v>
      </c>
      <c r="D3995" s="4" t="s">
        <v>433</v>
      </c>
      <c r="E3995" s="4" t="s">
        <v>3787</v>
      </c>
      <c r="F3995" s="127" t="n">
        <v>47025</v>
      </c>
      <c r="G3995" s="127" t="n">
        <v>47035</v>
      </c>
      <c r="H3995" s="127" t="n">
        <v>46293</v>
      </c>
      <c r="I3995" s="4" t="n">
        <v>0</v>
      </c>
      <c r="J3995" s="4" t="n">
        <v>0</v>
      </c>
      <c r="K3995" s="4" t="n">
        <v>0</v>
      </c>
      <c r="M3995" s="2" t="str">
        <f aca="false">IF(C3995="","",IFERROR(INDEX($S$5:$S$304,MATCH(C3995,$R$5:$R$304,0))&amp;"","?"))</f>
        <v/>
      </c>
      <c r="N3995" s="2" t="n">
        <f aca="false">IF(E3995="","",IF(ISNUMBER(SEARCH("SUBSOLO",E3995)),IFERROR(-VALUE(LEFT(E3995,FIND("º",SUBSTITUTE(E3995,"°","º"))-1)),-1),IF(LEFT(E3995,6)="TÉRREO",0,IFERROR(VALUE(LEFT(E3995,FIND("º",SUBSTITUTE(E3995,"°","º"))-1)),""))))</f>
        <v>23</v>
      </c>
      <c r="O3995" s="2" t="str">
        <f aca="false">IF(OR(F3995="",G3995=""),"",IF(G3995&lt;='RETRATO 2027'!$K$5,"CONCLUÍDA",IF(F3995&lt;='RETRATO 2027'!$K$5,"EM ANDAMENTO","A INICIAR")))</f>
        <v>A INICIAR</v>
      </c>
    </row>
    <row r="3996" customFormat="false" ht="15" hidden="false" customHeight="false" outlineLevel="0" collapsed="false">
      <c r="B3996" s="4" t="n">
        <v>26742891</v>
      </c>
      <c r="C3996" s="4" t="s">
        <v>2971</v>
      </c>
      <c r="D3996" s="4" t="s">
        <v>433</v>
      </c>
      <c r="E3996" s="4" t="s">
        <v>3788</v>
      </c>
      <c r="F3996" s="127" t="n">
        <v>47025</v>
      </c>
      <c r="G3996" s="127" t="n">
        <v>47035</v>
      </c>
      <c r="H3996" s="127" t="n">
        <v>46293</v>
      </c>
      <c r="I3996" s="4" t="n">
        <v>0</v>
      </c>
      <c r="J3996" s="4" t="n">
        <v>0</v>
      </c>
      <c r="K3996" s="4" t="n">
        <v>0</v>
      </c>
      <c r="M3996" s="2" t="str">
        <f aca="false">IF(C3996="","",IFERROR(INDEX($S$5:$S$304,MATCH(C3996,$R$5:$R$304,0))&amp;"","?"))</f>
        <v>37</v>
      </c>
      <c r="N3996" s="2" t="n">
        <f aca="false">IF(E3996="","",IF(ISNUMBER(SEARCH("SUBSOLO",E3996)),IFERROR(-VALUE(LEFT(E3996,FIND("º",SUBSTITUTE(E3996,"°","º"))-1)),-1),IF(LEFT(E3996,6)="TÉRREO",0,IFERROR(VALUE(LEFT(E3996,FIND("º",SUBSTITUTE(E3996,"°","º"))-1)),""))))</f>
        <v>24</v>
      </c>
      <c r="O3996" s="2" t="str">
        <f aca="false">IF(OR(F3996="",G3996=""),"",IF(G3996&lt;='RETRATO 2027'!$K$5,"CONCLUÍDA",IF(F3996&lt;='RETRATO 2027'!$K$5,"EM ANDAMENTO","A INICIAR")))</f>
        <v>A INICIAR</v>
      </c>
    </row>
    <row r="3997" customFormat="false" ht="15" hidden="false" customHeight="false" outlineLevel="0" collapsed="false">
      <c r="B3997" s="4" t="n">
        <v>26742853</v>
      </c>
      <c r="C3997" s="4" t="s">
        <v>3032</v>
      </c>
      <c r="D3997" s="4" t="s">
        <v>433</v>
      </c>
      <c r="E3997" s="4" t="s">
        <v>3794</v>
      </c>
      <c r="F3997" s="127" t="n">
        <v>47025</v>
      </c>
      <c r="G3997" s="127" t="n">
        <v>47035</v>
      </c>
      <c r="H3997" s="127" t="n">
        <v>46293</v>
      </c>
      <c r="I3997" s="4" t="n">
        <v>0</v>
      </c>
      <c r="J3997" s="4" t="n">
        <v>0</v>
      </c>
      <c r="K3997" s="4" t="n">
        <v>0</v>
      </c>
      <c r="M3997" s="2" t="str">
        <f aca="false">IF(C3997="","",IFERROR(INDEX($S$5:$S$304,MATCH(C3997,$R$5:$R$304,0))&amp;"","?"))</f>
        <v>35</v>
      </c>
      <c r="N3997" s="2" t="n">
        <f aca="false">IF(E3997="","",IF(ISNUMBER(SEARCH("SUBSOLO",E3997)),IFERROR(-VALUE(LEFT(E3997,FIND("º",SUBSTITUTE(E3997,"°","º"))-1)),-1),IF(LEFT(E3997,6)="TÉRREO",0,IFERROR(VALUE(LEFT(E3997,FIND("º",SUBSTITUTE(E3997,"°","º"))-1)),""))))</f>
        <v>25</v>
      </c>
      <c r="O3997" s="2" t="str">
        <f aca="false">IF(OR(F3997="",G3997=""),"",IF(G3997&lt;='RETRATO 2027'!$K$5,"CONCLUÍDA",IF(F3997&lt;='RETRATO 2027'!$K$5,"EM ANDAMENTO","A INICIAR")))</f>
        <v>A INICIAR</v>
      </c>
    </row>
    <row r="3998" customFormat="false" ht="15" hidden="false" customHeight="false" outlineLevel="0" collapsed="false">
      <c r="B3998" s="4" t="n">
        <v>26742810</v>
      </c>
      <c r="C3998" s="4" t="s">
        <v>3093</v>
      </c>
      <c r="D3998" s="4" t="s">
        <v>433</v>
      </c>
      <c r="E3998" s="4" t="s">
        <v>3797</v>
      </c>
      <c r="F3998" s="127" t="n">
        <v>47025</v>
      </c>
      <c r="G3998" s="127" t="n">
        <v>47035</v>
      </c>
      <c r="H3998" s="127" t="n">
        <v>46293</v>
      </c>
      <c r="I3998" s="4" t="n">
        <v>0</v>
      </c>
      <c r="J3998" s="4" t="n">
        <v>0</v>
      </c>
      <c r="K3998" s="4" t="n">
        <v>0</v>
      </c>
      <c r="M3998" s="2" t="str">
        <f aca="false">IF(C3998="","",IFERROR(INDEX($S$5:$S$304,MATCH(C3998,$R$5:$R$304,0))&amp;"","?"))</f>
        <v>34</v>
      </c>
      <c r="N3998" s="2" t="n">
        <f aca="false">IF(E3998="","",IF(ISNUMBER(SEARCH("SUBSOLO",E3998)),IFERROR(-VALUE(LEFT(E3998,FIND("º",SUBSTITUTE(E3998,"°","º"))-1)),-1),IF(LEFT(E3998,6)="TÉRREO",0,IFERROR(VALUE(LEFT(E3998,FIND("º",SUBSTITUTE(E3998,"°","º"))-1)),""))))</f>
        <v>26</v>
      </c>
      <c r="O3998" s="2" t="str">
        <f aca="false">IF(OR(F3998="",G3998=""),"",IF(G3998&lt;='RETRATO 2027'!$K$5,"CONCLUÍDA",IF(F3998&lt;='RETRATO 2027'!$K$5,"EM ANDAMENTO","A INICIAR")))</f>
        <v>A INICIAR</v>
      </c>
    </row>
    <row r="3999" customFormat="false" ht="15" hidden="false" customHeight="false" outlineLevel="0" collapsed="false">
      <c r="B3999" s="4" t="n">
        <v>26742832</v>
      </c>
      <c r="C3999" s="4" t="s">
        <v>2965</v>
      </c>
      <c r="D3999" s="4" t="s">
        <v>433</v>
      </c>
      <c r="E3999" s="4" t="s">
        <v>3797</v>
      </c>
      <c r="F3999" s="127" t="n">
        <v>47025</v>
      </c>
      <c r="G3999" s="127" t="n">
        <v>47035</v>
      </c>
      <c r="H3999" s="127" t="n">
        <v>46293</v>
      </c>
      <c r="I3999" s="4" t="n">
        <v>0</v>
      </c>
      <c r="J3999" s="4" t="n">
        <v>0</v>
      </c>
      <c r="K3999" s="4" t="n">
        <v>0</v>
      </c>
      <c r="M3999" s="2" t="str">
        <f aca="false">IF(C3999="","",IFERROR(INDEX($S$5:$S$304,MATCH(C3999,$R$5:$R$304,0))&amp;"","?"))</f>
        <v>20</v>
      </c>
      <c r="N3999" s="2" t="n">
        <f aca="false">IF(E3999="","",IF(ISNUMBER(SEARCH("SUBSOLO",E3999)),IFERROR(-VALUE(LEFT(E3999,FIND("º",SUBSTITUTE(E3999,"°","º"))-1)),-1),IF(LEFT(E3999,6)="TÉRREO",0,IFERROR(VALUE(LEFT(E3999,FIND("º",SUBSTITUTE(E3999,"°","º"))-1)),""))))</f>
        <v>26</v>
      </c>
      <c r="O3999" s="2" t="str">
        <f aca="false">IF(OR(F3999="",G3999=""),"",IF(G3999&lt;='RETRATO 2027'!$K$5,"CONCLUÍDA",IF(F3999&lt;='RETRATO 2027'!$K$5,"EM ANDAMENTO","A INICIAR")))</f>
        <v>A INICIAR</v>
      </c>
    </row>
    <row r="4000" customFormat="false" ht="15" hidden="false" customHeight="false" outlineLevel="0" collapsed="false">
      <c r="B4000" s="4" t="n">
        <v>26742772</v>
      </c>
      <c r="C4000" s="4" t="s">
        <v>3021</v>
      </c>
      <c r="D4000" s="4" t="s">
        <v>433</v>
      </c>
      <c r="E4000" s="4" t="s">
        <v>3799</v>
      </c>
      <c r="F4000" s="127" t="n">
        <v>47025</v>
      </c>
      <c r="G4000" s="127" t="n">
        <v>47035</v>
      </c>
      <c r="H4000" s="127" t="n">
        <v>46293</v>
      </c>
      <c r="I4000" s="4" t="n">
        <v>0</v>
      </c>
      <c r="J4000" s="4" t="n">
        <v>0</v>
      </c>
      <c r="K4000" s="4" t="n">
        <v>0</v>
      </c>
      <c r="M4000" s="2" t="str">
        <f aca="false">IF(C4000="","",IFERROR(INDEX($S$5:$S$304,MATCH(C4000,$R$5:$R$304,0))&amp;"","?"))</f>
        <v>35</v>
      </c>
      <c r="N4000" s="2" t="n">
        <f aca="false">IF(E4000="","",IF(ISNUMBER(SEARCH("SUBSOLO",E4000)),IFERROR(-VALUE(LEFT(E4000,FIND("º",SUBSTITUTE(E4000,"°","º"))-1)),-1),IF(LEFT(E4000,6)="TÉRREO",0,IFERROR(VALUE(LEFT(E4000,FIND("º",SUBSTITUTE(E4000,"°","º"))-1)),""))))</f>
        <v>27</v>
      </c>
      <c r="O4000" s="2" t="str">
        <f aca="false">IF(OR(F4000="",G4000=""),"",IF(G4000&lt;='RETRATO 2027'!$K$5,"CONCLUÍDA",IF(F4000&lt;='RETRATO 2027'!$K$5,"EM ANDAMENTO","A INICIAR")))</f>
        <v>A INICIAR</v>
      </c>
    </row>
    <row r="4001" customFormat="false" ht="15" hidden="false" customHeight="false" outlineLevel="0" collapsed="false">
      <c r="B4001" s="4" t="n">
        <v>26742737</v>
      </c>
      <c r="C4001" s="4" t="s">
        <v>3006</v>
      </c>
      <c r="D4001" s="4" t="s">
        <v>433</v>
      </c>
      <c r="E4001" s="4" t="s">
        <v>3802</v>
      </c>
      <c r="F4001" s="127" t="n">
        <v>47025</v>
      </c>
      <c r="G4001" s="127" t="n">
        <v>47035</v>
      </c>
      <c r="H4001" s="127" t="n">
        <v>46293</v>
      </c>
      <c r="I4001" s="4" t="n">
        <v>0</v>
      </c>
      <c r="J4001" s="4" t="n">
        <v>0</v>
      </c>
      <c r="K4001" s="4" t="n">
        <v>0</v>
      </c>
      <c r="M4001" s="2" t="str">
        <f aca="false">IF(C4001="","",IFERROR(INDEX($S$5:$S$304,MATCH(C4001,$R$5:$R$304,0))&amp;"","?"))</f>
        <v>37</v>
      </c>
      <c r="N4001" s="2" t="n">
        <f aca="false">IF(E4001="","",IF(ISNUMBER(SEARCH("SUBSOLO",E4001)),IFERROR(-VALUE(LEFT(E4001,FIND("º",SUBSTITUTE(E4001,"°","º"))-1)),-1),IF(LEFT(E4001,6)="TÉRREO",0,IFERROR(VALUE(LEFT(E4001,FIND("º",SUBSTITUTE(E4001,"°","º"))-1)),""))))</f>
        <v>28</v>
      </c>
      <c r="O4001" s="2" t="str">
        <f aca="false">IF(OR(F4001="",G4001=""),"",IF(G4001&lt;='RETRATO 2027'!$K$5,"CONCLUÍDA",IF(F4001&lt;='RETRATO 2027'!$K$5,"EM ANDAMENTO","A INICIAR")))</f>
        <v>A INICIAR</v>
      </c>
    </row>
    <row r="4002" customFormat="false" ht="15" hidden="false" customHeight="false" outlineLevel="0" collapsed="false">
      <c r="B4002" s="4" t="n">
        <v>26742702</v>
      </c>
      <c r="C4002" s="4" t="s">
        <v>2962</v>
      </c>
      <c r="D4002" s="4" t="s">
        <v>433</v>
      </c>
      <c r="E4002" s="4" t="s">
        <v>3803</v>
      </c>
      <c r="F4002" s="127" t="n">
        <v>47025</v>
      </c>
      <c r="G4002" s="127" t="n">
        <v>47035</v>
      </c>
      <c r="H4002" s="127" t="n">
        <v>46293</v>
      </c>
      <c r="I4002" s="4" t="n">
        <v>0</v>
      </c>
      <c r="J4002" s="4" t="n">
        <v>0</v>
      </c>
      <c r="K4002" s="4" t="n">
        <v>0</v>
      </c>
      <c r="M4002" s="2" t="str">
        <f aca="false">IF(C4002="","",IFERROR(INDEX($S$5:$S$304,MATCH(C4002,$R$5:$R$304,0))&amp;"","?"))</f>
        <v>34</v>
      </c>
      <c r="N4002" s="2" t="n">
        <f aca="false">IF(E4002="","",IF(ISNUMBER(SEARCH("SUBSOLO",E4002)),IFERROR(-VALUE(LEFT(E4002,FIND("º",SUBSTITUTE(E4002,"°","º"))-1)),-1),IF(LEFT(E4002,6)="TÉRREO",0,IFERROR(VALUE(LEFT(E4002,FIND("º",SUBSTITUTE(E4002,"°","º"))-1)),""))))</f>
        <v>29</v>
      </c>
      <c r="O4002" s="2" t="str">
        <f aca="false">IF(OR(F4002="",G4002=""),"",IF(G4002&lt;='RETRATO 2027'!$K$5,"CONCLUÍDA",IF(F4002&lt;='RETRATO 2027'!$K$5,"EM ANDAMENTO","A INICIAR")))</f>
        <v>A INICIAR</v>
      </c>
    </row>
    <row r="4003" customFormat="false" ht="15" hidden="false" customHeight="false" outlineLevel="0" collapsed="false">
      <c r="B4003" s="4" t="n">
        <v>26742707</v>
      </c>
      <c r="C4003" s="4" t="s">
        <v>3088</v>
      </c>
      <c r="D4003" s="4" t="s">
        <v>433</v>
      </c>
      <c r="E4003" s="4" t="s">
        <v>3803</v>
      </c>
      <c r="F4003" s="127" t="n">
        <v>47025</v>
      </c>
      <c r="G4003" s="127" t="n">
        <v>47035</v>
      </c>
      <c r="H4003" s="127" t="n">
        <v>46293</v>
      </c>
      <c r="I4003" s="4" t="n">
        <v>0</v>
      </c>
      <c r="J4003" s="4" t="n">
        <v>0</v>
      </c>
      <c r="K4003" s="4" t="n">
        <v>0</v>
      </c>
      <c r="M4003" s="2" t="str">
        <f aca="false">IF(C4003="","",IFERROR(INDEX($S$5:$S$304,MATCH(C4003,$R$5:$R$304,0))&amp;"","?"))</f>
        <v>20</v>
      </c>
      <c r="N4003" s="2" t="n">
        <f aca="false">IF(E4003="","",IF(ISNUMBER(SEARCH("SUBSOLO",E4003)),IFERROR(-VALUE(LEFT(E4003,FIND("º",SUBSTITUTE(E4003,"°","º"))-1)),-1),IF(LEFT(E4003,6)="TÉRREO",0,IFERROR(VALUE(LEFT(E4003,FIND("º",SUBSTITUTE(E4003,"°","º"))-1)),""))))</f>
        <v>29</v>
      </c>
      <c r="O4003" s="2" t="str">
        <f aca="false">IF(OR(F4003="",G4003=""),"",IF(G4003&lt;='RETRATO 2027'!$K$5,"CONCLUÍDA",IF(F4003&lt;='RETRATO 2027'!$K$5,"EM ANDAMENTO","A INICIAR")))</f>
        <v>A INICIAR</v>
      </c>
    </row>
    <row r="4004" customFormat="false" ht="15" hidden="false" customHeight="false" outlineLevel="0" collapsed="false">
      <c r="B4004" s="4" t="n">
        <v>26742726</v>
      </c>
      <c r="C4004" s="4" t="s">
        <v>3009</v>
      </c>
      <c r="D4004" s="4" t="s">
        <v>433</v>
      </c>
      <c r="E4004" s="4" t="s">
        <v>3803</v>
      </c>
      <c r="F4004" s="127" t="n">
        <v>47025</v>
      </c>
      <c r="G4004" s="127" t="n">
        <v>47035</v>
      </c>
      <c r="H4004" s="127" t="n">
        <v>46293</v>
      </c>
      <c r="I4004" s="4" t="n">
        <v>0</v>
      </c>
      <c r="J4004" s="4" t="n">
        <v>0</v>
      </c>
      <c r="K4004" s="4" t="n">
        <v>0</v>
      </c>
      <c r="M4004" s="2" t="str">
        <f aca="false">IF(C4004="","",IFERROR(INDEX($S$5:$S$304,MATCH(C4004,$R$5:$R$304,0))&amp;"","?"))</f>
        <v>23</v>
      </c>
      <c r="N4004" s="2" t="n">
        <f aca="false">IF(E4004="","",IF(ISNUMBER(SEARCH("SUBSOLO",E4004)),IFERROR(-VALUE(LEFT(E4004,FIND("º",SUBSTITUTE(E4004,"°","º"))-1)),-1),IF(LEFT(E4004,6)="TÉRREO",0,IFERROR(VALUE(LEFT(E4004,FIND("º",SUBSTITUTE(E4004,"°","º"))-1)),""))))</f>
        <v>29</v>
      </c>
      <c r="O4004" s="2" t="str">
        <f aca="false">IF(OR(F4004="",G4004=""),"",IF(G4004&lt;='RETRATO 2027'!$K$5,"CONCLUÍDA",IF(F4004&lt;='RETRATO 2027'!$K$5,"EM ANDAMENTO","A INICIAR")))</f>
        <v>A INICIAR</v>
      </c>
    </row>
    <row r="4005" customFormat="false" ht="15" hidden="false" customHeight="false" outlineLevel="0" collapsed="false">
      <c r="B4005" s="4" t="n">
        <v>26744906</v>
      </c>
      <c r="C4005" s="4" t="s">
        <v>3029</v>
      </c>
      <c r="D4005" s="4" t="s">
        <v>433</v>
      </c>
      <c r="E4005" s="4" t="s">
        <v>3805</v>
      </c>
      <c r="F4005" s="127" t="n">
        <v>47025</v>
      </c>
      <c r="G4005" s="127" t="n">
        <v>47035</v>
      </c>
      <c r="H4005" s="127" t="n">
        <v>46293</v>
      </c>
      <c r="I4005" s="4" t="n">
        <v>0</v>
      </c>
      <c r="J4005" s="4" t="n">
        <v>0</v>
      </c>
      <c r="K4005" s="4" t="n">
        <v>0</v>
      </c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>A INICIAR</v>
      </c>
    </row>
    <row r="4006" customFormat="false" ht="15" hidden="false" customHeight="false" outlineLevel="0" collapsed="false">
      <c r="B4006" s="4" t="n">
        <v>26745009</v>
      </c>
      <c r="C4006" s="4" t="s">
        <v>3029</v>
      </c>
      <c r="D4006" s="4" t="s">
        <v>433</v>
      </c>
      <c r="E4006" s="4" t="s">
        <v>3816</v>
      </c>
      <c r="F4006" s="127" t="n">
        <v>47030</v>
      </c>
      <c r="G4006" s="127" t="n">
        <v>47039</v>
      </c>
      <c r="H4006" s="127" t="n">
        <v>46293</v>
      </c>
      <c r="I4006" s="4" t="n">
        <v>0</v>
      </c>
      <c r="J4006" s="4" t="n">
        <v>0</v>
      </c>
      <c r="K4006" s="4" t="n">
        <v>0</v>
      </c>
      <c r="M4006" s="2" t="str">
        <f aca="false">IF(C4006="","",IFERROR(INDEX($S$5:$S$304,MATCH(C4006,$R$5:$R$304,0))&amp;"","?"))</f>
        <v/>
      </c>
      <c r="N4006" s="2" t="n">
        <f aca="false">IF(E4006="","",IF(ISNUMBER(SEARCH("SUBSOLO",E4006)),IFERROR(-VALUE(LEFT(E4006,FIND("º",SUBSTITUTE(E4006,"°","º"))-1)),-1),IF(LEFT(E4006,6)="TÉRREO",0,IFERROR(VALUE(LEFT(E4006,FIND("º",SUBSTITUTE(E4006,"°","º"))-1)),""))))</f>
        <v>-6</v>
      </c>
      <c r="O4006" s="2" t="str">
        <f aca="false">IF(OR(F4006="",G4006=""),"",IF(G4006&lt;='RETRATO 2027'!$K$5,"CONCLUÍDA",IF(F4006&lt;='RETRATO 2027'!$K$5,"EM ANDAMENTO","A INICIAR")))</f>
        <v>A INICIAR</v>
      </c>
    </row>
    <row r="4007" customFormat="false" ht="15" hidden="false" customHeight="false" outlineLevel="0" collapsed="false">
      <c r="B4007" s="4" t="n">
        <v>26743182</v>
      </c>
      <c r="C4007" s="4" t="s">
        <v>3082</v>
      </c>
      <c r="D4007" s="4" t="s">
        <v>433</v>
      </c>
      <c r="E4007" s="4" t="s">
        <v>3771</v>
      </c>
      <c r="F4007" s="127" t="n">
        <v>47030</v>
      </c>
      <c r="G4007" s="127" t="n">
        <v>47039</v>
      </c>
      <c r="H4007" s="127" t="n">
        <v>46293</v>
      </c>
      <c r="I4007" s="4" t="n">
        <v>0</v>
      </c>
      <c r="J4007" s="4" t="n">
        <v>0</v>
      </c>
      <c r="K4007" s="4" t="n">
        <v>0</v>
      </c>
      <c r="M4007" s="2" t="str">
        <f aca="false">IF(C4007="","",IFERROR(INDEX($S$5:$S$304,MATCH(C4007,$R$5:$R$304,0))&amp;"","?"))</f>
        <v>30</v>
      </c>
      <c r="N4007" s="2" t="n">
        <f aca="false">IF(E4007="","",IF(ISNUMBER(SEARCH("SUBSOLO",E4007)),IFERROR(-VALUE(LEFT(E4007,FIND("º",SUBSTITUTE(E4007,"°","º"))-1)),-1),IF(LEFT(E4007,6)="TÉRREO",0,IFERROR(VALUE(LEFT(E4007,FIND("º",SUBSTITUTE(E4007,"°","º"))-1)),""))))</f>
        <v>16</v>
      </c>
      <c r="O4007" s="2" t="str">
        <f aca="false">IF(OR(F4007="",G4007=""),"",IF(G4007&lt;='RETRATO 2027'!$K$5,"CONCLUÍDA",IF(F4007&lt;='RETRATO 2027'!$K$5,"EM ANDAMENTO","A INICIAR")))</f>
        <v>A INICIAR</v>
      </c>
    </row>
    <row r="4008" customFormat="false" ht="15" hidden="false" customHeight="false" outlineLevel="0" collapsed="false">
      <c r="B4008" s="4" t="n">
        <v>26708184</v>
      </c>
      <c r="C4008" s="4" t="s">
        <v>3029</v>
      </c>
      <c r="D4008" s="4" t="s">
        <v>433</v>
      </c>
      <c r="E4008" s="4" t="s">
        <v>3628</v>
      </c>
      <c r="F4008" s="127" t="n">
        <v>47031</v>
      </c>
      <c r="G4008" s="127" t="n">
        <v>47043</v>
      </c>
      <c r="H4008" s="127" t="n">
        <v>46293</v>
      </c>
      <c r="I4008" s="4" t="n">
        <v>0</v>
      </c>
      <c r="J4008" s="4" t="n">
        <v>0</v>
      </c>
      <c r="K4008" s="4" t="n">
        <v>0</v>
      </c>
      <c r="M4008" s="2" t="str">
        <f aca="false">IF(C4008="","",IFERROR(INDEX($S$5:$S$304,MATCH(C4008,$R$5:$R$304,0))&amp;"","?"))</f>
        <v/>
      </c>
      <c r="N4008" s="2" t="n">
        <f aca="false">IF(E4008="","",IF(ISNUMBER(SEARCH("SUBSOLO",E4008)),IFERROR(-VALUE(LEFT(E4008,FIND("º",SUBSTITUTE(E4008,"°","º"))-1)),-1),IF(LEFT(E4008,6)="TÉRREO",0,IFERROR(VALUE(LEFT(E4008,FIND("º",SUBSTITUTE(E4008,"°","º"))-1)),""))))</f>
        <v>-6</v>
      </c>
      <c r="O4008" s="2" t="str">
        <f aca="false">IF(OR(F4008="",G4008=""),"",IF(G4008&lt;='RETRATO 2027'!$K$5,"CONCLUÍDA",IF(F4008&lt;='RETRATO 2027'!$K$5,"EM ANDAMENTO","A INICIAR")))</f>
        <v>A INICIAR</v>
      </c>
    </row>
    <row r="4009" customFormat="false" ht="15" hidden="false" customHeight="false" outlineLevel="0" collapsed="false">
      <c r="B4009" s="4" t="n">
        <v>26708143</v>
      </c>
      <c r="C4009" s="4" t="s">
        <v>2971</v>
      </c>
      <c r="D4009" s="4" t="s">
        <v>433</v>
      </c>
      <c r="E4009" s="4" t="s">
        <v>3813</v>
      </c>
      <c r="F4009" s="127" t="n">
        <v>47031</v>
      </c>
      <c r="G4009" s="127" t="n">
        <v>47035</v>
      </c>
      <c r="H4009" s="127" t="n">
        <v>46293</v>
      </c>
      <c r="I4009" s="4" t="n">
        <v>0</v>
      </c>
      <c r="J4009" s="4" t="n">
        <v>0</v>
      </c>
      <c r="K4009" s="4" t="n">
        <v>0</v>
      </c>
      <c r="M4009" s="2" t="str">
        <f aca="false">IF(C4009="","",IFERROR(INDEX($S$5:$S$304,MATCH(C4009,$R$5:$R$304,0))&amp;"","?"))</f>
        <v>37</v>
      </c>
      <c r="N4009" s="2" t="n">
        <f aca="false">IF(E4009="","",IF(ISNUMBER(SEARCH("SUBSOLO",E4009)),IFERROR(-VALUE(LEFT(E4009,FIND("º",SUBSTITUTE(E4009,"°","º"))-1)),-1),IF(LEFT(E4009,6)="TÉRREO",0,IFERROR(VALUE(LEFT(E4009,FIND("º",SUBSTITUTE(E4009,"°","º"))-1)),""))))</f>
        <v>-6</v>
      </c>
      <c r="O4009" s="2" t="str">
        <f aca="false">IF(OR(F4009="",G4009=""),"",IF(G4009&lt;='RETRATO 2027'!$K$5,"CONCLUÍDA",IF(F4009&lt;='RETRATO 2027'!$K$5,"EM ANDAMENTO","A INICIAR")))</f>
        <v>A INICIAR</v>
      </c>
    </row>
    <row r="4010" customFormat="false" ht="15" hidden="false" customHeight="false" outlineLevel="0" collapsed="false">
      <c r="B4010" s="4" t="n">
        <v>26744492</v>
      </c>
      <c r="C4010" s="4" t="s">
        <v>217</v>
      </c>
      <c r="D4010" s="4" t="s">
        <v>433</v>
      </c>
      <c r="E4010" s="4" t="s">
        <v>3804</v>
      </c>
      <c r="F4010" s="127" t="n">
        <v>47035</v>
      </c>
      <c r="G4010" s="127" t="n">
        <v>47049</v>
      </c>
      <c r="H4010" s="127" t="n">
        <v>46293</v>
      </c>
      <c r="I4010" s="4" t="n">
        <v>0</v>
      </c>
      <c r="J4010" s="4" t="n">
        <v>0</v>
      </c>
      <c r="K4010" s="4" t="n">
        <v>0</v>
      </c>
      <c r="M4010" s="2" t="str">
        <f aca="false">IF(C4010="","",IFERROR(INDEX($S$5:$S$304,MATCH(C4010,$R$5:$R$304,0))&amp;"","?"))</f>
        <v>36</v>
      </c>
      <c r="N4010" s="2" t="n">
        <f aca="false">IF(E4010="","",IF(ISNUMBER(SEARCH("SUBSOLO",E4010)),IFERROR(-VALUE(LEFT(E4010,FIND("º",SUBSTITUTE(E4010,"°","º"))-1)),-1),IF(LEFT(E4010,6)="TÉRREO",0,IFERROR(VALUE(LEFT(E4010,FIND("º",SUBSTITUTE(E4010,"°","º"))-1)),""))))</f>
        <v>3</v>
      </c>
      <c r="O4010" s="2" t="str">
        <f aca="false">IF(OR(F4010="",G4010=""),"",IF(G4010&lt;='RETRATO 2027'!$K$5,"CONCLUÍDA",IF(F4010&lt;='RETRATO 2027'!$K$5,"EM ANDAMENTO","A INICIAR")))</f>
        <v>A INICIAR</v>
      </c>
    </row>
    <row r="4011" customFormat="false" ht="15" hidden="false" customHeight="false" outlineLevel="0" collapsed="false">
      <c r="B4011" s="4" t="n">
        <v>30433018</v>
      </c>
      <c r="C4011" s="4" t="s">
        <v>3096</v>
      </c>
      <c r="D4011" s="4" t="s">
        <v>433</v>
      </c>
      <c r="E4011" s="4" t="s">
        <v>3787</v>
      </c>
      <c r="F4011" s="127" t="n">
        <v>47036</v>
      </c>
      <c r="G4011" s="127" t="n">
        <v>47045</v>
      </c>
      <c r="H4011" s="127" t="n">
        <v>46293</v>
      </c>
      <c r="I4011" s="4" t="n">
        <v>0</v>
      </c>
      <c r="J4011" s="4" t="n">
        <v>0</v>
      </c>
      <c r="K4011" s="4" t="n">
        <v>0</v>
      </c>
      <c r="M4011" s="2" t="str">
        <f aca="false">IF(C4011="","",IFERROR(INDEX($S$5:$S$304,MATCH(C4011,$R$5:$R$304,0))&amp;"","?"))</f>
        <v/>
      </c>
      <c r="N4011" s="2" t="n">
        <f aca="false">IF(E4011="","",IF(ISNUMBER(SEARCH("SUBSOLO",E4011)),IFERROR(-VALUE(LEFT(E4011,FIND("º",SUBSTITUTE(E4011,"°","º"))-1)),-1),IF(LEFT(E4011,6)="TÉRREO",0,IFERROR(VALUE(LEFT(E4011,FIND("º",SUBSTITUTE(E4011,"°","º"))-1)),""))))</f>
        <v>23</v>
      </c>
      <c r="O4011" s="2" t="str">
        <f aca="false">IF(OR(F4011="",G4011=""),"",IF(G4011&lt;='RETRATO 2027'!$K$5,"CONCLUÍDA",IF(F4011&lt;='RETRATO 2027'!$K$5,"EM ANDAMENTO","A INICIAR")))</f>
        <v>A INICIAR</v>
      </c>
    </row>
    <row r="4012" customFormat="false" ht="15" hidden="false" customHeight="false" outlineLevel="0" collapsed="false">
      <c r="B4012" s="4" t="n">
        <v>26742893</v>
      </c>
      <c r="C4012" s="4" t="s">
        <v>3029</v>
      </c>
      <c r="D4012" s="4" t="s">
        <v>433</v>
      </c>
      <c r="E4012" s="4" t="s">
        <v>3788</v>
      </c>
      <c r="F4012" s="127" t="n">
        <v>47036</v>
      </c>
      <c r="G4012" s="127" t="n">
        <v>47045</v>
      </c>
      <c r="H4012" s="127" t="n">
        <v>46293</v>
      </c>
      <c r="I4012" s="4" t="n">
        <v>0</v>
      </c>
      <c r="J4012" s="4" t="n">
        <v>0</v>
      </c>
      <c r="K4012" s="4" t="n">
        <v>0</v>
      </c>
      <c r="M4012" s="2" t="str">
        <f aca="false">IF(C4012="","",IFERROR(INDEX($S$5:$S$304,MATCH(C4012,$R$5:$R$304,0))&amp;"","?"))</f>
        <v/>
      </c>
      <c r="N4012" s="2" t="n">
        <f aca="false">IF(E4012="","",IF(ISNUMBER(SEARCH("SUBSOLO",E4012)),IFERROR(-VALUE(LEFT(E4012,FIND("º",SUBSTITUTE(E4012,"°","º"))-1)),-1),IF(LEFT(E4012,6)="TÉRREO",0,IFERROR(VALUE(LEFT(E4012,FIND("º",SUBSTITUTE(E4012,"°","º"))-1)),""))))</f>
        <v>24</v>
      </c>
      <c r="O4012" s="2" t="str">
        <f aca="false">IF(OR(F4012="",G4012=""),"",IF(G4012&lt;='RETRATO 2027'!$K$5,"CONCLUÍDA",IF(F4012&lt;='RETRATO 2027'!$K$5,"EM ANDAMENTO","A INICIAR")))</f>
        <v>A INICIAR</v>
      </c>
    </row>
    <row r="4013" customFormat="false" ht="15" hidden="false" customHeight="false" outlineLevel="0" collapsed="false">
      <c r="B4013" s="4" t="n">
        <v>26742854</v>
      </c>
      <c r="C4013" s="4" t="s">
        <v>2971</v>
      </c>
      <c r="D4013" s="4" t="s">
        <v>433</v>
      </c>
      <c r="E4013" s="4" t="s">
        <v>3794</v>
      </c>
      <c r="F4013" s="127" t="n">
        <v>47036</v>
      </c>
      <c r="G4013" s="127" t="n">
        <v>47045</v>
      </c>
      <c r="H4013" s="127" t="n">
        <v>46293</v>
      </c>
      <c r="I4013" s="4" t="n">
        <v>0</v>
      </c>
      <c r="J4013" s="4" t="n">
        <v>0</v>
      </c>
      <c r="K4013" s="4" t="n">
        <v>0</v>
      </c>
      <c r="M4013" s="2" t="str">
        <f aca="false">IF(C4013="","",IFERROR(INDEX($S$5:$S$304,MATCH(C4013,$R$5:$R$304,0))&amp;"","?"))</f>
        <v>37</v>
      </c>
      <c r="N4013" s="2" t="n">
        <f aca="false">IF(E4013="","",IF(ISNUMBER(SEARCH("SUBSOLO",E4013)),IFERROR(-VALUE(LEFT(E4013,FIND("º",SUBSTITUTE(E4013,"°","º"))-1)),-1),IF(LEFT(E4013,6)="TÉRREO",0,IFERROR(VALUE(LEFT(E4013,FIND("º",SUBSTITUTE(E4013,"°","º"))-1)),""))))</f>
        <v>25</v>
      </c>
      <c r="O4013" s="2" t="str">
        <f aca="false">IF(OR(F4013="",G4013=""),"",IF(G4013&lt;='RETRATO 2027'!$K$5,"CONCLUÍDA",IF(F4013&lt;='RETRATO 2027'!$K$5,"EM ANDAMENTO","A INICIAR")))</f>
        <v>A INICIAR</v>
      </c>
    </row>
    <row r="4014" customFormat="false" ht="15" hidden="false" customHeight="false" outlineLevel="0" collapsed="false">
      <c r="B4014" s="4" t="n">
        <v>26742816</v>
      </c>
      <c r="C4014" s="4" t="s">
        <v>3032</v>
      </c>
      <c r="D4014" s="4" t="s">
        <v>433</v>
      </c>
      <c r="E4014" s="4" t="s">
        <v>3797</v>
      </c>
      <c r="F4014" s="127" t="n">
        <v>47036</v>
      </c>
      <c r="G4014" s="127" t="n">
        <v>47045</v>
      </c>
      <c r="H4014" s="127" t="n">
        <v>46293</v>
      </c>
      <c r="I4014" s="4" t="n">
        <v>0</v>
      </c>
      <c r="J4014" s="4" t="n">
        <v>0</v>
      </c>
      <c r="K4014" s="4" t="n">
        <v>0</v>
      </c>
      <c r="M4014" s="2" t="str">
        <f aca="false">IF(C4014="","",IFERROR(INDEX($S$5:$S$304,MATCH(C4014,$R$5:$R$304,0))&amp;"","?"))</f>
        <v>35</v>
      </c>
      <c r="N4014" s="2" t="n">
        <f aca="false">IF(E4014="","",IF(ISNUMBER(SEARCH("SUBSOLO",E4014)),IFERROR(-VALUE(LEFT(E4014,FIND("º",SUBSTITUTE(E4014,"°","º"))-1)),-1),IF(LEFT(E4014,6)="TÉRREO",0,IFERROR(VALUE(LEFT(E4014,FIND("º",SUBSTITUTE(E4014,"°","º"))-1)),""))))</f>
        <v>26</v>
      </c>
      <c r="O4014" s="2" t="str">
        <f aca="false">IF(OR(F4014="",G4014=""),"",IF(G4014&lt;='RETRATO 2027'!$K$5,"CONCLUÍDA",IF(F4014&lt;='RETRATO 2027'!$K$5,"EM ANDAMENTO","A INICIAR")))</f>
        <v>A INICIAR</v>
      </c>
    </row>
    <row r="4015" customFormat="false" ht="15" hidden="false" customHeight="false" outlineLevel="0" collapsed="false">
      <c r="B4015" s="4" t="n">
        <v>26742773</v>
      </c>
      <c r="C4015" s="4" t="s">
        <v>3093</v>
      </c>
      <c r="D4015" s="4" t="s">
        <v>433</v>
      </c>
      <c r="E4015" s="4" t="s">
        <v>3799</v>
      </c>
      <c r="F4015" s="127" t="n">
        <v>47036</v>
      </c>
      <c r="G4015" s="127" t="n">
        <v>47045</v>
      </c>
      <c r="H4015" s="127" t="n">
        <v>46293</v>
      </c>
      <c r="I4015" s="4" t="n">
        <v>0</v>
      </c>
      <c r="J4015" s="4" t="n">
        <v>0</v>
      </c>
      <c r="K4015" s="4" t="n">
        <v>0</v>
      </c>
      <c r="M4015" s="2" t="str">
        <f aca="false">IF(C4015="","",IFERROR(INDEX($S$5:$S$304,MATCH(C4015,$R$5:$R$304,0))&amp;"","?"))</f>
        <v>34</v>
      </c>
      <c r="N4015" s="2" t="n">
        <f aca="false">IF(E4015="","",IF(ISNUMBER(SEARCH("SUBSOLO",E4015)),IFERROR(-VALUE(LEFT(E4015,FIND("º",SUBSTITUTE(E4015,"°","º"))-1)),-1),IF(LEFT(E4015,6)="TÉRREO",0,IFERROR(VALUE(LEFT(E4015,FIND("º",SUBSTITUTE(E4015,"°","º"))-1)),""))))</f>
        <v>27</v>
      </c>
      <c r="O4015" s="2" t="str">
        <f aca="false">IF(OR(F4015="",G4015=""),"",IF(G4015&lt;='RETRATO 2027'!$K$5,"CONCLUÍDA",IF(F4015&lt;='RETRATO 2027'!$K$5,"EM ANDAMENTO","A INICIAR")))</f>
        <v>A INICIAR</v>
      </c>
    </row>
    <row r="4016" customFormat="false" ht="15" hidden="false" customHeight="false" outlineLevel="0" collapsed="false">
      <c r="B4016" s="4" t="n">
        <v>26742795</v>
      </c>
      <c r="C4016" s="4" t="s">
        <v>2965</v>
      </c>
      <c r="D4016" s="4" t="s">
        <v>433</v>
      </c>
      <c r="E4016" s="4" t="s">
        <v>3799</v>
      </c>
      <c r="F4016" s="127" t="n">
        <v>47036</v>
      </c>
      <c r="G4016" s="127" t="n">
        <v>47045</v>
      </c>
      <c r="H4016" s="127" t="n">
        <v>46293</v>
      </c>
      <c r="I4016" s="4" t="n">
        <v>0</v>
      </c>
      <c r="J4016" s="4" t="n">
        <v>0</v>
      </c>
      <c r="K4016" s="4" t="n">
        <v>0</v>
      </c>
      <c r="M4016" s="2" t="str">
        <f aca="false">IF(C4016="","",IFERROR(INDEX($S$5:$S$304,MATCH(C4016,$R$5:$R$304,0))&amp;"","?"))</f>
        <v>20</v>
      </c>
      <c r="N4016" s="2" t="n">
        <f aca="false">IF(E4016="","",IF(ISNUMBER(SEARCH("SUBSOLO",E4016)),IFERROR(-VALUE(LEFT(E4016,FIND("º",SUBSTITUTE(E4016,"°","º"))-1)),-1),IF(LEFT(E4016,6)="TÉRREO",0,IFERROR(VALUE(LEFT(E4016,FIND("º",SUBSTITUTE(E4016,"°","º"))-1)),""))))</f>
        <v>27</v>
      </c>
      <c r="O4016" s="2" t="str">
        <f aca="false">IF(OR(F4016="",G4016=""),"",IF(G4016&lt;='RETRATO 2027'!$K$5,"CONCLUÍDA",IF(F4016&lt;='RETRATO 2027'!$K$5,"EM ANDAMENTO","A INICIAR")))</f>
        <v>A INICIAR</v>
      </c>
    </row>
    <row r="4017" customFormat="false" ht="15" hidden="false" customHeight="false" outlineLevel="0" collapsed="false">
      <c r="B4017" s="4" t="n">
        <v>26742735</v>
      </c>
      <c r="C4017" s="4" t="s">
        <v>3021</v>
      </c>
      <c r="D4017" s="4" t="s">
        <v>433</v>
      </c>
      <c r="E4017" s="4" t="s">
        <v>3802</v>
      </c>
      <c r="F4017" s="127" t="n">
        <v>47036</v>
      </c>
      <c r="G4017" s="127" t="n">
        <v>47045</v>
      </c>
      <c r="H4017" s="127" t="n">
        <v>46293</v>
      </c>
      <c r="I4017" s="4" t="n">
        <v>0</v>
      </c>
      <c r="J4017" s="4" t="n">
        <v>0</v>
      </c>
      <c r="K4017" s="4" t="n">
        <v>0</v>
      </c>
      <c r="M4017" s="2" t="str">
        <f aca="false">IF(C4017="","",IFERROR(INDEX($S$5:$S$304,MATCH(C4017,$R$5:$R$304,0))&amp;"","?"))</f>
        <v>35</v>
      </c>
      <c r="N4017" s="2" t="n">
        <f aca="false">IF(E4017="","",IF(ISNUMBER(SEARCH("SUBSOLO",E4017)),IFERROR(-VALUE(LEFT(E4017,FIND("º",SUBSTITUTE(E4017,"°","º"))-1)),-1),IF(LEFT(E4017,6)="TÉRREO",0,IFERROR(VALUE(LEFT(E4017,FIND("º",SUBSTITUTE(E4017,"°","º"))-1)),""))))</f>
        <v>28</v>
      </c>
      <c r="O4017" s="2" t="str">
        <f aca="false">IF(OR(F4017="",G4017=""),"",IF(G4017&lt;='RETRATO 2027'!$K$5,"CONCLUÍDA",IF(F4017&lt;='RETRATO 2027'!$K$5,"EM ANDAMENTO","A INICIAR")))</f>
        <v>A INICIAR</v>
      </c>
    </row>
    <row r="4018" customFormat="false" ht="15" hidden="false" customHeight="false" outlineLevel="0" collapsed="false">
      <c r="B4018" s="4" t="n">
        <v>26742700</v>
      </c>
      <c r="C4018" s="4" t="s">
        <v>3006</v>
      </c>
      <c r="D4018" s="4" t="s">
        <v>433</v>
      </c>
      <c r="E4018" s="4" t="s">
        <v>3803</v>
      </c>
      <c r="F4018" s="127" t="n">
        <v>47036</v>
      </c>
      <c r="G4018" s="127" t="n">
        <v>47045</v>
      </c>
      <c r="H4018" s="127" t="n">
        <v>46293</v>
      </c>
      <c r="I4018" s="4" t="n">
        <v>0</v>
      </c>
      <c r="J4018" s="4" t="n">
        <v>0</v>
      </c>
      <c r="K4018" s="4" t="n">
        <v>0</v>
      </c>
      <c r="M4018" s="2" t="str">
        <f aca="false">IF(C4018="","",IFERROR(INDEX($S$5:$S$304,MATCH(C4018,$R$5:$R$304,0))&amp;"","?"))</f>
        <v>37</v>
      </c>
      <c r="N4018" s="2" t="n">
        <f aca="false">IF(E4018="","",IF(ISNUMBER(SEARCH("SUBSOLO",E4018)),IFERROR(-VALUE(LEFT(E4018,FIND("º",SUBSTITUTE(E4018,"°","º"))-1)),-1),IF(LEFT(E4018,6)="TÉRREO",0,IFERROR(VALUE(LEFT(E4018,FIND("º",SUBSTITUTE(E4018,"°","º"))-1)),""))))</f>
        <v>29</v>
      </c>
      <c r="O4018" s="2" t="str">
        <f aca="false">IF(OR(F4018="",G4018=""),"",IF(G4018&lt;='RETRATO 2027'!$K$5,"CONCLUÍDA",IF(F4018&lt;='RETRATO 2027'!$K$5,"EM ANDAMENTO","A INICIAR")))</f>
        <v>A INICIAR</v>
      </c>
    </row>
    <row r="4019" customFormat="false" ht="15" hidden="false" customHeight="false" outlineLevel="0" collapsed="false">
      <c r="B4019" s="4" t="n">
        <v>30432900</v>
      </c>
      <c r="C4019" s="4" t="s">
        <v>3131</v>
      </c>
      <c r="D4019" s="4" t="s">
        <v>433</v>
      </c>
      <c r="E4019" s="4" t="s">
        <v>3834</v>
      </c>
      <c r="F4019" s="127" t="n">
        <v>47037</v>
      </c>
      <c r="G4019" s="127" t="n">
        <v>47105</v>
      </c>
      <c r="H4019" s="127" t="n">
        <v>46293</v>
      </c>
      <c r="I4019" s="4" t="n">
        <v>0</v>
      </c>
      <c r="J4019" s="4" t="n">
        <v>0</v>
      </c>
      <c r="K4019" s="4" t="n">
        <v>0</v>
      </c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>A INICIAR</v>
      </c>
    </row>
    <row r="4020" customFormat="false" ht="15" hidden="false" customHeight="false" outlineLevel="0" collapsed="false">
      <c r="B4020" s="4" t="n">
        <v>26744500</v>
      </c>
      <c r="C4020" s="4" t="s">
        <v>3093</v>
      </c>
      <c r="D4020" s="4" t="s">
        <v>433</v>
      </c>
      <c r="E4020" s="4" t="s">
        <v>3796</v>
      </c>
      <c r="F4020" s="127" t="n">
        <v>47039</v>
      </c>
      <c r="G4020" s="127" t="n">
        <v>47045</v>
      </c>
      <c r="H4020" s="127" t="n">
        <v>46293</v>
      </c>
      <c r="I4020" s="4" t="n">
        <v>0</v>
      </c>
      <c r="J4020" s="4" t="n">
        <v>0</v>
      </c>
      <c r="K4020" s="4" t="n">
        <v>0</v>
      </c>
      <c r="M4020" s="2" t="str">
        <f aca="false">IF(C4020="","",IFERROR(INDEX($S$5:$S$304,MATCH(C4020,$R$5:$R$304,0))&amp;"","?"))</f>
        <v>34</v>
      </c>
      <c r="N4020" s="2" t="n">
        <f aca="false">IF(E4020="","",IF(ISNUMBER(SEARCH("SUBSOLO",E4020)),IFERROR(-VALUE(LEFT(E4020,FIND("º",SUBSTITUTE(E4020,"°","º"))-1)),-1),IF(LEFT(E4020,6)="TÉRREO",0,IFERROR(VALUE(LEFT(E4020,FIND("º",SUBSTITUTE(E4020,"°","º"))-1)),""))))</f>
        <v>3</v>
      </c>
      <c r="O4020" s="2" t="str">
        <f aca="false">IF(OR(F4020="",G4020=""),"",IF(G4020&lt;='RETRATO 2027'!$K$5,"CONCLUÍDA",IF(F4020&lt;='RETRATO 2027'!$K$5,"EM ANDAMENTO","A INICIAR")))</f>
        <v>A INICIAR</v>
      </c>
    </row>
    <row r="4021" customFormat="false" ht="15" hidden="false" customHeight="false" outlineLevel="0" collapsed="false">
      <c r="B4021" s="4" t="n">
        <v>26743183</v>
      </c>
      <c r="C4021" s="4" t="s">
        <v>2962</v>
      </c>
      <c r="D4021" s="4" t="s">
        <v>433</v>
      </c>
      <c r="E4021" s="4" t="s">
        <v>3771</v>
      </c>
      <c r="F4021" s="127" t="n">
        <v>47042</v>
      </c>
      <c r="G4021" s="127" t="n">
        <v>47050</v>
      </c>
      <c r="H4021" s="127" t="n">
        <v>46293</v>
      </c>
      <c r="I4021" s="4" t="n">
        <v>0</v>
      </c>
      <c r="J4021" s="4" t="n">
        <v>0</v>
      </c>
      <c r="K4021" s="4" t="n">
        <v>0</v>
      </c>
      <c r="M4021" s="2" t="str">
        <f aca="false">IF(C4021="","",IFERROR(INDEX($S$5:$S$304,MATCH(C4021,$R$5:$R$304,0))&amp;"","?"))</f>
        <v>34</v>
      </c>
      <c r="N4021" s="2" t="n">
        <f aca="false">IF(E4021="","",IF(ISNUMBER(SEARCH("SUBSOLO",E4021)),IFERROR(-VALUE(LEFT(E4021,FIND("º",SUBSTITUTE(E4021,"°","º"))-1)),-1),IF(LEFT(E4021,6)="TÉRREO",0,IFERROR(VALUE(LEFT(E4021,FIND("º",SUBSTITUTE(E4021,"°","º"))-1)),""))))</f>
        <v>16</v>
      </c>
      <c r="O4021" s="2" t="str">
        <f aca="false">IF(OR(F4021="",G4021=""),"",IF(G4021&lt;='RETRATO 2027'!$K$5,"CONCLUÍDA",IF(F4021&lt;='RETRATO 2027'!$K$5,"EM ANDAMENTO","A INICIAR")))</f>
        <v>A INICIAR</v>
      </c>
    </row>
    <row r="4022" customFormat="false" ht="15" hidden="false" customHeight="false" outlineLevel="0" collapsed="false">
      <c r="B4022" s="4" t="n">
        <v>26743188</v>
      </c>
      <c r="C4022" s="4" t="s">
        <v>3088</v>
      </c>
      <c r="D4022" s="4" t="s">
        <v>433</v>
      </c>
      <c r="E4022" s="4" t="s">
        <v>3771</v>
      </c>
      <c r="F4022" s="127" t="n">
        <v>47042</v>
      </c>
      <c r="G4022" s="127" t="n">
        <v>47050</v>
      </c>
      <c r="H4022" s="127" t="n">
        <v>46293</v>
      </c>
      <c r="I4022" s="4" t="n">
        <v>0</v>
      </c>
      <c r="J4022" s="4" t="n">
        <v>0</v>
      </c>
      <c r="K4022" s="4" t="n">
        <v>0</v>
      </c>
      <c r="M4022" s="2" t="str">
        <f aca="false">IF(C4022="","",IFERROR(INDEX($S$5:$S$304,MATCH(C4022,$R$5:$R$304,0))&amp;"","?"))</f>
        <v>20</v>
      </c>
      <c r="N4022" s="2" t="n">
        <f aca="false">IF(E4022="","",IF(ISNUMBER(SEARCH("SUBSOLO",E4022)),IFERROR(-VALUE(LEFT(E4022,FIND("º",SUBSTITUTE(E4022,"°","º"))-1)),-1),IF(LEFT(E4022,6)="TÉRREO",0,IFERROR(VALUE(LEFT(E4022,FIND("º",SUBSTITUTE(E4022,"°","º"))-1)),""))))</f>
        <v>16</v>
      </c>
      <c r="O4022" s="2" t="str">
        <f aca="false">IF(OR(F4022="",G4022=""),"",IF(G4022&lt;='RETRATO 2027'!$K$5,"CONCLUÍDA",IF(F4022&lt;='RETRATO 2027'!$K$5,"EM ANDAMENTO","A INICIAR")))</f>
        <v>A INICIAR</v>
      </c>
    </row>
    <row r="4023" customFormat="false" ht="15" hidden="false" customHeight="false" outlineLevel="0" collapsed="false">
      <c r="B4023" s="4" t="n">
        <v>26743207</v>
      </c>
      <c r="C4023" s="4" t="s">
        <v>3009</v>
      </c>
      <c r="D4023" s="4" t="s">
        <v>433</v>
      </c>
      <c r="E4023" s="4" t="s">
        <v>3771</v>
      </c>
      <c r="F4023" s="127" t="n">
        <v>47042</v>
      </c>
      <c r="G4023" s="127" t="n">
        <v>47050</v>
      </c>
      <c r="H4023" s="127" t="n">
        <v>46293</v>
      </c>
      <c r="I4023" s="4" t="n">
        <v>0</v>
      </c>
      <c r="J4023" s="4" t="n">
        <v>0</v>
      </c>
      <c r="K4023" s="4" t="n">
        <v>0</v>
      </c>
      <c r="M4023" s="2" t="str">
        <f aca="false">IF(C4023="","",IFERROR(INDEX($S$5:$S$304,MATCH(C4023,$R$5:$R$304,0))&amp;"","?"))</f>
        <v>23</v>
      </c>
      <c r="N4023" s="2" t="n">
        <f aca="false">IF(E4023="","",IF(ISNUMBER(SEARCH("SUBSOLO",E4023)),IFERROR(-VALUE(LEFT(E4023,FIND("º",SUBSTITUTE(E4023,"°","º"))-1)),-1),IF(LEFT(E4023,6)="TÉRREO",0,IFERROR(VALUE(LEFT(E4023,FIND("º",SUBSTITUTE(E4023,"°","º"))-1)),""))))</f>
        <v>16</v>
      </c>
      <c r="O4023" s="2" t="str">
        <f aca="false">IF(OR(F4023="",G4023=""),"",IF(G4023&lt;='RETRATO 2027'!$K$5,"CONCLUÍDA",IF(F4023&lt;='RETRATO 2027'!$K$5,"EM ANDAMENTO","A INICIAR")))</f>
        <v>A INICIAR</v>
      </c>
    </row>
    <row r="4024" customFormat="false" ht="15" hidden="false" customHeight="false" outlineLevel="0" collapsed="false">
      <c r="B4024" s="4" t="n">
        <v>26259401</v>
      </c>
      <c r="C4024" s="4" t="s">
        <v>3134</v>
      </c>
      <c r="D4024" s="4" t="s">
        <v>433</v>
      </c>
      <c r="E4024" s="4" t="s">
        <v>180</v>
      </c>
      <c r="F4024" s="127" t="n">
        <v>47043</v>
      </c>
      <c r="G4024" s="127" t="n">
        <v>47074</v>
      </c>
      <c r="H4024" s="127" t="n">
        <v>46293</v>
      </c>
      <c r="I4024" s="4" t="n">
        <v>0</v>
      </c>
      <c r="J4024" s="4" t="n">
        <v>0</v>
      </c>
      <c r="K4024" s="4" t="n">
        <v>0</v>
      </c>
      <c r="M4024" s="2" t="str">
        <f aca="false">IF(C4024="","",IFERROR(INDEX($S$5:$S$304,MATCH(C4024,$R$5:$R$304,0))&amp;"","?"))</f>
        <v>24</v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>A INICIAR</v>
      </c>
    </row>
    <row r="4025" customFormat="false" ht="15" hidden="false" customHeight="false" outlineLevel="0" collapsed="false">
      <c r="B4025" s="4" t="n">
        <v>26259467</v>
      </c>
      <c r="C4025" s="4" t="s">
        <v>3137</v>
      </c>
      <c r="D4025" s="4" t="s">
        <v>433</v>
      </c>
      <c r="E4025" s="4" t="s">
        <v>180</v>
      </c>
      <c r="F4025" s="127" t="n">
        <v>47043</v>
      </c>
      <c r="G4025" s="127" t="n">
        <v>47074</v>
      </c>
      <c r="H4025" s="127" t="n">
        <v>46293</v>
      </c>
      <c r="I4025" s="4" t="n">
        <v>0</v>
      </c>
      <c r="J4025" s="4" t="n">
        <v>0</v>
      </c>
      <c r="K4025" s="4" t="n">
        <v>0</v>
      </c>
      <c r="M4025" s="2" t="str">
        <f aca="false">IF(C4025="","",IFERROR(INDEX($S$5:$S$304,MATCH(C4025,$R$5:$R$304,0))&amp;"","?"))</f>
        <v>24</v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>A INICIAR</v>
      </c>
    </row>
    <row r="4026" customFormat="false" ht="15" hidden="false" customHeight="false" outlineLevel="0" collapsed="false">
      <c r="B4026" s="4" t="n">
        <v>26708151</v>
      </c>
      <c r="C4026" s="4" t="s">
        <v>3029</v>
      </c>
      <c r="D4026" s="4" t="s">
        <v>433</v>
      </c>
      <c r="E4026" s="4" t="s">
        <v>3813</v>
      </c>
      <c r="F4026" s="127" t="n">
        <v>47044</v>
      </c>
      <c r="G4026" s="127" t="n">
        <v>47050</v>
      </c>
      <c r="H4026" s="127" t="n">
        <v>46293</v>
      </c>
      <c r="I4026" s="4" t="n">
        <v>0</v>
      </c>
      <c r="J4026" s="4" t="n">
        <v>0</v>
      </c>
      <c r="K4026" s="4" t="n">
        <v>0</v>
      </c>
      <c r="M4026" s="2" t="str">
        <f aca="false">IF(C4026="","",IFERROR(INDEX($S$5:$S$304,MATCH(C4026,$R$5:$R$304,0))&amp;"","?"))</f>
        <v/>
      </c>
      <c r="N4026" s="2" t="n">
        <f aca="false">IF(E4026="","",IF(ISNUMBER(SEARCH("SUBSOLO",E4026)),IFERROR(-VALUE(LEFT(E4026,FIND("º",SUBSTITUTE(E4026,"°","º"))-1)),-1),IF(LEFT(E4026,6)="TÉRREO",0,IFERROR(VALUE(LEFT(E4026,FIND("º",SUBSTITUTE(E4026,"°","º"))-1)),""))))</f>
        <v>-6</v>
      </c>
      <c r="O4026" s="2" t="str">
        <f aca="false">IF(OR(F4026="",G4026=""),"",IF(G4026&lt;='RETRATO 2027'!$K$5,"CONCLUÍDA",IF(F4026&lt;='RETRATO 2027'!$K$5,"EM ANDAMENTO","A INICIAR")))</f>
        <v>A INICIAR</v>
      </c>
    </row>
    <row r="4027" customFormat="false" ht="15" hidden="false" customHeight="false" outlineLevel="0" collapsed="false">
      <c r="B4027" s="4" t="n">
        <v>26744505</v>
      </c>
      <c r="C4027" s="4" t="s">
        <v>2971</v>
      </c>
      <c r="D4027" s="4" t="s">
        <v>433</v>
      </c>
      <c r="E4027" s="4" t="s">
        <v>3796</v>
      </c>
      <c r="F4027" s="127" t="n">
        <v>47046</v>
      </c>
      <c r="G4027" s="127" t="n">
        <v>47052</v>
      </c>
      <c r="H4027" s="127" t="n">
        <v>46293</v>
      </c>
      <c r="I4027" s="4" t="n">
        <v>0</v>
      </c>
      <c r="J4027" s="4" t="n">
        <v>0</v>
      </c>
      <c r="K4027" s="4" t="n">
        <v>0</v>
      </c>
      <c r="M4027" s="2" t="str">
        <f aca="false">IF(C4027="","",IFERROR(INDEX($S$5:$S$304,MATCH(C4027,$R$5:$R$304,0))&amp;"","?"))</f>
        <v>37</v>
      </c>
      <c r="N4027" s="2" t="n">
        <f aca="false">IF(E4027="","",IF(ISNUMBER(SEARCH("SUBSOLO",E4027)),IFERROR(-VALUE(LEFT(E4027,FIND("º",SUBSTITUTE(E4027,"°","º"))-1)),-1),IF(LEFT(E4027,6)="TÉRREO",0,IFERROR(VALUE(LEFT(E4027,FIND("º",SUBSTITUTE(E4027,"°","º"))-1)),""))))</f>
        <v>3</v>
      </c>
      <c r="O4027" s="2" t="str">
        <f aca="false">IF(OR(F4027="",G4027=""),"",IF(G4027&lt;='RETRATO 2027'!$K$5,"CONCLUÍDA",IF(F4027&lt;='RETRATO 2027'!$K$5,"EM ANDAMENTO","A INICIAR")))</f>
        <v>A INICIAR</v>
      </c>
    </row>
    <row r="4028" customFormat="false" ht="15" hidden="false" customHeight="false" outlineLevel="0" collapsed="false">
      <c r="B4028" s="4" t="n">
        <v>30433019</v>
      </c>
      <c r="C4028" s="4" t="s">
        <v>3096</v>
      </c>
      <c r="D4028" s="4" t="s">
        <v>433</v>
      </c>
      <c r="E4028" s="4" t="s">
        <v>3788</v>
      </c>
      <c r="F4028" s="127" t="n">
        <v>47046</v>
      </c>
      <c r="G4028" s="127" t="n">
        <v>47056</v>
      </c>
      <c r="H4028" s="127" t="n">
        <v>46293</v>
      </c>
      <c r="I4028" s="4" t="n">
        <v>0</v>
      </c>
      <c r="J4028" s="4" t="n">
        <v>0</v>
      </c>
      <c r="K4028" s="4" t="n">
        <v>0</v>
      </c>
      <c r="M4028" s="2" t="str">
        <f aca="false">IF(C4028="","",IFERROR(INDEX($S$5:$S$304,MATCH(C4028,$R$5:$R$304,0))&amp;"","?"))</f>
        <v/>
      </c>
      <c r="N4028" s="2" t="n">
        <f aca="false">IF(E4028="","",IF(ISNUMBER(SEARCH("SUBSOLO",E4028)),IFERROR(-VALUE(LEFT(E4028,FIND("º",SUBSTITUTE(E4028,"°","º"))-1)),-1),IF(LEFT(E4028,6)="TÉRREO",0,IFERROR(VALUE(LEFT(E4028,FIND("º",SUBSTITUTE(E4028,"°","º"))-1)),""))))</f>
        <v>24</v>
      </c>
      <c r="O4028" s="2" t="str">
        <f aca="false">IF(OR(F4028="",G4028=""),"",IF(G4028&lt;='RETRATO 2027'!$K$5,"CONCLUÍDA",IF(F4028&lt;='RETRATO 2027'!$K$5,"EM ANDAMENTO","A INICIAR")))</f>
        <v>A INICIAR</v>
      </c>
    </row>
    <row r="4029" customFormat="false" ht="15" hidden="false" customHeight="false" outlineLevel="0" collapsed="false">
      <c r="B4029" s="4" t="n">
        <v>26742856</v>
      </c>
      <c r="C4029" s="4" t="s">
        <v>3029</v>
      </c>
      <c r="D4029" s="4" t="s">
        <v>433</v>
      </c>
      <c r="E4029" s="4" t="s">
        <v>3794</v>
      </c>
      <c r="F4029" s="127" t="n">
        <v>47046</v>
      </c>
      <c r="G4029" s="127" t="n">
        <v>47056</v>
      </c>
      <c r="H4029" s="127" t="n">
        <v>46293</v>
      </c>
      <c r="I4029" s="4" t="n">
        <v>0</v>
      </c>
      <c r="J4029" s="4" t="n">
        <v>0</v>
      </c>
      <c r="K4029" s="4" t="n">
        <v>0</v>
      </c>
      <c r="M4029" s="2" t="str">
        <f aca="false">IF(C4029="","",IFERROR(INDEX($S$5:$S$304,MATCH(C4029,$R$5:$R$304,0))&amp;"","?"))</f>
        <v/>
      </c>
      <c r="N4029" s="2" t="n">
        <f aca="false">IF(E4029="","",IF(ISNUMBER(SEARCH("SUBSOLO",E4029)),IFERROR(-VALUE(LEFT(E4029,FIND("º",SUBSTITUTE(E4029,"°","º"))-1)),-1),IF(LEFT(E4029,6)="TÉRREO",0,IFERROR(VALUE(LEFT(E4029,FIND("º",SUBSTITUTE(E4029,"°","º"))-1)),""))))</f>
        <v>25</v>
      </c>
      <c r="O4029" s="2" t="str">
        <f aca="false">IF(OR(F4029="",G4029=""),"",IF(G4029&lt;='RETRATO 2027'!$K$5,"CONCLUÍDA",IF(F4029&lt;='RETRATO 2027'!$K$5,"EM ANDAMENTO","A INICIAR")))</f>
        <v>A INICIAR</v>
      </c>
    </row>
    <row r="4030" customFormat="false" ht="15" hidden="false" customHeight="false" outlineLevel="0" collapsed="false">
      <c r="B4030" s="4" t="n">
        <v>26742817</v>
      </c>
      <c r="C4030" s="4" t="s">
        <v>2971</v>
      </c>
      <c r="D4030" s="4" t="s">
        <v>433</v>
      </c>
      <c r="E4030" s="4" t="s">
        <v>3797</v>
      </c>
      <c r="F4030" s="127" t="n">
        <v>47046</v>
      </c>
      <c r="G4030" s="127" t="n">
        <v>47056</v>
      </c>
      <c r="H4030" s="127" t="n">
        <v>46293</v>
      </c>
      <c r="I4030" s="4" t="n">
        <v>0</v>
      </c>
      <c r="J4030" s="4" t="n">
        <v>0</v>
      </c>
      <c r="K4030" s="4" t="n">
        <v>0</v>
      </c>
      <c r="M4030" s="2" t="str">
        <f aca="false">IF(C4030="","",IFERROR(INDEX($S$5:$S$304,MATCH(C4030,$R$5:$R$304,0))&amp;"","?"))</f>
        <v>37</v>
      </c>
      <c r="N4030" s="2" t="n">
        <f aca="false">IF(E4030="","",IF(ISNUMBER(SEARCH("SUBSOLO",E4030)),IFERROR(-VALUE(LEFT(E4030,FIND("º",SUBSTITUTE(E4030,"°","º"))-1)),-1),IF(LEFT(E4030,6)="TÉRREO",0,IFERROR(VALUE(LEFT(E4030,FIND("º",SUBSTITUTE(E4030,"°","º"))-1)),""))))</f>
        <v>26</v>
      </c>
      <c r="O4030" s="2" t="str">
        <f aca="false">IF(OR(F4030="",G4030=""),"",IF(G4030&lt;='RETRATO 2027'!$K$5,"CONCLUÍDA",IF(F4030&lt;='RETRATO 2027'!$K$5,"EM ANDAMENTO","A INICIAR")))</f>
        <v>A INICIAR</v>
      </c>
    </row>
    <row r="4031" customFormat="false" ht="15" hidden="false" customHeight="false" outlineLevel="0" collapsed="false">
      <c r="B4031" s="4" t="n">
        <v>26742779</v>
      </c>
      <c r="C4031" s="4" t="s">
        <v>3032</v>
      </c>
      <c r="D4031" s="4" t="s">
        <v>433</v>
      </c>
      <c r="E4031" s="4" t="s">
        <v>3799</v>
      </c>
      <c r="F4031" s="127" t="n">
        <v>47046</v>
      </c>
      <c r="G4031" s="127" t="n">
        <v>47056</v>
      </c>
      <c r="H4031" s="127" t="n">
        <v>46293</v>
      </c>
      <c r="I4031" s="4" t="n">
        <v>0</v>
      </c>
      <c r="J4031" s="4" t="n">
        <v>0</v>
      </c>
      <c r="K4031" s="4" t="n">
        <v>0</v>
      </c>
      <c r="M4031" s="2" t="str">
        <f aca="false">IF(C4031="","",IFERROR(INDEX($S$5:$S$304,MATCH(C4031,$R$5:$R$304,0))&amp;"","?"))</f>
        <v>35</v>
      </c>
      <c r="N4031" s="2" t="n">
        <f aca="false">IF(E4031="","",IF(ISNUMBER(SEARCH("SUBSOLO",E4031)),IFERROR(-VALUE(LEFT(E4031,FIND("º",SUBSTITUTE(E4031,"°","º"))-1)),-1),IF(LEFT(E4031,6)="TÉRREO",0,IFERROR(VALUE(LEFT(E4031,FIND("º",SUBSTITUTE(E4031,"°","º"))-1)),""))))</f>
        <v>27</v>
      </c>
      <c r="O4031" s="2" t="str">
        <f aca="false">IF(OR(F4031="",G4031=""),"",IF(G4031&lt;='RETRATO 2027'!$K$5,"CONCLUÍDA",IF(F4031&lt;='RETRATO 2027'!$K$5,"EM ANDAMENTO","A INICIAR")))</f>
        <v>A INICIAR</v>
      </c>
    </row>
    <row r="4032" customFormat="false" ht="15" hidden="false" customHeight="false" outlineLevel="0" collapsed="false">
      <c r="B4032" s="4" t="n">
        <v>26742736</v>
      </c>
      <c r="C4032" s="4" t="s">
        <v>3093</v>
      </c>
      <c r="D4032" s="4" t="s">
        <v>433</v>
      </c>
      <c r="E4032" s="4" t="s">
        <v>3802</v>
      </c>
      <c r="F4032" s="127" t="n">
        <v>47046</v>
      </c>
      <c r="G4032" s="127" t="n">
        <v>47056</v>
      </c>
      <c r="H4032" s="127" t="n">
        <v>46293</v>
      </c>
      <c r="I4032" s="4" t="n">
        <v>0</v>
      </c>
      <c r="J4032" s="4" t="n">
        <v>0</v>
      </c>
      <c r="K4032" s="4" t="n">
        <v>0</v>
      </c>
      <c r="M4032" s="2" t="str">
        <f aca="false">IF(C4032="","",IFERROR(INDEX($S$5:$S$304,MATCH(C4032,$R$5:$R$304,0))&amp;"","?"))</f>
        <v>34</v>
      </c>
      <c r="N4032" s="2" t="n">
        <f aca="false">IF(E4032="","",IF(ISNUMBER(SEARCH("SUBSOLO",E4032)),IFERROR(-VALUE(LEFT(E4032,FIND("º",SUBSTITUTE(E4032,"°","º"))-1)),-1),IF(LEFT(E4032,6)="TÉRREO",0,IFERROR(VALUE(LEFT(E4032,FIND("º",SUBSTITUTE(E4032,"°","º"))-1)),""))))</f>
        <v>28</v>
      </c>
      <c r="O4032" s="2" t="str">
        <f aca="false">IF(OR(F4032="",G4032=""),"",IF(G4032&lt;='RETRATO 2027'!$K$5,"CONCLUÍDA",IF(F4032&lt;='RETRATO 2027'!$K$5,"EM ANDAMENTO","A INICIAR")))</f>
        <v>A INICIAR</v>
      </c>
    </row>
    <row r="4033" customFormat="false" ht="15" hidden="false" customHeight="false" outlineLevel="0" collapsed="false">
      <c r="B4033" s="4" t="n">
        <v>26742758</v>
      </c>
      <c r="C4033" s="4" t="s">
        <v>2965</v>
      </c>
      <c r="D4033" s="4" t="s">
        <v>433</v>
      </c>
      <c r="E4033" s="4" t="s">
        <v>3802</v>
      </c>
      <c r="F4033" s="127" t="n">
        <v>47046</v>
      </c>
      <c r="G4033" s="127" t="n">
        <v>47056</v>
      </c>
      <c r="H4033" s="127" t="n">
        <v>46293</v>
      </c>
      <c r="I4033" s="4" t="n">
        <v>0</v>
      </c>
      <c r="J4033" s="4" t="n">
        <v>0</v>
      </c>
      <c r="K4033" s="4" t="n">
        <v>0</v>
      </c>
      <c r="M4033" s="2" t="str">
        <f aca="false">IF(C4033="","",IFERROR(INDEX($S$5:$S$304,MATCH(C4033,$R$5:$R$304,0))&amp;"","?"))</f>
        <v>20</v>
      </c>
      <c r="N4033" s="2" t="n">
        <f aca="false">IF(E4033="","",IF(ISNUMBER(SEARCH("SUBSOLO",E4033)),IFERROR(-VALUE(LEFT(E4033,FIND("º",SUBSTITUTE(E4033,"°","º"))-1)),-1),IF(LEFT(E4033,6)="TÉRREO",0,IFERROR(VALUE(LEFT(E4033,FIND("º",SUBSTITUTE(E4033,"°","º"))-1)),""))))</f>
        <v>28</v>
      </c>
      <c r="O4033" s="2" t="str">
        <f aca="false">IF(OR(F4033="",G4033=""),"",IF(G4033&lt;='RETRATO 2027'!$K$5,"CONCLUÍDA",IF(F4033&lt;='RETRATO 2027'!$K$5,"EM ANDAMENTO","A INICIAR")))</f>
        <v>A INICIAR</v>
      </c>
    </row>
    <row r="4034" customFormat="false" ht="15" hidden="false" customHeight="false" outlineLevel="0" collapsed="false">
      <c r="B4034" s="4" t="n">
        <v>26742698</v>
      </c>
      <c r="C4034" s="4" t="s">
        <v>3021</v>
      </c>
      <c r="D4034" s="4" t="s">
        <v>433</v>
      </c>
      <c r="E4034" s="4" t="s">
        <v>3803</v>
      </c>
      <c r="F4034" s="127" t="n">
        <v>47046</v>
      </c>
      <c r="G4034" s="127" t="n">
        <v>47056</v>
      </c>
      <c r="H4034" s="127" t="n">
        <v>46293</v>
      </c>
      <c r="I4034" s="4" t="n">
        <v>0</v>
      </c>
      <c r="J4034" s="4" t="n">
        <v>0</v>
      </c>
      <c r="K4034" s="4" t="n">
        <v>0</v>
      </c>
      <c r="M4034" s="2" t="str">
        <f aca="false">IF(C4034="","",IFERROR(INDEX($S$5:$S$304,MATCH(C4034,$R$5:$R$304,0))&amp;"","?"))</f>
        <v>35</v>
      </c>
      <c r="N4034" s="2" t="n">
        <f aca="false">IF(E4034="","",IF(ISNUMBER(SEARCH("SUBSOLO",E4034)),IFERROR(-VALUE(LEFT(E4034,FIND("º",SUBSTITUTE(E4034,"°","º"))-1)),-1),IF(LEFT(E4034,6)="TÉRREO",0,IFERROR(VALUE(LEFT(E4034,FIND("º",SUBSTITUTE(E4034,"°","º"))-1)),""))))</f>
        <v>29</v>
      </c>
      <c r="O4034" s="2" t="str">
        <f aca="false">IF(OR(F4034="",G4034=""),"",IF(G4034&lt;='RETRATO 2027'!$K$5,"CONCLUÍDA",IF(F4034&lt;='RETRATO 2027'!$K$5,"EM ANDAMENTO","A INICIAR")))</f>
        <v>A INICIAR</v>
      </c>
    </row>
    <row r="4035" customFormat="false" ht="15" hidden="false" customHeight="false" outlineLevel="0" collapsed="false">
      <c r="B4035" s="4" t="n">
        <v>26744493</v>
      </c>
      <c r="C4035" s="4" t="s">
        <v>214</v>
      </c>
      <c r="D4035" s="4" t="s">
        <v>433</v>
      </c>
      <c r="E4035" s="4" t="s">
        <v>3804</v>
      </c>
      <c r="F4035" s="127" t="n">
        <v>47050</v>
      </c>
      <c r="G4035" s="127" t="n">
        <v>47064</v>
      </c>
      <c r="H4035" s="127" t="n">
        <v>46293</v>
      </c>
      <c r="I4035" s="4" t="n">
        <v>0</v>
      </c>
      <c r="J4035" s="4" t="n">
        <v>0</v>
      </c>
      <c r="K4035" s="4" t="n">
        <v>0</v>
      </c>
      <c r="M4035" s="2" t="str">
        <f aca="false">IF(C4035="","",IFERROR(INDEX($S$5:$S$304,MATCH(C4035,$R$5:$R$304,0))&amp;"","?"))</f>
        <v>35</v>
      </c>
      <c r="N4035" s="2" t="n">
        <f aca="false">IF(E4035="","",IF(ISNUMBER(SEARCH("SUBSOLO",E4035)),IFERROR(-VALUE(LEFT(E4035,FIND("º",SUBSTITUTE(E4035,"°","º"))-1)),-1),IF(LEFT(E4035,6)="TÉRREO",0,IFERROR(VALUE(LEFT(E4035,FIND("º",SUBSTITUTE(E4035,"°","º"))-1)),""))))</f>
        <v>3</v>
      </c>
      <c r="O4035" s="2" t="str">
        <f aca="false">IF(OR(F4035="",G4035=""),"",IF(G4035&lt;='RETRATO 2027'!$K$5,"CONCLUÍDA",IF(F4035&lt;='RETRATO 2027'!$K$5,"EM ANDAMENTO","A INICIAR")))</f>
        <v>A INICIAR</v>
      </c>
    </row>
    <row r="4036" customFormat="false" ht="15" hidden="false" customHeight="false" outlineLevel="0" collapsed="false">
      <c r="B4036" s="4" t="n">
        <v>26743181</v>
      </c>
      <c r="C4036" s="4" t="s">
        <v>3006</v>
      </c>
      <c r="D4036" s="4" t="s">
        <v>433</v>
      </c>
      <c r="E4036" s="4" t="s">
        <v>3771</v>
      </c>
      <c r="F4036" s="127" t="n">
        <v>47051</v>
      </c>
      <c r="G4036" s="127" t="n">
        <v>47060</v>
      </c>
      <c r="H4036" s="127" t="n">
        <v>46293</v>
      </c>
      <c r="I4036" s="4" t="n">
        <v>0</v>
      </c>
      <c r="J4036" s="4" t="n">
        <v>0</v>
      </c>
      <c r="K4036" s="4" t="n">
        <v>0</v>
      </c>
      <c r="M4036" s="2" t="str">
        <f aca="false">IF(C4036="","",IFERROR(INDEX($S$5:$S$304,MATCH(C4036,$R$5:$R$304,0))&amp;"","?"))</f>
        <v>37</v>
      </c>
      <c r="N4036" s="2" t="n">
        <f aca="false">IF(E4036="","",IF(ISNUMBER(SEARCH("SUBSOLO",E4036)),IFERROR(-VALUE(LEFT(E4036,FIND("º",SUBSTITUTE(E4036,"°","º"))-1)),-1),IF(LEFT(E4036,6)="TÉRREO",0,IFERROR(VALUE(LEFT(E4036,FIND("º",SUBSTITUTE(E4036,"°","º"))-1)),""))))</f>
        <v>16</v>
      </c>
      <c r="O4036" s="2" t="str">
        <f aca="false">IF(OR(F4036="",G4036=""),"",IF(G4036&lt;='RETRATO 2027'!$K$5,"CONCLUÍDA",IF(F4036&lt;='RETRATO 2027'!$K$5,"EM ANDAMENTO","A INICIAR")))</f>
        <v>A INICIAR</v>
      </c>
    </row>
    <row r="4037" customFormat="false" ht="15" hidden="false" customHeight="false" outlineLevel="0" collapsed="false">
      <c r="B4037" s="4" t="n">
        <v>30433020</v>
      </c>
      <c r="C4037" s="4" t="s">
        <v>3096</v>
      </c>
      <c r="D4037" s="4" t="s">
        <v>433</v>
      </c>
      <c r="E4037" s="4" t="s">
        <v>3794</v>
      </c>
      <c r="F4037" s="127" t="n">
        <v>47057</v>
      </c>
      <c r="G4037" s="127" t="n">
        <v>47066</v>
      </c>
      <c r="H4037" s="127" t="n">
        <v>46293</v>
      </c>
      <c r="I4037" s="4" t="n">
        <v>0</v>
      </c>
      <c r="J4037" s="4" t="n">
        <v>0</v>
      </c>
      <c r="K4037" s="4" t="n">
        <v>0</v>
      </c>
      <c r="M4037" s="2" t="str">
        <f aca="false">IF(C4037="","",IFERROR(INDEX($S$5:$S$304,MATCH(C4037,$R$5:$R$304,0))&amp;"","?"))</f>
        <v/>
      </c>
      <c r="N4037" s="2" t="n">
        <f aca="false">IF(E4037="","",IF(ISNUMBER(SEARCH("SUBSOLO",E4037)),IFERROR(-VALUE(LEFT(E4037,FIND("º",SUBSTITUTE(E4037,"°","º"))-1)),-1),IF(LEFT(E4037,6)="TÉRREO",0,IFERROR(VALUE(LEFT(E4037,FIND("º",SUBSTITUTE(E4037,"°","º"))-1)),""))))</f>
        <v>25</v>
      </c>
      <c r="O4037" s="2" t="str">
        <f aca="false">IF(OR(F4037="",G4037=""),"",IF(G4037&lt;='RETRATO 2027'!$K$5,"CONCLUÍDA",IF(F4037&lt;='RETRATO 2027'!$K$5,"EM ANDAMENTO","A INICIAR")))</f>
        <v>A INICIAR</v>
      </c>
    </row>
    <row r="4038" customFormat="false" ht="15" hidden="false" customHeight="false" outlineLevel="0" collapsed="false">
      <c r="B4038" s="4" t="n">
        <v>26742819</v>
      </c>
      <c r="C4038" s="4" t="s">
        <v>3029</v>
      </c>
      <c r="D4038" s="4" t="s">
        <v>433</v>
      </c>
      <c r="E4038" s="4" t="s">
        <v>3797</v>
      </c>
      <c r="F4038" s="127" t="n">
        <v>47057</v>
      </c>
      <c r="G4038" s="127" t="n">
        <v>47066</v>
      </c>
      <c r="H4038" s="127" t="n">
        <v>46293</v>
      </c>
      <c r="I4038" s="4" t="n">
        <v>0</v>
      </c>
      <c r="J4038" s="4" t="n">
        <v>0</v>
      </c>
      <c r="K4038" s="4" t="n">
        <v>0</v>
      </c>
      <c r="M4038" s="2" t="str">
        <f aca="false">IF(C4038="","",IFERROR(INDEX($S$5:$S$304,MATCH(C4038,$R$5:$R$304,0))&amp;"","?"))</f>
        <v/>
      </c>
      <c r="N4038" s="2" t="n">
        <f aca="false">IF(E4038="","",IF(ISNUMBER(SEARCH("SUBSOLO",E4038)),IFERROR(-VALUE(LEFT(E4038,FIND("º",SUBSTITUTE(E4038,"°","º"))-1)),-1),IF(LEFT(E4038,6)="TÉRREO",0,IFERROR(VALUE(LEFT(E4038,FIND("º",SUBSTITUTE(E4038,"°","º"))-1)),""))))</f>
        <v>26</v>
      </c>
      <c r="O4038" s="2" t="str">
        <f aca="false">IF(OR(F4038="",G4038=""),"",IF(G4038&lt;='RETRATO 2027'!$K$5,"CONCLUÍDA",IF(F4038&lt;='RETRATO 2027'!$K$5,"EM ANDAMENTO","A INICIAR")))</f>
        <v>A INICIAR</v>
      </c>
    </row>
    <row r="4039" customFormat="false" ht="15" hidden="false" customHeight="false" outlineLevel="0" collapsed="false">
      <c r="B4039" s="4" t="n">
        <v>26742780</v>
      </c>
      <c r="C4039" s="4" t="s">
        <v>2971</v>
      </c>
      <c r="D4039" s="4" t="s">
        <v>433</v>
      </c>
      <c r="E4039" s="4" t="s">
        <v>3799</v>
      </c>
      <c r="F4039" s="127" t="n">
        <v>47057</v>
      </c>
      <c r="G4039" s="127" t="n">
        <v>47066</v>
      </c>
      <c r="H4039" s="127" t="n">
        <v>46293</v>
      </c>
      <c r="I4039" s="4" t="n">
        <v>0</v>
      </c>
      <c r="J4039" s="4" t="n">
        <v>0</v>
      </c>
      <c r="K4039" s="4" t="n">
        <v>0</v>
      </c>
      <c r="M4039" s="2" t="str">
        <f aca="false">IF(C4039="","",IFERROR(INDEX($S$5:$S$304,MATCH(C4039,$R$5:$R$304,0))&amp;"","?"))</f>
        <v>37</v>
      </c>
      <c r="N4039" s="2" t="n">
        <f aca="false">IF(E4039="","",IF(ISNUMBER(SEARCH("SUBSOLO",E4039)),IFERROR(-VALUE(LEFT(E4039,FIND("º",SUBSTITUTE(E4039,"°","º"))-1)),-1),IF(LEFT(E4039,6)="TÉRREO",0,IFERROR(VALUE(LEFT(E4039,FIND("º",SUBSTITUTE(E4039,"°","º"))-1)),""))))</f>
        <v>27</v>
      </c>
      <c r="O4039" s="2" t="str">
        <f aca="false">IF(OR(F4039="",G4039=""),"",IF(G4039&lt;='RETRATO 2027'!$K$5,"CONCLUÍDA",IF(F4039&lt;='RETRATO 2027'!$K$5,"EM ANDAMENTO","A INICIAR")))</f>
        <v>A INICIAR</v>
      </c>
    </row>
    <row r="4040" customFormat="false" ht="15" hidden="false" customHeight="false" outlineLevel="0" collapsed="false">
      <c r="B4040" s="4" t="n">
        <v>26742742</v>
      </c>
      <c r="C4040" s="4" t="s">
        <v>3032</v>
      </c>
      <c r="D4040" s="4" t="s">
        <v>433</v>
      </c>
      <c r="E4040" s="4" t="s">
        <v>3802</v>
      </c>
      <c r="F4040" s="127" t="n">
        <v>47057</v>
      </c>
      <c r="G4040" s="127" t="n">
        <v>47066</v>
      </c>
      <c r="H4040" s="127" t="n">
        <v>46293</v>
      </c>
      <c r="I4040" s="4" t="n">
        <v>0</v>
      </c>
      <c r="J4040" s="4" t="n">
        <v>0</v>
      </c>
      <c r="K4040" s="4" t="n">
        <v>0</v>
      </c>
      <c r="M4040" s="2" t="str">
        <f aca="false">IF(C4040="","",IFERROR(INDEX($S$5:$S$304,MATCH(C4040,$R$5:$R$304,0))&amp;"","?"))</f>
        <v>35</v>
      </c>
      <c r="N4040" s="2" t="n">
        <f aca="false">IF(E4040="","",IF(ISNUMBER(SEARCH("SUBSOLO",E4040)),IFERROR(-VALUE(LEFT(E4040,FIND("º",SUBSTITUTE(E4040,"°","º"))-1)),-1),IF(LEFT(E4040,6)="TÉRREO",0,IFERROR(VALUE(LEFT(E4040,FIND("º",SUBSTITUTE(E4040,"°","º"))-1)),""))))</f>
        <v>28</v>
      </c>
      <c r="O4040" s="2" t="str">
        <f aca="false">IF(OR(F4040="",G4040=""),"",IF(G4040&lt;='RETRATO 2027'!$K$5,"CONCLUÍDA",IF(F4040&lt;='RETRATO 2027'!$K$5,"EM ANDAMENTO","A INICIAR")))</f>
        <v>A INICIAR</v>
      </c>
    </row>
    <row r="4041" customFormat="false" ht="15" hidden="false" customHeight="false" outlineLevel="0" collapsed="false">
      <c r="B4041" s="4" t="n">
        <v>26742699</v>
      </c>
      <c r="C4041" s="4" t="s">
        <v>3093</v>
      </c>
      <c r="D4041" s="4" t="s">
        <v>433</v>
      </c>
      <c r="E4041" s="4" t="s">
        <v>3803</v>
      </c>
      <c r="F4041" s="127" t="n">
        <v>47057</v>
      </c>
      <c r="G4041" s="127" t="n">
        <v>47066</v>
      </c>
      <c r="H4041" s="127" t="n">
        <v>46293</v>
      </c>
      <c r="I4041" s="4" t="n">
        <v>0</v>
      </c>
      <c r="J4041" s="4" t="n">
        <v>0</v>
      </c>
      <c r="K4041" s="4" t="n">
        <v>0</v>
      </c>
      <c r="M4041" s="2" t="str">
        <f aca="false">IF(C4041="","",IFERROR(INDEX($S$5:$S$304,MATCH(C4041,$R$5:$R$304,0))&amp;"","?"))</f>
        <v>34</v>
      </c>
      <c r="N4041" s="2" t="n">
        <f aca="false">IF(E4041="","",IF(ISNUMBER(SEARCH("SUBSOLO",E4041)),IFERROR(-VALUE(LEFT(E4041,FIND("º",SUBSTITUTE(E4041,"°","º"))-1)),-1),IF(LEFT(E4041,6)="TÉRREO",0,IFERROR(VALUE(LEFT(E4041,FIND("º",SUBSTITUTE(E4041,"°","º"))-1)),""))))</f>
        <v>29</v>
      </c>
      <c r="O4041" s="2" t="str">
        <f aca="false">IF(OR(F4041="",G4041=""),"",IF(G4041&lt;='RETRATO 2027'!$K$5,"CONCLUÍDA",IF(F4041&lt;='RETRATO 2027'!$K$5,"EM ANDAMENTO","A INICIAR")))</f>
        <v>A INICIAR</v>
      </c>
    </row>
    <row r="4042" customFormat="false" ht="15" hidden="false" customHeight="false" outlineLevel="0" collapsed="false">
      <c r="B4042" s="4" t="n">
        <v>26742721</v>
      </c>
      <c r="C4042" s="4" t="s">
        <v>2965</v>
      </c>
      <c r="D4042" s="4" t="s">
        <v>433</v>
      </c>
      <c r="E4042" s="4" t="s">
        <v>3803</v>
      </c>
      <c r="F4042" s="127" t="n">
        <v>47057</v>
      </c>
      <c r="G4042" s="127" t="n">
        <v>47066</v>
      </c>
      <c r="H4042" s="127" t="n">
        <v>46293</v>
      </c>
      <c r="I4042" s="4" t="n">
        <v>0</v>
      </c>
      <c r="J4042" s="4" t="n">
        <v>0</v>
      </c>
      <c r="K4042" s="4" t="n">
        <v>0</v>
      </c>
      <c r="M4042" s="2" t="str">
        <f aca="false">IF(C4042="","",IFERROR(INDEX($S$5:$S$304,MATCH(C4042,$R$5:$R$304,0))&amp;"","?"))</f>
        <v>20</v>
      </c>
      <c r="N4042" s="2" t="n">
        <f aca="false">IF(E4042="","",IF(ISNUMBER(SEARCH("SUBSOLO",E4042)),IFERROR(-VALUE(LEFT(E4042,FIND("º",SUBSTITUTE(E4042,"°","º"))-1)),-1),IF(LEFT(E4042,6)="TÉRREO",0,IFERROR(VALUE(LEFT(E4042,FIND("º",SUBSTITUTE(E4042,"°","º"))-1)),""))))</f>
        <v>29</v>
      </c>
      <c r="O4042" s="2" t="str">
        <f aca="false">IF(OR(F4042="",G4042=""),"",IF(G4042&lt;='RETRATO 2027'!$K$5,"CONCLUÍDA",IF(F4042&lt;='RETRATO 2027'!$K$5,"EM ANDAMENTO","A INICIAR")))</f>
        <v>A INICIAR</v>
      </c>
    </row>
    <row r="4043" customFormat="false" ht="15" hidden="false" customHeight="false" outlineLevel="0" collapsed="false">
      <c r="B4043" s="4" t="n">
        <v>26743179</v>
      </c>
      <c r="C4043" s="4" t="s">
        <v>3021</v>
      </c>
      <c r="D4043" s="4" t="s">
        <v>433</v>
      </c>
      <c r="E4043" s="4" t="s">
        <v>3771</v>
      </c>
      <c r="F4043" s="127" t="n">
        <v>47063</v>
      </c>
      <c r="G4043" s="127" t="n">
        <v>47071</v>
      </c>
      <c r="H4043" s="127" t="n">
        <v>46293</v>
      </c>
      <c r="I4043" s="4" t="n">
        <v>0</v>
      </c>
      <c r="J4043" s="4" t="n">
        <v>0</v>
      </c>
      <c r="K4043" s="4" t="n">
        <v>0</v>
      </c>
      <c r="M4043" s="2" t="str">
        <f aca="false">IF(C4043="","",IFERROR(INDEX($S$5:$S$304,MATCH(C4043,$R$5:$R$304,0))&amp;"","?"))</f>
        <v>35</v>
      </c>
      <c r="N4043" s="2" t="n">
        <f aca="false">IF(E4043="","",IF(ISNUMBER(SEARCH("SUBSOLO",E4043)),IFERROR(-VALUE(LEFT(E4043,FIND("º",SUBSTITUTE(E4043,"°","º"))-1)),-1),IF(LEFT(E4043,6)="TÉRREO",0,IFERROR(VALUE(LEFT(E4043,FIND("º",SUBSTITUTE(E4043,"°","º"))-1)),""))))</f>
        <v>16</v>
      </c>
      <c r="O4043" s="2" t="str">
        <f aca="false">IF(OR(F4043="",G4043=""),"",IF(G4043&lt;='RETRATO 2027'!$K$5,"CONCLUÍDA",IF(F4043&lt;='RETRATO 2027'!$K$5,"EM ANDAMENTO","A INICIAR")))</f>
        <v>A INICIAR</v>
      </c>
    </row>
    <row r="4044" customFormat="false" ht="15" hidden="false" customHeight="false" outlineLevel="0" collapsed="false">
      <c r="B4044" s="4" t="n">
        <v>26744536</v>
      </c>
      <c r="C4044" s="4" t="s">
        <v>2965</v>
      </c>
      <c r="D4044" s="4" t="s">
        <v>433</v>
      </c>
      <c r="E4044" s="4" t="s">
        <v>3804</v>
      </c>
      <c r="F4044" s="127" t="n">
        <v>47065</v>
      </c>
      <c r="G4044" s="127" t="n">
        <v>47071</v>
      </c>
      <c r="H4044" s="127" t="n">
        <v>46293</v>
      </c>
      <c r="I4044" s="4" t="n">
        <v>0</v>
      </c>
      <c r="J4044" s="4" t="n">
        <v>0</v>
      </c>
      <c r="K4044" s="4" t="n">
        <v>0</v>
      </c>
      <c r="M4044" s="2" t="str">
        <f aca="false">IF(C4044="","",IFERROR(INDEX($S$5:$S$304,MATCH(C4044,$R$5:$R$304,0))&amp;"","?"))</f>
        <v>20</v>
      </c>
      <c r="N4044" s="2" t="n">
        <f aca="false">IF(E4044="","",IF(ISNUMBER(SEARCH("SUBSOLO",E4044)),IFERROR(-VALUE(LEFT(E4044,FIND("º",SUBSTITUTE(E4044,"°","º"))-1)),-1),IF(LEFT(E4044,6)="TÉRREO",0,IFERROR(VALUE(LEFT(E4044,FIND("º",SUBSTITUTE(E4044,"°","º"))-1)),""))))</f>
        <v>3</v>
      </c>
      <c r="O4044" s="2" t="str">
        <f aca="false">IF(OR(F4044="",G4044=""),"",IF(G4044&lt;='RETRATO 2027'!$K$5,"CONCLUÍDA",IF(F4044&lt;='RETRATO 2027'!$K$5,"EM ANDAMENTO","A INICIAR")))</f>
        <v>A INICIAR</v>
      </c>
    </row>
    <row r="4045" customFormat="false" ht="15" hidden="false" customHeight="false" outlineLevel="0" collapsed="false">
      <c r="B4045" s="4" t="n">
        <v>26744489</v>
      </c>
      <c r="C4045" s="4" t="s">
        <v>3139</v>
      </c>
      <c r="D4045" s="4" t="s">
        <v>433</v>
      </c>
      <c r="E4045" s="4" t="s">
        <v>3804</v>
      </c>
      <c r="F4045" s="127" t="n">
        <v>47067</v>
      </c>
      <c r="G4045" s="127" t="n">
        <v>47084</v>
      </c>
      <c r="H4045" s="127" t="n">
        <v>46293</v>
      </c>
      <c r="I4045" s="4" t="n">
        <v>0</v>
      </c>
      <c r="J4045" s="4" t="n">
        <v>0</v>
      </c>
      <c r="K4045" s="4" t="n">
        <v>0</v>
      </c>
      <c r="M4045" s="2" t="str">
        <f aca="false">IF(C4045="","",IFERROR(INDEX($S$5:$S$304,MATCH(C4045,$R$5:$R$304,0))&amp;"","?"))</f>
        <v>30</v>
      </c>
      <c r="N4045" s="2" t="n">
        <f aca="false">IF(E4045="","",IF(ISNUMBER(SEARCH("SUBSOLO",E4045)),IFERROR(-VALUE(LEFT(E4045,FIND("º",SUBSTITUTE(E4045,"°","º"))-1)),-1),IF(LEFT(E4045,6)="TÉRREO",0,IFERROR(VALUE(LEFT(E4045,FIND("º",SUBSTITUTE(E4045,"°","º"))-1)),""))))</f>
        <v>3</v>
      </c>
      <c r="O4045" s="2" t="str">
        <f aca="false">IF(OR(F4045="",G4045=""),"",IF(G4045&lt;='RETRATO 2027'!$K$5,"CONCLUÍDA",IF(F4045&lt;='RETRATO 2027'!$K$5,"EM ANDAMENTO","A INICIAR")))</f>
        <v>A INICIAR</v>
      </c>
    </row>
    <row r="4046" customFormat="false" ht="15" hidden="false" customHeight="false" outlineLevel="0" collapsed="false">
      <c r="B4046" s="4" t="n">
        <v>30433021</v>
      </c>
      <c r="C4046" s="4" t="s">
        <v>3096</v>
      </c>
      <c r="D4046" s="4" t="s">
        <v>433</v>
      </c>
      <c r="E4046" s="4" t="s">
        <v>3797</v>
      </c>
      <c r="F4046" s="127" t="n">
        <v>47067</v>
      </c>
      <c r="G4046" s="127" t="n">
        <v>47079</v>
      </c>
      <c r="H4046" s="127" t="n">
        <v>46293</v>
      </c>
      <c r="I4046" s="4" t="n">
        <v>0</v>
      </c>
      <c r="J4046" s="4" t="n">
        <v>0</v>
      </c>
      <c r="K4046" s="4" t="n">
        <v>0</v>
      </c>
      <c r="M4046" s="2" t="str">
        <f aca="false">IF(C4046="","",IFERROR(INDEX($S$5:$S$304,MATCH(C4046,$R$5:$R$304,0))&amp;"","?"))</f>
        <v/>
      </c>
      <c r="N4046" s="2" t="n">
        <f aca="false">IF(E4046="","",IF(ISNUMBER(SEARCH("SUBSOLO",E4046)),IFERROR(-VALUE(LEFT(E4046,FIND("º",SUBSTITUTE(E4046,"°","º"))-1)),-1),IF(LEFT(E4046,6)="TÉRREO",0,IFERROR(VALUE(LEFT(E4046,FIND("º",SUBSTITUTE(E4046,"°","º"))-1)),""))))</f>
        <v>26</v>
      </c>
      <c r="O4046" s="2" t="str">
        <f aca="false">IF(OR(F4046="",G4046=""),"",IF(G4046&lt;='RETRATO 2027'!$K$5,"CONCLUÍDA",IF(F4046&lt;='RETRATO 2027'!$K$5,"EM ANDAMENTO","A INICIAR")))</f>
        <v>A INICIAR</v>
      </c>
    </row>
    <row r="4047" customFormat="false" ht="15" hidden="false" customHeight="false" outlineLevel="0" collapsed="false">
      <c r="B4047" s="4" t="n">
        <v>26742782</v>
      </c>
      <c r="C4047" s="4" t="s">
        <v>3029</v>
      </c>
      <c r="D4047" s="4" t="s">
        <v>433</v>
      </c>
      <c r="E4047" s="4" t="s">
        <v>3799</v>
      </c>
      <c r="F4047" s="127" t="n">
        <v>47067</v>
      </c>
      <c r="G4047" s="127" t="n">
        <v>47079</v>
      </c>
      <c r="H4047" s="127" t="n">
        <v>46293</v>
      </c>
      <c r="I4047" s="4" t="n">
        <v>0</v>
      </c>
      <c r="J4047" s="4" t="n">
        <v>0</v>
      </c>
      <c r="K4047" s="4" t="n">
        <v>0</v>
      </c>
      <c r="M4047" s="2" t="str">
        <f aca="false">IF(C4047="","",IFERROR(INDEX($S$5:$S$304,MATCH(C4047,$R$5:$R$304,0))&amp;"","?"))</f>
        <v/>
      </c>
      <c r="N4047" s="2" t="n">
        <f aca="false">IF(E4047="","",IF(ISNUMBER(SEARCH("SUBSOLO",E4047)),IFERROR(-VALUE(LEFT(E4047,FIND("º",SUBSTITUTE(E4047,"°","º"))-1)),-1),IF(LEFT(E4047,6)="TÉRREO",0,IFERROR(VALUE(LEFT(E4047,FIND("º",SUBSTITUTE(E4047,"°","º"))-1)),""))))</f>
        <v>27</v>
      </c>
      <c r="O4047" s="2" t="str">
        <f aca="false">IF(OR(F4047="",G4047=""),"",IF(G4047&lt;='RETRATO 2027'!$K$5,"CONCLUÍDA",IF(F4047&lt;='RETRATO 2027'!$K$5,"EM ANDAMENTO","A INICIAR")))</f>
        <v>A INICIAR</v>
      </c>
    </row>
    <row r="4048" customFormat="false" ht="15" hidden="false" customHeight="false" outlineLevel="0" collapsed="false">
      <c r="B4048" s="4" t="n">
        <v>26742743</v>
      </c>
      <c r="C4048" s="4" t="s">
        <v>2971</v>
      </c>
      <c r="D4048" s="4" t="s">
        <v>433</v>
      </c>
      <c r="E4048" s="4" t="s">
        <v>3802</v>
      </c>
      <c r="F4048" s="127" t="n">
        <v>47067</v>
      </c>
      <c r="G4048" s="127" t="n">
        <v>47079</v>
      </c>
      <c r="H4048" s="127" t="n">
        <v>46293</v>
      </c>
      <c r="I4048" s="4" t="n">
        <v>0</v>
      </c>
      <c r="J4048" s="4" t="n">
        <v>0</v>
      </c>
      <c r="K4048" s="4" t="n">
        <v>0</v>
      </c>
      <c r="M4048" s="2" t="str">
        <f aca="false">IF(C4048="","",IFERROR(INDEX($S$5:$S$304,MATCH(C4048,$R$5:$R$304,0))&amp;"","?"))</f>
        <v>37</v>
      </c>
      <c r="N4048" s="2" t="n">
        <f aca="false">IF(E4048="","",IF(ISNUMBER(SEARCH("SUBSOLO",E4048)),IFERROR(-VALUE(LEFT(E4048,FIND("º",SUBSTITUTE(E4048,"°","º"))-1)),-1),IF(LEFT(E4048,6)="TÉRREO",0,IFERROR(VALUE(LEFT(E4048,FIND("º",SUBSTITUTE(E4048,"°","º"))-1)),""))))</f>
        <v>28</v>
      </c>
      <c r="O4048" s="2" t="str">
        <f aca="false">IF(OR(F4048="",G4048=""),"",IF(G4048&lt;='RETRATO 2027'!$K$5,"CONCLUÍDA",IF(F4048&lt;='RETRATO 2027'!$K$5,"EM ANDAMENTO","A INICIAR")))</f>
        <v>A INICIAR</v>
      </c>
    </row>
    <row r="4049" customFormat="false" ht="15" hidden="false" customHeight="false" outlineLevel="0" collapsed="false">
      <c r="B4049" s="4" t="n">
        <v>26742705</v>
      </c>
      <c r="C4049" s="4" t="s">
        <v>3032</v>
      </c>
      <c r="D4049" s="4" t="s">
        <v>433</v>
      </c>
      <c r="E4049" s="4" t="s">
        <v>3803</v>
      </c>
      <c r="F4049" s="127" t="n">
        <v>47067</v>
      </c>
      <c r="G4049" s="127" t="n">
        <v>47079</v>
      </c>
      <c r="H4049" s="127" t="n">
        <v>46293</v>
      </c>
      <c r="I4049" s="4" t="n">
        <v>0</v>
      </c>
      <c r="J4049" s="4" t="n">
        <v>0</v>
      </c>
      <c r="K4049" s="4" t="n">
        <v>0</v>
      </c>
      <c r="M4049" s="2" t="str">
        <f aca="false">IF(C4049="","",IFERROR(INDEX($S$5:$S$304,MATCH(C4049,$R$5:$R$304,0))&amp;"","?"))</f>
        <v>35</v>
      </c>
      <c r="N4049" s="2" t="n">
        <f aca="false">IF(E4049="","",IF(ISNUMBER(SEARCH("SUBSOLO",E4049)),IFERROR(-VALUE(LEFT(E4049,FIND("º",SUBSTITUTE(E4049,"°","º"))-1)),-1),IF(LEFT(E4049,6)="TÉRREO",0,IFERROR(VALUE(LEFT(E4049,FIND("º",SUBSTITUTE(E4049,"°","º"))-1)),""))))</f>
        <v>29</v>
      </c>
      <c r="O4049" s="2" t="str">
        <f aca="false">IF(OR(F4049="",G4049=""),"",IF(G4049&lt;='RETRATO 2027'!$K$5,"CONCLUÍDA",IF(F4049&lt;='RETRATO 2027'!$K$5,"EM ANDAMENTO","A INICIAR")))</f>
        <v>A INICIAR</v>
      </c>
    </row>
    <row r="4050" customFormat="false" ht="15" hidden="false" customHeight="false" outlineLevel="0" collapsed="false">
      <c r="B4050" s="4" t="n">
        <v>26744571</v>
      </c>
      <c r="C4050" s="4" t="s">
        <v>2971</v>
      </c>
      <c r="D4050" s="4" t="s">
        <v>433</v>
      </c>
      <c r="E4050" s="4" t="s">
        <v>3804</v>
      </c>
      <c r="F4050" s="127" t="n">
        <v>47073</v>
      </c>
      <c r="G4050" s="127" t="n">
        <v>47080</v>
      </c>
      <c r="H4050" s="127" t="n">
        <v>46293</v>
      </c>
      <c r="I4050" s="4" t="n">
        <v>0</v>
      </c>
      <c r="J4050" s="4" t="n">
        <v>0</v>
      </c>
      <c r="K4050" s="4" t="n">
        <v>0</v>
      </c>
      <c r="M4050" s="2" t="str">
        <f aca="false">IF(C4050="","",IFERROR(INDEX($S$5:$S$304,MATCH(C4050,$R$5:$R$304,0))&amp;"","?"))</f>
        <v>37</v>
      </c>
      <c r="N4050" s="2" t="n">
        <f aca="false">IF(E4050="","",IF(ISNUMBER(SEARCH("SUBSOLO",E4050)),IFERROR(-VALUE(LEFT(E4050,FIND("º",SUBSTITUTE(E4050,"°","º"))-1)),-1),IF(LEFT(E4050,6)="TÉRREO",0,IFERROR(VALUE(LEFT(E4050,FIND("º",SUBSTITUTE(E4050,"°","º"))-1)),""))))</f>
        <v>3</v>
      </c>
      <c r="O4050" s="2" t="str">
        <f aca="false">IF(OR(F4050="",G4050=""),"",IF(G4050&lt;='RETRATO 2027'!$K$5,"CONCLUÍDA",IF(F4050&lt;='RETRATO 2027'!$K$5,"EM ANDAMENTO","A INICIAR")))</f>
        <v>A INICIAR</v>
      </c>
    </row>
    <row r="4051" customFormat="false" ht="15" hidden="false" customHeight="false" outlineLevel="0" collapsed="false">
      <c r="B4051" s="4" t="n">
        <v>26743180</v>
      </c>
      <c r="C4051" s="4" t="s">
        <v>3093</v>
      </c>
      <c r="D4051" s="4" t="s">
        <v>433</v>
      </c>
      <c r="E4051" s="4" t="s">
        <v>3771</v>
      </c>
      <c r="F4051" s="127" t="n">
        <v>47073</v>
      </c>
      <c r="G4051" s="127" t="n">
        <v>47084</v>
      </c>
      <c r="H4051" s="127" t="n">
        <v>46293</v>
      </c>
      <c r="I4051" s="4" t="n">
        <v>0</v>
      </c>
      <c r="J4051" s="4" t="n">
        <v>0</v>
      </c>
      <c r="K4051" s="4" t="n">
        <v>0</v>
      </c>
      <c r="M4051" s="2" t="str">
        <f aca="false">IF(C4051="","",IFERROR(INDEX($S$5:$S$304,MATCH(C4051,$R$5:$R$304,0))&amp;"","?"))</f>
        <v>34</v>
      </c>
      <c r="N4051" s="2" t="n">
        <f aca="false">IF(E4051="","",IF(ISNUMBER(SEARCH("SUBSOLO",E4051)),IFERROR(-VALUE(LEFT(E4051,FIND("º",SUBSTITUTE(E4051,"°","º"))-1)),-1),IF(LEFT(E4051,6)="TÉRREO",0,IFERROR(VALUE(LEFT(E4051,FIND("º",SUBSTITUTE(E4051,"°","º"))-1)),""))))</f>
        <v>16</v>
      </c>
      <c r="O4051" s="2" t="str">
        <f aca="false">IF(OR(F4051="",G4051=""),"",IF(G4051&lt;='RETRATO 2027'!$K$5,"CONCLUÍDA",IF(F4051&lt;='RETRATO 2027'!$K$5,"EM ANDAMENTO","A INICIAR")))</f>
        <v>A INICIAR</v>
      </c>
    </row>
    <row r="4052" customFormat="false" ht="15" hidden="false" customHeight="false" outlineLevel="0" collapsed="false">
      <c r="B4052" s="4" t="n">
        <v>26743202</v>
      </c>
      <c r="C4052" s="4" t="s">
        <v>2965</v>
      </c>
      <c r="D4052" s="4" t="s">
        <v>433</v>
      </c>
      <c r="E4052" s="4" t="s">
        <v>3771</v>
      </c>
      <c r="F4052" s="127" t="n">
        <v>47073</v>
      </c>
      <c r="G4052" s="127" t="n">
        <v>47084</v>
      </c>
      <c r="H4052" s="127" t="n">
        <v>46293</v>
      </c>
      <c r="I4052" s="4" t="n">
        <v>0</v>
      </c>
      <c r="J4052" s="4" t="n">
        <v>0</v>
      </c>
      <c r="K4052" s="4" t="n">
        <v>0</v>
      </c>
      <c r="M4052" s="2" t="str">
        <f aca="false">IF(C4052="","",IFERROR(INDEX($S$5:$S$304,MATCH(C4052,$R$5:$R$304,0))&amp;"","?"))</f>
        <v>20</v>
      </c>
      <c r="N4052" s="2" t="n">
        <f aca="false">IF(E4052="","",IF(ISNUMBER(SEARCH("SUBSOLO",E4052)),IFERROR(-VALUE(LEFT(E4052,FIND("º",SUBSTITUTE(E4052,"°","º"))-1)),-1),IF(LEFT(E4052,6)="TÉRREO",0,IFERROR(VALUE(LEFT(E4052,FIND("º",SUBSTITUTE(E4052,"°","º"))-1)),""))))</f>
        <v>16</v>
      </c>
      <c r="O4052" s="2" t="str">
        <f aca="false">IF(OR(F4052="",G4052=""),"",IF(G4052&lt;='RETRATO 2027'!$K$5,"CONCLUÍDA",IF(F4052&lt;='RETRATO 2027'!$K$5,"EM ANDAMENTO","A INICIAR")))</f>
        <v>A INICIAR</v>
      </c>
    </row>
    <row r="4053" customFormat="false" ht="15" hidden="false" customHeight="false" outlineLevel="0" collapsed="false">
      <c r="B4053" s="4" t="n">
        <v>30433022</v>
      </c>
      <c r="C4053" s="4" t="s">
        <v>3096</v>
      </c>
      <c r="D4053" s="4" t="s">
        <v>433</v>
      </c>
      <c r="E4053" s="4" t="s">
        <v>3799</v>
      </c>
      <c r="F4053" s="127" t="n">
        <v>47080</v>
      </c>
      <c r="G4053" s="127" t="n">
        <v>47088</v>
      </c>
      <c r="H4053" s="127" t="n">
        <v>46293</v>
      </c>
      <c r="I4053" s="4" t="n">
        <v>0</v>
      </c>
      <c r="J4053" s="4" t="n">
        <v>0</v>
      </c>
      <c r="K4053" s="4" t="n">
        <v>0</v>
      </c>
      <c r="M4053" s="2" t="str">
        <f aca="false">IF(C4053="","",IFERROR(INDEX($S$5:$S$304,MATCH(C4053,$R$5:$R$304,0))&amp;"","?"))</f>
        <v/>
      </c>
      <c r="N4053" s="2" t="n">
        <f aca="false">IF(E4053="","",IF(ISNUMBER(SEARCH("SUBSOLO",E4053)),IFERROR(-VALUE(LEFT(E4053,FIND("º",SUBSTITUTE(E4053,"°","º"))-1)),-1),IF(LEFT(E4053,6)="TÉRREO",0,IFERROR(VALUE(LEFT(E4053,FIND("º",SUBSTITUTE(E4053,"°","º"))-1)),""))))</f>
        <v>27</v>
      </c>
      <c r="O4053" s="2" t="str">
        <f aca="false">IF(OR(F4053="",G4053=""),"",IF(G4053&lt;='RETRATO 2027'!$K$5,"CONCLUÍDA",IF(F4053&lt;='RETRATO 2027'!$K$5,"EM ANDAMENTO","A INICIAR")))</f>
        <v>A INICIAR</v>
      </c>
    </row>
    <row r="4054" customFormat="false" ht="15" hidden="false" customHeight="false" outlineLevel="0" collapsed="false">
      <c r="B4054" s="4" t="n">
        <v>26742745</v>
      </c>
      <c r="C4054" s="4" t="s">
        <v>3029</v>
      </c>
      <c r="D4054" s="4" t="s">
        <v>433</v>
      </c>
      <c r="E4054" s="4" t="s">
        <v>3802</v>
      </c>
      <c r="F4054" s="127" t="n">
        <v>47080</v>
      </c>
      <c r="G4054" s="127" t="n">
        <v>47088</v>
      </c>
      <c r="H4054" s="127" t="n">
        <v>46293</v>
      </c>
      <c r="I4054" s="4" t="n">
        <v>0</v>
      </c>
      <c r="J4054" s="4" t="n">
        <v>0</v>
      </c>
      <c r="K4054" s="4" t="n">
        <v>0</v>
      </c>
      <c r="M4054" s="2" t="str">
        <f aca="false">IF(C4054="","",IFERROR(INDEX($S$5:$S$304,MATCH(C4054,$R$5:$R$304,0))&amp;"","?"))</f>
        <v/>
      </c>
      <c r="N4054" s="2" t="n">
        <f aca="false">IF(E4054="","",IF(ISNUMBER(SEARCH("SUBSOLO",E4054)),IFERROR(-VALUE(LEFT(E4054,FIND("º",SUBSTITUTE(E4054,"°","º"))-1)),-1),IF(LEFT(E4054,6)="TÉRREO",0,IFERROR(VALUE(LEFT(E4054,FIND("º",SUBSTITUTE(E4054,"°","º"))-1)),""))))</f>
        <v>28</v>
      </c>
      <c r="O4054" s="2" t="str">
        <f aca="false">IF(OR(F4054="",G4054=""),"",IF(G4054&lt;='RETRATO 2027'!$K$5,"CONCLUÍDA",IF(F4054&lt;='RETRATO 2027'!$K$5,"EM ANDAMENTO","A INICIAR")))</f>
        <v>A INICIAR</v>
      </c>
    </row>
    <row r="4055" customFormat="false" ht="15" hidden="false" customHeight="false" outlineLevel="0" collapsed="false">
      <c r="B4055" s="4" t="n">
        <v>26742706</v>
      </c>
      <c r="C4055" s="4" t="s">
        <v>2971</v>
      </c>
      <c r="D4055" s="4" t="s">
        <v>433</v>
      </c>
      <c r="E4055" s="4" t="s">
        <v>3803</v>
      </c>
      <c r="F4055" s="127" t="n">
        <v>47080</v>
      </c>
      <c r="G4055" s="127" t="n">
        <v>47088</v>
      </c>
      <c r="H4055" s="127" t="n">
        <v>46293</v>
      </c>
      <c r="I4055" s="4" t="n">
        <v>0</v>
      </c>
      <c r="J4055" s="4" t="n">
        <v>0</v>
      </c>
      <c r="K4055" s="4" t="n">
        <v>0</v>
      </c>
      <c r="M4055" s="2" t="str">
        <f aca="false">IF(C4055="","",IFERROR(INDEX($S$5:$S$304,MATCH(C4055,$R$5:$R$304,0))&amp;"","?"))</f>
        <v>37</v>
      </c>
      <c r="N4055" s="2" t="n">
        <f aca="false">IF(E4055="","",IF(ISNUMBER(SEARCH("SUBSOLO",E4055)),IFERROR(-VALUE(LEFT(E4055,FIND("º",SUBSTITUTE(E4055,"°","º"))-1)),-1),IF(LEFT(E4055,6)="TÉRREO",0,IFERROR(VALUE(LEFT(E4055,FIND("º",SUBSTITUTE(E4055,"°","º"))-1)),""))))</f>
        <v>29</v>
      </c>
      <c r="O4055" s="2" t="str">
        <f aca="false">IF(OR(F4055="",G4055=""),"",IF(G4055&lt;='RETRATO 2027'!$K$5,"CONCLUÍDA",IF(F4055&lt;='RETRATO 2027'!$K$5,"EM ANDAMENTO","A INICIAR")))</f>
        <v>A INICIAR</v>
      </c>
    </row>
    <row r="4056" customFormat="false" ht="15" hidden="false" customHeight="false" outlineLevel="0" collapsed="false">
      <c r="B4056" s="4" t="n">
        <v>26743186</v>
      </c>
      <c r="C4056" s="4" t="s">
        <v>3032</v>
      </c>
      <c r="D4056" s="4" t="s">
        <v>433</v>
      </c>
      <c r="E4056" s="4" t="s">
        <v>3771</v>
      </c>
      <c r="F4056" s="127" t="n">
        <v>47085</v>
      </c>
      <c r="G4056" s="127" t="n">
        <v>47093</v>
      </c>
      <c r="H4056" s="127" t="n">
        <v>46293</v>
      </c>
      <c r="I4056" s="4" t="n">
        <v>0</v>
      </c>
      <c r="J4056" s="4" t="n">
        <v>0</v>
      </c>
      <c r="K4056" s="4" t="n">
        <v>0</v>
      </c>
      <c r="M4056" s="2" t="str">
        <f aca="false">IF(C4056="","",IFERROR(INDEX($S$5:$S$304,MATCH(C4056,$R$5:$R$304,0))&amp;"","?"))</f>
        <v>35</v>
      </c>
      <c r="N4056" s="2" t="n">
        <f aca="false">IF(E4056="","",IF(ISNUMBER(SEARCH("SUBSOLO",E4056)),IFERROR(-VALUE(LEFT(E4056,FIND("º",SUBSTITUTE(E4056,"°","º"))-1)),-1),IF(LEFT(E4056,6)="TÉRREO",0,IFERROR(VALUE(LEFT(E4056,FIND("º",SUBSTITUTE(E4056,"°","º"))-1)),""))))</f>
        <v>16</v>
      </c>
      <c r="O4056" s="2" t="str">
        <f aca="false">IF(OR(F4056="",G4056=""),"",IF(G4056&lt;='RETRATO 2027'!$K$5,"CONCLUÍDA",IF(F4056&lt;='RETRATO 2027'!$K$5,"EM ANDAMENTO","A INICIAR")))</f>
        <v>A INICIAR</v>
      </c>
    </row>
    <row r="4057" customFormat="false" ht="15" hidden="false" customHeight="false" outlineLevel="0" collapsed="false">
      <c r="B4057" s="4" t="n">
        <v>30433023</v>
      </c>
      <c r="C4057" s="4" t="s">
        <v>3096</v>
      </c>
      <c r="D4057" s="4" t="s">
        <v>433</v>
      </c>
      <c r="E4057" s="4" t="s">
        <v>3802</v>
      </c>
      <c r="F4057" s="127" t="n">
        <v>47091</v>
      </c>
      <c r="G4057" s="127" t="n">
        <v>47100</v>
      </c>
      <c r="H4057" s="127" t="n">
        <v>46293</v>
      </c>
      <c r="I4057" s="4" t="n">
        <v>0</v>
      </c>
      <c r="J4057" s="4" t="n">
        <v>0</v>
      </c>
      <c r="K4057" s="4" t="n">
        <v>0</v>
      </c>
      <c r="M4057" s="2" t="str">
        <f aca="false">IF(C4057="","",IFERROR(INDEX($S$5:$S$304,MATCH(C4057,$R$5:$R$304,0))&amp;"","?"))</f>
        <v/>
      </c>
      <c r="N4057" s="2" t="n">
        <f aca="false">IF(E4057="","",IF(ISNUMBER(SEARCH("SUBSOLO",E4057)),IFERROR(-VALUE(LEFT(E4057,FIND("º",SUBSTITUTE(E4057,"°","º"))-1)),-1),IF(LEFT(E4057,6)="TÉRREO",0,IFERROR(VALUE(LEFT(E4057,FIND("º",SUBSTITUTE(E4057,"°","º"))-1)),""))))</f>
        <v>28</v>
      </c>
      <c r="O4057" s="2" t="str">
        <f aca="false">IF(OR(F4057="",G4057=""),"",IF(G4057&lt;='RETRATO 2027'!$K$5,"CONCLUÍDA",IF(F4057&lt;='RETRATO 2027'!$K$5,"EM ANDAMENTO","A INICIAR")))</f>
        <v>A INICIAR</v>
      </c>
    </row>
    <row r="4058" customFormat="false" ht="15" hidden="false" customHeight="false" outlineLevel="0" collapsed="false">
      <c r="B4058" s="4" t="n">
        <v>26742708</v>
      </c>
      <c r="C4058" s="4" t="s">
        <v>3029</v>
      </c>
      <c r="D4058" s="4" t="s">
        <v>433</v>
      </c>
      <c r="E4058" s="4" t="s">
        <v>3803</v>
      </c>
      <c r="F4058" s="127" t="n">
        <v>47091</v>
      </c>
      <c r="G4058" s="127" t="n">
        <v>47100</v>
      </c>
      <c r="H4058" s="127" t="n">
        <v>46293</v>
      </c>
      <c r="I4058" s="4" t="n">
        <v>0</v>
      </c>
      <c r="J4058" s="4" t="n">
        <v>0</v>
      </c>
      <c r="K4058" s="4" t="n">
        <v>0</v>
      </c>
      <c r="M4058" s="2" t="str">
        <f aca="false">IF(C4058="","",IFERROR(INDEX($S$5:$S$304,MATCH(C4058,$R$5:$R$304,0))&amp;"","?"))</f>
        <v/>
      </c>
      <c r="N4058" s="2" t="n">
        <f aca="false">IF(E4058="","",IF(ISNUMBER(SEARCH("SUBSOLO",E4058)),IFERROR(-VALUE(LEFT(E4058,FIND("º",SUBSTITUTE(E4058,"°","º"))-1)),-1),IF(LEFT(E4058,6)="TÉRREO",0,IFERROR(VALUE(LEFT(E4058,FIND("º",SUBSTITUTE(E4058,"°","º"))-1)),""))))</f>
        <v>29</v>
      </c>
      <c r="O4058" s="2" t="str">
        <f aca="false">IF(OR(F4058="",G4058=""),"",IF(G4058&lt;='RETRATO 2027'!$K$5,"CONCLUÍDA",IF(F4058&lt;='RETRATO 2027'!$K$5,"EM ANDAMENTO","A INICIAR")))</f>
        <v>A INICIAR</v>
      </c>
    </row>
    <row r="4059" customFormat="false" ht="15" hidden="false" customHeight="false" outlineLevel="0" collapsed="false">
      <c r="B4059" s="4" t="n">
        <v>33806596</v>
      </c>
      <c r="C4059" s="4" t="s">
        <v>3141</v>
      </c>
      <c r="D4059" s="4" t="s">
        <v>433</v>
      </c>
      <c r="E4059" s="4" t="s">
        <v>3834</v>
      </c>
      <c r="F4059" s="127" t="n">
        <v>47092</v>
      </c>
      <c r="G4059" s="127" t="n">
        <v>47136</v>
      </c>
      <c r="H4059" s="127" t="n">
        <v>46293</v>
      </c>
      <c r="I4059" s="4" t="n">
        <v>0</v>
      </c>
      <c r="J4059" s="4" t="n">
        <v>0</v>
      </c>
      <c r="K4059" s="4" t="n">
        <v>0</v>
      </c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>A INICIAR</v>
      </c>
    </row>
    <row r="4060" customFormat="false" ht="15" hidden="false" customHeight="false" outlineLevel="0" collapsed="false">
      <c r="B4060" s="4" t="n">
        <v>26743187</v>
      </c>
      <c r="C4060" s="4" t="s">
        <v>2971</v>
      </c>
      <c r="D4060" s="4" t="s">
        <v>433</v>
      </c>
      <c r="E4060" s="4" t="s">
        <v>3771</v>
      </c>
      <c r="F4060" s="127" t="n">
        <v>47094</v>
      </c>
      <c r="G4060" s="127" t="n">
        <v>47105</v>
      </c>
      <c r="H4060" s="127" t="n">
        <v>46293</v>
      </c>
      <c r="I4060" s="4" t="n">
        <v>0</v>
      </c>
      <c r="J4060" s="4" t="n">
        <v>0</v>
      </c>
      <c r="K4060" s="4" t="n">
        <v>0</v>
      </c>
      <c r="M4060" s="2" t="str">
        <f aca="false">IF(C4060="","",IFERROR(INDEX($S$5:$S$304,MATCH(C4060,$R$5:$R$304,0))&amp;"","?"))</f>
        <v>37</v>
      </c>
      <c r="N4060" s="2" t="n">
        <f aca="false">IF(E4060="","",IF(ISNUMBER(SEARCH("SUBSOLO",E4060)),IFERROR(-VALUE(LEFT(E4060,FIND("º",SUBSTITUTE(E4060,"°","º"))-1)),-1),IF(LEFT(E4060,6)="TÉRREO",0,IFERROR(VALUE(LEFT(E4060,FIND("º",SUBSTITUTE(E4060,"°","º"))-1)),""))))</f>
        <v>16</v>
      </c>
      <c r="O4060" s="2" t="str">
        <f aca="false">IF(OR(F4060="",G4060=""),"",IF(G4060&lt;='RETRATO 2027'!$K$5,"CONCLUÍDA",IF(F4060&lt;='RETRATO 2027'!$K$5,"EM ANDAMENTO","A INICIAR")))</f>
        <v>A INICIAR</v>
      </c>
    </row>
    <row r="4061" customFormat="false" ht="15" hidden="false" customHeight="false" outlineLevel="0" collapsed="false">
      <c r="B4061" s="4" t="n">
        <v>30433024</v>
      </c>
      <c r="C4061" s="4" t="s">
        <v>3096</v>
      </c>
      <c r="D4061" s="4" t="s">
        <v>433</v>
      </c>
      <c r="E4061" s="4" t="s">
        <v>3803</v>
      </c>
      <c r="F4061" s="127" t="n">
        <v>47101</v>
      </c>
      <c r="G4061" s="127" t="n">
        <v>47109</v>
      </c>
      <c r="H4061" s="127" t="n">
        <v>46293</v>
      </c>
      <c r="I4061" s="4" t="n">
        <v>0</v>
      </c>
      <c r="J4061" s="4" t="n">
        <v>0</v>
      </c>
      <c r="K4061" s="4" t="n">
        <v>0</v>
      </c>
      <c r="M4061" s="2" t="str">
        <f aca="false">IF(C4061="","",IFERROR(INDEX($S$5:$S$304,MATCH(C4061,$R$5:$R$304,0))&amp;"","?"))</f>
        <v/>
      </c>
      <c r="N4061" s="2" t="n">
        <f aca="false">IF(E4061="","",IF(ISNUMBER(SEARCH("SUBSOLO",E4061)),IFERROR(-VALUE(LEFT(E4061,FIND("º",SUBSTITUTE(E4061,"°","º"))-1)),-1),IF(LEFT(E4061,6)="TÉRREO",0,IFERROR(VALUE(LEFT(E4061,FIND("º",SUBSTITUTE(E4061,"°","º"))-1)),""))))</f>
        <v>29</v>
      </c>
      <c r="O4061" s="2" t="str">
        <f aca="false">IF(OR(F4061="",G4061=""),"",IF(G4061&lt;='RETRATO 2027'!$K$5,"CONCLUÍDA",IF(F4061&lt;='RETRATO 2027'!$K$5,"EM ANDAMENTO","A INICIAR")))</f>
        <v>A INICIAR</v>
      </c>
    </row>
    <row r="4062" customFormat="false" ht="15" hidden="false" customHeight="false" outlineLevel="0" collapsed="false">
      <c r="B4062" s="4" t="n">
        <v>26743189</v>
      </c>
      <c r="C4062" s="4" t="s">
        <v>3029</v>
      </c>
      <c r="D4062" s="4" t="s">
        <v>433</v>
      </c>
      <c r="E4062" s="4" t="s">
        <v>3771</v>
      </c>
      <c r="F4062" s="127" t="n">
        <v>47106</v>
      </c>
      <c r="G4062" s="127" t="n">
        <v>47128</v>
      </c>
      <c r="H4062" s="127" t="n">
        <v>46293</v>
      </c>
      <c r="I4062" s="4" t="n">
        <v>0</v>
      </c>
      <c r="J4062" s="4" t="n">
        <v>0</v>
      </c>
      <c r="K4062" s="4" t="n">
        <v>0</v>
      </c>
      <c r="M4062" s="2" t="str">
        <f aca="false">IF(C4062="","",IFERROR(INDEX($S$5:$S$304,MATCH(C4062,$R$5:$R$304,0))&amp;"","?"))</f>
        <v/>
      </c>
      <c r="N4062" s="2" t="n">
        <f aca="false">IF(E4062="","",IF(ISNUMBER(SEARCH("SUBSOLO",E4062)),IFERROR(-VALUE(LEFT(E4062,FIND("º",SUBSTITUTE(E4062,"°","º"))-1)),-1),IF(LEFT(E4062,6)="TÉRREO",0,IFERROR(VALUE(LEFT(E4062,FIND("º",SUBSTITUTE(E4062,"°","º"))-1)),""))))</f>
        <v>16</v>
      </c>
      <c r="O4062" s="2" t="str">
        <f aca="false">IF(OR(F4062="",G4062=""),"",IF(G4062&lt;='RETRATO 2027'!$K$5,"CONCLUÍDA",IF(F4062&lt;='RETRATO 2027'!$K$5,"EM ANDAMENTO","A INICIAR")))</f>
        <v>A INICIAR</v>
      </c>
    </row>
    <row r="4063" customFormat="false" ht="15" hidden="false" customHeight="false" outlineLevel="0" collapsed="false">
      <c r="B4063" s="4" t="n">
        <v>30433011</v>
      </c>
      <c r="C4063" s="4" t="s">
        <v>3096</v>
      </c>
      <c r="D4063" s="4" t="s">
        <v>433</v>
      </c>
      <c r="E4063" s="4" t="s">
        <v>3771</v>
      </c>
      <c r="F4063" s="127" t="n">
        <v>47129</v>
      </c>
      <c r="G4063" s="127" t="n">
        <v>47137</v>
      </c>
      <c r="H4063" s="127" t="n">
        <v>46293</v>
      </c>
      <c r="I4063" s="4" t="n">
        <v>0</v>
      </c>
      <c r="J4063" s="4" t="n">
        <v>0</v>
      </c>
      <c r="K4063" s="4" t="n">
        <v>0</v>
      </c>
      <c r="M4063" s="2" t="str">
        <f aca="false">IF(C4063="","",IFERROR(INDEX($S$5:$S$304,MATCH(C4063,$R$5:$R$304,0))&amp;"","?"))</f>
        <v/>
      </c>
      <c r="N4063" s="2" t="n">
        <f aca="false">IF(E4063="","",IF(ISNUMBER(SEARCH("SUBSOLO",E4063)),IFERROR(-VALUE(LEFT(E4063,FIND("º",SUBSTITUTE(E4063,"°","º"))-1)),-1),IF(LEFT(E4063,6)="TÉRREO",0,IFERROR(VALUE(LEFT(E4063,FIND("º",SUBSTITUTE(E4063,"°","º"))-1)),""))))</f>
        <v>16</v>
      </c>
      <c r="O4063" s="2" t="str">
        <f aca="false">IF(OR(F4063="",G4063=""),"",IF(G4063&lt;='RETRATO 2027'!$K$5,"CONCLUÍDA",IF(F4063&lt;='RETRATO 2027'!$K$5,"EM ANDAMENTO","A INICIAR")))</f>
        <v>A INICIAR</v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3835</v>
      </c>
    </row>
    <row r="2" customFormat="false" ht="15" hidden="false" customHeight="false" outlineLevel="0" collapsed="false">
      <c r="A2" s="2" t="s">
        <v>3836</v>
      </c>
      <c r="B2" s="128" t="n">
        <f aca="false">IFERROR(IF(ISNUMBER('CURVA PREVISION'!J2),DATE(YEAR('CURVA PREVISION'!J2),MONTH('CURVA PREVISION'!J2),1),DATE(VALUE(RIGHT('CURVA PREVISION'!J2,4)),VALUE(MID('CURVA PREVISION'!J2,4,2)),1)),"")</f>
        <v>45717</v>
      </c>
      <c r="C2" s="2" t="s">
        <v>3837</v>
      </c>
      <c r="D2" s="64" t="n">
        <f aca="false">COUNTIF('CURVA PREVISION'!$I$2:$KZ$2,"??/??/????")+COUNT('CURVA PREVISION'!$I$2:$KZ$2)</f>
        <v>46</v>
      </c>
    </row>
    <row r="3" customFormat="false" ht="15" hidden="false" customHeight="false" outlineLevel="0" collapsed="false">
      <c r="C3" s="124" t="s">
        <v>3838</v>
      </c>
      <c r="D3" s="129" t="n">
        <f aca="false">IF($B$2="","",(YEAR(D4)-YEAR($B$2))*12+MONTH(D4)-MONTH($B$2))</f>
        <v>-3</v>
      </c>
      <c r="E3" s="129" t="n">
        <f aca="false">IF($B$2="","",(YEAR(E4)-YEAR($B$2))*12+MONTH(E4)-MONTH($B$2))</f>
        <v>-2</v>
      </c>
      <c r="F3" s="129" t="n">
        <f aca="false">IF($B$2="","",(YEAR(F4)-YEAR($B$2))*12+MONTH(F4)-MONTH($B$2))</f>
        <v>-1</v>
      </c>
      <c r="G3" s="129" t="n">
        <f aca="false">IF($B$2="","",(YEAR(G4)-YEAR($B$2))*12+MONTH(G4)-MONTH($B$2))</f>
        <v>0</v>
      </c>
      <c r="H3" s="129" t="n">
        <f aca="false">IF($B$2="","",(YEAR(H4)-YEAR($B$2))*12+MONTH(H4)-MONTH($B$2))</f>
        <v>1</v>
      </c>
      <c r="I3" s="129" t="n">
        <f aca="false">IF($B$2="","",(YEAR(I4)-YEAR($B$2))*12+MONTH(I4)-MONTH($B$2))</f>
        <v>2</v>
      </c>
      <c r="J3" s="129" t="n">
        <f aca="false">IF($B$2="","",(YEAR(J4)-YEAR($B$2))*12+MONTH(J4)-MONTH($B$2))</f>
        <v>3</v>
      </c>
      <c r="K3" s="129" t="n">
        <f aca="false">IF($B$2="","",(YEAR(K4)-YEAR($B$2))*12+MONTH(K4)-MONTH($B$2))</f>
        <v>4</v>
      </c>
      <c r="L3" s="129" t="n">
        <f aca="false">IF($B$2="","",(YEAR(L4)-YEAR($B$2))*12+MONTH(L4)-MONTH($B$2))</f>
        <v>5</v>
      </c>
      <c r="M3" s="129" t="n">
        <f aca="false">IF($B$2="","",(YEAR(M4)-YEAR($B$2))*12+MONTH(M4)-MONTH($B$2))</f>
        <v>6</v>
      </c>
      <c r="N3" s="129" t="n">
        <f aca="false">IF($B$2="","",(YEAR(N4)-YEAR($B$2))*12+MONTH(N4)-MONTH($B$2))</f>
        <v>7</v>
      </c>
      <c r="O3" s="129" t="n">
        <f aca="false">IF($B$2="","",(YEAR(O4)-YEAR($B$2))*12+MONTH(O4)-MONTH($B$2))</f>
        <v>8</v>
      </c>
      <c r="P3" s="129" t="n">
        <f aca="false">IF($B$2="","",(YEAR(P4)-YEAR($B$2))*12+MONTH(P4)-MONTH($B$2))</f>
        <v>9</v>
      </c>
      <c r="Q3" s="129" t="n">
        <f aca="false">IF($B$2="","",(YEAR(Q4)-YEAR($B$2))*12+MONTH(Q4)-MONTH($B$2))</f>
        <v>10</v>
      </c>
      <c r="R3" s="129" t="n">
        <f aca="false">IF($B$2="","",(YEAR(R4)-YEAR($B$2))*12+MONTH(R4)-MONTH($B$2))</f>
        <v>11</v>
      </c>
      <c r="S3" s="129" t="n">
        <f aca="false">IF($B$2="","",(YEAR(S4)-YEAR($B$2))*12+MONTH(S4)-MONTH($B$2))</f>
        <v>12</v>
      </c>
      <c r="T3" s="129" t="n">
        <f aca="false">IF($B$2="","",(YEAR(T4)-YEAR($B$2))*12+MONTH(T4)-MONTH($B$2))</f>
        <v>13</v>
      </c>
      <c r="U3" s="129" t="n">
        <f aca="false">IF($B$2="","",(YEAR(U4)-YEAR($B$2))*12+MONTH(U4)-MONTH($B$2))</f>
        <v>14</v>
      </c>
      <c r="V3" s="129" t="n">
        <f aca="false">IF($B$2="","",(YEAR(V4)-YEAR($B$2))*12+MONTH(V4)-MONTH($B$2))</f>
        <v>15</v>
      </c>
      <c r="W3" s="129" t="n">
        <f aca="false">IF($B$2="","",(YEAR(W4)-YEAR($B$2))*12+MONTH(W4)-MONTH($B$2))</f>
        <v>16</v>
      </c>
      <c r="X3" s="129" t="n">
        <f aca="false">IF($B$2="","",(YEAR(X4)-YEAR($B$2))*12+MONTH(X4)-MONTH($B$2))</f>
        <v>17</v>
      </c>
      <c r="Y3" s="129" t="n">
        <f aca="false">IF($B$2="","",(YEAR(Y4)-YEAR($B$2))*12+MONTH(Y4)-MONTH($B$2))</f>
        <v>18</v>
      </c>
      <c r="Z3" s="129" t="n">
        <f aca="false">IF($B$2="","",(YEAR(Z4)-YEAR($B$2))*12+MONTH(Z4)-MONTH($B$2))</f>
        <v>19</v>
      </c>
      <c r="AA3" s="129" t="n">
        <f aca="false">IF($B$2="","",(YEAR(AA4)-YEAR($B$2))*12+MONTH(AA4)-MONTH($B$2))</f>
        <v>20</v>
      </c>
      <c r="AB3" s="129" t="n">
        <f aca="false">IF($B$2="","",(YEAR(AB4)-YEAR($B$2))*12+MONTH(AB4)-MONTH($B$2))</f>
        <v>21</v>
      </c>
      <c r="AC3" s="129" t="n">
        <f aca="false">IF($B$2="","",(YEAR(AC4)-YEAR($B$2))*12+MONTH(AC4)-MONTH($B$2))</f>
        <v>22</v>
      </c>
      <c r="AD3" s="129" t="n">
        <f aca="false">IF($B$2="","",(YEAR(AD4)-YEAR($B$2))*12+MONTH(AD4)-MONTH($B$2))</f>
        <v>23</v>
      </c>
      <c r="AE3" s="129" t="n">
        <f aca="false">IF($B$2="","",(YEAR(AE4)-YEAR($B$2))*12+MONTH(AE4)-MONTH($B$2))</f>
        <v>24</v>
      </c>
      <c r="AF3" s="129" t="n">
        <f aca="false">IF($B$2="","",(YEAR(AF4)-YEAR($B$2))*12+MONTH(AF4)-MONTH($B$2))</f>
        <v>25</v>
      </c>
      <c r="AG3" s="129" t="n">
        <f aca="false">IF($B$2="","",(YEAR(AG4)-YEAR($B$2))*12+MONTH(AG4)-MONTH($B$2))</f>
        <v>26</v>
      </c>
      <c r="AH3" s="129" t="n">
        <f aca="false">IF($B$2="","",(YEAR(AH4)-YEAR($B$2))*12+MONTH(AH4)-MONTH($B$2))</f>
        <v>27</v>
      </c>
      <c r="AI3" s="129" t="n">
        <f aca="false">IF($B$2="","",(YEAR(AI4)-YEAR($B$2))*12+MONTH(AI4)-MONTH($B$2))</f>
        <v>28</v>
      </c>
      <c r="AJ3" s="129" t="n">
        <f aca="false">IF($B$2="","",(YEAR(AJ4)-YEAR($B$2))*12+MONTH(AJ4)-MONTH($B$2))</f>
        <v>29</v>
      </c>
      <c r="AK3" s="129" t="n">
        <f aca="false">IF($B$2="","",(YEAR(AK4)-YEAR($B$2))*12+MONTH(AK4)-MONTH($B$2))</f>
        <v>30</v>
      </c>
      <c r="AL3" s="129" t="n">
        <f aca="false">IF($B$2="","",(YEAR(AL4)-YEAR($B$2))*12+MONTH(AL4)-MONTH($B$2))</f>
        <v>31</v>
      </c>
      <c r="AM3" s="129" t="n">
        <f aca="false">IF($B$2="","",(YEAR(AM4)-YEAR($B$2))*12+MONTH(AM4)-MONTH($B$2))</f>
        <v>32</v>
      </c>
      <c r="AN3" s="129" t="n">
        <f aca="false">IF($B$2="","",(YEAR(AN4)-YEAR($B$2))*12+MONTH(AN4)-MONTH($B$2))</f>
        <v>33</v>
      </c>
      <c r="AO3" s="129" t="n">
        <f aca="false">IF($B$2="","",(YEAR(AO4)-YEAR($B$2))*12+MONTH(AO4)-MONTH($B$2))</f>
        <v>34</v>
      </c>
      <c r="AP3" s="129" t="n">
        <f aca="false">IF($B$2="","",(YEAR(AP4)-YEAR($B$2))*12+MONTH(AP4)-MONTH($B$2))</f>
        <v>35</v>
      </c>
      <c r="AQ3" s="129" t="n">
        <f aca="false">IF($B$2="","",(YEAR(AQ4)-YEAR($B$2))*12+MONTH(AQ4)-MONTH($B$2))</f>
        <v>36</v>
      </c>
      <c r="AR3" s="129" t="n">
        <f aca="false">IF($B$2="","",(YEAR(AR4)-YEAR($B$2))*12+MONTH(AR4)-MONTH($B$2))</f>
        <v>37</v>
      </c>
      <c r="AS3" s="129" t="n">
        <f aca="false">IF($B$2="","",(YEAR(AS4)-YEAR($B$2))*12+MONTH(AS4)-MONTH($B$2))</f>
        <v>38</v>
      </c>
      <c r="AT3" s="129" t="n">
        <f aca="false">IF($B$2="","",(YEAR(AT4)-YEAR($B$2))*12+MONTH(AT4)-MONTH($B$2))</f>
        <v>39</v>
      </c>
      <c r="AU3" s="129" t="n">
        <f aca="false">IF($B$2="","",(YEAR(AU4)-YEAR($B$2))*12+MONTH(AU4)-MONTH($B$2))</f>
        <v>40</v>
      </c>
      <c r="AV3" s="129" t="n">
        <f aca="false">IF($B$2="","",(YEAR(AV4)-YEAR($B$2))*12+MONTH(AV4)-MONTH($B$2))</f>
        <v>41</v>
      </c>
      <c r="AW3" s="129" t="n">
        <f aca="false">IF($B$2="","",(YEAR(AW4)-YEAR($B$2))*12+MONTH(AW4)-MONTH($B$2))</f>
        <v>42</v>
      </c>
      <c r="AX3" s="129" t="n">
        <f aca="false">IF($B$2="","",(YEAR(AX4)-YEAR($B$2))*12+MONTH(AX4)-MONTH($B$2))</f>
        <v>43</v>
      </c>
      <c r="AY3" s="129" t="n">
        <f aca="false">IF($B$2="","",(YEAR(AY4)-YEAR($B$2))*12+MONTH(AY4)-MONTH($B$2))</f>
        <v>44</v>
      </c>
      <c r="AZ3" s="129" t="n">
        <f aca="false">IF($B$2="","",(YEAR(AZ4)-YEAR($B$2))*12+MONTH(AZ4)-MONTH($B$2))</f>
        <v>45</v>
      </c>
      <c r="BA3" s="129" t="n">
        <f aca="false">IF($B$2="","",(YEAR(BA4)-YEAR($B$2))*12+MONTH(BA4)-MONTH($B$2))</f>
        <v>46</v>
      </c>
      <c r="BB3" s="129" t="n">
        <f aca="false">IF($B$2="","",(YEAR(BB4)-YEAR($B$2))*12+MONTH(BB4)-MONTH($B$2))</f>
        <v>47</v>
      </c>
      <c r="BC3" s="129" t="n">
        <f aca="false">IF($B$2="","",(YEAR(BC4)-YEAR($B$2))*12+MONTH(BC4)-MONTH($B$2))</f>
        <v>48</v>
      </c>
      <c r="BD3" s="129" t="n">
        <f aca="false">IF($B$2="","",(YEAR(BD4)-YEAR($B$2))*12+MONTH(BD4)-MONTH($B$2))</f>
        <v>49</v>
      </c>
      <c r="BE3" s="129" t="n">
        <f aca="false">IF($B$2="","",(YEAR(BE4)-YEAR($B$2))*12+MONTH(BE4)-MONTH($B$2))</f>
        <v>50</v>
      </c>
      <c r="BF3" s="129" t="n">
        <f aca="false">IF($B$2="","",(YEAR(BF4)-YEAR($B$2))*12+MONTH(BF4)-MONTH($B$2))</f>
        <v>51</v>
      </c>
      <c r="BG3" s="129" t="n">
        <f aca="false">IF($B$2="","",(YEAR(BG4)-YEAR($B$2))*12+MONTH(BG4)-MONTH($B$2))</f>
        <v>52</v>
      </c>
      <c r="BH3" s="129" t="n">
        <f aca="false">IF($B$2="","",(YEAR(BH4)-YEAR($B$2))*12+MONTH(BH4)-MONTH($B$2))</f>
        <v>53</v>
      </c>
      <c r="BI3" s="129" t="n">
        <f aca="false">IF($B$2="","",(YEAR(BI4)-YEAR($B$2))*12+MONTH(BI4)-MONTH($B$2))</f>
        <v>54</v>
      </c>
      <c r="BJ3" s="129" t="n">
        <f aca="false">IF($B$2="","",(YEAR(BJ4)-YEAR($B$2))*12+MONTH(BJ4)-MONTH($B$2))</f>
        <v>55</v>
      </c>
      <c r="BK3" s="129" t="n">
        <f aca="false">IF($B$2="","",(YEAR(BK4)-YEAR($B$2))*12+MONTH(BK4)-MONTH($B$2))</f>
        <v>56</v>
      </c>
      <c r="BL3" s="129" t="n">
        <f aca="false">IF($B$2="","",(YEAR(BL4)-YEAR($B$2))*12+MONTH(BL4)-MONTH($B$2))</f>
        <v>57</v>
      </c>
      <c r="BM3" s="129" t="n">
        <f aca="false">IF($B$2="","",(YEAR(BM4)-YEAR($B$2))*12+MONTH(BM4)-MONTH($B$2))</f>
        <v>58</v>
      </c>
      <c r="BN3" s="129" t="n">
        <f aca="false">IF($B$2="","",(YEAR(BN4)-YEAR($B$2))*12+MONTH(BN4)-MONTH($B$2))</f>
        <v>59</v>
      </c>
      <c r="BO3" s="129" t="n">
        <f aca="false">IF($B$2="","",(YEAR(BO4)-YEAR($B$2))*12+MONTH(BO4)-MONTH($B$2))</f>
        <v>60</v>
      </c>
      <c r="BP3" s="129" t="n">
        <f aca="false">IF($B$2="","",(YEAR(BP4)-YEAR($B$2))*12+MONTH(BP4)-MONTH($B$2))</f>
        <v>61</v>
      </c>
      <c r="BQ3" s="129" t="n">
        <f aca="false">IF($B$2="","",(YEAR(BQ4)-YEAR($B$2))*12+MONTH(BQ4)-MONTH($B$2))</f>
        <v>62</v>
      </c>
      <c r="BR3" s="129" t="n">
        <f aca="false">IF($B$2="","",(YEAR(BR4)-YEAR($B$2))*12+MONTH(BR4)-MONTH($B$2))</f>
        <v>63</v>
      </c>
      <c r="BS3" s="129" t="n">
        <f aca="false">IF($B$2="","",(YEAR(BS4)-YEAR($B$2))*12+MONTH(BS4)-MONTH($B$2))</f>
        <v>64</v>
      </c>
      <c r="BT3" s="129" t="n">
        <f aca="false">IF($B$2="","",(YEAR(BT4)-YEAR($B$2))*12+MONTH(BT4)-MONTH($B$2))</f>
        <v>65</v>
      </c>
      <c r="BU3" s="129" t="n">
        <f aca="false">IF($B$2="","",(YEAR(BU4)-YEAR($B$2))*12+MONTH(BU4)-MONTH($B$2))</f>
        <v>66</v>
      </c>
      <c r="BV3" s="129" t="n">
        <f aca="false">IF($B$2="","",(YEAR(BV4)-YEAR($B$2))*12+MONTH(BV4)-MONTH($B$2))</f>
        <v>67</v>
      </c>
      <c r="BW3" s="129" t="n">
        <f aca="false">IF($B$2="","",(YEAR(BW4)-YEAR($B$2))*12+MONTH(BW4)-MONTH($B$2))</f>
        <v>68</v>
      </c>
    </row>
    <row r="4" customFormat="false" ht="31.5" hidden="false" customHeight="true" outlineLevel="0" collapsed="false">
      <c r="A4" s="54" t="s">
        <v>115</v>
      </c>
      <c r="B4" s="54" t="s">
        <v>3839</v>
      </c>
      <c r="C4" s="54" t="s">
        <v>3840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5</v>
      </c>
      <c r="D5" s="131" t="n">
        <f aca="false">IF(OR($C5="",$B$2="",$D$2=0),0,IF(D$3&lt;0,0,N(INDEX('CURVA PREVISION'!$A$1:$KZ$3000,$C5,10+3*MIN(D$3,$D$2-1)))))</f>
        <v>0</v>
      </c>
      <c r="E5" s="131" t="n">
        <f aca="false">IF(OR($C5="",$B$2="",$D$2=0),0,IF(E$3&lt;0,0,N(INDEX('CURVA PREVISION'!$A$1:$KZ$3000,$C5,10+3*MIN(E$3,$D$2-1)))))</f>
        <v>0</v>
      </c>
      <c r="F5" s="131" t="n">
        <f aca="false">IF(OR($C5="",$B$2="",$D$2=0),0,IF(F$3&lt;0,0,N(INDEX('CURVA PREVISION'!$A$1:$KZ$3000,$C5,10+3*MIN(F$3,$D$2-1)))))</f>
        <v>0</v>
      </c>
      <c r="G5" s="131" t="n">
        <f aca="false">IF(OR($C5="",$B$2="",$D$2=0),0,IF(G$3&lt;0,0,N(INDEX('CURVA PREVISION'!$A$1:$KZ$3000,$C5,10+3*MIN(G$3,$D$2-1)))))</f>
        <v>0</v>
      </c>
      <c r="H5" s="131" t="n">
        <f aca="false">IF(OR($C5="",$B$2="",$D$2=0),0,IF(H$3&lt;0,0,N(INDEX('CURVA PREVISION'!$A$1:$KZ$3000,$C5,10+3*MIN(H$3,$D$2-1)))))</f>
        <v>0</v>
      </c>
      <c r="I5" s="131" t="n">
        <f aca="false">IF(OR($C5="",$B$2="",$D$2=0),0,IF(I$3&lt;0,0,N(INDEX('CURVA PREVISION'!$A$1:$KZ$3000,$C5,10+3*MIN(I$3,$D$2-1)))))</f>
        <v>0</v>
      </c>
      <c r="J5" s="131" t="n">
        <f aca="false">IF(OR($C5="",$B$2="",$D$2=0),0,IF(J$3&lt;0,0,N(INDEX('CURVA PREVISION'!$A$1:$KZ$3000,$C5,10+3*MIN(J$3,$D$2-1)))))</f>
        <v>0</v>
      </c>
      <c r="K5" s="131" t="n">
        <f aca="false">IF(OR($C5="",$B$2="",$D$2=0),0,IF(K$3&lt;0,0,N(INDEX('CURVA PREVISION'!$A$1:$KZ$3000,$C5,10+3*MIN(K$3,$D$2-1)))))</f>
        <v>0</v>
      </c>
      <c r="L5" s="131" t="n">
        <f aca="false">IF(OR($C5="",$B$2="",$D$2=0),0,IF(L$3&lt;0,0,N(INDEX('CURVA PREVISION'!$A$1:$KZ$3000,$C5,10+3*MIN(L$3,$D$2-1)))))</f>
        <v>0</v>
      </c>
      <c r="M5" s="131" t="n">
        <f aca="false">IF(OR($C5="",$B$2="",$D$2=0),0,IF(M$3&lt;0,0,N(INDEX('CURVA PREVISION'!$A$1:$KZ$3000,$C5,10+3*MIN(M$3,$D$2-1)))))</f>
        <v>0</v>
      </c>
      <c r="N5" s="131" t="n">
        <f aca="false">IF(OR($C5="",$B$2="",$D$2=0),0,IF(N$3&lt;0,0,N(INDEX('CURVA PREVISION'!$A$1:$KZ$3000,$C5,10+3*MIN(N$3,$D$2-1)))))</f>
        <v>0</v>
      </c>
      <c r="O5" s="131" t="n">
        <f aca="false">IF(OR($C5="",$B$2="",$D$2=0),0,IF(O$3&lt;0,0,N(INDEX('CURVA PREVISION'!$A$1:$KZ$3000,$C5,10+3*MIN(O$3,$D$2-1)))))</f>
        <v>0</v>
      </c>
      <c r="P5" s="131" t="n">
        <f aca="false">IF(OR($C5="",$B$2="",$D$2=0),0,IF(P$3&lt;0,0,N(INDEX('CURVA PREVISION'!$A$1:$KZ$3000,$C5,10+3*MIN(P$3,$D$2-1)))))</f>
        <v>0</v>
      </c>
      <c r="Q5" s="131" t="n">
        <f aca="false">IF(OR($C5="",$B$2="",$D$2=0),0,IF(Q$3&lt;0,0,N(INDEX('CURVA PREVISION'!$A$1:$KZ$3000,$C5,10+3*MIN(Q$3,$D$2-1)))))</f>
        <v>0</v>
      </c>
      <c r="R5" s="131" t="n">
        <f aca="false">IF(OR($C5="",$B$2="",$D$2=0),0,IF(R$3&lt;0,0,N(INDEX('CURVA PREVISION'!$A$1:$KZ$3000,$C5,10+3*MIN(R$3,$D$2-1)))))</f>
        <v>0</v>
      </c>
      <c r="S5" s="131" t="n">
        <f aca="false">IF(OR($C5="",$B$2="",$D$2=0),0,IF(S$3&lt;0,0,N(INDEX('CURVA PREVISION'!$A$1:$KZ$3000,$C5,10+3*MIN(S$3,$D$2-1)))))</f>
        <v>0</v>
      </c>
      <c r="T5" s="131" t="n">
        <f aca="false">IF(OR($C5="",$B$2="",$D$2=0),0,IF(T$3&lt;0,0,N(INDEX('CURVA PREVISION'!$A$1:$KZ$3000,$C5,10+3*MIN(T$3,$D$2-1)))))</f>
        <v>0</v>
      </c>
      <c r="U5" s="131" t="n">
        <f aca="false">IF(OR($C5="",$B$2="",$D$2=0),0,IF(U$3&lt;0,0,N(INDEX('CURVA PREVISION'!$A$1:$KZ$3000,$C5,10+3*MIN(U$3,$D$2-1)))))</f>
        <v>0</v>
      </c>
      <c r="V5" s="131" t="n">
        <f aca="false">IF(OR($C5="",$B$2="",$D$2=0),0,IF(V$3&lt;0,0,N(INDEX('CURVA PREVISION'!$A$1:$KZ$3000,$C5,10+3*MIN(V$3,$D$2-1)))))</f>
        <v>0</v>
      </c>
      <c r="W5" s="131" t="n">
        <f aca="false">IF(OR($C5="",$B$2="",$D$2=0),0,IF(W$3&lt;0,0,N(INDEX('CURVA PREVISION'!$A$1:$KZ$3000,$C5,10+3*MIN(W$3,$D$2-1)))))</f>
        <v>0</v>
      </c>
      <c r="X5" s="131" t="n">
        <f aca="false">IF(OR($C5="",$B$2="",$D$2=0),0,IF(X$3&lt;0,0,N(INDEX('CURVA PREVISION'!$A$1:$KZ$3000,$C5,10+3*MIN(X$3,$D$2-1)))))</f>
        <v>0</v>
      </c>
      <c r="Y5" s="131" t="n">
        <f aca="false">IF(OR($C5="",$B$2="",$D$2=0),0,IF(Y$3&lt;0,0,N(INDEX('CURVA PREVISION'!$A$1:$KZ$3000,$C5,10+3*MIN(Y$3,$D$2-1)))))</f>
        <v>0</v>
      </c>
      <c r="Z5" s="131" t="n">
        <f aca="false">IF(OR($C5="",$B$2="",$D$2=0),0,IF(Z$3&lt;0,0,N(INDEX('CURVA PREVISION'!$A$1:$KZ$3000,$C5,10+3*MIN(Z$3,$D$2-1)))))</f>
        <v>0</v>
      </c>
      <c r="AA5" s="131" t="n">
        <f aca="false">IF(OR($C5="",$B$2="",$D$2=0),0,IF(AA$3&lt;0,0,N(INDEX('CURVA PREVISION'!$A$1:$KZ$3000,$C5,10+3*MIN(AA$3,$D$2-1)))))</f>
        <v>0</v>
      </c>
      <c r="AB5" s="131" t="n">
        <f aca="false">IF(OR($C5="",$B$2="",$D$2=0),0,IF(AB$3&lt;0,0,N(INDEX('CURVA PREVISION'!$A$1:$KZ$3000,$C5,10+3*MIN(AB$3,$D$2-1)))))</f>
        <v>0</v>
      </c>
      <c r="AC5" s="131" t="n">
        <f aca="false">IF(OR($C5="",$B$2="",$D$2=0),0,IF(AC$3&lt;0,0,N(INDEX('CURVA PREVISION'!$A$1:$KZ$3000,$C5,10+3*MIN(AC$3,$D$2-1)))))</f>
        <v>0</v>
      </c>
      <c r="AD5" s="131" t="n">
        <f aca="false">IF(OR($C5="",$B$2="",$D$2=0),0,IF(AD$3&lt;0,0,N(INDEX('CURVA PREVISION'!$A$1:$KZ$3000,$C5,10+3*MIN(AD$3,$D$2-1)))))</f>
        <v>0</v>
      </c>
      <c r="AE5" s="131" t="n">
        <f aca="false">IF(OR($C5="",$B$2="",$D$2=0),0,IF(AE$3&lt;0,0,N(INDEX('CURVA PREVISION'!$A$1:$KZ$3000,$C5,10+3*MIN(AE$3,$D$2-1)))))</f>
        <v>0</v>
      </c>
      <c r="AF5" s="131" t="n">
        <f aca="false">IF(OR($C5="",$B$2="",$D$2=0),0,IF(AF$3&lt;0,0,N(INDEX('CURVA PREVISION'!$A$1:$KZ$3000,$C5,10+3*MIN(AF$3,$D$2-1)))))</f>
        <v>0</v>
      </c>
      <c r="AG5" s="131" t="n">
        <f aca="false">IF(OR($C5="",$B$2="",$D$2=0),0,IF(AG$3&lt;0,0,N(INDEX('CURVA PREVISION'!$A$1:$KZ$3000,$C5,10+3*MIN(AG$3,$D$2-1)))))</f>
        <v>0</v>
      </c>
      <c r="AH5" s="131" t="n">
        <f aca="false">IF(OR($C5="",$B$2="",$D$2=0),0,IF(AH$3&lt;0,0,N(INDEX('CURVA PREVISION'!$A$1:$KZ$3000,$C5,10+3*MIN(AH$3,$D$2-1)))))</f>
        <v>0</v>
      </c>
      <c r="AI5" s="131" t="n">
        <f aca="false">IF(OR($C5="",$B$2="",$D$2=0),0,IF(AI$3&lt;0,0,N(INDEX('CURVA PREVISION'!$A$1:$KZ$3000,$C5,10+3*MIN(AI$3,$D$2-1)))))</f>
        <v>0</v>
      </c>
      <c r="AJ5" s="131" t="n">
        <f aca="false">IF(OR($C5="",$B$2="",$D$2=0),0,IF(AJ$3&lt;0,0,N(INDEX('CURVA PREVISION'!$A$1:$KZ$3000,$C5,10+3*MIN(AJ$3,$D$2-1)))))</f>
        <v>0</v>
      </c>
      <c r="AK5" s="131" t="n">
        <f aca="false">IF(OR($C5="",$B$2="",$D$2=0),0,IF(AK$3&lt;0,0,N(INDEX('CURVA PREVISION'!$A$1:$KZ$3000,$C5,10+3*MIN(AK$3,$D$2-1)))))</f>
        <v>0</v>
      </c>
      <c r="AL5" s="131" t="n">
        <f aca="false">IF(OR($C5="",$B$2="",$D$2=0),0,IF(AL$3&lt;0,0,N(INDEX('CURVA PREVISION'!$A$1:$KZ$3000,$C5,10+3*MIN(AL$3,$D$2-1)))))</f>
        <v>0</v>
      </c>
      <c r="AM5" s="131" t="n">
        <f aca="false">IF(OR($C5="",$B$2="",$D$2=0),0,IF(AM$3&lt;0,0,N(INDEX('CURVA PREVISION'!$A$1:$KZ$3000,$C5,10+3*MIN(AM$3,$D$2-1)))))</f>
        <v>0</v>
      </c>
      <c r="AN5" s="131" t="n">
        <f aca="false">IF(OR($C5="",$B$2="",$D$2=0),0,IF(AN$3&lt;0,0,N(INDEX('CURVA PREVISION'!$A$1:$KZ$3000,$C5,10+3*MIN(AN$3,$D$2-1)))))</f>
        <v>0</v>
      </c>
      <c r="AO5" s="131" t="n">
        <f aca="false">IF(OR($C5="",$B$2="",$D$2=0),0,IF(AO$3&lt;0,0,N(INDEX('CURVA PREVISION'!$A$1:$KZ$3000,$C5,10+3*MIN(AO$3,$D$2-1)))))</f>
        <v>0</v>
      </c>
      <c r="AP5" s="131" t="n">
        <f aca="false">IF(OR($C5="",$B$2="",$D$2=0),0,IF(AP$3&lt;0,0,N(INDEX('CURVA PREVISION'!$A$1:$KZ$3000,$C5,10+3*MIN(AP$3,$D$2-1)))))</f>
        <v>0</v>
      </c>
      <c r="AQ5" s="131" t="n">
        <f aca="false">IF(OR($C5="",$B$2="",$D$2=0),0,IF(AQ$3&lt;0,0,N(INDEX('CURVA PREVISION'!$A$1:$KZ$3000,$C5,10+3*MIN(AQ$3,$D$2-1)))))</f>
        <v>0</v>
      </c>
      <c r="AR5" s="131" t="n">
        <f aca="false">IF(OR($C5="",$B$2="",$D$2=0),0,IF(AR$3&lt;0,0,N(INDEX('CURVA PREVISION'!$A$1:$KZ$3000,$C5,10+3*MIN(AR$3,$D$2-1)))))</f>
        <v>0</v>
      </c>
      <c r="AS5" s="131" t="n">
        <f aca="false">IF(OR($C5="",$B$2="",$D$2=0),0,IF(AS$3&lt;0,0,N(INDEX('CURVA PREVISION'!$A$1:$KZ$3000,$C5,10+3*MIN(AS$3,$D$2-1)))))</f>
        <v>0</v>
      </c>
      <c r="AT5" s="131" t="n">
        <f aca="false">IF(OR($C5="",$B$2="",$D$2=0),0,IF(AT$3&lt;0,0,N(INDEX('CURVA PREVISION'!$A$1:$KZ$3000,$C5,10+3*MIN(AT$3,$D$2-1)))))</f>
        <v>0</v>
      </c>
      <c r="AU5" s="131" t="n">
        <f aca="false">IF(OR($C5="",$B$2="",$D$2=0),0,IF(AU$3&lt;0,0,N(INDEX('CURVA PREVISION'!$A$1:$KZ$3000,$C5,10+3*MIN(AU$3,$D$2-1)))))</f>
        <v>0</v>
      </c>
      <c r="AV5" s="131" t="n">
        <f aca="false">IF(OR($C5="",$B$2="",$D$2=0),0,IF(AV$3&lt;0,0,N(INDEX('CURVA PREVISION'!$A$1:$KZ$3000,$C5,10+3*MIN(AV$3,$D$2-1)))))</f>
        <v>0</v>
      </c>
      <c r="AW5" s="131" t="n">
        <f aca="false">IF(OR($C5="",$B$2="",$D$2=0),0,IF(AW$3&lt;0,0,N(INDEX('CURVA PREVISION'!$A$1:$KZ$3000,$C5,10+3*MIN(AW$3,$D$2-1)))))</f>
        <v>0</v>
      </c>
      <c r="AX5" s="131" t="n">
        <f aca="false">IF(OR($C5="",$B$2="",$D$2=0),0,IF(AX$3&lt;0,0,N(INDEX('CURVA PREVISION'!$A$1:$KZ$3000,$C5,10+3*MIN(AX$3,$D$2-1)))))</f>
        <v>0</v>
      </c>
      <c r="AY5" s="131" t="n">
        <f aca="false">IF(OR($C5="",$B$2="",$D$2=0),0,IF(AY$3&lt;0,0,N(INDEX('CURVA PREVISION'!$A$1:$KZ$3000,$C5,10+3*MIN(AY$3,$D$2-1)))))</f>
        <v>0</v>
      </c>
      <c r="AZ5" s="131" t="n">
        <f aca="false">IF(OR($C5="",$B$2="",$D$2=0),0,IF(AZ$3&lt;0,0,N(INDEX('CURVA PREVISION'!$A$1:$KZ$3000,$C5,10+3*MIN(AZ$3,$D$2-1)))))</f>
        <v>0</v>
      </c>
      <c r="BA5" s="131" t="n">
        <f aca="false">IF(OR($C5="",$B$2="",$D$2=0),0,IF(BA$3&lt;0,0,N(INDEX('CURVA PREVISION'!$A$1:$KZ$3000,$C5,10+3*MIN(BA$3,$D$2-1)))))</f>
        <v>0</v>
      </c>
      <c r="BB5" s="131" t="n">
        <f aca="false">IF(OR($C5="",$B$2="",$D$2=0),0,IF(BB$3&lt;0,0,N(INDEX('CURVA PREVISION'!$A$1:$KZ$3000,$C5,10+3*MIN(BB$3,$D$2-1)))))</f>
        <v>0</v>
      </c>
      <c r="BC5" s="131" t="n">
        <f aca="false">IF(OR($C5="",$B$2="",$D$2=0),0,IF(BC$3&lt;0,0,N(INDEX('CURVA PREVISION'!$A$1:$KZ$3000,$C5,10+3*MIN(BC$3,$D$2-1)))))</f>
        <v>0</v>
      </c>
      <c r="BD5" s="131" t="n">
        <f aca="false">IF(OR($C5="",$B$2="",$D$2=0),0,IF(BD$3&lt;0,0,N(INDEX('CURVA PREVISION'!$A$1:$KZ$3000,$C5,10+3*MIN(BD$3,$D$2-1)))))</f>
        <v>0</v>
      </c>
      <c r="BE5" s="131" t="n">
        <f aca="false">IF(OR($C5="",$B$2="",$D$2=0),0,IF(BE$3&lt;0,0,N(INDEX('CURVA PREVISION'!$A$1:$KZ$3000,$C5,10+3*MIN(BE$3,$D$2-1)))))</f>
        <v>0</v>
      </c>
      <c r="BF5" s="131" t="n">
        <f aca="false">IF(OR($C5="",$B$2="",$D$2=0),0,IF(BF$3&lt;0,0,N(INDEX('CURVA PREVISION'!$A$1:$KZ$3000,$C5,10+3*MIN(BF$3,$D$2-1)))))</f>
        <v>0</v>
      </c>
      <c r="BG5" s="131" t="n">
        <f aca="false">IF(OR($C5="",$B$2="",$D$2=0),0,IF(BG$3&lt;0,0,N(INDEX('CURVA PREVISION'!$A$1:$KZ$3000,$C5,10+3*MIN(BG$3,$D$2-1)))))</f>
        <v>0</v>
      </c>
      <c r="BH5" s="131" t="n">
        <f aca="false">IF(OR($C5="",$B$2="",$D$2=0),0,IF(BH$3&lt;0,0,N(INDEX('CURVA PREVISION'!$A$1:$KZ$3000,$C5,10+3*MIN(BH$3,$D$2-1)))))</f>
        <v>0</v>
      </c>
      <c r="BI5" s="131" t="n">
        <f aca="false">IF(OR($C5="",$B$2="",$D$2=0),0,IF(BI$3&lt;0,0,N(INDEX('CURVA PREVISION'!$A$1:$KZ$3000,$C5,10+3*MIN(BI$3,$D$2-1)))))</f>
        <v>0</v>
      </c>
      <c r="BJ5" s="131" t="n">
        <f aca="false">IF(OR($C5="",$B$2="",$D$2=0),0,IF(BJ$3&lt;0,0,N(INDEX('CURVA PREVISION'!$A$1:$KZ$3000,$C5,10+3*MIN(BJ$3,$D$2-1)))))</f>
        <v>0</v>
      </c>
      <c r="BK5" s="131" t="n">
        <f aca="false">IF(OR($C5="",$B$2="",$D$2=0),0,IF(BK$3&lt;0,0,N(INDEX('CURVA PREVISION'!$A$1:$KZ$3000,$C5,10+3*MIN(BK$3,$D$2-1)))))</f>
        <v>0</v>
      </c>
      <c r="BL5" s="131" t="n">
        <f aca="false">IF(OR($C5="",$B$2="",$D$2=0),0,IF(BL$3&lt;0,0,N(INDEX('CURVA PREVISION'!$A$1:$KZ$3000,$C5,10+3*MIN(BL$3,$D$2-1)))))</f>
        <v>0</v>
      </c>
      <c r="BM5" s="131" t="n">
        <f aca="false">IF(OR($C5="",$B$2="",$D$2=0),0,IF(BM$3&lt;0,0,N(INDEX('CURVA PREVISION'!$A$1:$KZ$3000,$C5,10+3*MIN(BM$3,$D$2-1)))))</f>
        <v>0</v>
      </c>
      <c r="BN5" s="131" t="n">
        <f aca="false">IF(OR($C5="",$B$2="",$D$2=0),0,IF(BN$3&lt;0,0,N(INDEX('CURVA PREVISION'!$A$1:$KZ$3000,$C5,10+3*MIN(BN$3,$D$2-1)))))</f>
        <v>0</v>
      </c>
      <c r="BO5" s="131" t="n">
        <f aca="false">IF(OR($C5="",$B$2="",$D$2=0),0,IF(BO$3&lt;0,0,N(INDEX('CURVA PREVISION'!$A$1:$KZ$3000,$C5,10+3*MIN(BO$3,$D$2-1)))))</f>
        <v>0</v>
      </c>
      <c r="BP5" s="131" t="n">
        <f aca="false">IF(OR($C5="",$B$2="",$D$2=0),0,IF(BP$3&lt;0,0,N(INDEX('CURVA PREVISION'!$A$1:$KZ$3000,$C5,10+3*MIN(BP$3,$D$2-1)))))</f>
        <v>0</v>
      </c>
      <c r="BQ5" s="131" t="n">
        <f aca="false">IF(OR($C5="",$B$2="",$D$2=0),0,IF(BQ$3&lt;0,0,N(INDEX('CURVA PREVISION'!$A$1:$KZ$3000,$C5,10+3*MIN(BQ$3,$D$2-1)))))</f>
        <v>0</v>
      </c>
      <c r="BR5" s="131" t="n">
        <f aca="false">IF(OR($C5="",$B$2="",$D$2=0),0,IF(BR$3&lt;0,0,N(INDEX('CURVA PREVISION'!$A$1:$KZ$3000,$C5,10+3*MIN(BR$3,$D$2-1)))))</f>
        <v>0</v>
      </c>
      <c r="BS5" s="131" t="n">
        <f aca="false">IF(OR($C5="",$B$2="",$D$2=0),0,IF(BS$3&lt;0,0,N(INDEX('CURVA PREVISION'!$A$1:$KZ$3000,$C5,10+3*MIN(BS$3,$D$2-1)))))</f>
        <v>0</v>
      </c>
      <c r="BT5" s="131" t="n">
        <f aca="false">IF(OR($C5="",$B$2="",$D$2=0),0,IF(BT$3&lt;0,0,N(INDEX('CURVA PREVISION'!$A$1:$KZ$3000,$C5,10+3*MIN(BT$3,$D$2-1)))))</f>
        <v>0</v>
      </c>
      <c r="BU5" s="131" t="n">
        <f aca="false">IF(OR($C5="",$B$2="",$D$2=0),0,IF(BU$3&lt;0,0,N(INDEX('CURVA PREVISION'!$A$1:$KZ$3000,$C5,10+3*MIN(BU$3,$D$2-1)))))</f>
        <v>0</v>
      </c>
      <c r="BV5" s="131" t="n">
        <f aca="false">IF(OR($C5="",$B$2="",$D$2=0),0,IF(BV$3&lt;0,0,N(INDEX('CURVA PREVISION'!$A$1:$KZ$3000,$C5,10+3*MIN(BV$3,$D$2-1)))))</f>
        <v>0</v>
      </c>
      <c r="BW5" s="131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9</v>
      </c>
      <c r="D6" s="131" t="n">
        <f aca="false">IF(OR($C6="",$B$2="",$D$2=0),0,IF(D$3&lt;0,0,N(INDEX('CURVA PREVISION'!$A$1:$KZ$3000,$C6,10+3*MIN(D$3,$D$2-1)))))</f>
        <v>0</v>
      </c>
      <c r="E6" s="131" t="n">
        <f aca="false">IF(OR($C6="",$B$2="",$D$2=0),0,IF(E$3&lt;0,0,N(INDEX('CURVA PREVISION'!$A$1:$KZ$3000,$C6,10+3*MIN(E$3,$D$2-1)))))</f>
        <v>0</v>
      </c>
      <c r="F6" s="131" t="n">
        <f aca="false">IF(OR($C6="",$B$2="",$D$2=0),0,IF(F$3&lt;0,0,N(INDEX('CURVA PREVISION'!$A$1:$KZ$3000,$C6,10+3*MIN(F$3,$D$2-1)))))</f>
        <v>0</v>
      </c>
      <c r="G6" s="131" t="n">
        <f aca="false">IF(OR($C6="",$B$2="",$D$2=0),0,IF(G$3&lt;0,0,N(INDEX('CURVA PREVISION'!$A$1:$KZ$3000,$C6,10+3*MIN(G$3,$D$2-1)))))</f>
        <v>0</v>
      </c>
      <c r="H6" s="131" t="n">
        <f aca="false">IF(OR($C6="",$B$2="",$D$2=0),0,IF(H$3&lt;0,0,N(INDEX('CURVA PREVISION'!$A$1:$KZ$3000,$C6,10+3*MIN(H$3,$D$2-1)))))</f>
        <v>0</v>
      </c>
      <c r="I6" s="131" t="n">
        <f aca="false">IF(OR($C6="",$B$2="",$D$2=0),0,IF(I$3&lt;0,0,N(INDEX('CURVA PREVISION'!$A$1:$KZ$3000,$C6,10+3*MIN(I$3,$D$2-1)))))</f>
        <v>0</v>
      </c>
      <c r="J6" s="131" t="n">
        <f aca="false">IF(OR($C6="",$B$2="",$D$2=0),0,IF(J$3&lt;0,0,N(INDEX('CURVA PREVISION'!$A$1:$KZ$3000,$C6,10+3*MIN(J$3,$D$2-1)))))</f>
        <v>0</v>
      </c>
      <c r="K6" s="131" t="n">
        <f aca="false">IF(OR($C6="",$B$2="",$D$2=0),0,IF(K$3&lt;0,0,N(INDEX('CURVA PREVISION'!$A$1:$KZ$3000,$C6,10+3*MIN(K$3,$D$2-1)))))</f>
        <v>0</v>
      </c>
      <c r="L6" s="131" t="n">
        <f aca="false">IF(OR($C6="",$B$2="",$D$2=0),0,IF(L$3&lt;0,0,N(INDEX('CURVA PREVISION'!$A$1:$KZ$3000,$C6,10+3*MIN(L$3,$D$2-1)))))</f>
        <v>0</v>
      </c>
      <c r="M6" s="131" t="n">
        <f aca="false">IF(OR($C6="",$B$2="",$D$2=0),0,IF(M$3&lt;0,0,N(INDEX('CURVA PREVISION'!$A$1:$KZ$3000,$C6,10+3*MIN(M$3,$D$2-1)))))</f>
        <v>0</v>
      </c>
      <c r="N6" s="131" t="n">
        <f aca="false">IF(OR($C6="",$B$2="",$D$2=0),0,IF(N$3&lt;0,0,N(INDEX('CURVA PREVISION'!$A$1:$KZ$3000,$C6,10+3*MIN(N$3,$D$2-1)))))</f>
        <v>0</v>
      </c>
      <c r="O6" s="131" t="n">
        <f aca="false">IF(OR($C6="",$B$2="",$D$2=0),0,IF(O$3&lt;0,0,N(INDEX('CURVA PREVISION'!$A$1:$KZ$3000,$C6,10+3*MIN(O$3,$D$2-1)))))</f>
        <v>0</v>
      </c>
      <c r="P6" s="131" t="n">
        <f aca="false">IF(OR($C6="",$B$2="",$D$2=0),0,IF(P$3&lt;0,0,N(INDEX('CURVA PREVISION'!$A$1:$KZ$3000,$C6,10+3*MIN(P$3,$D$2-1)))))</f>
        <v>0</v>
      </c>
      <c r="Q6" s="131" t="n">
        <f aca="false">IF(OR($C6="",$B$2="",$D$2=0),0,IF(Q$3&lt;0,0,N(INDEX('CURVA PREVISION'!$A$1:$KZ$3000,$C6,10+3*MIN(Q$3,$D$2-1)))))</f>
        <v>0</v>
      </c>
      <c r="R6" s="131" t="n">
        <f aca="false">IF(OR($C6="",$B$2="",$D$2=0),0,IF(R$3&lt;0,0,N(INDEX('CURVA PREVISION'!$A$1:$KZ$3000,$C6,10+3*MIN(R$3,$D$2-1)))))</f>
        <v>0</v>
      </c>
      <c r="S6" s="131" t="n">
        <f aca="false">IF(OR($C6="",$B$2="",$D$2=0),0,IF(S$3&lt;0,0,N(INDEX('CURVA PREVISION'!$A$1:$KZ$3000,$C6,10+3*MIN(S$3,$D$2-1)))))</f>
        <v>0</v>
      </c>
      <c r="T6" s="131" t="n">
        <f aca="false">IF(OR($C6="",$B$2="",$D$2=0),0,IF(T$3&lt;0,0,N(INDEX('CURVA PREVISION'!$A$1:$KZ$3000,$C6,10+3*MIN(T$3,$D$2-1)))))</f>
        <v>0</v>
      </c>
      <c r="U6" s="131" t="n">
        <f aca="false">IF(OR($C6="",$B$2="",$D$2=0),0,IF(U$3&lt;0,0,N(INDEX('CURVA PREVISION'!$A$1:$KZ$3000,$C6,10+3*MIN(U$3,$D$2-1)))))</f>
        <v>0</v>
      </c>
      <c r="V6" s="131" t="n">
        <f aca="false">IF(OR($C6="",$B$2="",$D$2=0),0,IF(V$3&lt;0,0,N(INDEX('CURVA PREVISION'!$A$1:$KZ$3000,$C6,10+3*MIN(V$3,$D$2-1)))))</f>
        <v>0</v>
      </c>
      <c r="W6" s="131" t="n">
        <f aca="false">IF(OR($C6="",$B$2="",$D$2=0),0,IF(W$3&lt;0,0,N(INDEX('CURVA PREVISION'!$A$1:$KZ$3000,$C6,10+3*MIN(W$3,$D$2-1)))))</f>
        <v>0</v>
      </c>
      <c r="X6" s="131" t="n">
        <f aca="false">IF(OR($C6="",$B$2="",$D$2=0),0,IF(X$3&lt;0,0,N(INDEX('CURVA PREVISION'!$A$1:$KZ$3000,$C6,10+3*MIN(X$3,$D$2-1)))))</f>
        <v>0</v>
      </c>
      <c r="Y6" s="131" t="n">
        <f aca="false">IF(OR($C6="",$B$2="",$D$2=0),0,IF(Y$3&lt;0,0,N(INDEX('CURVA PREVISION'!$A$1:$KZ$3000,$C6,10+3*MIN(Y$3,$D$2-1)))))</f>
        <v>0</v>
      </c>
      <c r="Z6" s="131" t="n">
        <f aca="false">IF(OR($C6="",$B$2="",$D$2=0),0,IF(Z$3&lt;0,0,N(INDEX('CURVA PREVISION'!$A$1:$KZ$3000,$C6,10+3*MIN(Z$3,$D$2-1)))))</f>
        <v>0</v>
      </c>
      <c r="AA6" s="131" t="n">
        <f aca="false">IF(OR($C6="",$B$2="",$D$2=0),0,IF(AA$3&lt;0,0,N(INDEX('CURVA PREVISION'!$A$1:$KZ$3000,$C6,10+3*MIN(AA$3,$D$2-1)))))</f>
        <v>0</v>
      </c>
      <c r="AB6" s="131" t="n">
        <f aca="false">IF(OR($C6="",$B$2="",$D$2=0),0,IF(AB$3&lt;0,0,N(INDEX('CURVA PREVISION'!$A$1:$KZ$3000,$C6,10+3*MIN(AB$3,$D$2-1)))))</f>
        <v>0</v>
      </c>
      <c r="AC6" s="131" t="n">
        <f aca="false">IF(OR($C6="",$B$2="",$D$2=0),0,IF(AC$3&lt;0,0,N(INDEX('CURVA PREVISION'!$A$1:$KZ$3000,$C6,10+3*MIN(AC$3,$D$2-1)))))</f>
        <v>0</v>
      </c>
      <c r="AD6" s="131" t="n">
        <f aca="false">IF(OR($C6="",$B$2="",$D$2=0),0,IF(AD$3&lt;0,0,N(INDEX('CURVA PREVISION'!$A$1:$KZ$3000,$C6,10+3*MIN(AD$3,$D$2-1)))))</f>
        <v>0</v>
      </c>
      <c r="AE6" s="131" t="n">
        <f aca="false">IF(OR($C6="",$B$2="",$D$2=0),0,IF(AE$3&lt;0,0,N(INDEX('CURVA PREVISION'!$A$1:$KZ$3000,$C6,10+3*MIN(AE$3,$D$2-1)))))</f>
        <v>0</v>
      </c>
      <c r="AF6" s="131" t="n">
        <f aca="false">IF(OR($C6="",$B$2="",$D$2=0),0,IF(AF$3&lt;0,0,N(INDEX('CURVA PREVISION'!$A$1:$KZ$3000,$C6,10+3*MIN(AF$3,$D$2-1)))))</f>
        <v>0</v>
      </c>
      <c r="AG6" s="131" t="n">
        <f aca="false">IF(OR($C6="",$B$2="",$D$2=0),0,IF(AG$3&lt;0,0,N(INDEX('CURVA PREVISION'!$A$1:$KZ$3000,$C6,10+3*MIN(AG$3,$D$2-1)))))</f>
        <v>0</v>
      </c>
      <c r="AH6" s="131" t="n">
        <f aca="false">IF(OR($C6="",$B$2="",$D$2=0),0,IF(AH$3&lt;0,0,N(INDEX('CURVA PREVISION'!$A$1:$KZ$3000,$C6,10+3*MIN(AH$3,$D$2-1)))))</f>
        <v>0</v>
      </c>
      <c r="AI6" s="131" t="n">
        <f aca="false">IF(OR($C6="",$B$2="",$D$2=0),0,IF(AI$3&lt;0,0,N(INDEX('CURVA PREVISION'!$A$1:$KZ$3000,$C6,10+3*MIN(AI$3,$D$2-1)))))</f>
        <v>0</v>
      </c>
      <c r="AJ6" s="131" t="n">
        <f aca="false">IF(OR($C6="",$B$2="",$D$2=0),0,IF(AJ$3&lt;0,0,N(INDEX('CURVA PREVISION'!$A$1:$KZ$3000,$C6,10+3*MIN(AJ$3,$D$2-1)))))</f>
        <v>0</v>
      </c>
      <c r="AK6" s="131" t="n">
        <f aca="false">IF(OR($C6="",$B$2="",$D$2=0),0,IF(AK$3&lt;0,0,N(INDEX('CURVA PREVISION'!$A$1:$KZ$3000,$C6,10+3*MIN(AK$3,$D$2-1)))))</f>
        <v>0</v>
      </c>
      <c r="AL6" s="131" t="n">
        <f aca="false">IF(OR($C6="",$B$2="",$D$2=0),0,IF(AL$3&lt;0,0,N(INDEX('CURVA PREVISION'!$A$1:$KZ$3000,$C6,10+3*MIN(AL$3,$D$2-1)))))</f>
        <v>0</v>
      </c>
      <c r="AM6" s="131" t="n">
        <f aca="false">IF(OR($C6="",$B$2="",$D$2=0),0,IF(AM$3&lt;0,0,N(INDEX('CURVA PREVISION'!$A$1:$KZ$3000,$C6,10+3*MIN(AM$3,$D$2-1)))))</f>
        <v>0</v>
      </c>
      <c r="AN6" s="131" t="n">
        <f aca="false">IF(OR($C6="",$B$2="",$D$2=0),0,IF(AN$3&lt;0,0,N(INDEX('CURVA PREVISION'!$A$1:$KZ$3000,$C6,10+3*MIN(AN$3,$D$2-1)))))</f>
        <v>0</v>
      </c>
      <c r="AO6" s="131" t="n">
        <f aca="false">IF(OR($C6="",$B$2="",$D$2=0),0,IF(AO$3&lt;0,0,N(INDEX('CURVA PREVISION'!$A$1:$KZ$3000,$C6,10+3*MIN(AO$3,$D$2-1)))))</f>
        <v>0</v>
      </c>
      <c r="AP6" s="131" t="n">
        <f aca="false">IF(OR($C6="",$B$2="",$D$2=0),0,IF(AP$3&lt;0,0,N(INDEX('CURVA PREVISION'!$A$1:$KZ$3000,$C6,10+3*MIN(AP$3,$D$2-1)))))</f>
        <v>0</v>
      </c>
      <c r="AQ6" s="131" t="n">
        <f aca="false">IF(OR($C6="",$B$2="",$D$2=0),0,IF(AQ$3&lt;0,0,N(INDEX('CURVA PREVISION'!$A$1:$KZ$3000,$C6,10+3*MIN(AQ$3,$D$2-1)))))</f>
        <v>0</v>
      </c>
      <c r="AR6" s="131" t="n">
        <f aca="false">IF(OR($C6="",$B$2="",$D$2=0),0,IF(AR$3&lt;0,0,N(INDEX('CURVA PREVISION'!$A$1:$KZ$3000,$C6,10+3*MIN(AR$3,$D$2-1)))))</f>
        <v>0</v>
      </c>
      <c r="AS6" s="131" t="n">
        <f aca="false">IF(OR($C6="",$B$2="",$D$2=0),0,IF(AS$3&lt;0,0,N(INDEX('CURVA PREVISION'!$A$1:$KZ$3000,$C6,10+3*MIN(AS$3,$D$2-1)))))</f>
        <v>0</v>
      </c>
      <c r="AT6" s="131" t="n">
        <f aca="false">IF(OR($C6="",$B$2="",$D$2=0),0,IF(AT$3&lt;0,0,N(INDEX('CURVA PREVISION'!$A$1:$KZ$3000,$C6,10+3*MIN(AT$3,$D$2-1)))))</f>
        <v>0</v>
      </c>
      <c r="AU6" s="131" t="n">
        <f aca="false">IF(OR($C6="",$B$2="",$D$2=0),0,IF(AU$3&lt;0,0,N(INDEX('CURVA PREVISION'!$A$1:$KZ$3000,$C6,10+3*MIN(AU$3,$D$2-1)))))</f>
        <v>0</v>
      </c>
      <c r="AV6" s="131" t="n">
        <f aca="false">IF(OR($C6="",$B$2="",$D$2=0),0,IF(AV$3&lt;0,0,N(INDEX('CURVA PREVISION'!$A$1:$KZ$3000,$C6,10+3*MIN(AV$3,$D$2-1)))))</f>
        <v>0</v>
      </c>
      <c r="AW6" s="131" t="n">
        <f aca="false">IF(OR($C6="",$B$2="",$D$2=0),0,IF(AW$3&lt;0,0,N(INDEX('CURVA PREVISION'!$A$1:$KZ$3000,$C6,10+3*MIN(AW$3,$D$2-1)))))</f>
        <v>0</v>
      </c>
      <c r="AX6" s="131" t="n">
        <f aca="false">IF(OR($C6="",$B$2="",$D$2=0),0,IF(AX$3&lt;0,0,N(INDEX('CURVA PREVISION'!$A$1:$KZ$3000,$C6,10+3*MIN(AX$3,$D$2-1)))))</f>
        <v>0</v>
      </c>
      <c r="AY6" s="131" t="n">
        <f aca="false">IF(OR($C6="",$B$2="",$D$2=0),0,IF(AY$3&lt;0,0,N(INDEX('CURVA PREVISION'!$A$1:$KZ$3000,$C6,10+3*MIN(AY$3,$D$2-1)))))</f>
        <v>0</v>
      </c>
      <c r="AZ6" s="131" t="n">
        <f aca="false">IF(OR($C6="",$B$2="",$D$2=0),0,IF(AZ$3&lt;0,0,N(INDEX('CURVA PREVISION'!$A$1:$KZ$3000,$C6,10+3*MIN(AZ$3,$D$2-1)))))</f>
        <v>0</v>
      </c>
      <c r="BA6" s="131" t="n">
        <f aca="false">IF(OR($C6="",$B$2="",$D$2=0),0,IF(BA$3&lt;0,0,N(INDEX('CURVA PREVISION'!$A$1:$KZ$3000,$C6,10+3*MIN(BA$3,$D$2-1)))))</f>
        <v>0</v>
      </c>
      <c r="BB6" s="131" t="n">
        <f aca="false">IF(OR($C6="",$B$2="",$D$2=0),0,IF(BB$3&lt;0,0,N(INDEX('CURVA PREVISION'!$A$1:$KZ$3000,$C6,10+3*MIN(BB$3,$D$2-1)))))</f>
        <v>0</v>
      </c>
      <c r="BC6" s="131" t="n">
        <f aca="false">IF(OR($C6="",$B$2="",$D$2=0),0,IF(BC$3&lt;0,0,N(INDEX('CURVA PREVISION'!$A$1:$KZ$3000,$C6,10+3*MIN(BC$3,$D$2-1)))))</f>
        <v>0</v>
      </c>
      <c r="BD6" s="131" t="n">
        <f aca="false">IF(OR($C6="",$B$2="",$D$2=0),0,IF(BD$3&lt;0,0,N(INDEX('CURVA PREVISION'!$A$1:$KZ$3000,$C6,10+3*MIN(BD$3,$D$2-1)))))</f>
        <v>0</v>
      </c>
      <c r="BE6" s="131" t="n">
        <f aca="false">IF(OR($C6="",$B$2="",$D$2=0),0,IF(BE$3&lt;0,0,N(INDEX('CURVA PREVISION'!$A$1:$KZ$3000,$C6,10+3*MIN(BE$3,$D$2-1)))))</f>
        <v>0</v>
      </c>
      <c r="BF6" s="131" t="n">
        <f aca="false">IF(OR($C6="",$B$2="",$D$2=0),0,IF(BF$3&lt;0,0,N(INDEX('CURVA PREVISION'!$A$1:$KZ$3000,$C6,10+3*MIN(BF$3,$D$2-1)))))</f>
        <v>0</v>
      </c>
      <c r="BG6" s="131" t="n">
        <f aca="false">IF(OR($C6="",$B$2="",$D$2=0),0,IF(BG$3&lt;0,0,N(INDEX('CURVA PREVISION'!$A$1:$KZ$3000,$C6,10+3*MIN(BG$3,$D$2-1)))))</f>
        <v>0</v>
      </c>
      <c r="BH6" s="131" t="n">
        <f aca="false">IF(OR($C6="",$B$2="",$D$2=0),0,IF(BH$3&lt;0,0,N(INDEX('CURVA PREVISION'!$A$1:$KZ$3000,$C6,10+3*MIN(BH$3,$D$2-1)))))</f>
        <v>0</v>
      </c>
      <c r="BI6" s="131" t="n">
        <f aca="false">IF(OR($C6="",$B$2="",$D$2=0),0,IF(BI$3&lt;0,0,N(INDEX('CURVA PREVISION'!$A$1:$KZ$3000,$C6,10+3*MIN(BI$3,$D$2-1)))))</f>
        <v>0</v>
      </c>
      <c r="BJ6" s="131" t="n">
        <f aca="false">IF(OR($C6="",$B$2="",$D$2=0),0,IF(BJ$3&lt;0,0,N(INDEX('CURVA PREVISION'!$A$1:$KZ$3000,$C6,10+3*MIN(BJ$3,$D$2-1)))))</f>
        <v>0</v>
      </c>
      <c r="BK6" s="131" t="n">
        <f aca="false">IF(OR($C6="",$B$2="",$D$2=0),0,IF(BK$3&lt;0,0,N(INDEX('CURVA PREVISION'!$A$1:$KZ$3000,$C6,10+3*MIN(BK$3,$D$2-1)))))</f>
        <v>0</v>
      </c>
      <c r="BL6" s="131" t="n">
        <f aca="false">IF(OR($C6="",$B$2="",$D$2=0),0,IF(BL$3&lt;0,0,N(INDEX('CURVA PREVISION'!$A$1:$KZ$3000,$C6,10+3*MIN(BL$3,$D$2-1)))))</f>
        <v>0</v>
      </c>
      <c r="BM6" s="131" t="n">
        <f aca="false">IF(OR($C6="",$B$2="",$D$2=0),0,IF(BM$3&lt;0,0,N(INDEX('CURVA PREVISION'!$A$1:$KZ$3000,$C6,10+3*MIN(BM$3,$D$2-1)))))</f>
        <v>0</v>
      </c>
      <c r="BN6" s="131" t="n">
        <f aca="false">IF(OR($C6="",$B$2="",$D$2=0),0,IF(BN$3&lt;0,0,N(INDEX('CURVA PREVISION'!$A$1:$KZ$3000,$C6,10+3*MIN(BN$3,$D$2-1)))))</f>
        <v>0</v>
      </c>
      <c r="BO6" s="131" t="n">
        <f aca="false">IF(OR($C6="",$B$2="",$D$2=0),0,IF(BO$3&lt;0,0,N(INDEX('CURVA PREVISION'!$A$1:$KZ$3000,$C6,10+3*MIN(BO$3,$D$2-1)))))</f>
        <v>0</v>
      </c>
      <c r="BP6" s="131" t="n">
        <f aca="false">IF(OR($C6="",$B$2="",$D$2=0),0,IF(BP$3&lt;0,0,N(INDEX('CURVA PREVISION'!$A$1:$KZ$3000,$C6,10+3*MIN(BP$3,$D$2-1)))))</f>
        <v>0</v>
      </c>
      <c r="BQ6" s="131" t="n">
        <f aca="false">IF(OR($C6="",$B$2="",$D$2=0),0,IF(BQ$3&lt;0,0,N(INDEX('CURVA PREVISION'!$A$1:$KZ$3000,$C6,10+3*MIN(BQ$3,$D$2-1)))))</f>
        <v>0</v>
      </c>
      <c r="BR6" s="131" t="n">
        <f aca="false">IF(OR($C6="",$B$2="",$D$2=0),0,IF(BR$3&lt;0,0,N(INDEX('CURVA PREVISION'!$A$1:$KZ$3000,$C6,10+3*MIN(BR$3,$D$2-1)))))</f>
        <v>0</v>
      </c>
      <c r="BS6" s="131" t="n">
        <f aca="false">IF(OR($C6="",$B$2="",$D$2=0),0,IF(BS$3&lt;0,0,N(INDEX('CURVA PREVISION'!$A$1:$KZ$3000,$C6,10+3*MIN(BS$3,$D$2-1)))))</f>
        <v>0</v>
      </c>
      <c r="BT6" s="131" t="n">
        <f aca="false">IF(OR($C6="",$B$2="",$D$2=0),0,IF(BT$3&lt;0,0,N(INDEX('CURVA PREVISION'!$A$1:$KZ$3000,$C6,10+3*MIN(BT$3,$D$2-1)))))</f>
        <v>0</v>
      </c>
      <c r="BU6" s="131" t="n">
        <f aca="false">IF(OR($C6="",$B$2="",$D$2=0),0,IF(BU$3&lt;0,0,N(INDEX('CURVA PREVISION'!$A$1:$KZ$3000,$C6,10+3*MIN(BU$3,$D$2-1)))))</f>
        <v>0</v>
      </c>
      <c r="BV6" s="131" t="n">
        <f aca="false">IF(OR($C6="",$B$2="",$D$2=0),0,IF(BV$3&lt;0,0,N(INDEX('CURVA PREVISION'!$A$1:$KZ$3000,$C6,10+3*MIN(BV$3,$D$2-1)))))</f>
        <v>0</v>
      </c>
      <c r="BW6" s="131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13</v>
      </c>
      <c r="D7" s="131" t="n">
        <f aca="false">IF(OR($C7="",$B$2="",$D$2=0),0,IF(D$3&lt;0,0,N(INDEX('CURVA PREVISION'!$A$1:$KZ$3000,$C7,10+3*MIN(D$3,$D$2-1)))))</f>
        <v>0</v>
      </c>
      <c r="E7" s="131" t="n">
        <f aca="false">IF(OR($C7="",$B$2="",$D$2=0),0,IF(E$3&lt;0,0,N(INDEX('CURVA PREVISION'!$A$1:$KZ$3000,$C7,10+3*MIN(E$3,$D$2-1)))))</f>
        <v>0</v>
      </c>
      <c r="F7" s="131" t="n">
        <f aca="false">IF(OR($C7="",$B$2="",$D$2=0),0,IF(F$3&lt;0,0,N(INDEX('CURVA PREVISION'!$A$1:$KZ$3000,$C7,10+3*MIN(F$3,$D$2-1)))))</f>
        <v>0</v>
      </c>
      <c r="G7" s="131" t="n">
        <f aca="false">IF(OR($C7="",$B$2="",$D$2=0),0,IF(G$3&lt;0,0,N(INDEX('CURVA PREVISION'!$A$1:$KZ$3000,$C7,10+3*MIN(G$3,$D$2-1)))))</f>
        <v>0</v>
      </c>
      <c r="H7" s="131" t="n">
        <f aca="false">IF(OR($C7="",$B$2="",$D$2=0),0,IF(H$3&lt;0,0,N(INDEX('CURVA PREVISION'!$A$1:$KZ$3000,$C7,10+3*MIN(H$3,$D$2-1)))))</f>
        <v>0</v>
      </c>
      <c r="I7" s="131" t="n">
        <f aca="false">IF(OR($C7="",$B$2="",$D$2=0),0,IF(I$3&lt;0,0,N(INDEX('CURVA PREVISION'!$A$1:$KZ$3000,$C7,10+3*MIN(I$3,$D$2-1)))))</f>
        <v>0</v>
      </c>
      <c r="J7" s="131" t="n">
        <f aca="false">IF(OR($C7="",$B$2="",$D$2=0),0,IF(J$3&lt;0,0,N(INDEX('CURVA PREVISION'!$A$1:$KZ$3000,$C7,10+3*MIN(J$3,$D$2-1)))))</f>
        <v>0</v>
      </c>
      <c r="K7" s="131" t="n">
        <f aca="false">IF(OR($C7="",$B$2="",$D$2=0),0,IF(K$3&lt;0,0,N(INDEX('CURVA PREVISION'!$A$1:$KZ$3000,$C7,10+3*MIN(K$3,$D$2-1)))))</f>
        <v>0</v>
      </c>
      <c r="L7" s="131" t="n">
        <f aca="false">IF(OR($C7="",$B$2="",$D$2=0),0,IF(L$3&lt;0,0,N(INDEX('CURVA PREVISION'!$A$1:$KZ$3000,$C7,10+3*MIN(L$3,$D$2-1)))))</f>
        <v>0</v>
      </c>
      <c r="M7" s="131" t="n">
        <f aca="false">IF(OR($C7="",$B$2="",$D$2=0),0,IF(M$3&lt;0,0,N(INDEX('CURVA PREVISION'!$A$1:$KZ$3000,$C7,10+3*MIN(M$3,$D$2-1)))))</f>
        <v>0</v>
      </c>
      <c r="N7" s="131" t="n">
        <f aca="false">IF(OR($C7="",$B$2="",$D$2=0),0,IF(N$3&lt;0,0,N(INDEX('CURVA PREVISION'!$A$1:$KZ$3000,$C7,10+3*MIN(N$3,$D$2-1)))))</f>
        <v>0</v>
      </c>
      <c r="O7" s="131" t="n">
        <f aca="false">IF(OR($C7="",$B$2="",$D$2=0),0,IF(O$3&lt;0,0,N(INDEX('CURVA PREVISION'!$A$1:$KZ$3000,$C7,10+3*MIN(O$3,$D$2-1)))))</f>
        <v>0</v>
      </c>
      <c r="P7" s="131" t="n">
        <f aca="false">IF(OR($C7="",$B$2="",$D$2=0),0,IF(P$3&lt;0,0,N(INDEX('CURVA PREVISION'!$A$1:$KZ$3000,$C7,10+3*MIN(P$3,$D$2-1)))))</f>
        <v>0</v>
      </c>
      <c r="Q7" s="131" t="n">
        <f aca="false">IF(OR($C7="",$B$2="",$D$2=0),0,IF(Q$3&lt;0,0,N(INDEX('CURVA PREVISION'!$A$1:$KZ$3000,$C7,10+3*MIN(Q$3,$D$2-1)))))</f>
        <v>0</v>
      </c>
      <c r="R7" s="131" t="n">
        <f aca="false">IF(OR($C7="",$B$2="",$D$2=0),0,IF(R$3&lt;0,0,N(INDEX('CURVA PREVISION'!$A$1:$KZ$3000,$C7,10+3*MIN(R$3,$D$2-1)))))</f>
        <v>0</v>
      </c>
      <c r="S7" s="131" t="n">
        <f aca="false">IF(OR($C7="",$B$2="",$D$2=0),0,IF(S$3&lt;0,0,N(INDEX('CURVA PREVISION'!$A$1:$KZ$3000,$C7,10+3*MIN(S$3,$D$2-1)))))</f>
        <v>0</v>
      </c>
      <c r="T7" s="131" t="n">
        <f aca="false">IF(OR($C7="",$B$2="",$D$2=0),0,IF(T$3&lt;0,0,N(INDEX('CURVA PREVISION'!$A$1:$KZ$3000,$C7,10+3*MIN(T$3,$D$2-1)))))</f>
        <v>0</v>
      </c>
      <c r="U7" s="131" t="n">
        <f aca="false">IF(OR($C7="",$B$2="",$D$2=0),0,IF(U$3&lt;0,0,N(INDEX('CURVA PREVISION'!$A$1:$KZ$3000,$C7,10+3*MIN(U$3,$D$2-1)))))</f>
        <v>0</v>
      </c>
      <c r="V7" s="131" t="n">
        <f aca="false">IF(OR($C7="",$B$2="",$D$2=0),0,IF(V$3&lt;0,0,N(INDEX('CURVA PREVISION'!$A$1:$KZ$3000,$C7,10+3*MIN(V$3,$D$2-1)))))</f>
        <v>0</v>
      </c>
      <c r="W7" s="131" t="n">
        <f aca="false">IF(OR($C7="",$B$2="",$D$2=0),0,IF(W$3&lt;0,0,N(INDEX('CURVA PREVISION'!$A$1:$KZ$3000,$C7,10+3*MIN(W$3,$D$2-1)))))</f>
        <v>0</v>
      </c>
      <c r="X7" s="131" t="n">
        <f aca="false">IF(OR($C7="",$B$2="",$D$2=0),0,IF(X$3&lt;0,0,N(INDEX('CURVA PREVISION'!$A$1:$KZ$3000,$C7,10+3*MIN(X$3,$D$2-1)))))</f>
        <v>0</v>
      </c>
      <c r="Y7" s="131" t="n">
        <f aca="false">IF(OR($C7="",$B$2="",$D$2=0),0,IF(Y$3&lt;0,0,N(INDEX('CURVA PREVISION'!$A$1:$KZ$3000,$C7,10+3*MIN(Y$3,$D$2-1)))))</f>
        <v>0</v>
      </c>
      <c r="Z7" s="131" t="n">
        <f aca="false">IF(OR($C7="",$B$2="",$D$2=0),0,IF(Z$3&lt;0,0,N(INDEX('CURVA PREVISION'!$A$1:$KZ$3000,$C7,10+3*MIN(Z$3,$D$2-1)))))</f>
        <v>0</v>
      </c>
      <c r="AA7" s="131" t="n">
        <f aca="false">IF(OR($C7="",$B$2="",$D$2=0),0,IF(AA$3&lt;0,0,N(INDEX('CURVA PREVISION'!$A$1:$KZ$3000,$C7,10+3*MIN(AA$3,$D$2-1)))))</f>
        <v>0</v>
      </c>
      <c r="AB7" s="131" t="n">
        <f aca="false">IF(OR($C7="",$B$2="",$D$2=0),0,IF(AB$3&lt;0,0,N(INDEX('CURVA PREVISION'!$A$1:$KZ$3000,$C7,10+3*MIN(AB$3,$D$2-1)))))</f>
        <v>0</v>
      </c>
      <c r="AC7" s="131" t="n">
        <f aca="false">IF(OR($C7="",$B$2="",$D$2=0),0,IF(AC$3&lt;0,0,N(INDEX('CURVA PREVISION'!$A$1:$KZ$3000,$C7,10+3*MIN(AC$3,$D$2-1)))))</f>
        <v>0</v>
      </c>
      <c r="AD7" s="131" t="n">
        <f aca="false">IF(OR($C7="",$B$2="",$D$2=0),0,IF(AD$3&lt;0,0,N(INDEX('CURVA PREVISION'!$A$1:$KZ$3000,$C7,10+3*MIN(AD$3,$D$2-1)))))</f>
        <v>0</v>
      </c>
      <c r="AE7" s="131" t="n">
        <f aca="false">IF(OR($C7="",$B$2="",$D$2=0),0,IF(AE$3&lt;0,0,N(INDEX('CURVA PREVISION'!$A$1:$KZ$3000,$C7,10+3*MIN(AE$3,$D$2-1)))))</f>
        <v>0</v>
      </c>
      <c r="AF7" s="131" t="n">
        <f aca="false">IF(OR($C7="",$B$2="",$D$2=0),0,IF(AF$3&lt;0,0,N(INDEX('CURVA PREVISION'!$A$1:$KZ$3000,$C7,10+3*MIN(AF$3,$D$2-1)))))</f>
        <v>0</v>
      </c>
      <c r="AG7" s="131" t="n">
        <f aca="false">IF(OR($C7="",$B$2="",$D$2=0),0,IF(AG$3&lt;0,0,N(INDEX('CURVA PREVISION'!$A$1:$KZ$3000,$C7,10+3*MIN(AG$3,$D$2-1)))))</f>
        <v>0</v>
      </c>
      <c r="AH7" s="131" t="n">
        <f aca="false">IF(OR($C7="",$B$2="",$D$2=0),0,IF(AH$3&lt;0,0,N(INDEX('CURVA PREVISION'!$A$1:$KZ$3000,$C7,10+3*MIN(AH$3,$D$2-1)))))</f>
        <v>0</v>
      </c>
      <c r="AI7" s="131" t="n">
        <f aca="false">IF(OR($C7="",$B$2="",$D$2=0),0,IF(AI$3&lt;0,0,N(INDEX('CURVA PREVISION'!$A$1:$KZ$3000,$C7,10+3*MIN(AI$3,$D$2-1)))))</f>
        <v>0</v>
      </c>
      <c r="AJ7" s="131" t="n">
        <f aca="false">IF(OR($C7="",$B$2="",$D$2=0),0,IF(AJ$3&lt;0,0,N(INDEX('CURVA PREVISION'!$A$1:$KZ$3000,$C7,10+3*MIN(AJ$3,$D$2-1)))))</f>
        <v>0</v>
      </c>
      <c r="AK7" s="131" t="n">
        <f aca="false">IF(OR($C7="",$B$2="",$D$2=0),0,IF(AK$3&lt;0,0,N(INDEX('CURVA PREVISION'!$A$1:$KZ$3000,$C7,10+3*MIN(AK$3,$D$2-1)))))</f>
        <v>0</v>
      </c>
      <c r="AL7" s="131" t="n">
        <f aca="false">IF(OR($C7="",$B$2="",$D$2=0),0,IF(AL$3&lt;0,0,N(INDEX('CURVA PREVISION'!$A$1:$KZ$3000,$C7,10+3*MIN(AL$3,$D$2-1)))))</f>
        <v>0</v>
      </c>
      <c r="AM7" s="131" t="n">
        <f aca="false">IF(OR($C7="",$B$2="",$D$2=0),0,IF(AM$3&lt;0,0,N(INDEX('CURVA PREVISION'!$A$1:$KZ$3000,$C7,10+3*MIN(AM$3,$D$2-1)))))</f>
        <v>0</v>
      </c>
      <c r="AN7" s="131" t="n">
        <f aca="false">IF(OR($C7="",$B$2="",$D$2=0),0,IF(AN$3&lt;0,0,N(INDEX('CURVA PREVISION'!$A$1:$KZ$3000,$C7,10+3*MIN(AN$3,$D$2-1)))))</f>
        <v>0</v>
      </c>
      <c r="AO7" s="131" t="n">
        <f aca="false">IF(OR($C7="",$B$2="",$D$2=0),0,IF(AO$3&lt;0,0,N(INDEX('CURVA PREVISION'!$A$1:$KZ$3000,$C7,10+3*MIN(AO$3,$D$2-1)))))</f>
        <v>0</v>
      </c>
      <c r="AP7" s="131" t="n">
        <f aca="false">IF(OR($C7="",$B$2="",$D$2=0),0,IF(AP$3&lt;0,0,N(INDEX('CURVA PREVISION'!$A$1:$KZ$3000,$C7,10+3*MIN(AP$3,$D$2-1)))))</f>
        <v>0</v>
      </c>
      <c r="AQ7" s="131" t="n">
        <f aca="false">IF(OR($C7="",$B$2="",$D$2=0),0,IF(AQ$3&lt;0,0,N(INDEX('CURVA PREVISION'!$A$1:$KZ$3000,$C7,10+3*MIN(AQ$3,$D$2-1)))))</f>
        <v>0</v>
      </c>
      <c r="AR7" s="131" t="n">
        <f aca="false">IF(OR($C7="",$B$2="",$D$2=0),0,IF(AR$3&lt;0,0,N(INDEX('CURVA PREVISION'!$A$1:$KZ$3000,$C7,10+3*MIN(AR$3,$D$2-1)))))</f>
        <v>0</v>
      </c>
      <c r="AS7" s="131" t="n">
        <f aca="false">IF(OR($C7="",$B$2="",$D$2=0),0,IF(AS$3&lt;0,0,N(INDEX('CURVA PREVISION'!$A$1:$KZ$3000,$C7,10+3*MIN(AS$3,$D$2-1)))))</f>
        <v>0</v>
      </c>
      <c r="AT7" s="131" t="n">
        <f aca="false">IF(OR($C7="",$B$2="",$D$2=0),0,IF(AT$3&lt;0,0,N(INDEX('CURVA PREVISION'!$A$1:$KZ$3000,$C7,10+3*MIN(AT$3,$D$2-1)))))</f>
        <v>0</v>
      </c>
      <c r="AU7" s="131" t="n">
        <f aca="false">IF(OR($C7="",$B$2="",$D$2=0),0,IF(AU$3&lt;0,0,N(INDEX('CURVA PREVISION'!$A$1:$KZ$3000,$C7,10+3*MIN(AU$3,$D$2-1)))))</f>
        <v>0</v>
      </c>
      <c r="AV7" s="131" t="n">
        <f aca="false">IF(OR($C7="",$B$2="",$D$2=0),0,IF(AV$3&lt;0,0,N(INDEX('CURVA PREVISION'!$A$1:$KZ$3000,$C7,10+3*MIN(AV$3,$D$2-1)))))</f>
        <v>0</v>
      </c>
      <c r="AW7" s="131" t="n">
        <f aca="false">IF(OR($C7="",$B$2="",$D$2=0),0,IF(AW$3&lt;0,0,N(INDEX('CURVA PREVISION'!$A$1:$KZ$3000,$C7,10+3*MIN(AW$3,$D$2-1)))))</f>
        <v>0</v>
      </c>
      <c r="AX7" s="131" t="n">
        <f aca="false">IF(OR($C7="",$B$2="",$D$2=0),0,IF(AX$3&lt;0,0,N(INDEX('CURVA PREVISION'!$A$1:$KZ$3000,$C7,10+3*MIN(AX$3,$D$2-1)))))</f>
        <v>0</v>
      </c>
      <c r="AY7" s="131" t="n">
        <f aca="false">IF(OR($C7="",$B$2="",$D$2=0),0,IF(AY$3&lt;0,0,N(INDEX('CURVA PREVISION'!$A$1:$KZ$3000,$C7,10+3*MIN(AY$3,$D$2-1)))))</f>
        <v>0</v>
      </c>
      <c r="AZ7" s="131" t="n">
        <f aca="false">IF(OR($C7="",$B$2="",$D$2=0),0,IF(AZ$3&lt;0,0,N(INDEX('CURVA PREVISION'!$A$1:$KZ$3000,$C7,10+3*MIN(AZ$3,$D$2-1)))))</f>
        <v>0</v>
      </c>
      <c r="BA7" s="131" t="n">
        <f aca="false">IF(OR($C7="",$B$2="",$D$2=0),0,IF(BA$3&lt;0,0,N(INDEX('CURVA PREVISION'!$A$1:$KZ$3000,$C7,10+3*MIN(BA$3,$D$2-1)))))</f>
        <v>0</v>
      </c>
      <c r="BB7" s="131" t="n">
        <f aca="false">IF(OR($C7="",$B$2="",$D$2=0),0,IF(BB$3&lt;0,0,N(INDEX('CURVA PREVISION'!$A$1:$KZ$3000,$C7,10+3*MIN(BB$3,$D$2-1)))))</f>
        <v>0</v>
      </c>
      <c r="BC7" s="131" t="n">
        <f aca="false">IF(OR($C7="",$B$2="",$D$2=0),0,IF(BC$3&lt;0,0,N(INDEX('CURVA PREVISION'!$A$1:$KZ$3000,$C7,10+3*MIN(BC$3,$D$2-1)))))</f>
        <v>0</v>
      </c>
      <c r="BD7" s="131" t="n">
        <f aca="false">IF(OR($C7="",$B$2="",$D$2=0),0,IF(BD$3&lt;0,0,N(INDEX('CURVA PREVISION'!$A$1:$KZ$3000,$C7,10+3*MIN(BD$3,$D$2-1)))))</f>
        <v>0</v>
      </c>
      <c r="BE7" s="131" t="n">
        <f aca="false">IF(OR($C7="",$B$2="",$D$2=0),0,IF(BE$3&lt;0,0,N(INDEX('CURVA PREVISION'!$A$1:$KZ$3000,$C7,10+3*MIN(BE$3,$D$2-1)))))</f>
        <v>0</v>
      </c>
      <c r="BF7" s="131" t="n">
        <f aca="false">IF(OR($C7="",$B$2="",$D$2=0),0,IF(BF$3&lt;0,0,N(INDEX('CURVA PREVISION'!$A$1:$KZ$3000,$C7,10+3*MIN(BF$3,$D$2-1)))))</f>
        <v>0</v>
      </c>
      <c r="BG7" s="131" t="n">
        <f aca="false">IF(OR($C7="",$B$2="",$D$2=0),0,IF(BG$3&lt;0,0,N(INDEX('CURVA PREVISION'!$A$1:$KZ$3000,$C7,10+3*MIN(BG$3,$D$2-1)))))</f>
        <v>0</v>
      </c>
      <c r="BH7" s="131" t="n">
        <f aca="false">IF(OR($C7="",$B$2="",$D$2=0),0,IF(BH$3&lt;0,0,N(INDEX('CURVA PREVISION'!$A$1:$KZ$3000,$C7,10+3*MIN(BH$3,$D$2-1)))))</f>
        <v>0</v>
      </c>
      <c r="BI7" s="131" t="n">
        <f aca="false">IF(OR($C7="",$B$2="",$D$2=0),0,IF(BI$3&lt;0,0,N(INDEX('CURVA PREVISION'!$A$1:$KZ$3000,$C7,10+3*MIN(BI$3,$D$2-1)))))</f>
        <v>0</v>
      </c>
      <c r="BJ7" s="131" t="n">
        <f aca="false">IF(OR($C7="",$B$2="",$D$2=0),0,IF(BJ$3&lt;0,0,N(INDEX('CURVA PREVISION'!$A$1:$KZ$3000,$C7,10+3*MIN(BJ$3,$D$2-1)))))</f>
        <v>0</v>
      </c>
      <c r="BK7" s="131" t="n">
        <f aca="false">IF(OR($C7="",$B$2="",$D$2=0),0,IF(BK$3&lt;0,0,N(INDEX('CURVA PREVISION'!$A$1:$KZ$3000,$C7,10+3*MIN(BK$3,$D$2-1)))))</f>
        <v>0</v>
      </c>
      <c r="BL7" s="131" t="n">
        <f aca="false">IF(OR($C7="",$B$2="",$D$2=0),0,IF(BL$3&lt;0,0,N(INDEX('CURVA PREVISION'!$A$1:$KZ$3000,$C7,10+3*MIN(BL$3,$D$2-1)))))</f>
        <v>0</v>
      </c>
      <c r="BM7" s="131" t="n">
        <f aca="false">IF(OR($C7="",$B$2="",$D$2=0),0,IF(BM$3&lt;0,0,N(INDEX('CURVA PREVISION'!$A$1:$KZ$3000,$C7,10+3*MIN(BM$3,$D$2-1)))))</f>
        <v>0</v>
      </c>
      <c r="BN7" s="131" t="n">
        <f aca="false">IF(OR($C7="",$B$2="",$D$2=0),0,IF(BN$3&lt;0,0,N(INDEX('CURVA PREVISION'!$A$1:$KZ$3000,$C7,10+3*MIN(BN$3,$D$2-1)))))</f>
        <v>0</v>
      </c>
      <c r="BO7" s="131" t="n">
        <f aca="false">IF(OR($C7="",$B$2="",$D$2=0),0,IF(BO$3&lt;0,0,N(INDEX('CURVA PREVISION'!$A$1:$KZ$3000,$C7,10+3*MIN(BO$3,$D$2-1)))))</f>
        <v>0</v>
      </c>
      <c r="BP7" s="131" t="n">
        <f aca="false">IF(OR($C7="",$B$2="",$D$2=0),0,IF(BP$3&lt;0,0,N(INDEX('CURVA PREVISION'!$A$1:$KZ$3000,$C7,10+3*MIN(BP$3,$D$2-1)))))</f>
        <v>0</v>
      </c>
      <c r="BQ7" s="131" t="n">
        <f aca="false">IF(OR($C7="",$B$2="",$D$2=0),0,IF(BQ$3&lt;0,0,N(INDEX('CURVA PREVISION'!$A$1:$KZ$3000,$C7,10+3*MIN(BQ$3,$D$2-1)))))</f>
        <v>0</v>
      </c>
      <c r="BR7" s="131" t="n">
        <f aca="false">IF(OR($C7="",$B$2="",$D$2=0),0,IF(BR$3&lt;0,0,N(INDEX('CURVA PREVISION'!$A$1:$KZ$3000,$C7,10+3*MIN(BR$3,$D$2-1)))))</f>
        <v>0</v>
      </c>
      <c r="BS7" s="131" t="n">
        <f aca="false">IF(OR($C7="",$B$2="",$D$2=0),0,IF(BS$3&lt;0,0,N(INDEX('CURVA PREVISION'!$A$1:$KZ$3000,$C7,10+3*MIN(BS$3,$D$2-1)))))</f>
        <v>0</v>
      </c>
      <c r="BT7" s="131" t="n">
        <f aca="false">IF(OR($C7="",$B$2="",$D$2=0),0,IF(BT$3&lt;0,0,N(INDEX('CURVA PREVISION'!$A$1:$KZ$3000,$C7,10+3*MIN(BT$3,$D$2-1)))))</f>
        <v>0</v>
      </c>
      <c r="BU7" s="131" t="n">
        <f aca="false">IF(OR($C7="",$B$2="",$D$2=0),0,IF(BU$3&lt;0,0,N(INDEX('CURVA PREVISION'!$A$1:$KZ$3000,$C7,10+3*MIN(BU$3,$D$2-1)))))</f>
        <v>0</v>
      </c>
      <c r="BV7" s="131" t="n">
        <f aca="false">IF(OR($C7="",$B$2="",$D$2=0),0,IF(BV$3&lt;0,0,N(INDEX('CURVA PREVISION'!$A$1:$KZ$3000,$C7,10+3*MIN(BV$3,$D$2-1)))))</f>
        <v>0</v>
      </c>
      <c r="BW7" s="131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16</v>
      </c>
      <c r="D8" s="131" t="n">
        <f aca="false">IF(OR($C8="",$B$2="",$D$2=0),0,IF(D$3&lt;0,0,N(INDEX('CURVA PREVISION'!$A$1:$KZ$3000,$C8,10+3*MIN(D$3,$D$2-1)))))</f>
        <v>0</v>
      </c>
      <c r="E8" s="131" t="n">
        <f aca="false">IF(OR($C8="",$B$2="",$D$2=0),0,IF(E$3&lt;0,0,N(INDEX('CURVA PREVISION'!$A$1:$KZ$3000,$C8,10+3*MIN(E$3,$D$2-1)))))</f>
        <v>0</v>
      </c>
      <c r="F8" s="131" t="n">
        <f aca="false">IF(OR($C8="",$B$2="",$D$2=0),0,IF(F$3&lt;0,0,N(INDEX('CURVA PREVISION'!$A$1:$KZ$3000,$C8,10+3*MIN(F$3,$D$2-1)))))</f>
        <v>0</v>
      </c>
      <c r="G8" s="131" t="n">
        <f aca="false">IF(OR($C8="",$B$2="",$D$2=0),0,IF(G$3&lt;0,0,N(INDEX('CURVA PREVISION'!$A$1:$KZ$3000,$C8,10+3*MIN(G$3,$D$2-1)))))</f>
        <v>0</v>
      </c>
      <c r="H8" s="131" t="n">
        <f aca="false">IF(OR($C8="",$B$2="",$D$2=0),0,IF(H$3&lt;0,0,N(INDEX('CURVA PREVISION'!$A$1:$KZ$3000,$C8,10+3*MIN(H$3,$D$2-1)))))</f>
        <v>0</v>
      </c>
      <c r="I8" s="131" t="n">
        <f aca="false">IF(OR($C8="",$B$2="",$D$2=0),0,IF(I$3&lt;0,0,N(INDEX('CURVA PREVISION'!$A$1:$KZ$3000,$C8,10+3*MIN(I$3,$D$2-1)))))</f>
        <v>0</v>
      </c>
      <c r="J8" s="131" t="n">
        <f aca="false">IF(OR($C8="",$B$2="",$D$2=0),0,IF(J$3&lt;0,0,N(INDEX('CURVA PREVISION'!$A$1:$KZ$3000,$C8,10+3*MIN(J$3,$D$2-1)))))</f>
        <v>0</v>
      </c>
      <c r="K8" s="131" t="n">
        <f aca="false">IF(OR($C8="",$B$2="",$D$2=0),0,IF(K$3&lt;0,0,N(INDEX('CURVA PREVISION'!$A$1:$KZ$3000,$C8,10+3*MIN(K$3,$D$2-1)))))</f>
        <v>0</v>
      </c>
      <c r="L8" s="131" t="n">
        <f aca="false">IF(OR($C8="",$B$2="",$D$2=0),0,IF(L$3&lt;0,0,N(INDEX('CURVA PREVISION'!$A$1:$KZ$3000,$C8,10+3*MIN(L$3,$D$2-1)))))</f>
        <v>0</v>
      </c>
      <c r="M8" s="131" t="n">
        <f aca="false">IF(OR($C8="",$B$2="",$D$2=0),0,IF(M$3&lt;0,0,N(INDEX('CURVA PREVISION'!$A$1:$KZ$3000,$C8,10+3*MIN(M$3,$D$2-1)))))</f>
        <v>0</v>
      </c>
      <c r="N8" s="131" t="n">
        <f aca="false">IF(OR($C8="",$B$2="",$D$2=0),0,IF(N$3&lt;0,0,N(INDEX('CURVA PREVISION'!$A$1:$KZ$3000,$C8,10+3*MIN(N$3,$D$2-1)))))</f>
        <v>0</v>
      </c>
      <c r="O8" s="131" t="n">
        <f aca="false">IF(OR($C8="",$B$2="",$D$2=0),0,IF(O$3&lt;0,0,N(INDEX('CURVA PREVISION'!$A$1:$KZ$3000,$C8,10+3*MIN(O$3,$D$2-1)))))</f>
        <v>0</v>
      </c>
      <c r="P8" s="131" t="n">
        <f aca="false">IF(OR($C8="",$B$2="",$D$2=0),0,IF(P$3&lt;0,0,N(INDEX('CURVA PREVISION'!$A$1:$KZ$3000,$C8,10+3*MIN(P$3,$D$2-1)))))</f>
        <v>0</v>
      </c>
      <c r="Q8" s="131" t="n">
        <f aca="false">IF(OR($C8="",$B$2="",$D$2=0),0,IF(Q$3&lt;0,0,N(INDEX('CURVA PREVISION'!$A$1:$KZ$3000,$C8,10+3*MIN(Q$3,$D$2-1)))))</f>
        <v>0</v>
      </c>
      <c r="R8" s="131" t="n">
        <f aca="false">IF(OR($C8="",$B$2="",$D$2=0),0,IF(R$3&lt;0,0,N(INDEX('CURVA PREVISION'!$A$1:$KZ$3000,$C8,10+3*MIN(R$3,$D$2-1)))))</f>
        <v>0</v>
      </c>
      <c r="S8" s="131" t="n">
        <f aca="false">IF(OR($C8="",$B$2="",$D$2=0),0,IF(S$3&lt;0,0,N(INDEX('CURVA PREVISION'!$A$1:$KZ$3000,$C8,10+3*MIN(S$3,$D$2-1)))))</f>
        <v>0</v>
      </c>
      <c r="T8" s="131" t="n">
        <f aca="false">IF(OR($C8="",$B$2="",$D$2=0),0,IF(T$3&lt;0,0,N(INDEX('CURVA PREVISION'!$A$1:$KZ$3000,$C8,10+3*MIN(T$3,$D$2-1)))))</f>
        <v>0</v>
      </c>
      <c r="U8" s="131" t="n">
        <f aca="false">IF(OR($C8="",$B$2="",$D$2=0),0,IF(U$3&lt;0,0,N(INDEX('CURVA PREVISION'!$A$1:$KZ$3000,$C8,10+3*MIN(U$3,$D$2-1)))))</f>
        <v>0</v>
      </c>
      <c r="V8" s="131" t="n">
        <f aca="false">IF(OR($C8="",$B$2="",$D$2=0),0,IF(V$3&lt;0,0,N(INDEX('CURVA PREVISION'!$A$1:$KZ$3000,$C8,10+3*MIN(V$3,$D$2-1)))))</f>
        <v>0</v>
      </c>
      <c r="W8" s="131" t="n">
        <f aca="false">IF(OR($C8="",$B$2="",$D$2=0),0,IF(W$3&lt;0,0,N(INDEX('CURVA PREVISION'!$A$1:$KZ$3000,$C8,10+3*MIN(W$3,$D$2-1)))))</f>
        <v>0</v>
      </c>
      <c r="X8" s="131" t="n">
        <f aca="false">IF(OR($C8="",$B$2="",$D$2=0),0,IF(X$3&lt;0,0,N(INDEX('CURVA PREVISION'!$A$1:$KZ$3000,$C8,10+3*MIN(X$3,$D$2-1)))))</f>
        <v>0</v>
      </c>
      <c r="Y8" s="131" t="n">
        <f aca="false">IF(OR($C8="",$B$2="",$D$2=0),0,IF(Y$3&lt;0,0,N(INDEX('CURVA PREVISION'!$A$1:$KZ$3000,$C8,10+3*MIN(Y$3,$D$2-1)))))</f>
        <v>0</v>
      </c>
      <c r="Z8" s="131" t="n">
        <f aca="false">IF(OR($C8="",$B$2="",$D$2=0),0,IF(Z$3&lt;0,0,N(INDEX('CURVA PREVISION'!$A$1:$KZ$3000,$C8,10+3*MIN(Z$3,$D$2-1)))))</f>
        <v>0</v>
      </c>
      <c r="AA8" s="131" t="n">
        <f aca="false">IF(OR($C8="",$B$2="",$D$2=0),0,IF(AA$3&lt;0,0,N(INDEX('CURVA PREVISION'!$A$1:$KZ$3000,$C8,10+3*MIN(AA$3,$D$2-1)))))</f>
        <v>0</v>
      </c>
      <c r="AB8" s="131" t="n">
        <f aca="false">IF(OR($C8="",$B$2="",$D$2=0),0,IF(AB$3&lt;0,0,N(INDEX('CURVA PREVISION'!$A$1:$KZ$3000,$C8,10+3*MIN(AB$3,$D$2-1)))))</f>
        <v>0</v>
      </c>
      <c r="AC8" s="131" t="n">
        <f aca="false">IF(OR($C8="",$B$2="",$D$2=0),0,IF(AC$3&lt;0,0,N(INDEX('CURVA PREVISION'!$A$1:$KZ$3000,$C8,10+3*MIN(AC$3,$D$2-1)))))</f>
        <v>0</v>
      </c>
      <c r="AD8" s="131" t="n">
        <f aca="false">IF(OR($C8="",$B$2="",$D$2=0),0,IF(AD$3&lt;0,0,N(INDEX('CURVA PREVISION'!$A$1:$KZ$3000,$C8,10+3*MIN(AD$3,$D$2-1)))))</f>
        <v>0</v>
      </c>
      <c r="AE8" s="131" t="n">
        <f aca="false">IF(OR($C8="",$B$2="",$D$2=0),0,IF(AE$3&lt;0,0,N(INDEX('CURVA PREVISION'!$A$1:$KZ$3000,$C8,10+3*MIN(AE$3,$D$2-1)))))</f>
        <v>0</v>
      </c>
      <c r="AF8" s="131" t="n">
        <f aca="false">IF(OR($C8="",$B$2="",$D$2=0),0,IF(AF$3&lt;0,0,N(INDEX('CURVA PREVISION'!$A$1:$KZ$3000,$C8,10+3*MIN(AF$3,$D$2-1)))))</f>
        <v>0</v>
      </c>
      <c r="AG8" s="131" t="n">
        <f aca="false">IF(OR($C8="",$B$2="",$D$2=0),0,IF(AG$3&lt;0,0,N(INDEX('CURVA PREVISION'!$A$1:$KZ$3000,$C8,10+3*MIN(AG$3,$D$2-1)))))</f>
        <v>0</v>
      </c>
      <c r="AH8" s="131" t="n">
        <f aca="false">IF(OR($C8="",$B$2="",$D$2=0),0,IF(AH$3&lt;0,0,N(INDEX('CURVA PREVISION'!$A$1:$KZ$3000,$C8,10+3*MIN(AH$3,$D$2-1)))))</f>
        <v>0</v>
      </c>
      <c r="AI8" s="131" t="n">
        <f aca="false">IF(OR($C8="",$B$2="",$D$2=0),0,IF(AI$3&lt;0,0,N(INDEX('CURVA PREVISION'!$A$1:$KZ$3000,$C8,10+3*MIN(AI$3,$D$2-1)))))</f>
        <v>0</v>
      </c>
      <c r="AJ8" s="131" t="n">
        <f aca="false">IF(OR($C8="",$B$2="",$D$2=0),0,IF(AJ$3&lt;0,0,N(INDEX('CURVA PREVISION'!$A$1:$KZ$3000,$C8,10+3*MIN(AJ$3,$D$2-1)))))</f>
        <v>0</v>
      </c>
      <c r="AK8" s="131" t="n">
        <f aca="false">IF(OR($C8="",$B$2="",$D$2=0),0,IF(AK$3&lt;0,0,N(INDEX('CURVA PREVISION'!$A$1:$KZ$3000,$C8,10+3*MIN(AK$3,$D$2-1)))))</f>
        <v>0</v>
      </c>
      <c r="AL8" s="131" t="n">
        <f aca="false">IF(OR($C8="",$B$2="",$D$2=0),0,IF(AL$3&lt;0,0,N(INDEX('CURVA PREVISION'!$A$1:$KZ$3000,$C8,10+3*MIN(AL$3,$D$2-1)))))</f>
        <v>0</v>
      </c>
      <c r="AM8" s="131" t="n">
        <f aca="false">IF(OR($C8="",$B$2="",$D$2=0),0,IF(AM$3&lt;0,0,N(INDEX('CURVA PREVISION'!$A$1:$KZ$3000,$C8,10+3*MIN(AM$3,$D$2-1)))))</f>
        <v>0</v>
      </c>
      <c r="AN8" s="131" t="n">
        <f aca="false">IF(OR($C8="",$B$2="",$D$2=0),0,IF(AN$3&lt;0,0,N(INDEX('CURVA PREVISION'!$A$1:$KZ$3000,$C8,10+3*MIN(AN$3,$D$2-1)))))</f>
        <v>0</v>
      </c>
      <c r="AO8" s="131" t="n">
        <f aca="false">IF(OR($C8="",$B$2="",$D$2=0),0,IF(AO$3&lt;0,0,N(INDEX('CURVA PREVISION'!$A$1:$KZ$3000,$C8,10+3*MIN(AO$3,$D$2-1)))))</f>
        <v>0</v>
      </c>
      <c r="AP8" s="131" t="n">
        <f aca="false">IF(OR($C8="",$B$2="",$D$2=0),0,IF(AP$3&lt;0,0,N(INDEX('CURVA PREVISION'!$A$1:$KZ$3000,$C8,10+3*MIN(AP$3,$D$2-1)))))</f>
        <v>0</v>
      </c>
      <c r="AQ8" s="131" t="n">
        <f aca="false">IF(OR($C8="",$B$2="",$D$2=0),0,IF(AQ$3&lt;0,0,N(INDEX('CURVA PREVISION'!$A$1:$KZ$3000,$C8,10+3*MIN(AQ$3,$D$2-1)))))</f>
        <v>0</v>
      </c>
      <c r="AR8" s="131" t="n">
        <f aca="false">IF(OR($C8="",$B$2="",$D$2=0),0,IF(AR$3&lt;0,0,N(INDEX('CURVA PREVISION'!$A$1:$KZ$3000,$C8,10+3*MIN(AR$3,$D$2-1)))))</f>
        <v>0</v>
      </c>
      <c r="AS8" s="131" t="n">
        <f aca="false">IF(OR($C8="",$B$2="",$D$2=0),0,IF(AS$3&lt;0,0,N(INDEX('CURVA PREVISION'!$A$1:$KZ$3000,$C8,10+3*MIN(AS$3,$D$2-1)))))</f>
        <v>0</v>
      </c>
      <c r="AT8" s="131" t="n">
        <f aca="false">IF(OR($C8="",$B$2="",$D$2=0),0,IF(AT$3&lt;0,0,N(INDEX('CURVA PREVISION'!$A$1:$KZ$3000,$C8,10+3*MIN(AT$3,$D$2-1)))))</f>
        <v>0</v>
      </c>
      <c r="AU8" s="131" t="n">
        <f aca="false">IF(OR($C8="",$B$2="",$D$2=0),0,IF(AU$3&lt;0,0,N(INDEX('CURVA PREVISION'!$A$1:$KZ$3000,$C8,10+3*MIN(AU$3,$D$2-1)))))</f>
        <v>0</v>
      </c>
      <c r="AV8" s="131" t="n">
        <f aca="false">IF(OR($C8="",$B$2="",$D$2=0),0,IF(AV$3&lt;0,0,N(INDEX('CURVA PREVISION'!$A$1:$KZ$3000,$C8,10+3*MIN(AV$3,$D$2-1)))))</f>
        <v>0</v>
      </c>
      <c r="AW8" s="131" t="n">
        <f aca="false">IF(OR($C8="",$B$2="",$D$2=0),0,IF(AW$3&lt;0,0,N(INDEX('CURVA PREVISION'!$A$1:$KZ$3000,$C8,10+3*MIN(AW$3,$D$2-1)))))</f>
        <v>0</v>
      </c>
      <c r="AX8" s="131" t="n">
        <f aca="false">IF(OR($C8="",$B$2="",$D$2=0),0,IF(AX$3&lt;0,0,N(INDEX('CURVA PREVISION'!$A$1:$KZ$3000,$C8,10+3*MIN(AX$3,$D$2-1)))))</f>
        <v>0</v>
      </c>
      <c r="AY8" s="131" t="n">
        <f aca="false">IF(OR($C8="",$B$2="",$D$2=0),0,IF(AY$3&lt;0,0,N(INDEX('CURVA PREVISION'!$A$1:$KZ$3000,$C8,10+3*MIN(AY$3,$D$2-1)))))</f>
        <v>0</v>
      </c>
      <c r="AZ8" s="131" t="n">
        <f aca="false">IF(OR($C8="",$B$2="",$D$2=0),0,IF(AZ$3&lt;0,0,N(INDEX('CURVA PREVISION'!$A$1:$KZ$3000,$C8,10+3*MIN(AZ$3,$D$2-1)))))</f>
        <v>0</v>
      </c>
      <c r="BA8" s="131" t="n">
        <f aca="false">IF(OR($C8="",$B$2="",$D$2=0),0,IF(BA$3&lt;0,0,N(INDEX('CURVA PREVISION'!$A$1:$KZ$3000,$C8,10+3*MIN(BA$3,$D$2-1)))))</f>
        <v>0</v>
      </c>
      <c r="BB8" s="131" t="n">
        <f aca="false">IF(OR($C8="",$B$2="",$D$2=0),0,IF(BB$3&lt;0,0,N(INDEX('CURVA PREVISION'!$A$1:$KZ$3000,$C8,10+3*MIN(BB$3,$D$2-1)))))</f>
        <v>0</v>
      </c>
      <c r="BC8" s="131" t="n">
        <f aca="false">IF(OR($C8="",$B$2="",$D$2=0),0,IF(BC$3&lt;0,0,N(INDEX('CURVA PREVISION'!$A$1:$KZ$3000,$C8,10+3*MIN(BC$3,$D$2-1)))))</f>
        <v>0</v>
      </c>
      <c r="BD8" s="131" t="n">
        <f aca="false">IF(OR($C8="",$B$2="",$D$2=0),0,IF(BD$3&lt;0,0,N(INDEX('CURVA PREVISION'!$A$1:$KZ$3000,$C8,10+3*MIN(BD$3,$D$2-1)))))</f>
        <v>0</v>
      </c>
      <c r="BE8" s="131" t="n">
        <f aca="false">IF(OR($C8="",$B$2="",$D$2=0),0,IF(BE$3&lt;0,0,N(INDEX('CURVA PREVISION'!$A$1:$KZ$3000,$C8,10+3*MIN(BE$3,$D$2-1)))))</f>
        <v>0</v>
      </c>
      <c r="BF8" s="131" t="n">
        <f aca="false">IF(OR($C8="",$B$2="",$D$2=0),0,IF(BF$3&lt;0,0,N(INDEX('CURVA PREVISION'!$A$1:$KZ$3000,$C8,10+3*MIN(BF$3,$D$2-1)))))</f>
        <v>0</v>
      </c>
      <c r="BG8" s="131" t="n">
        <f aca="false">IF(OR($C8="",$B$2="",$D$2=0),0,IF(BG$3&lt;0,0,N(INDEX('CURVA PREVISION'!$A$1:$KZ$3000,$C8,10+3*MIN(BG$3,$D$2-1)))))</f>
        <v>0</v>
      </c>
      <c r="BH8" s="131" t="n">
        <f aca="false">IF(OR($C8="",$B$2="",$D$2=0),0,IF(BH$3&lt;0,0,N(INDEX('CURVA PREVISION'!$A$1:$KZ$3000,$C8,10+3*MIN(BH$3,$D$2-1)))))</f>
        <v>0</v>
      </c>
      <c r="BI8" s="131" t="n">
        <f aca="false">IF(OR($C8="",$B$2="",$D$2=0),0,IF(BI$3&lt;0,0,N(INDEX('CURVA PREVISION'!$A$1:$KZ$3000,$C8,10+3*MIN(BI$3,$D$2-1)))))</f>
        <v>0</v>
      </c>
      <c r="BJ8" s="131" t="n">
        <f aca="false">IF(OR($C8="",$B$2="",$D$2=0),0,IF(BJ$3&lt;0,0,N(INDEX('CURVA PREVISION'!$A$1:$KZ$3000,$C8,10+3*MIN(BJ$3,$D$2-1)))))</f>
        <v>0</v>
      </c>
      <c r="BK8" s="131" t="n">
        <f aca="false">IF(OR($C8="",$B$2="",$D$2=0),0,IF(BK$3&lt;0,0,N(INDEX('CURVA PREVISION'!$A$1:$KZ$3000,$C8,10+3*MIN(BK$3,$D$2-1)))))</f>
        <v>0</v>
      </c>
      <c r="BL8" s="131" t="n">
        <f aca="false">IF(OR($C8="",$B$2="",$D$2=0),0,IF(BL$3&lt;0,0,N(INDEX('CURVA PREVISION'!$A$1:$KZ$3000,$C8,10+3*MIN(BL$3,$D$2-1)))))</f>
        <v>0</v>
      </c>
      <c r="BM8" s="131" t="n">
        <f aca="false">IF(OR($C8="",$B$2="",$D$2=0),0,IF(BM$3&lt;0,0,N(INDEX('CURVA PREVISION'!$A$1:$KZ$3000,$C8,10+3*MIN(BM$3,$D$2-1)))))</f>
        <v>0</v>
      </c>
      <c r="BN8" s="131" t="n">
        <f aca="false">IF(OR($C8="",$B$2="",$D$2=0),0,IF(BN$3&lt;0,0,N(INDEX('CURVA PREVISION'!$A$1:$KZ$3000,$C8,10+3*MIN(BN$3,$D$2-1)))))</f>
        <v>0</v>
      </c>
      <c r="BO8" s="131" t="n">
        <f aca="false">IF(OR($C8="",$B$2="",$D$2=0),0,IF(BO$3&lt;0,0,N(INDEX('CURVA PREVISION'!$A$1:$KZ$3000,$C8,10+3*MIN(BO$3,$D$2-1)))))</f>
        <v>0</v>
      </c>
      <c r="BP8" s="131" t="n">
        <f aca="false">IF(OR($C8="",$B$2="",$D$2=0),0,IF(BP$3&lt;0,0,N(INDEX('CURVA PREVISION'!$A$1:$KZ$3000,$C8,10+3*MIN(BP$3,$D$2-1)))))</f>
        <v>0</v>
      </c>
      <c r="BQ8" s="131" t="n">
        <f aca="false">IF(OR($C8="",$B$2="",$D$2=0),0,IF(BQ$3&lt;0,0,N(INDEX('CURVA PREVISION'!$A$1:$KZ$3000,$C8,10+3*MIN(BQ$3,$D$2-1)))))</f>
        <v>0</v>
      </c>
      <c r="BR8" s="131" t="n">
        <f aca="false">IF(OR($C8="",$B$2="",$D$2=0),0,IF(BR$3&lt;0,0,N(INDEX('CURVA PREVISION'!$A$1:$KZ$3000,$C8,10+3*MIN(BR$3,$D$2-1)))))</f>
        <v>0</v>
      </c>
      <c r="BS8" s="131" t="n">
        <f aca="false">IF(OR($C8="",$B$2="",$D$2=0),0,IF(BS$3&lt;0,0,N(INDEX('CURVA PREVISION'!$A$1:$KZ$3000,$C8,10+3*MIN(BS$3,$D$2-1)))))</f>
        <v>0</v>
      </c>
      <c r="BT8" s="131" t="n">
        <f aca="false">IF(OR($C8="",$B$2="",$D$2=0),0,IF(BT$3&lt;0,0,N(INDEX('CURVA PREVISION'!$A$1:$KZ$3000,$C8,10+3*MIN(BT$3,$D$2-1)))))</f>
        <v>0</v>
      </c>
      <c r="BU8" s="131" t="n">
        <f aca="false">IF(OR($C8="",$B$2="",$D$2=0),0,IF(BU$3&lt;0,0,N(INDEX('CURVA PREVISION'!$A$1:$KZ$3000,$C8,10+3*MIN(BU$3,$D$2-1)))))</f>
        <v>0</v>
      </c>
      <c r="BV8" s="131" t="n">
        <f aca="false">IF(OR($C8="",$B$2="",$D$2=0),0,IF(BV$3&lt;0,0,N(INDEX('CURVA PREVISION'!$A$1:$KZ$3000,$C8,10+3*MIN(BV$3,$D$2-1)))))</f>
        <v>0</v>
      </c>
      <c r="BW8" s="131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77</v>
      </c>
      <c r="D9" s="131" t="n">
        <f aca="false">IF(OR($C9="",$B$2="",$D$2=0),0,IF(D$3&lt;0,0,N(INDEX('CURVA PREVISION'!$A$1:$KZ$3000,$C9,10+3*MIN(D$3,$D$2-1)))))</f>
        <v>0</v>
      </c>
      <c r="E9" s="131" t="n">
        <f aca="false">IF(OR($C9="",$B$2="",$D$2=0),0,IF(E$3&lt;0,0,N(INDEX('CURVA PREVISION'!$A$1:$KZ$3000,$C9,10+3*MIN(E$3,$D$2-1)))))</f>
        <v>0</v>
      </c>
      <c r="F9" s="131" t="n">
        <f aca="false">IF(OR($C9="",$B$2="",$D$2=0),0,IF(F$3&lt;0,0,N(INDEX('CURVA PREVISION'!$A$1:$KZ$3000,$C9,10+3*MIN(F$3,$D$2-1)))))</f>
        <v>0</v>
      </c>
      <c r="G9" s="131" t="n">
        <f aca="false">IF(OR($C9="",$B$2="",$D$2=0),0,IF(G$3&lt;0,0,N(INDEX('CURVA PREVISION'!$A$1:$KZ$3000,$C9,10+3*MIN(G$3,$D$2-1)))))</f>
        <v>0</v>
      </c>
      <c r="H9" s="131" t="n">
        <f aca="false">IF(OR($C9="",$B$2="",$D$2=0),0,IF(H$3&lt;0,0,N(INDEX('CURVA PREVISION'!$A$1:$KZ$3000,$C9,10+3*MIN(H$3,$D$2-1)))))</f>
        <v>0</v>
      </c>
      <c r="I9" s="131" t="n">
        <f aca="false">IF(OR($C9="",$B$2="",$D$2=0),0,IF(I$3&lt;0,0,N(INDEX('CURVA PREVISION'!$A$1:$KZ$3000,$C9,10+3*MIN(I$3,$D$2-1)))))</f>
        <v>0</v>
      </c>
      <c r="J9" s="131" t="n">
        <f aca="false">IF(OR($C9="",$B$2="",$D$2=0),0,IF(J$3&lt;0,0,N(INDEX('CURVA PREVISION'!$A$1:$KZ$3000,$C9,10+3*MIN(J$3,$D$2-1)))))</f>
        <v>0</v>
      </c>
      <c r="K9" s="131" t="n">
        <f aca="false">IF(OR($C9="",$B$2="",$D$2=0),0,IF(K$3&lt;0,0,N(INDEX('CURVA PREVISION'!$A$1:$KZ$3000,$C9,10+3*MIN(K$3,$D$2-1)))))</f>
        <v>0</v>
      </c>
      <c r="L9" s="131" t="n">
        <f aca="false">IF(OR($C9="",$B$2="",$D$2=0),0,IF(L$3&lt;0,0,N(INDEX('CURVA PREVISION'!$A$1:$KZ$3000,$C9,10+3*MIN(L$3,$D$2-1)))))</f>
        <v>0</v>
      </c>
      <c r="M9" s="131" t="n">
        <f aca="false">IF(OR($C9="",$B$2="",$D$2=0),0,IF(M$3&lt;0,0,N(INDEX('CURVA PREVISION'!$A$1:$KZ$3000,$C9,10+3*MIN(M$3,$D$2-1)))))</f>
        <v>0</v>
      </c>
      <c r="N9" s="131" t="n">
        <f aca="false">IF(OR($C9="",$B$2="",$D$2=0),0,IF(N$3&lt;0,0,N(INDEX('CURVA PREVISION'!$A$1:$KZ$3000,$C9,10+3*MIN(N$3,$D$2-1)))))</f>
        <v>0</v>
      </c>
      <c r="O9" s="131" t="n">
        <f aca="false">IF(OR($C9="",$B$2="",$D$2=0),0,IF(O$3&lt;0,0,N(INDEX('CURVA PREVISION'!$A$1:$KZ$3000,$C9,10+3*MIN(O$3,$D$2-1)))))</f>
        <v>0</v>
      </c>
      <c r="P9" s="131" t="n">
        <f aca="false">IF(OR($C9="",$B$2="",$D$2=0),0,IF(P$3&lt;0,0,N(INDEX('CURVA PREVISION'!$A$1:$KZ$3000,$C9,10+3*MIN(P$3,$D$2-1)))))</f>
        <v>0</v>
      </c>
      <c r="Q9" s="131" t="n">
        <f aca="false">IF(OR($C9="",$B$2="",$D$2=0),0,IF(Q$3&lt;0,0,N(INDEX('CURVA PREVISION'!$A$1:$KZ$3000,$C9,10+3*MIN(Q$3,$D$2-1)))))</f>
        <v>0</v>
      </c>
      <c r="R9" s="131" t="n">
        <f aca="false">IF(OR($C9="",$B$2="",$D$2=0),0,IF(R$3&lt;0,0,N(INDEX('CURVA PREVISION'!$A$1:$KZ$3000,$C9,10+3*MIN(R$3,$D$2-1)))))</f>
        <v>0</v>
      </c>
      <c r="S9" s="131" t="n">
        <f aca="false">IF(OR($C9="",$B$2="",$D$2=0),0,IF(S$3&lt;0,0,N(INDEX('CURVA PREVISION'!$A$1:$KZ$3000,$C9,10+3*MIN(S$3,$D$2-1)))))</f>
        <v>0</v>
      </c>
      <c r="T9" s="131" t="n">
        <f aca="false">IF(OR($C9="",$B$2="",$D$2=0),0,IF(T$3&lt;0,0,N(INDEX('CURVA PREVISION'!$A$1:$KZ$3000,$C9,10+3*MIN(T$3,$D$2-1)))))</f>
        <v>0</v>
      </c>
      <c r="U9" s="131" t="n">
        <f aca="false">IF(OR($C9="",$B$2="",$D$2=0),0,IF(U$3&lt;0,0,N(INDEX('CURVA PREVISION'!$A$1:$KZ$3000,$C9,10+3*MIN(U$3,$D$2-1)))))</f>
        <v>0</v>
      </c>
      <c r="V9" s="131" t="n">
        <f aca="false">IF(OR($C9="",$B$2="",$D$2=0),0,IF(V$3&lt;0,0,N(INDEX('CURVA PREVISION'!$A$1:$KZ$3000,$C9,10+3*MIN(V$3,$D$2-1)))))</f>
        <v>0</v>
      </c>
      <c r="W9" s="131" t="n">
        <f aca="false">IF(OR($C9="",$B$2="",$D$2=0),0,IF(W$3&lt;0,0,N(INDEX('CURVA PREVISION'!$A$1:$KZ$3000,$C9,10+3*MIN(W$3,$D$2-1)))))</f>
        <v>0</v>
      </c>
      <c r="X9" s="131" t="n">
        <f aca="false">IF(OR($C9="",$B$2="",$D$2=0),0,IF(X$3&lt;0,0,N(INDEX('CURVA PREVISION'!$A$1:$KZ$3000,$C9,10+3*MIN(X$3,$D$2-1)))))</f>
        <v>0</v>
      </c>
      <c r="Y9" s="131" t="n">
        <f aca="false">IF(OR($C9="",$B$2="",$D$2=0),0,IF(Y$3&lt;0,0,N(INDEX('CURVA PREVISION'!$A$1:$KZ$3000,$C9,10+3*MIN(Y$3,$D$2-1)))))</f>
        <v>0</v>
      </c>
      <c r="Z9" s="131" t="n">
        <f aca="false">IF(OR($C9="",$B$2="",$D$2=0),0,IF(Z$3&lt;0,0,N(INDEX('CURVA PREVISION'!$A$1:$KZ$3000,$C9,10+3*MIN(Z$3,$D$2-1)))))</f>
        <v>0</v>
      </c>
      <c r="AA9" s="131" t="n">
        <f aca="false">IF(OR($C9="",$B$2="",$D$2=0),0,IF(AA$3&lt;0,0,N(INDEX('CURVA PREVISION'!$A$1:$KZ$3000,$C9,10+3*MIN(AA$3,$D$2-1)))))</f>
        <v>0</v>
      </c>
      <c r="AB9" s="131" t="n">
        <f aca="false">IF(OR($C9="",$B$2="",$D$2=0),0,IF(AB$3&lt;0,0,N(INDEX('CURVA PREVISION'!$A$1:$KZ$3000,$C9,10+3*MIN(AB$3,$D$2-1)))))</f>
        <v>0</v>
      </c>
      <c r="AC9" s="131" t="n">
        <f aca="false">IF(OR($C9="",$B$2="",$D$2=0),0,IF(AC$3&lt;0,0,N(INDEX('CURVA PREVISION'!$A$1:$KZ$3000,$C9,10+3*MIN(AC$3,$D$2-1)))))</f>
        <v>0</v>
      </c>
      <c r="AD9" s="131" t="n">
        <f aca="false">IF(OR($C9="",$B$2="",$D$2=0),0,IF(AD$3&lt;0,0,N(INDEX('CURVA PREVISION'!$A$1:$KZ$3000,$C9,10+3*MIN(AD$3,$D$2-1)))))</f>
        <v>0</v>
      </c>
      <c r="AE9" s="131" t="n">
        <f aca="false">IF(OR($C9="",$B$2="",$D$2=0),0,IF(AE$3&lt;0,0,N(INDEX('CURVA PREVISION'!$A$1:$KZ$3000,$C9,10+3*MIN(AE$3,$D$2-1)))))</f>
        <v>0</v>
      </c>
      <c r="AF9" s="131" t="n">
        <f aca="false">IF(OR($C9="",$B$2="",$D$2=0),0,IF(AF$3&lt;0,0,N(INDEX('CURVA PREVISION'!$A$1:$KZ$3000,$C9,10+3*MIN(AF$3,$D$2-1)))))</f>
        <v>0</v>
      </c>
      <c r="AG9" s="131" t="n">
        <f aca="false">IF(OR($C9="",$B$2="",$D$2=0),0,IF(AG$3&lt;0,0,N(INDEX('CURVA PREVISION'!$A$1:$KZ$3000,$C9,10+3*MIN(AG$3,$D$2-1)))))</f>
        <v>0</v>
      </c>
      <c r="AH9" s="131" t="n">
        <f aca="false">IF(OR($C9="",$B$2="",$D$2=0),0,IF(AH$3&lt;0,0,N(INDEX('CURVA PREVISION'!$A$1:$KZ$3000,$C9,10+3*MIN(AH$3,$D$2-1)))))</f>
        <v>0</v>
      </c>
      <c r="AI9" s="131" t="n">
        <f aca="false">IF(OR($C9="",$B$2="",$D$2=0),0,IF(AI$3&lt;0,0,N(INDEX('CURVA PREVISION'!$A$1:$KZ$3000,$C9,10+3*MIN(AI$3,$D$2-1)))))</f>
        <v>0</v>
      </c>
      <c r="AJ9" s="131" t="n">
        <f aca="false">IF(OR($C9="",$B$2="",$D$2=0),0,IF(AJ$3&lt;0,0,N(INDEX('CURVA PREVISION'!$A$1:$KZ$3000,$C9,10+3*MIN(AJ$3,$D$2-1)))))</f>
        <v>0</v>
      </c>
      <c r="AK9" s="131" t="n">
        <f aca="false">IF(OR($C9="",$B$2="",$D$2=0),0,IF(AK$3&lt;0,0,N(INDEX('CURVA PREVISION'!$A$1:$KZ$3000,$C9,10+3*MIN(AK$3,$D$2-1)))))</f>
        <v>0</v>
      </c>
      <c r="AL9" s="131" t="n">
        <f aca="false">IF(OR($C9="",$B$2="",$D$2=0),0,IF(AL$3&lt;0,0,N(INDEX('CURVA PREVISION'!$A$1:$KZ$3000,$C9,10+3*MIN(AL$3,$D$2-1)))))</f>
        <v>0</v>
      </c>
      <c r="AM9" s="131" t="n">
        <f aca="false">IF(OR($C9="",$B$2="",$D$2=0),0,IF(AM$3&lt;0,0,N(INDEX('CURVA PREVISION'!$A$1:$KZ$3000,$C9,10+3*MIN(AM$3,$D$2-1)))))</f>
        <v>0</v>
      </c>
      <c r="AN9" s="131" t="n">
        <f aca="false">IF(OR($C9="",$B$2="",$D$2=0),0,IF(AN$3&lt;0,0,N(INDEX('CURVA PREVISION'!$A$1:$KZ$3000,$C9,10+3*MIN(AN$3,$D$2-1)))))</f>
        <v>0</v>
      </c>
      <c r="AO9" s="131" t="n">
        <f aca="false">IF(OR($C9="",$B$2="",$D$2=0),0,IF(AO$3&lt;0,0,N(INDEX('CURVA PREVISION'!$A$1:$KZ$3000,$C9,10+3*MIN(AO$3,$D$2-1)))))</f>
        <v>0</v>
      </c>
      <c r="AP9" s="131" t="n">
        <f aca="false">IF(OR($C9="",$B$2="",$D$2=0),0,IF(AP$3&lt;0,0,N(INDEX('CURVA PREVISION'!$A$1:$KZ$3000,$C9,10+3*MIN(AP$3,$D$2-1)))))</f>
        <v>0</v>
      </c>
      <c r="AQ9" s="131" t="n">
        <f aca="false">IF(OR($C9="",$B$2="",$D$2=0),0,IF(AQ$3&lt;0,0,N(INDEX('CURVA PREVISION'!$A$1:$KZ$3000,$C9,10+3*MIN(AQ$3,$D$2-1)))))</f>
        <v>0</v>
      </c>
      <c r="AR9" s="131" t="n">
        <f aca="false">IF(OR($C9="",$B$2="",$D$2=0),0,IF(AR$3&lt;0,0,N(INDEX('CURVA PREVISION'!$A$1:$KZ$3000,$C9,10+3*MIN(AR$3,$D$2-1)))))</f>
        <v>0</v>
      </c>
      <c r="AS9" s="131" t="n">
        <f aca="false">IF(OR($C9="",$B$2="",$D$2=0),0,IF(AS$3&lt;0,0,N(INDEX('CURVA PREVISION'!$A$1:$KZ$3000,$C9,10+3*MIN(AS$3,$D$2-1)))))</f>
        <v>0</v>
      </c>
      <c r="AT9" s="131" t="n">
        <f aca="false">IF(OR($C9="",$B$2="",$D$2=0),0,IF(AT$3&lt;0,0,N(INDEX('CURVA PREVISION'!$A$1:$KZ$3000,$C9,10+3*MIN(AT$3,$D$2-1)))))</f>
        <v>0</v>
      </c>
      <c r="AU9" s="131" t="n">
        <f aca="false">IF(OR($C9="",$B$2="",$D$2=0),0,IF(AU$3&lt;0,0,N(INDEX('CURVA PREVISION'!$A$1:$KZ$3000,$C9,10+3*MIN(AU$3,$D$2-1)))))</f>
        <v>0</v>
      </c>
      <c r="AV9" s="131" t="n">
        <f aca="false">IF(OR($C9="",$B$2="",$D$2=0),0,IF(AV$3&lt;0,0,N(INDEX('CURVA PREVISION'!$A$1:$KZ$3000,$C9,10+3*MIN(AV$3,$D$2-1)))))</f>
        <v>0</v>
      </c>
      <c r="AW9" s="131" t="n">
        <f aca="false">IF(OR($C9="",$B$2="",$D$2=0),0,IF(AW$3&lt;0,0,N(INDEX('CURVA PREVISION'!$A$1:$KZ$3000,$C9,10+3*MIN(AW$3,$D$2-1)))))</f>
        <v>0</v>
      </c>
      <c r="AX9" s="131" t="n">
        <f aca="false">IF(OR($C9="",$B$2="",$D$2=0),0,IF(AX$3&lt;0,0,N(INDEX('CURVA PREVISION'!$A$1:$KZ$3000,$C9,10+3*MIN(AX$3,$D$2-1)))))</f>
        <v>0</v>
      </c>
      <c r="AY9" s="131" t="n">
        <f aca="false">IF(OR($C9="",$B$2="",$D$2=0),0,IF(AY$3&lt;0,0,N(INDEX('CURVA PREVISION'!$A$1:$KZ$3000,$C9,10+3*MIN(AY$3,$D$2-1)))))</f>
        <v>0</v>
      </c>
      <c r="AZ9" s="131" t="n">
        <f aca="false">IF(OR($C9="",$B$2="",$D$2=0),0,IF(AZ$3&lt;0,0,N(INDEX('CURVA PREVISION'!$A$1:$KZ$3000,$C9,10+3*MIN(AZ$3,$D$2-1)))))</f>
        <v>0</v>
      </c>
      <c r="BA9" s="131" t="n">
        <f aca="false">IF(OR($C9="",$B$2="",$D$2=0),0,IF(BA$3&lt;0,0,N(INDEX('CURVA PREVISION'!$A$1:$KZ$3000,$C9,10+3*MIN(BA$3,$D$2-1)))))</f>
        <v>0</v>
      </c>
      <c r="BB9" s="131" t="n">
        <f aca="false">IF(OR($C9="",$B$2="",$D$2=0),0,IF(BB$3&lt;0,0,N(INDEX('CURVA PREVISION'!$A$1:$KZ$3000,$C9,10+3*MIN(BB$3,$D$2-1)))))</f>
        <v>0</v>
      </c>
      <c r="BC9" s="131" t="n">
        <f aca="false">IF(OR($C9="",$B$2="",$D$2=0),0,IF(BC$3&lt;0,0,N(INDEX('CURVA PREVISION'!$A$1:$KZ$3000,$C9,10+3*MIN(BC$3,$D$2-1)))))</f>
        <v>0</v>
      </c>
      <c r="BD9" s="131" t="n">
        <f aca="false">IF(OR($C9="",$B$2="",$D$2=0),0,IF(BD$3&lt;0,0,N(INDEX('CURVA PREVISION'!$A$1:$KZ$3000,$C9,10+3*MIN(BD$3,$D$2-1)))))</f>
        <v>0</v>
      </c>
      <c r="BE9" s="131" t="n">
        <f aca="false">IF(OR($C9="",$B$2="",$D$2=0),0,IF(BE$3&lt;0,0,N(INDEX('CURVA PREVISION'!$A$1:$KZ$3000,$C9,10+3*MIN(BE$3,$D$2-1)))))</f>
        <v>0</v>
      </c>
      <c r="BF9" s="131" t="n">
        <f aca="false">IF(OR($C9="",$B$2="",$D$2=0),0,IF(BF$3&lt;0,0,N(INDEX('CURVA PREVISION'!$A$1:$KZ$3000,$C9,10+3*MIN(BF$3,$D$2-1)))))</f>
        <v>0</v>
      </c>
      <c r="BG9" s="131" t="n">
        <f aca="false">IF(OR($C9="",$B$2="",$D$2=0),0,IF(BG$3&lt;0,0,N(INDEX('CURVA PREVISION'!$A$1:$KZ$3000,$C9,10+3*MIN(BG$3,$D$2-1)))))</f>
        <v>0</v>
      </c>
      <c r="BH9" s="131" t="n">
        <f aca="false">IF(OR($C9="",$B$2="",$D$2=0),0,IF(BH$3&lt;0,0,N(INDEX('CURVA PREVISION'!$A$1:$KZ$3000,$C9,10+3*MIN(BH$3,$D$2-1)))))</f>
        <v>0</v>
      </c>
      <c r="BI9" s="131" t="n">
        <f aca="false">IF(OR($C9="",$B$2="",$D$2=0),0,IF(BI$3&lt;0,0,N(INDEX('CURVA PREVISION'!$A$1:$KZ$3000,$C9,10+3*MIN(BI$3,$D$2-1)))))</f>
        <v>0</v>
      </c>
      <c r="BJ9" s="131" t="n">
        <f aca="false">IF(OR($C9="",$B$2="",$D$2=0),0,IF(BJ$3&lt;0,0,N(INDEX('CURVA PREVISION'!$A$1:$KZ$3000,$C9,10+3*MIN(BJ$3,$D$2-1)))))</f>
        <v>0</v>
      </c>
      <c r="BK9" s="131" t="n">
        <f aca="false">IF(OR($C9="",$B$2="",$D$2=0),0,IF(BK$3&lt;0,0,N(INDEX('CURVA PREVISION'!$A$1:$KZ$3000,$C9,10+3*MIN(BK$3,$D$2-1)))))</f>
        <v>0</v>
      </c>
      <c r="BL9" s="131" t="n">
        <f aca="false">IF(OR($C9="",$B$2="",$D$2=0),0,IF(BL$3&lt;0,0,N(INDEX('CURVA PREVISION'!$A$1:$KZ$3000,$C9,10+3*MIN(BL$3,$D$2-1)))))</f>
        <v>0</v>
      </c>
      <c r="BM9" s="131" t="n">
        <f aca="false">IF(OR($C9="",$B$2="",$D$2=0),0,IF(BM$3&lt;0,0,N(INDEX('CURVA PREVISION'!$A$1:$KZ$3000,$C9,10+3*MIN(BM$3,$D$2-1)))))</f>
        <v>0</v>
      </c>
      <c r="BN9" s="131" t="n">
        <f aca="false">IF(OR($C9="",$B$2="",$D$2=0),0,IF(BN$3&lt;0,0,N(INDEX('CURVA PREVISION'!$A$1:$KZ$3000,$C9,10+3*MIN(BN$3,$D$2-1)))))</f>
        <v>0</v>
      </c>
      <c r="BO9" s="131" t="n">
        <f aca="false">IF(OR($C9="",$B$2="",$D$2=0),0,IF(BO$3&lt;0,0,N(INDEX('CURVA PREVISION'!$A$1:$KZ$3000,$C9,10+3*MIN(BO$3,$D$2-1)))))</f>
        <v>0</v>
      </c>
      <c r="BP9" s="131" t="n">
        <f aca="false">IF(OR($C9="",$B$2="",$D$2=0),0,IF(BP$3&lt;0,0,N(INDEX('CURVA PREVISION'!$A$1:$KZ$3000,$C9,10+3*MIN(BP$3,$D$2-1)))))</f>
        <v>0</v>
      </c>
      <c r="BQ9" s="131" t="n">
        <f aca="false">IF(OR($C9="",$B$2="",$D$2=0),0,IF(BQ$3&lt;0,0,N(INDEX('CURVA PREVISION'!$A$1:$KZ$3000,$C9,10+3*MIN(BQ$3,$D$2-1)))))</f>
        <v>0</v>
      </c>
      <c r="BR9" s="131" t="n">
        <f aca="false">IF(OR($C9="",$B$2="",$D$2=0),0,IF(BR$3&lt;0,0,N(INDEX('CURVA PREVISION'!$A$1:$KZ$3000,$C9,10+3*MIN(BR$3,$D$2-1)))))</f>
        <v>0</v>
      </c>
      <c r="BS9" s="131" t="n">
        <f aca="false">IF(OR($C9="",$B$2="",$D$2=0),0,IF(BS$3&lt;0,0,N(INDEX('CURVA PREVISION'!$A$1:$KZ$3000,$C9,10+3*MIN(BS$3,$D$2-1)))))</f>
        <v>0</v>
      </c>
      <c r="BT9" s="131" t="n">
        <f aca="false">IF(OR($C9="",$B$2="",$D$2=0),0,IF(BT$3&lt;0,0,N(INDEX('CURVA PREVISION'!$A$1:$KZ$3000,$C9,10+3*MIN(BT$3,$D$2-1)))))</f>
        <v>0</v>
      </c>
      <c r="BU9" s="131" t="n">
        <f aca="false">IF(OR($C9="",$B$2="",$D$2=0),0,IF(BU$3&lt;0,0,N(INDEX('CURVA PREVISION'!$A$1:$KZ$3000,$C9,10+3*MIN(BU$3,$D$2-1)))))</f>
        <v>0</v>
      </c>
      <c r="BV9" s="131" t="n">
        <f aca="false">IF(OR($C9="",$B$2="",$D$2=0),0,IF(BV$3&lt;0,0,N(INDEX('CURVA PREVISION'!$A$1:$KZ$3000,$C9,10+3*MIN(BV$3,$D$2-1)))))</f>
        <v>0</v>
      </c>
      <c r="BW9" s="131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82</v>
      </c>
      <c r="D10" s="131" t="n">
        <f aca="false">IF(OR($C10="",$B$2="",$D$2=0),0,IF(D$3&lt;0,0,N(INDEX('CURVA PREVISION'!$A$1:$KZ$3000,$C10,10+3*MIN(D$3,$D$2-1)))))</f>
        <v>0</v>
      </c>
      <c r="E10" s="131" t="n">
        <f aca="false">IF(OR($C10="",$B$2="",$D$2=0),0,IF(E$3&lt;0,0,N(INDEX('CURVA PREVISION'!$A$1:$KZ$3000,$C10,10+3*MIN(E$3,$D$2-1)))))</f>
        <v>0</v>
      </c>
      <c r="F10" s="131" t="n">
        <f aca="false">IF(OR($C10="",$B$2="",$D$2=0),0,IF(F$3&lt;0,0,N(INDEX('CURVA PREVISION'!$A$1:$KZ$3000,$C10,10+3*MIN(F$3,$D$2-1)))))</f>
        <v>0</v>
      </c>
      <c r="G10" s="131" t="n">
        <f aca="false">IF(OR($C10="",$B$2="",$D$2=0),0,IF(G$3&lt;0,0,N(INDEX('CURVA PREVISION'!$A$1:$KZ$3000,$C10,10+3*MIN(G$3,$D$2-1)))))</f>
        <v>0</v>
      </c>
      <c r="H10" s="131" t="n">
        <f aca="false">IF(OR($C10="",$B$2="",$D$2=0),0,IF(H$3&lt;0,0,N(INDEX('CURVA PREVISION'!$A$1:$KZ$3000,$C10,10+3*MIN(H$3,$D$2-1)))))</f>
        <v>0</v>
      </c>
      <c r="I10" s="131" t="n">
        <f aca="false">IF(OR($C10="",$B$2="",$D$2=0),0,IF(I$3&lt;0,0,N(INDEX('CURVA PREVISION'!$A$1:$KZ$3000,$C10,10+3*MIN(I$3,$D$2-1)))))</f>
        <v>0</v>
      </c>
      <c r="J10" s="131" t="n">
        <f aca="false">IF(OR($C10="",$B$2="",$D$2=0),0,IF(J$3&lt;0,0,N(INDEX('CURVA PREVISION'!$A$1:$KZ$3000,$C10,10+3*MIN(J$3,$D$2-1)))))</f>
        <v>0</v>
      </c>
      <c r="K10" s="131" t="n">
        <f aca="false">IF(OR($C10="",$B$2="",$D$2=0),0,IF(K$3&lt;0,0,N(INDEX('CURVA PREVISION'!$A$1:$KZ$3000,$C10,10+3*MIN(K$3,$D$2-1)))))</f>
        <v>0</v>
      </c>
      <c r="L10" s="131" t="n">
        <f aca="false">IF(OR($C10="",$B$2="",$D$2=0),0,IF(L$3&lt;0,0,N(INDEX('CURVA PREVISION'!$A$1:$KZ$3000,$C10,10+3*MIN(L$3,$D$2-1)))))</f>
        <v>0</v>
      </c>
      <c r="M10" s="131" t="n">
        <f aca="false">IF(OR($C10="",$B$2="",$D$2=0),0,IF(M$3&lt;0,0,N(INDEX('CURVA PREVISION'!$A$1:$KZ$3000,$C10,10+3*MIN(M$3,$D$2-1)))))</f>
        <v>0</v>
      </c>
      <c r="N10" s="131" t="n">
        <f aca="false">IF(OR($C10="",$B$2="",$D$2=0),0,IF(N$3&lt;0,0,N(INDEX('CURVA PREVISION'!$A$1:$KZ$3000,$C10,10+3*MIN(N$3,$D$2-1)))))</f>
        <v>0</v>
      </c>
      <c r="O10" s="131" t="n">
        <f aca="false">IF(OR($C10="",$B$2="",$D$2=0),0,IF(O$3&lt;0,0,N(INDEX('CURVA PREVISION'!$A$1:$KZ$3000,$C10,10+3*MIN(O$3,$D$2-1)))))</f>
        <v>0</v>
      </c>
      <c r="P10" s="131" t="n">
        <f aca="false">IF(OR($C10="",$B$2="",$D$2=0),0,IF(P$3&lt;0,0,N(INDEX('CURVA PREVISION'!$A$1:$KZ$3000,$C10,10+3*MIN(P$3,$D$2-1)))))</f>
        <v>0</v>
      </c>
      <c r="Q10" s="131" t="n">
        <f aca="false">IF(OR($C10="",$B$2="",$D$2=0),0,IF(Q$3&lt;0,0,N(INDEX('CURVA PREVISION'!$A$1:$KZ$3000,$C10,10+3*MIN(Q$3,$D$2-1)))))</f>
        <v>0</v>
      </c>
      <c r="R10" s="131" t="n">
        <f aca="false">IF(OR($C10="",$B$2="",$D$2=0),0,IF(R$3&lt;0,0,N(INDEX('CURVA PREVISION'!$A$1:$KZ$3000,$C10,10+3*MIN(R$3,$D$2-1)))))</f>
        <v>0</v>
      </c>
      <c r="S10" s="131" t="n">
        <f aca="false">IF(OR($C10="",$B$2="",$D$2=0),0,IF(S$3&lt;0,0,N(INDEX('CURVA PREVISION'!$A$1:$KZ$3000,$C10,10+3*MIN(S$3,$D$2-1)))))</f>
        <v>0</v>
      </c>
      <c r="T10" s="131" t="n">
        <f aca="false">IF(OR($C10="",$B$2="",$D$2=0),0,IF(T$3&lt;0,0,N(INDEX('CURVA PREVISION'!$A$1:$KZ$3000,$C10,10+3*MIN(T$3,$D$2-1)))))</f>
        <v>0</v>
      </c>
      <c r="U10" s="131" t="n">
        <f aca="false">IF(OR($C10="",$B$2="",$D$2=0),0,IF(U$3&lt;0,0,N(INDEX('CURVA PREVISION'!$A$1:$KZ$3000,$C10,10+3*MIN(U$3,$D$2-1)))))</f>
        <v>0</v>
      </c>
      <c r="V10" s="131" t="n">
        <f aca="false">IF(OR($C10="",$B$2="",$D$2=0),0,IF(V$3&lt;0,0,N(INDEX('CURVA PREVISION'!$A$1:$KZ$3000,$C10,10+3*MIN(V$3,$D$2-1)))))</f>
        <v>0</v>
      </c>
      <c r="W10" s="131" t="n">
        <f aca="false">IF(OR($C10="",$B$2="",$D$2=0),0,IF(W$3&lt;0,0,N(INDEX('CURVA PREVISION'!$A$1:$KZ$3000,$C10,10+3*MIN(W$3,$D$2-1)))))</f>
        <v>0</v>
      </c>
      <c r="X10" s="131" t="n">
        <f aca="false">IF(OR($C10="",$B$2="",$D$2=0),0,IF(X$3&lt;0,0,N(INDEX('CURVA PREVISION'!$A$1:$KZ$3000,$C10,10+3*MIN(X$3,$D$2-1)))))</f>
        <v>0</v>
      </c>
      <c r="Y10" s="131" t="n">
        <f aca="false">IF(OR($C10="",$B$2="",$D$2=0),0,IF(Y$3&lt;0,0,N(INDEX('CURVA PREVISION'!$A$1:$KZ$3000,$C10,10+3*MIN(Y$3,$D$2-1)))))</f>
        <v>0</v>
      </c>
      <c r="Z10" s="131" t="n">
        <f aca="false">IF(OR($C10="",$B$2="",$D$2=0),0,IF(Z$3&lt;0,0,N(INDEX('CURVA PREVISION'!$A$1:$KZ$3000,$C10,10+3*MIN(Z$3,$D$2-1)))))</f>
        <v>0</v>
      </c>
      <c r="AA10" s="131" t="n">
        <f aca="false">IF(OR($C10="",$B$2="",$D$2=0),0,IF(AA$3&lt;0,0,N(INDEX('CURVA PREVISION'!$A$1:$KZ$3000,$C10,10+3*MIN(AA$3,$D$2-1)))))</f>
        <v>0</v>
      </c>
      <c r="AB10" s="131" t="n">
        <f aca="false">IF(OR($C10="",$B$2="",$D$2=0),0,IF(AB$3&lt;0,0,N(INDEX('CURVA PREVISION'!$A$1:$KZ$3000,$C10,10+3*MIN(AB$3,$D$2-1)))))</f>
        <v>0</v>
      </c>
      <c r="AC10" s="131" t="n">
        <f aca="false">IF(OR($C10="",$B$2="",$D$2=0),0,IF(AC$3&lt;0,0,N(INDEX('CURVA PREVISION'!$A$1:$KZ$3000,$C10,10+3*MIN(AC$3,$D$2-1)))))</f>
        <v>0</v>
      </c>
      <c r="AD10" s="131" t="n">
        <f aca="false">IF(OR($C10="",$B$2="",$D$2=0),0,IF(AD$3&lt;0,0,N(INDEX('CURVA PREVISION'!$A$1:$KZ$3000,$C10,10+3*MIN(AD$3,$D$2-1)))))</f>
        <v>0</v>
      </c>
      <c r="AE10" s="131" t="n">
        <f aca="false">IF(OR($C10="",$B$2="",$D$2=0),0,IF(AE$3&lt;0,0,N(INDEX('CURVA PREVISION'!$A$1:$KZ$3000,$C10,10+3*MIN(AE$3,$D$2-1)))))</f>
        <v>0</v>
      </c>
      <c r="AF10" s="131" t="n">
        <f aca="false">IF(OR($C10="",$B$2="",$D$2=0),0,IF(AF$3&lt;0,0,N(INDEX('CURVA PREVISION'!$A$1:$KZ$3000,$C10,10+3*MIN(AF$3,$D$2-1)))))</f>
        <v>0</v>
      </c>
      <c r="AG10" s="131" t="n">
        <f aca="false">IF(OR($C10="",$B$2="",$D$2=0),0,IF(AG$3&lt;0,0,N(INDEX('CURVA PREVISION'!$A$1:$KZ$3000,$C10,10+3*MIN(AG$3,$D$2-1)))))</f>
        <v>0</v>
      </c>
      <c r="AH10" s="131" t="n">
        <f aca="false">IF(OR($C10="",$B$2="",$D$2=0),0,IF(AH$3&lt;0,0,N(INDEX('CURVA PREVISION'!$A$1:$KZ$3000,$C10,10+3*MIN(AH$3,$D$2-1)))))</f>
        <v>0</v>
      </c>
      <c r="AI10" s="131" t="n">
        <f aca="false">IF(OR($C10="",$B$2="",$D$2=0),0,IF(AI$3&lt;0,0,N(INDEX('CURVA PREVISION'!$A$1:$KZ$3000,$C10,10+3*MIN(AI$3,$D$2-1)))))</f>
        <v>0</v>
      </c>
      <c r="AJ10" s="131" t="n">
        <f aca="false">IF(OR($C10="",$B$2="",$D$2=0),0,IF(AJ$3&lt;0,0,N(INDEX('CURVA PREVISION'!$A$1:$KZ$3000,$C10,10+3*MIN(AJ$3,$D$2-1)))))</f>
        <v>0</v>
      </c>
      <c r="AK10" s="131" t="n">
        <f aca="false">IF(OR($C10="",$B$2="",$D$2=0),0,IF(AK$3&lt;0,0,N(INDEX('CURVA PREVISION'!$A$1:$KZ$3000,$C10,10+3*MIN(AK$3,$D$2-1)))))</f>
        <v>0</v>
      </c>
      <c r="AL10" s="131" t="n">
        <f aca="false">IF(OR($C10="",$B$2="",$D$2=0),0,IF(AL$3&lt;0,0,N(INDEX('CURVA PREVISION'!$A$1:$KZ$3000,$C10,10+3*MIN(AL$3,$D$2-1)))))</f>
        <v>0</v>
      </c>
      <c r="AM10" s="131" t="n">
        <f aca="false">IF(OR($C10="",$B$2="",$D$2=0),0,IF(AM$3&lt;0,0,N(INDEX('CURVA PREVISION'!$A$1:$KZ$3000,$C10,10+3*MIN(AM$3,$D$2-1)))))</f>
        <v>0</v>
      </c>
      <c r="AN10" s="131" t="n">
        <f aca="false">IF(OR($C10="",$B$2="",$D$2=0),0,IF(AN$3&lt;0,0,N(INDEX('CURVA PREVISION'!$A$1:$KZ$3000,$C10,10+3*MIN(AN$3,$D$2-1)))))</f>
        <v>0</v>
      </c>
      <c r="AO10" s="131" t="n">
        <f aca="false">IF(OR($C10="",$B$2="",$D$2=0),0,IF(AO$3&lt;0,0,N(INDEX('CURVA PREVISION'!$A$1:$KZ$3000,$C10,10+3*MIN(AO$3,$D$2-1)))))</f>
        <v>0</v>
      </c>
      <c r="AP10" s="131" t="n">
        <f aca="false">IF(OR($C10="",$B$2="",$D$2=0),0,IF(AP$3&lt;0,0,N(INDEX('CURVA PREVISION'!$A$1:$KZ$3000,$C10,10+3*MIN(AP$3,$D$2-1)))))</f>
        <v>0</v>
      </c>
      <c r="AQ10" s="131" t="n">
        <f aca="false">IF(OR($C10="",$B$2="",$D$2=0),0,IF(AQ$3&lt;0,0,N(INDEX('CURVA PREVISION'!$A$1:$KZ$3000,$C10,10+3*MIN(AQ$3,$D$2-1)))))</f>
        <v>0</v>
      </c>
      <c r="AR10" s="131" t="n">
        <f aca="false">IF(OR($C10="",$B$2="",$D$2=0),0,IF(AR$3&lt;0,0,N(INDEX('CURVA PREVISION'!$A$1:$KZ$3000,$C10,10+3*MIN(AR$3,$D$2-1)))))</f>
        <v>0</v>
      </c>
      <c r="AS10" s="131" t="n">
        <f aca="false">IF(OR($C10="",$B$2="",$D$2=0),0,IF(AS$3&lt;0,0,N(INDEX('CURVA PREVISION'!$A$1:$KZ$3000,$C10,10+3*MIN(AS$3,$D$2-1)))))</f>
        <v>0</v>
      </c>
      <c r="AT10" s="131" t="n">
        <f aca="false">IF(OR($C10="",$B$2="",$D$2=0),0,IF(AT$3&lt;0,0,N(INDEX('CURVA PREVISION'!$A$1:$KZ$3000,$C10,10+3*MIN(AT$3,$D$2-1)))))</f>
        <v>0</v>
      </c>
      <c r="AU10" s="131" t="n">
        <f aca="false">IF(OR($C10="",$B$2="",$D$2=0),0,IF(AU$3&lt;0,0,N(INDEX('CURVA PREVISION'!$A$1:$KZ$3000,$C10,10+3*MIN(AU$3,$D$2-1)))))</f>
        <v>0</v>
      </c>
      <c r="AV10" s="131" t="n">
        <f aca="false">IF(OR($C10="",$B$2="",$D$2=0),0,IF(AV$3&lt;0,0,N(INDEX('CURVA PREVISION'!$A$1:$KZ$3000,$C10,10+3*MIN(AV$3,$D$2-1)))))</f>
        <v>0</v>
      </c>
      <c r="AW10" s="131" t="n">
        <f aca="false">IF(OR($C10="",$B$2="",$D$2=0),0,IF(AW$3&lt;0,0,N(INDEX('CURVA PREVISION'!$A$1:$KZ$3000,$C10,10+3*MIN(AW$3,$D$2-1)))))</f>
        <v>0</v>
      </c>
      <c r="AX10" s="131" t="n">
        <f aca="false">IF(OR($C10="",$B$2="",$D$2=0),0,IF(AX$3&lt;0,0,N(INDEX('CURVA PREVISION'!$A$1:$KZ$3000,$C10,10+3*MIN(AX$3,$D$2-1)))))</f>
        <v>0</v>
      </c>
      <c r="AY10" s="131" t="n">
        <f aca="false">IF(OR($C10="",$B$2="",$D$2=0),0,IF(AY$3&lt;0,0,N(INDEX('CURVA PREVISION'!$A$1:$KZ$3000,$C10,10+3*MIN(AY$3,$D$2-1)))))</f>
        <v>0</v>
      </c>
      <c r="AZ10" s="131" t="n">
        <f aca="false">IF(OR($C10="",$B$2="",$D$2=0),0,IF(AZ$3&lt;0,0,N(INDEX('CURVA PREVISION'!$A$1:$KZ$3000,$C10,10+3*MIN(AZ$3,$D$2-1)))))</f>
        <v>0</v>
      </c>
      <c r="BA10" s="131" t="n">
        <f aca="false">IF(OR($C10="",$B$2="",$D$2=0),0,IF(BA$3&lt;0,0,N(INDEX('CURVA PREVISION'!$A$1:$KZ$3000,$C10,10+3*MIN(BA$3,$D$2-1)))))</f>
        <v>0</v>
      </c>
      <c r="BB10" s="131" t="n">
        <f aca="false">IF(OR($C10="",$B$2="",$D$2=0),0,IF(BB$3&lt;0,0,N(INDEX('CURVA PREVISION'!$A$1:$KZ$3000,$C10,10+3*MIN(BB$3,$D$2-1)))))</f>
        <v>0</v>
      </c>
      <c r="BC10" s="131" t="n">
        <f aca="false">IF(OR($C10="",$B$2="",$D$2=0),0,IF(BC$3&lt;0,0,N(INDEX('CURVA PREVISION'!$A$1:$KZ$3000,$C10,10+3*MIN(BC$3,$D$2-1)))))</f>
        <v>0</v>
      </c>
      <c r="BD10" s="131" t="n">
        <f aca="false">IF(OR($C10="",$B$2="",$D$2=0),0,IF(BD$3&lt;0,0,N(INDEX('CURVA PREVISION'!$A$1:$KZ$3000,$C10,10+3*MIN(BD$3,$D$2-1)))))</f>
        <v>0</v>
      </c>
      <c r="BE10" s="131" t="n">
        <f aca="false">IF(OR($C10="",$B$2="",$D$2=0),0,IF(BE$3&lt;0,0,N(INDEX('CURVA PREVISION'!$A$1:$KZ$3000,$C10,10+3*MIN(BE$3,$D$2-1)))))</f>
        <v>0</v>
      </c>
      <c r="BF10" s="131" t="n">
        <f aca="false">IF(OR($C10="",$B$2="",$D$2=0),0,IF(BF$3&lt;0,0,N(INDEX('CURVA PREVISION'!$A$1:$KZ$3000,$C10,10+3*MIN(BF$3,$D$2-1)))))</f>
        <v>0</v>
      </c>
      <c r="BG10" s="131" t="n">
        <f aca="false">IF(OR($C10="",$B$2="",$D$2=0),0,IF(BG$3&lt;0,0,N(INDEX('CURVA PREVISION'!$A$1:$KZ$3000,$C10,10+3*MIN(BG$3,$D$2-1)))))</f>
        <v>0</v>
      </c>
      <c r="BH10" s="131" t="n">
        <f aca="false">IF(OR($C10="",$B$2="",$D$2=0),0,IF(BH$3&lt;0,0,N(INDEX('CURVA PREVISION'!$A$1:$KZ$3000,$C10,10+3*MIN(BH$3,$D$2-1)))))</f>
        <v>0</v>
      </c>
      <c r="BI10" s="131" t="n">
        <f aca="false">IF(OR($C10="",$B$2="",$D$2=0),0,IF(BI$3&lt;0,0,N(INDEX('CURVA PREVISION'!$A$1:$KZ$3000,$C10,10+3*MIN(BI$3,$D$2-1)))))</f>
        <v>0</v>
      </c>
      <c r="BJ10" s="131" t="n">
        <f aca="false">IF(OR($C10="",$B$2="",$D$2=0),0,IF(BJ$3&lt;0,0,N(INDEX('CURVA PREVISION'!$A$1:$KZ$3000,$C10,10+3*MIN(BJ$3,$D$2-1)))))</f>
        <v>0</v>
      </c>
      <c r="BK10" s="131" t="n">
        <f aca="false">IF(OR($C10="",$B$2="",$D$2=0),0,IF(BK$3&lt;0,0,N(INDEX('CURVA PREVISION'!$A$1:$KZ$3000,$C10,10+3*MIN(BK$3,$D$2-1)))))</f>
        <v>0</v>
      </c>
      <c r="BL10" s="131" t="n">
        <f aca="false">IF(OR($C10="",$B$2="",$D$2=0),0,IF(BL$3&lt;0,0,N(INDEX('CURVA PREVISION'!$A$1:$KZ$3000,$C10,10+3*MIN(BL$3,$D$2-1)))))</f>
        <v>0</v>
      </c>
      <c r="BM10" s="131" t="n">
        <f aca="false">IF(OR($C10="",$B$2="",$D$2=0),0,IF(BM$3&lt;0,0,N(INDEX('CURVA PREVISION'!$A$1:$KZ$3000,$C10,10+3*MIN(BM$3,$D$2-1)))))</f>
        <v>0</v>
      </c>
      <c r="BN10" s="131" t="n">
        <f aca="false">IF(OR($C10="",$B$2="",$D$2=0),0,IF(BN$3&lt;0,0,N(INDEX('CURVA PREVISION'!$A$1:$KZ$3000,$C10,10+3*MIN(BN$3,$D$2-1)))))</f>
        <v>0</v>
      </c>
      <c r="BO10" s="131" t="n">
        <f aca="false">IF(OR($C10="",$B$2="",$D$2=0),0,IF(BO$3&lt;0,0,N(INDEX('CURVA PREVISION'!$A$1:$KZ$3000,$C10,10+3*MIN(BO$3,$D$2-1)))))</f>
        <v>0</v>
      </c>
      <c r="BP10" s="131" t="n">
        <f aca="false">IF(OR($C10="",$B$2="",$D$2=0),0,IF(BP$3&lt;0,0,N(INDEX('CURVA PREVISION'!$A$1:$KZ$3000,$C10,10+3*MIN(BP$3,$D$2-1)))))</f>
        <v>0</v>
      </c>
      <c r="BQ10" s="131" t="n">
        <f aca="false">IF(OR($C10="",$B$2="",$D$2=0),0,IF(BQ$3&lt;0,0,N(INDEX('CURVA PREVISION'!$A$1:$KZ$3000,$C10,10+3*MIN(BQ$3,$D$2-1)))))</f>
        <v>0</v>
      </c>
      <c r="BR10" s="131" t="n">
        <f aca="false">IF(OR($C10="",$B$2="",$D$2=0),0,IF(BR$3&lt;0,0,N(INDEX('CURVA PREVISION'!$A$1:$KZ$3000,$C10,10+3*MIN(BR$3,$D$2-1)))))</f>
        <v>0</v>
      </c>
      <c r="BS10" s="131" t="n">
        <f aca="false">IF(OR($C10="",$B$2="",$D$2=0),0,IF(BS$3&lt;0,0,N(INDEX('CURVA PREVISION'!$A$1:$KZ$3000,$C10,10+3*MIN(BS$3,$D$2-1)))))</f>
        <v>0</v>
      </c>
      <c r="BT10" s="131" t="n">
        <f aca="false">IF(OR($C10="",$B$2="",$D$2=0),0,IF(BT$3&lt;0,0,N(INDEX('CURVA PREVISION'!$A$1:$KZ$3000,$C10,10+3*MIN(BT$3,$D$2-1)))))</f>
        <v>0</v>
      </c>
      <c r="BU10" s="131" t="n">
        <f aca="false">IF(OR($C10="",$B$2="",$D$2=0),0,IF(BU$3&lt;0,0,N(INDEX('CURVA PREVISION'!$A$1:$KZ$3000,$C10,10+3*MIN(BU$3,$D$2-1)))))</f>
        <v>0</v>
      </c>
      <c r="BV10" s="131" t="n">
        <f aca="false">IF(OR($C10="",$B$2="",$D$2=0),0,IF(BV$3&lt;0,0,N(INDEX('CURVA PREVISION'!$A$1:$KZ$3000,$C10,10+3*MIN(BV$3,$D$2-1)))))</f>
        <v>0</v>
      </c>
      <c r="BW10" s="131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87</v>
      </c>
      <c r="D11" s="131" t="n">
        <f aca="false">IF(OR($C11="",$B$2="",$D$2=0),0,IF(D$3&lt;0,0,N(INDEX('CURVA PREVISION'!$A$1:$KZ$3000,$C11,10+3*MIN(D$3,$D$2-1)))))</f>
        <v>0</v>
      </c>
      <c r="E11" s="131" t="n">
        <f aca="false">IF(OR($C11="",$B$2="",$D$2=0),0,IF(E$3&lt;0,0,N(INDEX('CURVA PREVISION'!$A$1:$KZ$3000,$C11,10+3*MIN(E$3,$D$2-1)))))</f>
        <v>0</v>
      </c>
      <c r="F11" s="131" t="n">
        <f aca="false">IF(OR($C11="",$B$2="",$D$2=0),0,IF(F$3&lt;0,0,N(INDEX('CURVA PREVISION'!$A$1:$KZ$3000,$C11,10+3*MIN(F$3,$D$2-1)))))</f>
        <v>0</v>
      </c>
      <c r="G11" s="131" t="n">
        <f aca="false">IF(OR($C11="",$B$2="",$D$2=0),0,IF(G$3&lt;0,0,N(INDEX('CURVA PREVISION'!$A$1:$KZ$3000,$C11,10+3*MIN(G$3,$D$2-1)))))</f>
        <v>0</v>
      </c>
      <c r="H11" s="131" t="n">
        <f aca="false">IF(OR($C11="",$B$2="",$D$2=0),0,IF(H$3&lt;0,0,N(INDEX('CURVA PREVISION'!$A$1:$KZ$3000,$C11,10+3*MIN(H$3,$D$2-1)))))</f>
        <v>0</v>
      </c>
      <c r="I11" s="131" t="n">
        <f aca="false">IF(OR($C11="",$B$2="",$D$2=0),0,IF(I$3&lt;0,0,N(INDEX('CURVA PREVISION'!$A$1:$KZ$3000,$C11,10+3*MIN(I$3,$D$2-1)))))</f>
        <v>0</v>
      </c>
      <c r="J11" s="131" t="n">
        <f aca="false">IF(OR($C11="",$B$2="",$D$2=0),0,IF(J$3&lt;0,0,N(INDEX('CURVA PREVISION'!$A$1:$KZ$3000,$C11,10+3*MIN(J$3,$D$2-1)))))</f>
        <v>0</v>
      </c>
      <c r="K11" s="131" t="n">
        <f aca="false">IF(OR($C11="",$B$2="",$D$2=0),0,IF(K$3&lt;0,0,N(INDEX('CURVA PREVISION'!$A$1:$KZ$3000,$C11,10+3*MIN(K$3,$D$2-1)))))</f>
        <v>0</v>
      </c>
      <c r="L11" s="131" t="n">
        <f aca="false">IF(OR($C11="",$B$2="",$D$2=0),0,IF(L$3&lt;0,0,N(INDEX('CURVA PREVISION'!$A$1:$KZ$3000,$C11,10+3*MIN(L$3,$D$2-1)))))</f>
        <v>0</v>
      </c>
      <c r="M11" s="131" t="n">
        <f aca="false">IF(OR($C11="",$B$2="",$D$2=0),0,IF(M$3&lt;0,0,N(INDEX('CURVA PREVISION'!$A$1:$KZ$3000,$C11,10+3*MIN(M$3,$D$2-1)))))</f>
        <v>0</v>
      </c>
      <c r="N11" s="131" t="n">
        <f aca="false">IF(OR($C11="",$B$2="",$D$2=0),0,IF(N$3&lt;0,0,N(INDEX('CURVA PREVISION'!$A$1:$KZ$3000,$C11,10+3*MIN(N$3,$D$2-1)))))</f>
        <v>0</v>
      </c>
      <c r="O11" s="131" t="n">
        <f aca="false">IF(OR($C11="",$B$2="",$D$2=0),0,IF(O$3&lt;0,0,N(INDEX('CURVA PREVISION'!$A$1:$KZ$3000,$C11,10+3*MIN(O$3,$D$2-1)))))</f>
        <v>0</v>
      </c>
      <c r="P11" s="131" t="n">
        <f aca="false">IF(OR($C11="",$B$2="",$D$2=0),0,IF(P$3&lt;0,0,N(INDEX('CURVA PREVISION'!$A$1:$KZ$3000,$C11,10+3*MIN(P$3,$D$2-1)))))</f>
        <v>0</v>
      </c>
      <c r="Q11" s="131" t="n">
        <f aca="false">IF(OR($C11="",$B$2="",$D$2=0),0,IF(Q$3&lt;0,0,N(INDEX('CURVA PREVISION'!$A$1:$KZ$3000,$C11,10+3*MIN(Q$3,$D$2-1)))))</f>
        <v>0</v>
      </c>
      <c r="R11" s="131" t="n">
        <f aca="false">IF(OR($C11="",$B$2="",$D$2=0),0,IF(R$3&lt;0,0,N(INDEX('CURVA PREVISION'!$A$1:$KZ$3000,$C11,10+3*MIN(R$3,$D$2-1)))))</f>
        <v>0</v>
      </c>
      <c r="S11" s="131" t="n">
        <f aca="false">IF(OR($C11="",$B$2="",$D$2=0),0,IF(S$3&lt;0,0,N(INDEX('CURVA PREVISION'!$A$1:$KZ$3000,$C11,10+3*MIN(S$3,$D$2-1)))))</f>
        <v>0</v>
      </c>
      <c r="T11" s="131" t="n">
        <f aca="false">IF(OR($C11="",$B$2="",$D$2=0),0,IF(T$3&lt;0,0,N(INDEX('CURVA PREVISION'!$A$1:$KZ$3000,$C11,10+3*MIN(T$3,$D$2-1)))))</f>
        <v>0</v>
      </c>
      <c r="U11" s="131" t="n">
        <f aca="false">IF(OR($C11="",$B$2="",$D$2=0),0,IF(U$3&lt;0,0,N(INDEX('CURVA PREVISION'!$A$1:$KZ$3000,$C11,10+3*MIN(U$3,$D$2-1)))))</f>
        <v>0</v>
      </c>
      <c r="V11" s="131" t="n">
        <f aca="false">IF(OR($C11="",$B$2="",$D$2=0),0,IF(V$3&lt;0,0,N(INDEX('CURVA PREVISION'!$A$1:$KZ$3000,$C11,10+3*MIN(V$3,$D$2-1)))))</f>
        <v>0</v>
      </c>
      <c r="W11" s="131" t="n">
        <f aca="false">IF(OR($C11="",$B$2="",$D$2=0),0,IF(W$3&lt;0,0,N(INDEX('CURVA PREVISION'!$A$1:$KZ$3000,$C11,10+3*MIN(W$3,$D$2-1)))))</f>
        <v>0</v>
      </c>
      <c r="X11" s="131" t="n">
        <f aca="false">IF(OR($C11="",$B$2="",$D$2=0),0,IF(X$3&lt;0,0,N(INDEX('CURVA PREVISION'!$A$1:$KZ$3000,$C11,10+3*MIN(X$3,$D$2-1)))))</f>
        <v>0</v>
      </c>
      <c r="Y11" s="131" t="n">
        <f aca="false">IF(OR($C11="",$B$2="",$D$2=0),0,IF(Y$3&lt;0,0,N(INDEX('CURVA PREVISION'!$A$1:$KZ$3000,$C11,10+3*MIN(Y$3,$D$2-1)))))</f>
        <v>0</v>
      </c>
      <c r="Z11" s="131" t="n">
        <f aca="false">IF(OR($C11="",$B$2="",$D$2=0),0,IF(Z$3&lt;0,0,N(INDEX('CURVA PREVISION'!$A$1:$KZ$3000,$C11,10+3*MIN(Z$3,$D$2-1)))))</f>
        <v>0</v>
      </c>
      <c r="AA11" s="131" t="n">
        <f aca="false">IF(OR($C11="",$B$2="",$D$2=0),0,IF(AA$3&lt;0,0,N(INDEX('CURVA PREVISION'!$A$1:$KZ$3000,$C11,10+3*MIN(AA$3,$D$2-1)))))</f>
        <v>0</v>
      </c>
      <c r="AB11" s="131" t="n">
        <f aca="false">IF(OR($C11="",$B$2="",$D$2=0),0,IF(AB$3&lt;0,0,N(INDEX('CURVA PREVISION'!$A$1:$KZ$3000,$C11,10+3*MIN(AB$3,$D$2-1)))))</f>
        <v>0</v>
      </c>
      <c r="AC11" s="131" t="n">
        <f aca="false">IF(OR($C11="",$B$2="",$D$2=0),0,IF(AC$3&lt;0,0,N(INDEX('CURVA PREVISION'!$A$1:$KZ$3000,$C11,10+3*MIN(AC$3,$D$2-1)))))</f>
        <v>0</v>
      </c>
      <c r="AD11" s="131" t="n">
        <f aca="false">IF(OR($C11="",$B$2="",$D$2=0),0,IF(AD$3&lt;0,0,N(INDEX('CURVA PREVISION'!$A$1:$KZ$3000,$C11,10+3*MIN(AD$3,$D$2-1)))))</f>
        <v>0</v>
      </c>
      <c r="AE11" s="131" t="n">
        <f aca="false">IF(OR($C11="",$B$2="",$D$2=0),0,IF(AE$3&lt;0,0,N(INDEX('CURVA PREVISION'!$A$1:$KZ$3000,$C11,10+3*MIN(AE$3,$D$2-1)))))</f>
        <v>0</v>
      </c>
      <c r="AF11" s="131" t="n">
        <f aca="false">IF(OR($C11="",$B$2="",$D$2=0),0,IF(AF$3&lt;0,0,N(INDEX('CURVA PREVISION'!$A$1:$KZ$3000,$C11,10+3*MIN(AF$3,$D$2-1)))))</f>
        <v>0</v>
      </c>
      <c r="AG11" s="131" t="n">
        <f aca="false">IF(OR($C11="",$B$2="",$D$2=0),0,IF(AG$3&lt;0,0,N(INDEX('CURVA PREVISION'!$A$1:$KZ$3000,$C11,10+3*MIN(AG$3,$D$2-1)))))</f>
        <v>0</v>
      </c>
      <c r="AH11" s="131" t="n">
        <f aca="false">IF(OR($C11="",$B$2="",$D$2=0),0,IF(AH$3&lt;0,0,N(INDEX('CURVA PREVISION'!$A$1:$KZ$3000,$C11,10+3*MIN(AH$3,$D$2-1)))))</f>
        <v>0</v>
      </c>
      <c r="AI11" s="131" t="n">
        <f aca="false">IF(OR($C11="",$B$2="",$D$2=0),0,IF(AI$3&lt;0,0,N(INDEX('CURVA PREVISION'!$A$1:$KZ$3000,$C11,10+3*MIN(AI$3,$D$2-1)))))</f>
        <v>0</v>
      </c>
      <c r="AJ11" s="131" t="n">
        <f aca="false">IF(OR($C11="",$B$2="",$D$2=0),0,IF(AJ$3&lt;0,0,N(INDEX('CURVA PREVISION'!$A$1:$KZ$3000,$C11,10+3*MIN(AJ$3,$D$2-1)))))</f>
        <v>0</v>
      </c>
      <c r="AK11" s="131" t="n">
        <f aca="false">IF(OR($C11="",$B$2="",$D$2=0),0,IF(AK$3&lt;0,0,N(INDEX('CURVA PREVISION'!$A$1:$KZ$3000,$C11,10+3*MIN(AK$3,$D$2-1)))))</f>
        <v>0</v>
      </c>
      <c r="AL11" s="131" t="n">
        <f aca="false">IF(OR($C11="",$B$2="",$D$2=0),0,IF(AL$3&lt;0,0,N(INDEX('CURVA PREVISION'!$A$1:$KZ$3000,$C11,10+3*MIN(AL$3,$D$2-1)))))</f>
        <v>0</v>
      </c>
      <c r="AM11" s="131" t="n">
        <f aca="false">IF(OR($C11="",$B$2="",$D$2=0),0,IF(AM$3&lt;0,0,N(INDEX('CURVA PREVISION'!$A$1:$KZ$3000,$C11,10+3*MIN(AM$3,$D$2-1)))))</f>
        <v>0</v>
      </c>
      <c r="AN11" s="131" t="n">
        <f aca="false">IF(OR($C11="",$B$2="",$D$2=0),0,IF(AN$3&lt;0,0,N(INDEX('CURVA PREVISION'!$A$1:$KZ$3000,$C11,10+3*MIN(AN$3,$D$2-1)))))</f>
        <v>0</v>
      </c>
      <c r="AO11" s="131" t="n">
        <f aca="false">IF(OR($C11="",$B$2="",$D$2=0),0,IF(AO$3&lt;0,0,N(INDEX('CURVA PREVISION'!$A$1:$KZ$3000,$C11,10+3*MIN(AO$3,$D$2-1)))))</f>
        <v>0</v>
      </c>
      <c r="AP11" s="131" t="n">
        <f aca="false">IF(OR($C11="",$B$2="",$D$2=0),0,IF(AP$3&lt;0,0,N(INDEX('CURVA PREVISION'!$A$1:$KZ$3000,$C11,10+3*MIN(AP$3,$D$2-1)))))</f>
        <v>0</v>
      </c>
      <c r="AQ11" s="131" t="n">
        <f aca="false">IF(OR($C11="",$B$2="",$D$2=0),0,IF(AQ$3&lt;0,0,N(INDEX('CURVA PREVISION'!$A$1:$KZ$3000,$C11,10+3*MIN(AQ$3,$D$2-1)))))</f>
        <v>0</v>
      </c>
      <c r="AR11" s="131" t="n">
        <f aca="false">IF(OR($C11="",$B$2="",$D$2=0),0,IF(AR$3&lt;0,0,N(INDEX('CURVA PREVISION'!$A$1:$KZ$3000,$C11,10+3*MIN(AR$3,$D$2-1)))))</f>
        <v>0</v>
      </c>
      <c r="AS11" s="131" t="n">
        <f aca="false">IF(OR($C11="",$B$2="",$D$2=0),0,IF(AS$3&lt;0,0,N(INDEX('CURVA PREVISION'!$A$1:$KZ$3000,$C11,10+3*MIN(AS$3,$D$2-1)))))</f>
        <v>0</v>
      </c>
      <c r="AT11" s="131" t="n">
        <f aca="false">IF(OR($C11="",$B$2="",$D$2=0),0,IF(AT$3&lt;0,0,N(INDEX('CURVA PREVISION'!$A$1:$KZ$3000,$C11,10+3*MIN(AT$3,$D$2-1)))))</f>
        <v>0</v>
      </c>
      <c r="AU11" s="131" t="n">
        <f aca="false">IF(OR($C11="",$B$2="",$D$2=0),0,IF(AU$3&lt;0,0,N(INDEX('CURVA PREVISION'!$A$1:$KZ$3000,$C11,10+3*MIN(AU$3,$D$2-1)))))</f>
        <v>0</v>
      </c>
      <c r="AV11" s="131" t="n">
        <f aca="false">IF(OR($C11="",$B$2="",$D$2=0),0,IF(AV$3&lt;0,0,N(INDEX('CURVA PREVISION'!$A$1:$KZ$3000,$C11,10+3*MIN(AV$3,$D$2-1)))))</f>
        <v>0</v>
      </c>
      <c r="AW11" s="131" t="n">
        <f aca="false">IF(OR($C11="",$B$2="",$D$2=0),0,IF(AW$3&lt;0,0,N(INDEX('CURVA PREVISION'!$A$1:$KZ$3000,$C11,10+3*MIN(AW$3,$D$2-1)))))</f>
        <v>0</v>
      </c>
      <c r="AX11" s="131" t="n">
        <f aca="false">IF(OR($C11="",$B$2="",$D$2=0),0,IF(AX$3&lt;0,0,N(INDEX('CURVA PREVISION'!$A$1:$KZ$3000,$C11,10+3*MIN(AX$3,$D$2-1)))))</f>
        <v>0</v>
      </c>
      <c r="AY11" s="131" t="n">
        <f aca="false">IF(OR($C11="",$B$2="",$D$2=0),0,IF(AY$3&lt;0,0,N(INDEX('CURVA PREVISION'!$A$1:$KZ$3000,$C11,10+3*MIN(AY$3,$D$2-1)))))</f>
        <v>0</v>
      </c>
      <c r="AZ11" s="131" t="n">
        <f aca="false">IF(OR($C11="",$B$2="",$D$2=0),0,IF(AZ$3&lt;0,0,N(INDEX('CURVA PREVISION'!$A$1:$KZ$3000,$C11,10+3*MIN(AZ$3,$D$2-1)))))</f>
        <v>0</v>
      </c>
      <c r="BA11" s="131" t="n">
        <f aca="false">IF(OR($C11="",$B$2="",$D$2=0),0,IF(BA$3&lt;0,0,N(INDEX('CURVA PREVISION'!$A$1:$KZ$3000,$C11,10+3*MIN(BA$3,$D$2-1)))))</f>
        <v>0</v>
      </c>
      <c r="BB11" s="131" t="n">
        <f aca="false">IF(OR($C11="",$B$2="",$D$2=0),0,IF(BB$3&lt;0,0,N(INDEX('CURVA PREVISION'!$A$1:$KZ$3000,$C11,10+3*MIN(BB$3,$D$2-1)))))</f>
        <v>0</v>
      </c>
      <c r="BC11" s="131" t="n">
        <f aca="false">IF(OR($C11="",$B$2="",$D$2=0),0,IF(BC$3&lt;0,0,N(INDEX('CURVA PREVISION'!$A$1:$KZ$3000,$C11,10+3*MIN(BC$3,$D$2-1)))))</f>
        <v>0</v>
      </c>
      <c r="BD11" s="131" t="n">
        <f aca="false">IF(OR($C11="",$B$2="",$D$2=0),0,IF(BD$3&lt;0,0,N(INDEX('CURVA PREVISION'!$A$1:$KZ$3000,$C11,10+3*MIN(BD$3,$D$2-1)))))</f>
        <v>0</v>
      </c>
      <c r="BE11" s="131" t="n">
        <f aca="false">IF(OR($C11="",$B$2="",$D$2=0),0,IF(BE$3&lt;0,0,N(INDEX('CURVA PREVISION'!$A$1:$KZ$3000,$C11,10+3*MIN(BE$3,$D$2-1)))))</f>
        <v>0</v>
      </c>
      <c r="BF11" s="131" t="n">
        <f aca="false">IF(OR($C11="",$B$2="",$D$2=0),0,IF(BF$3&lt;0,0,N(INDEX('CURVA PREVISION'!$A$1:$KZ$3000,$C11,10+3*MIN(BF$3,$D$2-1)))))</f>
        <v>0</v>
      </c>
      <c r="BG11" s="131" t="n">
        <f aca="false">IF(OR($C11="",$B$2="",$D$2=0),0,IF(BG$3&lt;0,0,N(INDEX('CURVA PREVISION'!$A$1:$KZ$3000,$C11,10+3*MIN(BG$3,$D$2-1)))))</f>
        <v>0</v>
      </c>
      <c r="BH11" s="131" t="n">
        <f aca="false">IF(OR($C11="",$B$2="",$D$2=0),0,IF(BH$3&lt;0,0,N(INDEX('CURVA PREVISION'!$A$1:$KZ$3000,$C11,10+3*MIN(BH$3,$D$2-1)))))</f>
        <v>0</v>
      </c>
      <c r="BI11" s="131" t="n">
        <f aca="false">IF(OR($C11="",$B$2="",$D$2=0),0,IF(BI$3&lt;0,0,N(INDEX('CURVA PREVISION'!$A$1:$KZ$3000,$C11,10+3*MIN(BI$3,$D$2-1)))))</f>
        <v>0</v>
      </c>
      <c r="BJ11" s="131" t="n">
        <f aca="false">IF(OR($C11="",$B$2="",$D$2=0),0,IF(BJ$3&lt;0,0,N(INDEX('CURVA PREVISION'!$A$1:$KZ$3000,$C11,10+3*MIN(BJ$3,$D$2-1)))))</f>
        <v>0</v>
      </c>
      <c r="BK11" s="131" t="n">
        <f aca="false">IF(OR($C11="",$B$2="",$D$2=0),0,IF(BK$3&lt;0,0,N(INDEX('CURVA PREVISION'!$A$1:$KZ$3000,$C11,10+3*MIN(BK$3,$D$2-1)))))</f>
        <v>0</v>
      </c>
      <c r="BL11" s="131" t="n">
        <f aca="false">IF(OR($C11="",$B$2="",$D$2=0),0,IF(BL$3&lt;0,0,N(INDEX('CURVA PREVISION'!$A$1:$KZ$3000,$C11,10+3*MIN(BL$3,$D$2-1)))))</f>
        <v>0</v>
      </c>
      <c r="BM11" s="131" t="n">
        <f aca="false">IF(OR($C11="",$B$2="",$D$2=0),0,IF(BM$3&lt;0,0,N(INDEX('CURVA PREVISION'!$A$1:$KZ$3000,$C11,10+3*MIN(BM$3,$D$2-1)))))</f>
        <v>0</v>
      </c>
      <c r="BN11" s="131" t="n">
        <f aca="false">IF(OR($C11="",$B$2="",$D$2=0),0,IF(BN$3&lt;0,0,N(INDEX('CURVA PREVISION'!$A$1:$KZ$3000,$C11,10+3*MIN(BN$3,$D$2-1)))))</f>
        <v>0</v>
      </c>
      <c r="BO11" s="131" t="n">
        <f aca="false">IF(OR($C11="",$B$2="",$D$2=0),0,IF(BO$3&lt;0,0,N(INDEX('CURVA PREVISION'!$A$1:$KZ$3000,$C11,10+3*MIN(BO$3,$D$2-1)))))</f>
        <v>0</v>
      </c>
      <c r="BP11" s="131" t="n">
        <f aca="false">IF(OR($C11="",$B$2="",$D$2=0),0,IF(BP$3&lt;0,0,N(INDEX('CURVA PREVISION'!$A$1:$KZ$3000,$C11,10+3*MIN(BP$3,$D$2-1)))))</f>
        <v>0</v>
      </c>
      <c r="BQ11" s="131" t="n">
        <f aca="false">IF(OR($C11="",$B$2="",$D$2=0),0,IF(BQ$3&lt;0,0,N(INDEX('CURVA PREVISION'!$A$1:$KZ$3000,$C11,10+3*MIN(BQ$3,$D$2-1)))))</f>
        <v>0</v>
      </c>
      <c r="BR11" s="131" t="n">
        <f aca="false">IF(OR($C11="",$B$2="",$D$2=0),0,IF(BR$3&lt;0,0,N(INDEX('CURVA PREVISION'!$A$1:$KZ$3000,$C11,10+3*MIN(BR$3,$D$2-1)))))</f>
        <v>0</v>
      </c>
      <c r="BS11" s="131" t="n">
        <f aca="false">IF(OR($C11="",$B$2="",$D$2=0),0,IF(BS$3&lt;0,0,N(INDEX('CURVA PREVISION'!$A$1:$KZ$3000,$C11,10+3*MIN(BS$3,$D$2-1)))))</f>
        <v>0</v>
      </c>
      <c r="BT11" s="131" t="n">
        <f aca="false">IF(OR($C11="",$B$2="",$D$2=0),0,IF(BT$3&lt;0,0,N(INDEX('CURVA PREVISION'!$A$1:$KZ$3000,$C11,10+3*MIN(BT$3,$D$2-1)))))</f>
        <v>0</v>
      </c>
      <c r="BU11" s="131" t="n">
        <f aca="false">IF(OR($C11="",$B$2="",$D$2=0),0,IF(BU$3&lt;0,0,N(INDEX('CURVA PREVISION'!$A$1:$KZ$3000,$C11,10+3*MIN(BU$3,$D$2-1)))))</f>
        <v>0</v>
      </c>
      <c r="BV11" s="131" t="n">
        <f aca="false">IF(OR($C11="",$B$2="",$D$2=0),0,IF(BV$3&lt;0,0,N(INDEX('CURVA PREVISION'!$A$1:$KZ$3000,$C11,10+3*MIN(BV$3,$D$2-1)))))</f>
        <v>0</v>
      </c>
      <c r="BW11" s="131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93</v>
      </c>
      <c r="D12" s="131" t="n">
        <f aca="false">IF(OR($C12="",$B$2="",$D$2=0),0,IF(D$3&lt;0,0,N(INDEX('CURVA PREVISION'!$A$1:$KZ$3000,$C12,10+3*MIN(D$3,$D$2-1)))))</f>
        <v>0</v>
      </c>
      <c r="E12" s="131" t="n">
        <f aca="false">IF(OR($C12="",$B$2="",$D$2=0),0,IF(E$3&lt;0,0,N(INDEX('CURVA PREVISION'!$A$1:$KZ$3000,$C12,10+3*MIN(E$3,$D$2-1)))))</f>
        <v>0</v>
      </c>
      <c r="F12" s="131" t="n">
        <f aca="false">IF(OR($C12="",$B$2="",$D$2=0),0,IF(F$3&lt;0,0,N(INDEX('CURVA PREVISION'!$A$1:$KZ$3000,$C12,10+3*MIN(F$3,$D$2-1)))))</f>
        <v>0</v>
      </c>
      <c r="G12" s="131" t="n">
        <f aca="false">IF(OR($C12="",$B$2="",$D$2=0),0,IF(G$3&lt;0,0,N(INDEX('CURVA PREVISION'!$A$1:$KZ$3000,$C12,10+3*MIN(G$3,$D$2-1)))))</f>
        <v>0</v>
      </c>
      <c r="H12" s="131" t="n">
        <f aca="false">IF(OR($C12="",$B$2="",$D$2=0),0,IF(H$3&lt;0,0,N(INDEX('CURVA PREVISION'!$A$1:$KZ$3000,$C12,10+3*MIN(H$3,$D$2-1)))))</f>
        <v>0</v>
      </c>
      <c r="I12" s="131" t="n">
        <f aca="false">IF(OR($C12="",$B$2="",$D$2=0),0,IF(I$3&lt;0,0,N(INDEX('CURVA PREVISION'!$A$1:$KZ$3000,$C12,10+3*MIN(I$3,$D$2-1)))))</f>
        <v>0</v>
      </c>
      <c r="J12" s="131" t="n">
        <f aca="false">IF(OR($C12="",$B$2="",$D$2=0),0,IF(J$3&lt;0,0,N(INDEX('CURVA PREVISION'!$A$1:$KZ$3000,$C12,10+3*MIN(J$3,$D$2-1)))))</f>
        <v>0</v>
      </c>
      <c r="K12" s="131" t="n">
        <f aca="false">IF(OR($C12="",$B$2="",$D$2=0),0,IF(K$3&lt;0,0,N(INDEX('CURVA PREVISION'!$A$1:$KZ$3000,$C12,10+3*MIN(K$3,$D$2-1)))))</f>
        <v>0</v>
      </c>
      <c r="L12" s="131" t="n">
        <f aca="false">IF(OR($C12="",$B$2="",$D$2=0),0,IF(L$3&lt;0,0,N(INDEX('CURVA PREVISION'!$A$1:$KZ$3000,$C12,10+3*MIN(L$3,$D$2-1)))))</f>
        <v>0</v>
      </c>
      <c r="M12" s="131" t="n">
        <f aca="false">IF(OR($C12="",$B$2="",$D$2=0),0,IF(M$3&lt;0,0,N(INDEX('CURVA PREVISION'!$A$1:$KZ$3000,$C12,10+3*MIN(M$3,$D$2-1)))))</f>
        <v>0</v>
      </c>
      <c r="N12" s="131" t="n">
        <f aca="false">IF(OR($C12="",$B$2="",$D$2=0),0,IF(N$3&lt;0,0,N(INDEX('CURVA PREVISION'!$A$1:$KZ$3000,$C12,10+3*MIN(N$3,$D$2-1)))))</f>
        <v>0</v>
      </c>
      <c r="O12" s="131" t="n">
        <f aca="false">IF(OR($C12="",$B$2="",$D$2=0),0,IF(O$3&lt;0,0,N(INDEX('CURVA PREVISION'!$A$1:$KZ$3000,$C12,10+3*MIN(O$3,$D$2-1)))))</f>
        <v>0</v>
      </c>
      <c r="P12" s="131" t="n">
        <f aca="false">IF(OR($C12="",$B$2="",$D$2=0),0,IF(P$3&lt;0,0,N(INDEX('CURVA PREVISION'!$A$1:$KZ$3000,$C12,10+3*MIN(P$3,$D$2-1)))))</f>
        <v>0</v>
      </c>
      <c r="Q12" s="131" t="n">
        <f aca="false">IF(OR($C12="",$B$2="",$D$2=0),0,IF(Q$3&lt;0,0,N(INDEX('CURVA PREVISION'!$A$1:$KZ$3000,$C12,10+3*MIN(Q$3,$D$2-1)))))</f>
        <v>0</v>
      </c>
      <c r="R12" s="131" t="n">
        <f aca="false">IF(OR($C12="",$B$2="",$D$2=0),0,IF(R$3&lt;0,0,N(INDEX('CURVA PREVISION'!$A$1:$KZ$3000,$C12,10+3*MIN(R$3,$D$2-1)))))</f>
        <v>0</v>
      </c>
      <c r="S12" s="131" t="n">
        <f aca="false">IF(OR($C12="",$B$2="",$D$2=0),0,IF(S$3&lt;0,0,N(INDEX('CURVA PREVISION'!$A$1:$KZ$3000,$C12,10+3*MIN(S$3,$D$2-1)))))</f>
        <v>0</v>
      </c>
      <c r="T12" s="131" t="n">
        <f aca="false">IF(OR($C12="",$B$2="",$D$2=0),0,IF(T$3&lt;0,0,N(INDEX('CURVA PREVISION'!$A$1:$KZ$3000,$C12,10+3*MIN(T$3,$D$2-1)))))</f>
        <v>0</v>
      </c>
      <c r="U12" s="131" t="n">
        <f aca="false">IF(OR($C12="",$B$2="",$D$2=0),0,IF(U$3&lt;0,0,N(INDEX('CURVA PREVISION'!$A$1:$KZ$3000,$C12,10+3*MIN(U$3,$D$2-1)))))</f>
        <v>0</v>
      </c>
      <c r="V12" s="131" t="n">
        <f aca="false">IF(OR($C12="",$B$2="",$D$2=0),0,IF(V$3&lt;0,0,N(INDEX('CURVA PREVISION'!$A$1:$KZ$3000,$C12,10+3*MIN(V$3,$D$2-1)))))</f>
        <v>0</v>
      </c>
      <c r="W12" s="131" t="n">
        <f aca="false">IF(OR($C12="",$B$2="",$D$2=0),0,IF(W$3&lt;0,0,N(INDEX('CURVA PREVISION'!$A$1:$KZ$3000,$C12,10+3*MIN(W$3,$D$2-1)))))</f>
        <v>0</v>
      </c>
      <c r="X12" s="131" t="n">
        <f aca="false">IF(OR($C12="",$B$2="",$D$2=0),0,IF(X$3&lt;0,0,N(INDEX('CURVA PREVISION'!$A$1:$KZ$3000,$C12,10+3*MIN(X$3,$D$2-1)))))</f>
        <v>0</v>
      </c>
      <c r="Y12" s="131" t="n">
        <f aca="false">IF(OR($C12="",$B$2="",$D$2=0),0,IF(Y$3&lt;0,0,N(INDEX('CURVA PREVISION'!$A$1:$KZ$3000,$C12,10+3*MIN(Y$3,$D$2-1)))))</f>
        <v>0</v>
      </c>
      <c r="Z12" s="131" t="n">
        <f aca="false">IF(OR($C12="",$B$2="",$D$2=0),0,IF(Z$3&lt;0,0,N(INDEX('CURVA PREVISION'!$A$1:$KZ$3000,$C12,10+3*MIN(Z$3,$D$2-1)))))</f>
        <v>0</v>
      </c>
      <c r="AA12" s="131" t="n">
        <f aca="false">IF(OR($C12="",$B$2="",$D$2=0),0,IF(AA$3&lt;0,0,N(INDEX('CURVA PREVISION'!$A$1:$KZ$3000,$C12,10+3*MIN(AA$3,$D$2-1)))))</f>
        <v>0</v>
      </c>
      <c r="AB12" s="131" t="n">
        <f aca="false">IF(OR($C12="",$B$2="",$D$2=0),0,IF(AB$3&lt;0,0,N(INDEX('CURVA PREVISION'!$A$1:$KZ$3000,$C12,10+3*MIN(AB$3,$D$2-1)))))</f>
        <v>0</v>
      </c>
      <c r="AC12" s="131" t="n">
        <f aca="false">IF(OR($C12="",$B$2="",$D$2=0),0,IF(AC$3&lt;0,0,N(INDEX('CURVA PREVISION'!$A$1:$KZ$3000,$C12,10+3*MIN(AC$3,$D$2-1)))))</f>
        <v>0</v>
      </c>
      <c r="AD12" s="131" t="n">
        <f aca="false">IF(OR($C12="",$B$2="",$D$2=0),0,IF(AD$3&lt;0,0,N(INDEX('CURVA PREVISION'!$A$1:$KZ$3000,$C12,10+3*MIN(AD$3,$D$2-1)))))</f>
        <v>0</v>
      </c>
      <c r="AE12" s="131" t="n">
        <f aca="false">IF(OR($C12="",$B$2="",$D$2=0),0,IF(AE$3&lt;0,0,N(INDEX('CURVA PREVISION'!$A$1:$KZ$3000,$C12,10+3*MIN(AE$3,$D$2-1)))))</f>
        <v>0</v>
      </c>
      <c r="AF12" s="131" t="n">
        <f aca="false">IF(OR($C12="",$B$2="",$D$2=0),0,IF(AF$3&lt;0,0,N(INDEX('CURVA PREVISION'!$A$1:$KZ$3000,$C12,10+3*MIN(AF$3,$D$2-1)))))</f>
        <v>0</v>
      </c>
      <c r="AG12" s="131" t="n">
        <f aca="false">IF(OR($C12="",$B$2="",$D$2=0),0,IF(AG$3&lt;0,0,N(INDEX('CURVA PREVISION'!$A$1:$KZ$3000,$C12,10+3*MIN(AG$3,$D$2-1)))))</f>
        <v>0</v>
      </c>
      <c r="AH12" s="131" t="n">
        <f aca="false">IF(OR($C12="",$B$2="",$D$2=0),0,IF(AH$3&lt;0,0,N(INDEX('CURVA PREVISION'!$A$1:$KZ$3000,$C12,10+3*MIN(AH$3,$D$2-1)))))</f>
        <v>0</v>
      </c>
      <c r="AI12" s="131" t="n">
        <f aca="false">IF(OR($C12="",$B$2="",$D$2=0),0,IF(AI$3&lt;0,0,N(INDEX('CURVA PREVISION'!$A$1:$KZ$3000,$C12,10+3*MIN(AI$3,$D$2-1)))))</f>
        <v>0</v>
      </c>
      <c r="AJ12" s="131" t="n">
        <f aca="false">IF(OR($C12="",$B$2="",$D$2=0),0,IF(AJ$3&lt;0,0,N(INDEX('CURVA PREVISION'!$A$1:$KZ$3000,$C12,10+3*MIN(AJ$3,$D$2-1)))))</f>
        <v>0</v>
      </c>
      <c r="AK12" s="131" t="n">
        <f aca="false">IF(OR($C12="",$B$2="",$D$2=0),0,IF(AK$3&lt;0,0,N(INDEX('CURVA PREVISION'!$A$1:$KZ$3000,$C12,10+3*MIN(AK$3,$D$2-1)))))</f>
        <v>0</v>
      </c>
      <c r="AL12" s="131" t="n">
        <f aca="false">IF(OR($C12="",$B$2="",$D$2=0),0,IF(AL$3&lt;0,0,N(INDEX('CURVA PREVISION'!$A$1:$KZ$3000,$C12,10+3*MIN(AL$3,$D$2-1)))))</f>
        <v>0</v>
      </c>
      <c r="AM12" s="131" t="n">
        <f aca="false">IF(OR($C12="",$B$2="",$D$2=0),0,IF(AM$3&lt;0,0,N(INDEX('CURVA PREVISION'!$A$1:$KZ$3000,$C12,10+3*MIN(AM$3,$D$2-1)))))</f>
        <v>0</v>
      </c>
      <c r="AN12" s="131" t="n">
        <f aca="false">IF(OR($C12="",$B$2="",$D$2=0),0,IF(AN$3&lt;0,0,N(INDEX('CURVA PREVISION'!$A$1:$KZ$3000,$C12,10+3*MIN(AN$3,$D$2-1)))))</f>
        <v>0</v>
      </c>
      <c r="AO12" s="131" t="n">
        <f aca="false">IF(OR($C12="",$B$2="",$D$2=0),0,IF(AO$3&lt;0,0,N(INDEX('CURVA PREVISION'!$A$1:$KZ$3000,$C12,10+3*MIN(AO$3,$D$2-1)))))</f>
        <v>0</v>
      </c>
      <c r="AP12" s="131" t="n">
        <f aca="false">IF(OR($C12="",$B$2="",$D$2=0),0,IF(AP$3&lt;0,0,N(INDEX('CURVA PREVISION'!$A$1:$KZ$3000,$C12,10+3*MIN(AP$3,$D$2-1)))))</f>
        <v>0</v>
      </c>
      <c r="AQ12" s="131" t="n">
        <f aca="false">IF(OR($C12="",$B$2="",$D$2=0),0,IF(AQ$3&lt;0,0,N(INDEX('CURVA PREVISION'!$A$1:$KZ$3000,$C12,10+3*MIN(AQ$3,$D$2-1)))))</f>
        <v>0</v>
      </c>
      <c r="AR12" s="131" t="n">
        <f aca="false">IF(OR($C12="",$B$2="",$D$2=0),0,IF(AR$3&lt;0,0,N(INDEX('CURVA PREVISION'!$A$1:$KZ$3000,$C12,10+3*MIN(AR$3,$D$2-1)))))</f>
        <v>0</v>
      </c>
      <c r="AS12" s="131" t="n">
        <f aca="false">IF(OR($C12="",$B$2="",$D$2=0),0,IF(AS$3&lt;0,0,N(INDEX('CURVA PREVISION'!$A$1:$KZ$3000,$C12,10+3*MIN(AS$3,$D$2-1)))))</f>
        <v>0</v>
      </c>
      <c r="AT12" s="131" t="n">
        <f aca="false">IF(OR($C12="",$B$2="",$D$2=0),0,IF(AT$3&lt;0,0,N(INDEX('CURVA PREVISION'!$A$1:$KZ$3000,$C12,10+3*MIN(AT$3,$D$2-1)))))</f>
        <v>0</v>
      </c>
      <c r="AU12" s="131" t="n">
        <f aca="false">IF(OR($C12="",$B$2="",$D$2=0),0,IF(AU$3&lt;0,0,N(INDEX('CURVA PREVISION'!$A$1:$KZ$3000,$C12,10+3*MIN(AU$3,$D$2-1)))))</f>
        <v>0</v>
      </c>
      <c r="AV12" s="131" t="n">
        <f aca="false">IF(OR($C12="",$B$2="",$D$2=0),0,IF(AV$3&lt;0,0,N(INDEX('CURVA PREVISION'!$A$1:$KZ$3000,$C12,10+3*MIN(AV$3,$D$2-1)))))</f>
        <v>0</v>
      </c>
      <c r="AW12" s="131" t="n">
        <f aca="false">IF(OR($C12="",$B$2="",$D$2=0),0,IF(AW$3&lt;0,0,N(INDEX('CURVA PREVISION'!$A$1:$KZ$3000,$C12,10+3*MIN(AW$3,$D$2-1)))))</f>
        <v>0</v>
      </c>
      <c r="AX12" s="131" t="n">
        <f aca="false">IF(OR($C12="",$B$2="",$D$2=0),0,IF(AX$3&lt;0,0,N(INDEX('CURVA PREVISION'!$A$1:$KZ$3000,$C12,10+3*MIN(AX$3,$D$2-1)))))</f>
        <v>0</v>
      </c>
      <c r="AY12" s="131" t="n">
        <f aca="false">IF(OR($C12="",$B$2="",$D$2=0),0,IF(AY$3&lt;0,0,N(INDEX('CURVA PREVISION'!$A$1:$KZ$3000,$C12,10+3*MIN(AY$3,$D$2-1)))))</f>
        <v>0</v>
      </c>
      <c r="AZ12" s="131" t="n">
        <f aca="false">IF(OR($C12="",$B$2="",$D$2=0),0,IF(AZ$3&lt;0,0,N(INDEX('CURVA PREVISION'!$A$1:$KZ$3000,$C12,10+3*MIN(AZ$3,$D$2-1)))))</f>
        <v>0</v>
      </c>
      <c r="BA12" s="131" t="n">
        <f aca="false">IF(OR($C12="",$B$2="",$D$2=0),0,IF(BA$3&lt;0,0,N(INDEX('CURVA PREVISION'!$A$1:$KZ$3000,$C12,10+3*MIN(BA$3,$D$2-1)))))</f>
        <v>0</v>
      </c>
      <c r="BB12" s="131" t="n">
        <f aca="false">IF(OR($C12="",$B$2="",$D$2=0),0,IF(BB$3&lt;0,0,N(INDEX('CURVA PREVISION'!$A$1:$KZ$3000,$C12,10+3*MIN(BB$3,$D$2-1)))))</f>
        <v>0</v>
      </c>
      <c r="BC12" s="131" t="n">
        <f aca="false">IF(OR($C12="",$B$2="",$D$2=0),0,IF(BC$3&lt;0,0,N(INDEX('CURVA PREVISION'!$A$1:$KZ$3000,$C12,10+3*MIN(BC$3,$D$2-1)))))</f>
        <v>0</v>
      </c>
      <c r="BD12" s="131" t="n">
        <f aca="false">IF(OR($C12="",$B$2="",$D$2=0),0,IF(BD$3&lt;0,0,N(INDEX('CURVA PREVISION'!$A$1:$KZ$3000,$C12,10+3*MIN(BD$3,$D$2-1)))))</f>
        <v>0</v>
      </c>
      <c r="BE12" s="131" t="n">
        <f aca="false">IF(OR($C12="",$B$2="",$D$2=0),0,IF(BE$3&lt;0,0,N(INDEX('CURVA PREVISION'!$A$1:$KZ$3000,$C12,10+3*MIN(BE$3,$D$2-1)))))</f>
        <v>0</v>
      </c>
      <c r="BF12" s="131" t="n">
        <f aca="false">IF(OR($C12="",$B$2="",$D$2=0),0,IF(BF$3&lt;0,0,N(INDEX('CURVA PREVISION'!$A$1:$KZ$3000,$C12,10+3*MIN(BF$3,$D$2-1)))))</f>
        <v>0</v>
      </c>
      <c r="BG12" s="131" t="n">
        <f aca="false">IF(OR($C12="",$B$2="",$D$2=0),0,IF(BG$3&lt;0,0,N(INDEX('CURVA PREVISION'!$A$1:$KZ$3000,$C12,10+3*MIN(BG$3,$D$2-1)))))</f>
        <v>0</v>
      </c>
      <c r="BH12" s="131" t="n">
        <f aca="false">IF(OR($C12="",$B$2="",$D$2=0),0,IF(BH$3&lt;0,0,N(INDEX('CURVA PREVISION'!$A$1:$KZ$3000,$C12,10+3*MIN(BH$3,$D$2-1)))))</f>
        <v>0</v>
      </c>
      <c r="BI12" s="131" t="n">
        <f aca="false">IF(OR($C12="",$B$2="",$D$2=0),0,IF(BI$3&lt;0,0,N(INDEX('CURVA PREVISION'!$A$1:$KZ$3000,$C12,10+3*MIN(BI$3,$D$2-1)))))</f>
        <v>0</v>
      </c>
      <c r="BJ12" s="131" t="n">
        <f aca="false">IF(OR($C12="",$B$2="",$D$2=0),0,IF(BJ$3&lt;0,0,N(INDEX('CURVA PREVISION'!$A$1:$KZ$3000,$C12,10+3*MIN(BJ$3,$D$2-1)))))</f>
        <v>0</v>
      </c>
      <c r="BK12" s="131" t="n">
        <f aca="false">IF(OR($C12="",$B$2="",$D$2=0),0,IF(BK$3&lt;0,0,N(INDEX('CURVA PREVISION'!$A$1:$KZ$3000,$C12,10+3*MIN(BK$3,$D$2-1)))))</f>
        <v>0</v>
      </c>
      <c r="BL12" s="131" t="n">
        <f aca="false">IF(OR($C12="",$B$2="",$D$2=0),0,IF(BL$3&lt;0,0,N(INDEX('CURVA PREVISION'!$A$1:$KZ$3000,$C12,10+3*MIN(BL$3,$D$2-1)))))</f>
        <v>0</v>
      </c>
      <c r="BM12" s="131" t="n">
        <f aca="false">IF(OR($C12="",$B$2="",$D$2=0),0,IF(BM$3&lt;0,0,N(INDEX('CURVA PREVISION'!$A$1:$KZ$3000,$C12,10+3*MIN(BM$3,$D$2-1)))))</f>
        <v>0</v>
      </c>
      <c r="BN12" s="131" t="n">
        <f aca="false">IF(OR($C12="",$B$2="",$D$2=0),0,IF(BN$3&lt;0,0,N(INDEX('CURVA PREVISION'!$A$1:$KZ$3000,$C12,10+3*MIN(BN$3,$D$2-1)))))</f>
        <v>0</v>
      </c>
      <c r="BO12" s="131" t="n">
        <f aca="false">IF(OR($C12="",$B$2="",$D$2=0),0,IF(BO$3&lt;0,0,N(INDEX('CURVA PREVISION'!$A$1:$KZ$3000,$C12,10+3*MIN(BO$3,$D$2-1)))))</f>
        <v>0</v>
      </c>
      <c r="BP12" s="131" t="n">
        <f aca="false">IF(OR($C12="",$B$2="",$D$2=0),0,IF(BP$3&lt;0,0,N(INDEX('CURVA PREVISION'!$A$1:$KZ$3000,$C12,10+3*MIN(BP$3,$D$2-1)))))</f>
        <v>0</v>
      </c>
      <c r="BQ12" s="131" t="n">
        <f aca="false">IF(OR($C12="",$B$2="",$D$2=0),0,IF(BQ$3&lt;0,0,N(INDEX('CURVA PREVISION'!$A$1:$KZ$3000,$C12,10+3*MIN(BQ$3,$D$2-1)))))</f>
        <v>0</v>
      </c>
      <c r="BR12" s="131" t="n">
        <f aca="false">IF(OR($C12="",$B$2="",$D$2=0),0,IF(BR$3&lt;0,0,N(INDEX('CURVA PREVISION'!$A$1:$KZ$3000,$C12,10+3*MIN(BR$3,$D$2-1)))))</f>
        <v>0</v>
      </c>
      <c r="BS12" s="131" t="n">
        <f aca="false">IF(OR($C12="",$B$2="",$D$2=0),0,IF(BS$3&lt;0,0,N(INDEX('CURVA PREVISION'!$A$1:$KZ$3000,$C12,10+3*MIN(BS$3,$D$2-1)))))</f>
        <v>0</v>
      </c>
      <c r="BT12" s="131" t="n">
        <f aca="false">IF(OR($C12="",$B$2="",$D$2=0),0,IF(BT$3&lt;0,0,N(INDEX('CURVA PREVISION'!$A$1:$KZ$3000,$C12,10+3*MIN(BT$3,$D$2-1)))))</f>
        <v>0</v>
      </c>
      <c r="BU12" s="131" t="n">
        <f aca="false">IF(OR($C12="",$B$2="",$D$2=0),0,IF(BU$3&lt;0,0,N(INDEX('CURVA PREVISION'!$A$1:$KZ$3000,$C12,10+3*MIN(BU$3,$D$2-1)))))</f>
        <v>0</v>
      </c>
      <c r="BV12" s="131" t="n">
        <f aca="false">IF(OR($C12="",$B$2="",$D$2=0),0,IF(BV$3&lt;0,0,N(INDEX('CURVA PREVISION'!$A$1:$KZ$3000,$C12,10+3*MIN(BV$3,$D$2-1)))))</f>
        <v>0</v>
      </c>
      <c r="BW12" s="131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98</v>
      </c>
      <c r="D13" s="131" t="n">
        <f aca="false">IF(OR($C13="",$B$2="",$D$2=0),0,IF(D$3&lt;0,0,N(INDEX('CURVA PREVISION'!$A$1:$KZ$3000,$C13,10+3*MIN(D$3,$D$2-1)))))</f>
        <v>0</v>
      </c>
      <c r="E13" s="131" t="n">
        <f aca="false">IF(OR($C13="",$B$2="",$D$2=0),0,IF(E$3&lt;0,0,N(INDEX('CURVA PREVISION'!$A$1:$KZ$3000,$C13,10+3*MIN(E$3,$D$2-1)))))</f>
        <v>0</v>
      </c>
      <c r="F13" s="131" t="n">
        <f aca="false">IF(OR($C13="",$B$2="",$D$2=0),0,IF(F$3&lt;0,0,N(INDEX('CURVA PREVISION'!$A$1:$KZ$3000,$C13,10+3*MIN(F$3,$D$2-1)))))</f>
        <v>0</v>
      </c>
      <c r="G13" s="131" t="n">
        <f aca="false">IF(OR($C13="",$B$2="",$D$2=0),0,IF(G$3&lt;0,0,N(INDEX('CURVA PREVISION'!$A$1:$KZ$3000,$C13,10+3*MIN(G$3,$D$2-1)))))</f>
        <v>0</v>
      </c>
      <c r="H13" s="131" t="n">
        <f aca="false">IF(OR($C13="",$B$2="",$D$2=0),0,IF(H$3&lt;0,0,N(INDEX('CURVA PREVISION'!$A$1:$KZ$3000,$C13,10+3*MIN(H$3,$D$2-1)))))</f>
        <v>0</v>
      </c>
      <c r="I13" s="131" t="n">
        <f aca="false">IF(OR($C13="",$B$2="",$D$2=0),0,IF(I$3&lt;0,0,N(INDEX('CURVA PREVISION'!$A$1:$KZ$3000,$C13,10+3*MIN(I$3,$D$2-1)))))</f>
        <v>0</v>
      </c>
      <c r="J13" s="131" t="n">
        <f aca="false">IF(OR($C13="",$B$2="",$D$2=0),0,IF(J$3&lt;0,0,N(INDEX('CURVA PREVISION'!$A$1:$KZ$3000,$C13,10+3*MIN(J$3,$D$2-1)))))</f>
        <v>0</v>
      </c>
      <c r="K13" s="131" t="n">
        <f aca="false">IF(OR($C13="",$B$2="",$D$2=0),0,IF(K$3&lt;0,0,N(INDEX('CURVA PREVISION'!$A$1:$KZ$3000,$C13,10+3*MIN(K$3,$D$2-1)))))</f>
        <v>0</v>
      </c>
      <c r="L13" s="131" t="n">
        <f aca="false">IF(OR($C13="",$B$2="",$D$2=0),0,IF(L$3&lt;0,0,N(INDEX('CURVA PREVISION'!$A$1:$KZ$3000,$C13,10+3*MIN(L$3,$D$2-1)))))</f>
        <v>0</v>
      </c>
      <c r="M13" s="131" t="n">
        <f aca="false">IF(OR($C13="",$B$2="",$D$2=0),0,IF(M$3&lt;0,0,N(INDEX('CURVA PREVISION'!$A$1:$KZ$3000,$C13,10+3*MIN(M$3,$D$2-1)))))</f>
        <v>0</v>
      </c>
      <c r="N13" s="131" t="n">
        <f aca="false">IF(OR($C13="",$B$2="",$D$2=0),0,IF(N$3&lt;0,0,N(INDEX('CURVA PREVISION'!$A$1:$KZ$3000,$C13,10+3*MIN(N$3,$D$2-1)))))</f>
        <v>0</v>
      </c>
      <c r="O13" s="131" t="n">
        <f aca="false">IF(OR($C13="",$B$2="",$D$2=0),0,IF(O$3&lt;0,0,N(INDEX('CURVA PREVISION'!$A$1:$KZ$3000,$C13,10+3*MIN(O$3,$D$2-1)))))</f>
        <v>0</v>
      </c>
      <c r="P13" s="131" t="n">
        <f aca="false">IF(OR($C13="",$B$2="",$D$2=0),0,IF(P$3&lt;0,0,N(INDEX('CURVA PREVISION'!$A$1:$KZ$3000,$C13,10+3*MIN(P$3,$D$2-1)))))</f>
        <v>0</v>
      </c>
      <c r="Q13" s="131" t="n">
        <f aca="false">IF(OR($C13="",$B$2="",$D$2=0),0,IF(Q$3&lt;0,0,N(INDEX('CURVA PREVISION'!$A$1:$KZ$3000,$C13,10+3*MIN(Q$3,$D$2-1)))))</f>
        <v>0</v>
      </c>
      <c r="R13" s="131" t="n">
        <f aca="false">IF(OR($C13="",$B$2="",$D$2=0),0,IF(R$3&lt;0,0,N(INDEX('CURVA PREVISION'!$A$1:$KZ$3000,$C13,10+3*MIN(R$3,$D$2-1)))))</f>
        <v>0</v>
      </c>
      <c r="S13" s="131" t="n">
        <f aca="false">IF(OR($C13="",$B$2="",$D$2=0),0,IF(S$3&lt;0,0,N(INDEX('CURVA PREVISION'!$A$1:$KZ$3000,$C13,10+3*MIN(S$3,$D$2-1)))))</f>
        <v>0</v>
      </c>
      <c r="T13" s="131" t="n">
        <f aca="false">IF(OR($C13="",$B$2="",$D$2=0),0,IF(T$3&lt;0,0,N(INDEX('CURVA PREVISION'!$A$1:$KZ$3000,$C13,10+3*MIN(T$3,$D$2-1)))))</f>
        <v>0</v>
      </c>
      <c r="U13" s="131" t="n">
        <f aca="false">IF(OR($C13="",$B$2="",$D$2=0),0,IF(U$3&lt;0,0,N(INDEX('CURVA PREVISION'!$A$1:$KZ$3000,$C13,10+3*MIN(U$3,$D$2-1)))))</f>
        <v>0</v>
      </c>
      <c r="V13" s="131" t="n">
        <f aca="false">IF(OR($C13="",$B$2="",$D$2=0),0,IF(V$3&lt;0,0,N(INDEX('CURVA PREVISION'!$A$1:$KZ$3000,$C13,10+3*MIN(V$3,$D$2-1)))))</f>
        <v>0</v>
      </c>
      <c r="W13" s="131" t="n">
        <f aca="false">IF(OR($C13="",$B$2="",$D$2=0),0,IF(W$3&lt;0,0,N(INDEX('CURVA PREVISION'!$A$1:$KZ$3000,$C13,10+3*MIN(W$3,$D$2-1)))))</f>
        <v>0</v>
      </c>
      <c r="X13" s="131" t="n">
        <f aca="false">IF(OR($C13="",$B$2="",$D$2=0),0,IF(X$3&lt;0,0,N(INDEX('CURVA PREVISION'!$A$1:$KZ$3000,$C13,10+3*MIN(X$3,$D$2-1)))))</f>
        <v>0</v>
      </c>
      <c r="Y13" s="131" t="n">
        <f aca="false">IF(OR($C13="",$B$2="",$D$2=0),0,IF(Y$3&lt;0,0,N(INDEX('CURVA PREVISION'!$A$1:$KZ$3000,$C13,10+3*MIN(Y$3,$D$2-1)))))</f>
        <v>0</v>
      </c>
      <c r="Z13" s="131" t="n">
        <f aca="false">IF(OR($C13="",$B$2="",$D$2=0),0,IF(Z$3&lt;0,0,N(INDEX('CURVA PREVISION'!$A$1:$KZ$3000,$C13,10+3*MIN(Z$3,$D$2-1)))))</f>
        <v>0</v>
      </c>
      <c r="AA13" s="131" t="n">
        <f aca="false">IF(OR($C13="",$B$2="",$D$2=0),0,IF(AA$3&lt;0,0,N(INDEX('CURVA PREVISION'!$A$1:$KZ$3000,$C13,10+3*MIN(AA$3,$D$2-1)))))</f>
        <v>0</v>
      </c>
      <c r="AB13" s="131" t="n">
        <f aca="false">IF(OR($C13="",$B$2="",$D$2=0),0,IF(AB$3&lt;0,0,N(INDEX('CURVA PREVISION'!$A$1:$KZ$3000,$C13,10+3*MIN(AB$3,$D$2-1)))))</f>
        <v>0</v>
      </c>
      <c r="AC13" s="131" t="n">
        <f aca="false">IF(OR($C13="",$B$2="",$D$2=0),0,IF(AC$3&lt;0,0,N(INDEX('CURVA PREVISION'!$A$1:$KZ$3000,$C13,10+3*MIN(AC$3,$D$2-1)))))</f>
        <v>0</v>
      </c>
      <c r="AD13" s="131" t="n">
        <f aca="false">IF(OR($C13="",$B$2="",$D$2=0),0,IF(AD$3&lt;0,0,N(INDEX('CURVA PREVISION'!$A$1:$KZ$3000,$C13,10+3*MIN(AD$3,$D$2-1)))))</f>
        <v>0</v>
      </c>
      <c r="AE13" s="131" t="n">
        <f aca="false">IF(OR($C13="",$B$2="",$D$2=0),0,IF(AE$3&lt;0,0,N(INDEX('CURVA PREVISION'!$A$1:$KZ$3000,$C13,10+3*MIN(AE$3,$D$2-1)))))</f>
        <v>0</v>
      </c>
      <c r="AF13" s="131" t="n">
        <f aca="false">IF(OR($C13="",$B$2="",$D$2=0),0,IF(AF$3&lt;0,0,N(INDEX('CURVA PREVISION'!$A$1:$KZ$3000,$C13,10+3*MIN(AF$3,$D$2-1)))))</f>
        <v>0</v>
      </c>
      <c r="AG13" s="131" t="n">
        <f aca="false">IF(OR($C13="",$B$2="",$D$2=0),0,IF(AG$3&lt;0,0,N(INDEX('CURVA PREVISION'!$A$1:$KZ$3000,$C13,10+3*MIN(AG$3,$D$2-1)))))</f>
        <v>0</v>
      </c>
      <c r="AH13" s="131" t="n">
        <f aca="false">IF(OR($C13="",$B$2="",$D$2=0),0,IF(AH$3&lt;0,0,N(INDEX('CURVA PREVISION'!$A$1:$KZ$3000,$C13,10+3*MIN(AH$3,$D$2-1)))))</f>
        <v>0</v>
      </c>
      <c r="AI13" s="131" t="n">
        <f aca="false">IF(OR($C13="",$B$2="",$D$2=0),0,IF(AI$3&lt;0,0,N(INDEX('CURVA PREVISION'!$A$1:$KZ$3000,$C13,10+3*MIN(AI$3,$D$2-1)))))</f>
        <v>0</v>
      </c>
      <c r="AJ13" s="131" t="n">
        <f aca="false">IF(OR($C13="",$B$2="",$D$2=0),0,IF(AJ$3&lt;0,0,N(INDEX('CURVA PREVISION'!$A$1:$KZ$3000,$C13,10+3*MIN(AJ$3,$D$2-1)))))</f>
        <v>0</v>
      </c>
      <c r="AK13" s="131" t="n">
        <f aca="false">IF(OR($C13="",$B$2="",$D$2=0),0,IF(AK$3&lt;0,0,N(INDEX('CURVA PREVISION'!$A$1:$KZ$3000,$C13,10+3*MIN(AK$3,$D$2-1)))))</f>
        <v>0</v>
      </c>
      <c r="AL13" s="131" t="n">
        <f aca="false">IF(OR($C13="",$B$2="",$D$2=0),0,IF(AL$3&lt;0,0,N(INDEX('CURVA PREVISION'!$A$1:$KZ$3000,$C13,10+3*MIN(AL$3,$D$2-1)))))</f>
        <v>0</v>
      </c>
      <c r="AM13" s="131" t="n">
        <f aca="false">IF(OR($C13="",$B$2="",$D$2=0),0,IF(AM$3&lt;0,0,N(INDEX('CURVA PREVISION'!$A$1:$KZ$3000,$C13,10+3*MIN(AM$3,$D$2-1)))))</f>
        <v>0</v>
      </c>
      <c r="AN13" s="131" t="n">
        <f aca="false">IF(OR($C13="",$B$2="",$D$2=0),0,IF(AN$3&lt;0,0,N(INDEX('CURVA PREVISION'!$A$1:$KZ$3000,$C13,10+3*MIN(AN$3,$D$2-1)))))</f>
        <v>0</v>
      </c>
      <c r="AO13" s="131" t="n">
        <f aca="false">IF(OR($C13="",$B$2="",$D$2=0),0,IF(AO$3&lt;0,0,N(INDEX('CURVA PREVISION'!$A$1:$KZ$3000,$C13,10+3*MIN(AO$3,$D$2-1)))))</f>
        <v>0</v>
      </c>
      <c r="AP13" s="131" t="n">
        <f aca="false">IF(OR($C13="",$B$2="",$D$2=0),0,IF(AP$3&lt;0,0,N(INDEX('CURVA PREVISION'!$A$1:$KZ$3000,$C13,10+3*MIN(AP$3,$D$2-1)))))</f>
        <v>0</v>
      </c>
      <c r="AQ13" s="131" t="n">
        <f aca="false">IF(OR($C13="",$B$2="",$D$2=0),0,IF(AQ$3&lt;0,0,N(INDEX('CURVA PREVISION'!$A$1:$KZ$3000,$C13,10+3*MIN(AQ$3,$D$2-1)))))</f>
        <v>0</v>
      </c>
      <c r="AR13" s="131" t="n">
        <f aca="false">IF(OR($C13="",$B$2="",$D$2=0),0,IF(AR$3&lt;0,0,N(INDEX('CURVA PREVISION'!$A$1:$KZ$3000,$C13,10+3*MIN(AR$3,$D$2-1)))))</f>
        <v>0</v>
      </c>
      <c r="AS13" s="131" t="n">
        <f aca="false">IF(OR($C13="",$B$2="",$D$2=0),0,IF(AS$3&lt;0,0,N(INDEX('CURVA PREVISION'!$A$1:$KZ$3000,$C13,10+3*MIN(AS$3,$D$2-1)))))</f>
        <v>0</v>
      </c>
      <c r="AT13" s="131" t="n">
        <f aca="false">IF(OR($C13="",$B$2="",$D$2=0),0,IF(AT$3&lt;0,0,N(INDEX('CURVA PREVISION'!$A$1:$KZ$3000,$C13,10+3*MIN(AT$3,$D$2-1)))))</f>
        <v>0</v>
      </c>
      <c r="AU13" s="131" t="n">
        <f aca="false">IF(OR($C13="",$B$2="",$D$2=0),0,IF(AU$3&lt;0,0,N(INDEX('CURVA PREVISION'!$A$1:$KZ$3000,$C13,10+3*MIN(AU$3,$D$2-1)))))</f>
        <v>0</v>
      </c>
      <c r="AV13" s="131" t="n">
        <f aca="false">IF(OR($C13="",$B$2="",$D$2=0),0,IF(AV$3&lt;0,0,N(INDEX('CURVA PREVISION'!$A$1:$KZ$3000,$C13,10+3*MIN(AV$3,$D$2-1)))))</f>
        <v>0</v>
      </c>
      <c r="AW13" s="131" t="n">
        <f aca="false">IF(OR($C13="",$B$2="",$D$2=0),0,IF(AW$3&lt;0,0,N(INDEX('CURVA PREVISION'!$A$1:$KZ$3000,$C13,10+3*MIN(AW$3,$D$2-1)))))</f>
        <v>0</v>
      </c>
      <c r="AX13" s="131" t="n">
        <f aca="false">IF(OR($C13="",$B$2="",$D$2=0),0,IF(AX$3&lt;0,0,N(INDEX('CURVA PREVISION'!$A$1:$KZ$3000,$C13,10+3*MIN(AX$3,$D$2-1)))))</f>
        <v>0</v>
      </c>
      <c r="AY13" s="131" t="n">
        <f aca="false">IF(OR($C13="",$B$2="",$D$2=0),0,IF(AY$3&lt;0,0,N(INDEX('CURVA PREVISION'!$A$1:$KZ$3000,$C13,10+3*MIN(AY$3,$D$2-1)))))</f>
        <v>0</v>
      </c>
      <c r="AZ13" s="131" t="n">
        <f aca="false">IF(OR($C13="",$B$2="",$D$2=0),0,IF(AZ$3&lt;0,0,N(INDEX('CURVA PREVISION'!$A$1:$KZ$3000,$C13,10+3*MIN(AZ$3,$D$2-1)))))</f>
        <v>0</v>
      </c>
      <c r="BA13" s="131" t="n">
        <f aca="false">IF(OR($C13="",$B$2="",$D$2=0),0,IF(BA$3&lt;0,0,N(INDEX('CURVA PREVISION'!$A$1:$KZ$3000,$C13,10+3*MIN(BA$3,$D$2-1)))))</f>
        <v>0</v>
      </c>
      <c r="BB13" s="131" t="n">
        <f aca="false">IF(OR($C13="",$B$2="",$D$2=0),0,IF(BB$3&lt;0,0,N(INDEX('CURVA PREVISION'!$A$1:$KZ$3000,$C13,10+3*MIN(BB$3,$D$2-1)))))</f>
        <v>0</v>
      </c>
      <c r="BC13" s="131" t="n">
        <f aca="false">IF(OR($C13="",$B$2="",$D$2=0),0,IF(BC$3&lt;0,0,N(INDEX('CURVA PREVISION'!$A$1:$KZ$3000,$C13,10+3*MIN(BC$3,$D$2-1)))))</f>
        <v>0</v>
      </c>
      <c r="BD13" s="131" t="n">
        <f aca="false">IF(OR($C13="",$B$2="",$D$2=0),0,IF(BD$3&lt;0,0,N(INDEX('CURVA PREVISION'!$A$1:$KZ$3000,$C13,10+3*MIN(BD$3,$D$2-1)))))</f>
        <v>0</v>
      </c>
      <c r="BE13" s="131" t="n">
        <f aca="false">IF(OR($C13="",$B$2="",$D$2=0),0,IF(BE$3&lt;0,0,N(INDEX('CURVA PREVISION'!$A$1:$KZ$3000,$C13,10+3*MIN(BE$3,$D$2-1)))))</f>
        <v>0</v>
      </c>
      <c r="BF13" s="131" t="n">
        <f aca="false">IF(OR($C13="",$B$2="",$D$2=0),0,IF(BF$3&lt;0,0,N(INDEX('CURVA PREVISION'!$A$1:$KZ$3000,$C13,10+3*MIN(BF$3,$D$2-1)))))</f>
        <v>0</v>
      </c>
      <c r="BG13" s="131" t="n">
        <f aca="false">IF(OR($C13="",$B$2="",$D$2=0),0,IF(BG$3&lt;0,0,N(INDEX('CURVA PREVISION'!$A$1:$KZ$3000,$C13,10+3*MIN(BG$3,$D$2-1)))))</f>
        <v>0</v>
      </c>
      <c r="BH13" s="131" t="n">
        <f aca="false">IF(OR($C13="",$B$2="",$D$2=0),0,IF(BH$3&lt;0,0,N(INDEX('CURVA PREVISION'!$A$1:$KZ$3000,$C13,10+3*MIN(BH$3,$D$2-1)))))</f>
        <v>0</v>
      </c>
      <c r="BI13" s="131" t="n">
        <f aca="false">IF(OR($C13="",$B$2="",$D$2=0),0,IF(BI$3&lt;0,0,N(INDEX('CURVA PREVISION'!$A$1:$KZ$3000,$C13,10+3*MIN(BI$3,$D$2-1)))))</f>
        <v>0</v>
      </c>
      <c r="BJ13" s="131" t="n">
        <f aca="false">IF(OR($C13="",$B$2="",$D$2=0),0,IF(BJ$3&lt;0,0,N(INDEX('CURVA PREVISION'!$A$1:$KZ$3000,$C13,10+3*MIN(BJ$3,$D$2-1)))))</f>
        <v>0</v>
      </c>
      <c r="BK13" s="131" t="n">
        <f aca="false">IF(OR($C13="",$B$2="",$D$2=0),0,IF(BK$3&lt;0,0,N(INDEX('CURVA PREVISION'!$A$1:$KZ$3000,$C13,10+3*MIN(BK$3,$D$2-1)))))</f>
        <v>0</v>
      </c>
      <c r="BL13" s="131" t="n">
        <f aca="false">IF(OR($C13="",$B$2="",$D$2=0),0,IF(BL$3&lt;0,0,N(INDEX('CURVA PREVISION'!$A$1:$KZ$3000,$C13,10+3*MIN(BL$3,$D$2-1)))))</f>
        <v>0</v>
      </c>
      <c r="BM13" s="131" t="n">
        <f aca="false">IF(OR($C13="",$B$2="",$D$2=0),0,IF(BM$3&lt;0,0,N(INDEX('CURVA PREVISION'!$A$1:$KZ$3000,$C13,10+3*MIN(BM$3,$D$2-1)))))</f>
        <v>0</v>
      </c>
      <c r="BN13" s="131" t="n">
        <f aca="false">IF(OR($C13="",$B$2="",$D$2=0),0,IF(BN$3&lt;0,0,N(INDEX('CURVA PREVISION'!$A$1:$KZ$3000,$C13,10+3*MIN(BN$3,$D$2-1)))))</f>
        <v>0</v>
      </c>
      <c r="BO13" s="131" t="n">
        <f aca="false">IF(OR($C13="",$B$2="",$D$2=0),0,IF(BO$3&lt;0,0,N(INDEX('CURVA PREVISION'!$A$1:$KZ$3000,$C13,10+3*MIN(BO$3,$D$2-1)))))</f>
        <v>0</v>
      </c>
      <c r="BP13" s="131" t="n">
        <f aca="false">IF(OR($C13="",$B$2="",$D$2=0),0,IF(BP$3&lt;0,0,N(INDEX('CURVA PREVISION'!$A$1:$KZ$3000,$C13,10+3*MIN(BP$3,$D$2-1)))))</f>
        <v>0</v>
      </c>
      <c r="BQ13" s="131" t="n">
        <f aca="false">IF(OR($C13="",$B$2="",$D$2=0),0,IF(BQ$3&lt;0,0,N(INDEX('CURVA PREVISION'!$A$1:$KZ$3000,$C13,10+3*MIN(BQ$3,$D$2-1)))))</f>
        <v>0</v>
      </c>
      <c r="BR13" s="131" t="n">
        <f aca="false">IF(OR($C13="",$B$2="",$D$2=0),0,IF(BR$3&lt;0,0,N(INDEX('CURVA PREVISION'!$A$1:$KZ$3000,$C13,10+3*MIN(BR$3,$D$2-1)))))</f>
        <v>0</v>
      </c>
      <c r="BS13" s="131" t="n">
        <f aca="false">IF(OR($C13="",$B$2="",$D$2=0),0,IF(BS$3&lt;0,0,N(INDEX('CURVA PREVISION'!$A$1:$KZ$3000,$C13,10+3*MIN(BS$3,$D$2-1)))))</f>
        <v>0</v>
      </c>
      <c r="BT13" s="131" t="n">
        <f aca="false">IF(OR($C13="",$B$2="",$D$2=0),0,IF(BT$3&lt;0,0,N(INDEX('CURVA PREVISION'!$A$1:$KZ$3000,$C13,10+3*MIN(BT$3,$D$2-1)))))</f>
        <v>0</v>
      </c>
      <c r="BU13" s="131" t="n">
        <f aca="false">IF(OR($C13="",$B$2="",$D$2=0),0,IF(BU$3&lt;0,0,N(INDEX('CURVA PREVISION'!$A$1:$KZ$3000,$C13,10+3*MIN(BU$3,$D$2-1)))))</f>
        <v>0</v>
      </c>
      <c r="BV13" s="131" t="n">
        <f aca="false">IF(OR($C13="",$B$2="",$D$2=0),0,IF(BV$3&lt;0,0,N(INDEX('CURVA PREVISION'!$A$1:$KZ$3000,$C13,10+3*MIN(BV$3,$D$2-1)))))</f>
        <v>0</v>
      </c>
      <c r="BW13" s="131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116</v>
      </c>
      <c r="D14" s="131" t="n">
        <f aca="false">IF(OR($C14="",$B$2="",$D$2=0),0,IF(D$3&lt;0,0,N(INDEX('CURVA PREVISION'!$A$1:$KZ$3000,$C14,10+3*MIN(D$3,$D$2-1)))))</f>
        <v>0</v>
      </c>
      <c r="E14" s="131" t="n">
        <f aca="false">IF(OR($C14="",$B$2="",$D$2=0),0,IF(E$3&lt;0,0,N(INDEX('CURVA PREVISION'!$A$1:$KZ$3000,$C14,10+3*MIN(E$3,$D$2-1)))))</f>
        <v>0</v>
      </c>
      <c r="F14" s="131" t="n">
        <f aca="false">IF(OR($C14="",$B$2="",$D$2=0),0,IF(F$3&lt;0,0,N(INDEX('CURVA PREVISION'!$A$1:$KZ$3000,$C14,10+3*MIN(F$3,$D$2-1)))))</f>
        <v>0</v>
      </c>
      <c r="G14" s="131" t="n">
        <f aca="false">IF(OR($C14="",$B$2="",$D$2=0),0,IF(G$3&lt;0,0,N(INDEX('CURVA PREVISION'!$A$1:$KZ$3000,$C14,10+3*MIN(G$3,$D$2-1)))))</f>
        <v>0</v>
      </c>
      <c r="H14" s="131" t="n">
        <f aca="false">IF(OR($C14="",$B$2="",$D$2=0),0,IF(H$3&lt;0,0,N(INDEX('CURVA PREVISION'!$A$1:$KZ$3000,$C14,10+3*MIN(H$3,$D$2-1)))))</f>
        <v>0</v>
      </c>
      <c r="I14" s="131" t="n">
        <f aca="false">IF(OR($C14="",$B$2="",$D$2=0),0,IF(I$3&lt;0,0,N(INDEX('CURVA PREVISION'!$A$1:$KZ$3000,$C14,10+3*MIN(I$3,$D$2-1)))))</f>
        <v>0</v>
      </c>
      <c r="J14" s="131" t="n">
        <f aca="false">IF(OR($C14="",$B$2="",$D$2=0),0,IF(J$3&lt;0,0,N(INDEX('CURVA PREVISION'!$A$1:$KZ$3000,$C14,10+3*MIN(J$3,$D$2-1)))))</f>
        <v>0</v>
      </c>
      <c r="K14" s="131" t="n">
        <f aca="false">IF(OR($C14="",$B$2="",$D$2=0),0,IF(K$3&lt;0,0,N(INDEX('CURVA PREVISION'!$A$1:$KZ$3000,$C14,10+3*MIN(K$3,$D$2-1)))))</f>
        <v>0</v>
      </c>
      <c r="L14" s="131" t="n">
        <f aca="false">IF(OR($C14="",$B$2="",$D$2=0),0,IF(L$3&lt;0,0,N(INDEX('CURVA PREVISION'!$A$1:$KZ$3000,$C14,10+3*MIN(L$3,$D$2-1)))))</f>
        <v>0</v>
      </c>
      <c r="M14" s="131" t="n">
        <f aca="false">IF(OR($C14="",$B$2="",$D$2=0),0,IF(M$3&lt;0,0,N(INDEX('CURVA PREVISION'!$A$1:$KZ$3000,$C14,10+3*MIN(M$3,$D$2-1)))))</f>
        <v>0</v>
      </c>
      <c r="N14" s="131" t="n">
        <f aca="false">IF(OR($C14="",$B$2="",$D$2=0),0,IF(N$3&lt;0,0,N(INDEX('CURVA PREVISION'!$A$1:$KZ$3000,$C14,10+3*MIN(N$3,$D$2-1)))))</f>
        <v>0</v>
      </c>
      <c r="O14" s="131" t="n">
        <f aca="false">IF(OR($C14="",$B$2="",$D$2=0),0,IF(O$3&lt;0,0,N(INDEX('CURVA PREVISION'!$A$1:$KZ$3000,$C14,10+3*MIN(O$3,$D$2-1)))))</f>
        <v>0</v>
      </c>
      <c r="P14" s="131" t="n">
        <f aca="false">IF(OR($C14="",$B$2="",$D$2=0),0,IF(P$3&lt;0,0,N(INDEX('CURVA PREVISION'!$A$1:$KZ$3000,$C14,10+3*MIN(P$3,$D$2-1)))))</f>
        <v>0</v>
      </c>
      <c r="Q14" s="131" t="n">
        <f aca="false">IF(OR($C14="",$B$2="",$D$2=0),0,IF(Q$3&lt;0,0,N(INDEX('CURVA PREVISION'!$A$1:$KZ$3000,$C14,10+3*MIN(Q$3,$D$2-1)))))</f>
        <v>0</v>
      </c>
      <c r="R14" s="131" t="n">
        <f aca="false">IF(OR($C14="",$B$2="",$D$2=0),0,IF(R$3&lt;0,0,N(INDEX('CURVA PREVISION'!$A$1:$KZ$3000,$C14,10+3*MIN(R$3,$D$2-1)))))</f>
        <v>0</v>
      </c>
      <c r="S14" s="131" t="n">
        <f aca="false">IF(OR($C14="",$B$2="",$D$2=0),0,IF(S$3&lt;0,0,N(INDEX('CURVA PREVISION'!$A$1:$KZ$3000,$C14,10+3*MIN(S$3,$D$2-1)))))</f>
        <v>0</v>
      </c>
      <c r="T14" s="131" t="n">
        <f aca="false">IF(OR($C14="",$B$2="",$D$2=0),0,IF(T$3&lt;0,0,N(INDEX('CURVA PREVISION'!$A$1:$KZ$3000,$C14,10+3*MIN(T$3,$D$2-1)))))</f>
        <v>0</v>
      </c>
      <c r="U14" s="131" t="n">
        <f aca="false">IF(OR($C14="",$B$2="",$D$2=0),0,IF(U$3&lt;0,0,N(INDEX('CURVA PREVISION'!$A$1:$KZ$3000,$C14,10+3*MIN(U$3,$D$2-1)))))</f>
        <v>0</v>
      </c>
      <c r="V14" s="131" t="n">
        <f aca="false">IF(OR($C14="",$B$2="",$D$2=0),0,IF(V$3&lt;0,0,N(INDEX('CURVA PREVISION'!$A$1:$KZ$3000,$C14,10+3*MIN(V$3,$D$2-1)))))</f>
        <v>0</v>
      </c>
      <c r="W14" s="131" t="n">
        <f aca="false">IF(OR($C14="",$B$2="",$D$2=0),0,IF(W$3&lt;0,0,N(INDEX('CURVA PREVISION'!$A$1:$KZ$3000,$C14,10+3*MIN(W$3,$D$2-1)))))</f>
        <v>0</v>
      </c>
      <c r="X14" s="131" t="n">
        <f aca="false">IF(OR($C14="",$B$2="",$D$2=0),0,IF(X$3&lt;0,0,N(INDEX('CURVA PREVISION'!$A$1:$KZ$3000,$C14,10+3*MIN(X$3,$D$2-1)))))</f>
        <v>0</v>
      </c>
      <c r="Y14" s="131" t="n">
        <f aca="false">IF(OR($C14="",$B$2="",$D$2=0),0,IF(Y$3&lt;0,0,N(INDEX('CURVA PREVISION'!$A$1:$KZ$3000,$C14,10+3*MIN(Y$3,$D$2-1)))))</f>
        <v>0</v>
      </c>
      <c r="Z14" s="131" t="n">
        <f aca="false">IF(OR($C14="",$B$2="",$D$2=0),0,IF(Z$3&lt;0,0,N(INDEX('CURVA PREVISION'!$A$1:$KZ$3000,$C14,10+3*MIN(Z$3,$D$2-1)))))</f>
        <v>0</v>
      </c>
      <c r="AA14" s="131" t="n">
        <f aca="false">IF(OR($C14="",$B$2="",$D$2=0),0,IF(AA$3&lt;0,0,N(INDEX('CURVA PREVISION'!$A$1:$KZ$3000,$C14,10+3*MIN(AA$3,$D$2-1)))))</f>
        <v>0</v>
      </c>
      <c r="AB14" s="131" t="n">
        <f aca="false">IF(OR($C14="",$B$2="",$D$2=0),0,IF(AB$3&lt;0,0,N(INDEX('CURVA PREVISION'!$A$1:$KZ$3000,$C14,10+3*MIN(AB$3,$D$2-1)))))</f>
        <v>0</v>
      </c>
      <c r="AC14" s="131" t="n">
        <f aca="false">IF(OR($C14="",$B$2="",$D$2=0),0,IF(AC$3&lt;0,0,N(INDEX('CURVA PREVISION'!$A$1:$KZ$3000,$C14,10+3*MIN(AC$3,$D$2-1)))))</f>
        <v>0</v>
      </c>
      <c r="AD14" s="131" t="n">
        <f aca="false">IF(OR($C14="",$B$2="",$D$2=0),0,IF(AD$3&lt;0,0,N(INDEX('CURVA PREVISION'!$A$1:$KZ$3000,$C14,10+3*MIN(AD$3,$D$2-1)))))</f>
        <v>0</v>
      </c>
      <c r="AE14" s="131" t="n">
        <f aca="false">IF(OR($C14="",$B$2="",$D$2=0),0,IF(AE$3&lt;0,0,N(INDEX('CURVA PREVISION'!$A$1:$KZ$3000,$C14,10+3*MIN(AE$3,$D$2-1)))))</f>
        <v>0</v>
      </c>
      <c r="AF14" s="131" t="n">
        <f aca="false">IF(OR($C14="",$B$2="",$D$2=0),0,IF(AF$3&lt;0,0,N(INDEX('CURVA PREVISION'!$A$1:$KZ$3000,$C14,10+3*MIN(AF$3,$D$2-1)))))</f>
        <v>0</v>
      </c>
      <c r="AG14" s="131" t="n">
        <f aca="false">IF(OR($C14="",$B$2="",$D$2=0),0,IF(AG$3&lt;0,0,N(INDEX('CURVA PREVISION'!$A$1:$KZ$3000,$C14,10+3*MIN(AG$3,$D$2-1)))))</f>
        <v>0</v>
      </c>
      <c r="AH14" s="131" t="n">
        <f aca="false">IF(OR($C14="",$B$2="",$D$2=0),0,IF(AH$3&lt;0,0,N(INDEX('CURVA PREVISION'!$A$1:$KZ$3000,$C14,10+3*MIN(AH$3,$D$2-1)))))</f>
        <v>0</v>
      </c>
      <c r="AI14" s="131" t="n">
        <f aca="false">IF(OR($C14="",$B$2="",$D$2=0),0,IF(AI$3&lt;0,0,N(INDEX('CURVA PREVISION'!$A$1:$KZ$3000,$C14,10+3*MIN(AI$3,$D$2-1)))))</f>
        <v>0</v>
      </c>
      <c r="AJ14" s="131" t="n">
        <f aca="false">IF(OR($C14="",$B$2="",$D$2=0),0,IF(AJ$3&lt;0,0,N(INDEX('CURVA PREVISION'!$A$1:$KZ$3000,$C14,10+3*MIN(AJ$3,$D$2-1)))))</f>
        <v>0</v>
      </c>
      <c r="AK14" s="131" t="n">
        <f aca="false">IF(OR($C14="",$B$2="",$D$2=0),0,IF(AK$3&lt;0,0,N(INDEX('CURVA PREVISION'!$A$1:$KZ$3000,$C14,10+3*MIN(AK$3,$D$2-1)))))</f>
        <v>0</v>
      </c>
      <c r="AL14" s="131" t="n">
        <f aca="false">IF(OR($C14="",$B$2="",$D$2=0),0,IF(AL$3&lt;0,0,N(INDEX('CURVA PREVISION'!$A$1:$KZ$3000,$C14,10+3*MIN(AL$3,$D$2-1)))))</f>
        <v>0</v>
      </c>
      <c r="AM14" s="131" t="n">
        <f aca="false">IF(OR($C14="",$B$2="",$D$2=0),0,IF(AM$3&lt;0,0,N(INDEX('CURVA PREVISION'!$A$1:$KZ$3000,$C14,10+3*MIN(AM$3,$D$2-1)))))</f>
        <v>0</v>
      </c>
      <c r="AN14" s="131" t="n">
        <f aca="false">IF(OR($C14="",$B$2="",$D$2=0),0,IF(AN$3&lt;0,0,N(INDEX('CURVA PREVISION'!$A$1:$KZ$3000,$C14,10+3*MIN(AN$3,$D$2-1)))))</f>
        <v>0</v>
      </c>
      <c r="AO14" s="131" t="n">
        <f aca="false">IF(OR($C14="",$B$2="",$D$2=0),0,IF(AO$3&lt;0,0,N(INDEX('CURVA PREVISION'!$A$1:$KZ$3000,$C14,10+3*MIN(AO$3,$D$2-1)))))</f>
        <v>0</v>
      </c>
      <c r="AP14" s="131" t="n">
        <f aca="false">IF(OR($C14="",$B$2="",$D$2=0),0,IF(AP$3&lt;0,0,N(INDEX('CURVA PREVISION'!$A$1:$KZ$3000,$C14,10+3*MIN(AP$3,$D$2-1)))))</f>
        <v>0</v>
      </c>
      <c r="AQ14" s="131" t="n">
        <f aca="false">IF(OR($C14="",$B$2="",$D$2=0),0,IF(AQ$3&lt;0,0,N(INDEX('CURVA PREVISION'!$A$1:$KZ$3000,$C14,10+3*MIN(AQ$3,$D$2-1)))))</f>
        <v>0</v>
      </c>
      <c r="AR14" s="131" t="n">
        <f aca="false">IF(OR($C14="",$B$2="",$D$2=0),0,IF(AR$3&lt;0,0,N(INDEX('CURVA PREVISION'!$A$1:$KZ$3000,$C14,10+3*MIN(AR$3,$D$2-1)))))</f>
        <v>0</v>
      </c>
      <c r="AS14" s="131" t="n">
        <f aca="false">IF(OR($C14="",$B$2="",$D$2=0),0,IF(AS$3&lt;0,0,N(INDEX('CURVA PREVISION'!$A$1:$KZ$3000,$C14,10+3*MIN(AS$3,$D$2-1)))))</f>
        <v>0</v>
      </c>
      <c r="AT14" s="131" t="n">
        <f aca="false">IF(OR($C14="",$B$2="",$D$2=0),0,IF(AT$3&lt;0,0,N(INDEX('CURVA PREVISION'!$A$1:$KZ$3000,$C14,10+3*MIN(AT$3,$D$2-1)))))</f>
        <v>0</v>
      </c>
      <c r="AU14" s="131" t="n">
        <f aca="false">IF(OR($C14="",$B$2="",$D$2=0),0,IF(AU$3&lt;0,0,N(INDEX('CURVA PREVISION'!$A$1:$KZ$3000,$C14,10+3*MIN(AU$3,$D$2-1)))))</f>
        <v>0</v>
      </c>
      <c r="AV14" s="131" t="n">
        <f aca="false">IF(OR($C14="",$B$2="",$D$2=0),0,IF(AV$3&lt;0,0,N(INDEX('CURVA PREVISION'!$A$1:$KZ$3000,$C14,10+3*MIN(AV$3,$D$2-1)))))</f>
        <v>0</v>
      </c>
      <c r="AW14" s="131" t="n">
        <f aca="false">IF(OR($C14="",$B$2="",$D$2=0),0,IF(AW$3&lt;0,0,N(INDEX('CURVA PREVISION'!$A$1:$KZ$3000,$C14,10+3*MIN(AW$3,$D$2-1)))))</f>
        <v>0</v>
      </c>
      <c r="AX14" s="131" t="n">
        <f aca="false">IF(OR($C14="",$B$2="",$D$2=0),0,IF(AX$3&lt;0,0,N(INDEX('CURVA PREVISION'!$A$1:$KZ$3000,$C14,10+3*MIN(AX$3,$D$2-1)))))</f>
        <v>0</v>
      </c>
      <c r="AY14" s="131" t="n">
        <f aca="false">IF(OR($C14="",$B$2="",$D$2=0),0,IF(AY$3&lt;0,0,N(INDEX('CURVA PREVISION'!$A$1:$KZ$3000,$C14,10+3*MIN(AY$3,$D$2-1)))))</f>
        <v>0</v>
      </c>
      <c r="AZ14" s="131" t="n">
        <f aca="false">IF(OR($C14="",$B$2="",$D$2=0),0,IF(AZ$3&lt;0,0,N(INDEX('CURVA PREVISION'!$A$1:$KZ$3000,$C14,10+3*MIN(AZ$3,$D$2-1)))))</f>
        <v>0</v>
      </c>
      <c r="BA14" s="131" t="n">
        <f aca="false">IF(OR($C14="",$B$2="",$D$2=0),0,IF(BA$3&lt;0,0,N(INDEX('CURVA PREVISION'!$A$1:$KZ$3000,$C14,10+3*MIN(BA$3,$D$2-1)))))</f>
        <v>0</v>
      </c>
      <c r="BB14" s="131" t="n">
        <f aca="false">IF(OR($C14="",$B$2="",$D$2=0),0,IF(BB$3&lt;0,0,N(INDEX('CURVA PREVISION'!$A$1:$KZ$3000,$C14,10+3*MIN(BB$3,$D$2-1)))))</f>
        <v>0</v>
      </c>
      <c r="BC14" s="131" t="n">
        <f aca="false">IF(OR($C14="",$B$2="",$D$2=0),0,IF(BC$3&lt;0,0,N(INDEX('CURVA PREVISION'!$A$1:$KZ$3000,$C14,10+3*MIN(BC$3,$D$2-1)))))</f>
        <v>0</v>
      </c>
      <c r="BD14" s="131" t="n">
        <f aca="false">IF(OR($C14="",$B$2="",$D$2=0),0,IF(BD$3&lt;0,0,N(INDEX('CURVA PREVISION'!$A$1:$KZ$3000,$C14,10+3*MIN(BD$3,$D$2-1)))))</f>
        <v>0</v>
      </c>
      <c r="BE14" s="131" t="n">
        <f aca="false">IF(OR($C14="",$B$2="",$D$2=0),0,IF(BE$3&lt;0,0,N(INDEX('CURVA PREVISION'!$A$1:$KZ$3000,$C14,10+3*MIN(BE$3,$D$2-1)))))</f>
        <v>0</v>
      </c>
      <c r="BF14" s="131" t="n">
        <f aca="false">IF(OR($C14="",$B$2="",$D$2=0),0,IF(BF$3&lt;0,0,N(INDEX('CURVA PREVISION'!$A$1:$KZ$3000,$C14,10+3*MIN(BF$3,$D$2-1)))))</f>
        <v>0</v>
      </c>
      <c r="BG14" s="131" t="n">
        <f aca="false">IF(OR($C14="",$B$2="",$D$2=0),0,IF(BG$3&lt;0,0,N(INDEX('CURVA PREVISION'!$A$1:$KZ$3000,$C14,10+3*MIN(BG$3,$D$2-1)))))</f>
        <v>0</v>
      </c>
      <c r="BH14" s="131" t="n">
        <f aca="false">IF(OR($C14="",$B$2="",$D$2=0),0,IF(BH$3&lt;0,0,N(INDEX('CURVA PREVISION'!$A$1:$KZ$3000,$C14,10+3*MIN(BH$3,$D$2-1)))))</f>
        <v>0</v>
      </c>
      <c r="BI14" s="131" t="n">
        <f aca="false">IF(OR($C14="",$B$2="",$D$2=0),0,IF(BI$3&lt;0,0,N(INDEX('CURVA PREVISION'!$A$1:$KZ$3000,$C14,10+3*MIN(BI$3,$D$2-1)))))</f>
        <v>0</v>
      </c>
      <c r="BJ14" s="131" t="n">
        <f aca="false">IF(OR($C14="",$B$2="",$D$2=0),0,IF(BJ$3&lt;0,0,N(INDEX('CURVA PREVISION'!$A$1:$KZ$3000,$C14,10+3*MIN(BJ$3,$D$2-1)))))</f>
        <v>0</v>
      </c>
      <c r="BK14" s="131" t="n">
        <f aca="false">IF(OR($C14="",$B$2="",$D$2=0),0,IF(BK$3&lt;0,0,N(INDEX('CURVA PREVISION'!$A$1:$KZ$3000,$C14,10+3*MIN(BK$3,$D$2-1)))))</f>
        <v>0</v>
      </c>
      <c r="BL14" s="131" t="n">
        <f aca="false">IF(OR($C14="",$B$2="",$D$2=0),0,IF(BL$3&lt;0,0,N(INDEX('CURVA PREVISION'!$A$1:$KZ$3000,$C14,10+3*MIN(BL$3,$D$2-1)))))</f>
        <v>0</v>
      </c>
      <c r="BM14" s="131" t="n">
        <f aca="false">IF(OR($C14="",$B$2="",$D$2=0),0,IF(BM$3&lt;0,0,N(INDEX('CURVA PREVISION'!$A$1:$KZ$3000,$C14,10+3*MIN(BM$3,$D$2-1)))))</f>
        <v>0</v>
      </c>
      <c r="BN14" s="131" t="n">
        <f aca="false">IF(OR($C14="",$B$2="",$D$2=0),0,IF(BN$3&lt;0,0,N(INDEX('CURVA PREVISION'!$A$1:$KZ$3000,$C14,10+3*MIN(BN$3,$D$2-1)))))</f>
        <v>0</v>
      </c>
      <c r="BO14" s="131" t="n">
        <f aca="false">IF(OR($C14="",$B$2="",$D$2=0),0,IF(BO$3&lt;0,0,N(INDEX('CURVA PREVISION'!$A$1:$KZ$3000,$C14,10+3*MIN(BO$3,$D$2-1)))))</f>
        <v>0</v>
      </c>
      <c r="BP14" s="131" t="n">
        <f aca="false">IF(OR($C14="",$B$2="",$D$2=0),0,IF(BP$3&lt;0,0,N(INDEX('CURVA PREVISION'!$A$1:$KZ$3000,$C14,10+3*MIN(BP$3,$D$2-1)))))</f>
        <v>0</v>
      </c>
      <c r="BQ14" s="131" t="n">
        <f aca="false">IF(OR($C14="",$B$2="",$D$2=0),0,IF(BQ$3&lt;0,0,N(INDEX('CURVA PREVISION'!$A$1:$KZ$3000,$C14,10+3*MIN(BQ$3,$D$2-1)))))</f>
        <v>0</v>
      </c>
      <c r="BR14" s="131" t="n">
        <f aca="false">IF(OR($C14="",$B$2="",$D$2=0),0,IF(BR$3&lt;0,0,N(INDEX('CURVA PREVISION'!$A$1:$KZ$3000,$C14,10+3*MIN(BR$3,$D$2-1)))))</f>
        <v>0</v>
      </c>
      <c r="BS14" s="131" t="n">
        <f aca="false">IF(OR($C14="",$B$2="",$D$2=0),0,IF(BS$3&lt;0,0,N(INDEX('CURVA PREVISION'!$A$1:$KZ$3000,$C14,10+3*MIN(BS$3,$D$2-1)))))</f>
        <v>0</v>
      </c>
      <c r="BT14" s="131" t="n">
        <f aca="false">IF(OR($C14="",$B$2="",$D$2=0),0,IF(BT$3&lt;0,0,N(INDEX('CURVA PREVISION'!$A$1:$KZ$3000,$C14,10+3*MIN(BT$3,$D$2-1)))))</f>
        <v>0</v>
      </c>
      <c r="BU14" s="131" t="n">
        <f aca="false">IF(OR($C14="",$B$2="",$D$2=0),0,IF(BU$3&lt;0,0,N(INDEX('CURVA PREVISION'!$A$1:$KZ$3000,$C14,10+3*MIN(BU$3,$D$2-1)))))</f>
        <v>0</v>
      </c>
      <c r="BV14" s="131" t="n">
        <f aca="false">IF(OR($C14="",$B$2="",$D$2=0),0,IF(BV$3&lt;0,0,N(INDEX('CURVA PREVISION'!$A$1:$KZ$3000,$C14,10+3*MIN(BV$3,$D$2-1)))))</f>
        <v>0</v>
      </c>
      <c r="BW14" s="131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161</v>
      </c>
      <c r="D15" s="131" t="n">
        <f aca="false">IF(OR($C15="",$B$2="",$D$2=0),0,IF(D$3&lt;0,0,N(INDEX('CURVA PREVISION'!$A$1:$KZ$3000,$C15,10+3*MIN(D$3,$D$2-1)))))</f>
        <v>0</v>
      </c>
      <c r="E15" s="131" t="n">
        <f aca="false">IF(OR($C15="",$B$2="",$D$2=0),0,IF(E$3&lt;0,0,N(INDEX('CURVA PREVISION'!$A$1:$KZ$3000,$C15,10+3*MIN(E$3,$D$2-1)))))</f>
        <v>0</v>
      </c>
      <c r="F15" s="131" t="n">
        <f aca="false">IF(OR($C15="",$B$2="",$D$2=0),0,IF(F$3&lt;0,0,N(INDEX('CURVA PREVISION'!$A$1:$KZ$3000,$C15,10+3*MIN(F$3,$D$2-1)))))</f>
        <v>0</v>
      </c>
      <c r="G15" s="131" t="n">
        <f aca="false">IF(OR($C15="",$B$2="",$D$2=0),0,IF(G$3&lt;0,0,N(INDEX('CURVA PREVISION'!$A$1:$KZ$3000,$C15,10+3*MIN(G$3,$D$2-1)))))</f>
        <v>0</v>
      </c>
      <c r="H15" s="131" t="n">
        <f aca="false">IF(OR($C15="",$B$2="",$D$2=0),0,IF(H$3&lt;0,0,N(INDEX('CURVA PREVISION'!$A$1:$KZ$3000,$C15,10+3*MIN(H$3,$D$2-1)))))</f>
        <v>0</v>
      </c>
      <c r="I15" s="131" t="n">
        <f aca="false">IF(OR($C15="",$B$2="",$D$2=0),0,IF(I$3&lt;0,0,N(INDEX('CURVA PREVISION'!$A$1:$KZ$3000,$C15,10+3*MIN(I$3,$D$2-1)))))</f>
        <v>0</v>
      </c>
      <c r="J15" s="131" t="n">
        <f aca="false">IF(OR($C15="",$B$2="",$D$2=0),0,IF(J$3&lt;0,0,N(INDEX('CURVA PREVISION'!$A$1:$KZ$3000,$C15,10+3*MIN(J$3,$D$2-1)))))</f>
        <v>0</v>
      </c>
      <c r="K15" s="131" t="n">
        <f aca="false">IF(OR($C15="",$B$2="",$D$2=0),0,IF(K$3&lt;0,0,N(INDEX('CURVA PREVISION'!$A$1:$KZ$3000,$C15,10+3*MIN(K$3,$D$2-1)))))</f>
        <v>0</v>
      </c>
      <c r="L15" s="131" t="n">
        <f aca="false">IF(OR($C15="",$B$2="",$D$2=0),0,IF(L$3&lt;0,0,N(INDEX('CURVA PREVISION'!$A$1:$KZ$3000,$C15,10+3*MIN(L$3,$D$2-1)))))</f>
        <v>0</v>
      </c>
      <c r="M15" s="131" t="n">
        <f aca="false">IF(OR($C15="",$B$2="",$D$2=0),0,IF(M$3&lt;0,0,N(INDEX('CURVA PREVISION'!$A$1:$KZ$3000,$C15,10+3*MIN(M$3,$D$2-1)))))</f>
        <v>0</v>
      </c>
      <c r="N15" s="131" t="n">
        <f aca="false">IF(OR($C15="",$B$2="",$D$2=0),0,IF(N$3&lt;0,0,N(INDEX('CURVA PREVISION'!$A$1:$KZ$3000,$C15,10+3*MIN(N$3,$D$2-1)))))</f>
        <v>0</v>
      </c>
      <c r="O15" s="131" t="n">
        <f aca="false">IF(OR($C15="",$B$2="",$D$2=0),0,IF(O$3&lt;0,0,N(INDEX('CURVA PREVISION'!$A$1:$KZ$3000,$C15,10+3*MIN(O$3,$D$2-1)))))</f>
        <v>0</v>
      </c>
      <c r="P15" s="131" t="n">
        <f aca="false">IF(OR($C15="",$B$2="",$D$2=0),0,IF(P$3&lt;0,0,N(INDEX('CURVA PREVISION'!$A$1:$KZ$3000,$C15,10+3*MIN(P$3,$D$2-1)))))</f>
        <v>0</v>
      </c>
      <c r="Q15" s="131" t="n">
        <f aca="false">IF(OR($C15="",$B$2="",$D$2=0),0,IF(Q$3&lt;0,0,N(INDEX('CURVA PREVISION'!$A$1:$KZ$3000,$C15,10+3*MIN(Q$3,$D$2-1)))))</f>
        <v>0</v>
      </c>
      <c r="R15" s="131" t="n">
        <f aca="false">IF(OR($C15="",$B$2="",$D$2=0),0,IF(R$3&lt;0,0,N(INDEX('CURVA PREVISION'!$A$1:$KZ$3000,$C15,10+3*MIN(R$3,$D$2-1)))))</f>
        <v>0</v>
      </c>
      <c r="S15" s="131" t="n">
        <f aca="false">IF(OR($C15="",$B$2="",$D$2=0),0,IF(S$3&lt;0,0,N(INDEX('CURVA PREVISION'!$A$1:$KZ$3000,$C15,10+3*MIN(S$3,$D$2-1)))))</f>
        <v>0</v>
      </c>
      <c r="T15" s="131" t="n">
        <f aca="false">IF(OR($C15="",$B$2="",$D$2=0),0,IF(T$3&lt;0,0,N(INDEX('CURVA PREVISION'!$A$1:$KZ$3000,$C15,10+3*MIN(T$3,$D$2-1)))))</f>
        <v>0</v>
      </c>
      <c r="U15" s="131" t="n">
        <f aca="false">IF(OR($C15="",$B$2="",$D$2=0),0,IF(U$3&lt;0,0,N(INDEX('CURVA PREVISION'!$A$1:$KZ$3000,$C15,10+3*MIN(U$3,$D$2-1)))))</f>
        <v>0</v>
      </c>
      <c r="V15" s="131" t="n">
        <f aca="false">IF(OR($C15="",$B$2="",$D$2=0),0,IF(V$3&lt;0,0,N(INDEX('CURVA PREVISION'!$A$1:$KZ$3000,$C15,10+3*MIN(V$3,$D$2-1)))))</f>
        <v>0</v>
      </c>
      <c r="W15" s="131" t="n">
        <f aca="false">IF(OR($C15="",$B$2="",$D$2=0),0,IF(W$3&lt;0,0,N(INDEX('CURVA PREVISION'!$A$1:$KZ$3000,$C15,10+3*MIN(W$3,$D$2-1)))))</f>
        <v>0</v>
      </c>
      <c r="X15" s="131" t="n">
        <f aca="false">IF(OR($C15="",$B$2="",$D$2=0),0,IF(X$3&lt;0,0,N(INDEX('CURVA PREVISION'!$A$1:$KZ$3000,$C15,10+3*MIN(X$3,$D$2-1)))))</f>
        <v>0</v>
      </c>
      <c r="Y15" s="131" t="n">
        <f aca="false">IF(OR($C15="",$B$2="",$D$2=0),0,IF(Y$3&lt;0,0,N(INDEX('CURVA PREVISION'!$A$1:$KZ$3000,$C15,10+3*MIN(Y$3,$D$2-1)))))</f>
        <v>0</v>
      </c>
      <c r="Z15" s="131" t="n">
        <f aca="false">IF(OR($C15="",$B$2="",$D$2=0),0,IF(Z$3&lt;0,0,N(INDEX('CURVA PREVISION'!$A$1:$KZ$3000,$C15,10+3*MIN(Z$3,$D$2-1)))))</f>
        <v>0</v>
      </c>
      <c r="AA15" s="131" t="n">
        <f aca="false">IF(OR($C15="",$B$2="",$D$2=0),0,IF(AA$3&lt;0,0,N(INDEX('CURVA PREVISION'!$A$1:$KZ$3000,$C15,10+3*MIN(AA$3,$D$2-1)))))</f>
        <v>0</v>
      </c>
      <c r="AB15" s="131" t="n">
        <f aca="false">IF(OR($C15="",$B$2="",$D$2=0),0,IF(AB$3&lt;0,0,N(INDEX('CURVA PREVISION'!$A$1:$KZ$3000,$C15,10+3*MIN(AB$3,$D$2-1)))))</f>
        <v>0</v>
      </c>
      <c r="AC15" s="131" t="n">
        <f aca="false">IF(OR($C15="",$B$2="",$D$2=0),0,IF(AC$3&lt;0,0,N(INDEX('CURVA PREVISION'!$A$1:$KZ$3000,$C15,10+3*MIN(AC$3,$D$2-1)))))</f>
        <v>0</v>
      </c>
      <c r="AD15" s="131" t="n">
        <f aca="false">IF(OR($C15="",$B$2="",$D$2=0),0,IF(AD$3&lt;0,0,N(INDEX('CURVA PREVISION'!$A$1:$KZ$3000,$C15,10+3*MIN(AD$3,$D$2-1)))))</f>
        <v>0</v>
      </c>
      <c r="AE15" s="131" t="n">
        <f aca="false">IF(OR($C15="",$B$2="",$D$2=0),0,IF(AE$3&lt;0,0,N(INDEX('CURVA PREVISION'!$A$1:$KZ$3000,$C15,10+3*MIN(AE$3,$D$2-1)))))</f>
        <v>0</v>
      </c>
      <c r="AF15" s="131" t="n">
        <f aca="false">IF(OR($C15="",$B$2="",$D$2=0),0,IF(AF$3&lt;0,0,N(INDEX('CURVA PREVISION'!$A$1:$KZ$3000,$C15,10+3*MIN(AF$3,$D$2-1)))))</f>
        <v>0</v>
      </c>
      <c r="AG15" s="131" t="n">
        <f aca="false">IF(OR($C15="",$B$2="",$D$2=0),0,IF(AG$3&lt;0,0,N(INDEX('CURVA PREVISION'!$A$1:$KZ$3000,$C15,10+3*MIN(AG$3,$D$2-1)))))</f>
        <v>0</v>
      </c>
      <c r="AH15" s="131" t="n">
        <f aca="false">IF(OR($C15="",$B$2="",$D$2=0),0,IF(AH$3&lt;0,0,N(INDEX('CURVA PREVISION'!$A$1:$KZ$3000,$C15,10+3*MIN(AH$3,$D$2-1)))))</f>
        <v>0</v>
      </c>
      <c r="AI15" s="131" t="n">
        <f aca="false">IF(OR($C15="",$B$2="",$D$2=0),0,IF(AI$3&lt;0,0,N(INDEX('CURVA PREVISION'!$A$1:$KZ$3000,$C15,10+3*MIN(AI$3,$D$2-1)))))</f>
        <v>0</v>
      </c>
      <c r="AJ15" s="131" t="n">
        <f aca="false">IF(OR($C15="",$B$2="",$D$2=0),0,IF(AJ$3&lt;0,0,N(INDEX('CURVA PREVISION'!$A$1:$KZ$3000,$C15,10+3*MIN(AJ$3,$D$2-1)))))</f>
        <v>0</v>
      </c>
      <c r="AK15" s="131" t="n">
        <f aca="false">IF(OR($C15="",$B$2="",$D$2=0),0,IF(AK$3&lt;0,0,N(INDEX('CURVA PREVISION'!$A$1:$KZ$3000,$C15,10+3*MIN(AK$3,$D$2-1)))))</f>
        <v>0</v>
      </c>
      <c r="AL15" s="131" t="n">
        <f aca="false">IF(OR($C15="",$B$2="",$D$2=0),0,IF(AL$3&lt;0,0,N(INDEX('CURVA PREVISION'!$A$1:$KZ$3000,$C15,10+3*MIN(AL$3,$D$2-1)))))</f>
        <v>0</v>
      </c>
      <c r="AM15" s="131" t="n">
        <f aca="false">IF(OR($C15="",$B$2="",$D$2=0),0,IF(AM$3&lt;0,0,N(INDEX('CURVA PREVISION'!$A$1:$KZ$3000,$C15,10+3*MIN(AM$3,$D$2-1)))))</f>
        <v>0</v>
      </c>
      <c r="AN15" s="131" t="n">
        <f aca="false">IF(OR($C15="",$B$2="",$D$2=0),0,IF(AN$3&lt;0,0,N(INDEX('CURVA PREVISION'!$A$1:$KZ$3000,$C15,10+3*MIN(AN$3,$D$2-1)))))</f>
        <v>0</v>
      </c>
      <c r="AO15" s="131" t="n">
        <f aca="false">IF(OR($C15="",$B$2="",$D$2=0),0,IF(AO$3&lt;0,0,N(INDEX('CURVA PREVISION'!$A$1:$KZ$3000,$C15,10+3*MIN(AO$3,$D$2-1)))))</f>
        <v>0</v>
      </c>
      <c r="AP15" s="131" t="n">
        <f aca="false">IF(OR($C15="",$B$2="",$D$2=0),0,IF(AP$3&lt;0,0,N(INDEX('CURVA PREVISION'!$A$1:$KZ$3000,$C15,10+3*MIN(AP$3,$D$2-1)))))</f>
        <v>0</v>
      </c>
      <c r="AQ15" s="131" t="n">
        <f aca="false">IF(OR($C15="",$B$2="",$D$2=0),0,IF(AQ$3&lt;0,0,N(INDEX('CURVA PREVISION'!$A$1:$KZ$3000,$C15,10+3*MIN(AQ$3,$D$2-1)))))</f>
        <v>0</v>
      </c>
      <c r="AR15" s="131" t="n">
        <f aca="false">IF(OR($C15="",$B$2="",$D$2=0),0,IF(AR$3&lt;0,0,N(INDEX('CURVA PREVISION'!$A$1:$KZ$3000,$C15,10+3*MIN(AR$3,$D$2-1)))))</f>
        <v>0</v>
      </c>
      <c r="AS15" s="131" t="n">
        <f aca="false">IF(OR($C15="",$B$2="",$D$2=0),0,IF(AS$3&lt;0,0,N(INDEX('CURVA PREVISION'!$A$1:$KZ$3000,$C15,10+3*MIN(AS$3,$D$2-1)))))</f>
        <v>0</v>
      </c>
      <c r="AT15" s="131" t="n">
        <f aca="false">IF(OR($C15="",$B$2="",$D$2=0),0,IF(AT$3&lt;0,0,N(INDEX('CURVA PREVISION'!$A$1:$KZ$3000,$C15,10+3*MIN(AT$3,$D$2-1)))))</f>
        <v>0</v>
      </c>
      <c r="AU15" s="131" t="n">
        <f aca="false">IF(OR($C15="",$B$2="",$D$2=0),0,IF(AU$3&lt;0,0,N(INDEX('CURVA PREVISION'!$A$1:$KZ$3000,$C15,10+3*MIN(AU$3,$D$2-1)))))</f>
        <v>0</v>
      </c>
      <c r="AV15" s="131" t="n">
        <f aca="false">IF(OR($C15="",$B$2="",$D$2=0),0,IF(AV$3&lt;0,0,N(INDEX('CURVA PREVISION'!$A$1:$KZ$3000,$C15,10+3*MIN(AV$3,$D$2-1)))))</f>
        <v>0</v>
      </c>
      <c r="AW15" s="131" t="n">
        <f aca="false">IF(OR($C15="",$B$2="",$D$2=0),0,IF(AW$3&lt;0,0,N(INDEX('CURVA PREVISION'!$A$1:$KZ$3000,$C15,10+3*MIN(AW$3,$D$2-1)))))</f>
        <v>0</v>
      </c>
      <c r="AX15" s="131" t="n">
        <f aca="false">IF(OR($C15="",$B$2="",$D$2=0),0,IF(AX$3&lt;0,0,N(INDEX('CURVA PREVISION'!$A$1:$KZ$3000,$C15,10+3*MIN(AX$3,$D$2-1)))))</f>
        <v>0</v>
      </c>
      <c r="AY15" s="131" t="n">
        <f aca="false">IF(OR($C15="",$B$2="",$D$2=0),0,IF(AY$3&lt;0,0,N(INDEX('CURVA PREVISION'!$A$1:$KZ$3000,$C15,10+3*MIN(AY$3,$D$2-1)))))</f>
        <v>0</v>
      </c>
      <c r="AZ15" s="131" t="n">
        <f aca="false">IF(OR($C15="",$B$2="",$D$2=0),0,IF(AZ$3&lt;0,0,N(INDEX('CURVA PREVISION'!$A$1:$KZ$3000,$C15,10+3*MIN(AZ$3,$D$2-1)))))</f>
        <v>0</v>
      </c>
      <c r="BA15" s="131" t="n">
        <f aca="false">IF(OR($C15="",$B$2="",$D$2=0),0,IF(BA$3&lt;0,0,N(INDEX('CURVA PREVISION'!$A$1:$KZ$3000,$C15,10+3*MIN(BA$3,$D$2-1)))))</f>
        <v>0</v>
      </c>
      <c r="BB15" s="131" t="n">
        <f aca="false">IF(OR($C15="",$B$2="",$D$2=0),0,IF(BB$3&lt;0,0,N(INDEX('CURVA PREVISION'!$A$1:$KZ$3000,$C15,10+3*MIN(BB$3,$D$2-1)))))</f>
        <v>0</v>
      </c>
      <c r="BC15" s="131" t="n">
        <f aca="false">IF(OR($C15="",$B$2="",$D$2=0),0,IF(BC$3&lt;0,0,N(INDEX('CURVA PREVISION'!$A$1:$KZ$3000,$C15,10+3*MIN(BC$3,$D$2-1)))))</f>
        <v>0</v>
      </c>
      <c r="BD15" s="131" t="n">
        <f aca="false">IF(OR($C15="",$B$2="",$D$2=0),0,IF(BD$3&lt;0,0,N(INDEX('CURVA PREVISION'!$A$1:$KZ$3000,$C15,10+3*MIN(BD$3,$D$2-1)))))</f>
        <v>0</v>
      </c>
      <c r="BE15" s="131" t="n">
        <f aca="false">IF(OR($C15="",$B$2="",$D$2=0),0,IF(BE$3&lt;0,0,N(INDEX('CURVA PREVISION'!$A$1:$KZ$3000,$C15,10+3*MIN(BE$3,$D$2-1)))))</f>
        <v>0</v>
      </c>
      <c r="BF15" s="131" t="n">
        <f aca="false">IF(OR($C15="",$B$2="",$D$2=0),0,IF(BF$3&lt;0,0,N(INDEX('CURVA PREVISION'!$A$1:$KZ$3000,$C15,10+3*MIN(BF$3,$D$2-1)))))</f>
        <v>0</v>
      </c>
      <c r="BG15" s="131" t="n">
        <f aca="false">IF(OR($C15="",$B$2="",$D$2=0),0,IF(BG$3&lt;0,0,N(INDEX('CURVA PREVISION'!$A$1:$KZ$3000,$C15,10+3*MIN(BG$3,$D$2-1)))))</f>
        <v>0</v>
      </c>
      <c r="BH15" s="131" t="n">
        <f aca="false">IF(OR($C15="",$B$2="",$D$2=0),0,IF(BH$3&lt;0,0,N(INDEX('CURVA PREVISION'!$A$1:$KZ$3000,$C15,10+3*MIN(BH$3,$D$2-1)))))</f>
        <v>0</v>
      </c>
      <c r="BI15" s="131" t="n">
        <f aca="false">IF(OR($C15="",$B$2="",$D$2=0),0,IF(BI$3&lt;0,0,N(INDEX('CURVA PREVISION'!$A$1:$KZ$3000,$C15,10+3*MIN(BI$3,$D$2-1)))))</f>
        <v>0</v>
      </c>
      <c r="BJ15" s="131" t="n">
        <f aca="false">IF(OR($C15="",$B$2="",$D$2=0),0,IF(BJ$3&lt;0,0,N(INDEX('CURVA PREVISION'!$A$1:$KZ$3000,$C15,10+3*MIN(BJ$3,$D$2-1)))))</f>
        <v>0</v>
      </c>
      <c r="BK15" s="131" t="n">
        <f aca="false">IF(OR($C15="",$B$2="",$D$2=0),0,IF(BK$3&lt;0,0,N(INDEX('CURVA PREVISION'!$A$1:$KZ$3000,$C15,10+3*MIN(BK$3,$D$2-1)))))</f>
        <v>0</v>
      </c>
      <c r="BL15" s="131" t="n">
        <f aca="false">IF(OR($C15="",$B$2="",$D$2=0),0,IF(BL$3&lt;0,0,N(INDEX('CURVA PREVISION'!$A$1:$KZ$3000,$C15,10+3*MIN(BL$3,$D$2-1)))))</f>
        <v>0</v>
      </c>
      <c r="BM15" s="131" t="n">
        <f aca="false">IF(OR($C15="",$B$2="",$D$2=0),0,IF(BM$3&lt;0,0,N(INDEX('CURVA PREVISION'!$A$1:$KZ$3000,$C15,10+3*MIN(BM$3,$D$2-1)))))</f>
        <v>0</v>
      </c>
      <c r="BN15" s="131" t="n">
        <f aca="false">IF(OR($C15="",$B$2="",$D$2=0),0,IF(BN$3&lt;0,0,N(INDEX('CURVA PREVISION'!$A$1:$KZ$3000,$C15,10+3*MIN(BN$3,$D$2-1)))))</f>
        <v>0</v>
      </c>
      <c r="BO15" s="131" t="n">
        <f aca="false">IF(OR($C15="",$B$2="",$D$2=0),0,IF(BO$3&lt;0,0,N(INDEX('CURVA PREVISION'!$A$1:$KZ$3000,$C15,10+3*MIN(BO$3,$D$2-1)))))</f>
        <v>0</v>
      </c>
      <c r="BP15" s="131" t="n">
        <f aca="false">IF(OR($C15="",$B$2="",$D$2=0),0,IF(BP$3&lt;0,0,N(INDEX('CURVA PREVISION'!$A$1:$KZ$3000,$C15,10+3*MIN(BP$3,$D$2-1)))))</f>
        <v>0</v>
      </c>
      <c r="BQ15" s="131" t="n">
        <f aca="false">IF(OR($C15="",$B$2="",$D$2=0),0,IF(BQ$3&lt;0,0,N(INDEX('CURVA PREVISION'!$A$1:$KZ$3000,$C15,10+3*MIN(BQ$3,$D$2-1)))))</f>
        <v>0</v>
      </c>
      <c r="BR15" s="131" t="n">
        <f aca="false">IF(OR($C15="",$B$2="",$D$2=0),0,IF(BR$3&lt;0,0,N(INDEX('CURVA PREVISION'!$A$1:$KZ$3000,$C15,10+3*MIN(BR$3,$D$2-1)))))</f>
        <v>0</v>
      </c>
      <c r="BS15" s="131" t="n">
        <f aca="false">IF(OR($C15="",$B$2="",$D$2=0),0,IF(BS$3&lt;0,0,N(INDEX('CURVA PREVISION'!$A$1:$KZ$3000,$C15,10+3*MIN(BS$3,$D$2-1)))))</f>
        <v>0</v>
      </c>
      <c r="BT15" s="131" t="n">
        <f aca="false">IF(OR($C15="",$B$2="",$D$2=0),0,IF(BT$3&lt;0,0,N(INDEX('CURVA PREVISION'!$A$1:$KZ$3000,$C15,10+3*MIN(BT$3,$D$2-1)))))</f>
        <v>0</v>
      </c>
      <c r="BU15" s="131" t="n">
        <f aca="false">IF(OR($C15="",$B$2="",$D$2=0),0,IF(BU$3&lt;0,0,N(INDEX('CURVA PREVISION'!$A$1:$KZ$3000,$C15,10+3*MIN(BU$3,$D$2-1)))))</f>
        <v>0</v>
      </c>
      <c r="BV15" s="131" t="n">
        <f aca="false">IF(OR($C15="",$B$2="",$D$2=0),0,IF(BV$3&lt;0,0,N(INDEX('CURVA PREVISION'!$A$1:$KZ$3000,$C15,10+3*MIN(BV$3,$D$2-1)))))</f>
        <v>0</v>
      </c>
      <c r="BW15" s="131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264</v>
      </c>
      <c r="D16" s="131" t="n">
        <f aca="false">IF(OR($C16="",$B$2="",$D$2=0),0,IF(D$3&lt;0,0,N(INDEX('CURVA PREVISION'!$A$1:$KZ$3000,$C16,10+3*MIN(D$3,$D$2-1)))))</f>
        <v>0</v>
      </c>
      <c r="E16" s="131" t="n">
        <f aca="false">IF(OR($C16="",$B$2="",$D$2=0),0,IF(E$3&lt;0,0,N(INDEX('CURVA PREVISION'!$A$1:$KZ$3000,$C16,10+3*MIN(E$3,$D$2-1)))))</f>
        <v>0</v>
      </c>
      <c r="F16" s="131" t="n">
        <f aca="false">IF(OR($C16="",$B$2="",$D$2=0),0,IF(F$3&lt;0,0,N(INDEX('CURVA PREVISION'!$A$1:$KZ$3000,$C16,10+3*MIN(F$3,$D$2-1)))))</f>
        <v>0</v>
      </c>
      <c r="G16" s="131" t="n">
        <f aca="false">IF(OR($C16="",$B$2="",$D$2=0),0,IF(G$3&lt;0,0,N(INDEX('CURVA PREVISION'!$A$1:$KZ$3000,$C16,10+3*MIN(G$3,$D$2-1)))))</f>
        <v>0</v>
      </c>
      <c r="H16" s="131" t="n">
        <f aca="false">IF(OR($C16="",$B$2="",$D$2=0),0,IF(H$3&lt;0,0,N(INDEX('CURVA PREVISION'!$A$1:$KZ$3000,$C16,10+3*MIN(H$3,$D$2-1)))))</f>
        <v>0</v>
      </c>
      <c r="I16" s="131" t="n">
        <f aca="false">IF(OR($C16="",$B$2="",$D$2=0),0,IF(I$3&lt;0,0,N(INDEX('CURVA PREVISION'!$A$1:$KZ$3000,$C16,10+3*MIN(I$3,$D$2-1)))))</f>
        <v>100</v>
      </c>
      <c r="J16" s="131" t="n">
        <f aca="false">IF(OR($C16="",$B$2="",$D$2=0),0,IF(J$3&lt;0,0,N(INDEX('CURVA PREVISION'!$A$1:$KZ$3000,$C16,10+3*MIN(J$3,$D$2-1)))))</f>
        <v>100</v>
      </c>
      <c r="K16" s="131" t="n">
        <f aca="false">IF(OR($C16="",$B$2="",$D$2=0),0,IF(K$3&lt;0,0,N(INDEX('CURVA PREVISION'!$A$1:$KZ$3000,$C16,10+3*MIN(K$3,$D$2-1)))))</f>
        <v>100</v>
      </c>
      <c r="L16" s="131" t="n">
        <f aca="false">IF(OR($C16="",$B$2="",$D$2=0),0,IF(L$3&lt;0,0,N(INDEX('CURVA PREVISION'!$A$1:$KZ$3000,$C16,10+3*MIN(L$3,$D$2-1)))))</f>
        <v>100</v>
      </c>
      <c r="M16" s="131" t="n">
        <f aca="false">IF(OR($C16="",$B$2="",$D$2=0),0,IF(M$3&lt;0,0,N(INDEX('CURVA PREVISION'!$A$1:$KZ$3000,$C16,10+3*MIN(M$3,$D$2-1)))))</f>
        <v>100</v>
      </c>
      <c r="N16" s="131" t="n">
        <f aca="false">IF(OR($C16="",$B$2="",$D$2=0),0,IF(N$3&lt;0,0,N(INDEX('CURVA PREVISION'!$A$1:$KZ$3000,$C16,10+3*MIN(N$3,$D$2-1)))))</f>
        <v>100</v>
      </c>
      <c r="O16" s="131" t="n">
        <f aca="false">IF(OR($C16="",$B$2="",$D$2=0),0,IF(O$3&lt;0,0,N(INDEX('CURVA PREVISION'!$A$1:$KZ$3000,$C16,10+3*MIN(O$3,$D$2-1)))))</f>
        <v>100</v>
      </c>
      <c r="P16" s="131" t="n">
        <f aca="false">IF(OR($C16="",$B$2="",$D$2=0),0,IF(P$3&lt;0,0,N(INDEX('CURVA PREVISION'!$A$1:$KZ$3000,$C16,10+3*MIN(P$3,$D$2-1)))))</f>
        <v>100</v>
      </c>
      <c r="Q16" s="131" t="n">
        <f aca="false">IF(OR($C16="",$B$2="",$D$2=0),0,IF(Q$3&lt;0,0,N(INDEX('CURVA PREVISION'!$A$1:$KZ$3000,$C16,10+3*MIN(Q$3,$D$2-1)))))</f>
        <v>100</v>
      </c>
      <c r="R16" s="131" t="n">
        <f aca="false">IF(OR($C16="",$B$2="",$D$2=0),0,IF(R$3&lt;0,0,N(INDEX('CURVA PREVISION'!$A$1:$KZ$3000,$C16,10+3*MIN(R$3,$D$2-1)))))</f>
        <v>100</v>
      </c>
      <c r="S16" s="131" t="n">
        <f aca="false">IF(OR($C16="",$B$2="",$D$2=0),0,IF(S$3&lt;0,0,N(INDEX('CURVA PREVISION'!$A$1:$KZ$3000,$C16,10+3*MIN(S$3,$D$2-1)))))</f>
        <v>100</v>
      </c>
      <c r="T16" s="131" t="n">
        <f aca="false">IF(OR($C16="",$B$2="",$D$2=0),0,IF(T$3&lt;0,0,N(INDEX('CURVA PREVISION'!$A$1:$KZ$3000,$C16,10+3*MIN(T$3,$D$2-1)))))</f>
        <v>100</v>
      </c>
      <c r="U16" s="131" t="n">
        <f aca="false">IF(OR($C16="",$B$2="",$D$2=0),0,IF(U$3&lt;0,0,N(INDEX('CURVA PREVISION'!$A$1:$KZ$3000,$C16,10+3*MIN(U$3,$D$2-1)))))</f>
        <v>100</v>
      </c>
      <c r="V16" s="131" t="n">
        <f aca="false">IF(OR($C16="",$B$2="",$D$2=0),0,IF(V$3&lt;0,0,N(INDEX('CURVA PREVISION'!$A$1:$KZ$3000,$C16,10+3*MIN(V$3,$D$2-1)))))</f>
        <v>100</v>
      </c>
      <c r="W16" s="131" t="n">
        <f aca="false">IF(OR($C16="",$B$2="",$D$2=0),0,IF(W$3&lt;0,0,N(INDEX('CURVA PREVISION'!$A$1:$KZ$3000,$C16,10+3*MIN(W$3,$D$2-1)))))</f>
        <v>100</v>
      </c>
      <c r="X16" s="131" t="n">
        <f aca="false">IF(OR($C16="",$B$2="",$D$2=0),0,IF(X$3&lt;0,0,N(INDEX('CURVA PREVISION'!$A$1:$KZ$3000,$C16,10+3*MIN(X$3,$D$2-1)))))</f>
        <v>100</v>
      </c>
      <c r="Y16" s="131" t="n">
        <f aca="false">IF(OR($C16="",$B$2="",$D$2=0),0,IF(Y$3&lt;0,0,N(INDEX('CURVA PREVISION'!$A$1:$KZ$3000,$C16,10+3*MIN(Y$3,$D$2-1)))))</f>
        <v>100</v>
      </c>
      <c r="Z16" s="131" t="n">
        <f aca="false">IF(OR($C16="",$B$2="",$D$2=0),0,IF(Z$3&lt;0,0,N(INDEX('CURVA PREVISION'!$A$1:$KZ$3000,$C16,10+3*MIN(Z$3,$D$2-1)))))</f>
        <v>100</v>
      </c>
      <c r="AA16" s="131" t="n">
        <f aca="false">IF(OR($C16="",$B$2="",$D$2=0),0,IF(AA$3&lt;0,0,N(INDEX('CURVA PREVISION'!$A$1:$KZ$3000,$C16,10+3*MIN(AA$3,$D$2-1)))))</f>
        <v>100</v>
      </c>
      <c r="AB16" s="131" t="n">
        <f aca="false">IF(OR($C16="",$B$2="",$D$2=0),0,IF(AB$3&lt;0,0,N(INDEX('CURVA PREVISION'!$A$1:$KZ$3000,$C16,10+3*MIN(AB$3,$D$2-1)))))</f>
        <v>100</v>
      </c>
      <c r="AC16" s="131" t="n">
        <f aca="false">IF(OR($C16="",$B$2="",$D$2=0),0,IF(AC$3&lt;0,0,N(INDEX('CURVA PREVISION'!$A$1:$KZ$3000,$C16,10+3*MIN(AC$3,$D$2-1)))))</f>
        <v>100</v>
      </c>
      <c r="AD16" s="131" t="n">
        <f aca="false">IF(OR($C16="",$B$2="",$D$2=0),0,IF(AD$3&lt;0,0,N(INDEX('CURVA PREVISION'!$A$1:$KZ$3000,$C16,10+3*MIN(AD$3,$D$2-1)))))</f>
        <v>100</v>
      </c>
      <c r="AE16" s="131" t="n">
        <f aca="false">IF(OR($C16="",$B$2="",$D$2=0),0,IF(AE$3&lt;0,0,N(INDEX('CURVA PREVISION'!$A$1:$KZ$3000,$C16,10+3*MIN(AE$3,$D$2-1)))))</f>
        <v>100</v>
      </c>
      <c r="AF16" s="131" t="n">
        <f aca="false">IF(OR($C16="",$B$2="",$D$2=0),0,IF(AF$3&lt;0,0,N(INDEX('CURVA PREVISION'!$A$1:$KZ$3000,$C16,10+3*MIN(AF$3,$D$2-1)))))</f>
        <v>100</v>
      </c>
      <c r="AG16" s="131" t="n">
        <f aca="false">IF(OR($C16="",$B$2="",$D$2=0),0,IF(AG$3&lt;0,0,N(INDEX('CURVA PREVISION'!$A$1:$KZ$3000,$C16,10+3*MIN(AG$3,$D$2-1)))))</f>
        <v>100</v>
      </c>
      <c r="AH16" s="131" t="n">
        <f aca="false">IF(OR($C16="",$B$2="",$D$2=0),0,IF(AH$3&lt;0,0,N(INDEX('CURVA PREVISION'!$A$1:$KZ$3000,$C16,10+3*MIN(AH$3,$D$2-1)))))</f>
        <v>100</v>
      </c>
      <c r="AI16" s="131" t="n">
        <f aca="false">IF(OR($C16="",$B$2="",$D$2=0),0,IF(AI$3&lt;0,0,N(INDEX('CURVA PREVISION'!$A$1:$KZ$3000,$C16,10+3*MIN(AI$3,$D$2-1)))))</f>
        <v>100</v>
      </c>
      <c r="AJ16" s="131" t="n">
        <f aca="false">IF(OR($C16="",$B$2="",$D$2=0),0,IF(AJ$3&lt;0,0,N(INDEX('CURVA PREVISION'!$A$1:$KZ$3000,$C16,10+3*MIN(AJ$3,$D$2-1)))))</f>
        <v>100</v>
      </c>
      <c r="AK16" s="131" t="n">
        <f aca="false">IF(OR($C16="",$B$2="",$D$2=0),0,IF(AK$3&lt;0,0,N(INDEX('CURVA PREVISION'!$A$1:$KZ$3000,$C16,10+3*MIN(AK$3,$D$2-1)))))</f>
        <v>100</v>
      </c>
      <c r="AL16" s="131" t="n">
        <f aca="false">IF(OR($C16="",$B$2="",$D$2=0),0,IF(AL$3&lt;0,0,N(INDEX('CURVA PREVISION'!$A$1:$KZ$3000,$C16,10+3*MIN(AL$3,$D$2-1)))))</f>
        <v>100</v>
      </c>
      <c r="AM16" s="131" t="n">
        <f aca="false">IF(OR($C16="",$B$2="",$D$2=0),0,IF(AM$3&lt;0,0,N(INDEX('CURVA PREVISION'!$A$1:$KZ$3000,$C16,10+3*MIN(AM$3,$D$2-1)))))</f>
        <v>100</v>
      </c>
      <c r="AN16" s="131" t="n">
        <f aca="false">IF(OR($C16="",$B$2="",$D$2=0),0,IF(AN$3&lt;0,0,N(INDEX('CURVA PREVISION'!$A$1:$KZ$3000,$C16,10+3*MIN(AN$3,$D$2-1)))))</f>
        <v>100</v>
      </c>
      <c r="AO16" s="131" t="n">
        <f aca="false">IF(OR($C16="",$B$2="",$D$2=0),0,IF(AO$3&lt;0,0,N(INDEX('CURVA PREVISION'!$A$1:$KZ$3000,$C16,10+3*MIN(AO$3,$D$2-1)))))</f>
        <v>100</v>
      </c>
      <c r="AP16" s="131" t="n">
        <f aca="false">IF(OR($C16="",$B$2="",$D$2=0),0,IF(AP$3&lt;0,0,N(INDEX('CURVA PREVISION'!$A$1:$KZ$3000,$C16,10+3*MIN(AP$3,$D$2-1)))))</f>
        <v>100</v>
      </c>
      <c r="AQ16" s="131" t="n">
        <f aca="false">IF(OR($C16="",$B$2="",$D$2=0),0,IF(AQ$3&lt;0,0,N(INDEX('CURVA PREVISION'!$A$1:$KZ$3000,$C16,10+3*MIN(AQ$3,$D$2-1)))))</f>
        <v>100</v>
      </c>
      <c r="AR16" s="131" t="n">
        <f aca="false">IF(OR($C16="",$B$2="",$D$2=0),0,IF(AR$3&lt;0,0,N(INDEX('CURVA PREVISION'!$A$1:$KZ$3000,$C16,10+3*MIN(AR$3,$D$2-1)))))</f>
        <v>100</v>
      </c>
      <c r="AS16" s="131" t="n">
        <f aca="false">IF(OR($C16="",$B$2="",$D$2=0),0,IF(AS$3&lt;0,0,N(INDEX('CURVA PREVISION'!$A$1:$KZ$3000,$C16,10+3*MIN(AS$3,$D$2-1)))))</f>
        <v>100</v>
      </c>
      <c r="AT16" s="131" t="n">
        <f aca="false">IF(OR($C16="",$B$2="",$D$2=0),0,IF(AT$3&lt;0,0,N(INDEX('CURVA PREVISION'!$A$1:$KZ$3000,$C16,10+3*MIN(AT$3,$D$2-1)))))</f>
        <v>100</v>
      </c>
      <c r="AU16" s="131" t="n">
        <f aca="false">IF(OR($C16="",$B$2="",$D$2=0),0,IF(AU$3&lt;0,0,N(INDEX('CURVA PREVISION'!$A$1:$KZ$3000,$C16,10+3*MIN(AU$3,$D$2-1)))))</f>
        <v>100</v>
      </c>
      <c r="AV16" s="131" t="n">
        <f aca="false">IF(OR($C16="",$B$2="",$D$2=0),0,IF(AV$3&lt;0,0,N(INDEX('CURVA PREVISION'!$A$1:$KZ$3000,$C16,10+3*MIN(AV$3,$D$2-1)))))</f>
        <v>100</v>
      </c>
      <c r="AW16" s="131" t="n">
        <f aca="false">IF(OR($C16="",$B$2="",$D$2=0),0,IF(AW$3&lt;0,0,N(INDEX('CURVA PREVISION'!$A$1:$KZ$3000,$C16,10+3*MIN(AW$3,$D$2-1)))))</f>
        <v>100</v>
      </c>
      <c r="AX16" s="131" t="n">
        <f aca="false">IF(OR($C16="",$B$2="",$D$2=0),0,IF(AX$3&lt;0,0,N(INDEX('CURVA PREVISION'!$A$1:$KZ$3000,$C16,10+3*MIN(AX$3,$D$2-1)))))</f>
        <v>100</v>
      </c>
      <c r="AY16" s="131" t="n">
        <f aca="false">IF(OR($C16="",$B$2="",$D$2=0),0,IF(AY$3&lt;0,0,N(INDEX('CURVA PREVISION'!$A$1:$KZ$3000,$C16,10+3*MIN(AY$3,$D$2-1)))))</f>
        <v>100</v>
      </c>
      <c r="AZ16" s="131" t="n">
        <f aca="false">IF(OR($C16="",$B$2="",$D$2=0),0,IF(AZ$3&lt;0,0,N(INDEX('CURVA PREVISION'!$A$1:$KZ$3000,$C16,10+3*MIN(AZ$3,$D$2-1)))))</f>
        <v>100</v>
      </c>
      <c r="BA16" s="131" t="n">
        <f aca="false">IF(OR($C16="",$B$2="",$D$2=0),0,IF(BA$3&lt;0,0,N(INDEX('CURVA PREVISION'!$A$1:$KZ$3000,$C16,10+3*MIN(BA$3,$D$2-1)))))</f>
        <v>100</v>
      </c>
      <c r="BB16" s="131" t="n">
        <f aca="false">IF(OR($C16="",$B$2="",$D$2=0),0,IF(BB$3&lt;0,0,N(INDEX('CURVA PREVISION'!$A$1:$KZ$3000,$C16,10+3*MIN(BB$3,$D$2-1)))))</f>
        <v>100</v>
      </c>
      <c r="BC16" s="131" t="n">
        <f aca="false">IF(OR($C16="",$B$2="",$D$2=0),0,IF(BC$3&lt;0,0,N(INDEX('CURVA PREVISION'!$A$1:$KZ$3000,$C16,10+3*MIN(BC$3,$D$2-1)))))</f>
        <v>100</v>
      </c>
      <c r="BD16" s="131" t="n">
        <f aca="false">IF(OR($C16="",$B$2="",$D$2=0),0,IF(BD$3&lt;0,0,N(INDEX('CURVA PREVISION'!$A$1:$KZ$3000,$C16,10+3*MIN(BD$3,$D$2-1)))))</f>
        <v>100</v>
      </c>
      <c r="BE16" s="131" t="n">
        <f aca="false">IF(OR($C16="",$B$2="",$D$2=0),0,IF(BE$3&lt;0,0,N(INDEX('CURVA PREVISION'!$A$1:$KZ$3000,$C16,10+3*MIN(BE$3,$D$2-1)))))</f>
        <v>100</v>
      </c>
      <c r="BF16" s="131" t="n">
        <f aca="false">IF(OR($C16="",$B$2="",$D$2=0),0,IF(BF$3&lt;0,0,N(INDEX('CURVA PREVISION'!$A$1:$KZ$3000,$C16,10+3*MIN(BF$3,$D$2-1)))))</f>
        <v>100</v>
      </c>
      <c r="BG16" s="131" t="n">
        <f aca="false">IF(OR($C16="",$B$2="",$D$2=0),0,IF(BG$3&lt;0,0,N(INDEX('CURVA PREVISION'!$A$1:$KZ$3000,$C16,10+3*MIN(BG$3,$D$2-1)))))</f>
        <v>100</v>
      </c>
      <c r="BH16" s="131" t="n">
        <f aca="false">IF(OR($C16="",$B$2="",$D$2=0),0,IF(BH$3&lt;0,0,N(INDEX('CURVA PREVISION'!$A$1:$KZ$3000,$C16,10+3*MIN(BH$3,$D$2-1)))))</f>
        <v>100</v>
      </c>
      <c r="BI16" s="131" t="n">
        <f aca="false">IF(OR($C16="",$B$2="",$D$2=0),0,IF(BI$3&lt;0,0,N(INDEX('CURVA PREVISION'!$A$1:$KZ$3000,$C16,10+3*MIN(BI$3,$D$2-1)))))</f>
        <v>100</v>
      </c>
      <c r="BJ16" s="131" t="n">
        <f aca="false">IF(OR($C16="",$B$2="",$D$2=0),0,IF(BJ$3&lt;0,0,N(INDEX('CURVA PREVISION'!$A$1:$KZ$3000,$C16,10+3*MIN(BJ$3,$D$2-1)))))</f>
        <v>100</v>
      </c>
      <c r="BK16" s="131" t="n">
        <f aca="false">IF(OR($C16="",$B$2="",$D$2=0),0,IF(BK$3&lt;0,0,N(INDEX('CURVA PREVISION'!$A$1:$KZ$3000,$C16,10+3*MIN(BK$3,$D$2-1)))))</f>
        <v>100</v>
      </c>
      <c r="BL16" s="131" t="n">
        <f aca="false">IF(OR($C16="",$B$2="",$D$2=0),0,IF(BL$3&lt;0,0,N(INDEX('CURVA PREVISION'!$A$1:$KZ$3000,$C16,10+3*MIN(BL$3,$D$2-1)))))</f>
        <v>100</v>
      </c>
      <c r="BM16" s="131" t="n">
        <f aca="false">IF(OR($C16="",$B$2="",$D$2=0),0,IF(BM$3&lt;0,0,N(INDEX('CURVA PREVISION'!$A$1:$KZ$3000,$C16,10+3*MIN(BM$3,$D$2-1)))))</f>
        <v>100</v>
      </c>
      <c r="BN16" s="131" t="n">
        <f aca="false">IF(OR($C16="",$B$2="",$D$2=0),0,IF(BN$3&lt;0,0,N(INDEX('CURVA PREVISION'!$A$1:$KZ$3000,$C16,10+3*MIN(BN$3,$D$2-1)))))</f>
        <v>100</v>
      </c>
      <c r="BO16" s="131" t="n">
        <f aca="false">IF(OR($C16="",$B$2="",$D$2=0),0,IF(BO$3&lt;0,0,N(INDEX('CURVA PREVISION'!$A$1:$KZ$3000,$C16,10+3*MIN(BO$3,$D$2-1)))))</f>
        <v>100</v>
      </c>
      <c r="BP16" s="131" t="n">
        <f aca="false">IF(OR($C16="",$B$2="",$D$2=0),0,IF(BP$3&lt;0,0,N(INDEX('CURVA PREVISION'!$A$1:$KZ$3000,$C16,10+3*MIN(BP$3,$D$2-1)))))</f>
        <v>100</v>
      </c>
      <c r="BQ16" s="131" t="n">
        <f aca="false">IF(OR($C16="",$B$2="",$D$2=0),0,IF(BQ$3&lt;0,0,N(INDEX('CURVA PREVISION'!$A$1:$KZ$3000,$C16,10+3*MIN(BQ$3,$D$2-1)))))</f>
        <v>100</v>
      </c>
      <c r="BR16" s="131" t="n">
        <f aca="false">IF(OR($C16="",$B$2="",$D$2=0),0,IF(BR$3&lt;0,0,N(INDEX('CURVA PREVISION'!$A$1:$KZ$3000,$C16,10+3*MIN(BR$3,$D$2-1)))))</f>
        <v>100</v>
      </c>
      <c r="BS16" s="131" t="n">
        <f aca="false">IF(OR($C16="",$B$2="",$D$2=0),0,IF(BS$3&lt;0,0,N(INDEX('CURVA PREVISION'!$A$1:$KZ$3000,$C16,10+3*MIN(BS$3,$D$2-1)))))</f>
        <v>100</v>
      </c>
      <c r="BT16" s="131" t="n">
        <f aca="false">IF(OR($C16="",$B$2="",$D$2=0),0,IF(BT$3&lt;0,0,N(INDEX('CURVA PREVISION'!$A$1:$KZ$3000,$C16,10+3*MIN(BT$3,$D$2-1)))))</f>
        <v>100</v>
      </c>
      <c r="BU16" s="131" t="n">
        <f aca="false">IF(OR($C16="",$B$2="",$D$2=0),0,IF(BU$3&lt;0,0,N(INDEX('CURVA PREVISION'!$A$1:$KZ$3000,$C16,10+3*MIN(BU$3,$D$2-1)))))</f>
        <v>100</v>
      </c>
      <c r="BV16" s="131" t="n">
        <f aca="false">IF(OR($C16="",$B$2="",$D$2=0),0,IF(BV$3&lt;0,0,N(INDEX('CURVA PREVISION'!$A$1:$KZ$3000,$C16,10+3*MIN(BV$3,$D$2-1)))))</f>
        <v>100</v>
      </c>
      <c r="BW16" s="131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267</v>
      </c>
      <c r="D17" s="131" t="n">
        <f aca="false">IF(OR($C17="",$B$2="",$D$2=0),0,IF(D$3&lt;0,0,N(INDEX('CURVA PREVISION'!$A$1:$KZ$3000,$C17,10+3*MIN(D$3,$D$2-1)))))</f>
        <v>0</v>
      </c>
      <c r="E17" s="131" t="n">
        <f aca="false">IF(OR($C17="",$B$2="",$D$2=0),0,IF(E$3&lt;0,0,N(INDEX('CURVA PREVISION'!$A$1:$KZ$3000,$C17,10+3*MIN(E$3,$D$2-1)))))</f>
        <v>0</v>
      </c>
      <c r="F17" s="131" t="n">
        <f aca="false">IF(OR($C17="",$B$2="",$D$2=0),0,IF(F$3&lt;0,0,N(INDEX('CURVA PREVISION'!$A$1:$KZ$3000,$C17,10+3*MIN(F$3,$D$2-1)))))</f>
        <v>0</v>
      </c>
      <c r="G17" s="131" t="n">
        <f aca="false">IF(OR($C17="",$B$2="",$D$2=0),0,IF(G$3&lt;0,0,N(INDEX('CURVA PREVISION'!$A$1:$KZ$3000,$C17,10+3*MIN(G$3,$D$2-1)))))</f>
        <v>0</v>
      </c>
      <c r="H17" s="131" t="n">
        <f aca="false">IF(OR($C17="",$B$2="",$D$2=0),0,IF(H$3&lt;0,0,N(INDEX('CURVA PREVISION'!$A$1:$KZ$3000,$C17,10+3*MIN(H$3,$D$2-1)))))</f>
        <v>0</v>
      </c>
      <c r="I17" s="131" t="n">
        <f aca="false">IF(OR($C17="",$B$2="",$D$2=0),0,IF(I$3&lt;0,0,N(INDEX('CURVA PREVISION'!$A$1:$KZ$3000,$C17,10+3*MIN(I$3,$D$2-1)))))</f>
        <v>11.72</v>
      </c>
      <c r="J17" s="131" t="n">
        <f aca="false">IF(OR($C17="",$B$2="",$D$2=0),0,IF(J$3&lt;0,0,N(INDEX('CURVA PREVISION'!$A$1:$KZ$3000,$C17,10+3*MIN(J$3,$D$2-1)))))</f>
        <v>27.34</v>
      </c>
      <c r="K17" s="131" t="n">
        <f aca="false">IF(OR($C17="",$B$2="",$D$2=0),0,IF(K$3&lt;0,0,N(INDEX('CURVA PREVISION'!$A$1:$KZ$3000,$C17,10+3*MIN(K$3,$D$2-1)))))</f>
        <v>45.31</v>
      </c>
      <c r="L17" s="131" t="n">
        <f aca="false">IF(OR($C17="",$B$2="",$D$2=0),0,IF(L$3&lt;0,0,N(INDEX('CURVA PREVISION'!$A$1:$KZ$3000,$C17,10+3*MIN(L$3,$D$2-1)))))</f>
        <v>60.94</v>
      </c>
      <c r="M17" s="131" t="n">
        <f aca="false">IF(OR($C17="",$B$2="",$D$2=0),0,IF(M$3&lt;0,0,N(INDEX('CURVA PREVISION'!$A$1:$KZ$3000,$C17,10+3*MIN(M$3,$D$2-1)))))</f>
        <v>78.13</v>
      </c>
      <c r="N17" s="131" t="n">
        <f aca="false">IF(OR($C17="",$B$2="",$D$2=0),0,IF(N$3&lt;0,0,N(INDEX('CURVA PREVISION'!$A$1:$KZ$3000,$C17,10+3*MIN(N$3,$D$2-1)))))</f>
        <v>96.09</v>
      </c>
      <c r="O17" s="131" t="n">
        <f aca="false">IF(OR($C17="",$B$2="",$D$2=0),0,IF(O$3&lt;0,0,N(INDEX('CURVA PREVISION'!$A$1:$KZ$3000,$C17,10+3*MIN(O$3,$D$2-1)))))</f>
        <v>99</v>
      </c>
      <c r="P17" s="131" t="n">
        <f aca="false">IF(OR($C17="",$B$2="",$D$2=0),0,IF(P$3&lt;0,0,N(INDEX('CURVA PREVISION'!$A$1:$KZ$3000,$C17,10+3*MIN(P$3,$D$2-1)))))</f>
        <v>100</v>
      </c>
      <c r="Q17" s="131" t="n">
        <f aca="false">IF(OR($C17="",$B$2="",$D$2=0),0,IF(Q$3&lt;0,0,N(INDEX('CURVA PREVISION'!$A$1:$KZ$3000,$C17,10+3*MIN(Q$3,$D$2-1)))))</f>
        <v>100</v>
      </c>
      <c r="R17" s="131" t="n">
        <f aca="false">IF(OR($C17="",$B$2="",$D$2=0),0,IF(R$3&lt;0,0,N(INDEX('CURVA PREVISION'!$A$1:$KZ$3000,$C17,10+3*MIN(R$3,$D$2-1)))))</f>
        <v>100</v>
      </c>
      <c r="S17" s="131" t="n">
        <f aca="false">IF(OR($C17="",$B$2="",$D$2=0),0,IF(S$3&lt;0,0,N(INDEX('CURVA PREVISION'!$A$1:$KZ$3000,$C17,10+3*MIN(S$3,$D$2-1)))))</f>
        <v>100</v>
      </c>
      <c r="T17" s="131" t="n">
        <f aca="false">IF(OR($C17="",$B$2="",$D$2=0),0,IF(T$3&lt;0,0,N(INDEX('CURVA PREVISION'!$A$1:$KZ$3000,$C17,10+3*MIN(T$3,$D$2-1)))))</f>
        <v>100</v>
      </c>
      <c r="U17" s="131" t="n">
        <f aca="false">IF(OR($C17="",$B$2="",$D$2=0),0,IF(U$3&lt;0,0,N(INDEX('CURVA PREVISION'!$A$1:$KZ$3000,$C17,10+3*MIN(U$3,$D$2-1)))))</f>
        <v>100</v>
      </c>
      <c r="V17" s="131" t="n">
        <f aca="false">IF(OR($C17="",$B$2="",$D$2=0),0,IF(V$3&lt;0,0,N(INDEX('CURVA PREVISION'!$A$1:$KZ$3000,$C17,10+3*MIN(V$3,$D$2-1)))))</f>
        <v>100</v>
      </c>
      <c r="W17" s="131" t="n">
        <f aca="false">IF(OR($C17="",$B$2="",$D$2=0),0,IF(W$3&lt;0,0,N(INDEX('CURVA PREVISION'!$A$1:$KZ$3000,$C17,10+3*MIN(W$3,$D$2-1)))))</f>
        <v>100</v>
      </c>
      <c r="X17" s="131" t="n">
        <f aca="false">IF(OR($C17="",$B$2="",$D$2=0),0,IF(X$3&lt;0,0,N(INDEX('CURVA PREVISION'!$A$1:$KZ$3000,$C17,10+3*MIN(X$3,$D$2-1)))))</f>
        <v>100</v>
      </c>
      <c r="Y17" s="131" t="n">
        <f aca="false">IF(OR($C17="",$B$2="",$D$2=0),0,IF(Y$3&lt;0,0,N(INDEX('CURVA PREVISION'!$A$1:$KZ$3000,$C17,10+3*MIN(Y$3,$D$2-1)))))</f>
        <v>100</v>
      </c>
      <c r="Z17" s="131" t="n">
        <f aca="false">IF(OR($C17="",$B$2="",$D$2=0),0,IF(Z$3&lt;0,0,N(INDEX('CURVA PREVISION'!$A$1:$KZ$3000,$C17,10+3*MIN(Z$3,$D$2-1)))))</f>
        <v>100</v>
      </c>
      <c r="AA17" s="131" t="n">
        <f aca="false">IF(OR($C17="",$B$2="",$D$2=0),0,IF(AA$3&lt;0,0,N(INDEX('CURVA PREVISION'!$A$1:$KZ$3000,$C17,10+3*MIN(AA$3,$D$2-1)))))</f>
        <v>100</v>
      </c>
      <c r="AB17" s="131" t="n">
        <f aca="false">IF(OR($C17="",$B$2="",$D$2=0),0,IF(AB$3&lt;0,0,N(INDEX('CURVA PREVISION'!$A$1:$KZ$3000,$C17,10+3*MIN(AB$3,$D$2-1)))))</f>
        <v>100</v>
      </c>
      <c r="AC17" s="131" t="n">
        <f aca="false">IF(OR($C17="",$B$2="",$D$2=0),0,IF(AC$3&lt;0,0,N(INDEX('CURVA PREVISION'!$A$1:$KZ$3000,$C17,10+3*MIN(AC$3,$D$2-1)))))</f>
        <v>100</v>
      </c>
      <c r="AD17" s="131" t="n">
        <f aca="false">IF(OR($C17="",$B$2="",$D$2=0),0,IF(AD$3&lt;0,0,N(INDEX('CURVA PREVISION'!$A$1:$KZ$3000,$C17,10+3*MIN(AD$3,$D$2-1)))))</f>
        <v>100</v>
      </c>
      <c r="AE17" s="131" t="n">
        <f aca="false">IF(OR($C17="",$B$2="",$D$2=0),0,IF(AE$3&lt;0,0,N(INDEX('CURVA PREVISION'!$A$1:$KZ$3000,$C17,10+3*MIN(AE$3,$D$2-1)))))</f>
        <v>100</v>
      </c>
      <c r="AF17" s="131" t="n">
        <f aca="false">IF(OR($C17="",$B$2="",$D$2=0),0,IF(AF$3&lt;0,0,N(INDEX('CURVA PREVISION'!$A$1:$KZ$3000,$C17,10+3*MIN(AF$3,$D$2-1)))))</f>
        <v>100</v>
      </c>
      <c r="AG17" s="131" t="n">
        <f aca="false">IF(OR($C17="",$B$2="",$D$2=0),0,IF(AG$3&lt;0,0,N(INDEX('CURVA PREVISION'!$A$1:$KZ$3000,$C17,10+3*MIN(AG$3,$D$2-1)))))</f>
        <v>100</v>
      </c>
      <c r="AH17" s="131" t="n">
        <f aca="false">IF(OR($C17="",$B$2="",$D$2=0),0,IF(AH$3&lt;0,0,N(INDEX('CURVA PREVISION'!$A$1:$KZ$3000,$C17,10+3*MIN(AH$3,$D$2-1)))))</f>
        <v>100</v>
      </c>
      <c r="AI17" s="131" t="n">
        <f aca="false">IF(OR($C17="",$B$2="",$D$2=0),0,IF(AI$3&lt;0,0,N(INDEX('CURVA PREVISION'!$A$1:$KZ$3000,$C17,10+3*MIN(AI$3,$D$2-1)))))</f>
        <v>100</v>
      </c>
      <c r="AJ17" s="131" t="n">
        <f aca="false">IF(OR($C17="",$B$2="",$D$2=0),0,IF(AJ$3&lt;0,0,N(INDEX('CURVA PREVISION'!$A$1:$KZ$3000,$C17,10+3*MIN(AJ$3,$D$2-1)))))</f>
        <v>100</v>
      </c>
      <c r="AK17" s="131" t="n">
        <f aca="false">IF(OR($C17="",$B$2="",$D$2=0),0,IF(AK$3&lt;0,0,N(INDEX('CURVA PREVISION'!$A$1:$KZ$3000,$C17,10+3*MIN(AK$3,$D$2-1)))))</f>
        <v>100</v>
      </c>
      <c r="AL17" s="131" t="n">
        <f aca="false">IF(OR($C17="",$B$2="",$D$2=0),0,IF(AL$3&lt;0,0,N(INDEX('CURVA PREVISION'!$A$1:$KZ$3000,$C17,10+3*MIN(AL$3,$D$2-1)))))</f>
        <v>100</v>
      </c>
      <c r="AM17" s="131" t="n">
        <f aca="false">IF(OR($C17="",$B$2="",$D$2=0),0,IF(AM$3&lt;0,0,N(INDEX('CURVA PREVISION'!$A$1:$KZ$3000,$C17,10+3*MIN(AM$3,$D$2-1)))))</f>
        <v>100</v>
      </c>
      <c r="AN17" s="131" t="n">
        <f aca="false">IF(OR($C17="",$B$2="",$D$2=0),0,IF(AN$3&lt;0,0,N(INDEX('CURVA PREVISION'!$A$1:$KZ$3000,$C17,10+3*MIN(AN$3,$D$2-1)))))</f>
        <v>100</v>
      </c>
      <c r="AO17" s="131" t="n">
        <f aca="false">IF(OR($C17="",$B$2="",$D$2=0),0,IF(AO$3&lt;0,0,N(INDEX('CURVA PREVISION'!$A$1:$KZ$3000,$C17,10+3*MIN(AO$3,$D$2-1)))))</f>
        <v>100</v>
      </c>
      <c r="AP17" s="131" t="n">
        <f aca="false">IF(OR($C17="",$B$2="",$D$2=0),0,IF(AP$3&lt;0,0,N(INDEX('CURVA PREVISION'!$A$1:$KZ$3000,$C17,10+3*MIN(AP$3,$D$2-1)))))</f>
        <v>100</v>
      </c>
      <c r="AQ17" s="131" t="n">
        <f aca="false">IF(OR($C17="",$B$2="",$D$2=0),0,IF(AQ$3&lt;0,0,N(INDEX('CURVA PREVISION'!$A$1:$KZ$3000,$C17,10+3*MIN(AQ$3,$D$2-1)))))</f>
        <v>100</v>
      </c>
      <c r="AR17" s="131" t="n">
        <f aca="false">IF(OR($C17="",$B$2="",$D$2=0),0,IF(AR$3&lt;0,0,N(INDEX('CURVA PREVISION'!$A$1:$KZ$3000,$C17,10+3*MIN(AR$3,$D$2-1)))))</f>
        <v>100</v>
      </c>
      <c r="AS17" s="131" t="n">
        <f aca="false">IF(OR($C17="",$B$2="",$D$2=0),0,IF(AS$3&lt;0,0,N(INDEX('CURVA PREVISION'!$A$1:$KZ$3000,$C17,10+3*MIN(AS$3,$D$2-1)))))</f>
        <v>100</v>
      </c>
      <c r="AT17" s="131" t="n">
        <f aca="false">IF(OR($C17="",$B$2="",$D$2=0),0,IF(AT$3&lt;0,0,N(INDEX('CURVA PREVISION'!$A$1:$KZ$3000,$C17,10+3*MIN(AT$3,$D$2-1)))))</f>
        <v>100</v>
      </c>
      <c r="AU17" s="131" t="n">
        <f aca="false">IF(OR($C17="",$B$2="",$D$2=0),0,IF(AU$3&lt;0,0,N(INDEX('CURVA PREVISION'!$A$1:$KZ$3000,$C17,10+3*MIN(AU$3,$D$2-1)))))</f>
        <v>100</v>
      </c>
      <c r="AV17" s="131" t="n">
        <f aca="false">IF(OR($C17="",$B$2="",$D$2=0),0,IF(AV$3&lt;0,0,N(INDEX('CURVA PREVISION'!$A$1:$KZ$3000,$C17,10+3*MIN(AV$3,$D$2-1)))))</f>
        <v>100</v>
      </c>
      <c r="AW17" s="131" t="n">
        <f aca="false">IF(OR($C17="",$B$2="",$D$2=0),0,IF(AW$3&lt;0,0,N(INDEX('CURVA PREVISION'!$A$1:$KZ$3000,$C17,10+3*MIN(AW$3,$D$2-1)))))</f>
        <v>100</v>
      </c>
      <c r="AX17" s="131" t="n">
        <f aca="false">IF(OR($C17="",$B$2="",$D$2=0),0,IF(AX$3&lt;0,0,N(INDEX('CURVA PREVISION'!$A$1:$KZ$3000,$C17,10+3*MIN(AX$3,$D$2-1)))))</f>
        <v>100</v>
      </c>
      <c r="AY17" s="131" t="n">
        <f aca="false">IF(OR($C17="",$B$2="",$D$2=0),0,IF(AY$3&lt;0,0,N(INDEX('CURVA PREVISION'!$A$1:$KZ$3000,$C17,10+3*MIN(AY$3,$D$2-1)))))</f>
        <v>100</v>
      </c>
      <c r="AZ17" s="131" t="n">
        <f aca="false">IF(OR($C17="",$B$2="",$D$2=0),0,IF(AZ$3&lt;0,0,N(INDEX('CURVA PREVISION'!$A$1:$KZ$3000,$C17,10+3*MIN(AZ$3,$D$2-1)))))</f>
        <v>100</v>
      </c>
      <c r="BA17" s="131" t="n">
        <f aca="false">IF(OR($C17="",$B$2="",$D$2=0),0,IF(BA$3&lt;0,0,N(INDEX('CURVA PREVISION'!$A$1:$KZ$3000,$C17,10+3*MIN(BA$3,$D$2-1)))))</f>
        <v>100</v>
      </c>
      <c r="BB17" s="131" t="n">
        <f aca="false">IF(OR($C17="",$B$2="",$D$2=0),0,IF(BB$3&lt;0,0,N(INDEX('CURVA PREVISION'!$A$1:$KZ$3000,$C17,10+3*MIN(BB$3,$D$2-1)))))</f>
        <v>100</v>
      </c>
      <c r="BC17" s="131" t="n">
        <f aca="false">IF(OR($C17="",$B$2="",$D$2=0),0,IF(BC$3&lt;0,0,N(INDEX('CURVA PREVISION'!$A$1:$KZ$3000,$C17,10+3*MIN(BC$3,$D$2-1)))))</f>
        <v>100</v>
      </c>
      <c r="BD17" s="131" t="n">
        <f aca="false">IF(OR($C17="",$B$2="",$D$2=0),0,IF(BD$3&lt;0,0,N(INDEX('CURVA PREVISION'!$A$1:$KZ$3000,$C17,10+3*MIN(BD$3,$D$2-1)))))</f>
        <v>100</v>
      </c>
      <c r="BE17" s="131" t="n">
        <f aca="false">IF(OR($C17="",$B$2="",$D$2=0),0,IF(BE$3&lt;0,0,N(INDEX('CURVA PREVISION'!$A$1:$KZ$3000,$C17,10+3*MIN(BE$3,$D$2-1)))))</f>
        <v>100</v>
      </c>
      <c r="BF17" s="131" t="n">
        <f aca="false">IF(OR($C17="",$B$2="",$D$2=0),0,IF(BF$3&lt;0,0,N(INDEX('CURVA PREVISION'!$A$1:$KZ$3000,$C17,10+3*MIN(BF$3,$D$2-1)))))</f>
        <v>100</v>
      </c>
      <c r="BG17" s="131" t="n">
        <f aca="false">IF(OR($C17="",$B$2="",$D$2=0),0,IF(BG$3&lt;0,0,N(INDEX('CURVA PREVISION'!$A$1:$KZ$3000,$C17,10+3*MIN(BG$3,$D$2-1)))))</f>
        <v>100</v>
      </c>
      <c r="BH17" s="131" t="n">
        <f aca="false">IF(OR($C17="",$B$2="",$D$2=0),0,IF(BH$3&lt;0,0,N(INDEX('CURVA PREVISION'!$A$1:$KZ$3000,$C17,10+3*MIN(BH$3,$D$2-1)))))</f>
        <v>100</v>
      </c>
      <c r="BI17" s="131" t="n">
        <f aca="false">IF(OR($C17="",$B$2="",$D$2=0),0,IF(BI$3&lt;0,0,N(INDEX('CURVA PREVISION'!$A$1:$KZ$3000,$C17,10+3*MIN(BI$3,$D$2-1)))))</f>
        <v>100</v>
      </c>
      <c r="BJ17" s="131" t="n">
        <f aca="false">IF(OR($C17="",$B$2="",$D$2=0),0,IF(BJ$3&lt;0,0,N(INDEX('CURVA PREVISION'!$A$1:$KZ$3000,$C17,10+3*MIN(BJ$3,$D$2-1)))))</f>
        <v>100</v>
      </c>
      <c r="BK17" s="131" t="n">
        <f aca="false">IF(OR($C17="",$B$2="",$D$2=0),0,IF(BK$3&lt;0,0,N(INDEX('CURVA PREVISION'!$A$1:$KZ$3000,$C17,10+3*MIN(BK$3,$D$2-1)))))</f>
        <v>100</v>
      </c>
      <c r="BL17" s="131" t="n">
        <f aca="false">IF(OR($C17="",$B$2="",$D$2=0),0,IF(BL$3&lt;0,0,N(INDEX('CURVA PREVISION'!$A$1:$KZ$3000,$C17,10+3*MIN(BL$3,$D$2-1)))))</f>
        <v>100</v>
      </c>
      <c r="BM17" s="131" t="n">
        <f aca="false">IF(OR($C17="",$B$2="",$D$2=0),0,IF(BM$3&lt;0,0,N(INDEX('CURVA PREVISION'!$A$1:$KZ$3000,$C17,10+3*MIN(BM$3,$D$2-1)))))</f>
        <v>100</v>
      </c>
      <c r="BN17" s="131" t="n">
        <f aca="false">IF(OR($C17="",$B$2="",$D$2=0),0,IF(BN$3&lt;0,0,N(INDEX('CURVA PREVISION'!$A$1:$KZ$3000,$C17,10+3*MIN(BN$3,$D$2-1)))))</f>
        <v>100</v>
      </c>
      <c r="BO17" s="131" t="n">
        <f aca="false">IF(OR($C17="",$B$2="",$D$2=0),0,IF(BO$3&lt;0,0,N(INDEX('CURVA PREVISION'!$A$1:$KZ$3000,$C17,10+3*MIN(BO$3,$D$2-1)))))</f>
        <v>100</v>
      </c>
      <c r="BP17" s="131" t="n">
        <f aca="false">IF(OR($C17="",$B$2="",$D$2=0),0,IF(BP$3&lt;0,0,N(INDEX('CURVA PREVISION'!$A$1:$KZ$3000,$C17,10+3*MIN(BP$3,$D$2-1)))))</f>
        <v>100</v>
      </c>
      <c r="BQ17" s="131" t="n">
        <f aca="false">IF(OR($C17="",$B$2="",$D$2=0),0,IF(BQ$3&lt;0,0,N(INDEX('CURVA PREVISION'!$A$1:$KZ$3000,$C17,10+3*MIN(BQ$3,$D$2-1)))))</f>
        <v>100</v>
      </c>
      <c r="BR17" s="131" t="n">
        <f aca="false">IF(OR($C17="",$B$2="",$D$2=0),0,IF(BR$3&lt;0,0,N(INDEX('CURVA PREVISION'!$A$1:$KZ$3000,$C17,10+3*MIN(BR$3,$D$2-1)))))</f>
        <v>100</v>
      </c>
      <c r="BS17" s="131" t="n">
        <f aca="false">IF(OR($C17="",$B$2="",$D$2=0),0,IF(BS$3&lt;0,0,N(INDEX('CURVA PREVISION'!$A$1:$KZ$3000,$C17,10+3*MIN(BS$3,$D$2-1)))))</f>
        <v>100</v>
      </c>
      <c r="BT17" s="131" t="n">
        <f aca="false">IF(OR($C17="",$B$2="",$D$2=0),0,IF(BT$3&lt;0,0,N(INDEX('CURVA PREVISION'!$A$1:$KZ$3000,$C17,10+3*MIN(BT$3,$D$2-1)))))</f>
        <v>100</v>
      </c>
      <c r="BU17" s="131" t="n">
        <f aca="false">IF(OR($C17="",$B$2="",$D$2=0),0,IF(BU$3&lt;0,0,N(INDEX('CURVA PREVISION'!$A$1:$KZ$3000,$C17,10+3*MIN(BU$3,$D$2-1)))))</f>
        <v>100</v>
      </c>
      <c r="BV17" s="131" t="n">
        <f aca="false">IF(OR($C17="",$B$2="",$D$2=0),0,IF(BV$3&lt;0,0,N(INDEX('CURVA PREVISION'!$A$1:$KZ$3000,$C17,10+3*MIN(BV$3,$D$2-1)))))</f>
        <v>100</v>
      </c>
      <c r="BW17" s="131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325</v>
      </c>
      <c r="D18" s="131" t="n">
        <f aca="false">IF(OR($C18="",$B$2="",$D$2=0),0,IF(D$3&lt;0,0,N(INDEX('CURVA PREVISION'!$A$1:$KZ$3000,$C18,10+3*MIN(D$3,$D$2-1)))))</f>
        <v>0</v>
      </c>
      <c r="E18" s="131" t="n">
        <f aca="false">IF(OR($C18="",$B$2="",$D$2=0),0,IF(E$3&lt;0,0,N(INDEX('CURVA PREVISION'!$A$1:$KZ$3000,$C18,10+3*MIN(E$3,$D$2-1)))))</f>
        <v>0</v>
      </c>
      <c r="F18" s="131" t="n">
        <f aca="false">IF(OR($C18="",$B$2="",$D$2=0),0,IF(F$3&lt;0,0,N(INDEX('CURVA PREVISION'!$A$1:$KZ$3000,$C18,10+3*MIN(F$3,$D$2-1)))))</f>
        <v>0</v>
      </c>
      <c r="G18" s="131" t="n">
        <f aca="false">IF(OR($C18="",$B$2="",$D$2=0),0,IF(G$3&lt;0,0,N(INDEX('CURVA PREVISION'!$A$1:$KZ$3000,$C18,10+3*MIN(G$3,$D$2-1)))))</f>
        <v>0</v>
      </c>
      <c r="H18" s="131" t="n">
        <f aca="false">IF(OR($C18="",$B$2="",$D$2=0),0,IF(H$3&lt;0,0,N(INDEX('CURVA PREVISION'!$A$1:$KZ$3000,$C18,10+3*MIN(H$3,$D$2-1)))))</f>
        <v>0</v>
      </c>
      <c r="I18" s="131" t="n">
        <f aca="false">IF(OR($C18="",$B$2="",$D$2=0),0,IF(I$3&lt;0,0,N(INDEX('CURVA PREVISION'!$A$1:$KZ$3000,$C18,10+3*MIN(I$3,$D$2-1)))))</f>
        <v>0</v>
      </c>
      <c r="J18" s="131" t="n">
        <f aca="false">IF(OR($C18="",$B$2="",$D$2=0),0,IF(J$3&lt;0,0,N(INDEX('CURVA PREVISION'!$A$1:$KZ$3000,$C18,10+3*MIN(J$3,$D$2-1)))))</f>
        <v>0</v>
      </c>
      <c r="K18" s="131" t="n">
        <f aca="false">IF(OR($C18="",$B$2="",$D$2=0),0,IF(K$3&lt;0,0,N(INDEX('CURVA PREVISION'!$A$1:$KZ$3000,$C18,10+3*MIN(K$3,$D$2-1)))))</f>
        <v>17.11</v>
      </c>
      <c r="L18" s="131" t="n">
        <f aca="false">IF(OR($C18="",$B$2="",$D$2=0),0,IF(L$3&lt;0,0,N(INDEX('CURVA PREVISION'!$A$1:$KZ$3000,$C18,10+3*MIN(L$3,$D$2-1)))))</f>
        <v>28.96</v>
      </c>
      <c r="M18" s="131" t="n">
        <f aca="false">IF(OR($C18="",$B$2="",$D$2=0),0,IF(M$3&lt;0,0,N(INDEX('CURVA PREVISION'!$A$1:$KZ$3000,$C18,10+3*MIN(M$3,$D$2-1)))))</f>
        <v>52</v>
      </c>
      <c r="N18" s="131" t="n">
        <f aca="false">IF(OR($C18="",$B$2="",$D$2=0),0,IF(N$3&lt;0,0,N(INDEX('CURVA PREVISION'!$A$1:$KZ$3000,$C18,10+3*MIN(N$3,$D$2-1)))))</f>
        <v>65.63</v>
      </c>
      <c r="O18" s="131" t="n">
        <f aca="false">IF(OR($C18="",$B$2="",$D$2=0),0,IF(O$3&lt;0,0,N(INDEX('CURVA PREVISION'!$A$1:$KZ$3000,$C18,10+3*MIN(O$3,$D$2-1)))))</f>
        <v>76.89</v>
      </c>
      <c r="P18" s="131" t="n">
        <f aca="false">IF(OR($C18="",$B$2="",$D$2=0),0,IF(P$3&lt;0,0,N(INDEX('CURVA PREVISION'!$A$1:$KZ$3000,$C18,10+3*MIN(P$3,$D$2-1)))))</f>
        <v>86.96</v>
      </c>
      <c r="Q18" s="131" t="n">
        <f aca="false">IF(OR($C18="",$B$2="",$D$2=0),0,IF(Q$3&lt;0,0,N(INDEX('CURVA PREVISION'!$A$1:$KZ$3000,$C18,10+3*MIN(Q$3,$D$2-1)))))</f>
        <v>98.66</v>
      </c>
      <c r="R18" s="131" t="n">
        <f aca="false">IF(OR($C18="",$B$2="",$D$2=0),0,IF(R$3&lt;0,0,N(INDEX('CURVA PREVISION'!$A$1:$KZ$3000,$C18,10+3*MIN(R$3,$D$2-1)))))</f>
        <v>98.66</v>
      </c>
      <c r="S18" s="131" t="n">
        <f aca="false">IF(OR($C18="",$B$2="",$D$2=0),0,IF(S$3&lt;0,0,N(INDEX('CURVA PREVISION'!$A$1:$KZ$3000,$C18,10+3*MIN(S$3,$D$2-1)))))</f>
        <v>98.66</v>
      </c>
      <c r="T18" s="131" t="n">
        <f aca="false">IF(OR($C18="",$B$2="",$D$2=0),0,IF(T$3&lt;0,0,N(INDEX('CURVA PREVISION'!$A$1:$KZ$3000,$C18,10+3*MIN(T$3,$D$2-1)))))</f>
        <v>98.66</v>
      </c>
      <c r="U18" s="131" t="n">
        <f aca="false">IF(OR($C18="",$B$2="",$D$2=0),0,IF(U$3&lt;0,0,N(INDEX('CURVA PREVISION'!$A$1:$KZ$3000,$C18,10+3*MIN(U$3,$D$2-1)))))</f>
        <v>98.66</v>
      </c>
      <c r="V18" s="131" t="n">
        <f aca="false">IF(OR($C18="",$B$2="",$D$2=0),0,IF(V$3&lt;0,0,N(INDEX('CURVA PREVISION'!$A$1:$KZ$3000,$C18,10+3*MIN(V$3,$D$2-1)))))</f>
        <v>98.66</v>
      </c>
      <c r="W18" s="131" t="n">
        <f aca="false">IF(OR($C18="",$B$2="",$D$2=0),0,IF(W$3&lt;0,0,N(INDEX('CURVA PREVISION'!$A$1:$KZ$3000,$C18,10+3*MIN(W$3,$D$2-1)))))</f>
        <v>98.66</v>
      </c>
      <c r="X18" s="131" t="n">
        <f aca="false">IF(OR($C18="",$B$2="",$D$2=0),0,IF(X$3&lt;0,0,N(INDEX('CURVA PREVISION'!$A$1:$KZ$3000,$C18,10+3*MIN(X$3,$D$2-1)))))</f>
        <v>100</v>
      </c>
      <c r="Y18" s="131" t="n">
        <f aca="false">IF(OR($C18="",$B$2="",$D$2=0),0,IF(Y$3&lt;0,0,N(INDEX('CURVA PREVISION'!$A$1:$KZ$3000,$C18,10+3*MIN(Y$3,$D$2-1)))))</f>
        <v>100</v>
      </c>
      <c r="Z18" s="131" t="n">
        <f aca="false">IF(OR($C18="",$B$2="",$D$2=0),0,IF(Z$3&lt;0,0,N(INDEX('CURVA PREVISION'!$A$1:$KZ$3000,$C18,10+3*MIN(Z$3,$D$2-1)))))</f>
        <v>100</v>
      </c>
      <c r="AA18" s="131" t="n">
        <f aca="false">IF(OR($C18="",$B$2="",$D$2=0),0,IF(AA$3&lt;0,0,N(INDEX('CURVA PREVISION'!$A$1:$KZ$3000,$C18,10+3*MIN(AA$3,$D$2-1)))))</f>
        <v>100</v>
      </c>
      <c r="AB18" s="131" t="n">
        <f aca="false">IF(OR($C18="",$B$2="",$D$2=0),0,IF(AB$3&lt;0,0,N(INDEX('CURVA PREVISION'!$A$1:$KZ$3000,$C18,10+3*MIN(AB$3,$D$2-1)))))</f>
        <v>100</v>
      </c>
      <c r="AC18" s="131" t="n">
        <f aca="false">IF(OR($C18="",$B$2="",$D$2=0),0,IF(AC$3&lt;0,0,N(INDEX('CURVA PREVISION'!$A$1:$KZ$3000,$C18,10+3*MIN(AC$3,$D$2-1)))))</f>
        <v>100</v>
      </c>
      <c r="AD18" s="131" t="n">
        <f aca="false">IF(OR($C18="",$B$2="",$D$2=0),0,IF(AD$3&lt;0,0,N(INDEX('CURVA PREVISION'!$A$1:$KZ$3000,$C18,10+3*MIN(AD$3,$D$2-1)))))</f>
        <v>100</v>
      </c>
      <c r="AE18" s="131" t="n">
        <f aca="false">IF(OR($C18="",$B$2="",$D$2=0),0,IF(AE$3&lt;0,0,N(INDEX('CURVA PREVISION'!$A$1:$KZ$3000,$C18,10+3*MIN(AE$3,$D$2-1)))))</f>
        <v>100</v>
      </c>
      <c r="AF18" s="131" t="n">
        <f aca="false">IF(OR($C18="",$B$2="",$D$2=0),0,IF(AF$3&lt;0,0,N(INDEX('CURVA PREVISION'!$A$1:$KZ$3000,$C18,10+3*MIN(AF$3,$D$2-1)))))</f>
        <v>100</v>
      </c>
      <c r="AG18" s="131" t="n">
        <f aca="false">IF(OR($C18="",$B$2="",$D$2=0),0,IF(AG$3&lt;0,0,N(INDEX('CURVA PREVISION'!$A$1:$KZ$3000,$C18,10+3*MIN(AG$3,$D$2-1)))))</f>
        <v>100</v>
      </c>
      <c r="AH18" s="131" t="n">
        <f aca="false">IF(OR($C18="",$B$2="",$D$2=0),0,IF(AH$3&lt;0,0,N(INDEX('CURVA PREVISION'!$A$1:$KZ$3000,$C18,10+3*MIN(AH$3,$D$2-1)))))</f>
        <v>100</v>
      </c>
      <c r="AI18" s="131" t="n">
        <f aca="false">IF(OR($C18="",$B$2="",$D$2=0),0,IF(AI$3&lt;0,0,N(INDEX('CURVA PREVISION'!$A$1:$KZ$3000,$C18,10+3*MIN(AI$3,$D$2-1)))))</f>
        <v>100</v>
      </c>
      <c r="AJ18" s="131" t="n">
        <f aca="false">IF(OR($C18="",$B$2="",$D$2=0),0,IF(AJ$3&lt;0,0,N(INDEX('CURVA PREVISION'!$A$1:$KZ$3000,$C18,10+3*MIN(AJ$3,$D$2-1)))))</f>
        <v>100</v>
      </c>
      <c r="AK18" s="131" t="n">
        <f aca="false">IF(OR($C18="",$B$2="",$D$2=0),0,IF(AK$3&lt;0,0,N(INDEX('CURVA PREVISION'!$A$1:$KZ$3000,$C18,10+3*MIN(AK$3,$D$2-1)))))</f>
        <v>100</v>
      </c>
      <c r="AL18" s="131" t="n">
        <f aca="false">IF(OR($C18="",$B$2="",$D$2=0),0,IF(AL$3&lt;0,0,N(INDEX('CURVA PREVISION'!$A$1:$KZ$3000,$C18,10+3*MIN(AL$3,$D$2-1)))))</f>
        <v>100</v>
      </c>
      <c r="AM18" s="131" t="n">
        <f aca="false">IF(OR($C18="",$B$2="",$D$2=0),0,IF(AM$3&lt;0,0,N(INDEX('CURVA PREVISION'!$A$1:$KZ$3000,$C18,10+3*MIN(AM$3,$D$2-1)))))</f>
        <v>100</v>
      </c>
      <c r="AN18" s="131" t="n">
        <f aca="false">IF(OR($C18="",$B$2="",$D$2=0),0,IF(AN$3&lt;0,0,N(INDEX('CURVA PREVISION'!$A$1:$KZ$3000,$C18,10+3*MIN(AN$3,$D$2-1)))))</f>
        <v>100</v>
      </c>
      <c r="AO18" s="131" t="n">
        <f aca="false">IF(OR($C18="",$B$2="",$D$2=0),0,IF(AO$3&lt;0,0,N(INDEX('CURVA PREVISION'!$A$1:$KZ$3000,$C18,10+3*MIN(AO$3,$D$2-1)))))</f>
        <v>100</v>
      </c>
      <c r="AP18" s="131" t="n">
        <f aca="false">IF(OR($C18="",$B$2="",$D$2=0),0,IF(AP$3&lt;0,0,N(INDEX('CURVA PREVISION'!$A$1:$KZ$3000,$C18,10+3*MIN(AP$3,$D$2-1)))))</f>
        <v>100</v>
      </c>
      <c r="AQ18" s="131" t="n">
        <f aca="false">IF(OR($C18="",$B$2="",$D$2=0),0,IF(AQ$3&lt;0,0,N(INDEX('CURVA PREVISION'!$A$1:$KZ$3000,$C18,10+3*MIN(AQ$3,$D$2-1)))))</f>
        <v>100</v>
      </c>
      <c r="AR18" s="131" t="n">
        <f aca="false">IF(OR($C18="",$B$2="",$D$2=0),0,IF(AR$3&lt;0,0,N(INDEX('CURVA PREVISION'!$A$1:$KZ$3000,$C18,10+3*MIN(AR$3,$D$2-1)))))</f>
        <v>100</v>
      </c>
      <c r="AS18" s="131" t="n">
        <f aca="false">IF(OR($C18="",$B$2="",$D$2=0),0,IF(AS$3&lt;0,0,N(INDEX('CURVA PREVISION'!$A$1:$KZ$3000,$C18,10+3*MIN(AS$3,$D$2-1)))))</f>
        <v>100</v>
      </c>
      <c r="AT18" s="131" t="n">
        <f aca="false">IF(OR($C18="",$B$2="",$D$2=0),0,IF(AT$3&lt;0,0,N(INDEX('CURVA PREVISION'!$A$1:$KZ$3000,$C18,10+3*MIN(AT$3,$D$2-1)))))</f>
        <v>100</v>
      </c>
      <c r="AU18" s="131" t="n">
        <f aca="false">IF(OR($C18="",$B$2="",$D$2=0),0,IF(AU$3&lt;0,0,N(INDEX('CURVA PREVISION'!$A$1:$KZ$3000,$C18,10+3*MIN(AU$3,$D$2-1)))))</f>
        <v>100</v>
      </c>
      <c r="AV18" s="131" t="n">
        <f aca="false">IF(OR($C18="",$B$2="",$D$2=0),0,IF(AV$3&lt;0,0,N(INDEX('CURVA PREVISION'!$A$1:$KZ$3000,$C18,10+3*MIN(AV$3,$D$2-1)))))</f>
        <v>100</v>
      </c>
      <c r="AW18" s="131" t="n">
        <f aca="false">IF(OR($C18="",$B$2="",$D$2=0),0,IF(AW$3&lt;0,0,N(INDEX('CURVA PREVISION'!$A$1:$KZ$3000,$C18,10+3*MIN(AW$3,$D$2-1)))))</f>
        <v>100</v>
      </c>
      <c r="AX18" s="131" t="n">
        <f aca="false">IF(OR($C18="",$B$2="",$D$2=0),0,IF(AX$3&lt;0,0,N(INDEX('CURVA PREVISION'!$A$1:$KZ$3000,$C18,10+3*MIN(AX$3,$D$2-1)))))</f>
        <v>100</v>
      </c>
      <c r="AY18" s="131" t="n">
        <f aca="false">IF(OR($C18="",$B$2="",$D$2=0),0,IF(AY$3&lt;0,0,N(INDEX('CURVA PREVISION'!$A$1:$KZ$3000,$C18,10+3*MIN(AY$3,$D$2-1)))))</f>
        <v>100</v>
      </c>
      <c r="AZ18" s="131" t="n">
        <f aca="false">IF(OR($C18="",$B$2="",$D$2=0),0,IF(AZ$3&lt;0,0,N(INDEX('CURVA PREVISION'!$A$1:$KZ$3000,$C18,10+3*MIN(AZ$3,$D$2-1)))))</f>
        <v>100</v>
      </c>
      <c r="BA18" s="131" t="n">
        <f aca="false">IF(OR($C18="",$B$2="",$D$2=0),0,IF(BA$3&lt;0,0,N(INDEX('CURVA PREVISION'!$A$1:$KZ$3000,$C18,10+3*MIN(BA$3,$D$2-1)))))</f>
        <v>100</v>
      </c>
      <c r="BB18" s="131" t="n">
        <f aca="false">IF(OR($C18="",$B$2="",$D$2=0),0,IF(BB$3&lt;0,0,N(INDEX('CURVA PREVISION'!$A$1:$KZ$3000,$C18,10+3*MIN(BB$3,$D$2-1)))))</f>
        <v>100</v>
      </c>
      <c r="BC18" s="131" t="n">
        <f aca="false">IF(OR($C18="",$B$2="",$D$2=0),0,IF(BC$3&lt;0,0,N(INDEX('CURVA PREVISION'!$A$1:$KZ$3000,$C18,10+3*MIN(BC$3,$D$2-1)))))</f>
        <v>100</v>
      </c>
      <c r="BD18" s="131" t="n">
        <f aca="false">IF(OR($C18="",$B$2="",$D$2=0),0,IF(BD$3&lt;0,0,N(INDEX('CURVA PREVISION'!$A$1:$KZ$3000,$C18,10+3*MIN(BD$3,$D$2-1)))))</f>
        <v>100</v>
      </c>
      <c r="BE18" s="131" t="n">
        <f aca="false">IF(OR($C18="",$B$2="",$D$2=0),0,IF(BE$3&lt;0,0,N(INDEX('CURVA PREVISION'!$A$1:$KZ$3000,$C18,10+3*MIN(BE$3,$D$2-1)))))</f>
        <v>100</v>
      </c>
      <c r="BF18" s="131" t="n">
        <f aca="false">IF(OR($C18="",$B$2="",$D$2=0),0,IF(BF$3&lt;0,0,N(INDEX('CURVA PREVISION'!$A$1:$KZ$3000,$C18,10+3*MIN(BF$3,$D$2-1)))))</f>
        <v>100</v>
      </c>
      <c r="BG18" s="131" t="n">
        <f aca="false">IF(OR($C18="",$B$2="",$D$2=0),0,IF(BG$3&lt;0,0,N(INDEX('CURVA PREVISION'!$A$1:$KZ$3000,$C18,10+3*MIN(BG$3,$D$2-1)))))</f>
        <v>100</v>
      </c>
      <c r="BH18" s="131" t="n">
        <f aca="false">IF(OR($C18="",$B$2="",$D$2=0),0,IF(BH$3&lt;0,0,N(INDEX('CURVA PREVISION'!$A$1:$KZ$3000,$C18,10+3*MIN(BH$3,$D$2-1)))))</f>
        <v>100</v>
      </c>
      <c r="BI18" s="131" t="n">
        <f aca="false">IF(OR($C18="",$B$2="",$D$2=0),0,IF(BI$3&lt;0,0,N(INDEX('CURVA PREVISION'!$A$1:$KZ$3000,$C18,10+3*MIN(BI$3,$D$2-1)))))</f>
        <v>100</v>
      </c>
      <c r="BJ18" s="131" t="n">
        <f aca="false">IF(OR($C18="",$B$2="",$D$2=0),0,IF(BJ$3&lt;0,0,N(INDEX('CURVA PREVISION'!$A$1:$KZ$3000,$C18,10+3*MIN(BJ$3,$D$2-1)))))</f>
        <v>100</v>
      </c>
      <c r="BK18" s="131" t="n">
        <f aca="false">IF(OR($C18="",$B$2="",$D$2=0),0,IF(BK$3&lt;0,0,N(INDEX('CURVA PREVISION'!$A$1:$KZ$3000,$C18,10+3*MIN(BK$3,$D$2-1)))))</f>
        <v>100</v>
      </c>
      <c r="BL18" s="131" t="n">
        <f aca="false">IF(OR($C18="",$B$2="",$D$2=0),0,IF(BL$3&lt;0,0,N(INDEX('CURVA PREVISION'!$A$1:$KZ$3000,$C18,10+3*MIN(BL$3,$D$2-1)))))</f>
        <v>100</v>
      </c>
      <c r="BM18" s="131" t="n">
        <f aca="false">IF(OR($C18="",$B$2="",$D$2=0),0,IF(BM$3&lt;0,0,N(INDEX('CURVA PREVISION'!$A$1:$KZ$3000,$C18,10+3*MIN(BM$3,$D$2-1)))))</f>
        <v>100</v>
      </c>
      <c r="BN18" s="131" t="n">
        <f aca="false">IF(OR($C18="",$B$2="",$D$2=0),0,IF(BN$3&lt;0,0,N(INDEX('CURVA PREVISION'!$A$1:$KZ$3000,$C18,10+3*MIN(BN$3,$D$2-1)))))</f>
        <v>100</v>
      </c>
      <c r="BO18" s="131" t="n">
        <f aca="false">IF(OR($C18="",$B$2="",$D$2=0),0,IF(BO$3&lt;0,0,N(INDEX('CURVA PREVISION'!$A$1:$KZ$3000,$C18,10+3*MIN(BO$3,$D$2-1)))))</f>
        <v>100</v>
      </c>
      <c r="BP18" s="131" t="n">
        <f aca="false">IF(OR($C18="",$B$2="",$D$2=0),0,IF(BP$3&lt;0,0,N(INDEX('CURVA PREVISION'!$A$1:$KZ$3000,$C18,10+3*MIN(BP$3,$D$2-1)))))</f>
        <v>100</v>
      </c>
      <c r="BQ18" s="131" t="n">
        <f aca="false">IF(OR($C18="",$B$2="",$D$2=0),0,IF(BQ$3&lt;0,0,N(INDEX('CURVA PREVISION'!$A$1:$KZ$3000,$C18,10+3*MIN(BQ$3,$D$2-1)))))</f>
        <v>100</v>
      </c>
      <c r="BR18" s="131" t="n">
        <f aca="false">IF(OR($C18="",$B$2="",$D$2=0),0,IF(BR$3&lt;0,0,N(INDEX('CURVA PREVISION'!$A$1:$KZ$3000,$C18,10+3*MIN(BR$3,$D$2-1)))))</f>
        <v>100</v>
      </c>
      <c r="BS18" s="131" t="n">
        <f aca="false">IF(OR($C18="",$B$2="",$D$2=0),0,IF(BS$3&lt;0,0,N(INDEX('CURVA PREVISION'!$A$1:$KZ$3000,$C18,10+3*MIN(BS$3,$D$2-1)))))</f>
        <v>100</v>
      </c>
      <c r="BT18" s="131" t="n">
        <f aca="false">IF(OR($C18="",$B$2="",$D$2=0),0,IF(BT$3&lt;0,0,N(INDEX('CURVA PREVISION'!$A$1:$KZ$3000,$C18,10+3*MIN(BT$3,$D$2-1)))))</f>
        <v>100</v>
      </c>
      <c r="BU18" s="131" t="n">
        <f aca="false">IF(OR($C18="",$B$2="",$D$2=0),0,IF(BU$3&lt;0,0,N(INDEX('CURVA PREVISION'!$A$1:$KZ$3000,$C18,10+3*MIN(BU$3,$D$2-1)))))</f>
        <v>100</v>
      </c>
      <c r="BV18" s="131" t="n">
        <f aca="false">IF(OR($C18="",$B$2="",$D$2=0),0,IF(BV$3&lt;0,0,N(INDEX('CURVA PREVISION'!$A$1:$KZ$3000,$C18,10+3*MIN(BV$3,$D$2-1)))))</f>
        <v>100</v>
      </c>
      <c r="BW18" s="131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332</v>
      </c>
      <c r="D19" s="131" t="n">
        <f aca="false">IF(OR($C19="",$B$2="",$D$2=0),0,IF(D$3&lt;0,0,N(INDEX('CURVA PREVISION'!$A$1:$KZ$3000,$C19,10+3*MIN(D$3,$D$2-1)))))</f>
        <v>0</v>
      </c>
      <c r="E19" s="131" t="n">
        <f aca="false">IF(OR($C19="",$B$2="",$D$2=0),0,IF(E$3&lt;0,0,N(INDEX('CURVA PREVISION'!$A$1:$KZ$3000,$C19,10+3*MIN(E$3,$D$2-1)))))</f>
        <v>0</v>
      </c>
      <c r="F19" s="131" t="n">
        <f aca="false">IF(OR($C19="",$B$2="",$D$2=0),0,IF(F$3&lt;0,0,N(INDEX('CURVA PREVISION'!$A$1:$KZ$3000,$C19,10+3*MIN(F$3,$D$2-1)))))</f>
        <v>0</v>
      </c>
      <c r="G19" s="131" t="n">
        <f aca="false">IF(OR($C19="",$B$2="",$D$2=0),0,IF(G$3&lt;0,0,N(INDEX('CURVA PREVISION'!$A$1:$KZ$3000,$C19,10+3*MIN(G$3,$D$2-1)))))</f>
        <v>0</v>
      </c>
      <c r="H19" s="131" t="n">
        <f aca="false">IF(OR($C19="",$B$2="",$D$2=0),0,IF(H$3&lt;0,0,N(INDEX('CURVA PREVISION'!$A$1:$KZ$3000,$C19,10+3*MIN(H$3,$D$2-1)))))</f>
        <v>5.05</v>
      </c>
      <c r="I19" s="131" t="n">
        <f aca="false">IF(OR($C19="",$B$2="",$D$2=0),0,IF(I$3&lt;0,0,N(INDEX('CURVA PREVISION'!$A$1:$KZ$3000,$C19,10+3*MIN(I$3,$D$2-1)))))</f>
        <v>26.26</v>
      </c>
      <c r="J19" s="131" t="n">
        <f aca="false">IF(OR($C19="",$B$2="",$D$2=0),0,IF(J$3&lt;0,0,N(INDEX('CURVA PREVISION'!$A$1:$KZ$3000,$C19,10+3*MIN(J$3,$D$2-1)))))</f>
        <v>46.46</v>
      </c>
      <c r="K19" s="131" t="n">
        <f aca="false">IF(OR($C19="",$B$2="",$D$2=0),0,IF(K$3&lt;0,0,N(INDEX('CURVA PREVISION'!$A$1:$KZ$3000,$C19,10+3*MIN(K$3,$D$2-1)))))</f>
        <v>69.7</v>
      </c>
      <c r="L19" s="131" t="n">
        <f aca="false">IF(OR($C19="",$B$2="",$D$2=0),0,IF(L$3&lt;0,0,N(INDEX('CURVA PREVISION'!$A$1:$KZ$3000,$C19,10+3*MIN(L$3,$D$2-1)))))</f>
        <v>89.9</v>
      </c>
      <c r="M19" s="131" t="n">
        <f aca="false">IF(OR($C19="",$B$2="",$D$2=0),0,IF(M$3&lt;0,0,N(INDEX('CURVA PREVISION'!$A$1:$KZ$3000,$C19,10+3*MIN(M$3,$D$2-1)))))</f>
        <v>100</v>
      </c>
      <c r="N19" s="131" t="n">
        <f aca="false">IF(OR($C19="",$B$2="",$D$2=0),0,IF(N$3&lt;0,0,N(INDEX('CURVA PREVISION'!$A$1:$KZ$3000,$C19,10+3*MIN(N$3,$D$2-1)))))</f>
        <v>100</v>
      </c>
      <c r="O19" s="131" t="n">
        <f aca="false">IF(OR($C19="",$B$2="",$D$2=0),0,IF(O$3&lt;0,0,N(INDEX('CURVA PREVISION'!$A$1:$KZ$3000,$C19,10+3*MIN(O$3,$D$2-1)))))</f>
        <v>100</v>
      </c>
      <c r="P19" s="131" t="n">
        <f aca="false">IF(OR($C19="",$B$2="",$D$2=0),0,IF(P$3&lt;0,0,N(INDEX('CURVA PREVISION'!$A$1:$KZ$3000,$C19,10+3*MIN(P$3,$D$2-1)))))</f>
        <v>100</v>
      </c>
      <c r="Q19" s="131" t="n">
        <f aca="false">IF(OR($C19="",$B$2="",$D$2=0),0,IF(Q$3&lt;0,0,N(INDEX('CURVA PREVISION'!$A$1:$KZ$3000,$C19,10+3*MIN(Q$3,$D$2-1)))))</f>
        <v>100</v>
      </c>
      <c r="R19" s="131" t="n">
        <f aca="false">IF(OR($C19="",$B$2="",$D$2=0),0,IF(R$3&lt;0,0,N(INDEX('CURVA PREVISION'!$A$1:$KZ$3000,$C19,10+3*MIN(R$3,$D$2-1)))))</f>
        <v>100</v>
      </c>
      <c r="S19" s="131" t="n">
        <f aca="false">IF(OR($C19="",$B$2="",$D$2=0),0,IF(S$3&lt;0,0,N(INDEX('CURVA PREVISION'!$A$1:$KZ$3000,$C19,10+3*MIN(S$3,$D$2-1)))))</f>
        <v>100</v>
      </c>
      <c r="T19" s="131" t="n">
        <f aca="false">IF(OR($C19="",$B$2="",$D$2=0),0,IF(T$3&lt;0,0,N(INDEX('CURVA PREVISION'!$A$1:$KZ$3000,$C19,10+3*MIN(T$3,$D$2-1)))))</f>
        <v>100</v>
      </c>
      <c r="U19" s="131" t="n">
        <f aca="false">IF(OR($C19="",$B$2="",$D$2=0),0,IF(U$3&lt;0,0,N(INDEX('CURVA PREVISION'!$A$1:$KZ$3000,$C19,10+3*MIN(U$3,$D$2-1)))))</f>
        <v>100</v>
      </c>
      <c r="V19" s="131" t="n">
        <f aca="false">IF(OR($C19="",$B$2="",$D$2=0),0,IF(V$3&lt;0,0,N(INDEX('CURVA PREVISION'!$A$1:$KZ$3000,$C19,10+3*MIN(V$3,$D$2-1)))))</f>
        <v>100</v>
      </c>
      <c r="W19" s="131" t="n">
        <f aca="false">IF(OR($C19="",$B$2="",$D$2=0),0,IF(W$3&lt;0,0,N(INDEX('CURVA PREVISION'!$A$1:$KZ$3000,$C19,10+3*MIN(W$3,$D$2-1)))))</f>
        <v>100</v>
      </c>
      <c r="X19" s="131" t="n">
        <f aca="false">IF(OR($C19="",$B$2="",$D$2=0),0,IF(X$3&lt;0,0,N(INDEX('CURVA PREVISION'!$A$1:$KZ$3000,$C19,10+3*MIN(X$3,$D$2-1)))))</f>
        <v>100</v>
      </c>
      <c r="Y19" s="131" t="n">
        <f aca="false">IF(OR($C19="",$B$2="",$D$2=0),0,IF(Y$3&lt;0,0,N(INDEX('CURVA PREVISION'!$A$1:$KZ$3000,$C19,10+3*MIN(Y$3,$D$2-1)))))</f>
        <v>100</v>
      </c>
      <c r="Z19" s="131" t="n">
        <f aca="false">IF(OR($C19="",$B$2="",$D$2=0),0,IF(Z$3&lt;0,0,N(INDEX('CURVA PREVISION'!$A$1:$KZ$3000,$C19,10+3*MIN(Z$3,$D$2-1)))))</f>
        <v>100</v>
      </c>
      <c r="AA19" s="131" t="n">
        <f aca="false">IF(OR($C19="",$B$2="",$D$2=0),0,IF(AA$3&lt;0,0,N(INDEX('CURVA PREVISION'!$A$1:$KZ$3000,$C19,10+3*MIN(AA$3,$D$2-1)))))</f>
        <v>100</v>
      </c>
      <c r="AB19" s="131" t="n">
        <f aca="false">IF(OR($C19="",$B$2="",$D$2=0),0,IF(AB$3&lt;0,0,N(INDEX('CURVA PREVISION'!$A$1:$KZ$3000,$C19,10+3*MIN(AB$3,$D$2-1)))))</f>
        <v>100</v>
      </c>
      <c r="AC19" s="131" t="n">
        <f aca="false">IF(OR($C19="",$B$2="",$D$2=0),0,IF(AC$3&lt;0,0,N(INDEX('CURVA PREVISION'!$A$1:$KZ$3000,$C19,10+3*MIN(AC$3,$D$2-1)))))</f>
        <v>100</v>
      </c>
      <c r="AD19" s="131" t="n">
        <f aca="false">IF(OR($C19="",$B$2="",$D$2=0),0,IF(AD$3&lt;0,0,N(INDEX('CURVA PREVISION'!$A$1:$KZ$3000,$C19,10+3*MIN(AD$3,$D$2-1)))))</f>
        <v>100</v>
      </c>
      <c r="AE19" s="131" t="n">
        <f aca="false">IF(OR($C19="",$B$2="",$D$2=0),0,IF(AE$3&lt;0,0,N(INDEX('CURVA PREVISION'!$A$1:$KZ$3000,$C19,10+3*MIN(AE$3,$D$2-1)))))</f>
        <v>100</v>
      </c>
      <c r="AF19" s="131" t="n">
        <f aca="false">IF(OR($C19="",$B$2="",$D$2=0),0,IF(AF$3&lt;0,0,N(INDEX('CURVA PREVISION'!$A$1:$KZ$3000,$C19,10+3*MIN(AF$3,$D$2-1)))))</f>
        <v>100</v>
      </c>
      <c r="AG19" s="131" t="n">
        <f aca="false">IF(OR($C19="",$B$2="",$D$2=0),0,IF(AG$3&lt;0,0,N(INDEX('CURVA PREVISION'!$A$1:$KZ$3000,$C19,10+3*MIN(AG$3,$D$2-1)))))</f>
        <v>100</v>
      </c>
      <c r="AH19" s="131" t="n">
        <f aca="false">IF(OR($C19="",$B$2="",$D$2=0),0,IF(AH$3&lt;0,0,N(INDEX('CURVA PREVISION'!$A$1:$KZ$3000,$C19,10+3*MIN(AH$3,$D$2-1)))))</f>
        <v>100</v>
      </c>
      <c r="AI19" s="131" t="n">
        <f aca="false">IF(OR($C19="",$B$2="",$D$2=0),0,IF(AI$3&lt;0,0,N(INDEX('CURVA PREVISION'!$A$1:$KZ$3000,$C19,10+3*MIN(AI$3,$D$2-1)))))</f>
        <v>100</v>
      </c>
      <c r="AJ19" s="131" t="n">
        <f aca="false">IF(OR($C19="",$B$2="",$D$2=0),0,IF(AJ$3&lt;0,0,N(INDEX('CURVA PREVISION'!$A$1:$KZ$3000,$C19,10+3*MIN(AJ$3,$D$2-1)))))</f>
        <v>100</v>
      </c>
      <c r="AK19" s="131" t="n">
        <f aca="false">IF(OR($C19="",$B$2="",$D$2=0),0,IF(AK$3&lt;0,0,N(INDEX('CURVA PREVISION'!$A$1:$KZ$3000,$C19,10+3*MIN(AK$3,$D$2-1)))))</f>
        <v>100</v>
      </c>
      <c r="AL19" s="131" t="n">
        <f aca="false">IF(OR($C19="",$B$2="",$D$2=0),0,IF(AL$3&lt;0,0,N(INDEX('CURVA PREVISION'!$A$1:$KZ$3000,$C19,10+3*MIN(AL$3,$D$2-1)))))</f>
        <v>100</v>
      </c>
      <c r="AM19" s="131" t="n">
        <f aca="false">IF(OR($C19="",$B$2="",$D$2=0),0,IF(AM$3&lt;0,0,N(INDEX('CURVA PREVISION'!$A$1:$KZ$3000,$C19,10+3*MIN(AM$3,$D$2-1)))))</f>
        <v>100</v>
      </c>
      <c r="AN19" s="131" t="n">
        <f aca="false">IF(OR($C19="",$B$2="",$D$2=0),0,IF(AN$3&lt;0,0,N(INDEX('CURVA PREVISION'!$A$1:$KZ$3000,$C19,10+3*MIN(AN$3,$D$2-1)))))</f>
        <v>100</v>
      </c>
      <c r="AO19" s="131" t="n">
        <f aca="false">IF(OR($C19="",$B$2="",$D$2=0),0,IF(AO$3&lt;0,0,N(INDEX('CURVA PREVISION'!$A$1:$KZ$3000,$C19,10+3*MIN(AO$3,$D$2-1)))))</f>
        <v>100</v>
      </c>
      <c r="AP19" s="131" t="n">
        <f aca="false">IF(OR($C19="",$B$2="",$D$2=0),0,IF(AP$3&lt;0,0,N(INDEX('CURVA PREVISION'!$A$1:$KZ$3000,$C19,10+3*MIN(AP$3,$D$2-1)))))</f>
        <v>100</v>
      </c>
      <c r="AQ19" s="131" t="n">
        <f aca="false">IF(OR($C19="",$B$2="",$D$2=0),0,IF(AQ$3&lt;0,0,N(INDEX('CURVA PREVISION'!$A$1:$KZ$3000,$C19,10+3*MIN(AQ$3,$D$2-1)))))</f>
        <v>100</v>
      </c>
      <c r="AR19" s="131" t="n">
        <f aca="false">IF(OR($C19="",$B$2="",$D$2=0),0,IF(AR$3&lt;0,0,N(INDEX('CURVA PREVISION'!$A$1:$KZ$3000,$C19,10+3*MIN(AR$3,$D$2-1)))))</f>
        <v>100</v>
      </c>
      <c r="AS19" s="131" t="n">
        <f aca="false">IF(OR($C19="",$B$2="",$D$2=0),0,IF(AS$3&lt;0,0,N(INDEX('CURVA PREVISION'!$A$1:$KZ$3000,$C19,10+3*MIN(AS$3,$D$2-1)))))</f>
        <v>100</v>
      </c>
      <c r="AT19" s="131" t="n">
        <f aca="false">IF(OR($C19="",$B$2="",$D$2=0),0,IF(AT$3&lt;0,0,N(INDEX('CURVA PREVISION'!$A$1:$KZ$3000,$C19,10+3*MIN(AT$3,$D$2-1)))))</f>
        <v>100</v>
      </c>
      <c r="AU19" s="131" t="n">
        <f aca="false">IF(OR($C19="",$B$2="",$D$2=0),0,IF(AU$3&lt;0,0,N(INDEX('CURVA PREVISION'!$A$1:$KZ$3000,$C19,10+3*MIN(AU$3,$D$2-1)))))</f>
        <v>100</v>
      </c>
      <c r="AV19" s="131" t="n">
        <f aca="false">IF(OR($C19="",$B$2="",$D$2=0),0,IF(AV$3&lt;0,0,N(INDEX('CURVA PREVISION'!$A$1:$KZ$3000,$C19,10+3*MIN(AV$3,$D$2-1)))))</f>
        <v>100</v>
      </c>
      <c r="AW19" s="131" t="n">
        <f aca="false">IF(OR($C19="",$B$2="",$D$2=0),0,IF(AW$3&lt;0,0,N(INDEX('CURVA PREVISION'!$A$1:$KZ$3000,$C19,10+3*MIN(AW$3,$D$2-1)))))</f>
        <v>100</v>
      </c>
      <c r="AX19" s="131" t="n">
        <f aca="false">IF(OR($C19="",$B$2="",$D$2=0),0,IF(AX$3&lt;0,0,N(INDEX('CURVA PREVISION'!$A$1:$KZ$3000,$C19,10+3*MIN(AX$3,$D$2-1)))))</f>
        <v>100</v>
      </c>
      <c r="AY19" s="131" t="n">
        <f aca="false">IF(OR($C19="",$B$2="",$D$2=0),0,IF(AY$3&lt;0,0,N(INDEX('CURVA PREVISION'!$A$1:$KZ$3000,$C19,10+3*MIN(AY$3,$D$2-1)))))</f>
        <v>100</v>
      </c>
      <c r="AZ19" s="131" t="n">
        <f aca="false">IF(OR($C19="",$B$2="",$D$2=0),0,IF(AZ$3&lt;0,0,N(INDEX('CURVA PREVISION'!$A$1:$KZ$3000,$C19,10+3*MIN(AZ$3,$D$2-1)))))</f>
        <v>100</v>
      </c>
      <c r="BA19" s="131" t="n">
        <f aca="false">IF(OR($C19="",$B$2="",$D$2=0),0,IF(BA$3&lt;0,0,N(INDEX('CURVA PREVISION'!$A$1:$KZ$3000,$C19,10+3*MIN(BA$3,$D$2-1)))))</f>
        <v>100</v>
      </c>
      <c r="BB19" s="131" t="n">
        <f aca="false">IF(OR($C19="",$B$2="",$D$2=0),0,IF(BB$3&lt;0,0,N(INDEX('CURVA PREVISION'!$A$1:$KZ$3000,$C19,10+3*MIN(BB$3,$D$2-1)))))</f>
        <v>100</v>
      </c>
      <c r="BC19" s="131" t="n">
        <f aca="false">IF(OR($C19="",$B$2="",$D$2=0),0,IF(BC$3&lt;0,0,N(INDEX('CURVA PREVISION'!$A$1:$KZ$3000,$C19,10+3*MIN(BC$3,$D$2-1)))))</f>
        <v>100</v>
      </c>
      <c r="BD19" s="131" t="n">
        <f aca="false">IF(OR($C19="",$B$2="",$D$2=0),0,IF(BD$3&lt;0,0,N(INDEX('CURVA PREVISION'!$A$1:$KZ$3000,$C19,10+3*MIN(BD$3,$D$2-1)))))</f>
        <v>100</v>
      </c>
      <c r="BE19" s="131" t="n">
        <f aca="false">IF(OR($C19="",$B$2="",$D$2=0),0,IF(BE$3&lt;0,0,N(INDEX('CURVA PREVISION'!$A$1:$KZ$3000,$C19,10+3*MIN(BE$3,$D$2-1)))))</f>
        <v>100</v>
      </c>
      <c r="BF19" s="131" t="n">
        <f aca="false">IF(OR($C19="",$B$2="",$D$2=0),0,IF(BF$3&lt;0,0,N(INDEX('CURVA PREVISION'!$A$1:$KZ$3000,$C19,10+3*MIN(BF$3,$D$2-1)))))</f>
        <v>100</v>
      </c>
      <c r="BG19" s="131" t="n">
        <f aca="false">IF(OR($C19="",$B$2="",$D$2=0),0,IF(BG$3&lt;0,0,N(INDEX('CURVA PREVISION'!$A$1:$KZ$3000,$C19,10+3*MIN(BG$3,$D$2-1)))))</f>
        <v>100</v>
      </c>
      <c r="BH19" s="131" t="n">
        <f aca="false">IF(OR($C19="",$B$2="",$D$2=0),0,IF(BH$3&lt;0,0,N(INDEX('CURVA PREVISION'!$A$1:$KZ$3000,$C19,10+3*MIN(BH$3,$D$2-1)))))</f>
        <v>100</v>
      </c>
      <c r="BI19" s="131" t="n">
        <f aca="false">IF(OR($C19="",$B$2="",$D$2=0),0,IF(BI$3&lt;0,0,N(INDEX('CURVA PREVISION'!$A$1:$KZ$3000,$C19,10+3*MIN(BI$3,$D$2-1)))))</f>
        <v>100</v>
      </c>
      <c r="BJ19" s="131" t="n">
        <f aca="false">IF(OR($C19="",$B$2="",$D$2=0),0,IF(BJ$3&lt;0,0,N(INDEX('CURVA PREVISION'!$A$1:$KZ$3000,$C19,10+3*MIN(BJ$3,$D$2-1)))))</f>
        <v>100</v>
      </c>
      <c r="BK19" s="131" t="n">
        <f aca="false">IF(OR($C19="",$B$2="",$D$2=0),0,IF(BK$3&lt;0,0,N(INDEX('CURVA PREVISION'!$A$1:$KZ$3000,$C19,10+3*MIN(BK$3,$D$2-1)))))</f>
        <v>100</v>
      </c>
      <c r="BL19" s="131" t="n">
        <f aca="false">IF(OR($C19="",$B$2="",$D$2=0),0,IF(BL$3&lt;0,0,N(INDEX('CURVA PREVISION'!$A$1:$KZ$3000,$C19,10+3*MIN(BL$3,$D$2-1)))))</f>
        <v>100</v>
      </c>
      <c r="BM19" s="131" t="n">
        <f aca="false">IF(OR($C19="",$B$2="",$D$2=0),0,IF(BM$3&lt;0,0,N(INDEX('CURVA PREVISION'!$A$1:$KZ$3000,$C19,10+3*MIN(BM$3,$D$2-1)))))</f>
        <v>100</v>
      </c>
      <c r="BN19" s="131" t="n">
        <f aca="false">IF(OR($C19="",$B$2="",$D$2=0),0,IF(BN$3&lt;0,0,N(INDEX('CURVA PREVISION'!$A$1:$KZ$3000,$C19,10+3*MIN(BN$3,$D$2-1)))))</f>
        <v>100</v>
      </c>
      <c r="BO19" s="131" t="n">
        <f aca="false">IF(OR($C19="",$B$2="",$D$2=0),0,IF(BO$3&lt;0,0,N(INDEX('CURVA PREVISION'!$A$1:$KZ$3000,$C19,10+3*MIN(BO$3,$D$2-1)))))</f>
        <v>100</v>
      </c>
      <c r="BP19" s="131" t="n">
        <f aca="false">IF(OR($C19="",$B$2="",$D$2=0),0,IF(BP$3&lt;0,0,N(INDEX('CURVA PREVISION'!$A$1:$KZ$3000,$C19,10+3*MIN(BP$3,$D$2-1)))))</f>
        <v>100</v>
      </c>
      <c r="BQ19" s="131" t="n">
        <f aca="false">IF(OR($C19="",$B$2="",$D$2=0),0,IF(BQ$3&lt;0,0,N(INDEX('CURVA PREVISION'!$A$1:$KZ$3000,$C19,10+3*MIN(BQ$3,$D$2-1)))))</f>
        <v>100</v>
      </c>
      <c r="BR19" s="131" t="n">
        <f aca="false">IF(OR($C19="",$B$2="",$D$2=0),0,IF(BR$3&lt;0,0,N(INDEX('CURVA PREVISION'!$A$1:$KZ$3000,$C19,10+3*MIN(BR$3,$D$2-1)))))</f>
        <v>100</v>
      </c>
      <c r="BS19" s="131" t="n">
        <f aca="false">IF(OR($C19="",$B$2="",$D$2=0),0,IF(BS$3&lt;0,0,N(INDEX('CURVA PREVISION'!$A$1:$KZ$3000,$C19,10+3*MIN(BS$3,$D$2-1)))))</f>
        <v>100</v>
      </c>
      <c r="BT19" s="131" t="n">
        <f aca="false">IF(OR($C19="",$B$2="",$D$2=0),0,IF(BT$3&lt;0,0,N(INDEX('CURVA PREVISION'!$A$1:$KZ$3000,$C19,10+3*MIN(BT$3,$D$2-1)))))</f>
        <v>100</v>
      </c>
      <c r="BU19" s="131" t="n">
        <f aca="false">IF(OR($C19="",$B$2="",$D$2=0),0,IF(BU$3&lt;0,0,N(INDEX('CURVA PREVISION'!$A$1:$KZ$3000,$C19,10+3*MIN(BU$3,$D$2-1)))))</f>
        <v>100</v>
      </c>
      <c r="BV19" s="131" t="n">
        <f aca="false">IF(OR($C19="",$B$2="",$D$2=0),0,IF(BV$3&lt;0,0,N(INDEX('CURVA PREVISION'!$A$1:$KZ$3000,$C19,10+3*MIN(BV$3,$D$2-1)))))</f>
        <v>100</v>
      </c>
      <c r="BW19" s="131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386</v>
      </c>
      <c r="D20" s="131" t="n">
        <f aca="false">IF(OR($C20="",$B$2="",$D$2=0),0,IF(D$3&lt;0,0,N(INDEX('CURVA PREVISION'!$A$1:$KZ$3000,$C20,10+3*MIN(D$3,$D$2-1)))))</f>
        <v>0</v>
      </c>
      <c r="E20" s="131" t="n">
        <f aca="false">IF(OR($C20="",$B$2="",$D$2=0),0,IF(E$3&lt;0,0,N(INDEX('CURVA PREVISION'!$A$1:$KZ$3000,$C20,10+3*MIN(E$3,$D$2-1)))))</f>
        <v>0</v>
      </c>
      <c r="F20" s="131" t="n">
        <f aca="false">IF(OR($C20="",$B$2="",$D$2=0),0,IF(F$3&lt;0,0,N(INDEX('CURVA PREVISION'!$A$1:$KZ$3000,$C20,10+3*MIN(F$3,$D$2-1)))))</f>
        <v>0</v>
      </c>
      <c r="G20" s="131" t="n">
        <f aca="false">IF(OR($C20="",$B$2="",$D$2=0),0,IF(G$3&lt;0,0,N(INDEX('CURVA PREVISION'!$A$1:$KZ$3000,$C20,10+3*MIN(G$3,$D$2-1)))))</f>
        <v>0</v>
      </c>
      <c r="H20" s="131" t="n">
        <f aca="false">IF(OR($C20="",$B$2="",$D$2=0),0,IF(H$3&lt;0,0,N(INDEX('CURVA PREVISION'!$A$1:$KZ$3000,$C20,10+3*MIN(H$3,$D$2-1)))))</f>
        <v>0</v>
      </c>
      <c r="I20" s="131" t="n">
        <f aca="false">IF(OR($C20="",$B$2="",$D$2=0),0,IF(I$3&lt;0,0,N(INDEX('CURVA PREVISION'!$A$1:$KZ$3000,$C20,10+3*MIN(I$3,$D$2-1)))))</f>
        <v>6.39</v>
      </c>
      <c r="J20" s="131" t="n">
        <f aca="false">IF(OR($C20="",$B$2="",$D$2=0),0,IF(J$3&lt;0,0,N(INDEX('CURVA PREVISION'!$A$1:$KZ$3000,$C20,10+3*MIN(J$3,$D$2-1)))))</f>
        <v>18</v>
      </c>
      <c r="K20" s="131" t="n">
        <f aca="false">IF(OR($C20="",$B$2="",$D$2=0),0,IF(K$3&lt;0,0,N(INDEX('CURVA PREVISION'!$A$1:$KZ$3000,$C20,10+3*MIN(K$3,$D$2-1)))))</f>
        <v>31.35</v>
      </c>
      <c r="L20" s="131" t="n">
        <f aca="false">IF(OR($C20="",$B$2="",$D$2=0),0,IF(L$3&lt;0,0,N(INDEX('CURVA PREVISION'!$A$1:$KZ$3000,$C20,10+3*MIN(L$3,$D$2-1)))))</f>
        <v>42.97</v>
      </c>
      <c r="M20" s="131" t="n">
        <f aca="false">IF(OR($C20="",$B$2="",$D$2=0),0,IF(M$3&lt;0,0,N(INDEX('CURVA PREVISION'!$A$1:$KZ$3000,$C20,10+3*MIN(M$3,$D$2-1)))))</f>
        <v>55.74</v>
      </c>
      <c r="N20" s="131" t="n">
        <f aca="false">IF(OR($C20="",$B$2="",$D$2=0),0,IF(N$3&lt;0,0,N(INDEX('CURVA PREVISION'!$A$1:$KZ$3000,$C20,10+3*MIN(N$3,$D$2-1)))))</f>
        <v>69.09</v>
      </c>
      <c r="O20" s="131" t="n">
        <f aca="false">IF(OR($C20="",$B$2="",$D$2=0),0,IF(O$3&lt;0,0,N(INDEX('CURVA PREVISION'!$A$1:$KZ$3000,$C20,10+3*MIN(O$3,$D$2-1)))))</f>
        <v>74.15</v>
      </c>
      <c r="P20" s="131" t="n">
        <f aca="false">IF(OR($C20="",$B$2="",$D$2=0),0,IF(P$3&lt;0,0,N(INDEX('CURVA PREVISION'!$A$1:$KZ$3000,$C20,10+3*MIN(P$3,$D$2-1)))))</f>
        <v>80.05</v>
      </c>
      <c r="Q20" s="131" t="n">
        <f aca="false">IF(OR($C20="",$B$2="",$D$2=0),0,IF(Q$3&lt;0,0,N(INDEX('CURVA PREVISION'!$A$1:$KZ$3000,$C20,10+3*MIN(Q$3,$D$2-1)))))</f>
        <v>80.58</v>
      </c>
      <c r="R20" s="131" t="n">
        <f aca="false">IF(OR($C20="",$B$2="",$D$2=0),0,IF(R$3&lt;0,0,N(INDEX('CURVA PREVISION'!$A$1:$KZ$3000,$C20,10+3*MIN(R$3,$D$2-1)))))</f>
        <v>80.58</v>
      </c>
      <c r="S20" s="131" t="n">
        <f aca="false">IF(OR($C20="",$B$2="",$D$2=0),0,IF(S$3&lt;0,0,N(INDEX('CURVA PREVISION'!$A$1:$KZ$3000,$C20,10+3*MIN(S$3,$D$2-1)))))</f>
        <v>80.58</v>
      </c>
      <c r="T20" s="131" t="n">
        <f aca="false">IF(OR($C20="",$B$2="",$D$2=0),0,IF(T$3&lt;0,0,N(INDEX('CURVA PREVISION'!$A$1:$KZ$3000,$C20,10+3*MIN(T$3,$D$2-1)))))</f>
        <v>80.68</v>
      </c>
      <c r="U20" s="131" t="n">
        <f aca="false">IF(OR($C20="",$B$2="",$D$2=0),0,IF(U$3&lt;0,0,N(INDEX('CURVA PREVISION'!$A$1:$KZ$3000,$C20,10+3*MIN(U$3,$D$2-1)))))</f>
        <v>81.33</v>
      </c>
      <c r="V20" s="131" t="n">
        <f aca="false">IF(OR($C20="",$B$2="",$D$2=0),0,IF(V$3&lt;0,0,N(INDEX('CURVA PREVISION'!$A$1:$KZ$3000,$C20,10+3*MIN(V$3,$D$2-1)))))</f>
        <v>86.61</v>
      </c>
      <c r="W20" s="131" t="n">
        <f aca="false">IF(OR($C20="",$B$2="",$D$2=0),0,IF(W$3&lt;0,0,N(INDEX('CURVA PREVISION'!$A$1:$KZ$3000,$C20,10+3*MIN(W$3,$D$2-1)))))</f>
        <v>94.72</v>
      </c>
      <c r="X20" s="131" t="n">
        <f aca="false">IF(OR($C20="",$B$2="",$D$2=0),0,IF(X$3&lt;0,0,N(INDEX('CURVA PREVISION'!$A$1:$KZ$3000,$C20,10+3*MIN(X$3,$D$2-1)))))</f>
        <v>100</v>
      </c>
      <c r="Y20" s="131" t="n">
        <f aca="false">IF(OR($C20="",$B$2="",$D$2=0),0,IF(Y$3&lt;0,0,N(INDEX('CURVA PREVISION'!$A$1:$KZ$3000,$C20,10+3*MIN(Y$3,$D$2-1)))))</f>
        <v>100</v>
      </c>
      <c r="Z20" s="131" t="n">
        <f aca="false">IF(OR($C20="",$B$2="",$D$2=0),0,IF(Z$3&lt;0,0,N(INDEX('CURVA PREVISION'!$A$1:$KZ$3000,$C20,10+3*MIN(Z$3,$D$2-1)))))</f>
        <v>100</v>
      </c>
      <c r="AA20" s="131" t="n">
        <f aca="false">IF(OR($C20="",$B$2="",$D$2=0),0,IF(AA$3&lt;0,0,N(INDEX('CURVA PREVISION'!$A$1:$KZ$3000,$C20,10+3*MIN(AA$3,$D$2-1)))))</f>
        <v>100</v>
      </c>
      <c r="AB20" s="131" t="n">
        <f aca="false">IF(OR($C20="",$B$2="",$D$2=0),0,IF(AB$3&lt;0,0,N(INDEX('CURVA PREVISION'!$A$1:$KZ$3000,$C20,10+3*MIN(AB$3,$D$2-1)))))</f>
        <v>100</v>
      </c>
      <c r="AC20" s="131" t="n">
        <f aca="false">IF(OR($C20="",$B$2="",$D$2=0),0,IF(AC$3&lt;0,0,N(INDEX('CURVA PREVISION'!$A$1:$KZ$3000,$C20,10+3*MIN(AC$3,$D$2-1)))))</f>
        <v>100</v>
      </c>
      <c r="AD20" s="131" t="n">
        <f aca="false">IF(OR($C20="",$B$2="",$D$2=0),0,IF(AD$3&lt;0,0,N(INDEX('CURVA PREVISION'!$A$1:$KZ$3000,$C20,10+3*MIN(AD$3,$D$2-1)))))</f>
        <v>100</v>
      </c>
      <c r="AE20" s="131" t="n">
        <f aca="false">IF(OR($C20="",$B$2="",$D$2=0),0,IF(AE$3&lt;0,0,N(INDEX('CURVA PREVISION'!$A$1:$KZ$3000,$C20,10+3*MIN(AE$3,$D$2-1)))))</f>
        <v>100</v>
      </c>
      <c r="AF20" s="131" t="n">
        <f aca="false">IF(OR($C20="",$B$2="",$D$2=0),0,IF(AF$3&lt;0,0,N(INDEX('CURVA PREVISION'!$A$1:$KZ$3000,$C20,10+3*MIN(AF$3,$D$2-1)))))</f>
        <v>100</v>
      </c>
      <c r="AG20" s="131" t="n">
        <f aca="false">IF(OR($C20="",$B$2="",$D$2=0),0,IF(AG$3&lt;0,0,N(INDEX('CURVA PREVISION'!$A$1:$KZ$3000,$C20,10+3*MIN(AG$3,$D$2-1)))))</f>
        <v>100</v>
      </c>
      <c r="AH20" s="131" t="n">
        <f aca="false">IF(OR($C20="",$B$2="",$D$2=0),0,IF(AH$3&lt;0,0,N(INDEX('CURVA PREVISION'!$A$1:$KZ$3000,$C20,10+3*MIN(AH$3,$D$2-1)))))</f>
        <v>100</v>
      </c>
      <c r="AI20" s="131" t="n">
        <f aca="false">IF(OR($C20="",$B$2="",$D$2=0),0,IF(AI$3&lt;0,0,N(INDEX('CURVA PREVISION'!$A$1:$KZ$3000,$C20,10+3*MIN(AI$3,$D$2-1)))))</f>
        <v>100</v>
      </c>
      <c r="AJ20" s="131" t="n">
        <f aca="false">IF(OR($C20="",$B$2="",$D$2=0),0,IF(AJ$3&lt;0,0,N(INDEX('CURVA PREVISION'!$A$1:$KZ$3000,$C20,10+3*MIN(AJ$3,$D$2-1)))))</f>
        <v>100</v>
      </c>
      <c r="AK20" s="131" t="n">
        <f aca="false">IF(OR($C20="",$B$2="",$D$2=0),0,IF(AK$3&lt;0,0,N(INDEX('CURVA PREVISION'!$A$1:$KZ$3000,$C20,10+3*MIN(AK$3,$D$2-1)))))</f>
        <v>100</v>
      </c>
      <c r="AL20" s="131" t="n">
        <f aca="false">IF(OR($C20="",$B$2="",$D$2=0),0,IF(AL$3&lt;0,0,N(INDEX('CURVA PREVISION'!$A$1:$KZ$3000,$C20,10+3*MIN(AL$3,$D$2-1)))))</f>
        <v>100</v>
      </c>
      <c r="AM20" s="131" t="n">
        <f aca="false">IF(OR($C20="",$B$2="",$D$2=0),0,IF(AM$3&lt;0,0,N(INDEX('CURVA PREVISION'!$A$1:$KZ$3000,$C20,10+3*MIN(AM$3,$D$2-1)))))</f>
        <v>100</v>
      </c>
      <c r="AN20" s="131" t="n">
        <f aca="false">IF(OR($C20="",$B$2="",$D$2=0),0,IF(AN$3&lt;0,0,N(INDEX('CURVA PREVISION'!$A$1:$KZ$3000,$C20,10+3*MIN(AN$3,$D$2-1)))))</f>
        <v>100</v>
      </c>
      <c r="AO20" s="131" t="n">
        <f aca="false">IF(OR($C20="",$B$2="",$D$2=0),0,IF(AO$3&lt;0,0,N(INDEX('CURVA PREVISION'!$A$1:$KZ$3000,$C20,10+3*MIN(AO$3,$D$2-1)))))</f>
        <v>100</v>
      </c>
      <c r="AP20" s="131" t="n">
        <f aca="false">IF(OR($C20="",$B$2="",$D$2=0),0,IF(AP$3&lt;0,0,N(INDEX('CURVA PREVISION'!$A$1:$KZ$3000,$C20,10+3*MIN(AP$3,$D$2-1)))))</f>
        <v>100</v>
      </c>
      <c r="AQ20" s="131" t="n">
        <f aca="false">IF(OR($C20="",$B$2="",$D$2=0),0,IF(AQ$3&lt;0,0,N(INDEX('CURVA PREVISION'!$A$1:$KZ$3000,$C20,10+3*MIN(AQ$3,$D$2-1)))))</f>
        <v>100</v>
      </c>
      <c r="AR20" s="131" t="n">
        <f aca="false">IF(OR($C20="",$B$2="",$D$2=0),0,IF(AR$3&lt;0,0,N(INDEX('CURVA PREVISION'!$A$1:$KZ$3000,$C20,10+3*MIN(AR$3,$D$2-1)))))</f>
        <v>100</v>
      </c>
      <c r="AS20" s="131" t="n">
        <f aca="false">IF(OR($C20="",$B$2="",$D$2=0),0,IF(AS$3&lt;0,0,N(INDEX('CURVA PREVISION'!$A$1:$KZ$3000,$C20,10+3*MIN(AS$3,$D$2-1)))))</f>
        <v>100</v>
      </c>
      <c r="AT20" s="131" t="n">
        <f aca="false">IF(OR($C20="",$B$2="",$D$2=0),0,IF(AT$3&lt;0,0,N(INDEX('CURVA PREVISION'!$A$1:$KZ$3000,$C20,10+3*MIN(AT$3,$D$2-1)))))</f>
        <v>100</v>
      </c>
      <c r="AU20" s="131" t="n">
        <f aca="false">IF(OR($C20="",$B$2="",$D$2=0),0,IF(AU$3&lt;0,0,N(INDEX('CURVA PREVISION'!$A$1:$KZ$3000,$C20,10+3*MIN(AU$3,$D$2-1)))))</f>
        <v>100</v>
      </c>
      <c r="AV20" s="131" t="n">
        <f aca="false">IF(OR($C20="",$B$2="",$D$2=0),0,IF(AV$3&lt;0,0,N(INDEX('CURVA PREVISION'!$A$1:$KZ$3000,$C20,10+3*MIN(AV$3,$D$2-1)))))</f>
        <v>100</v>
      </c>
      <c r="AW20" s="131" t="n">
        <f aca="false">IF(OR($C20="",$B$2="",$D$2=0),0,IF(AW$3&lt;0,0,N(INDEX('CURVA PREVISION'!$A$1:$KZ$3000,$C20,10+3*MIN(AW$3,$D$2-1)))))</f>
        <v>100</v>
      </c>
      <c r="AX20" s="131" t="n">
        <f aca="false">IF(OR($C20="",$B$2="",$D$2=0),0,IF(AX$3&lt;0,0,N(INDEX('CURVA PREVISION'!$A$1:$KZ$3000,$C20,10+3*MIN(AX$3,$D$2-1)))))</f>
        <v>100</v>
      </c>
      <c r="AY20" s="131" t="n">
        <f aca="false">IF(OR($C20="",$B$2="",$D$2=0),0,IF(AY$3&lt;0,0,N(INDEX('CURVA PREVISION'!$A$1:$KZ$3000,$C20,10+3*MIN(AY$3,$D$2-1)))))</f>
        <v>100</v>
      </c>
      <c r="AZ20" s="131" t="n">
        <f aca="false">IF(OR($C20="",$B$2="",$D$2=0),0,IF(AZ$3&lt;0,0,N(INDEX('CURVA PREVISION'!$A$1:$KZ$3000,$C20,10+3*MIN(AZ$3,$D$2-1)))))</f>
        <v>100</v>
      </c>
      <c r="BA20" s="131" t="n">
        <f aca="false">IF(OR($C20="",$B$2="",$D$2=0),0,IF(BA$3&lt;0,0,N(INDEX('CURVA PREVISION'!$A$1:$KZ$3000,$C20,10+3*MIN(BA$3,$D$2-1)))))</f>
        <v>100</v>
      </c>
      <c r="BB20" s="131" t="n">
        <f aca="false">IF(OR($C20="",$B$2="",$D$2=0),0,IF(BB$3&lt;0,0,N(INDEX('CURVA PREVISION'!$A$1:$KZ$3000,$C20,10+3*MIN(BB$3,$D$2-1)))))</f>
        <v>100</v>
      </c>
      <c r="BC20" s="131" t="n">
        <f aca="false">IF(OR($C20="",$B$2="",$D$2=0),0,IF(BC$3&lt;0,0,N(INDEX('CURVA PREVISION'!$A$1:$KZ$3000,$C20,10+3*MIN(BC$3,$D$2-1)))))</f>
        <v>100</v>
      </c>
      <c r="BD20" s="131" t="n">
        <f aca="false">IF(OR($C20="",$B$2="",$D$2=0),0,IF(BD$3&lt;0,0,N(INDEX('CURVA PREVISION'!$A$1:$KZ$3000,$C20,10+3*MIN(BD$3,$D$2-1)))))</f>
        <v>100</v>
      </c>
      <c r="BE20" s="131" t="n">
        <f aca="false">IF(OR($C20="",$B$2="",$D$2=0),0,IF(BE$3&lt;0,0,N(INDEX('CURVA PREVISION'!$A$1:$KZ$3000,$C20,10+3*MIN(BE$3,$D$2-1)))))</f>
        <v>100</v>
      </c>
      <c r="BF20" s="131" t="n">
        <f aca="false">IF(OR($C20="",$B$2="",$D$2=0),0,IF(BF$3&lt;0,0,N(INDEX('CURVA PREVISION'!$A$1:$KZ$3000,$C20,10+3*MIN(BF$3,$D$2-1)))))</f>
        <v>100</v>
      </c>
      <c r="BG20" s="131" t="n">
        <f aca="false">IF(OR($C20="",$B$2="",$D$2=0),0,IF(BG$3&lt;0,0,N(INDEX('CURVA PREVISION'!$A$1:$KZ$3000,$C20,10+3*MIN(BG$3,$D$2-1)))))</f>
        <v>100</v>
      </c>
      <c r="BH20" s="131" t="n">
        <f aca="false">IF(OR($C20="",$B$2="",$D$2=0),0,IF(BH$3&lt;0,0,N(INDEX('CURVA PREVISION'!$A$1:$KZ$3000,$C20,10+3*MIN(BH$3,$D$2-1)))))</f>
        <v>100</v>
      </c>
      <c r="BI20" s="131" t="n">
        <f aca="false">IF(OR($C20="",$B$2="",$D$2=0),0,IF(BI$3&lt;0,0,N(INDEX('CURVA PREVISION'!$A$1:$KZ$3000,$C20,10+3*MIN(BI$3,$D$2-1)))))</f>
        <v>100</v>
      </c>
      <c r="BJ20" s="131" t="n">
        <f aca="false">IF(OR($C20="",$B$2="",$D$2=0),0,IF(BJ$3&lt;0,0,N(INDEX('CURVA PREVISION'!$A$1:$KZ$3000,$C20,10+3*MIN(BJ$3,$D$2-1)))))</f>
        <v>100</v>
      </c>
      <c r="BK20" s="131" t="n">
        <f aca="false">IF(OR($C20="",$B$2="",$D$2=0),0,IF(BK$3&lt;0,0,N(INDEX('CURVA PREVISION'!$A$1:$KZ$3000,$C20,10+3*MIN(BK$3,$D$2-1)))))</f>
        <v>100</v>
      </c>
      <c r="BL20" s="131" t="n">
        <f aca="false">IF(OR($C20="",$B$2="",$D$2=0),0,IF(BL$3&lt;0,0,N(INDEX('CURVA PREVISION'!$A$1:$KZ$3000,$C20,10+3*MIN(BL$3,$D$2-1)))))</f>
        <v>100</v>
      </c>
      <c r="BM20" s="131" t="n">
        <f aca="false">IF(OR($C20="",$B$2="",$D$2=0),0,IF(BM$3&lt;0,0,N(INDEX('CURVA PREVISION'!$A$1:$KZ$3000,$C20,10+3*MIN(BM$3,$D$2-1)))))</f>
        <v>100</v>
      </c>
      <c r="BN20" s="131" t="n">
        <f aca="false">IF(OR($C20="",$B$2="",$D$2=0),0,IF(BN$3&lt;0,0,N(INDEX('CURVA PREVISION'!$A$1:$KZ$3000,$C20,10+3*MIN(BN$3,$D$2-1)))))</f>
        <v>100</v>
      </c>
      <c r="BO20" s="131" t="n">
        <f aca="false">IF(OR($C20="",$B$2="",$D$2=0),0,IF(BO$3&lt;0,0,N(INDEX('CURVA PREVISION'!$A$1:$KZ$3000,$C20,10+3*MIN(BO$3,$D$2-1)))))</f>
        <v>100</v>
      </c>
      <c r="BP20" s="131" t="n">
        <f aca="false">IF(OR($C20="",$B$2="",$D$2=0),0,IF(BP$3&lt;0,0,N(INDEX('CURVA PREVISION'!$A$1:$KZ$3000,$C20,10+3*MIN(BP$3,$D$2-1)))))</f>
        <v>100</v>
      </c>
      <c r="BQ20" s="131" t="n">
        <f aca="false">IF(OR($C20="",$B$2="",$D$2=0),0,IF(BQ$3&lt;0,0,N(INDEX('CURVA PREVISION'!$A$1:$KZ$3000,$C20,10+3*MIN(BQ$3,$D$2-1)))))</f>
        <v>100</v>
      </c>
      <c r="BR20" s="131" t="n">
        <f aca="false">IF(OR($C20="",$B$2="",$D$2=0),0,IF(BR$3&lt;0,0,N(INDEX('CURVA PREVISION'!$A$1:$KZ$3000,$C20,10+3*MIN(BR$3,$D$2-1)))))</f>
        <v>100</v>
      </c>
      <c r="BS20" s="131" t="n">
        <f aca="false">IF(OR($C20="",$B$2="",$D$2=0),0,IF(BS$3&lt;0,0,N(INDEX('CURVA PREVISION'!$A$1:$KZ$3000,$C20,10+3*MIN(BS$3,$D$2-1)))))</f>
        <v>100</v>
      </c>
      <c r="BT20" s="131" t="n">
        <f aca="false">IF(OR($C20="",$B$2="",$D$2=0),0,IF(BT$3&lt;0,0,N(INDEX('CURVA PREVISION'!$A$1:$KZ$3000,$C20,10+3*MIN(BT$3,$D$2-1)))))</f>
        <v>100</v>
      </c>
      <c r="BU20" s="131" t="n">
        <f aca="false">IF(OR($C20="",$B$2="",$D$2=0),0,IF(BU$3&lt;0,0,N(INDEX('CURVA PREVISION'!$A$1:$KZ$3000,$C20,10+3*MIN(BU$3,$D$2-1)))))</f>
        <v>100</v>
      </c>
      <c r="BV20" s="131" t="n">
        <f aca="false">IF(OR($C20="",$B$2="",$D$2=0),0,IF(BV$3&lt;0,0,N(INDEX('CURVA PREVISION'!$A$1:$KZ$3000,$C20,10+3*MIN(BV$3,$D$2-1)))))</f>
        <v>100</v>
      </c>
      <c r="BW20" s="131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408</v>
      </c>
      <c r="D21" s="131" t="n">
        <f aca="false">IF(OR($C21="",$B$2="",$D$2=0),0,IF(D$3&lt;0,0,N(INDEX('CURVA PREVISION'!$A$1:$KZ$3000,$C21,10+3*MIN(D$3,$D$2-1)))))</f>
        <v>0</v>
      </c>
      <c r="E21" s="131" t="n">
        <f aca="false">IF(OR($C21="",$B$2="",$D$2=0),0,IF(E$3&lt;0,0,N(INDEX('CURVA PREVISION'!$A$1:$KZ$3000,$C21,10+3*MIN(E$3,$D$2-1)))))</f>
        <v>0</v>
      </c>
      <c r="F21" s="131" t="n">
        <f aca="false">IF(OR($C21="",$B$2="",$D$2=0),0,IF(F$3&lt;0,0,N(INDEX('CURVA PREVISION'!$A$1:$KZ$3000,$C21,10+3*MIN(F$3,$D$2-1)))))</f>
        <v>0</v>
      </c>
      <c r="G21" s="131" t="n">
        <f aca="false">IF(OR($C21="",$B$2="",$D$2=0),0,IF(G$3&lt;0,0,N(INDEX('CURVA PREVISION'!$A$1:$KZ$3000,$C21,10+3*MIN(G$3,$D$2-1)))))</f>
        <v>0</v>
      </c>
      <c r="H21" s="131" t="n">
        <f aca="false">IF(OR($C21="",$B$2="",$D$2=0),0,IF(H$3&lt;0,0,N(INDEX('CURVA PREVISION'!$A$1:$KZ$3000,$C21,10+3*MIN(H$3,$D$2-1)))))</f>
        <v>0</v>
      </c>
      <c r="I21" s="131" t="n">
        <f aca="false">IF(OR($C21="",$B$2="",$D$2=0),0,IF(I$3&lt;0,0,N(INDEX('CURVA PREVISION'!$A$1:$KZ$3000,$C21,10+3*MIN(I$3,$D$2-1)))))</f>
        <v>0</v>
      </c>
      <c r="J21" s="131" t="n">
        <f aca="false">IF(OR($C21="",$B$2="",$D$2=0),0,IF(J$3&lt;0,0,N(INDEX('CURVA PREVISION'!$A$1:$KZ$3000,$C21,10+3*MIN(J$3,$D$2-1)))))</f>
        <v>0.14</v>
      </c>
      <c r="K21" s="131" t="n">
        <f aca="false">IF(OR($C21="",$B$2="",$D$2=0),0,IF(K$3&lt;0,0,N(INDEX('CURVA PREVISION'!$A$1:$KZ$3000,$C21,10+3*MIN(K$3,$D$2-1)))))</f>
        <v>0.71</v>
      </c>
      <c r="L21" s="131" t="n">
        <f aca="false">IF(OR($C21="",$B$2="",$D$2=0),0,IF(L$3&lt;0,0,N(INDEX('CURVA PREVISION'!$A$1:$KZ$3000,$C21,10+3*MIN(L$3,$D$2-1)))))</f>
        <v>1.96</v>
      </c>
      <c r="M21" s="131" t="n">
        <f aca="false">IF(OR($C21="",$B$2="",$D$2=0),0,IF(M$3&lt;0,0,N(INDEX('CURVA PREVISION'!$A$1:$KZ$3000,$C21,10+3*MIN(M$3,$D$2-1)))))</f>
        <v>4.98</v>
      </c>
      <c r="N21" s="131" t="n">
        <f aca="false">IF(OR($C21="",$B$2="",$D$2=0),0,IF(N$3&lt;0,0,N(INDEX('CURVA PREVISION'!$A$1:$KZ$3000,$C21,10+3*MIN(N$3,$D$2-1)))))</f>
        <v>7.58</v>
      </c>
      <c r="O21" s="131" t="n">
        <f aca="false">IF(OR($C21="",$B$2="",$D$2=0),0,IF(O$3&lt;0,0,N(INDEX('CURVA PREVISION'!$A$1:$KZ$3000,$C21,10+3*MIN(O$3,$D$2-1)))))</f>
        <v>12.61</v>
      </c>
      <c r="P21" s="131" t="n">
        <f aca="false">IF(OR($C21="",$B$2="",$D$2=0),0,IF(P$3&lt;0,0,N(INDEX('CURVA PREVISION'!$A$1:$KZ$3000,$C21,10+3*MIN(P$3,$D$2-1)))))</f>
        <v>14.15</v>
      </c>
      <c r="Q21" s="131" t="n">
        <f aca="false">IF(OR($C21="",$B$2="",$D$2=0),0,IF(Q$3&lt;0,0,N(INDEX('CURVA PREVISION'!$A$1:$KZ$3000,$C21,10+3*MIN(Q$3,$D$2-1)))))</f>
        <v>19.57</v>
      </c>
      <c r="R21" s="131" t="n">
        <f aca="false">IF(OR($C21="",$B$2="",$D$2=0),0,IF(R$3&lt;0,0,N(INDEX('CURVA PREVISION'!$A$1:$KZ$3000,$C21,10+3*MIN(R$3,$D$2-1)))))</f>
        <v>24.5</v>
      </c>
      <c r="S21" s="131" t="n">
        <f aca="false">IF(OR($C21="",$B$2="",$D$2=0),0,IF(S$3&lt;0,0,N(INDEX('CURVA PREVISION'!$A$1:$KZ$3000,$C21,10+3*MIN(S$3,$D$2-1)))))</f>
        <v>30.59</v>
      </c>
      <c r="T21" s="131" t="n">
        <f aca="false">IF(OR($C21="",$B$2="",$D$2=0),0,IF(T$3&lt;0,0,N(INDEX('CURVA PREVISION'!$A$1:$KZ$3000,$C21,10+3*MIN(T$3,$D$2-1)))))</f>
        <v>36.45</v>
      </c>
      <c r="U21" s="131" t="n">
        <f aca="false">IF(OR($C21="",$B$2="",$D$2=0),0,IF(U$3&lt;0,0,N(INDEX('CURVA PREVISION'!$A$1:$KZ$3000,$C21,10+3*MIN(U$3,$D$2-1)))))</f>
        <v>40.6</v>
      </c>
      <c r="V21" s="131" t="n">
        <f aca="false">IF(OR($C21="",$B$2="",$D$2=0),0,IF(V$3&lt;0,0,N(INDEX('CURVA PREVISION'!$A$1:$KZ$3000,$C21,10+3*MIN(V$3,$D$2-1)))))</f>
        <v>46.15</v>
      </c>
      <c r="W21" s="131" t="n">
        <f aca="false">IF(OR($C21="",$B$2="",$D$2=0),0,IF(W$3&lt;0,0,N(INDEX('CURVA PREVISION'!$A$1:$KZ$3000,$C21,10+3*MIN(W$3,$D$2-1)))))</f>
        <v>49.62</v>
      </c>
      <c r="X21" s="131" t="n">
        <f aca="false">IF(OR($C21="",$B$2="",$D$2=0),0,IF(X$3&lt;0,0,N(INDEX('CURVA PREVISION'!$A$1:$KZ$3000,$C21,10+3*MIN(X$3,$D$2-1)))))</f>
        <v>57.54</v>
      </c>
      <c r="Y21" s="131" t="n">
        <f aca="false">IF(OR($C21="",$B$2="",$D$2=0),0,IF(Y$3&lt;0,0,N(INDEX('CURVA PREVISION'!$A$1:$KZ$3000,$C21,10+3*MIN(Y$3,$D$2-1)))))</f>
        <v>65.62</v>
      </c>
      <c r="Z21" s="131" t="n">
        <f aca="false">IF(OR($C21="",$B$2="",$D$2=0),0,IF(Z$3&lt;0,0,N(INDEX('CURVA PREVISION'!$A$1:$KZ$3000,$C21,10+3*MIN(Z$3,$D$2-1)))))</f>
        <v>71.86</v>
      </c>
      <c r="AA21" s="131" t="n">
        <f aca="false">IF(OR($C21="",$B$2="",$D$2=0),0,IF(AA$3&lt;0,0,N(INDEX('CURVA PREVISION'!$A$1:$KZ$3000,$C21,10+3*MIN(AA$3,$D$2-1)))))</f>
        <v>78.08</v>
      </c>
      <c r="AB21" s="131" t="n">
        <f aca="false">IF(OR($C21="",$B$2="",$D$2=0),0,IF(AB$3&lt;0,0,N(INDEX('CURVA PREVISION'!$A$1:$KZ$3000,$C21,10+3*MIN(AB$3,$D$2-1)))))</f>
        <v>81.1</v>
      </c>
      <c r="AC21" s="131" t="n">
        <f aca="false">IF(OR($C21="",$B$2="",$D$2=0),0,IF(AC$3&lt;0,0,N(INDEX('CURVA PREVISION'!$A$1:$KZ$3000,$C21,10+3*MIN(AC$3,$D$2-1)))))</f>
        <v>84.82</v>
      </c>
      <c r="AD21" s="131" t="n">
        <f aca="false">IF(OR($C21="",$B$2="",$D$2=0),0,IF(AD$3&lt;0,0,N(INDEX('CURVA PREVISION'!$A$1:$KZ$3000,$C21,10+3*MIN(AD$3,$D$2-1)))))</f>
        <v>89.32</v>
      </c>
      <c r="AE21" s="131" t="n">
        <f aca="false">IF(OR($C21="",$B$2="",$D$2=0),0,IF(AE$3&lt;0,0,N(INDEX('CURVA PREVISION'!$A$1:$KZ$3000,$C21,10+3*MIN(AE$3,$D$2-1)))))</f>
        <v>93.89</v>
      </c>
      <c r="AF21" s="131" t="n">
        <f aca="false">IF(OR($C21="",$B$2="",$D$2=0),0,IF(AF$3&lt;0,0,N(INDEX('CURVA PREVISION'!$A$1:$KZ$3000,$C21,10+3*MIN(AF$3,$D$2-1)))))</f>
        <v>97.81</v>
      </c>
      <c r="AG21" s="131" t="n">
        <f aca="false">IF(OR($C21="",$B$2="",$D$2=0),0,IF(AG$3&lt;0,0,N(INDEX('CURVA PREVISION'!$A$1:$KZ$3000,$C21,10+3*MIN(AG$3,$D$2-1)))))</f>
        <v>99.61</v>
      </c>
      <c r="AH21" s="131" t="n">
        <f aca="false">IF(OR($C21="",$B$2="",$D$2=0),0,IF(AH$3&lt;0,0,N(INDEX('CURVA PREVISION'!$A$1:$KZ$3000,$C21,10+3*MIN(AH$3,$D$2-1)))))</f>
        <v>99.89</v>
      </c>
      <c r="AI21" s="131" t="n">
        <f aca="false">IF(OR($C21="",$B$2="",$D$2=0),0,IF(AI$3&lt;0,0,N(INDEX('CURVA PREVISION'!$A$1:$KZ$3000,$C21,10+3*MIN(AI$3,$D$2-1)))))</f>
        <v>100</v>
      </c>
      <c r="AJ21" s="131" t="n">
        <f aca="false">IF(OR($C21="",$B$2="",$D$2=0),0,IF(AJ$3&lt;0,0,N(INDEX('CURVA PREVISION'!$A$1:$KZ$3000,$C21,10+3*MIN(AJ$3,$D$2-1)))))</f>
        <v>100</v>
      </c>
      <c r="AK21" s="131" t="n">
        <f aca="false">IF(OR($C21="",$B$2="",$D$2=0),0,IF(AK$3&lt;0,0,N(INDEX('CURVA PREVISION'!$A$1:$KZ$3000,$C21,10+3*MIN(AK$3,$D$2-1)))))</f>
        <v>100</v>
      </c>
      <c r="AL21" s="131" t="n">
        <f aca="false">IF(OR($C21="",$B$2="",$D$2=0),0,IF(AL$3&lt;0,0,N(INDEX('CURVA PREVISION'!$A$1:$KZ$3000,$C21,10+3*MIN(AL$3,$D$2-1)))))</f>
        <v>100</v>
      </c>
      <c r="AM21" s="131" t="n">
        <f aca="false">IF(OR($C21="",$B$2="",$D$2=0),0,IF(AM$3&lt;0,0,N(INDEX('CURVA PREVISION'!$A$1:$KZ$3000,$C21,10+3*MIN(AM$3,$D$2-1)))))</f>
        <v>100</v>
      </c>
      <c r="AN21" s="131" t="n">
        <f aca="false">IF(OR($C21="",$B$2="",$D$2=0),0,IF(AN$3&lt;0,0,N(INDEX('CURVA PREVISION'!$A$1:$KZ$3000,$C21,10+3*MIN(AN$3,$D$2-1)))))</f>
        <v>100</v>
      </c>
      <c r="AO21" s="131" t="n">
        <f aca="false">IF(OR($C21="",$B$2="",$D$2=0),0,IF(AO$3&lt;0,0,N(INDEX('CURVA PREVISION'!$A$1:$KZ$3000,$C21,10+3*MIN(AO$3,$D$2-1)))))</f>
        <v>100</v>
      </c>
      <c r="AP21" s="131" t="n">
        <f aca="false">IF(OR($C21="",$B$2="",$D$2=0),0,IF(AP$3&lt;0,0,N(INDEX('CURVA PREVISION'!$A$1:$KZ$3000,$C21,10+3*MIN(AP$3,$D$2-1)))))</f>
        <v>100</v>
      </c>
      <c r="AQ21" s="131" t="n">
        <f aca="false">IF(OR($C21="",$B$2="",$D$2=0),0,IF(AQ$3&lt;0,0,N(INDEX('CURVA PREVISION'!$A$1:$KZ$3000,$C21,10+3*MIN(AQ$3,$D$2-1)))))</f>
        <v>100</v>
      </c>
      <c r="AR21" s="131" t="n">
        <f aca="false">IF(OR($C21="",$B$2="",$D$2=0),0,IF(AR$3&lt;0,0,N(INDEX('CURVA PREVISION'!$A$1:$KZ$3000,$C21,10+3*MIN(AR$3,$D$2-1)))))</f>
        <v>100</v>
      </c>
      <c r="AS21" s="131" t="n">
        <f aca="false">IF(OR($C21="",$B$2="",$D$2=0),0,IF(AS$3&lt;0,0,N(INDEX('CURVA PREVISION'!$A$1:$KZ$3000,$C21,10+3*MIN(AS$3,$D$2-1)))))</f>
        <v>100</v>
      </c>
      <c r="AT21" s="131" t="n">
        <f aca="false">IF(OR($C21="",$B$2="",$D$2=0),0,IF(AT$3&lt;0,0,N(INDEX('CURVA PREVISION'!$A$1:$KZ$3000,$C21,10+3*MIN(AT$3,$D$2-1)))))</f>
        <v>100</v>
      </c>
      <c r="AU21" s="131" t="n">
        <f aca="false">IF(OR($C21="",$B$2="",$D$2=0),0,IF(AU$3&lt;0,0,N(INDEX('CURVA PREVISION'!$A$1:$KZ$3000,$C21,10+3*MIN(AU$3,$D$2-1)))))</f>
        <v>100</v>
      </c>
      <c r="AV21" s="131" t="n">
        <f aca="false">IF(OR($C21="",$B$2="",$D$2=0),0,IF(AV$3&lt;0,0,N(INDEX('CURVA PREVISION'!$A$1:$KZ$3000,$C21,10+3*MIN(AV$3,$D$2-1)))))</f>
        <v>100</v>
      </c>
      <c r="AW21" s="131" t="n">
        <f aca="false">IF(OR($C21="",$B$2="",$D$2=0),0,IF(AW$3&lt;0,0,N(INDEX('CURVA PREVISION'!$A$1:$KZ$3000,$C21,10+3*MIN(AW$3,$D$2-1)))))</f>
        <v>100</v>
      </c>
      <c r="AX21" s="131" t="n">
        <f aca="false">IF(OR($C21="",$B$2="",$D$2=0),0,IF(AX$3&lt;0,0,N(INDEX('CURVA PREVISION'!$A$1:$KZ$3000,$C21,10+3*MIN(AX$3,$D$2-1)))))</f>
        <v>100</v>
      </c>
      <c r="AY21" s="131" t="n">
        <f aca="false">IF(OR($C21="",$B$2="",$D$2=0),0,IF(AY$3&lt;0,0,N(INDEX('CURVA PREVISION'!$A$1:$KZ$3000,$C21,10+3*MIN(AY$3,$D$2-1)))))</f>
        <v>100</v>
      </c>
      <c r="AZ21" s="131" t="n">
        <f aca="false">IF(OR($C21="",$B$2="",$D$2=0),0,IF(AZ$3&lt;0,0,N(INDEX('CURVA PREVISION'!$A$1:$KZ$3000,$C21,10+3*MIN(AZ$3,$D$2-1)))))</f>
        <v>100</v>
      </c>
      <c r="BA21" s="131" t="n">
        <f aca="false">IF(OR($C21="",$B$2="",$D$2=0),0,IF(BA$3&lt;0,0,N(INDEX('CURVA PREVISION'!$A$1:$KZ$3000,$C21,10+3*MIN(BA$3,$D$2-1)))))</f>
        <v>100</v>
      </c>
      <c r="BB21" s="131" t="n">
        <f aca="false">IF(OR($C21="",$B$2="",$D$2=0),0,IF(BB$3&lt;0,0,N(INDEX('CURVA PREVISION'!$A$1:$KZ$3000,$C21,10+3*MIN(BB$3,$D$2-1)))))</f>
        <v>100</v>
      </c>
      <c r="BC21" s="131" t="n">
        <f aca="false">IF(OR($C21="",$B$2="",$D$2=0),0,IF(BC$3&lt;0,0,N(INDEX('CURVA PREVISION'!$A$1:$KZ$3000,$C21,10+3*MIN(BC$3,$D$2-1)))))</f>
        <v>100</v>
      </c>
      <c r="BD21" s="131" t="n">
        <f aca="false">IF(OR($C21="",$B$2="",$D$2=0),0,IF(BD$3&lt;0,0,N(INDEX('CURVA PREVISION'!$A$1:$KZ$3000,$C21,10+3*MIN(BD$3,$D$2-1)))))</f>
        <v>100</v>
      </c>
      <c r="BE21" s="131" t="n">
        <f aca="false">IF(OR($C21="",$B$2="",$D$2=0),0,IF(BE$3&lt;0,0,N(INDEX('CURVA PREVISION'!$A$1:$KZ$3000,$C21,10+3*MIN(BE$3,$D$2-1)))))</f>
        <v>100</v>
      </c>
      <c r="BF21" s="131" t="n">
        <f aca="false">IF(OR($C21="",$B$2="",$D$2=0),0,IF(BF$3&lt;0,0,N(INDEX('CURVA PREVISION'!$A$1:$KZ$3000,$C21,10+3*MIN(BF$3,$D$2-1)))))</f>
        <v>100</v>
      </c>
      <c r="BG21" s="131" t="n">
        <f aca="false">IF(OR($C21="",$B$2="",$D$2=0),0,IF(BG$3&lt;0,0,N(INDEX('CURVA PREVISION'!$A$1:$KZ$3000,$C21,10+3*MIN(BG$3,$D$2-1)))))</f>
        <v>100</v>
      </c>
      <c r="BH21" s="131" t="n">
        <f aca="false">IF(OR($C21="",$B$2="",$D$2=0),0,IF(BH$3&lt;0,0,N(INDEX('CURVA PREVISION'!$A$1:$KZ$3000,$C21,10+3*MIN(BH$3,$D$2-1)))))</f>
        <v>100</v>
      </c>
      <c r="BI21" s="131" t="n">
        <f aca="false">IF(OR($C21="",$B$2="",$D$2=0),0,IF(BI$3&lt;0,0,N(INDEX('CURVA PREVISION'!$A$1:$KZ$3000,$C21,10+3*MIN(BI$3,$D$2-1)))))</f>
        <v>100</v>
      </c>
      <c r="BJ21" s="131" t="n">
        <f aca="false">IF(OR($C21="",$B$2="",$D$2=0),0,IF(BJ$3&lt;0,0,N(INDEX('CURVA PREVISION'!$A$1:$KZ$3000,$C21,10+3*MIN(BJ$3,$D$2-1)))))</f>
        <v>100</v>
      </c>
      <c r="BK21" s="131" t="n">
        <f aca="false">IF(OR($C21="",$B$2="",$D$2=0),0,IF(BK$3&lt;0,0,N(INDEX('CURVA PREVISION'!$A$1:$KZ$3000,$C21,10+3*MIN(BK$3,$D$2-1)))))</f>
        <v>100</v>
      </c>
      <c r="BL21" s="131" t="n">
        <f aca="false">IF(OR($C21="",$B$2="",$D$2=0),0,IF(BL$3&lt;0,0,N(INDEX('CURVA PREVISION'!$A$1:$KZ$3000,$C21,10+3*MIN(BL$3,$D$2-1)))))</f>
        <v>100</v>
      </c>
      <c r="BM21" s="131" t="n">
        <f aca="false">IF(OR($C21="",$B$2="",$D$2=0),0,IF(BM$3&lt;0,0,N(INDEX('CURVA PREVISION'!$A$1:$KZ$3000,$C21,10+3*MIN(BM$3,$D$2-1)))))</f>
        <v>100</v>
      </c>
      <c r="BN21" s="131" t="n">
        <f aca="false">IF(OR($C21="",$B$2="",$D$2=0),0,IF(BN$3&lt;0,0,N(INDEX('CURVA PREVISION'!$A$1:$KZ$3000,$C21,10+3*MIN(BN$3,$D$2-1)))))</f>
        <v>100</v>
      </c>
      <c r="BO21" s="131" t="n">
        <f aca="false">IF(OR($C21="",$B$2="",$D$2=0),0,IF(BO$3&lt;0,0,N(INDEX('CURVA PREVISION'!$A$1:$KZ$3000,$C21,10+3*MIN(BO$3,$D$2-1)))))</f>
        <v>100</v>
      </c>
      <c r="BP21" s="131" t="n">
        <f aca="false">IF(OR($C21="",$B$2="",$D$2=0),0,IF(BP$3&lt;0,0,N(INDEX('CURVA PREVISION'!$A$1:$KZ$3000,$C21,10+3*MIN(BP$3,$D$2-1)))))</f>
        <v>100</v>
      </c>
      <c r="BQ21" s="131" t="n">
        <f aca="false">IF(OR($C21="",$B$2="",$D$2=0),0,IF(BQ$3&lt;0,0,N(INDEX('CURVA PREVISION'!$A$1:$KZ$3000,$C21,10+3*MIN(BQ$3,$D$2-1)))))</f>
        <v>100</v>
      </c>
      <c r="BR21" s="131" t="n">
        <f aca="false">IF(OR($C21="",$B$2="",$D$2=0),0,IF(BR$3&lt;0,0,N(INDEX('CURVA PREVISION'!$A$1:$KZ$3000,$C21,10+3*MIN(BR$3,$D$2-1)))))</f>
        <v>100</v>
      </c>
      <c r="BS21" s="131" t="n">
        <f aca="false">IF(OR($C21="",$B$2="",$D$2=0),0,IF(BS$3&lt;0,0,N(INDEX('CURVA PREVISION'!$A$1:$KZ$3000,$C21,10+3*MIN(BS$3,$D$2-1)))))</f>
        <v>100</v>
      </c>
      <c r="BT21" s="131" t="n">
        <f aca="false">IF(OR($C21="",$B$2="",$D$2=0),0,IF(BT$3&lt;0,0,N(INDEX('CURVA PREVISION'!$A$1:$KZ$3000,$C21,10+3*MIN(BT$3,$D$2-1)))))</f>
        <v>100</v>
      </c>
      <c r="BU21" s="131" t="n">
        <f aca="false">IF(OR($C21="",$B$2="",$D$2=0),0,IF(BU$3&lt;0,0,N(INDEX('CURVA PREVISION'!$A$1:$KZ$3000,$C21,10+3*MIN(BU$3,$D$2-1)))))</f>
        <v>100</v>
      </c>
      <c r="BV21" s="131" t="n">
        <f aca="false">IF(OR($C21="",$B$2="",$D$2=0),0,IF(BV$3&lt;0,0,N(INDEX('CURVA PREVISION'!$A$1:$KZ$3000,$C21,10+3*MIN(BV$3,$D$2-1)))))</f>
        <v>100</v>
      </c>
      <c r="BW21" s="131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18</v>
      </c>
      <c r="B22" s="57" t="str">
        <f aca="false">'VALOR POR PL'!D28</f>
        <v>ALVENARIA</v>
      </c>
      <c r="C22" s="64" t="n">
        <f aca="false">IFERROR(MATCH(A22,'CURVA PREVISION'!$B$1:$B$3000,0),"")</f>
        <v>429</v>
      </c>
      <c r="D22" s="131" t="n">
        <f aca="false">IF(OR($C22="",$B$2="",$D$2=0),0,IF(D$3&lt;0,0,N(INDEX('CURVA PREVISION'!$A$1:$KZ$3000,$C22,10+3*MIN(D$3,$D$2-1)))))</f>
        <v>0</v>
      </c>
      <c r="E22" s="131" t="n">
        <f aca="false">IF(OR($C22="",$B$2="",$D$2=0),0,IF(E$3&lt;0,0,N(INDEX('CURVA PREVISION'!$A$1:$KZ$3000,$C22,10+3*MIN(E$3,$D$2-1)))))</f>
        <v>0</v>
      </c>
      <c r="F22" s="131" t="n">
        <f aca="false">IF(OR($C22="",$B$2="",$D$2=0),0,IF(F$3&lt;0,0,N(INDEX('CURVA PREVISION'!$A$1:$KZ$3000,$C22,10+3*MIN(F$3,$D$2-1)))))</f>
        <v>0</v>
      </c>
      <c r="G22" s="131" t="n">
        <f aca="false">IF(OR($C22="",$B$2="",$D$2=0),0,IF(G$3&lt;0,0,N(INDEX('CURVA PREVISION'!$A$1:$KZ$3000,$C22,10+3*MIN(G$3,$D$2-1)))))</f>
        <v>0</v>
      </c>
      <c r="H22" s="131" t="n">
        <f aca="false">IF(OR($C22="",$B$2="",$D$2=0),0,IF(H$3&lt;0,0,N(INDEX('CURVA PREVISION'!$A$1:$KZ$3000,$C22,10+3*MIN(H$3,$D$2-1)))))</f>
        <v>0</v>
      </c>
      <c r="I22" s="131" t="n">
        <f aca="false">IF(OR($C22="",$B$2="",$D$2=0),0,IF(I$3&lt;0,0,N(INDEX('CURVA PREVISION'!$A$1:$KZ$3000,$C22,10+3*MIN(I$3,$D$2-1)))))</f>
        <v>0</v>
      </c>
      <c r="J22" s="131" t="n">
        <f aca="false">IF(OR($C22="",$B$2="",$D$2=0),0,IF(J$3&lt;0,0,N(INDEX('CURVA PREVISION'!$A$1:$KZ$3000,$C22,10+3*MIN(J$3,$D$2-1)))))</f>
        <v>0</v>
      </c>
      <c r="K22" s="131" t="n">
        <f aca="false">IF(OR($C22="",$B$2="",$D$2=0),0,IF(K$3&lt;0,0,N(INDEX('CURVA PREVISION'!$A$1:$KZ$3000,$C22,10+3*MIN(K$3,$D$2-1)))))</f>
        <v>0</v>
      </c>
      <c r="L22" s="131" t="n">
        <f aca="false">IF(OR($C22="",$B$2="",$D$2=0),0,IF(L$3&lt;0,0,N(INDEX('CURVA PREVISION'!$A$1:$KZ$3000,$C22,10+3*MIN(L$3,$D$2-1)))))</f>
        <v>0</v>
      </c>
      <c r="M22" s="131" t="n">
        <f aca="false">IF(OR($C22="",$B$2="",$D$2=0),0,IF(M$3&lt;0,0,N(INDEX('CURVA PREVISION'!$A$1:$KZ$3000,$C22,10+3*MIN(M$3,$D$2-1)))))</f>
        <v>0</v>
      </c>
      <c r="N22" s="131" t="n">
        <f aca="false">IF(OR($C22="",$B$2="",$D$2=0),0,IF(N$3&lt;0,0,N(INDEX('CURVA PREVISION'!$A$1:$KZ$3000,$C22,10+3*MIN(N$3,$D$2-1)))))</f>
        <v>0</v>
      </c>
      <c r="O22" s="131" t="n">
        <f aca="false">IF(OR($C22="",$B$2="",$D$2=0),0,IF(O$3&lt;0,0,N(INDEX('CURVA PREVISION'!$A$1:$KZ$3000,$C22,10+3*MIN(O$3,$D$2-1)))))</f>
        <v>0</v>
      </c>
      <c r="P22" s="131" t="n">
        <f aca="false">IF(OR($C22="",$B$2="",$D$2=0),0,IF(P$3&lt;0,0,N(INDEX('CURVA PREVISION'!$A$1:$KZ$3000,$C22,10+3*MIN(P$3,$D$2-1)))))</f>
        <v>0</v>
      </c>
      <c r="Q22" s="131" t="n">
        <f aca="false">IF(OR($C22="",$B$2="",$D$2=0),0,IF(Q$3&lt;0,0,N(INDEX('CURVA PREVISION'!$A$1:$KZ$3000,$C22,10+3*MIN(Q$3,$D$2-1)))))</f>
        <v>0</v>
      </c>
      <c r="R22" s="131" t="n">
        <f aca="false">IF(OR($C22="",$B$2="",$D$2=0),0,IF(R$3&lt;0,0,N(INDEX('CURVA PREVISION'!$A$1:$KZ$3000,$C22,10+3*MIN(R$3,$D$2-1)))))</f>
        <v>0</v>
      </c>
      <c r="S22" s="131" t="n">
        <f aca="false">IF(OR($C22="",$B$2="",$D$2=0),0,IF(S$3&lt;0,0,N(INDEX('CURVA PREVISION'!$A$1:$KZ$3000,$C22,10+3*MIN(S$3,$D$2-1)))))</f>
        <v>0</v>
      </c>
      <c r="T22" s="131" t="n">
        <f aca="false">IF(OR($C22="",$B$2="",$D$2=0),0,IF(T$3&lt;0,0,N(INDEX('CURVA PREVISION'!$A$1:$KZ$3000,$C22,10+3*MIN(T$3,$D$2-1)))))</f>
        <v>0.17</v>
      </c>
      <c r="U22" s="131" t="n">
        <f aca="false">IF(OR($C22="",$B$2="",$D$2=0),0,IF(U$3&lt;0,0,N(INDEX('CURVA PREVISION'!$A$1:$KZ$3000,$C22,10+3*MIN(U$3,$D$2-1)))))</f>
        <v>0.71</v>
      </c>
      <c r="V22" s="131" t="n">
        <f aca="false">IF(OR($C22="",$B$2="",$D$2=0),0,IF(V$3&lt;0,0,N(INDEX('CURVA PREVISION'!$A$1:$KZ$3000,$C22,10+3*MIN(V$3,$D$2-1)))))</f>
        <v>2.63</v>
      </c>
      <c r="W22" s="131" t="n">
        <f aca="false">IF(OR($C22="",$B$2="",$D$2=0),0,IF(W$3&lt;0,0,N(INDEX('CURVA PREVISION'!$A$1:$KZ$3000,$C22,10+3*MIN(W$3,$D$2-1)))))</f>
        <v>5.43</v>
      </c>
      <c r="X22" s="131" t="n">
        <f aca="false">IF(OR($C22="",$B$2="",$D$2=0),0,IF(X$3&lt;0,0,N(INDEX('CURVA PREVISION'!$A$1:$KZ$3000,$C22,10+3*MIN(X$3,$D$2-1)))))</f>
        <v>7.15</v>
      </c>
      <c r="Y22" s="131" t="n">
        <f aca="false">IF(OR($C22="",$B$2="",$D$2=0),0,IF(Y$3&lt;0,0,N(INDEX('CURVA PREVISION'!$A$1:$KZ$3000,$C22,10+3*MIN(Y$3,$D$2-1)))))</f>
        <v>9.52</v>
      </c>
      <c r="Z22" s="131" t="n">
        <f aca="false">IF(OR($C22="",$B$2="",$D$2=0),0,IF(Z$3&lt;0,0,N(INDEX('CURVA PREVISION'!$A$1:$KZ$3000,$C22,10+3*MIN(Z$3,$D$2-1)))))</f>
        <v>13.43</v>
      </c>
      <c r="AA22" s="131" t="n">
        <f aca="false">IF(OR($C22="",$B$2="",$D$2=0),0,IF(AA$3&lt;0,0,N(INDEX('CURVA PREVISION'!$A$1:$KZ$3000,$C22,10+3*MIN(AA$3,$D$2-1)))))</f>
        <v>16.06</v>
      </c>
      <c r="AB22" s="131" t="n">
        <f aca="false">IF(OR($C22="",$B$2="",$D$2=0),0,IF(AB$3&lt;0,0,N(INDEX('CURVA PREVISION'!$A$1:$KZ$3000,$C22,10+3*MIN(AB$3,$D$2-1)))))</f>
        <v>17.79</v>
      </c>
      <c r="AC22" s="131" t="n">
        <f aca="false">IF(OR($C22="",$B$2="",$D$2=0),0,IF(AC$3&lt;0,0,N(INDEX('CURVA PREVISION'!$A$1:$KZ$3000,$C22,10+3*MIN(AC$3,$D$2-1)))))</f>
        <v>22.84</v>
      </c>
      <c r="AD22" s="131" t="n">
        <f aca="false">IF(OR($C22="",$B$2="",$D$2=0),0,IF(AD$3&lt;0,0,N(INDEX('CURVA PREVISION'!$A$1:$KZ$3000,$C22,10+3*MIN(AD$3,$D$2-1)))))</f>
        <v>30.19</v>
      </c>
      <c r="AE22" s="131" t="n">
        <f aca="false">IF(OR($C22="",$B$2="",$D$2=0),0,IF(AE$3&lt;0,0,N(INDEX('CURVA PREVISION'!$A$1:$KZ$3000,$C22,10+3*MIN(AE$3,$D$2-1)))))</f>
        <v>38.05</v>
      </c>
      <c r="AF22" s="131" t="n">
        <f aca="false">IF(OR($C22="",$B$2="",$D$2=0),0,IF(AF$3&lt;0,0,N(INDEX('CURVA PREVISION'!$A$1:$KZ$3000,$C22,10+3*MIN(AF$3,$D$2-1)))))</f>
        <v>46.97</v>
      </c>
      <c r="AG22" s="131" t="n">
        <f aca="false">IF(OR($C22="",$B$2="",$D$2=0),0,IF(AG$3&lt;0,0,N(INDEX('CURVA PREVISION'!$A$1:$KZ$3000,$C22,10+3*MIN(AG$3,$D$2-1)))))</f>
        <v>55.11</v>
      </c>
      <c r="AH22" s="131" t="n">
        <f aca="false">IF(OR($C22="",$B$2="",$D$2=0),0,IF(AH$3&lt;0,0,N(INDEX('CURVA PREVISION'!$A$1:$KZ$3000,$C22,10+3*MIN(AH$3,$D$2-1)))))</f>
        <v>62.95</v>
      </c>
      <c r="AI22" s="131" t="n">
        <f aca="false">IF(OR($C22="",$B$2="",$D$2=0),0,IF(AI$3&lt;0,0,N(INDEX('CURVA PREVISION'!$A$1:$KZ$3000,$C22,10+3*MIN(AI$3,$D$2-1)))))</f>
        <v>70.68</v>
      </c>
      <c r="AJ22" s="131" t="n">
        <f aca="false">IF(OR($C22="",$B$2="",$D$2=0),0,IF(AJ$3&lt;0,0,N(INDEX('CURVA PREVISION'!$A$1:$KZ$3000,$C22,10+3*MIN(AJ$3,$D$2-1)))))</f>
        <v>78.82</v>
      </c>
      <c r="AK22" s="131" t="n">
        <f aca="false">IF(OR($C22="",$B$2="",$D$2=0),0,IF(AK$3&lt;0,0,N(INDEX('CURVA PREVISION'!$A$1:$KZ$3000,$C22,10+3*MIN(AK$3,$D$2-1)))))</f>
        <v>84.77</v>
      </c>
      <c r="AL22" s="131" t="n">
        <f aca="false">IF(OR($C22="",$B$2="",$D$2=0),0,IF(AL$3&lt;0,0,N(INDEX('CURVA PREVISION'!$A$1:$KZ$3000,$C22,10+3*MIN(AL$3,$D$2-1)))))</f>
        <v>91.66</v>
      </c>
      <c r="AM22" s="131" t="n">
        <f aca="false">IF(OR($C22="",$B$2="",$D$2=0),0,IF(AM$3&lt;0,0,N(INDEX('CURVA PREVISION'!$A$1:$KZ$3000,$C22,10+3*MIN(AM$3,$D$2-1)))))</f>
        <v>95.56</v>
      </c>
      <c r="AN22" s="131" t="n">
        <f aca="false">IF(OR($C22="",$B$2="",$D$2=0),0,IF(AN$3&lt;0,0,N(INDEX('CURVA PREVISION'!$A$1:$KZ$3000,$C22,10+3*MIN(AN$3,$D$2-1)))))</f>
        <v>97.01</v>
      </c>
      <c r="AO22" s="131" t="n">
        <f aca="false">IF(OR($C22="",$B$2="",$D$2=0),0,IF(AO$3&lt;0,0,N(INDEX('CURVA PREVISION'!$A$1:$KZ$3000,$C22,10+3*MIN(AO$3,$D$2-1)))))</f>
        <v>98.18</v>
      </c>
      <c r="AP22" s="131" t="n">
        <f aca="false">IF(OR($C22="",$B$2="",$D$2=0),0,IF(AP$3&lt;0,0,N(INDEX('CURVA PREVISION'!$A$1:$KZ$3000,$C22,10+3*MIN(AP$3,$D$2-1)))))</f>
        <v>98.59</v>
      </c>
      <c r="AQ22" s="131" t="n">
        <f aca="false">IF(OR($C22="",$B$2="",$D$2=0),0,IF(AQ$3&lt;0,0,N(INDEX('CURVA PREVISION'!$A$1:$KZ$3000,$C22,10+3*MIN(AQ$3,$D$2-1)))))</f>
        <v>98.59</v>
      </c>
      <c r="AR22" s="131" t="n">
        <f aca="false">IF(OR($C22="",$B$2="",$D$2=0),0,IF(AR$3&lt;0,0,N(INDEX('CURVA PREVISION'!$A$1:$KZ$3000,$C22,10+3*MIN(AR$3,$D$2-1)))))</f>
        <v>100</v>
      </c>
      <c r="AS22" s="131" t="n">
        <f aca="false">IF(OR($C22="",$B$2="",$D$2=0),0,IF(AS$3&lt;0,0,N(INDEX('CURVA PREVISION'!$A$1:$KZ$3000,$C22,10+3*MIN(AS$3,$D$2-1)))))</f>
        <v>100</v>
      </c>
      <c r="AT22" s="131" t="n">
        <f aca="false">IF(OR($C22="",$B$2="",$D$2=0),0,IF(AT$3&lt;0,0,N(INDEX('CURVA PREVISION'!$A$1:$KZ$3000,$C22,10+3*MIN(AT$3,$D$2-1)))))</f>
        <v>100</v>
      </c>
      <c r="AU22" s="131" t="n">
        <f aca="false">IF(OR($C22="",$B$2="",$D$2=0),0,IF(AU$3&lt;0,0,N(INDEX('CURVA PREVISION'!$A$1:$KZ$3000,$C22,10+3*MIN(AU$3,$D$2-1)))))</f>
        <v>100</v>
      </c>
      <c r="AV22" s="131" t="n">
        <f aca="false">IF(OR($C22="",$B$2="",$D$2=0),0,IF(AV$3&lt;0,0,N(INDEX('CURVA PREVISION'!$A$1:$KZ$3000,$C22,10+3*MIN(AV$3,$D$2-1)))))</f>
        <v>100</v>
      </c>
      <c r="AW22" s="131" t="n">
        <f aca="false">IF(OR($C22="",$B$2="",$D$2=0),0,IF(AW$3&lt;0,0,N(INDEX('CURVA PREVISION'!$A$1:$KZ$3000,$C22,10+3*MIN(AW$3,$D$2-1)))))</f>
        <v>100</v>
      </c>
      <c r="AX22" s="131" t="n">
        <f aca="false">IF(OR($C22="",$B$2="",$D$2=0),0,IF(AX$3&lt;0,0,N(INDEX('CURVA PREVISION'!$A$1:$KZ$3000,$C22,10+3*MIN(AX$3,$D$2-1)))))</f>
        <v>100</v>
      </c>
      <c r="AY22" s="131" t="n">
        <f aca="false">IF(OR($C22="",$B$2="",$D$2=0),0,IF(AY$3&lt;0,0,N(INDEX('CURVA PREVISION'!$A$1:$KZ$3000,$C22,10+3*MIN(AY$3,$D$2-1)))))</f>
        <v>100</v>
      </c>
      <c r="AZ22" s="131" t="n">
        <f aca="false">IF(OR($C22="",$B$2="",$D$2=0),0,IF(AZ$3&lt;0,0,N(INDEX('CURVA PREVISION'!$A$1:$KZ$3000,$C22,10+3*MIN(AZ$3,$D$2-1)))))</f>
        <v>100</v>
      </c>
      <c r="BA22" s="131" t="n">
        <f aca="false">IF(OR($C22="",$B$2="",$D$2=0),0,IF(BA$3&lt;0,0,N(INDEX('CURVA PREVISION'!$A$1:$KZ$3000,$C22,10+3*MIN(BA$3,$D$2-1)))))</f>
        <v>100</v>
      </c>
      <c r="BB22" s="131" t="n">
        <f aca="false">IF(OR($C22="",$B$2="",$D$2=0),0,IF(BB$3&lt;0,0,N(INDEX('CURVA PREVISION'!$A$1:$KZ$3000,$C22,10+3*MIN(BB$3,$D$2-1)))))</f>
        <v>100</v>
      </c>
      <c r="BC22" s="131" t="n">
        <f aca="false">IF(OR($C22="",$B$2="",$D$2=0),0,IF(BC$3&lt;0,0,N(INDEX('CURVA PREVISION'!$A$1:$KZ$3000,$C22,10+3*MIN(BC$3,$D$2-1)))))</f>
        <v>100</v>
      </c>
      <c r="BD22" s="131" t="n">
        <f aca="false">IF(OR($C22="",$B$2="",$D$2=0),0,IF(BD$3&lt;0,0,N(INDEX('CURVA PREVISION'!$A$1:$KZ$3000,$C22,10+3*MIN(BD$3,$D$2-1)))))</f>
        <v>100</v>
      </c>
      <c r="BE22" s="131" t="n">
        <f aca="false">IF(OR($C22="",$B$2="",$D$2=0),0,IF(BE$3&lt;0,0,N(INDEX('CURVA PREVISION'!$A$1:$KZ$3000,$C22,10+3*MIN(BE$3,$D$2-1)))))</f>
        <v>100</v>
      </c>
      <c r="BF22" s="131" t="n">
        <f aca="false">IF(OR($C22="",$B$2="",$D$2=0),0,IF(BF$3&lt;0,0,N(INDEX('CURVA PREVISION'!$A$1:$KZ$3000,$C22,10+3*MIN(BF$3,$D$2-1)))))</f>
        <v>100</v>
      </c>
      <c r="BG22" s="131" t="n">
        <f aca="false">IF(OR($C22="",$B$2="",$D$2=0),0,IF(BG$3&lt;0,0,N(INDEX('CURVA PREVISION'!$A$1:$KZ$3000,$C22,10+3*MIN(BG$3,$D$2-1)))))</f>
        <v>100</v>
      </c>
      <c r="BH22" s="131" t="n">
        <f aca="false">IF(OR($C22="",$B$2="",$D$2=0),0,IF(BH$3&lt;0,0,N(INDEX('CURVA PREVISION'!$A$1:$KZ$3000,$C22,10+3*MIN(BH$3,$D$2-1)))))</f>
        <v>100</v>
      </c>
      <c r="BI22" s="131" t="n">
        <f aca="false">IF(OR($C22="",$B$2="",$D$2=0),0,IF(BI$3&lt;0,0,N(INDEX('CURVA PREVISION'!$A$1:$KZ$3000,$C22,10+3*MIN(BI$3,$D$2-1)))))</f>
        <v>100</v>
      </c>
      <c r="BJ22" s="131" t="n">
        <f aca="false">IF(OR($C22="",$B$2="",$D$2=0),0,IF(BJ$3&lt;0,0,N(INDEX('CURVA PREVISION'!$A$1:$KZ$3000,$C22,10+3*MIN(BJ$3,$D$2-1)))))</f>
        <v>100</v>
      </c>
      <c r="BK22" s="131" t="n">
        <f aca="false">IF(OR($C22="",$B$2="",$D$2=0),0,IF(BK$3&lt;0,0,N(INDEX('CURVA PREVISION'!$A$1:$KZ$3000,$C22,10+3*MIN(BK$3,$D$2-1)))))</f>
        <v>100</v>
      </c>
      <c r="BL22" s="131" t="n">
        <f aca="false">IF(OR($C22="",$B$2="",$D$2=0),0,IF(BL$3&lt;0,0,N(INDEX('CURVA PREVISION'!$A$1:$KZ$3000,$C22,10+3*MIN(BL$3,$D$2-1)))))</f>
        <v>100</v>
      </c>
      <c r="BM22" s="131" t="n">
        <f aca="false">IF(OR($C22="",$B$2="",$D$2=0),0,IF(BM$3&lt;0,0,N(INDEX('CURVA PREVISION'!$A$1:$KZ$3000,$C22,10+3*MIN(BM$3,$D$2-1)))))</f>
        <v>100</v>
      </c>
      <c r="BN22" s="131" t="n">
        <f aca="false">IF(OR($C22="",$B$2="",$D$2=0),0,IF(BN$3&lt;0,0,N(INDEX('CURVA PREVISION'!$A$1:$KZ$3000,$C22,10+3*MIN(BN$3,$D$2-1)))))</f>
        <v>100</v>
      </c>
      <c r="BO22" s="131" t="n">
        <f aca="false">IF(OR($C22="",$B$2="",$D$2=0),0,IF(BO$3&lt;0,0,N(INDEX('CURVA PREVISION'!$A$1:$KZ$3000,$C22,10+3*MIN(BO$3,$D$2-1)))))</f>
        <v>100</v>
      </c>
      <c r="BP22" s="131" t="n">
        <f aca="false">IF(OR($C22="",$B$2="",$D$2=0),0,IF(BP$3&lt;0,0,N(INDEX('CURVA PREVISION'!$A$1:$KZ$3000,$C22,10+3*MIN(BP$3,$D$2-1)))))</f>
        <v>100</v>
      </c>
      <c r="BQ22" s="131" t="n">
        <f aca="false">IF(OR($C22="",$B$2="",$D$2=0),0,IF(BQ$3&lt;0,0,N(INDEX('CURVA PREVISION'!$A$1:$KZ$3000,$C22,10+3*MIN(BQ$3,$D$2-1)))))</f>
        <v>100</v>
      </c>
      <c r="BR22" s="131" t="n">
        <f aca="false">IF(OR($C22="",$B$2="",$D$2=0),0,IF(BR$3&lt;0,0,N(INDEX('CURVA PREVISION'!$A$1:$KZ$3000,$C22,10+3*MIN(BR$3,$D$2-1)))))</f>
        <v>100</v>
      </c>
      <c r="BS22" s="131" t="n">
        <f aca="false">IF(OR($C22="",$B$2="",$D$2=0),0,IF(BS$3&lt;0,0,N(INDEX('CURVA PREVISION'!$A$1:$KZ$3000,$C22,10+3*MIN(BS$3,$D$2-1)))))</f>
        <v>100</v>
      </c>
      <c r="BT22" s="131" t="n">
        <f aca="false">IF(OR($C22="",$B$2="",$D$2=0),0,IF(BT$3&lt;0,0,N(INDEX('CURVA PREVISION'!$A$1:$KZ$3000,$C22,10+3*MIN(BT$3,$D$2-1)))))</f>
        <v>100</v>
      </c>
      <c r="BU22" s="131" t="n">
        <f aca="false">IF(OR($C22="",$B$2="",$D$2=0),0,IF(BU$3&lt;0,0,N(INDEX('CURVA PREVISION'!$A$1:$KZ$3000,$C22,10+3*MIN(BU$3,$D$2-1)))))</f>
        <v>100</v>
      </c>
      <c r="BV22" s="131" t="n">
        <f aca="false">IF(OR($C22="",$B$2="",$D$2=0),0,IF(BV$3&lt;0,0,N(INDEX('CURVA PREVISION'!$A$1:$KZ$3000,$C22,10+3*MIN(BV$3,$D$2-1)))))</f>
        <v>100</v>
      </c>
      <c r="BW22" s="131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19</v>
      </c>
      <c r="B23" s="57" t="str">
        <f aca="false">'VALOR POR PL'!D29</f>
        <v>IMPERMEABILIZAÇÃO</v>
      </c>
      <c r="C23" s="64" t="n">
        <f aca="false">IFERROR(MATCH(A23,'CURVA PREVISION'!$B$1:$B$3000,0),"")</f>
        <v>454</v>
      </c>
      <c r="D23" s="131" t="n">
        <f aca="false">IF(OR($C23="",$B$2="",$D$2=0),0,IF(D$3&lt;0,0,N(INDEX('CURVA PREVISION'!$A$1:$KZ$3000,$C23,10+3*MIN(D$3,$D$2-1)))))</f>
        <v>0</v>
      </c>
      <c r="E23" s="131" t="n">
        <f aca="false">IF(OR($C23="",$B$2="",$D$2=0),0,IF(E$3&lt;0,0,N(INDEX('CURVA PREVISION'!$A$1:$KZ$3000,$C23,10+3*MIN(E$3,$D$2-1)))))</f>
        <v>0</v>
      </c>
      <c r="F23" s="131" t="n">
        <f aca="false">IF(OR($C23="",$B$2="",$D$2=0),0,IF(F$3&lt;0,0,N(INDEX('CURVA PREVISION'!$A$1:$KZ$3000,$C23,10+3*MIN(F$3,$D$2-1)))))</f>
        <v>0</v>
      </c>
      <c r="G23" s="131" t="n">
        <f aca="false">IF(OR($C23="",$B$2="",$D$2=0),0,IF(G$3&lt;0,0,N(INDEX('CURVA PREVISION'!$A$1:$KZ$3000,$C23,10+3*MIN(G$3,$D$2-1)))))</f>
        <v>0</v>
      </c>
      <c r="H23" s="131" t="n">
        <f aca="false">IF(OR($C23="",$B$2="",$D$2=0),0,IF(H$3&lt;0,0,N(INDEX('CURVA PREVISION'!$A$1:$KZ$3000,$C23,10+3*MIN(H$3,$D$2-1)))))</f>
        <v>0</v>
      </c>
      <c r="I23" s="131" t="n">
        <f aca="false">IF(OR($C23="",$B$2="",$D$2=0),0,IF(I$3&lt;0,0,N(INDEX('CURVA PREVISION'!$A$1:$KZ$3000,$C23,10+3*MIN(I$3,$D$2-1)))))</f>
        <v>0</v>
      </c>
      <c r="J23" s="131" t="n">
        <f aca="false">IF(OR($C23="",$B$2="",$D$2=0),0,IF(J$3&lt;0,0,N(INDEX('CURVA PREVISION'!$A$1:$KZ$3000,$C23,10+3*MIN(J$3,$D$2-1)))))</f>
        <v>0</v>
      </c>
      <c r="K23" s="131" t="n">
        <f aca="false">IF(OR($C23="",$B$2="",$D$2=0),0,IF(K$3&lt;0,0,N(INDEX('CURVA PREVISION'!$A$1:$KZ$3000,$C23,10+3*MIN(K$3,$D$2-1)))))</f>
        <v>0</v>
      </c>
      <c r="L23" s="131" t="n">
        <f aca="false">IF(OR($C23="",$B$2="",$D$2=0),0,IF(L$3&lt;0,0,N(INDEX('CURVA PREVISION'!$A$1:$KZ$3000,$C23,10+3*MIN(L$3,$D$2-1)))))</f>
        <v>0</v>
      </c>
      <c r="M23" s="131" t="n">
        <f aca="false">IF(OR($C23="",$B$2="",$D$2=0),0,IF(M$3&lt;0,0,N(INDEX('CURVA PREVISION'!$A$1:$KZ$3000,$C23,10+3*MIN(M$3,$D$2-1)))))</f>
        <v>0</v>
      </c>
      <c r="N23" s="131" t="n">
        <f aca="false">IF(OR($C23="",$B$2="",$D$2=0),0,IF(N$3&lt;0,0,N(INDEX('CURVA PREVISION'!$A$1:$KZ$3000,$C23,10+3*MIN(N$3,$D$2-1)))))</f>
        <v>0</v>
      </c>
      <c r="O23" s="131" t="n">
        <f aca="false">IF(OR($C23="",$B$2="",$D$2=0),0,IF(O$3&lt;0,0,N(INDEX('CURVA PREVISION'!$A$1:$KZ$3000,$C23,10+3*MIN(O$3,$D$2-1)))))</f>
        <v>0</v>
      </c>
      <c r="P23" s="131" t="n">
        <f aca="false">IF(OR($C23="",$B$2="",$D$2=0),0,IF(P$3&lt;0,0,N(INDEX('CURVA PREVISION'!$A$1:$KZ$3000,$C23,10+3*MIN(P$3,$D$2-1)))))</f>
        <v>0</v>
      </c>
      <c r="Q23" s="131" t="n">
        <f aca="false">IF(OR($C23="",$B$2="",$D$2=0),0,IF(Q$3&lt;0,0,N(INDEX('CURVA PREVISION'!$A$1:$KZ$3000,$C23,10+3*MIN(Q$3,$D$2-1)))))</f>
        <v>0</v>
      </c>
      <c r="R23" s="131" t="n">
        <f aca="false">IF(OR($C23="",$B$2="",$D$2=0),0,IF(R$3&lt;0,0,N(INDEX('CURVA PREVISION'!$A$1:$KZ$3000,$C23,10+3*MIN(R$3,$D$2-1)))))</f>
        <v>0</v>
      </c>
      <c r="S23" s="131" t="n">
        <f aca="false">IF(OR($C23="",$B$2="",$D$2=0),0,IF(S$3&lt;0,0,N(INDEX('CURVA PREVISION'!$A$1:$KZ$3000,$C23,10+3*MIN(S$3,$D$2-1)))))</f>
        <v>0</v>
      </c>
      <c r="T23" s="131" t="n">
        <f aca="false">IF(OR($C23="",$B$2="",$D$2=0),0,IF(T$3&lt;0,0,N(INDEX('CURVA PREVISION'!$A$1:$KZ$3000,$C23,10+3*MIN(T$3,$D$2-1)))))</f>
        <v>0</v>
      </c>
      <c r="U23" s="131" t="n">
        <f aca="false">IF(OR($C23="",$B$2="",$D$2=0),0,IF(U$3&lt;0,0,N(INDEX('CURVA PREVISION'!$A$1:$KZ$3000,$C23,10+3*MIN(U$3,$D$2-1)))))</f>
        <v>0</v>
      </c>
      <c r="V23" s="131" t="n">
        <f aca="false">IF(OR($C23="",$B$2="",$D$2=0),0,IF(V$3&lt;0,0,N(INDEX('CURVA PREVISION'!$A$1:$KZ$3000,$C23,10+3*MIN(V$3,$D$2-1)))))</f>
        <v>0</v>
      </c>
      <c r="W23" s="131" t="n">
        <f aca="false">IF(OR($C23="",$B$2="",$D$2=0),0,IF(W$3&lt;0,0,N(INDEX('CURVA PREVISION'!$A$1:$KZ$3000,$C23,10+3*MIN(W$3,$D$2-1)))))</f>
        <v>0</v>
      </c>
      <c r="X23" s="131" t="n">
        <f aca="false">IF(OR($C23="",$B$2="",$D$2=0),0,IF(X$3&lt;0,0,N(INDEX('CURVA PREVISION'!$A$1:$KZ$3000,$C23,10+3*MIN(X$3,$D$2-1)))))</f>
        <v>0</v>
      </c>
      <c r="Y23" s="131" t="n">
        <f aca="false">IF(OR($C23="",$B$2="",$D$2=0),0,IF(Y$3&lt;0,0,N(INDEX('CURVA PREVISION'!$A$1:$KZ$3000,$C23,10+3*MIN(Y$3,$D$2-1)))))</f>
        <v>0</v>
      </c>
      <c r="Z23" s="131" t="n">
        <f aca="false">IF(OR($C23="",$B$2="",$D$2=0),0,IF(Z$3&lt;0,0,N(INDEX('CURVA PREVISION'!$A$1:$KZ$3000,$C23,10+3*MIN(Z$3,$D$2-1)))))</f>
        <v>5.53</v>
      </c>
      <c r="AA23" s="131" t="n">
        <f aca="false">IF(OR($C23="",$B$2="",$D$2=0),0,IF(AA$3&lt;0,0,N(INDEX('CURVA PREVISION'!$A$1:$KZ$3000,$C23,10+3*MIN(AA$3,$D$2-1)))))</f>
        <v>11.07</v>
      </c>
      <c r="AB23" s="131" t="n">
        <f aca="false">IF(OR($C23="",$B$2="",$D$2=0),0,IF(AB$3&lt;0,0,N(INDEX('CURVA PREVISION'!$A$1:$KZ$3000,$C23,10+3*MIN(AB$3,$D$2-1)))))</f>
        <v>14.85</v>
      </c>
      <c r="AC23" s="131" t="n">
        <f aca="false">IF(OR($C23="",$B$2="",$D$2=0),0,IF(AC$3&lt;0,0,N(INDEX('CURVA PREVISION'!$A$1:$KZ$3000,$C23,10+3*MIN(AC$3,$D$2-1)))))</f>
        <v>20.68</v>
      </c>
      <c r="AD23" s="131" t="n">
        <f aca="false">IF(OR($C23="",$B$2="",$D$2=0),0,IF(AD$3&lt;0,0,N(INDEX('CURVA PREVISION'!$A$1:$KZ$3000,$C23,10+3*MIN(AD$3,$D$2-1)))))</f>
        <v>28.44</v>
      </c>
      <c r="AE23" s="131" t="n">
        <f aca="false">IF(OR($C23="",$B$2="",$D$2=0),0,IF(AE$3&lt;0,0,N(INDEX('CURVA PREVISION'!$A$1:$KZ$3000,$C23,10+3*MIN(AE$3,$D$2-1)))))</f>
        <v>38.8</v>
      </c>
      <c r="AF23" s="131" t="n">
        <f aca="false">IF(OR($C23="",$B$2="",$D$2=0),0,IF(AF$3&lt;0,0,N(INDEX('CURVA PREVISION'!$A$1:$KZ$3000,$C23,10+3*MIN(AF$3,$D$2-1)))))</f>
        <v>47.81</v>
      </c>
      <c r="AG23" s="131" t="n">
        <f aca="false">IF(OR($C23="",$B$2="",$D$2=0),0,IF(AG$3&lt;0,0,N(INDEX('CURVA PREVISION'!$A$1:$KZ$3000,$C23,10+3*MIN(AG$3,$D$2-1)))))</f>
        <v>55.55</v>
      </c>
      <c r="AH23" s="131" t="n">
        <f aca="false">IF(OR($C23="",$B$2="",$D$2=0),0,IF(AH$3&lt;0,0,N(INDEX('CURVA PREVISION'!$A$1:$KZ$3000,$C23,10+3*MIN(AH$3,$D$2-1)))))</f>
        <v>61.06</v>
      </c>
      <c r="AI23" s="131" t="n">
        <f aca="false">IF(OR($C23="",$B$2="",$D$2=0),0,IF(AI$3&lt;0,0,N(INDEX('CURVA PREVISION'!$A$1:$KZ$3000,$C23,10+3*MIN(AI$3,$D$2-1)))))</f>
        <v>66.36</v>
      </c>
      <c r="AJ23" s="131" t="n">
        <f aca="false">IF(OR($C23="",$B$2="",$D$2=0),0,IF(AJ$3&lt;0,0,N(INDEX('CURVA PREVISION'!$A$1:$KZ$3000,$C23,10+3*MIN(AJ$3,$D$2-1)))))</f>
        <v>68.91</v>
      </c>
      <c r="AK23" s="131" t="n">
        <f aca="false">IF(OR($C23="",$B$2="",$D$2=0),0,IF(AK$3&lt;0,0,N(INDEX('CURVA PREVISION'!$A$1:$KZ$3000,$C23,10+3*MIN(AK$3,$D$2-1)))))</f>
        <v>71.18</v>
      </c>
      <c r="AL23" s="131" t="n">
        <f aca="false">IF(OR($C23="",$B$2="",$D$2=0),0,IF(AL$3&lt;0,0,N(INDEX('CURVA PREVISION'!$A$1:$KZ$3000,$C23,10+3*MIN(AL$3,$D$2-1)))))</f>
        <v>73.28</v>
      </c>
      <c r="AM23" s="131" t="n">
        <f aca="false">IF(OR($C23="",$B$2="",$D$2=0),0,IF(AM$3&lt;0,0,N(INDEX('CURVA PREVISION'!$A$1:$KZ$3000,$C23,10+3*MIN(AM$3,$D$2-1)))))</f>
        <v>76.16</v>
      </c>
      <c r="AN23" s="131" t="n">
        <f aca="false">IF(OR($C23="",$B$2="",$D$2=0),0,IF(AN$3&lt;0,0,N(INDEX('CURVA PREVISION'!$A$1:$KZ$3000,$C23,10+3*MIN(AN$3,$D$2-1)))))</f>
        <v>79.97</v>
      </c>
      <c r="AO23" s="131" t="n">
        <f aca="false">IF(OR($C23="",$B$2="",$D$2=0),0,IF(AO$3&lt;0,0,N(INDEX('CURVA PREVISION'!$A$1:$KZ$3000,$C23,10+3*MIN(AO$3,$D$2-1)))))</f>
        <v>85.4</v>
      </c>
      <c r="AP23" s="131" t="n">
        <f aca="false">IF(OR($C23="",$B$2="",$D$2=0),0,IF(AP$3&lt;0,0,N(INDEX('CURVA PREVISION'!$A$1:$KZ$3000,$C23,10+3*MIN(AP$3,$D$2-1)))))</f>
        <v>88.98</v>
      </c>
      <c r="AQ23" s="131" t="n">
        <f aca="false">IF(OR($C23="",$B$2="",$D$2=0),0,IF(AQ$3&lt;0,0,N(INDEX('CURVA PREVISION'!$A$1:$KZ$3000,$C23,10+3*MIN(AQ$3,$D$2-1)))))</f>
        <v>94.53</v>
      </c>
      <c r="AR23" s="131" t="n">
        <f aca="false">IF(OR($C23="",$B$2="",$D$2=0),0,IF(AR$3&lt;0,0,N(INDEX('CURVA PREVISION'!$A$1:$KZ$3000,$C23,10+3*MIN(AR$3,$D$2-1)))))</f>
        <v>98.28</v>
      </c>
      <c r="AS23" s="131" t="n">
        <f aca="false">IF(OR($C23="",$B$2="",$D$2=0),0,IF(AS$3&lt;0,0,N(INDEX('CURVA PREVISION'!$A$1:$KZ$3000,$C23,10+3*MIN(AS$3,$D$2-1)))))</f>
        <v>99.67</v>
      </c>
      <c r="AT23" s="131" t="n">
        <f aca="false">IF(OR($C23="",$B$2="",$D$2=0),0,IF(AT$3&lt;0,0,N(INDEX('CURVA PREVISION'!$A$1:$KZ$3000,$C23,10+3*MIN(AT$3,$D$2-1)))))</f>
        <v>100</v>
      </c>
      <c r="AU23" s="131" t="n">
        <f aca="false">IF(OR($C23="",$B$2="",$D$2=0),0,IF(AU$3&lt;0,0,N(INDEX('CURVA PREVISION'!$A$1:$KZ$3000,$C23,10+3*MIN(AU$3,$D$2-1)))))</f>
        <v>100</v>
      </c>
      <c r="AV23" s="131" t="n">
        <f aca="false">IF(OR($C23="",$B$2="",$D$2=0),0,IF(AV$3&lt;0,0,N(INDEX('CURVA PREVISION'!$A$1:$KZ$3000,$C23,10+3*MIN(AV$3,$D$2-1)))))</f>
        <v>100</v>
      </c>
      <c r="AW23" s="131" t="n">
        <f aca="false">IF(OR($C23="",$B$2="",$D$2=0),0,IF(AW$3&lt;0,0,N(INDEX('CURVA PREVISION'!$A$1:$KZ$3000,$C23,10+3*MIN(AW$3,$D$2-1)))))</f>
        <v>100</v>
      </c>
      <c r="AX23" s="131" t="n">
        <f aca="false">IF(OR($C23="",$B$2="",$D$2=0),0,IF(AX$3&lt;0,0,N(INDEX('CURVA PREVISION'!$A$1:$KZ$3000,$C23,10+3*MIN(AX$3,$D$2-1)))))</f>
        <v>100</v>
      </c>
      <c r="AY23" s="131" t="n">
        <f aca="false">IF(OR($C23="",$B$2="",$D$2=0),0,IF(AY$3&lt;0,0,N(INDEX('CURVA PREVISION'!$A$1:$KZ$3000,$C23,10+3*MIN(AY$3,$D$2-1)))))</f>
        <v>100</v>
      </c>
      <c r="AZ23" s="131" t="n">
        <f aca="false">IF(OR($C23="",$B$2="",$D$2=0),0,IF(AZ$3&lt;0,0,N(INDEX('CURVA PREVISION'!$A$1:$KZ$3000,$C23,10+3*MIN(AZ$3,$D$2-1)))))</f>
        <v>100</v>
      </c>
      <c r="BA23" s="131" t="n">
        <f aca="false">IF(OR($C23="",$B$2="",$D$2=0),0,IF(BA$3&lt;0,0,N(INDEX('CURVA PREVISION'!$A$1:$KZ$3000,$C23,10+3*MIN(BA$3,$D$2-1)))))</f>
        <v>100</v>
      </c>
      <c r="BB23" s="131" t="n">
        <f aca="false">IF(OR($C23="",$B$2="",$D$2=0),0,IF(BB$3&lt;0,0,N(INDEX('CURVA PREVISION'!$A$1:$KZ$3000,$C23,10+3*MIN(BB$3,$D$2-1)))))</f>
        <v>100</v>
      </c>
      <c r="BC23" s="131" t="n">
        <f aca="false">IF(OR($C23="",$B$2="",$D$2=0),0,IF(BC$3&lt;0,0,N(INDEX('CURVA PREVISION'!$A$1:$KZ$3000,$C23,10+3*MIN(BC$3,$D$2-1)))))</f>
        <v>100</v>
      </c>
      <c r="BD23" s="131" t="n">
        <f aca="false">IF(OR($C23="",$B$2="",$D$2=0),0,IF(BD$3&lt;0,0,N(INDEX('CURVA PREVISION'!$A$1:$KZ$3000,$C23,10+3*MIN(BD$3,$D$2-1)))))</f>
        <v>100</v>
      </c>
      <c r="BE23" s="131" t="n">
        <f aca="false">IF(OR($C23="",$B$2="",$D$2=0),0,IF(BE$3&lt;0,0,N(INDEX('CURVA PREVISION'!$A$1:$KZ$3000,$C23,10+3*MIN(BE$3,$D$2-1)))))</f>
        <v>100</v>
      </c>
      <c r="BF23" s="131" t="n">
        <f aca="false">IF(OR($C23="",$B$2="",$D$2=0),0,IF(BF$3&lt;0,0,N(INDEX('CURVA PREVISION'!$A$1:$KZ$3000,$C23,10+3*MIN(BF$3,$D$2-1)))))</f>
        <v>100</v>
      </c>
      <c r="BG23" s="131" t="n">
        <f aca="false">IF(OR($C23="",$B$2="",$D$2=0),0,IF(BG$3&lt;0,0,N(INDEX('CURVA PREVISION'!$A$1:$KZ$3000,$C23,10+3*MIN(BG$3,$D$2-1)))))</f>
        <v>100</v>
      </c>
      <c r="BH23" s="131" t="n">
        <f aca="false">IF(OR($C23="",$B$2="",$D$2=0),0,IF(BH$3&lt;0,0,N(INDEX('CURVA PREVISION'!$A$1:$KZ$3000,$C23,10+3*MIN(BH$3,$D$2-1)))))</f>
        <v>100</v>
      </c>
      <c r="BI23" s="131" t="n">
        <f aca="false">IF(OR($C23="",$B$2="",$D$2=0),0,IF(BI$3&lt;0,0,N(INDEX('CURVA PREVISION'!$A$1:$KZ$3000,$C23,10+3*MIN(BI$3,$D$2-1)))))</f>
        <v>100</v>
      </c>
      <c r="BJ23" s="131" t="n">
        <f aca="false">IF(OR($C23="",$B$2="",$D$2=0),0,IF(BJ$3&lt;0,0,N(INDEX('CURVA PREVISION'!$A$1:$KZ$3000,$C23,10+3*MIN(BJ$3,$D$2-1)))))</f>
        <v>100</v>
      </c>
      <c r="BK23" s="131" t="n">
        <f aca="false">IF(OR($C23="",$B$2="",$D$2=0),0,IF(BK$3&lt;0,0,N(INDEX('CURVA PREVISION'!$A$1:$KZ$3000,$C23,10+3*MIN(BK$3,$D$2-1)))))</f>
        <v>100</v>
      </c>
      <c r="BL23" s="131" t="n">
        <f aca="false">IF(OR($C23="",$B$2="",$D$2=0),0,IF(BL$3&lt;0,0,N(INDEX('CURVA PREVISION'!$A$1:$KZ$3000,$C23,10+3*MIN(BL$3,$D$2-1)))))</f>
        <v>100</v>
      </c>
      <c r="BM23" s="131" t="n">
        <f aca="false">IF(OR($C23="",$B$2="",$D$2=0),0,IF(BM$3&lt;0,0,N(INDEX('CURVA PREVISION'!$A$1:$KZ$3000,$C23,10+3*MIN(BM$3,$D$2-1)))))</f>
        <v>100</v>
      </c>
      <c r="BN23" s="131" t="n">
        <f aca="false">IF(OR($C23="",$B$2="",$D$2=0),0,IF(BN$3&lt;0,0,N(INDEX('CURVA PREVISION'!$A$1:$KZ$3000,$C23,10+3*MIN(BN$3,$D$2-1)))))</f>
        <v>100</v>
      </c>
      <c r="BO23" s="131" t="n">
        <f aca="false">IF(OR($C23="",$B$2="",$D$2=0),0,IF(BO$3&lt;0,0,N(INDEX('CURVA PREVISION'!$A$1:$KZ$3000,$C23,10+3*MIN(BO$3,$D$2-1)))))</f>
        <v>100</v>
      </c>
      <c r="BP23" s="131" t="n">
        <f aca="false">IF(OR($C23="",$B$2="",$D$2=0),0,IF(BP$3&lt;0,0,N(INDEX('CURVA PREVISION'!$A$1:$KZ$3000,$C23,10+3*MIN(BP$3,$D$2-1)))))</f>
        <v>100</v>
      </c>
      <c r="BQ23" s="131" t="n">
        <f aca="false">IF(OR($C23="",$B$2="",$D$2=0),0,IF(BQ$3&lt;0,0,N(INDEX('CURVA PREVISION'!$A$1:$KZ$3000,$C23,10+3*MIN(BQ$3,$D$2-1)))))</f>
        <v>100</v>
      </c>
      <c r="BR23" s="131" t="n">
        <f aca="false">IF(OR($C23="",$B$2="",$D$2=0),0,IF(BR$3&lt;0,0,N(INDEX('CURVA PREVISION'!$A$1:$KZ$3000,$C23,10+3*MIN(BR$3,$D$2-1)))))</f>
        <v>100</v>
      </c>
      <c r="BS23" s="131" t="n">
        <f aca="false">IF(OR($C23="",$B$2="",$D$2=0),0,IF(BS$3&lt;0,0,N(INDEX('CURVA PREVISION'!$A$1:$KZ$3000,$C23,10+3*MIN(BS$3,$D$2-1)))))</f>
        <v>100</v>
      </c>
      <c r="BT23" s="131" t="n">
        <f aca="false">IF(OR($C23="",$B$2="",$D$2=0),0,IF(BT$3&lt;0,0,N(INDEX('CURVA PREVISION'!$A$1:$KZ$3000,$C23,10+3*MIN(BT$3,$D$2-1)))))</f>
        <v>100</v>
      </c>
      <c r="BU23" s="131" t="n">
        <f aca="false">IF(OR($C23="",$B$2="",$D$2=0),0,IF(BU$3&lt;0,0,N(INDEX('CURVA PREVISION'!$A$1:$KZ$3000,$C23,10+3*MIN(BU$3,$D$2-1)))))</f>
        <v>100</v>
      </c>
      <c r="BV23" s="131" t="n">
        <f aca="false">IF(OR($C23="",$B$2="",$D$2=0),0,IF(BV$3&lt;0,0,N(INDEX('CURVA PREVISION'!$A$1:$KZ$3000,$C23,10+3*MIN(BV$3,$D$2-1)))))</f>
        <v>100</v>
      </c>
      <c r="BW23" s="131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20</v>
      </c>
      <c r="B24" s="57" t="str">
        <f aca="false">'VALOR POR PL'!D30</f>
        <v>INSTALAÇÕES ELÉTRICAS</v>
      </c>
      <c r="C24" s="64" t="n">
        <f aca="false">IFERROR(MATCH(A24,'CURVA PREVISION'!$B$1:$B$3000,0),"")</f>
        <v>523</v>
      </c>
      <c r="D24" s="131" t="n">
        <f aca="false">IF(OR($C24="",$B$2="",$D$2=0),0,IF(D$3&lt;0,0,N(INDEX('CURVA PREVISION'!$A$1:$KZ$3000,$C24,10+3*MIN(D$3,$D$2-1)))))</f>
        <v>0</v>
      </c>
      <c r="E24" s="131" t="n">
        <f aca="false">IF(OR($C24="",$B$2="",$D$2=0),0,IF(E$3&lt;0,0,N(INDEX('CURVA PREVISION'!$A$1:$KZ$3000,$C24,10+3*MIN(E$3,$D$2-1)))))</f>
        <v>0</v>
      </c>
      <c r="F24" s="131" t="n">
        <f aca="false">IF(OR($C24="",$B$2="",$D$2=0),0,IF(F$3&lt;0,0,N(INDEX('CURVA PREVISION'!$A$1:$KZ$3000,$C24,10+3*MIN(F$3,$D$2-1)))))</f>
        <v>0</v>
      </c>
      <c r="G24" s="131" t="n">
        <f aca="false">IF(OR($C24="",$B$2="",$D$2=0),0,IF(G$3&lt;0,0,N(INDEX('CURVA PREVISION'!$A$1:$KZ$3000,$C24,10+3*MIN(G$3,$D$2-1)))))</f>
        <v>0</v>
      </c>
      <c r="H24" s="131" t="n">
        <f aca="false">IF(OR($C24="",$B$2="",$D$2=0),0,IF(H$3&lt;0,0,N(INDEX('CURVA PREVISION'!$A$1:$KZ$3000,$C24,10+3*MIN(H$3,$D$2-1)))))</f>
        <v>0</v>
      </c>
      <c r="I24" s="131" t="n">
        <f aca="false">IF(OR($C24="",$B$2="",$D$2=0),0,IF(I$3&lt;0,0,N(INDEX('CURVA PREVISION'!$A$1:$KZ$3000,$C24,10+3*MIN(I$3,$D$2-1)))))</f>
        <v>0</v>
      </c>
      <c r="J24" s="131" t="n">
        <f aca="false">IF(OR($C24="",$B$2="",$D$2=0),0,IF(J$3&lt;0,0,N(INDEX('CURVA PREVISION'!$A$1:$KZ$3000,$C24,10+3*MIN(J$3,$D$2-1)))))</f>
        <v>0</v>
      </c>
      <c r="K24" s="131" t="n">
        <f aca="false">IF(OR($C24="",$B$2="",$D$2=0),0,IF(K$3&lt;0,0,N(INDEX('CURVA PREVISION'!$A$1:$KZ$3000,$C24,10+3*MIN(K$3,$D$2-1)))))</f>
        <v>0</v>
      </c>
      <c r="L24" s="131" t="n">
        <f aca="false">IF(OR($C24="",$B$2="",$D$2=0),0,IF(L$3&lt;0,0,N(INDEX('CURVA PREVISION'!$A$1:$KZ$3000,$C24,10+3*MIN(L$3,$D$2-1)))))</f>
        <v>0</v>
      </c>
      <c r="M24" s="131" t="n">
        <f aca="false">IF(OR($C24="",$B$2="",$D$2=0),0,IF(M$3&lt;0,0,N(INDEX('CURVA PREVISION'!$A$1:$KZ$3000,$C24,10+3*MIN(M$3,$D$2-1)))))</f>
        <v>0</v>
      </c>
      <c r="N24" s="131" t="n">
        <f aca="false">IF(OR($C24="",$B$2="",$D$2=0),0,IF(N$3&lt;0,0,N(INDEX('CURVA PREVISION'!$A$1:$KZ$3000,$C24,10+3*MIN(N$3,$D$2-1)))))</f>
        <v>0</v>
      </c>
      <c r="O24" s="131" t="n">
        <f aca="false">IF(OR($C24="",$B$2="",$D$2=0),0,IF(O$3&lt;0,0,N(INDEX('CURVA PREVISION'!$A$1:$KZ$3000,$C24,10+3*MIN(O$3,$D$2-1)))))</f>
        <v>0</v>
      </c>
      <c r="P24" s="131" t="n">
        <f aca="false">IF(OR($C24="",$B$2="",$D$2=0),0,IF(P$3&lt;0,0,N(INDEX('CURVA PREVISION'!$A$1:$KZ$3000,$C24,10+3*MIN(P$3,$D$2-1)))))</f>
        <v>0</v>
      </c>
      <c r="Q24" s="131" t="n">
        <f aca="false">IF(OR($C24="",$B$2="",$D$2=0),0,IF(Q$3&lt;0,0,N(INDEX('CURVA PREVISION'!$A$1:$KZ$3000,$C24,10+3*MIN(Q$3,$D$2-1)))))</f>
        <v>0</v>
      </c>
      <c r="R24" s="131" t="n">
        <f aca="false">IF(OR($C24="",$B$2="",$D$2=0),0,IF(R$3&lt;0,0,N(INDEX('CURVA PREVISION'!$A$1:$KZ$3000,$C24,10+3*MIN(R$3,$D$2-1)))))</f>
        <v>0</v>
      </c>
      <c r="S24" s="131" t="n">
        <f aca="false">IF(OR($C24="",$B$2="",$D$2=0),0,IF(S$3&lt;0,0,N(INDEX('CURVA PREVISION'!$A$1:$KZ$3000,$C24,10+3*MIN(S$3,$D$2-1)))))</f>
        <v>0</v>
      </c>
      <c r="T24" s="131" t="n">
        <f aca="false">IF(OR($C24="",$B$2="",$D$2=0),0,IF(T$3&lt;0,0,N(INDEX('CURVA PREVISION'!$A$1:$KZ$3000,$C24,10+3*MIN(T$3,$D$2-1)))))</f>
        <v>0</v>
      </c>
      <c r="U24" s="131" t="n">
        <f aca="false">IF(OR($C24="",$B$2="",$D$2=0),0,IF(U$3&lt;0,0,N(INDEX('CURVA PREVISION'!$A$1:$KZ$3000,$C24,10+3*MIN(U$3,$D$2-1)))))</f>
        <v>0</v>
      </c>
      <c r="V24" s="131" t="n">
        <f aca="false">IF(OR($C24="",$B$2="",$D$2=0),0,IF(V$3&lt;0,0,N(INDEX('CURVA PREVISION'!$A$1:$KZ$3000,$C24,10+3*MIN(V$3,$D$2-1)))))</f>
        <v>0</v>
      </c>
      <c r="W24" s="131" t="n">
        <f aca="false">IF(OR($C24="",$B$2="",$D$2=0),0,IF(W$3&lt;0,0,N(INDEX('CURVA PREVISION'!$A$1:$KZ$3000,$C24,10+3*MIN(W$3,$D$2-1)))))</f>
        <v>0</v>
      </c>
      <c r="X24" s="131" t="n">
        <f aca="false">IF(OR($C24="",$B$2="",$D$2=0),0,IF(X$3&lt;0,0,N(INDEX('CURVA PREVISION'!$A$1:$KZ$3000,$C24,10+3*MIN(X$3,$D$2-1)))))</f>
        <v>0</v>
      </c>
      <c r="Y24" s="131" t="n">
        <f aca="false">IF(OR($C24="",$B$2="",$D$2=0),0,IF(Y$3&lt;0,0,N(INDEX('CURVA PREVISION'!$A$1:$KZ$3000,$C24,10+3*MIN(Y$3,$D$2-1)))))</f>
        <v>0.18</v>
      </c>
      <c r="Z24" s="131" t="n">
        <f aca="false">IF(OR($C24="",$B$2="",$D$2=0),0,IF(Z$3&lt;0,0,N(INDEX('CURVA PREVISION'!$A$1:$KZ$3000,$C24,10+3*MIN(Z$3,$D$2-1)))))</f>
        <v>0.96</v>
      </c>
      <c r="AA24" s="131" t="n">
        <f aca="false">IF(OR($C24="",$B$2="",$D$2=0),0,IF(AA$3&lt;0,0,N(INDEX('CURVA PREVISION'!$A$1:$KZ$3000,$C24,10+3*MIN(AA$3,$D$2-1)))))</f>
        <v>2.11</v>
      </c>
      <c r="AB24" s="131" t="n">
        <f aca="false">IF(OR($C24="",$B$2="",$D$2=0),0,IF(AB$3&lt;0,0,N(INDEX('CURVA PREVISION'!$A$1:$KZ$3000,$C24,10+3*MIN(AB$3,$D$2-1)))))</f>
        <v>2.87</v>
      </c>
      <c r="AC24" s="131" t="n">
        <f aca="false">IF(OR($C24="",$B$2="",$D$2=0),0,IF(AC$3&lt;0,0,N(INDEX('CURVA PREVISION'!$A$1:$KZ$3000,$C24,10+3*MIN(AC$3,$D$2-1)))))</f>
        <v>5.72</v>
      </c>
      <c r="AD24" s="131" t="n">
        <f aca="false">IF(OR($C24="",$B$2="",$D$2=0),0,IF(AD$3&lt;0,0,N(INDEX('CURVA PREVISION'!$A$1:$KZ$3000,$C24,10+3*MIN(AD$3,$D$2-1)))))</f>
        <v>10.27</v>
      </c>
      <c r="AE24" s="131" t="n">
        <f aca="false">IF(OR($C24="",$B$2="",$D$2=0),0,IF(AE$3&lt;0,0,N(INDEX('CURVA PREVISION'!$A$1:$KZ$3000,$C24,10+3*MIN(AE$3,$D$2-1)))))</f>
        <v>15.38</v>
      </c>
      <c r="AF24" s="131" t="n">
        <f aca="false">IF(OR($C24="",$B$2="",$D$2=0),0,IF(AF$3&lt;0,0,N(INDEX('CURVA PREVISION'!$A$1:$KZ$3000,$C24,10+3*MIN(AF$3,$D$2-1)))))</f>
        <v>20.42</v>
      </c>
      <c r="AG24" s="131" t="n">
        <f aca="false">IF(OR($C24="",$B$2="",$D$2=0),0,IF(AG$3&lt;0,0,N(INDEX('CURVA PREVISION'!$A$1:$KZ$3000,$C24,10+3*MIN(AG$3,$D$2-1)))))</f>
        <v>27.59</v>
      </c>
      <c r="AH24" s="131" t="n">
        <f aca="false">IF(OR($C24="",$B$2="",$D$2=0),0,IF(AH$3&lt;0,0,N(INDEX('CURVA PREVISION'!$A$1:$KZ$3000,$C24,10+3*MIN(AH$3,$D$2-1)))))</f>
        <v>36.34</v>
      </c>
      <c r="AI24" s="131" t="n">
        <f aca="false">IF(OR($C24="",$B$2="",$D$2=0),0,IF(AI$3&lt;0,0,N(INDEX('CURVA PREVISION'!$A$1:$KZ$3000,$C24,10+3*MIN(AI$3,$D$2-1)))))</f>
        <v>43.02</v>
      </c>
      <c r="AJ24" s="131" t="n">
        <f aca="false">IF(OR($C24="",$B$2="",$D$2=0),0,IF(AJ$3&lt;0,0,N(INDEX('CURVA PREVISION'!$A$1:$KZ$3000,$C24,10+3*MIN(AJ$3,$D$2-1)))))</f>
        <v>49.07</v>
      </c>
      <c r="AK24" s="131" t="n">
        <f aca="false">IF(OR($C24="",$B$2="",$D$2=0),0,IF(AK$3&lt;0,0,N(INDEX('CURVA PREVISION'!$A$1:$KZ$3000,$C24,10+3*MIN(AK$3,$D$2-1)))))</f>
        <v>54.67</v>
      </c>
      <c r="AL24" s="131" t="n">
        <f aca="false">IF(OR($C24="",$B$2="",$D$2=0),0,IF(AL$3&lt;0,0,N(INDEX('CURVA PREVISION'!$A$1:$KZ$3000,$C24,10+3*MIN(AL$3,$D$2-1)))))</f>
        <v>59.49</v>
      </c>
      <c r="AM24" s="131" t="n">
        <f aca="false">IF(OR($C24="",$B$2="",$D$2=0),0,IF(AM$3&lt;0,0,N(INDEX('CURVA PREVISION'!$A$1:$KZ$3000,$C24,10+3*MIN(AM$3,$D$2-1)))))</f>
        <v>65.78</v>
      </c>
      <c r="AN24" s="131" t="n">
        <f aca="false">IF(OR($C24="",$B$2="",$D$2=0),0,IF(AN$3&lt;0,0,N(INDEX('CURVA PREVISION'!$A$1:$KZ$3000,$C24,10+3*MIN(AN$3,$D$2-1)))))</f>
        <v>66.45</v>
      </c>
      <c r="AO24" s="131" t="n">
        <f aca="false">IF(OR($C24="",$B$2="",$D$2=0),0,IF(AO$3&lt;0,0,N(INDEX('CURVA PREVISION'!$A$1:$KZ$3000,$C24,10+3*MIN(AO$3,$D$2-1)))))</f>
        <v>69.38</v>
      </c>
      <c r="AP24" s="131" t="n">
        <f aca="false">IF(OR($C24="",$B$2="",$D$2=0),0,IF(AP$3&lt;0,0,N(INDEX('CURVA PREVISION'!$A$1:$KZ$3000,$C24,10+3*MIN(AP$3,$D$2-1)))))</f>
        <v>71.25</v>
      </c>
      <c r="AQ24" s="131" t="n">
        <f aca="false">IF(OR($C24="",$B$2="",$D$2=0),0,IF(AQ$3&lt;0,0,N(INDEX('CURVA PREVISION'!$A$1:$KZ$3000,$C24,10+3*MIN(AQ$3,$D$2-1)))))</f>
        <v>75.14</v>
      </c>
      <c r="AR24" s="131" t="n">
        <f aca="false">IF(OR($C24="",$B$2="",$D$2=0),0,IF(AR$3&lt;0,0,N(INDEX('CURVA PREVISION'!$A$1:$KZ$3000,$C24,10+3*MIN(AR$3,$D$2-1)))))</f>
        <v>77.76</v>
      </c>
      <c r="AS24" s="131" t="n">
        <f aca="false">IF(OR($C24="",$B$2="",$D$2=0),0,IF(AS$3&lt;0,0,N(INDEX('CURVA PREVISION'!$A$1:$KZ$3000,$C24,10+3*MIN(AS$3,$D$2-1)))))</f>
        <v>82.63</v>
      </c>
      <c r="AT24" s="131" t="n">
        <f aca="false">IF(OR($C24="",$B$2="",$D$2=0),0,IF(AT$3&lt;0,0,N(INDEX('CURVA PREVISION'!$A$1:$KZ$3000,$C24,10+3*MIN(AT$3,$D$2-1)))))</f>
        <v>83.74</v>
      </c>
      <c r="AU24" s="131" t="n">
        <f aca="false">IF(OR($C24="",$B$2="",$D$2=0),0,IF(AU$3&lt;0,0,N(INDEX('CURVA PREVISION'!$A$1:$KZ$3000,$C24,10+3*MIN(AU$3,$D$2-1)))))</f>
        <v>89.65</v>
      </c>
      <c r="AV24" s="131" t="n">
        <f aca="false">IF(OR($C24="",$B$2="",$D$2=0),0,IF(AV$3&lt;0,0,N(INDEX('CURVA PREVISION'!$A$1:$KZ$3000,$C24,10+3*MIN(AV$3,$D$2-1)))))</f>
        <v>96.28</v>
      </c>
      <c r="AW24" s="131" t="n">
        <f aca="false">IF(OR($C24="",$B$2="",$D$2=0),0,IF(AW$3&lt;0,0,N(INDEX('CURVA PREVISION'!$A$1:$KZ$3000,$C24,10+3*MIN(AW$3,$D$2-1)))))</f>
        <v>98.4</v>
      </c>
      <c r="AX24" s="131" t="n">
        <f aca="false">IF(OR($C24="",$B$2="",$D$2=0),0,IF(AX$3&lt;0,0,N(INDEX('CURVA PREVISION'!$A$1:$KZ$3000,$C24,10+3*MIN(AX$3,$D$2-1)))))</f>
        <v>99.25</v>
      </c>
      <c r="AY24" s="131" t="n">
        <f aca="false">IF(OR($C24="",$B$2="",$D$2=0),0,IF(AY$3&lt;0,0,N(INDEX('CURVA PREVISION'!$A$1:$KZ$3000,$C24,10+3*MIN(AY$3,$D$2-1)))))</f>
        <v>100</v>
      </c>
      <c r="AZ24" s="131" t="n">
        <f aca="false">IF(OR($C24="",$B$2="",$D$2=0),0,IF(AZ$3&lt;0,0,N(INDEX('CURVA PREVISION'!$A$1:$KZ$3000,$C24,10+3*MIN(AZ$3,$D$2-1)))))</f>
        <v>100</v>
      </c>
      <c r="BA24" s="131" t="n">
        <f aca="false">IF(OR($C24="",$B$2="",$D$2=0),0,IF(BA$3&lt;0,0,N(INDEX('CURVA PREVISION'!$A$1:$KZ$3000,$C24,10+3*MIN(BA$3,$D$2-1)))))</f>
        <v>100</v>
      </c>
      <c r="BB24" s="131" t="n">
        <f aca="false">IF(OR($C24="",$B$2="",$D$2=0),0,IF(BB$3&lt;0,0,N(INDEX('CURVA PREVISION'!$A$1:$KZ$3000,$C24,10+3*MIN(BB$3,$D$2-1)))))</f>
        <v>100</v>
      </c>
      <c r="BC24" s="131" t="n">
        <f aca="false">IF(OR($C24="",$B$2="",$D$2=0),0,IF(BC$3&lt;0,0,N(INDEX('CURVA PREVISION'!$A$1:$KZ$3000,$C24,10+3*MIN(BC$3,$D$2-1)))))</f>
        <v>100</v>
      </c>
      <c r="BD24" s="131" t="n">
        <f aca="false">IF(OR($C24="",$B$2="",$D$2=0),0,IF(BD$3&lt;0,0,N(INDEX('CURVA PREVISION'!$A$1:$KZ$3000,$C24,10+3*MIN(BD$3,$D$2-1)))))</f>
        <v>100</v>
      </c>
      <c r="BE24" s="131" t="n">
        <f aca="false">IF(OR($C24="",$B$2="",$D$2=0),0,IF(BE$3&lt;0,0,N(INDEX('CURVA PREVISION'!$A$1:$KZ$3000,$C24,10+3*MIN(BE$3,$D$2-1)))))</f>
        <v>100</v>
      </c>
      <c r="BF24" s="131" t="n">
        <f aca="false">IF(OR($C24="",$B$2="",$D$2=0),0,IF(BF$3&lt;0,0,N(INDEX('CURVA PREVISION'!$A$1:$KZ$3000,$C24,10+3*MIN(BF$3,$D$2-1)))))</f>
        <v>100</v>
      </c>
      <c r="BG24" s="131" t="n">
        <f aca="false">IF(OR($C24="",$B$2="",$D$2=0),0,IF(BG$3&lt;0,0,N(INDEX('CURVA PREVISION'!$A$1:$KZ$3000,$C24,10+3*MIN(BG$3,$D$2-1)))))</f>
        <v>100</v>
      </c>
      <c r="BH24" s="131" t="n">
        <f aca="false">IF(OR($C24="",$B$2="",$D$2=0),0,IF(BH$3&lt;0,0,N(INDEX('CURVA PREVISION'!$A$1:$KZ$3000,$C24,10+3*MIN(BH$3,$D$2-1)))))</f>
        <v>100</v>
      </c>
      <c r="BI24" s="131" t="n">
        <f aca="false">IF(OR($C24="",$B$2="",$D$2=0),0,IF(BI$3&lt;0,0,N(INDEX('CURVA PREVISION'!$A$1:$KZ$3000,$C24,10+3*MIN(BI$3,$D$2-1)))))</f>
        <v>100</v>
      </c>
      <c r="BJ24" s="131" t="n">
        <f aca="false">IF(OR($C24="",$B$2="",$D$2=0),0,IF(BJ$3&lt;0,0,N(INDEX('CURVA PREVISION'!$A$1:$KZ$3000,$C24,10+3*MIN(BJ$3,$D$2-1)))))</f>
        <v>100</v>
      </c>
      <c r="BK24" s="131" t="n">
        <f aca="false">IF(OR($C24="",$B$2="",$D$2=0),0,IF(BK$3&lt;0,0,N(INDEX('CURVA PREVISION'!$A$1:$KZ$3000,$C24,10+3*MIN(BK$3,$D$2-1)))))</f>
        <v>100</v>
      </c>
      <c r="BL24" s="131" t="n">
        <f aca="false">IF(OR($C24="",$B$2="",$D$2=0),0,IF(BL$3&lt;0,0,N(INDEX('CURVA PREVISION'!$A$1:$KZ$3000,$C24,10+3*MIN(BL$3,$D$2-1)))))</f>
        <v>100</v>
      </c>
      <c r="BM24" s="131" t="n">
        <f aca="false">IF(OR($C24="",$B$2="",$D$2=0),0,IF(BM$3&lt;0,0,N(INDEX('CURVA PREVISION'!$A$1:$KZ$3000,$C24,10+3*MIN(BM$3,$D$2-1)))))</f>
        <v>100</v>
      </c>
      <c r="BN24" s="131" t="n">
        <f aca="false">IF(OR($C24="",$B$2="",$D$2=0),0,IF(BN$3&lt;0,0,N(INDEX('CURVA PREVISION'!$A$1:$KZ$3000,$C24,10+3*MIN(BN$3,$D$2-1)))))</f>
        <v>100</v>
      </c>
      <c r="BO24" s="131" t="n">
        <f aca="false">IF(OR($C24="",$B$2="",$D$2=0),0,IF(BO$3&lt;0,0,N(INDEX('CURVA PREVISION'!$A$1:$KZ$3000,$C24,10+3*MIN(BO$3,$D$2-1)))))</f>
        <v>100</v>
      </c>
      <c r="BP24" s="131" t="n">
        <f aca="false">IF(OR($C24="",$B$2="",$D$2=0),0,IF(BP$3&lt;0,0,N(INDEX('CURVA PREVISION'!$A$1:$KZ$3000,$C24,10+3*MIN(BP$3,$D$2-1)))))</f>
        <v>100</v>
      </c>
      <c r="BQ24" s="131" t="n">
        <f aca="false">IF(OR($C24="",$B$2="",$D$2=0),0,IF(BQ$3&lt;0,0,N(INDEX('CURVA PREVISION'!$A$1:$KZ$3000,$C24,10+3*MIN(BQ$3,$D$2-1)))))</f>
        <v>100</v>
      </c>
      <c r="BR24" s="131" t="n">
        <f aca="false">IF(OR($C24="",$B$2="",$D$2=0),0,IF(BR$3&lt;0,0,N(INDEX('CURVA PREVISION'!$A$1:$KZ$3000,$C24,10+3*MIN(BR$3,$D$2-1)))))</f>
        <v>100</v>
      </c>
      <c r="BS24" s="131" t="n">
        <f aca="false">IF(OR($C24="",$B$2="",$D$2=0),0,IF(BS$3&lt;0,0,N(INDEX('CURVA PREVISION'!$A$1:$KZ$3000,$C24,10+3*MIN(BS$3,$D$2-1)))))</f>
        <v>100</v>
      </c>
      <c r="BT24" s="131" t="n">
        <f aca="false">IF(OR($C24="",$B$2="",$D$2=0),0,IF(BT$3&lt;0,0,N(INDEX('CURVA PREVISION'!$A$1:$KZ$3000,$C24,10+3*MIN(BT$3,$D$2-1)))))</f>
        <v>100</v>
      </c>
      <c r="BU24" s="131" t="n">
        <f aca="false">IF(OR($C24="",$B$2="",$D$2=0),0,IF(BU$3&lt;0,0,N(INDEX('CURVA PREVISION'!$A$1:$KZ$3000,$C24,10+3*MIN(BU$3,$D$2-1)))))</f>
        <v>100</v>
      </c>
      <c r="BV24" s="131" t="n">
        <f aca="false">IF(OR($C24="",$B$2="",$D$2=0),0,IF(BV$3&lt;0,0,N(INDEX('CURVA PREVISION'!$A$1:$KZ$3000,$C24,10+3*MIN(BV$3,$D$2-1)))))</f>
        <v>100</v>
      </c>
      <c r="BW24" s="131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21</v>
      </c>
      <c r="B25" s="57" t="str">
        <f aca="false">'VALOR POR PL'!D31</f>
        <v>INSTALAÇÕES HIDROSANITÁRIAS</v>
      </c>
      <c r="C25" s="64" t="n">
        <f aca="false">IFERROR(MATCH(A25,'CURVA PREVISION'!$B$1:$B$3000,0),"")</f>
        <v>546</v>
      </c>
      <c r="D25" s="131" t="n">
        <f aca="false">IF(OR($C25="",$B$2="",$D$2=0),0,IF(D$3&lt;0,0,N(INDEX('CURVA PREVISION'!$A$1:$KZ$3000,$C25,10+3*MIN(D$3,$D$2-1)))))</f>
        <v>0</v>
      </c>
      <c r="E25" s="131" t="n">
        <f aca="false">IF(OR($C25="",$B$2="",$D$2=0),0,IF(E$3&lt;0,0,N(INDEX('CURVA PREVISION'!$A$1:$KZ$3000,$C25,10+3*MIN(E$3,$D$2-1)))))</f>
        <v>0</v>
      </c>
      <c r="F25" s="131" t="n">
        <f aca="false">IF(OR($C25="",$B$2="",$D$2=0),0,IF(F$3&lt;0,0,N(INDEX('CURVA PREVISION'!$A$1:$KZ$3000,$C25,10+3*MIN(F$3,$D$2-1)))))</f>
        <v>0</v>
      </c>
      <c r="G25" s="131" t="n">
        <f aca="false">IF(OR($C25="",$B$2="",$D$2=0),0,IF(G$3&lt;0,0,N(INDEX('CURVA PREVISION'!$A$1:$KZ$3000,$C25,10+3*MIN(G$3,$D$2-1)))))</f>
        <v>0</v>
      </c>
      <c r="H25" s="131" t="n">
        <f aca="false">IF(OR($C25="",$B$2="",$D$2=0),0,IF(H$3&lt;0,0,N(INDEX('CURVA PREVISION'!$A$1:$KZ$3000,$C25,10+3*MIN(H$3,$D$2-1)))))</f>
        <v>0</v>
      </c>
      <c r="I25" s="131" t="n">
        <f aca="false">IF(OR($C25="",$B$2="",$D$2=0),0,IF(I$3&lt;0,0,N(INDEX('CURVA PREVISION'!$A$1:$KZ$3000,$C25,10+3*MIN(I$3,$D$2-1)))))</f>
        <v>0</v>
      </c>
      <c r="J25" s="131" t="n">
        <f aca="false">IF(OR($C25="",$B$2="",$D$2=0),0,IF(J$3&lt;0,0,N(INDEX('CURVA PREVISION'!$A$1:$KZ$3000,$C25,10+3*MIN(J$3,$D$2-1)))))</f>
        <v>0</v>
      </c>
      <c r="K25" s="131" t="n">
        <f aca="false">IF(OR($C25="",$B$2="",$D$2=0),0,IF(K$3&lt;0,0,N(INDEX('CURVA PREVISION'!$A$1:$KZ$3000,$C25,10+3*MIN(K$3,$D$2-1)))))</f>
        <v>0</v>
      </c>
      <c r="L25" s="131" t="n">
        <f aca="false">IF(OR($C25="",$B$2="",$D$2=0),0,IF(L$3&lt;0,0,N(INDEX('CURVA PREVISION'!$A$1:$KZ$3000,$C25,10+3*MIN(L$3,$D$2-1)))))</f>
        <v>0</v>
      </c>
      <c r="M25" s="131" t="n">
        <f aca="false">IF(OR($C25="",$B$2="",$D$2=0),0,IF(M$3&lt;0,0,N(INDEX('CURVA PREVISION'!$A$1:$KZ$3000,$C25,10+3*MIN(M$3,$D$2-1)))))</f>
        <v>0</v>
      </c>
      <c r="N25" s="131" t="n">
        <f aca="false">IF(OR($C25="",$B$2="",$D$2=0),0,IF(N$3&lt;0,0,N(INDEX('CURVA PREVISION'!$A$1:$KZ$3000,$C25,10+3*MIN(N$3,$D$2-1)))))</f>
        <v>0</v>
      </c>
      <c r="O25" s="131" t="n">
        <f aca="false">IF(OR($C25="",$B$2="",$D$2=0),0,IF(O$3&lt;0,0,N(INDEX('CURVA PREVISION'!$A$1:$KZ$3000,$C25,10+3*MIN(O$3,$D$2-1)))))</f>
        <v>0</v>
      </c>
      <c r="P25" s="131" t="n">
        <f aca="false">IF(OR($C25="",$B$2="",$D$2=0),0,IF(P$3&lt;0,0,N(INDEX('CURVA PREVISION'!$A$1:$KZ$3000,$C25,10+3*MIN(P$3,$D$2-1)))))</f>
        <v>0</v>
      </c>
      <c r="Q25" s="131" t="n">
        <f aca="false">IF(OR($C25="",$B$2="",$D$2=0),0,IF(Q$3&lt;0,0,N(INDEX('CURVA PREVISION'!$A$1:$KZ$3000,$C25,10+3*MIN(Q$3,$D$2-1)))))</f>
        <v>0</v>
      </c>
      <c r="R25" s="131" t="n">
        <f aca="false">IF(OR($C25="",$B$2="",$D$2=0),0,IF(R$3&lt;0,0,N(INDEX('CURVA PREVISION'!$A$1:$KZ$3000,$C25,10+3*MIN(R$3,$D$2-1)))))</f>
        <v>0</v>
      </c>
      <c r="S25" s="131" t="n">
        <f aca="false">IF(OR($C25="",$B$2="",$D$2=0),0,IF(S$3&lt;0,0,N(INDEX('CURVA PREVISION'!$A$1:$KZ$3000,$C25,10+3*MIN(S$3,$D$2-1)))))</f>
        <v>0</v>
      </c>
      <c r="T25" s="131" t="n">
        <f aca="false">IF(OR($C25="",$B$2="",$D$2=0),0,IF(T$3&lt;0,0,N(INDEX('CURVA PREVISION'!$A$1:$KZ$3000,$C25,10+3*MIN(T$3,$D$2-1)))))</f>
        <v>0</v>
      </c>
      <c r="U25" s="131" t="n">
        <f aca="false">IF(OR($C25="",$B$2="",$D$2=0),0,IF(U$3&lt;0,0,N(INDEX('CURVA PREVISION'!$A$1:$KZ$3000,$C25,10+3*MIN(U$3,$D$2-1)))))</f>
        <v>0</v>
      </c>
      <c r="V25" s="131" t="n">
        <f aca="false">IF(OR($C25="",$B$2="",$D$2=0),0,IF(V$3&lt;0,0,N(INDEX('CURVA PREVISION'!$A$1:$KZ$3000,$C25,10+3*MIN(V$3,$D$2-1)))))</f>
        <v>0</v>
      </c>
      <c r="W25" s="131" t="n">
        <f aca="false">IF(OR($C25="",$B$2="",$D$2=0),0,IF(W$3&lt;0,0,N(INDEX('CURVA PREVISION'!$A$1:$KZ$3000,$C25,10+3*MIN(W$3,$D$2-1)))))</f>
        <v>0</v>
      </c>
      <c r="X25" s="131" t="n">
        <f aca="false">IF(OR($C25="",$B$2="",$D$2=0),0,IF(X$3&lt;0,0,N(INDEX('CURVA PREVISION'!$A$1:$KZ$3000,$C25,10+3*MIN(X$3,$D$2-1)))))</f>
        <v>0.4</v>
      </c>
      <c r="Y25" s="131" t="n">
        <f aca="false">IF(OR($C25="",$B$2="",$D$2=0),0,IF(Y$3&lt;0,0,N(INDEX('CURVA PREVISION'!$A$1:$KZ$3000,$C25,10+3*MIN(Y$3,$D$2-1)))))</f>
        <v>1.01</v>
      </c>
      <c r="Z25" s="131" t="n">
        <f aca="false">IF(OR($C25="",$B$2="",$D$2=0),0,IF(Z$3&lt;0,0,N(INDEX('CURVA PREVISION'!$A$1:$KZ$3000,$C25,10+3*MIN(Z$3,$D$2-1)))))</f>
        <v>3.25</v>
      </c>
      <c r="AA25" s="131" t="n">
        <f aca="false">IF(OR($C25="",$B$2="",$D$2=0),0,IF(AA$3&lt;0,0,N(INDEX('CURVA PREVISION'!$A$1:$KZ$3000,$C25,10+3*MIN(AA$3,$D$2-1)))))</f>
        <v>5.47</v>
      </c>
      <c r="AB25" s="131" t="n">
        <f aca="false">IF(OR($C25="",$B$2="",$D$2=0),0,IF(AB$3&lt;0,0,N(INDEX('CURVA PREVISION'!$A$1:$KZ$3000,$C25,10+3*MIN(AB$3,$D$2-1)))))</f>
        <v>7.16</v>
      </c>
      <c r="AC25" s="131" t="n">
        <f aca="false">IF(OR($C25="",$B$2="",$D$2=0),0,IF(AC$3&lt;0,0,N(INDEX('CURVA PREVISION'!$A$1:$KZ$3000,$C25,10+3*MIN(AC$3,$D$2-1)))))</f>
        <v>12.73</v>
      </c>
      <c r="AD25" s="131" t="n">
        <f aca="false">IF(OR($C25="",$B$2="",$D$2=0),0,IF(AD$3&lt;0,0,N(INDEX('CURVA PREVISION'!$A$1:$KZ$3000,$C25,10+3*MIN(AD$3,$D$2-1)))))</f>
        <v>21.04</v>
      </c>
      <c r="AE25" s="131" t="n">
        <f aca="false">IF(OR($C25="",$B$2="",$D$2=0),0,IF(AE$3&lt;0,0,N(INDEX('CURVA PREVISION'!$A$1:$KZ$3000,$C25,10+3*MIN(AE$3,$D$2-1)))))</f>
        <v>28.36</v>
      </c>
      <c r="AF25" s="131" t="n">
        <f aca="false">IF(OR($C25="",$B$2="",$D$2=0),0,IF(AF$3&lt;0,0,N(INDEX('CURVA PREVISION'!$A$1:$KZ$3000,$C25,10+3*MIN(AF$3,$D$2-1)))))</f>
        <v>36.24</v>
      </c>
      <c r="AG25" s="131" t="n">
        <f aca="false">IF(OR($C25="",$B$2="",$D$2=0),0,IF(AG$3&lt;0,0,N(INDEX('CURVA PREVISION'!$A$1:$KZ$3000,$C25,10+3*MIN(AG$3,$D$2-1)))))</f>
        <v>43.97</v>
      </c>
      <c r="AH25" s="131" t="n">
        <f aca="false">IF(OR($C25="",$B$2="",$D$2=0),0,IF(AH$3&lt;0,0,N(INDEX('CURVA PREVISION'!$A$1:$KZ$3000,$C25,10+3*MIN(AH$3,$D$2-1)))))</f>
        <v>52.17</v>
      </c>
      <c r="AI25" s="131" t="n">
        <f aca="false">IF(OR($C25="",$B$2="",$D$2=0),0,IF(AI$3&lt;0,0,N(INDEX('CURVA PREVISION'!$A$1:$KZ$3000,$C25,10+3*MIN(AI$3,$D$2-1)))))</f>
        <v>60.88</v>
      </c>
      <c r="AJ25" s="131" t="n">
        <f aca="false">IF(OR($C25="",$B$2="",$D$2=0),0,IF(AJ$3&lt;0,0,N(INDEX('CURVA PREVISION'!$A$1:$KZ$3000,$C25,10+3*MIN(AJ$3,$D$2-1)))))</f>
        <v>68.84</v>
      </c>
      <c r="AK25" s="131" t="n">
        <f aca="false">IF(OR($C25="",$B$2="",$D$2=0),0,IF(AK$3&lt;0,0,N(INDEX('CURVA PREVISION'!$A$1:$KZ$3000,$C25,10+3*MIN(AK$3,$D$2-1)))))</f>
        <v>75.11</v>
      </c>
      <c r="AL25" s="131" t="n">
        <f aca="false">IF(OR($C25="",$B$2="",$D$2=0),0,IF(AL$3&lt;0,0,N(INDEX('CURVA PREVISION'!$A$1:$KZ$3000,$C25,10+3*MIN(AL$3,$D$2-1)))))</f>
        <v>80.97</v>
      </c>
      <c r="AM25" s="131" t="n">
        <f aca="false">IF(OR($C25="",$B$2="",$D$2=0),0,IF(AM$3&lt;0,0,N(INDEX('CURVA PREVISION'!$A$1:$KZ$3000,$C25,10+3*MIN(AM$3,$D$2-1)))))</f>
        <v>90.48</v>
      </c>
      <c r="AN25" s="131" t="n">
        <f aca="false">IF(OR($C25="",$B$2="",$D$2=0),0,IF(AN$3&lt;0,0,N(INDEX('CURVA PREVISION'!$A$1:$KZ$3000,$C25,10+3*MIN(AN$3,$D$2-1)))))</f>
        <v>91.29</v>
      </c>
      <c r="AO25" s="131" t="n">
        <f aca="false">IF(OR($C25="",$B$2="",$D$2=0),0,IF(AO$3&lt;0,0,N(INDEX('CURVA PREVISION'!$A$1:$KZ$3000,$C25,10+3*MIN(AO$3,$D$2-1)))))</f>
        <v>92.66</v>
      </c>
      <c r="AP25" s="131" t="n">
        <f aca="false">IF(OR($C25="",$B$2="",$D$2=0),0,IF(AP$3&lt;0,0,N(INDEX('CURVA PREVISION'!$A$1:$KZ$3000,$C25,10+3*MIN(AP$3,$D$2-1)))))</f>
        <v>94.01</v>
      </c>
      <c r="AQ25" s="131" t="n">
        <f aca="false">IF(OR($C25="",$B$2="",$D$2=0),0,IF(AQ$3&lt;0,0,N(INDEX('CURVA PREVISION'!$A$1:$KZ$3000,$C25,10+3*MIN(AQ$3,$D$2-1)))))</f>
        <v>96.01</v>
      </c>
      <c r="AR25" s="131" t="n">
        <f aca="false">IF(OR($C25="",$B$2="",$D$2=0),0,IF(AR$3&lt;0,0,N(INDEX('CURVA PREVISION'!$A$1:$KZ$3000,$C25,10+3*MIN(AR$3,$D$2-1)))))</f>
        <v>96.5</v>
      </c>
      <c r="AS25" s="131" t="n">
        <f aca="false">IF(OR($C25="",$B$2="",$D$2=0),0,IF(AS$3&lt;0,0,N(INDEX('CURVA PREVISION'!$A$1:$KZ$3000,$C25,10+3*MIN(AS$3,$D$2-1)))))</f>
        <v>96.96</v>
      </c>
      <c r="AT25" s="131" t="n">
        <f aca="false">IF(OR($C25="",$B$2="",$D$2=0),0,IF(AT$3&lt;0,0,N(INDEX('CURVA PREVISION'!$A$1:$KZ$3000,$C25,10+3*MIN(AT$3,$D$2-1)))))</f>
        <v>96.96</v>
      </c>
      <c r="AU25" s="131" t="n">
        <f aca="false">IF(OR($C25="",$B$2="",$D$2=0),0,IF(AU$3&lt;0,0,N(INDEX('CURVA PREVISION'!$A$1:$KZ$3000,$C25,10+3*MIN(AU$3,$D$2-1)))))</f>
        <v>97.09</v>
      </c>
      <c r="AV25" s="131" t="n">
        <f aca="false">IF(OR($C25="",$B$2="",$D$2=0),0,IF(AV$3&lt;0,0,N(INDEX('CURVA PREVISION'!$A$1:$KZ$3000,$C25,10+3*MIN(AV$3,$D$2-1)))))</f>
        <v>100</v>
      </c>
      <c r="AW25" s="131" t="n">
        <f aca="false">IF(OR($C25="",$B$2="",$D$2=0),0,IF(AW$3&lt;0,0,N(INDEX('CURVA PREVISION'!$A$1:$KZ$3000,$C25,10+3*MIN(AW$3,$D$2-1)))))</f>
        <v>100</v>
      </c>
      <c r="AX25" s="131" t="n">
        <f aca="false">IF(OR($C25="",$B$2="",$D$2=0),0,IF(AX$3&lt;0,0,N(INDEX('CURVA PREVISION'!$A$1:$KZ$3000,$C25,10+3*MIN(AX$3,$D$2-1)))))</f>
        <v>100</v>
      </c>
      <c r="AY25" s="131" t="n">
        <f aca="false">IF(OR($C25="",$B$2="",$D$2=0),0,IF(AY$3&lt;0,0,N(INDEX('CURVA PREVISION'!$A$1:$KZ$3000,$C25,10+3*MIN(AY$3,$D$2-1)))))</f>
        <v>100</v>
      </c>
      <c r="AZ25" s="131" t="n">
        <f aca="false">IF(OR($C25="",$B$2="",$D$2=0),0,IF(AZ$3&lt;0,0,N(INDEX('CURVA PREVISION'!$A$1:$KZ$3000,$C25,10+3*MIN(AZ$3,$D$2-1)))))</f>
        <v>100</v>
      </c>
      <c r="BA25" s="131" t="n">
        <f aca="false">IF(OR($C25="",$B$2="",$D$2=0),0,IF(BA$3&lt;0,0,N(INDEX('CURVA PREVISION'!$A$1:$KZ$3000,$C25,10+3*MIN(BA$3,$D$2-1)))))</f>
        <v>100</v>
      </c>
      <c r="BB25" s="131" t="n">
        <f aca="false">IF(OR($C25="",$B$2="",$D$2=0),0,IF(BB$3&lt;0,0,N(INDEX('CURVA PREVISION'!$A$1:$KZ$3000,$C25,10+3*MIN(BB$3,$D$2-1)))))</f>
        <v>100</v>
      </c>
      <c r="BC25" s="131" t="n">
        <f aca="false">IF(OR($C25="",$B$2="",$D$2=0),0,IF(BC$3&lt;0,0,N(INDEX('CURVA PREVISION'!$A$1:$KZ$3000,$C25,10+3*MIN(BC$3,$D$2-1)))))</f>
        <v>100</v>
      </c>
      <c r="BD25" s="131" t="n">
        <f aca="false">IF(OR($C25="",$B$2="",$D$2=0),0,IF(BD$3&lt;0,0,N(INDEX('CURVA PREVISION'!$A$1:$KZ$3000,$C25,10+3*MIN(BD$3,$D$2-1)))))</f>
        <v>100</v>
      </c>
      <c r="BE25" s="131" t="n">
        <f aca="false">IF(OR($C25="",$B$2="",$D$2=0),0,IF(BE$3&lt;0,0,N(INDEX('CURVA PREVISION'!$A$1:$KZ$3000,$C25,10+3*MIN(BE$3,$D$2-1)))))</f>
        <v>100</v>
      </c>
      <c r="BF25" s="131" t="n">
        <f aca="false">IF(OR($C25="",$B$2="",$D$2=0),0,IF(BF$3&lt;0,0,N(INDEX('CURVA PREVISION'!$A$1:$KZ$3000,$C25,10+3*MIN(BF$3,$D$2-1)))))</f>
        <v>100</v>
      </c>
      <c r="BG25" s="131" t="n">
        <f aca="false">IF(OR($C25="",$B$2="",$D$2=0),0,IF(BG$3&lt;0,0,N(INDEX('CURVA PREVISION'!$A$1:$KZ$3000,$C25,10+3*MIN(BG$3,$D$2-1)))))</f>
        <v>100</v>
      </c>
      <c r="BH25" s="131" t="n">
        <f aca="false">IF(OR($C25="",$B$2="",$D$2=0),0,IF(BH$3&lt;0,0,N(INDEX('CURVA PREVISION'!$A$1:$KZ$3000,$C25,10+3*MIN(BH$3,$D$2-1)))))</f>
        <v>100</v>
      </c>
      <c r="BI25" s="131" t="n">
        <f aca="false">IF(OR($C25="",$B$2="",$D$2=0),0,IF(BI$3&lt;0,0,N(INDEX('CURVA PREVISION'!$A$1:$KZ$3000,$C25,10+3*MIN(BI$3,$D$2-1)))))</f>
        <v>100</v>
      </c>
      <c r="BJ25" s="131" t="n">
        <f aca="false">IF(OR($C25="",$B$2="",$D$2=0),0,IF(BJ$3&lt;0,0,N(INDEX('CURVA PREVISION'!$A$1:$KZ$3000,$C25,10+3*MIN(BJ$3,$D$2-1)))))</f>
        <v>100</v>
      </c>
      <c r="BK25" s="131" t="n">
        <f aca="false">IF(OR($C25="",$B$2="",$D$2=0),0,IF(BK$3&lt;0,0,N(INDEX('CURVA PREVISION'!$A$1:$KZ$3000,$C25,10+3*MIN(BK$3,$D$2-1)))))</f>
        <v>100</v>
      </c>
      <c r="BL25" s="131" t="n">
        <f aca="false">IF(OR($C25="",$B$2="",$D$2=0),0,IF(BL$3&lt;0,0,N(INDEX('CURVA PREVISION'!$A$1:$KZ$3000,$C25,10+3*MIN(BL$3,$D$2-1)))))</f>
        <v>100</v>
      </c>
      <c r="BM25" s="131" t="n">
        <f aca="false">IF(OR($C25="",$B$2="",$D$2=0),0,IF(BM$3&lt;0,0,N(INDEX('CURVA PREVISION'!$A$1:$KZ$3000,$C25,10+3*MIN(BM$3,$D$2-1)))))</f>
        <v>100</v>
      </c>
      <c r="BN25" s="131" t="n">
        <f aca="false">IF(OR($C25="",$B$2="",$D$2=0),0,IF(BN$3&lt;0,0,N(INDEX('CURVA PREVISION'!$A$1:$KZ$3000,$C25,10+3*MIN(BN$3,$D$2-1)))))</f>
        <v>100</v>
      </c>
      <c r="BO25" s="131" t="n">
        <f aca="false">IF(OR($C25="",$B$2="",$D$2=0),0,IF(BO$3&lt;0,0,N(INDEX('CURVA PREVISION'!$A$1:$KZ$3000,$C25,10+3*MIN(BO$3,$D$2-1)))))</f>
        <v>100</v>
      </c>
      <c r="BP25" s="131" t="n">
        <f aca="false">IF(OR($C25="",$B$2="",$D$2=0),0,IF(BP$3&lt;0,0,N(INDEX('CURVA PREVISION'!$A$1:$KZ$3000,$C25,10+3*MIN(BP$3,$D$2-1)))))</f>
        <v>100</v>
      </c>
      <c r="BQ25" s="131" t="n">
        <f aca="false">IF(OR($C25="",$B$2="",$D$2=0),0,IF(BQ$3&lt;0,0,N(INDEX('CURVA PREVISION'!$A$1:$KZ$3000,$C25,10+3*MIN(BQ$3,$D$2-1)))))</f>
        <v>100</v>
      </c>
      <c r="BR25" s="131" t="n">
        <f aca="false">IF(OR($C25="",$B$2="",$D$2=0),0,IF(BR$3&lt;0,0,N(INDEX('CURVA PREVISION'!$A$1:$KZ$3000,$C25,10+3*MIN(BR$3,$D$2-1)))))</f>
        <v>100</v>
      </c>
      <c r="BS25" s="131" t="n">
        <f aca="false">IF(OR($C25="",$B$2="",$D$2=0),0,IF(BS$3&lt;0,0,N(INDEX('CURVA PREVISION'!$A$1:$KZ$3000,$C25,10+3*MIN(BS$3,$D$2-1)))))</f>
        <v>100</v>
      </c>
      <c r="BT25" s="131" t="n">
        <f aca="false">IF(OR($C25="",$B$2="",$D$2=0),0,IF(BT$3&lt;0,0,N(INDEX('CURVA PREVISION'!$A$1:$KZ$3000,$C25,10+3*MIN(BT$3,$D$2-1)))))</f>
        <v>100</v>
      </c>
      <c r="BU25" s="131" t="n">
        <f aca="false">IF(OR($C25="",$B$2="",$D$2=0),0,IF(BU$3&lt;0,0,N(INDEX('CURVA PREVISION'!$A$1:$KZ$3000,$C25,10+3*MIN(BU$3,$D$2-1)))))</f>
        <v>100</v>
      </c>
      <c r="BV25" s="131" t="n">
        <f aca="false">IF(OR($C25="",$B$2="",$D$2=0),0,IF(BV$3&lt;0,0,N(INDEX('CURVA PREVISION'!$A$1:$KZ$3000,$C25,10+3*MIN(BV$3,$D$2-1)))))</f>
        <v>100</v>
      </c>
      <c r="BW25" s="131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22</v>
      </c>
      <c r="B26" s="57" t="str">
        <f aca="false">'VALOR POR PL'!D32</f>
        <v>INSTALAÇÕES COMBATE INCÊNDIO</v>
      </c>
      <c r="C26" s="64" t="n">
        <f aca="false">IFERROR(MATCH(A26,'CURVA PREVISION'!$B$1:$B$3000,0),"")</f>
        <v>572</v>
      </c>
      <c r="D26" s="131" t="n">
        <f aca="false">IF(OR($C26="",$B$2="",$D$2=0),0,IF(D$3&lt;0,0,N(INDEX('CURVA PREVISION'!$A$1:$KZ$3000,$C26,10+3*MIN(D$3,$D$2-1)))))</f>
        <v>0</v>
      </c>
      <c r="E26" s="131" t="n">
        <f aca="false">IF(OR($C26="",$B$2="",$D$2=0),0,IF(E$3&lt;0,0,N(INDEX('CURVA PREVISION'!$A$1:$KZ$3000,$C26,10+3*MIN(E$3,$D$2-1)))))</f>
        <v>0</v>
      </c>
      <c r="F26" s="131" t="n">
        <f aca="false">IF(OR($C26="",$B$2="",$D$2=0),0,IF(F$3&lt;0,0,N(INDEX('CURVA PREVISION'!$A$1:$KZ$3000,$C26,10+3*MIN(F$3,$D$2-1)))))</f>
        <v>0</v>
      </c>
      <c r="G26" s="131" t="n">
        <f aca="false">IF(OR($C26="",$B$2="",$D$2=0),0,IF(G$3&lt;0,0,N(INDEX('CURVA PREVISION'!$A$1:$KZ$3000,$C26,10+3*MIN(G$3,$D$2-1)))))</f>
        <v>0</v>
      </c>
      <c r="H26" s="131" t="n">
        <f aca="false">IF(OR($C26="",$B$2="",$D$2=0),0,IF(H$3&lt;0,0,N(INDEX('CURVA PREVISION'!$A$1:$KZ$3000,$C26,10+3*MIN(H$3,$D$2-1)))))</f>
        <v>0</v>
      </c>
      <c r="I26" s="131" t="n">
        <f aca="false">IF(OR($C26="",$B$2="",$D$2=0),0,IF(I$3&lt;0,0,N(INDEX('CURVA PREVISION'!$A$1:$KZ$3000,$C26,10+3*MIN(I$3,$D$2-1)))))</f>
        <v>0</v>
      </c>
      <c r="J26" s="131" t="n">
        <f aca="false">IF(OR($C26="",$B$2="",$D$2=0),0,IF(J$3&lt;0,0,N(INDEX('CURVA PREVISION'!$A$1:$KZ$3000,$C26,10+3*MIN(J$3,$D$2-1)))))</f>
        <v>0</v>
      </c>
      <c r="K26" s="131" t="n">
        <f aca="false">IF(OR($C26="",$B$2="",$D$2=0),0,IF(K$3&lt;0,0,N(INDEX('CURVA PREVISION'!$A$1:$KZ$3000,$C26,10+3*MIN(K$3,$D$2-1)))))</f>
        <v>0</v>
      </c>
      <c r="L26" s="131" t="n">
        <f aca="false">IF(OR($C26="",$B$2="",$D$2=0),0,IF(L$3&lt;0,0,N(INDEX('CURVA PREVISION'!$A$1:$KZ$3000,$C26,10+3*MIN(L$3,$D$2-1)))))</f>
        <v>0</v>
      </c>
      <c r="M26" s="131" t="n">
        <f aca="false">IF(OR($C26="",$B$2="",$D$2=0),0,IF(M$3&lt;0,0,N(INDEX('CURVA PREVISION'!$A$1:$KZ$3000,$C26,10+3*MIN(M$3,$D$2-1)))))</f>
        <v>0</v>
      </c>
      <c r="N26" s="131" t="n">
        <f aca="false">IF(OR($C26="",$B$2="",$D$2=0),0,IF(N$3&lt;0,0,N(INDEX('CURVA PREVISION'!$A$1:$KZ$3000,$C26,10+3*MIN(N$3,$D$2-1)))))</f>
        <v>0</v>
      </c>
      <c r="O26" s="131" t="n">
        <f aca="false">IF(OR($C26="",$B$2="",$D$2=0),0,IF(O$3&lt;0,0,N(INDEX('CURVA PREVISION'!$A$1:$KZ$3000,$C26,10+3*MIN(O$3,$D$2-1)))))</f>
        <v>0</v>
      </c>
      <c r="P26" s="131" t="n">
        <f aca="false">IF(OR($C26="",$B$2="",$D$2=0),0,IF(P$3&lt;0,0,N(INDEX('CURVA PREVISION'!$A$1:$KZ$3000,$C26,10+3*MIN(P$3,$D$2-1)))))</f>
        <v>0</v>
      </c>
      <c r="Q26" s="131" t="n">
        <f aca="false">IF(OR($C26="",$B$2="",$D$2=0),0,IF(Q$3&lt;0,0,N(INDEX('CURVA PREVISION'!$A$1:$KZ$3000,$C26,10+3*MIN(Q$3,$D$2-1)))))</f>
        <v>0</v>
      </c>
      <c r="R26" s="131" t="n">
        <f aca="false">IF(OR($C26="",$B$2="",$D$2=0),0,IF(R$3&lt;0,0,N(INDEX('CURVA PREVISION'!$A$1:$KZ$3000,$C26,10+3*MIN(R$3,$D$2-1)))))</f>
        <v>0</v>
      </c>
      <c r="S26" s="131" t="n">
        <f aca="false">IF(OR($C26="",$B$2="",$D$2=0),0,IF(S$3&lt;0,0,N(INDEX('CURVA PREVISION'!$A$1:$KZ$3000,$C26,10+3*MIN(S$3,$D$2-1)))))</f>
        <v>0</v>
      </c>
      <c r="T26" s="131" t="n">
        <f aca="false">IF(OR($C26="",$B$2="",$D$2=0),0,IF(T$3&lt;0,0,N(INDEX('CURVA PREVISION'!$A$1:$KZ$3000,$C26,10+3*MIN(T$3,$D$2-1)))))</f>
        <v>0</v>
      </c>
      <c r="U26" s="131" t="n">
        <f aca="false">IF(OR($C26="",$B$2="",$D$2=0),0,IF(U$3&lt;0,0,N(INDEX('CURVA PREVISION'!$A$1:$KZ$3000,$C26,10+3*MIN(U$3,$D$2-1)))))</f>
        <v>0</v>
      </c>
      <c r="V26" s="131" t="n">
        <f aca="false">IF(OR($C26="",$B$2="",$D$2=0),0,IF(V$3&lt;0,0,N(INDEX('CURVA PREVISION'!$A$1:$KZ$3000,$C26,10+3*MIN(V$3,$D$2-1)))))</f>
        <v>0</v>
      </c>
      <c r="W26" s="131" t="n">
        <f aca="false">IF(OR($C26="",$B$2="",$D$2=0),0,IF(W$3&lt;0,0,N(INDEX('CURVA PREVISION'!$A$1:$KZ$3000,$C26,10+3*MIN(W$3,$D$2-1)))))</f>
        <v>0</v>
      </c>
      <c r="X26" s="131" t="n">
        <f aca="false">IF(OR($C26="",$B$2="",$D$2=0),0,IF(X$3&lt;0,0,N(INDEX('CURVA PREVISION'!$A$1:$KZ$3000,$C26,10+3*MIN(X$3,$D$2-1)))))</f>
        <v>0</v>
      </c>
      <c r="Y26" s="131" t="n">
        <f aca="false">IF(OR($C26="",$B$2="",$D$2=0),0,IF(Y$3&lt;0,0,N(INDEX('CURVA PREVISION'!$A$1:$KZ$3000,$C26,10+3*MIN(Y$3,$D$2-1)))))</f>
        <v>0</v>
      </c>
      <c r="Z26" s="131" t="n">
        <f aca="false">IF(OR($C26="",$B$2="",$D$2=0),0,IF(Z$3&lt;0,0,N(INDEX('CURVA PREVISION'!$A$1:$KZ$3000,$C26,10+3*MIN(Z$3,$D$2-1)))))</f>
        <v>5.19</v>
      </c>
      <c r="AA26" s="131" t="n">
        <f aca="false">IF(OR($C26="",$B$2="",$D$2=0),0,IF(AA$3&lt;0,0,N(INDEX('CURVA PREVISION'!$A$1:$KZ$3000,$C26,10+3*MIN(AA$3,$D$2-1)))))</f>
        <v>9.96</v>
      </c>
      <c r="AB26" s="131" t="n">
        <f aca="false">IF(OR($C26="",$B$2="",$D$2=0),0,IF(AB$3&lt;0,0,N(INDEX('CURVA PREVISION'!$A$1:$KZ$3000,$C26,10+3*MIN(AB$3,$D$2-1)))))</f>
        <v>13.83</v>
      </c>
      <c r="AC26" s="131" t="n">
        <f aca="false">IF(OR($C26="",$B$2="",$D$2=0),0,IF(AC$3&lt;0,0,N(INDEX('CURVA PREVISION'!$A$1:$KZ$3000,$C26,10+3*MIN(AC$3,$D$2-1)))))</f>
        <v>19.99</v>
      </c>
      <c r="AD26" s="131" t="n">
        <f aca="false">IF(OR($C26="",$B$2="",$D$2=0),0,IF(AD$3&lt;0,0,N(INDEX('CURVA PREVISION'!$A$1:$KZ$3000,$C26,10+3*MIN(AD$3,$D$2-1)))))</f>
        <v>26.07</v>
      </c>
      <c r="AE26" s="131" t="n">
        <f aca="false">IF(OR($C26="",$B$2="",$D$2=0),0,IF(AE$3&lt;0,0,N(INDEX('CURVA PREVISION'!$A$1:$KZ$3000,$C26,10+3*MIN(AE$3,$D$2-1)))))</f>
        <v>32.19</v>
      </c>
      <c r="AF26" s="131" t="n">
        <f aca="false">IF(OR($C26="",$B$2="",$D$2=0),0,IF(AF$3&lt;0,0,N(INDEX('CURVA PREVISION'!$A$1:$KZ$3000,$C26,10+3*MIN(AF$3,$D$2-1)))))</f>
        <v>38.04</v>
      </c>
      <c r="AG26" s="131" t="n">
        <f aca="false">IF(OR($C26="",$B$2="",$D$2=0),0,IF(AG$3&lt;0,0,N(INDEX('CURVA PREVISION'!$A$1:$KZ$3000,$C26,10+3*MIN(AG$3,$D$2-1)))))</f>
        <v>43.24</v>
      </c>
      <c r="AH26" s="131" t="n">
        <f aca="false">IF(OR($C26="",$B$2="",$D$2=0),0,IF(AH$3&lt;0,0,N(INDEX('CURVA PREVISION'!$A$1:$KZ$3000,$C26,10+3*MIN(AH$3,$D$2-1)))))</f>
        <v>49.22</v>
      </c>
      <c r="AI26" s="131" t="n">
        <f aca="false">IF(OR($C26="",$B$2="",$D$2=0),0,IF(AI$3&lt;0,0,N(INDEX('CURVA PREVISION'!$A$1:$KZ$3000,$C26,10+3*MIN(AI$3,$D$2-1)))))</f>
        <v>56.18</v>
      </c>
      <c r="AJ26" s="131" t="n">
        <f aca="false">IF(OR($C26="",$B$2="",$D$2=0),0,IF(AJ$3&lt;0,0,N(INDEX('CURVA PREVISION'!$A$1:$KZ$3000,$C26,10+3*MIN(AJ$3,$D$2-1)))))</f>
        <v>63.12</v>
      </c>
      <c r="AK26" s="131" t="n">
        <f aca="false">IF(OR($C26="",$B$2="",$D$2=0),0,IF(AK$3&lt;0,0,N(INDEX('CURVA PREVISION'!$A$1:$KZ$3000,$C26,10+3*MIN(AK$3,$D$2-1)))))</f>
        <v>64.76</v>
      </c>
      <c r="AL26" s="131" t="n">
        <f aca="false">IF(OR($C26="",$B$2="",$D$2=0),0,IF(AL$3&lt;0,0,N(INDEX('CURVA PREVISION'!$A$1:$KZ$3000,$C26,10+3*MIN(AL$3,$D$2-1)))))</f>
        <v>67.92</v>
      </c>
      <c r="AM26" s="131" t="n">
        <f aca="false">IF(OR($C26="",$B$2="",$D$2=0),0,IF(AM$3&lt;0,0,N(INDEX('CURVA PREVISION'!$A$1:$KZ$3000,$C26,10+3*MIN(AM$3,$D$2-1)))))</f>
        <v>70.51</v>
      </c>
      <c r="AN26" s="131" t="n">
        <f aca="false">IF(OR($C26="",$B$2="",$D$2=0),0,IF(AN$3&lt;0,0,N(INDEX('CURVA PREVISION'!$A$1:$KZ$3000,$C26,10+3*MIN(AN$3,$D$2-1)))))</f>
        <v>70.59</v>
      </c>
      <c r="AO26" s="131" t="n">
        <f aca="false">IF(OR($C26="",$B$2="",$D$2=0),0,IF(AO$3&lt;0,0,N(INDEX('CURVA PREVISION'!$A$1:$KZ$3000,$C26,10+3*MIN(AO$3,$D$2-1)))))</f>
        <v>71.01</v>
      </c>
      <c r="AP26" s="131" t="n">
        <f aca="false">IF(OR($C26="",$B$2="",$D$2=0),0,IF(AP$3&lt;0,0,N(INDEX('CURVA PREVISION'!$A$1:$KZ$3000,$C26,10+3*MIN(AP$3,$D$2-1)))))</f>
        <v>72.76</v>
      </c>
      <c r="AQ26" s="131" t="n">
        <f aca="false">IF(OR($C26="",$B$2="",$D$2=0),0,IF(AQ$3&lt;0,0,N(INDEX('CURVA PREVISION'!$A$1:$KZ$3000,$C26,10+3*MIN(AQ$3,$D$2-1)))))</f>
        <v>75.02</v>
      </c>
      <c r="AR26" s="131" t="n">
        <f aca="false">IF(OR($C26="",$B$2="",$D$2=0),0,IF(AR$3&lt;0,0,N(INDEX('CURVA PREVISION'!$A$1:$KZ$3000,$C26,10+3*MIN(AR$3,$D$2-1)))))</f>
        <v>77.87</v>
      </c>
      <c r="AS26" s="131" t="n">
        <f aca="false">IF(OR($C26="",$B$2="",$D$2=0),0,IF(AS$3&lt;0,0,N(INDEX('CURVA PREVISION'!$A$1:$KZ$3000,$C26,10+3*MIN(AS$3,$D$2-1)))))</f>
        <v>82.57</v>
      </c>
      <c r="AT26" s="131" t="n">
        <f aca="false">IF(OR($C26="",$B$2="",$D$2=0),0,IF(AT$3&lt;0,0,N(INDEX('CURVA PREVISION'!$A$1:$KZ$3000,$C26,10+3*MIN(AT$3,$D$2-1)))))</f>
        <v>86.44</v>
      </c>
      <c r="AU26" s="131" t="n">
        <f aca="false">IF(OR($C26="",$B$2="",$D$2=0),0,IF(AU$3&lt;0,0,N(INDEX('CURVA PREVISION'!$A$1:$KZ$3000,$C26,10+3*MIN(AU$3,$D$2-1)))))</f>
        <v>91.37</v>
      </c>
      <c r="AV26" s="131" t="n">
        <f aca="false">IF(OR($C26="",$B$2="",$D$2=0),0,IF(AV$3&lt;0,0,N(INDEX('CURVA PREVISION'!$A$1:$KZ$3000,$C26,10+3*MIN(AV$3,$D$2-1)))))</f>
        <v>94.35</v>
      </c>
      <c r="AW26" s="131" t="n">
        <f aca="false">IF(OR($C26="",$B$2="",$D$2=0),0,IF(AW$3&lt;0,0,N(INDEX('CURVA PREVISION'!$A$1:$KZ$3000,$C26,10+3*MIN(AW$3,$D$2-1)))))</f>
        <v>96.76</v>
      </c>
      <c r="AX26" s="131" t="n">
        <f aca="false">IF(OR($C26="",$B$2="",$D$2=0),0,IF(AX$3&lt;0,0,N(INDEX('CURVA PREVISION'!$A$1:$KZ$3000,$C26,10+3*MIN(AX$3,$D$2-1)))))</f>
        <v>99.5</v>
      </c>
      <c r="AY26" s="131" t="n">
        <f aca="false">IF(OR($C26="",$B$2="",$D$2=0),0,IF(AY$3&lt;0,0,N(INDEX('CURVA PREVISION'!$A$1:$KZ$3000,$C26,10+3*MIN(AY$3,$D$2-1)))))</f>
        <v>100</v>
      </c>
      <c r="AZ26" s="131" t="n">
        <f aca="false">IF(OR($C26="",$B$2="",$D$2=0),0,IF(AZ$3&lt;0,0,N(INDEX('CURVA PREVISION'!$A$1:$KZ$3000,$C26,10+3*MIN(AZ$3,$D$2-1)))))</f>
        <v>100</v>
      </c>
      <c r="BA26" s="131" t="n">
        <f aca="false">IF(OR($C26="",$B$2="",$D$2=0),0,IF(BA$3&lt;0,0,N(INDEX('CURVA PREVISION'!$A$1:$KZ$3000,$C26,10+3*MIN(BA$3,$D$2-1)))))</f>
        <v>100</v>
      </c>
      <c r="BB26" s="131" t="n">
        <f aca="false">IF(OR($C26="",$B$2="",$D$2=0),0,IF(BB$3&lt;0,0,N(INDEX('CURVA PREVISION'!$A$1:$KZ$3000,$C26,10+3*MIN(BB$3,$D$2-1)))))</f>
        <v>100</v>
      </c>
      <c r="BC26" s="131" t="n">
        <f aca="false">IF(OR($C26="",$B$2="",$D$2=0),0,IF(BC$3&lt;0,0,N(INDEX('CURVA PREVISION'!$A$1:$KZ$3000,$C26,10+3*MIN(BC$3,$D$2-1)))))</f>
        <v>100</v>
      </c>
      <c r="BD26" s="131" t="n">
        <f aca="false">IF(OR($C26="",$B$2="",$D$2=0),0,IF(BD$3&lt;0,0,N(INDEX('CURVA PREVISION'!$A$1:$KZ$3000,$C26,10+3*MIN(BD$3,$D$2-1)))))</f>
        <v>100</v>
      </c>
      <c r="BE26" s="131" t="n">
        <f aca="false">IF(OR($C26="",$B$2="",$D$2=0),0,IF(BE$3&lt;0,0,N(INDEX('CURVA PREVISION'!$A$1:$KZ$3000,$C26,10+3*MIN(BE$3,$D$2-1)))))</f>
        <v>100</v>
      </c>
      <c r="BF26" s="131" t="n">
        <f aca="false">IF(OR($C26="",$B$2="",$D$2=0),0,IF(BF$3&lt;0,0,N(INDEX('CURVA PREVISION'!$A$1:$KZ$3000,$C26,10+3*MIN(BF$3,$D$2-1)))))</f>
        <v>100</v>
      </c>
      <c r="BG26" s="131" t="n">
        <f aca="false">IF(OR($C26="",$B$2="",$D$2=0),0,IF(BG$3&lt;0,0,N(INDEX('CURVA PREVISION'!$A$1:$KZ$3000,$C26,10+3*MIN(BG$3,$D$2-1)))))</f>
        <v>100</v>
      </c>
      <c r="BH26" s="131" t="n">
        <f aca="false">IF(OR($C26="",$B$2="",$D$2=0),0,IF(BH$3&lt;0,0,N(INDEX('CURVA PREVISION'!$A$1:$KZ$3000,$C26,10+3*MIN(BH$3,$D$2-1)))))</f>
        <v>100</v>
      </c>
      <c r="BI26" s="131" t="n">
        <f aca="false">IF(OR($C26="",$B$2="",$D$2=0),0,IF(BI$3&lt;0,0,N(INDEX('CURVA PREVISION'!$A$1:$KZ$3000,$C26,10+3*MIN(BI$3,$D$2-1)))))</f>
        <v>100</v>
      </c>
      <c r="BJ26" s="131" t="n">
        <f aca="false">IF(OR($C26="",$B$2="",$D$2=0),0,IF(BJ$3&lt;0,0,N(INDEX('CURVA PREVISION'!$A$1:$KZ$3000,$C26,10+3*MIN(BJ$3,$D$2-1)))))</f>
        <v>100</v>
      </c>
      <c r="BK26" s="131" t="n">
        <f aca="false">IF(OR($C26="",$B$2="",$D$2=0),0,IF(BK$3&lt;0,0,N(INDEX('CURVA PREVISION'!$A$1:$KZ$3000,$C26,10+3*MIN(BK$3,$D$2-1)))))</f>
        <v>100</v>
      </c>
      <c r="BL26" s="131" t="n">
        <f aca="false">IF(OR($C26="",$B$2="",$D$2=0),0,IF(BL$3&lt;0,0,N(INDEX('CURVA PREVISION'!$A$1:$KZ$3000,$C26,10+3*MIN(BL$3,$D$2-1)))))</f>
        <v>100</v>
      </c>
      <c r="BM26" s="131" t="n">
        <f aca="false">IF(OR($C26="",$B$2="",$D$2=0),0,IF(BM$3&lt;0,0,N(INDEX('CURVA PREVISION'!$A$1:$KZ$3000,$C26,10+3*MIN(BM$3,$D$2-1)))))</f>
        <v>100</v>
      </c>
      <c r="BN26" s="131" t="n">
        <f aca="false">IF(OR($C26="",$B$2="",$D$2=0),0,IF(BN$3&lt;0,0,N(INDEX('CURVA PREVISION'!$A$1:$KZ$3000,$C26,10+3*MIN(BN$3,$D$2-1)))))</f>
        <v>100</v>
      </c>
      <c r="BO26" s="131" t="n">
        <f aca="false">IF(OR($C26="",$B$2="",$D$2=0),0,IF(BO$3&lt;0,0,N(INDEX('CURVA PREVISION'!$A$1:$KZ$3000,$C26,10+3*MIN(BO$3,$D$2-1)))))</f>
        <v>100</v>
      </c>
      <c r="BP26" s="131" t="n">
        <f aca="false">IF(OR($C26="",$B$2="",$D$2=0),0,IF(BP$3&lt;0,0,N(INDEX('CURVA PREVISION'!$A$1:$KZ$3000,$C26,10+3*MIN(BP$3,$D$2-1)))))</f>
        <v>100</v>
      </c>
      <c r="BQ26" s="131" t="n">
        <f aca="false">IF(OR($C26="",$B$2="",$D$2=0),0,IF(BQ$3&lt;0,0,N(INDEX('CURVA PREVISION'!$A$1:$KZ$3000,$C26,10+3*MIN(BQ$3,$D$2-1)))))</f>
        <v>100</v>
      </c>
      <c r="BR26" s="131" t="n">
        <f aca="false">IF(OR($C26="",$B$2="",$D$2=0),0,IF(BR$3&lt;0,0,N(INDEX('CURVA PREVISION'!$A$1:$KZ$3000,$C26,10+3*MIN(BR$3,$D$2-1)))))</f>
        <v>100</v>
      </c>
      <c r="BS26" s="131" t="n">
        <f aca="false">IF(OR($C26="",$B$2="",$D$2=0),0,IF(BS$3&lt;0,0,N(INDEX('CURVA PREVISION'!$A$1:$KZ$3000,$C26,10+3*MIN(BS$3,$D$2-1)))))</f>
        <v>100</v>
      </c>
      <c r="BT26" s="131" t="n">
        <f aca="false">IF(OR($C26="",$B$2="",$D$2=0),0,IF(BT$3&lt;0,0,N(INDEX('CURVA PREVISION'!$A$1:$KZ$3000,$C26,10+3*MIN(BT$3,$D$2-1)))))</f>
        <v>100</v>
      </c>
      <c r="BU26" s="131" t="n">
        <f aca="false">IF(OR($C26="",$B$2="",$D$2=0),0,IF(BU$3&lt;0,0,N(INDEX('CURVA PREVISION'!$A$1:$KZ$3000,$C26,10+3*MIN(BU$3,$D$2-1)))))</f>
        <v>100</v>
      </c>
      <c r="BV26" s="131" t="n">
        <f aca="false">IF(OR($C26="",$B$2="",$D$2=0),0,IF(BV$3&lt;0,0,N(INDEX('CURVA PREVISION'!$A$1:$KZ$3000,$C26,10+3*MIN(BV$3,$D$2-1)))))</f>
        <v>100</v>
      </c>
      <c r="BW26" s="131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23</v>
      </c>
      <c r="B27" s="57" t="str">
        <f aca="false">'VALOR POR PL'!D33</f>
        <v>INSTALAÇÕES ESPECIAIS</v>
      </c>
      <c r="C27" s="64" t="n">
        <f aca="false">IFERROR(MATCH(A27,'CURVA PREVISION'!$B$1:$B$3000,0),"")</f>
        <v>579</v>
      </c>
      <c r="D27" s="131" t="n">
        <f aca="false">IF(OR($C27="",$B$2="",$D$2=0),0,IF(D$3&lt;0,0,N(INDEX('CURVA PREVISION'!$A$1:$KZ$3000,$C27,10+3*MIN(D$3,$D$2-1)))))</f>
        <v>0</v>
      </c>
      <c r="E27" s="131" t="n">
        <f aca="false">IF(OR($C27="",$B$2="",$D$2=0),0,IF(E$3&lt;0,0,N(INDEX('CURVA PREVISION'!$A$1:$KZ$3000,$C27,10+3*MIN(E$3,$D$2-1)))))</f>
        <v>0</v>
      </c>
      <c r="F27" s="131" t="n">
        <f aca="false">IF(OR($C27="",$B$2="",$D$2=0),0,IF(F$3&lt;0,0,N(INDEX('CURVA PREVISION'!$A$1:$KZ$3000,$C27,10+3*MIN(F$3,$D$2-1)))))</f>
        <v>0</v>
      </c>
      <c r="G27" s="131" t="n">
        <f aca="false">IF(OR($C27="",$B$2="",$D$2=0),0,IF(G$3&lt;0,0,N(INDEX('CURVA PREVISION'!$A$1:$KZ$3000,$C27,10+3*MIN(G$3,$D$2-1)))))</f>
        <v>0</v>
      </c>
      <c r="H27" s="131" t="n">
        <f aca="false">IF(OR($C27="",$B$2="",$D$2=0),0,IF(H$3&lt;0,0,N(INDEX('CURVA PREVISION'!$A$1:$KZ$3000,$C27,10+3*MIN(H$3,$D$2-1)))))</f>
        <v>0</v>
      </c>
      <c r="I27" s="131" t="n">
        <f aca="false">IF(OR($C27="",$B$2="",$D$2=0),0,IF(I$3&lt;0,0,N(INDEX('CURVA PREVISION'!$A$1:$KZ$3000,$C27,10+3*MIN(I$3,$D$2-1)))))</f>
        <v>0</v>
      </c>
      <c r="J27" s="131" t="n">
        <f aca="false">IF(OR($C27="",$B$2="",$D$2=0),0,IF(J$3&lt;0,0,N(INDEX('CURVA PREVISION'!$A$1:$KZ$3000,$C27,10+3*MIN(J$3,$D$2-1)))))</f>
        <v>0</v>
      </c>
      <c r="K27" s="131" t="n">
        <f aca="false">IF(OR($C27="",$B$2="",$D$2=0),0,IF(K$3&lt;0,0,N(INDEX('CURVA PREVISION'!$A$1:$KZ$3000,$C27,10+3*MIN(K$3,$D$2-1)))))</f>
        <v>0</v>
      </c>
      <c r="L27" s="131" t="n">
        <f aca="false">IF(OR($C27="",$B$2="",$D$2=0),0,IF(L$3&lt;0,0,N(INDEX('CURVA PREVISION'!$A$1:$KZ$3000,$C27,10+3*MIN(L$3,$D$2-1)))))</f>
        <v>0</v>
      </c>
      <c r="M27" s="131" t="n">
        <f aca="false">IF(OR($C27="",$B$2="",$D$2=0),0,IF(M$3&lt;0,0,N(INDEX('CURVA PREVISION'!$A$1:$KZ$3000,$C27,10+3*MIN(M$3,$D$2-1)))))</f>
        <v>0</v>
      </c>
      <c r="N27" s="131" t="n">
        <f aca="false">IF(OR($C27="",$B$2="",$D$2=0),0,IF(N$3&lt;0,0,N(INDEX('CURVA PREVISION'!$A$1:$KZ$3000,$C27,10+3*MIN(N$3,$D$2-1)))))</f>
        <v>0</v>
      </c>
      <c r="O27" s="131" t="n">
        <f aca="false">IF(OR($C27="",$B$2="",$D$2=0),0,IF(O$3&lt;0,0,N(INDEX('CURVA PREVISION'!$A$1:$KZ$3000,$C27,10+3*MIN(O$3,$D$2-1)))))</f>
        <v>0</v>
      </c>
      <c r="P27" s="131" t="n">
        <f aca="false">IF(OR($C27="",$B$2="",$D$2=0),0,IF(P$3&lt;0,0,N(INDEX('CURVA PREVISION'!$A$1:$KZ$3000,$C27,10+3*MIN(P$3,$D$2-1)))))</f>
        <v>0</v>
      </c>
      <c r="Q27" s="131" t="n">
        <f aca="false">IF(OR($C27="",$B$2="",$D$2=0),0,IF(Q$3&lt;0,0,N(INDEX('CURVA PREVISION'!$A$1:$KZ$3000,$C27,10+3*MIN(Q$3,$D$2-1)))))</f>
        <v>0</v>
      </c>
      <c r="R27" s="131" t="n">
        <f aca="false">IF(OR($C27="",$B$2="",$D$2=0),0,IF(R$3&lt;0,0,N(INDEX('CURVA PREVISION'!$A$1:$KZ$3000,$C27,10+3*MIN(R$3,$D$2-1)))))</f>
        <v>0</v>
      </c>
      <c r="S27" s="131" t="n">
        <f aca="false">IF(OR($C27="",$B$2="",$D$2=0),0,IF(S$3&lt;0,0,N(INDEX('CURVA PREVISION'!$A$1:$KZ$3000,$C27,10+3*MIN(S$3,$D$2-1)))))</f>
        <v>0</v>
      </c>
      <c r="T27" s="131" t="n">
        <f aca="false">IF(OR($C27="",$B$2="",$D$2=0),0,IF(T$3&lt;0,0,N(INDEX('CURVA PREVISION'!$A$1:$KZ$3000,$C27,10+3*MIN(T$3,$D$2-1)))))</f>
        <v>0</v>
      </c>
      <c r="U27" s="131" t="n">
        <f aca="false">IF(OR($C27="",$B$2="",$D$2=0),0,IF(U$3&lt;0,0,N(INDEX('CURVA PREVISION'!$A$1:$KZ$3000,$C27,10+3*MIN(U$3,$D$2-1)))))</f>
        <v>0</v>
      </c>
      <c r="V27" s="131" t="n">
        <f aca="false">IF(OR($C27="",$B$2="",$D$2=0),0,IF(V$3&lt;0,0,N(INDEX('CURVA PREVISION'!$A$1:$KZ$3000,$C27,10+3*MIN(V$3,$D$2-1)))))</f>
        <v>0</v>
      </c>
      <c r="W27" s="131" t="n">
        <f aca="false">IF(OR($C27="",$B$2="",$D$2=0),0,IF(W$3&lt;0,0,N(INDEX('CURVA PREVISION'!$A$1:$KZ$3000,$C27,10+3*MIN(W$3,$D$2-1)))))</f>
        <v>0</v>
      </c>
      <c r="X27" s="131" t="n">
        <f aca="false">IF(OR($C27="",$B$2="",$D$2=0),0,IF(X$3&lt;0,0,N(INDEX('CURVA PREVISION'!$A$1:$KZ$3000,$C27,10+3*MIN(X$3,$D$2-1)))))</f>
        <v>0</v>
      </c>
      <c r="Y27" s="131" t="n">
        <f aca="false">IF(OR($C27="",$B$2="",$D$2=0),0,IF(Y$3&lt;0,0,N(INDEX('CURVA PREVISION'!$A$1:$KZ$3000,$C27,10+3*MIN(Y$3,$D$2-1)))))</f>
        <v>1.15</v>
      </c>
      <c r="Z27" s="131" t="n">
        <f aca="false">IF(OR($C27="",$B$2="",$D$2=0),0,IF(Z$3&lt;0,0,N(INDEX('CURVA PREVISION'!$A$1:$KZ$3000,$C27,10+3*MIN(Z$3,$D$2-1)))))</f>
        <v>2.36</v>
      </c>
      <c r="AA27" s="131" t="n">
        <f aca="false">IF(OR($C27="",$B$2="",$D$2=0),0,IF(AA$3&lt;0,0,N(INDEX('CURVA PREVISION'!$A$1:$KZ$3000,$C27,10+3*MIN(AA$3,$D$2-1)))))</f>
        <v>3.7</v>
      </c>
      <c r="AB27" s="131" t="n">
        <f aca="false">IF(OR($C27="",$B$2="",$D$2=0),0,IF(AB$3&lt;0,0,N(INDEX('CURVA PREVISION'!$A$1:$KZ$3000,$C27,10+3*MIN(AB$3,$D$2-1)))))</f>
        <v>4.96</v>
      </c>
      <c r="AC27" s="131" t="n">
        <f aca="false">IF(OR($C27="",$B$2="",$D$2=0),0,IF(AC$3&lt;0,0,N(INDEX('CURVA PREVISION'!$A$1:$KZ$3000,$C27,10+3*MIN(AC$3,$D$2-1)))))</f>
        <v>8.7</v>
      </c>
      <c r="AD27" s="131" t="n">
        <f aca="false">IF(OR($C27="",$B$2="",$D$2=0),0,IF(AD$3&lt;0,0,N(INDEX('CURVA PREVISION'!$A$1:$KZ$3000,$C27,10+3*MIN(AD$3,$D$2-1)))))</f>
        <v>14.25</v>
      </c>
      <c r="AE27" s="131" t="n">
        <f aca="false">IF(OR($C27="",$B$2="",$D$2=0),0,IF(AE$3&lt;0,0,N(INDEX('CURVA PREVISION'!$A$1:$KZ$3000,$C27,10+3*MIN(AE$3,$D$2-1)))))</f>
        <v>20</v>
      </c>
      <c r="AF27" s="131" t="n">
        <f aca="false">IF(OR($C27="",$B$2="",$D$2=0),0,IF(AF$3&lt;0,0,N(INDEX('CURVA PREVISION'!$A$1:$KZ$3000,$C27,10+3*MIN(AF$3,$D$2-1)))))</f>
        <v>26.89</v>
      </c>
      <c r="AG27" s="131" t="n">
        <f aca="false">IF(OR($C27="",$B$2="",$D$2=0),0,IF(AG$3&lt;0,0,N(INDEX('CURVA PREVISION'!$A$1:$KZ$3000,$C27,10+3*MIN(AG$3,$D$2-1)))))</f>
        <v>33.97</v>
      </c>
      <c r="AH27" s="131" t="n">
        <f aca="false">IF(OR($C27="",$B$2="",$D$2=0),0,IF(AH$3&lt;0,0,N(INDEX('CURVA PREVISION'!$A$1:$KZ$3000,$C27,10+3*MIN(AH$3,$D$2-1)))))</f>
        <v>42.26</v>
      </c>
      <c r="AI27" s="131" t="n">
        <f aca="false">IF(OR($C27="",$B$2="",$D$2=0),0,IF(AI$3&lt;0,0,N(INDEX('CURVA PREVISION'!$A$1:$KZ$3000,$C27,10+3*MIN(AI$3,$D$2-1)))))</f>
        <v>49.96</v>
      </c>
      <c r="AJ27" s="131" t="n">
        <f aca="false">IF(OR($C27="",$B$2="",$D$2=0),0,IF(AJ$3&lt;0,0,N(INDEX('CURVA PREVISION'!$A$1:$KZ$3000,$C27,10+3*MIN(AJ$3,$D$2-1)))))</f>
        <v>55.75</v>
      </c>
      <c r="AK27" s="131" t="n">
        <f aca="false">IF(OR($C27="",$B$2="",$D$2=0),0,IF(AK$3&lt;0,0,N(INDEX('CURVA PREVISION'!$A$1:$KZ$3000,$C27,10+3*MIN(AK$3,$D$2-1)))))</f>
        <v>61.93</v>
      </c>
      <c r="AL27" s="131" t="n">
        <f aca="false">IF(OR($C27="",$B$2="",$D$2=0),0,IF(AL$3&lt;0,0,N(INDEX('CURVA PREVISION'!$A$1:$KZ$3000,$C27,10+3*MIN(AL$3,$D$2-1)))))</f>
        <v>66.91</v>
      </c>
      <c r="AM27" s="131" t="n">
        <f aca="false">IF(OR($C27="",$B$2="",$D$2=0),0,IF(AM$3&lt;0,0,N(INDEX('CURVA PREVISION'!$A$1:$KZ$3000,$C27,10+3*MIN(AM$3,$D$2-1)))))</f>
        <v>73.14</v>
      </c>
      <c r="AN27" s="131" t="n">
        <f aca="false">IF(OR($C27="",$B$2="",$D$2=0),0,IF(AN$3&lt;0,0,N(INDEX('CURVA PREVISION'!$A$1:$KZ$3000,$C27,10+3*MIN(AN$3,$D$2-1)))))</f>
        <v>74.35</v>
      </c>
      <c r="AO27" s="131" t="n">
        <f aca="false">IF(OR($C27="",$B$2="",$D$2=0),0,IF(AO$3&lt;0,0,N(INDEX('CURVA PREVISION'!$A$1:$KZ$3000,$C27,10+3*MIN(AO$3,$D$2-1)))))</f>
        <v>77.02</v>
      </c>
      <c r="AP27" s="131" t="n">
        <f aca="false">IF(OR($C27="",$B$2="",$D$2=0),0,IF(AP$3&lt;0,0,N(INDEX('CURVA PREVISION'!$A$1:$KZ$3000,$C27,10+3*MIN(AP$3,$D$2-1)))))</f>
        <v>79.19</v>
      </c>
      <c r="AQ27" s="131" t="n">
        <f aca="false">IF(OR($C27="",$B$2="",$D$2=0),0,IF(AQ$3&lt;0,0,N(INDEX('CURVA PREVISION'!$A$1:$KZ$3000,$C27,10+3*MIN(AQ$3,$D$2-1)))))</f>
        <v>81.8</v>
      </c>
      <c r="AR27" s="131" t="n">
        <f aca="false">IF(OR($C27="",$B$2="",$D$2=0),0,IF(AR$3&lt;0,0,N(INDEX('CURVA PREVISION'!$A$1:$KZ$3000,$C27,10+3*MIN(AR$3,$D$2-1)))))</f>
        <v>82.87</v>
      </c>
      <c r="AS27" s="131" t="n">
        <f aca="false">IF(OR($C27="",$B$2="",$D$2=0),0,IF(AS$3&lt;0,0,N(INDEX('CURVA PREVISION'!$A$1:$KZ$3000,$C27,10+3*MIN(AS$3,$D$2-1)))))</f>
        <v>84.11</v>
      </c>
      <c r="AT27" s="131" t="n">
        <f aca="false">IF(OR($C27="",$B$2="",$D$2=0),0,IF(AT$3&lt;0,0,N(INDEX('CURVA PREVISION'!$A$1:$KZ$3000,$C27,10+3*MIN(AT$3,$D$2-1)))))</f>
        <v>85.31</v>
      </c>
      <c r="AU27" s="131" t="n">
        <f aca="false">IF(OR($C27="",$B$2="",$D$2=0),0,IF(AU$3&lt;0,0,N(INDEX('CURVA PREVISION'!$A$1:$KZ$3000,$C27,10+3*MIN(AU$3,$D$2-1)))))</f>
        <v>85.64</v>
      </c>
      <c r="AV27" s="131" t="n">
        <f aca="false">IF(OR($C27="",$B$2="",$D$2=0),0,IF(AV$3&lt;0,0,N(INDEX('CURVA PREVISION'!$A$1:$KZ$3000,$C27,10+3*MIN(AV$3,$D$2-1)))))</f>
        <v>90.51</v>
      </c>
      <c r="AW27" s="131" t="n">
        <f aca="false">IF(OR($C27="",$B$2="",$D$2=0),0,IF(AW$3&lt;0,0,N(INDEX('CURVA PREVISION'!$A$1:$KZ$3000,$C27,10+3*MIN(AW$3,$D$2-1)))))</f>
        <v>95.53</v>
      </c>
      <c r="AX27" s="131" t="n">
        <f aca="false">IF(OR($C27="",$B$2="",$D$2=0),0,IF(AX$3&lt;0,0,N(INDEX('CURVA PREVISION'!$A$1:$KZ$3000,$C27,10+3*MIN(AX$3,$D$2-1)))))</f>
        <v>99.81</v>
      </c>
      <c r="AY27" s="131" t="n">
        <f aca="false">IF(OR($C27="",$B$2="",$D$2=0),0,IF(AY$3&lt;0,0,N(INDEX('CURVA PREVISION'!$A$1:$KZ$3000,$C27,10+3*MIN(AY$3,$D$2-1)))))</f>
        <v>100</v>
      </c>
      <c r="AZ27" s="131" t="n">
        <f aca="false">IF(OR($C27="",$B$2="",$D$2=0),0,IF(AZ$3&lt;0,0,N(INDEX('CURVA PREVISION'!$A$1:$KZ$3000,$C27,10+3*MIN(AZ$3,$D$2-1)))))</f>
        <v>100</v>
      </c>
      <c r="BA27" s="131" t="n">
        <f aca="false">IF(OR($C27="",$B$2="",$D$2=0),0,IF(BA$3&lt;0,0,N(INDEX('CURVA PREVISION'!$A$1:$KZ$3000,$C27,10+3*MIN(BA$3,$D$2-1)))))</f>
        <v>100</v>
      </c>
      <c r="BB27" s="131" t="n">
        <f aca="false">IF(OR($C27="",$B$2="",$D$2=0),0,IF(BB$3&lt;0,0,N(INDEX('CURVA PREVISION'!$A$1:$KZ$3000,$C27,10+3*MIN(BB$3,$D$2-1)))))</f>
        <v>100</v>
      </c>
      <c r="BC27" s="131" t="n">
        <f aca="false">IF(OR($C27="",$B$2="",$D$2=0),0,IF(BC$3&lt;0,0,N(INDEX('CURVA PREVISION'!$A$1:$KZ$3000,$C27,10+3*MIN(BC$3,$D$2-1)))))</f>
        <v>100</v>
      </c>
      <c r="BD27" s="131" t="n">
        <f aca="false">IF(OR($C27="",$B$2="",$D$2=0),0,IF(BD$3&lt;0,0,N(INDEX('CURVA PREVISION'!$A$1:$KZ$3000,$C27,10+3*MIN(BD$3,$D$2-1)))))</f>
        <v>100</v>
      </c>
      <c r="BE27" s="131" t="n">
        <f aca="false">IF(OR($C27="",$B$2="",$D$2=0),0,IF(BE$3&lt;0,0,N(INDEX('CURVA PREVISION'!$A$1:$KZ$3000,$C27,10+3*MIN(BE$3,$D$2-1)))))</f>
        <v>100</v>
      </c>
      <c r="BF27" s="131" t="n">
        <f aca="false">IF(OR($C27="",$B$2="",$D$2=0),0,IF(BF$3&lt;0,0,N(INDEX('CURVA PREVISION'!$A$1:$KZ$3000,$C27,10+3*MIN(BF$3,$D$2-1)))))</f>
        <v>100</v>
      </c>
      <c r="BG27" s="131" t="n">
        <f aca="false">IF(OR($C27="",$B$2="",$D$2=0),0,IF(BG$3&lt;0,0,N(INDEX('CURVA PREVISION'!$A$1:$KZ$3000,$C27,10+3*MIN(BG$3,$D$2-1)))))</f>
        <v>100</v>
      </c>
      <c r="BH27" s="131" t="n">
        <f aca="false">IF(OR($C27="",$B$2="",$D$2=0),0,IF(BH$3&lt;0,0,N(INDEX('CURVA PREVISION'!$A$1:$KZ$3000,$C27,10+3*MIN(BH$3,$D$2-1)))))</f>
        <v>100</v>
      </c>
      <c r="BI27" s="131" t="n">
        <f aca="false">IF(OR($C27="",$B$2="",$D$2=0),0,IF(BI$3&lt;0,0,N(INDEX('CURVA PREVISION'!$A$1:$KZ$3000,$C27,10+3*MIN(BI$3,$D$2-1)))))</f>
        <v>100</v>
      </c>
      <c r="BJ27" s="131" t="n">
        <f aca="false">IF(OR($C27="",$B$2="",$D$2=0),0,IF(BJ$3&lt;0,0,N(INDEX('CURVA PREVISION'!$A$1:$KZ$3000,$C27,10+3*MIN(BJ$3,$D$2-1)))))</f>
        <v>100</v>
      </c>
      <c r="BK27" s="131" t="n">
        <f aca="false">IF(OR($C27="",$B$2="",$D$2=0),0,IF(BK$3&lt;0,0,N(INDEX('CURVA PREVISION'!$A$1:$KZ$3000,$C27,10+3*MIN(BK$3,$D$2-1)))))</f>
        <v>100</v>
      </c>
      <c r="BL27" s="131" t="n">
        <f aca="false">IF(OR($C27="",$B$2="",$D$2=0),0,IF(BL$3&lt;0,0,N(INDEX('CURVA PREVISION'!$A$1:$KZ$3000,$C27,10+3*MIN(BL$3,$D$2-1)))))</f>
        <v>100</v>
      </c>
      <c r="BM27" s="131" t="n">
        <f aca="false">IF(OR($C27="",$B$2="",$D$2=0),0,IF(BM$3&lt;0,0,N(INDEX('CURVA PREVISION'!$A$1:$KZ$3000,$C27,10+3*MIN(BM$3,$D$2-1)))))</f>
        <v>100</v>
      </c>
      <c r="BN27" s="131" t="n">
        <f aca="false">IF(OR($C27="",$B$2="",$D$2=0),0,IF(BN$3&lt;0,0,N(INDEX('CURVA PREVISION'!$A$1:$KZ$3000,$C27,10+3*MIN(BN$3,$D$2-1)))))</f>
        <v>100</v>
      </c>
      <c r="BO27" s="131" t="n">
        <f aca="false">IF(OR($C27="",$B$2="",$D$2=0),0,IF(BO$3&lt;0,0,N(INDEX('CURVA PREVISION'!$A$1:$KZ$3000,$C27,10+3*MIN(BO$3,$D$2-1)))))</f>
        <v>100</v>
      </c>
      <c r="BP27" s="131" t="n">
        <f aca="false">IF(OR($C27="",$B$2="",$D$2=0),0,IF(BP$3&lt;0,0,N(INDEX('CURVA PREVISION'!$A$1:$KZ$3000,$C27,10+3*MIN(BP$3,$D$2-1)))))</f>
        <v>100</v>
      </c>
      <c r="BQ27" s="131" t="n">
        <f aca="false">IF(OR($C27="",$B$2="",$D$2=0),0,IF(BQ$3&lt;0,0,N(INDEX('CURVA PREVISION'!$A$1:$KZ$3000,$C27,10+3*MIN(BQ$3,$D$2-1)))))</f>
        <v>100</v>
      </c>
      <c r="BR27" s="131" t="n">
        <f aca="false">IF(OR($C27="",$B$2="",$D$2=0),0,IF(BR$3&lt;0,0,N(INDEX('CURVA PREVISION'!$A$1:$KZ$3000,$C27,10+3*MIN(BR$3,$D$2-1)))))</f>
        <v>100</v>
      </c>
      <c r="BS27" s="131" t="n">
        <f aca="false">IF(OR($C27="",$B$2="",$D$2=0),0,IF(BS$3&lt;0,0,N(INDEX('CURVA PREVISION'!$A$1:$KZ$3000,$C27,10+3*MIN(BS$3,$D$2-1)))))</f>
        <v>100</v>
      </c>
      <c r="BT27" s="131" t="n">
        <f aca="false">IF(OR($C27="",$B$2="",$D$2=0),0,IF(BT$3&lt;0,0,N(INDEX('CURVA PREVISION'!$A$1:$KZ$3000,$C27,10+3*MIN(BT$3,$D$2-1)))))</f>
        <v>100</v>
      </c>
      <c r="BU27" s="131" t="n">
        <f aca="false">IF(OR($C27="",$B$2="",$D$2=0),0,IF(BU$3&lt;0,0,N(INDEX('CURVA PREVISION'!$A$1:$KZ$3000,$C27,10+3*MIN(BU$3,$D$2-1)))))</f>
        <v>100</v>
      </c>
      <c r="BV27" s="131" t="n">
        <f aca="false">IF(OR($C27="",$B$2="",$D$2=0),0,IF(BV$3&lt;0,0,N(INDEX('CURVA PREVISION'!$A$1:$KZ$3000,$C27,10+3*MIN(BV$3,$D$2-1)))))</f>
        <v>100</v>
      </c>
      <c r="BW27" s="131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24</v>
      </c>
      <c r="B28" s="57" t="str">
        <f aca="false">'VALOR POR PL'!D34</f>
        <v>ELEVADORES</v>
      </c>
      <c r="C28" s="64" t="n">
        <f aca="false">IFERROR(MATCH(A28,'CURVA PREVISION'!$B$1:$B$3000,0),"")</f>
        <v>621</v>
      </c>
      <c r="D28" s="131" t="n">
        <f aca="false">IF(OR($C28="",$B$2="",$D$2=0),0,IF(D$3&lt;0,0,N(INDEX('CURVA PREVISION'!$A$1:$KZ$3000,$C28,10+3*MIN(D$3,$D$2-1)))))</f>
        <v>0</v>
      </c>
      <c r="E28" s="131" t="n">
        <f aca="false">IF(OR($C28="",$B$2="",$D$2=0),0,IF(E$3&lt;0,0,N(INDEX('CURVA PREVISION'!$A$1:$KZ$3000,$C28,10+3*MIN(E$3,$D$2-1)))))</f>
        <v>0</v>
      </c>
      <c r="F28" s="131" t="n">
        <f aca="false">IF(OR($C28="",$B$2="",$D$2=0),0,IF(F$3&lt;0,0,N(INDEX('CURVA PREVISION'!$A$1:$KZ$3000,$C28,10+3*MIN(F$3,$D$2-1)))))</f>
        <v>0</v>
      </c>
      <c r="G28" s="131" t="n">
        <f aca="false">IF(OR($C28="",$B$2="",$D$2=0),0,IF(G$3&lt;0,0,N(INDEX('CURVA PREVISION'!$A$1:$KZ$3000,$C28,10+3*MIN(G$3,$D$2-1)))))</f>
        <v>0</v>
      </c>
      <c r="H28" s="131" t="n">
        <f aca="false">IF(OR($C28="",$B$2="",$D$2=0),0,IF(H$3&lt;0,0,N(INDEX('CURVA PREVISION'!$A$1:$KZ$3000,$C28,10+3*MIN(H$3,$D$2-1)))))</f>
        <v>0</v>
      </c>
      <c r="I28" s="131" t="n">
        <f aca="false">IF(OR($C28="",$B$2="",$D$2=0),0,IF(I$3&lt;0,0,N(INDEX('CURVA PREVISION'!$A$1:$KZ$3000,$C28,10+3*MIN(I$3,$D$2-1)))))</f>
        <v>0</v>
      </c>
      <c r="J28" s="131" t="n">
        <f aca="false">IF(OR($C28="",$B$2="",$D$2=0),0,IF(J$3&lt;0,0,N(INDEX('CURVA PREVISION'!$A$1:$KZ$3000,$C28,10+3*MIN(J$3,$D$2-1)))))</f>
        <v>0</v>
      </c>
      <c r="K28" s="131" t="n">
        <f aca="false">IF(OR($C28="",$B$2="",$D$2=0),0,IF(K$3&lt;0,0,N(INDEX('CURVA PREVISION'!$A$1:$KZ$3000,$C28,10+3*MIN(K$3,$D$2-1)))))</f>
        <v>0</v>
      </c>
      <c r="L28" s="131" t="n">
        <f aca="false">IF(OR($C28="",$B$2="",$D$2=0),0,IF(L$3&lt;0,0,N(INDEX('CURVA PREVISION'!$A$1:$KZ$3000,$C28,10+3*MIN(L$3,$D$2-1)))))</f>
        <v>0</v>
      </c>
      <c r="M28" s="131" t="n">
        <f aca="false">IF(OR($C28="",$B$2="",$D$2=0),0,IF(M$3&lt;0,0,N(INDEX('CURVA PREVISION'!$A$1:$KZ$3000,$C28,10+3*MIN(M$3,$D$2-1)))))</f>
        <v>0</v>
      </c>
      <c r="N28" s="131" t="n">
        <f aca="false">IF(OR($C28="",$B$2="",$D$2=0),0,IF(N$3&lt;0,0,N(INDEX('CURVA PREVISION'!$A$1:$KZ$3000,$C28,10+3*MIN(N$3,$D$2-1)))))</f>
        <v>0</v>
      </c>
      <c r="O28" s="131" t="n">
        <f aca="false">IF(OR($C28="",$B$2="",$D$2=0),0,IF(O$3&lt;0,0,N(INDEX('CURVA PREVISION'!$A$1:$KZ$3000,$C28,10+3*MIN(O$3,$D$2-1)))))</f>
        <v>0</v>
      </c>
      <c r="P28" s="131" t="n">
        <f aca="false">IF(OR($C28="",$B$2="",$D$2=0),0,IF(P$3&lt;0,0,N(INDEX('CURVA PREVISION'!$A$1:$KZ$3000,$C28,10+3*MIN(P$3,$D$2-1)))))</f>
        <v>0</v>
      </c>
      <c r="Q28" s="131" t="n">
        <f aca="false">IF(OR($C28="",$B$2="",$D$2=0),0,IF(Q$3&lt;0,0,N(INDEX('CURVA PREVISION'!$A$1:$KZ$3000,$C28,10+3*MIN(Q$3,$D$2-1)))))</f>
        <v>0</v>
      </c>
      <c r="R28" s="131" t="n">
        <f aca="false">IF(OR($C28="",$B$2="",$D$2=0),0,IF(R$3&lt;0,0,N(INDEX('CURVA PREVISION'!$A$1:$KZ$3000,$C28,10+3*MIN(R$3,$D$2-1)))))</f>
        <v>0</v>
      </c>
      <c r="S28" s="131" t="n">
        <f aca="false">IF(OR($C28="",$B$2="",$D$2=0),0,IF(S$3&lt;0,0,N(INDEX('CURVA PREVISION'!$A$1:$KZ$3000,$C28,10+3*MIN(S$3,$D$2-1)))))</f>
        <v>0</v>
      </c>
      <c r="T28" s="131" t="n">
        <f aca="false">IF(OR($C28="",$B$2="",$D$2=0),0,IF(T$3&lt;0,0,N(INDEX('CURVA PREVISION'!$A$1:$KZ$3000,$C28,10+3*MIN(T$3,$D$2-1)))))</f>
        <v>0</v>
      </c>
      <c r="U28" s="131" t="n">
        <f aca="false">IF(OR($C28="",$B$2="",$D$2=0),0,IF(U$3&lt;0,0,N(INDEX('CURVA PREVISION'!$A$1:$KZ$3000,$C28,10+3*MIN(U$3,$D$2-1)))))</f>
        <v>0</v>
      </c>
      <c r="V28" s="131" t="n">
        <f aca="false">IF(OR($C28="",$B$2="",$D$2=0),0,IF(V$3&lt;0,0,N(INDEX('CURVA PREVISION'!$A$1:$KZ$3000,$C28,10+3*MIN(V$3,$D$2-1)))))</f>
        <v>0</v>
      </c>
      <c r="W28" s="131" t="n">
        <f aca="false">IF(OR($C28="",$B$2="",$D$2=0),0,IF(W$3&lt;0,0,N(INDEX('CURVA PREVISION'!$A$1:$KZ$3000,$C28,10+3*MIN(W$3,$D$2-1)))))</f>
        <v>0</v>
      </c>
      <c r="X28" s="131" t="n">
        <f aca="false">IF(OR($C28="",$B$2="",$D$2=0),0,IF(X$3&lt;0,0,N(INDEX('CURVA PREVISION'!$A$1:$KZ$3000,$C28,10+3*MIN(X$3,$D$2-1)))))</f>
        <v>0</v>
      </c>
      <c r="Y28" s="131" t="n">
        <f aca="false">IF(OR($C28="",$B$2="",$D$2=0),0,IF(Y$3&lt;0,0,N(INDEX('CURVA PREVISION'!$A$1:$KZ$3000,$C28,10+3*MIN(Y$3,$D$2-1)))))</f>
        <v>0</v>
      </c>
      <c r="Z28" s="131" t="n">
        <f aca="false">IF(OR($C28="",$B$2="",$D$2=0),0,IF(Z$3&lt;0,0,N(INDEX('CURVA PREVISION'!$A$1:$KZ$3000,$C28,10+3*MIN(Z$3,$D$2-1)))))</f>
        <v>0</v>
      </c>
      <c r="AA28" s="131" t="n">
        <f aca="false">IF(OR($C28="",$B$2="",$D$2=0),0,IF(AA$3&lt;0,0,N(INDEX('CURVA PREVISION'!$A$1:$KZ$3000,$C28,10+3*MIN(AA$3,$D$2-1)))))</f>
        <v>0</v>
      </c>
      <c r="AB28" s="131" t="n">
        <f aca="false">IF(OR($C28="",$B$2="",$D$2=0),0,IF(AB$3&lt;0,0,N(INDEX('CURVA PREVISION'!$A$1:$KZ$3000,$C28,10+3*MIN(AB$3,$D$2-1)))))</f>
        <v>0</v>
      </c>
      <c r="AC28" s="131" t="n">
        <f aca="false">IF(OR($C28="",$B$2="",$D$2=0),0,IF(AC$3&lt;0,0,N(INDEX('CURVA PREVISION'!$A$1:$KZ$3000,$C28,10+3*MIN(AC$3,$D$2-1)))))</f>
        <v>0</v>
      </c>
      <c r="AD28" s="131" t="n">
        <f aca="false">IF(OR($C28="",$B$2="",$D$2=0),0,IF(AD$3&lt;0,0,N(INDEX('CURVA PREVISION'!$A$1:$KZ$3000,$C28,10+3*MIN(AD$3,$D$2-1)))))</f>
        <v>0</v>
      </c>
      <c r="AE28" s="131" t="n">
        <f aca="false">IF(OR($C28="",$B$2="",$D$2=0),0,IF(AE$3&lt;0,0,N(INDEX('CURVA PREVISION'!$A$1:$KZ$3000,$C28,10+3*MIN(AE$3,$D$2-1)))))</f>
        <v>0</v>
      </c>
      <c r="AF28" s="131" t="n">
        <f aca="false">IF(OR($C28="",$B$2="",$D$2=0),0,IF(AF$3&lt;0,0,N(INDEX('CURVA PREVISION'!$A$1:$KZ$3000,$C28,10+3*MIN(AF$3,$D$2-1)))))</f>
        <v>0</v>
      </c>
      <c r="AG28" s="131" t="n">
        <f aca="false">IF(OR($C28="",$B$2="",$D$2=0),0,IF(AG$3&lt;0,0,N(INDEX('CURVA PREVISION'!$A$1:$KZ$3000,$C28,10+3*MIN(AG$3,$D$2-1)))))</f>
        <v>0</v>
      </c>
      <c r="AH28" s="131" t="n">
        <f aca="false">IF(OR($C28="",$B$2="",$D$2=0),0,IF(AH$3&lt;0,0,N(INDEX('CURVA PREVISION'!$A$1:$KZ$3000,$C28,10+3*MIN(AH$3,$D$2-1)))))</f>
        <v>0</v>
      </c>
      <c r="AI28" s="131" t="n">
        <f aca="false">IF(OR($C28="",$B$2="",$D$2=0),0,IF(AI$3&lt;0,0,N(INDEX('CURVA PREVISION'!$A$1:$KZ$3000,$C28,10+3*MIN(AI$3,$D$2-1)))))</f>
        <v>0</v>
      </c>
      <c r="AJ28" s="131" t="n">
        <f aca="false">IF(OR($C28="",$B$2="",$D$2=0),0,IF(AJ$3&lt;0,0,N(INDEX('CURVA PREVISION'!$A$1:$KZ$3000,$C28,10+3*MIN(AJ$3,$D$2-1)))))</f>
        <v>0</v>
      </c>
      <c r="AK28" s="131" t="n">
        <f aca="false">IF(OR($C28="",$B$2="",$D$2=0),0,IF(AK$3&lt;0,0,N(INDEX('CURVA PREVISION'!$A$1:$KZ$3000,$C28,10+3*MIN(AK$3,$D$2-1)))))</f>
        <v>28.64</v>
      </c>
      <c r="AL28" s="131" t="n">
        <f aca="false">IF(OR($C28="",$B$2="",$D$2=0),0,IF(AL$3&lt;0,0,N(INDEX('CURVA PREVISION'!$A$1:$KZ$3000,$C28,10+3*MIN(AL$3,$D$2-1)))))</f>
        <v>45</v>
      </c>
      <c r="AM28" s="131" t="n">
        <f aca="false">IF(OR($C28="",$B$2="",$D$2=0),0,IF(AM$3&lt;0,0,N(INDEX('CURVA PREVISION'!$A$1:$KZ$3000,$C28,10+3*MIN(AM$3,$D$2-1)))))</f>
        <v>45</v>
      </c>
      <c r="AN28" s="131" t="n">
        <f aca="false">IF(OR($C28="",$B$2="",$D$2=0),0,IF(AN$3&lt;0,0,N(INDEX('CURVA PREVISION'!$A$1:$KZ$3000,$C28,10+3*MIN(AN$3,$D$2-1)))))</f>
        <v>45</v>
      </c>
      <c r="AO28" s="131" t="n">
        <f aca="false">IF(OR($C28="",$B$2="",$D$2=0),0,IF(AO$3&lt;0,0,N(INDEX('CURVA PREVISION'!$A$1:$KZ$3000,$C28,10+3*MIN(AO$3,$D$2-1)))))</f>
        <v>45</v>
      </c>
      <c r="AP28" s="131" t="n">
        <f aca="false">IF(OR($C28="",$B$2="",$D$2=0),0,IF(AP$3&lt;0,0,N(INDEX('CURVA PREVISION'!$A$1:$KZ$3000,$C28,10+3*MIN(AP$3,$D$2-1)))))</f>
        <v>45</v>
      </c>
      <c r="AQ28" s="131" t="n">
        <f aca="false">IF(OR($C28="",$B$2="",$D$2=0),0,IF(AQ$3&lt;0,0,N(INDEX('CURVA PREVISION'!$A$1:$KZ$3000,$C28,10+3*MIN(AQ$3,$D$2-1)))))</f>
        <v>45</v>
      </c>
      <c r="AR28" s="131" t="n">
        <f aca="false">IF(OR($C28="",$B$2="",$D$2=0),0,IF(AR$3&lt;0,0,N(INDEX('CURVA PREVISION'!$A$1:$KZ$3000,$C28,10+3*MIN(AR$3,$D$2-1)))))</f>
        <v>45</v>
      </c>
      <c r="AS28" s="131" t="n">
        <f aca="false">IF(OR($C28="",$B$2="",$D$2=0),0,IF(AS$3&lt;0,0,N(INDEX('CURVA PREVISION'!$A$1:$KZ$3000,$C28,10+3*MIN(AS$3,$D$2-1)))))</f>
        <v>48.18</v>
      </c>
      <c r="AT28" s="131" t="n">
        <f aca="false">IF(OR($C28="",$B$2="",$D$2=0),0,IF(AT$3&lt;0,0,N(INDEX('CURVA PREVISION'!$A$1:$KZ$3000,$C28,10+3*MIN(AT$3,$D$2-1)))))</f>
        <v>55</v>
      </c>
      <c r="AU28" s="131" t="n">
        <f aca="false">IF(OR($C28="",$B$2="",$D$2=0),0,IF(AU$3&lt;0,0,N(INDEX('CURVA PREVISION'!$A$1:$KZ$3000,$C28,10+3*MIN(AU$3,$D$2-1)))))</f>
        <v>55</v>
      </c>
      <c r="AV28" s="131" t="n">
        <f aca="false">IF(OR($C28="",$B$2="",$D$2=0),0,IF(AV$3&lt;0,0,N(INDEX('CURVA PREVISION'!$A$1:$KZ$3000,$C28,10+3*MIN(AV$3,$D$2-1)))))</f>
        <v>55</v>
      </c>
      <c r="AW28" s="131" t="n">
        <f aca="false">IF(OR($C28="",$B$2="",$D$2=0),0,IF(AW$3&lt;0,0,N(INDEX('CURVA PREVISION'!$A$1:$KZ$3000,$C28,10+3*MIN(AW$3,$D$2-1)))))</f>
        <v>55</v>
      </c>
      <c r="AX28" s="131" t="n">
        <f aca="false">IF(OR($C28="",$B$2="",$D$2=0),0,IF(AX$3&lt;0,0,N(INDEX('CURVA PREVISION'!$A$1:$KZ$3000,$C28,10+3*MIN(AX$3,$D$2-1)))))</f>
        <v>81.59</v>
      </c>
      <c r="AY28" s="131" t="n">
        <f aca="false">IF(OR($C28="",$B$2="",$D$2=0),0,IF(AY$3&lt;0,0,N(INDEX('CURVA PREVISION'!$A$1:$KZ$3000,$C28,10+3*MIN(AY$3,$D$2-1)))))</f>
        <v>100</v>
      </c>
      <c r="AZ28" s="131" t="n">
        <f aca="false">IF(OR($C28="",$B$2="",$D$2=0),0,IF(AZ$3&lt;0,0,N(INDEX('CURVA PREVISION'!$A$1:$KZ$3000,$C28,10+3*MIN(AZ$3,$D$2-1)))))</f>
        <v>100</v>
      </c>
      <c r="BA28" s="131" t="n">
        <f aca="false">IF(OR($C28="",$B$2="",$D$2=0),0,IF(BA$3&lt;0,0,N(INDEX('CURVA PREVISION'!$A$1:$KZ$3000,$C28,10+3*MIN(BA$3,$D$2-1)))))</f>
        <v>100</v>
      </c>
      <c r="BB28" s="131" t="n">
        <f aca="false">IF(OR($C28="",$B$2="",$D$2=0),0,IF(BB$3&lt;0,0,N(INDEX('CURVA PREVISION'!$A$1:$KZ$3000,$C28,10+3*MIN(BB$3,$D$2-1)))))</f>
        <v>100</v>
      </c>
      <c r="BC28" s="131" t="n">
        <f aca="false">IF(OR($C28="",$B$2="",$D$2=0),0,IF(BC$3&lt;0,0,N(INDEX('CURVA PREVISION'!$A$1:$KZ$3000,$C28,10+3*MIN(BC$3,$D$2-1)))))</f>
        <v>100</v>
      </c>
      <c r="BD28" s="131" t="n">
        <f aca="false">IF(OR($C28="",$B$2="",$D$2=0),0,IF(BD$3&lt;0,0,N(INDEX('CURVA PREVISION'!$A$1:$KZ$3000,$C28,10+3*MIN(BD$3,$D$2-1)))))</f>
        <v>100</v>
      </c>
      <c r="BE28" s="131" t="n">
        <f aca="false">IF(OR($C28="",$B$2="",$D$2=0),0,IF(BE$3&lt;0,0,N(INDEX('CURVA PREVISION'!$A$1:$KZ$3000,$C28,10+3*MIN(BE$3,$D$2-1)))))</f>
        <v>100</v>
      </c>
      <c r="BF28" s="131" t="n">
        <f aca="false">IF(OR($C28="",$B$2="",$D$2=0),0,IF(BF$3&lt;0,0,N(INDEX('CURVA PREVISION'!$A$1:$KZ$3000,$C28,10+3*MIN(BF$3,$D$2-1)))))</f>
        <v>100</v>
      </c>
      <c r="BG28" s="131" t="n">
        <f aca="false">IF(OR($C28="",$B$2="",$D$2=0),0,IF(BG$3&lt;0,0,N(INDEX('CURVA PREVISION'!$A$1:$KZ$3000,$C28,10+3*MIN(BG$3,$D$2-1)))))</f>
        <v>100</v>
      </c>
      <c r="BH28" s="131" t="n">
        <f aca="false">IF(OR($C28="",$B$2="",$D$2=0),0,IF(BH$3&lt;0,0,N(INDEX('CURVA PREVISION'!$A$1:$KZ$3000,$C28,10+3*MIN(BH$3,$D$2-1)))))</f>
        <v>100</v>
      </c>
      <c r="BI28" s="131" t="n">
        <f aca="false">IF(OR($C28="",$B$2="",$D$2=0),0,IF(BI$3&lt;0,0,N(INDEX('CURVA PREVISION'!$A$1:$KZ$3000,$C28,10+3*MIN(BI$3,$D$2-1)))))</f>
        <v>100</v>
      </c>
      <c r="BJ28" s="131" t="n">
        <f aca="false">IF(OR($C28="",$B$2="",$D$2=0),0,IF(BJ$3&lt;0,0,N(INDEX('CURVA PREVISION'!$A$1:$KZ$3000,$C28,10+3*MIN(BJ$3,$D$2-1)))))</f>
        <v>100</v>
      </c>
      <c r="BK28" s="131" t="n">
        <f aca="false">IF(OR($C28="",$B$2="",$D$2=0),0,IF(BK$3&lt;0,0,N(INDEX('CURVA PREVISION'!$A$1:$KZ$3000,$C28,10+3*MIN(BK$3,$D$2-1)))))</f>
        <v>100</v>
      </c>
      <c r="BL28" s="131" t="n">
        <f aca="false">IF(OR($C28="",$B$2="",$D$2=0),0,IF(BL$3&lt;0,0,N(INDEX('CURVA PREVISION'!$A$1:$KZ$3000,$C28,10+3*MIN(BL$3,$D$2-1)))))</f>
        <v>100</v>
      </c>
      <c r="BM28" s="131" t="n">
        <f aca="false">IF(OR($C28="",$B$2="",$D$2=0),0,IF(BM$3&lt;0,0,N(INDEX('CURVA PREVISION'!$A$1:$KZ$3000,$C28,10+3*MIN(BM$3,$D$2-1)))))</f>
        <v>100</v>
      </c>
      <c r="BN28" s="131" t="n">
        <f aca="false">IF(OR($C28="",$B$2="",$D$2=0),0,IF(BN$3&lt;0,0,N(INDEX('CURVA PREVISION'!$A$1:$KZ$3000,$C28,10+3*MIN(BN$3,$D$2-1)))))</f>
        <v>100</v>
      </c>
      <c r="BO28" s="131" t="n">
        <f aca="false">IF(OR($C28="",$B$2="",$D$2=0),0,IF(BO$3&lt;0,0,N(INDEX('CURVA PREVISION'!$A$1:$KZ$3000,$C28,10+3*MIN(BO$3,$D$2-1)))))</f>
        <v>100</v>
      </c>
      <c r="BP28" s="131" t="n">
        <f aca="false">IF(OR($C28="",$B$2="",$D$2=0),0,IF(BP$3&lt;0,0,N(INDEX('CURVA PREVISION'!$A$1:$KZ$3000,$C28,10+3*MIN(BP$3,$D$2-1)))))</f>
        <v>100</v>
      </c>
      <c r="BQ28" s="131" t="n">
        <f aca="false">IF(OR($C28="",$B$2="",$D$2=0),0,IF(BQ$3&lt;0,0,N(INDEX('CURVA PREVISION'!$A$1:$KZ$3000,$C28,10+3*MIN(BQ$3,$D$2-1)))))</f>
        <v>100</v>
      </c>
      <c r="BR28" s="131" t="n">
        <f aca="false">IF(OR($C28="",$B$2="",$D$2=0),0,IF(BR$3&lt;0,0,N(INDEX('CURVA PREVISION'!$A$1:$KZ$3000,$C28,10+3*MIN(BR$3,$D$2-1)))))</f>
        <v>100</v>
      </c>
      <c r="BS28" s="131" t="n">
        <f aca="false">IF(OR($C28="",$B$2="",$D$2=0),0,IF(BS$3&lt;0,0,N(INDEX('CURVA PREVISION'!$A$1:$KZ$3000,$C28,10+3*MIN(BS$3,$D$2-1)))))</f>
        <v>100</v>
      </c>
      <c r="BT28" s="131" t="n">
        <f aca="false">IF(OR($C28="",$B$2="",$D$2=0),0,IF(BT$3&lt;0,0,N(INDEX('CURVA PREVISION'!$A$1:$KZ$3000,$C28,10+3*MIN(BT$3,$D$2-1)))))</f>
        <v>100</v>
      </c>
      <c r="BU28" s="131" t="n">
        <f aca="false">IF(OR($C28="",$B$2="",$D$2=0),0,IF(BU$3&lt;0,0,N(INDEX('CURVA PREVISION'!$A$1:$KZ$3000,$C28,10+3*MIN(BU$3,$D$2-1)))))</f>
        <v>100</v>
      </c>
      <c r="BV28" s="131" t="n">
        <f aca="false">IF(OR($C28="",$B$2="",$D$2=0),0,IF(BV$3&lt;0,0,N(INDEX('CURVA PREVISION'!$A$1:$KZ$3000,$C28,10+3*MIN(BV$3,$D$2-1)))))</f>
        <v>100</v>
      </c>
      <c r="BW28" s="131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25</v>
      </c>
      <c r="B29" s="57" t="str">
        <f aca="false">'VALOR POR PL'!D35</f>
        <v>ESQUADRIAS</v>
      </c>
      <c r="C29" s="64" t="n">
        <f aca="false">IFERROR(MATCH(A29,'CURVA PREVISION'!$B$1:$B$3000,0),"")</f>
        <v>631</v>
      </c>
      <c r="D29" s="131" t="n">
        <f aca="false">IF(OR($C29="",$B$2="",$D$2=0),0,IF(D$3&lt;0,0,N(INDEX('CURVA PREVISION'!$A$1:$KZ$3000,$C29,10+3*MIN(D$3,$D$2-1)))))</f>
        <v>0</v>
      </c>
      <c r="E29" s="131" t="n">
        <f aca="false">IF(OR($C29="",$B$2="",$D$2=0),0,IF(E$3&lt;0,0,N(INDEX('CURVA PREVISION'!$A$1:$KZ$3000,$C29,10+3*MIN(E$3,$D$2-1)))))</f>
        <v>0</v>
      </c>
      <c r="F29" s="131" t="n">
        <f aca="false">IF(OR($C29="",$B$2="",$D$2=0),0,IF(F$3&lt;0,0,N(INDEX('CURVA PREVISION'!$A$1:$KZ$3000,$C29,10+3*MIN(F$3,$D$2-1)))))</f>
        <v>0</v>
      </c>
      <c r="G29" s="131" t="n">
        <f aca="false">IF(OR($C29="",$B$2="",$D$2=0),0,IF(G$3&lt;0,0,N(INDEX('CURVA PREVISION'!$A$1:$KZ$3000,$C29,10+3*MIN(G$3,$D$2-1)))))</f>
        <v>0</v>
      </c>
      <c r="H29" s="131" t="n">
        <f aca="false">IF(OR($C29="",$B$2="",$D$2=0),0,IF(H$3&lt;0,0,N(INDEX('CURVA PREVISION'!$A$1:$KZ$3000,$C29,10+3*MIN(H$3,$D$2-1)))))</f>
        <v>0</v>
      </c>
      <c r="I29" s="131" t="n">
        <f aca="false">IF(OR($C29="",$B$2="",$D$2=0),0,IF(I$3&lt;0,0,N(INDEX('CURVA PREVISION'!$A$1:$KZ$3000,$C29,10+3*MIN(I$3,$D$2-1)))))</f>
        <v>0</v>
      </c>
      <c r="J29" s="131" t="n">
        <f aca="false">IF(OR($C29="",$B$2="",$D$2=0),0,IF(J$3&lt;0,0,N(INDEX('CURVA PREVISION'!$A$1:$KZ$3000,$C29,10+3*MIN(J$3,$D$2-1)))))</f>
        <v>0</v>
      </c>
      <c r="K29" s="131" t="n">
        <f aca="false">IF(OR($C29="",$B$2="",$D$2=0),0,IF(K$3&lt;0,0,N(INDEX('CURVA PREVISION'!$A$1:$KZ$3000,$C29,10+3*MIN(K$3,$D$2-1)))))</f>
        <v>0</v>
      </c>
      <c r="L29" s="131" t="n">
        <f aca="false">IF(OR($C29="",$B$2="",$D$2=0),0,IF(L$3&lt;0,0,N(INDEX('CURVA PREVISION'!$A$1:$KZ$3000,$C29,10+3*MIN(L$3,$D$2-1)))))</f>
        <v>0</v>
      </c>
      <c r="M29" s="131" t="n">
        <f aca="false">IF(OR($C29="",$B$2="",$D$2=0),0,IF(M$3&lt;0,0,N(INDEX('CURVA PREVISION'!$A$1:$KZ$3000,$C29,10+3*MIN(M$3,$D$2-1)))))</f>
        <v>0</v>
      </c>
      <c r="N29" s="131" t="n">
        <f aca="false">IF(OR($C29="",$B$2="",$D$2=0),0,IF(N$3&lt;0,0,N(INDEX('CURVA PREVISION'!$A$1:$KZ$3000,$C29,10+3*MIN(N$3,$D$2-1)))))</f>
        <v>0</v>
      </c>
      <c r="O29" s="131" t="n">
        <f aca="false">IF(OR($C29="",$B$2="",$D$2=0),0,IF(O$3&lt;0,0,N(INDEX('CURVA PREVISION'!$A$1:$KZ$3000,$C29,10+3*MIN(O$3,$D$2-1)))))</f>
        <v>0</v>
      </c>
      <c r="P29" s="131" t="n">
        <f aca="false">IF(OR($C29="",$B$2="",$D$2=0),0,IF(P$3&lt;0,0,N(INDEX('CURVA PREVISION'!$A$1:$KZ$3000,$C29,10+3*MIN(P$3,$D$2-1)))))</f>
        <v>0</v>
      </c>
      <c r="Q29" s="131" t="n">
        <f aca="false">IF(OR($C29="",$B$2="",$D$2=0),0,IF(Q$3&lt;0,0,N(INDEX('CURVA PREVISION'!$A$1:$KZ$3000,$C29,10+3*MIN(Q$3,$D$2-1)))))</f>
        <v>0</v>
      </c>
      <c r="R29" s="131" t="n">
        <f aca="false">IF(OR($C29="",$B$2="",$D$2=0),0,IF(R$3&lt;0,0,N(INDEX('CURVA PREVISION'!$A$1:$KZ$3000,$C29,10+3*MIN(R$3,$D$2-1)))))</f>
        <v>0</v>
      </c>
      <c r="S29" s="131" t="n">
        <f aca="false">IF(OR($C29="",$B$2="",$D$2=0),0,IF(S$3&lt;0,0,N(INDEX('CURVA PREVISION'!$A$1:$KZ$3000,$C29,10+3*MIN(S$3,$D$2-1)))))</f>
        <v>0</v>
      </c>
      <c r="T29" s="131" t="n">
        <f aca="false">IF(OR($C29="",$B$2="",$D$2=0),0,IF(T$3&lt;0,0,N(INDEX('CURVA PREVISION'!$A$1:$KZ$3000,$C29,10+3*MIN(T$3,$D$2-1)))))</f>
        <v>0</v>
      </c>
      <c r="U29" s="131" t="n">
        <f aca="false">IF(OR($C29="",$B$2="",$D$2=0),0,IF(U$3&lt;0,0,N(INDEX('CURVA PREVISION'!$A$1:$KZ$3000,$C29,10+3*MIN(U$3,$D$2-1)))))</f>
        <v>0</v>
      </c>
      <c r="V29" s="131" t="n">
        <f aca="false">IF(OR($C29="",$B$2="",$D$2=0),0,IF(V$3&lt;0,0,N(INDEX('CURVA PREVISION'!$A$1:$KZ$3000,$C29,10+3*MIN(V$3,$D$2-1)))))</f>
        <v>0</v>
      </c>
      <c r="W29" s="131" t="n">
        <f aca="false">IF(OR($C29="",$B$2="",$D$2=0),0,IF(W$3&lt;0,0,N(INDEX('CURVA PREVISION'!$A$1:$KZ$3000,$C29,10+3*MIN(W$3,$D$2-1)))))</f>
        <v>0</v>
      </c>
      <c r="X29" s="131" t="n">
        <f aca="false">IF(OR($C29="",$B$2="",$D$2=0),0,IF(X$3&lt;0,0,N(INDEX('CURVA PREVISION'!$A$1:$KZ$3000,$C29,10+3*MIN(X$3,$D$2-1)))))</f>
        <v>0</v>
      </c>
      <c r="Y29" s="131" t="n">
        <f aca="false">IF(OR($C29="",$B$2="",$D$2=0),0,IF(Y$3&lt;0,0,N(INDEX('CURVA PREVISION'!$A$1:$KZ$3000,$C29,10+3*MIN(Y$3,$D$2-1)))))</f>
        <v>0</v>
      </c>
      <c r="Z29" s="131" t="n">
        <f aca="false">IF(OR($C29="",$B$2="",$D$2=0),0,IF(Z$3&lt;0,0,N(INDEX('CURVA PREVISION'!$A$1:$KZ$3000,$C29,10+3*MIN(Z$3,$D$2-1)))))</f>
        <v>0.07</v>
      </c>
      <c r="AA29" s="131" t="n">
        <f aca="false">IF(OR($C29="",$B$2="",$D$2=0),0,IF(AA$3&lt;0,0,N(INDEX('CURVA PREVISION'!$A$1:$KZ$3000,$C29,10+3*MIN(AA$3,$D$2-1)))))</f>
        <v>0.74</v>
      </c>
      <c r="AB29" s="131" t="n">
        <f aca="false">IF(OR($C29="",$B$2="",$D$2=0),0,IF(AB$3&lt;0,0,N(INDEX('CURVA PREVISION'!$A$1:$KZ$3000,$C29,10+3*MIN(AB$3,$D$2-1)))))</f>
        <v>1.18</v>
      </c>
      <c r="AC29" s="131" t="n">
        <f aca="false">IF(OR($C29="",$B$2="",$D$2=0),0,IF(AC$3&lt;0,0,N(INDEX('CURVA PREVISION'!$A$1:$KZ$3000,$C29,10+3*MIN(AC$3,$D$2-1)))))</f>
        <v>1.84</v>
      </c>
      <c r="AD29" s="131" t="n">
        <f aca="false">IF(OR($C29="",$B$2="",$D$2=0),0,IF(AD$3&lt;0,0,N(INDEX('CURVA PREVISION'!$A$1:$KZ$3000,$C29,10+3*MIN(AD$3,$D$2-1)))))</f>
        <v>3.12</v>
      </c>
      <c r="AE29" s="131" t="n">
        <f aca="false">IF(OR($C29="",$B$2="",$D$2=0),0,IF(AE$3&lt;0,0,N(INDEX('CURVA PREVISION'!$A$1:$KZ$3000,$C29,10+3*MIN(AE$3,$D$2-1)))))</f>
        <v>4.07</v>
      </c>
      <c r="AF29" s="131" t="n">
        <f aca="false">IF(OR($C29="",$B$2="",$D$2=0),0,IF(AF$3&lt;0,0,N(INDEX('CURVA PREVISION'!$A$1:$KZ$3000,$C29,10+3*MIN(AF$3,$D$2-1)))))</f>
        <v>4.81</v>
      </c>
      <c r="AG29" s="131" t="n">
        <f aca="false">IF(OR($C29="",$B$2="",$D$2=0),0,IF(AG$3&lt;0,0,N(INDEX('CURVA PREVISION'!$A$1:$KZ$3000,$C29,10+3*MIN(AG$3,$D$2-1)))))</f>
        <v>6.13</v>
      </c>
      <c r="AH29" s="131" t="n">
        <f aca="false">IF(OR($C29="",$B$2="",$D$2=0),0,IF(AH$3&lt;0,0,N(INDEX('CURVA PREVISION'!$A$1:$KZ$3000,$C29,10+3*MIN(AH$3,$D$2-1)))))</f>
        <v>7.48</v>
      </c>
      <c r="AI29" s="131" t="n">
        <f aca="false">IF(OR($C29="",$B$2="",$D$2=0),0,IF(AI$3&lt;0,0,N(INDEX('CURVA PREVISION'!$A$1:$KZ$3000,$C29,10+3*MIN(AI$3,$D$2-1)))))</f>
        <v>8.92</v>
      </c>
      <c r="AJ29" s="131" t="n">
        <f aca="false">IF(OR($C29="",$B$2="",$D$2=0),0,IF(AJ$3&lt;0,0,N(INDEX('CURVA PREVISION'!$A$1:$KZ$3000,$C29,10+3*MIN(AJ$3,$D$2-1)))))</f>
        <v>10.49</v>
      </c>
      <c r="AK29" s="131" t="n">
        <f aca="false">IF(OR($C29="",$B$2="",$D$2=0),0,IF(AK$3&lt;0,0,N(INDEX('CURVA PREVISION'!$A$1:$KZ$3000,$C29,10+3*MIN(AK$3,$D$2-1)))))</f>
        <v>10.85</v>
      </c>
      <c r="AL29" s="131" t="n">
        <f aca="false">IF(OR($C29="",$B$2="",$D$2=0),0,IF(AL$3&lt;0,0,N(INDEX('CURVA PREVISION'!$A$1:$KZ$3000,$C29,10+3*MIN(AL$3,$D$2-1)))))</f>
        <v>10.92</v>
      </c>
      <c r="AM29" s="131" t="n">
        <f aca="false">IF(OR($C29="",$B$2="",$D$2=0),0,IF(AM$3&lt;0,0,N(INDEX('CURVA PREVISION'!$A$1:$KZ$3000,$C29,10+3*MIN(AM$3,$D$2-1)))))</f>
        <v>11.74</v>
      </c>
      <c r="AN29" s="131" t="n">
        <f aca="false">IF(OR($C29="",$B$2="",$D$2=0),0,IF(AN$3&lt;0,0,N(INDEX('CURVA PREVISION'!$A$1:$KZ$3000,$C29,10+3*MIN(AN$3,$D$2-1)))))</f>
        <v>17.92</v>
      </c>
      <c r="AO29" s="131" t="n">
        <f aca="false">IF(OR($C29="",$B$2="",$D$2=0),0,IF(AO$3&lt;0,0,N(INDEX('CURVA PREVISION'!$A$1:$KZ$3000,$C29,10+3*MIN(AO$3,$D$2-1)))))</f>
        <v>28.77</v>
      </c>
      <c r="AP29" s="131" t="n">
        <f aca="false">IF(OR($C29="",$B$2="",$D$2=0),0,IF(AP$3&lt;0,0,N(INDEX('CURVA PREVISION'!$A$1:$KZ$3000,$C29,10+3*MIN(AP$3,$D$2-1)))))</f>
        <v>36.17</v>
      </c>
      <c r="AQ29" s="131" t="n">
        <f aca="false">IF(OR($C29="",$B$2="",$D$2=0),0,IF(AQ$3&lt;0,0,N(INDEX('CURVA PREVISION'!$A$1:$KZ$3000,$C29,10+3*MIN(AQ$3,$D$2-1)))))</f>
        <v>48.28</v>
      </c>
      <c r="AR29" s="131" t="n">
        <f aca="false">IF(OR($C29="",$B$2="",$D$2=0),0,IF(AR$3&lt;0,0,N(INDEX('CURVA PREVISION'!$A$1:$KZ$3000,$C29,10+3*MIN(AR$3,$D$2-1)))))</f>
        <v>55.53</v>
      </c>
      <c r="AS29" s="131" t="n">
        <f aca="false">IF(OR($C29="",$B$2="",$D$2=0),0,IF(AS$3&lt;0,0,N(INDEX('CURVA PREVISION'!$A$1:$KZ$3000,$C29,10+3*MIN(AS$3,$D$2-1)))))</f>
        <v>63.19</v>
      </c>
      <c r="AT29" s="131" t="n">
        <f aca="false">IF(OR($C29="",$B$2="",$D$2=0),0,IF(AT$3&lt;0,0,N(INDEX('CURVA PREVISION'!$A$1:$KZ$3000,$C29,10+3*MIN(AT$3,$D$2-1)))))</f>
        <v>73.54</v>
      </c>
      <c r="AU29" s="131" t="n">
        <f aca="false">IF(OR($C29="",$B$2="",$D$2=0),0,IF(AU$3&lt;0,0,N(INDEX('CURVA PREVISION'!$A$1:$KZ$3000,$C29,10+3*MIN(AU$3,$D$2-1)))))</f>
        <v>84.6</v>
      </c>
      <c r="AV29" s="131" t="n">
        <f aca="false">IF(OR($C29="",$B$2="",$D$2=0),0,IF(AV$3&lt;0,0,N(INDEX('CURVA PREVISION'!$A$1:$KZ$3000,$C29,10+3*MIN(AV$3,$D$2-1)))))</f>
        <v>94.11</v>
      </c>
      <c r="AW29" s="131" t="n">
        <f aca="false">IF(OR($C29="",$B$2="",$D$2=0),0,IF(AW$3&lt;0,0,N(INDEX('CURVA PREVISION'!$A$1:$KZ$3000,$C29,10+3*MIN(AW$3,$D$2-1)))))</f>
        <v>98.23</v>
      </c>
      <c r="AX29" s="131" t="n">
        <f aca="false">IF(OR($C29="",$B$2="",$D$2=0),0,IF(AX$3&lt;0,0,N(INDEX('CURVA PREVISION'!$A$1:$KZ$3000,$C29,10+3*MIN(AX$3,$D$2-1)))))</f>
        <v>99.81</v>
      </c>
      <c r="AY29" s="131" t="n">
        <f aca="false">IF(OR($C29="",$B$2="",$D$2=0),0,IF(AY$3&lt;0,0,N(INDEX('CURVA PREVISION'!$A$1:$KZ$3000,$C29,10+3*MIN(AY$3,$D$2-1)))))</f>
        <v>100</v>
      </c>
      <c r="AZ29" s="131" t="n">
        <f aca="false">IF(OR($C29="",$B$2="",$D$2=0),0,IF(AZ$3&lt;0,0,N(INDEX('CURVA PREVISION'!$A$1:$KZ$3000,$C29,10+3*MIN(AZ$3,$D$2-1)))))</f>
        <v>100</v>
      </c>
      <c r="BA29" s="131" t="n">
        <f aca="false">IF(OR($C29="",$B$2="",$D$2=0),0,IF(BA$3&lt;0,0,N(INDEX('CURVA PREVISION'!$A$1:$KZ$3000,$C29,10+3*MIN(BA$3,$D$2-1)))))</f>
        <v>100</v>
      </c>
      <c r="BB29" s="131" t="n">
        <f aca="false">IF(OR($C29="",$B$2="",$D$2=0),0,IF(BB$3&lt;0,0,N(INDEX('CURVA PREVISION'!$A$1:$KZ$3000,$C29,10+3*MIN(BB$3,$D$2-1)))))</f>
        <v>100</v>
      </c>
      <c r="BC29" s="131" t="n">
        <f aca="false">IF(OR($C29="",$B$2="",$D$2=0),0,IF(BC$3&lt;0,0,N(INDEX('CURVA PREVISION'!$A$1:$KZ$3000,$C29,10+3*MIN(BC$3,$D$2-1)))))</f>
        <v>100</v>
      </c>
      <c r="BD29" s="131" t="n">
        <f aca="false">IF(OR($C29="",$B$2="",$D$2=0),0,IF(BD$3&lt;0,0,N(INDEX('CURVA PREVISION'!$A$1:$KZ$3000,$C29,10+3*MIN(BD$3,$D$2-1)))))</f>
        <v>100</v>
      </c>
      <c r="BE29" s="131" t="n">
        <f aca="false">IF(OR($C29="",$B$2="",$D$2=0),0,IF(BE$3&lt;0,0,N(INDEX('CURVA PREVISION'!$A$1:$KZ$3000,$C29,10+3*MIN(BE$3,$D$2-1)))))</f>
        <v>100</v>
      </c>
      <c r="BF29" s="131" t="n">
        <f aca="false">IF(OR($C29="",$B$2="",$D$2=0),0,IF(BF$3&lt;0,0,N(INDEX('CURVA PREVISION'!$A$1:$KZ$3000,$C29,10+3*MIN(BF$3,$D$2-1)))))</f>
        <v>100</v>
      </c>
      <c r="BG29" s="131" t="n">
        <f aca="false">IF(OR($C29="",$B$2="",$D$2=0),0,IF(BG$3&lt;0,0,N(INDEX('CURVA PREVISION'!$A$1:$KZ$3000,$C29,10+3*MIN(BG$3,$D$2-1)))))</f>
        <v>100</v>
      </c>
      <c r="BH29" s="131" t="n">
        <f aca="false">IF(OR($C29="",$B$2="",$D$2=0),0,IF(BH$3&lt;0,0,N(INDEX('CURVA PREVISION'!$A$1:$KZ$3000,$C29,10+3*MIN(BH$3,$D$2-1)))))</f>
        <v>100</v>
      </c>
      <c r="BI29" s="131" t="n">
        <f aca="false">IF(OR($C29="",$B$2="",$D$2=0),0,IF(BI$3&lt;0,0,N(INDEX('CURVA PREVISION'!$A$1:$KZ$3000,$C29,10+3*MIN(BI$3,$D$2-1)))))</f>
        <v>100</v>
      </c>
      <c r="BJ29" s="131" t="n">
        <f aca="false">IF(OR($C29="",$B$2="",$D$2=0),0,IF(BJ$3&lt;0,0,N(INDEX('CURVA PREVISION'!$A$1:$KZ$3000,$C29,10+3*MIN(BJ$3,$D$2-1)))))</f>
        <v>100</v>
      </c>
      <c r="BK29" s="131" t="n">
        <f aca="false">IF(OR($C29="",$B$2="",$D$2=0),0,IF(BK$3&lt;0,0,N(INDEX('CURVA PREVISION'!$A$1:$KZ$3000,$C29,10+3*MIN(BK$3,$D$2-1)))))</f>
        <v>100</v>
      </c>
      <c r="BL29" s="131" t="n">
        <f aca="false">IF(OR($C29="",$B$2="",$D$2=0),0,IF(BL$3&lt;0,0,N(INDEX('CURVA PREVISION'!$A$1:$KZ$3000,$C29,10+3*MIN(BL$3,$D$2-1)))))</f>
        <v>100</v>
      </c>
      <c r="BM29" s="131" t="n">
        <f aca="false">IF(OR($C29="",$B$2="",$D$2=0),0,IF(BM$3&lt;0,0,N(INDEX('CURVA PREVISION'!$A$1:$KZ$3000,$C29,10+3*MIN(BM$3,$D$2-1)))))</f>
        <v>100</v>
      </c>
      <c r="BN29" s="131" t="n">
        <f aca="false">IF(OR($C29="",$B$2="",$D$2=0),0,IF(BN$3&lt;0,0,N(INDEX('CURVA PREVISION'!$A$1:$KZ$3000,$C29,10+3*MIN(BN$3,$D$2-1)))))</f>
        <v>100</v>
      </c>
      <c r="BO29" s="131" t="n">
        <f aca="false">IF(OR($C29="",$B$2="",$D$2=0),0,IF(BO$3&lt;0,0,N(INDEX('CURVA PREVISION'!$A$1:$KZ$3000,$C29,10+3*MIN(BO$3,$D$2-1)))))</f>
        <v>100</v>
      </c>
      <c r="BP29" s="131" t="n">
        <f aca="false">IF(OR($C29="",$B$2="",$D$2=0),0,IF(BP$3&lt;0,0,N(INDEX('CURVA PREVISION'!$A$1:$KZ$3000,$C29,10+3*MIN(BP$3,$D$2-1)))))</f>
        <v>100</v>
      </c>
      <c r="BQ29" s="131" t="n">
        <f aca="false">IF(OR($C29="",$B$2="",$D$2=0),0,IF(BQ$3&lt;0,0,N(INDEX('CURVA PREVISION'!$A$1:$KZ$3000,$C29,10+3*MIN(BQ$3,$D$2-1)))))</f>
        <v>100</v>
      </c>
      <c r="BR29" s="131" t="n">
        <f aca="false">IF(OR($C29="",$B$2="",$D$2=0),0,IF(BR$3&lt;0,0,N(INDEX('CURVA PREVISION'!$A$1:$KZ$3000,$C29,10+3*MIN(BR$3,$D$2-1)))))</f>
        <v>100</v>
      </c>
      <c r="BS29" s="131" t="n">
        <f aca="false">IF(OR($C29="",$B$2="",$D$2=0),0,IF(BS$3&lt;0,0,N(INDEX('CURVA PREVISION'!$A$1:$KZ$3000,$C29,10+3*MIN(BS$3,$D$2-1)))))</f>
        <v>100</v>
      </c>
      <c r="BT29" s="131" t="n">
        <f aca="false">IF(OR($C29="",$B$2="",$D$2=0),0,IF(BT$3&lt;0,0,N(INDEX('CURVA PREVISION'!$A$1:$KZ$3000,$C29,10+3*MIN(BT$3,$D$2-1)))))</f>
        <v>100</v>
      </c>
      <c r="BU29" s="131" t="n">
        <f aca="false">IF(OR($C29="",$B$2="",$D$2=0),0,IF(BU$3&lt;0,0,N(INDEX('CURVA PREVISION'!$A$1:$KZ$3000,$C29,10+3*MIN(BU$3,$D$2-1)))))</f>
        <v>100</v>
      </c>
      <c r="BV29" s="131" t="n">
        <f aca="false">IF(OR($C29="",$B$2="",$D$2=0),0,IF(BV$3&lt;0,0,N(INDEX('CURVA PREVISION'!$A$1:$KZ$3000,$C29,10+3*MIN(BV$3,$D$2-1)))))</f>
        <v>100</v>
      </c>
      <c r="BW29" s="131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26</v>
      </c>
      <c r="B30" s="57" t="str">
        <f aca="false">'VALOR POR PL'!D36</f>
        <v>SERRALHERIA</v>
      </c>
      <c r="C30" s="64" t="n">
        <f aca="false">IFERROR(MATCH(A30,'CURVA PREVISION'!$B$1:$B$3000,0),"")</f>
        <v>745</v>
      </c>
      <c r="D30" s="131" t="n">
        <f aca="false">IF(OR($C30="",$B$2="",$D$2=0),0,IF(D$3&lt;0,0,N(INDEX('CURVA PREVISION'!$A$1:$KZ$3000,$C30,10+3*MIN(D$3,$D$2-1)))))</f>
        <v>0</v>
      </c>
      <c r="E30" s="131" t="n">
        <f aca="false">IF(OR($C30="",$B$2="",$D$2=0),0,IF(E$3&lt;0,0,N(INDEX('CURVA PREVISION'!$A$1:$KZ$3000,$C30,10+3*MIN(E$3,$D$2-1)))))</f>
        <v>0</v>
      </c>
      <c r="F30" s="131" t="n">
        <f aca="false">IF(OR($C30="",$B$2="",$D$2=0),0,IF(F$3&lt;0,0,N(INDEX('CURVA PREVISION'!$A$1:$KZ$3000,$C30,10+3*MIN(F$3,$D$2-1)))))</f>
        <v>0</v>
      </c>
      <c r="G30" s="131" t="n">
        <f aca="false">IF(OR($C30="",$B$2="",$D$2=0),0,IF(G$3&lt;0,0,N(INDEX('CURVA PREVISION'!$A$1:$KZ$3000,$C30,10+3*MIN(G$3,$D$2-1)))))</f>
        <v>0</v>
      </c>
      <c r="H30" s="131" t="n">
        <f aca="false">IF(OR($C30="",$B$2="",$D$2=0),0,IF(H$3&lt;0,0,N(INDEX('CURVA PREVISION'!$A$1:$KZ$3000,$C30,10+3*MIN(H$3,$D$2-1)))))</f>
        <v>0</v>
      </c>
      <c r="I30" s="131" t="n">
        <f aca="false">IF(OR($C30="",$B$2="",$D$2=0),0,IF(I$3&lt;0,0,N(INDEX('CURVA PREVISION'!$A$1:$KZ$3000,$C30,10+3*MIN(I$3,$D$2-1)))))</f>
        <v>0</v>
      </c>
      <c r="J30" s="131" t="n">
        <f aca="false">IF(OR($C30="",$B$2="",$D$2=0),0,IF(J$3&lt;0,0,N(INDEX('CURVA PREVISION'!$A$1:$KZ$3000,$C30,10+3*MIN(J$3,$D$2-1)))))</f>
        <v>0</v>
      </c>
      <c r="K30" s="131" t="n">
        <f aca="false">IF(OR($C30="",$B$2="",$D$2=0),0,IF(K$3&lt;0,0,N(INDEX('CURVA PREVISION'!$A$1:$KZ$3000,$C30,10+3*MIN(K$3,$D$2-1)))))</f>
        <v>0</v>
      </c>
      <c r="L30" s="131" t="n">
        <f aca="false">IF(OR($C30="",$B$2="",$D$2=0),0,IF(L$3&lt;0,0,N(INDEX('CURVA PREVISION'!$A$1:$KZ$3000,$C30,10+3*MIN(L$3,$D$2-1)))))</f>
        <v>0</v>
      </c>
      <c r="M30" s="131" t="n">
        <f aca="false">IF(OR($C30="",$B$2="",$D$2=0),0,IF(M$3&lt;0,0,N(INDEX('CURVA PREVISION'!$A$1:$KZ$3000,$C30,10+3*MIN(M$3,$D$2-1)))))</f>
        <v>0</v>
      </c>
      <c r="N30" s="131" t="n">
        <f aca="false">IF(OR($C30="",$B$2="",$D$2=0),0,IF(N$3&lt;0,0,N(INDEX('CURVA PREVISION'!$A$1:$KZ$3000,$C30,10+3*MIN(N$3,$D$2-1)))))</f>
        <v>0</v>
      </c>
      <c r="O30" s="131" t="n">
        <f aca="false">IF(OR($C30="",$B$2="",$D$2=0),0,IF(O$3&lt;0,0,N(INDEX('CURVA PREVISION'!$A$1:$KZ$3000,$C30,10+3*MIN(O$3,$D$2-1)))))</f>
        <v>0</v>
      </c>
      <c r="P30" s="131" t="n">
        <f aca="false">IF(OR($C30="",$B$2="",$D$2=0),0,IF(P$3&lt;0,0,N(INDEX('CURVA PREVISION'!$A$1:$KZ$3000,$C30,10+3*MIN(P$3,$D$2-1)))))</f>
        <v>0</v>
      </c>
      <c r="Q30" s="131" t="n">
        <f aca="false">IF(OR($C30="",$B$2="",$D$2=0),0,IF(Q$3&lt;0,0,N(INDEX('CURVA PREVISION'!$A$1:$KZ$3000,$C30,10+3*MIN(Q$3,$D$2-1)))))</f>
        <v>0</v>
      </c>
      <c r="R30" s="131" t="n">
        <f aca="false">IF(OR($C30="",$B$2="",$D$2=0),0,IF(R$3&lt;0,0,N(INDEX('CURVA PREVISION'!$A$1:$KZ$3000,$C30,10+3*MIN(R$3,$D$2-1)))))</f>
        <v>0</v>
      </c>
      <c r="S30" s="131" t="n">
        <f aca="false">IF(OR($C30="",$B$2="",$D$2=0),0,IF(S$3&lt;0,0,N(INDEX('CURVA PREVISION'!$A$1:$KZ$3000,$C30,10+3*MIN(S$3,$D$2-1)))))</f>
        <v>0</v>
      </c>
      <c r="T30" s="131" t="n">
        <f aca="false">IF(OR($C30="",$B$2="",$D$2=0),0,IF(T$3&lt;0,0,N(INDEX('CURVA PREVISION'!$A$1:$KZ$3000,$C30,10+3*MIN(T$3,$D$2-1)))))</f>
        <v>0</v>
      </c>
      <c r="U30" s="131" t="n">
        <f aca="false">IF(OR($C30="",$B$2="",$D$2=0),0,IF(U$3&lt;0,0,N(INDEX('CURVA PREVISION'!$A$1:$KZ$3000,$C30,10+3*MIN(U$3,$D$2-1)))))</f>
        <v>0</v>
      </c>
      <c r="V30" s="131" t="n">
        <f aca="false">IF(OR($C30="",$B$2="",$D$2=0),0,IF(V$3&lt;0,0,N(INDEX('CURVA PREVISION'!$A$1:$KZ$3000,$C30,10+3*MIN(V$3,$D$2-1)))))</f>
        <v>0</v>
      </c>
      <c r="W30" s="131" t="n">
        <f aca="false">IF(OR($C30="",$B$2="",$D$2=0),0,IF(W$3&lt;0,0,N(INDEX('CURVA PREVISION'!$A$1:$KZ$3000,$C30,10+3*MIN(W$3,$D$2-1)))))</f>
        <v>0</v>
      </c>
      <c r="X30" s="131" t="n">
        <f aca="false">IF(OR($C30="",$B$2="",$D$2=0),0,IF(X$3&lt;0,0,N(INDEX('CURVA PREVISION'!$A$1:$KZ$3000,$C30,10+3*MIN(X$3,$D$2-1)))))</f>
        <v>0</v>
      </c>
      <c r="Y30" s="131" t="n">
        <f aca="false">IF(OR($C30="",$B$2="",$D$2=0),0,IF(Y$3&lt;0,0,N(INDEX('CURVA PREVISION'!$A$1:$KZ$3000,$C30,10+3*MIN(Y$3,$D$2-1)))))</f>
        <v>0</v>
      </c>
      <c r="Z30" s="131" t="n">
        <f aca="false">IF(OR($C30="",$B$2="",$D$2=0),0,IF(Z$3&lt;0,0,N(INDEX('CURVA PREVISION'!$A$1:$KZ$3000,$C30,10+3*MIN(Z$3,$D$2-1)))))</f>
        <v>0</v>
      </c>
      <c r="AA30" s="131" t="n">
        <f aca="false">IF(OR($C30="",$B$2="",$D$2=0),0,IF(AA$3&lt;0,0,N(INDEX('CURVA PREVISION'!$A$1:$KZ$3000,$C30,10+3*MIN(AA$3,$D$2-1)))))</f>
        <v>0</v>
      </c>
      <c r="AB30" s="131" t="n">
        <f aca="false">IF(OR($C30="",$B$2="",$D$2=0),0,IF(AB$3&lt;0,0,N(INDEX('CURVA PREVISION'!$A$1:$KZ$3000,$C30,10+3*MIN(AB$3,$D$2-1)))))</f>
        <v>0</v>
      </c>
      <c r="AC30" s="131" t="n">
        <f aca="false">IF(OR($C30="",$B$2="",$D$2=0),0,IF(AC$3&lt;0,0,N(INDEX('CURVA PREVISION'!$A$1:$KZ$3000,$C30,10+3*MIN(AC$3,$D$2-1)))))</f>
        <v>0</v>
      </c>
      <c r="AD30" s="131" t="n">
        <f aca="false">IF(OR($C30="",$B$2="",$D$2=0),0,IF(AD$3&lt;0,0,N(INDEX('CURVA PREVISION'!$A$1:$KZ$3000,$C30,10+3*MIN(AD$3,$D$2-1)))))</f>
        <v>0</v>
      </c>
      <c r="AE30" s="131" t="n">
        <f aca="false">IF(OR($C30="",$B$2="",$D$2=0),0,IF(AE$3&lt;0,0,N(INDEX('CURVA PREVISION'!$A$1:$KZ$3000,$C30,10+3*MIN(AE$3,$D$2-1)))))</f>
        <v>0</v>
      </c>
      <c r="AF30" s="131" t="n">
        <f aca="false">IF(OR($C30="",$B$2="",$D$2=0),0,IF(AF$3&lt;0,0,N(INDEX('CURVA PREVISION'!$A$1:$KZ$3000,$C30,10+3*MIN(AF$3,$D$2-1)))))</f>
        <v>0</v>
      </c>
      <c r="AG30" s="131" t="n">
        <f aca="false">IF(OR($C30="",$B$2="",$D$2=0),0,IF(AG$3&lt;0,0,N(INDEX('CURVA PREVISION'!$A$1:$KZ$3000,$C30,10+3*MIN(AG$3,$D$2-1)))))</f>
        <v>0</v>
      </c>
      <c r="AH30" s="131" t="n">
        <f aca="false">IF(OR($C30="",$B$2="",$D$2=0),0,IF(AH$3&lt;0,0,N(INDEX('CURVA PREVISION'!$A$1:$KZ$3000,$C30,10+3*MIN(AH$3,$D$2-1)))))</f>
        <v>0</v>
      </c>
      <c r="AI30" s="131" t="n">
        <f aca="false">IF(OR($C30="",$B$2="",$D$2=0),0,IF(AI$3&lt;0,0,N(INDEX('CURVA PREVISION'!$A$1:$KZ$3000,$C30,10+3*MIN(AI$3,$D$2-1)))))</f>
        <v>0</v>
      </c>
      <c r="AJ30" s="131" t="n">
        <f aca="false">IF(OR($C30="",$B$2="",$D$2=0),0,IF(AJ$3&lt;0,0,N(INDEX('CURVA PREVISION'!$A$1:$KZ$3000,$C30,10+3*MIN(AJ$3,$D$2-1)))))</f>
        <v>0</v>
      </c>
      <c r="AK30" s="131" t="n">
        <f aca="false">IF(OR($C30="",$B$2="",$D$2=0),0,IF(AK$3&lt;0,0,N(INDEX('CURVA PREVISION'!$A$1:$KZ$3000,$C30,10+3*MIN(AK$3,$D$2-1)))))</f>
        <v>0</v>
      </c>
      <c r="AL30" s="131" t="n">
        <f aca="false">IF(OR($C30="",$B$2="",$D$2=0),0,IF(AL$3&lt;0,0,N(INDEX('CURVA PREVISION'!$A$1:$KZ$3000,$C30,10+3*MIN(AL$3,$D$2-1)))))</f>
        <v>0</v>
      </c>
      <c r="AM30" s="131" t="n">
        <f aca="false">IF(OR($C30="",$B$2="",$D$2=0),0,IF(AM$3&lt;0,0,N(INDEX('CURVA PREVISION'!$A$1:$KZ$3000,$C30,10+3*MIN(AM$3,$D$2-1)))))</f>
        <v>13.5</v>
      </c>
      <c r="AN30" s="131" t="n">
        <f aca="false">IF(OR($C30="",$B$2="",$D$2=0),0,IF(AN$3&lt;0,0,N(INDEX('CURVA PREVISION'!$A$1:$KZ$3000,$C30,10+3*MIN(AN$3,$D$2-1)))))</f>
        <v>13.5</v>
      </c>
      <c r="AO30" s="131" t="n">
        <f aca="false">IF(OR($C30="",$B$2="",$D$2=0),0,IF(AO$3&lt;0,0,N(INDEX('CURVA PREVISION'!$A$1:$KZ$3000,$C30,10+3*MIN(AO$3,$D$2-1)))))</f>
        <v>13.5</v>
      </c>
      <c r="AP30" s="131" t="n">
        <f aca="false">IF(OR($C30="",$B$2="",$D$2=0),0,IF(AP$3&lt;0,0,N(INDEX('CURVA PREVISION'!$A$1:$KZ$3000,$C30,10+3*MIN(AP$3,$D$2-1)))))</f>
        <v>13.5</v>
      </c>
      <c r="AQ30" s="131" t="n">
        <f aca="false">IF(OR($C30="",$B$2="",$D$2=0),0,IF(AQ$3&lt;0,0,N(INDEX('CURVA PREVISION'!$A$1:$KZ$3000,$C30,10+3*MIN(AQ$3,$D$2-1)))))</f>
        <v>27</v>
      </c>
      <c r="AR30" s="131" t="n">
        <f aca="false">IF(OR($C30="",$B$2="",$D$2=0),0,IF(AR$3&lt;0,0,N(INDEX('CURVA PREVISION'!$A$1:$KZ$3000,$C30,10+3*MIN(AR$3,$D$2-1)))))</f>
        <v>40.5</v>
      </c>
      <c r="AS30" s="131" t="n">
        <f aca="false">IF(OR($C30="",$B$2="",$D$2=0),0,IF(AS$3&lt;0,0,N(INDEX('CURVA PREVISION'!$A$1:$KZ$3000,$C30,10+3*MIN(AS$3,$D$2-1)))))</f>
        <v>40.5</v>
      </c>
      <c r="AT30" s="131" t="n">
        <f aca="false">IF(OR($C30="",$B$2="",$D$2=0),0,IF(AT$3&lt;0,0,N(INDEX('CURVA PREVISION'!$A$1:$KZ$3000,$C30,10+3*MIN(AT$3,$D$2-1)))))</f>
        <v>40.5</v>
      </c>
      <c r="AU30" s="131" t="n">
        <f aca="false">IF(OR($C30="",$B$2="",$D$2=0),0,IF(AU$3&lt;0,0,N(INDEX('CURVA PREVISION'!$A$1:$KZ$3000,$C30,10+3*MIN(AU$3,$D$2-1)))))</f>
        <v>42.5</v>
      </c>
      <c r="AV30" s="131" t="n">
        <f aca="false">IF(OR($C30="",$B$2="",$D$2=0),0,IF(AV$3&lt;0,0,N(INDEX('CURVA PREVISION'!$A$1:$KZ$3000,$C30,10+3*MIN(AV$3,$D$2-1)))))</f>
        <v>50.5</v>
      </c>
      <c r="AW30" s="131" t="n">
        <f aca="false">IF(OR($C30="",$B$2="",$D$2=0),0,IF(AW$3&lt;0,0,N(INDEX('CURVA PREVISION'!$A$1:$KZ$3000,$C30,10+3*MIN(AW$3,$D$2-1)))))</f>
        <v>86.5</v>
      </c>
      <c r="AX30" s="131" t="n">
        <f aca="false">IF(OR($C30="",$B$2="",$D$2=0),0,IF(AX$3&lt;0,0,N(INDEX('CURVA PREVISION'!$A$1:$KZ$3000,$C30,10+3*MIN(AX$3,$D$2-1)))))</f>
        <v>100</v>
      </c>
      <c r="AY30" s="131" t="n">
        <f aca="false">IF(OR($C30="",$B$2="",$D$2=0),0,IF(AY$3&lt;0,0,N(INDEX('CURVA PREVISION'!$A$1:$KZ$3000,$C30,10+3*MIN(AY$3,$D$2-1)))))</f>
        <v>100</v>
      </c>
      <c r="AZ30" s="131" t="n">
        <f aca="false">IF(OR($C30="",$B$2="",$D$2=0),0,IF(AZ$3&lt;0,0,N(INDEX('CURVA PREVISION'!$A$1:$KZ$3000,$C30,10+3*MIN(AZ$3,$D$2-1)))))</f>
        <v>100</v>
      </c>
      <c r="BA30" s="131" t="n">
        <f aca="false">IF(OR($C30="",$B$2="",$D$2=0),0,IF(BA$3&lt;0,0,N(INDEX('CURVA PREVISION'!$A$1:$KZ$3000,$C30,10+3*MIN(BA$3,$D$2-1)))))</f>
        <v>100</v>
      </c>
      <c r="BB30" s="131" t="n">
        <f aca="false">IF(OR($C30="",$B$2="",$D$2=0),0,IF(BB$3&lt;0,0,N(INDEX('CURVA PREVISION'!$A$1:$KZ$3000,$C30,10+3*MIN(BB$3,$D$2-1)))))</f>
        <v>100</v>
      </c>
      <c r="BC30" s="131" t="n">
        <f aca="false">IF(OR($C30="",$B$2="",$D$2=0),0,IF(BC$3&lt;0,0,N(INDEX('CURVA PREVISION'!$A$1:$KZ$3000,$C30,10+3*MIN(BC$3,$D$2-1)))))</f>
        <v>100</v>
      </c>
      <c r="BD30" s="131" t="n">
        <f aca="false">IF(OR($C30="",$B$2="",$D$2=0),0,IF(BD$3&lt;0,0,N(INDEX('CURVA PREVISION'!$A$1:$KZ$3000,$C30,10+3*MIN(BD$3,$D$2-1)))))</f>
        <v>100</v>
      </c>
      <c r="BE30" s="131" t="n">
        <f aca="false">IF(OR($C30="",$B$2="",$D$2=0),0,IF(BE$3&lt;0,0,N(INDEX('CURVA PREVISION'!$A$1:$KZ$3000,$C30,10+3*MIN(BE$3,$D$2-1)))))</f>
        <v>100</v>
      </c>
      <c r="BF30" s="131" t="n">
        <f aca="false">IF(OR($C30="",$B$2="",$D$2=0),0,IF(BF$3&lt;0,0,N(INDEX('CURVA PREVISION'!$A$1:$KZ$3000,$C30,10+3*MIN(BF$3,$D$2-1)))))</f>
        <v>100</v>
      </c>
      <c r="BG30" s="131" t="n">
        <f aca="false">IF(OR($C30="",$B$2="",$D$2=0),0,IF(BG$3&lt;0,0,N(INDEX('CURVA PREVISION'!$A$1:$KZ$3000,$C30,10+3*MIN(BG$3,$D$2-1)))))</f>
        <v>100</v>
      </c>
      <c r="BH30" s="131" t="n">
        <f aca="false">IF(OR($C30="",$B$2="",$D$2=0),0,IF(BH$3&lt;0,0,N(INDEX('CURVA PREVISION'!$A$1:$KZ$3000,$C30,10+3*MIN(BH$3,$D$2-1)))))</f>
        <v>100</v>
      </c>
      <c r="BI30" s="131" t="n">
        <f aca="false">IF(OR($C30="",$B$2="",$D$2=0),0,IF(BI$3&lt;0,0,N(INDEX('CURVA PREVISION'!$A$1:$KZ$3000,$C30,10+3*MIN(BI$3,$D$2-1)))))</f>
        <v>100</v>
      </c>
      <c r="BJ30" s="131" t="n">
        <f aca="false">IF(OR($C30="",$B$2="",$D$2=0),0,IF(BJ$3&lt;0,0,N(INDEX('CURVA PREVISION'!$A$1:$KZ$3000,$C30,10+3*MIN(BJ$3,$D$2-1)))))</f>
        <v>100</v>
      </c>
      <c r="BK30" s="131" t="n">
        <f aca="false">IF(OR($C30="",$B$2="",$D$2=0),0,IF(BK$3&lt;0,0,N(INDEX('CURVA PREVISION'!$A$1:$KZ$3000,$C30,10+3*MIN(BK$3,$D$2-1)))))</f>
        <v>100</v>
      </c>
      <c r="BL30" s="131" t="n">
        <f aca="false">IF(OR($C30="",$B$2="",$D$2=0),0,IF(BL$3&lt;0,0,N(INDEX('CURVA PREVISION'!$A$1:$KZ$3000,$C30,10+3*MIN(BL$3,$D$2-1)))))</f>
        <v>100</v>
      </c>
      <c r="BM30" s="131" t="n">
        <f aca="false">IF(OR($C30="",$B$2="",$D$2=0),0,IF(BM$3&lt;0,0,N(INDEX('CURVA PREVISION'!$A$1:$KZ$3000,$C30,10+3*MIN(BM$3,$D$2-1)))))</f>
        <v>100</v>
      </c>
      <c r="BN30" s="131" t="n">
        <f aca="false">IF(OR($C30="",$B$2="",$D$2=0),0,IF(BN$3&lt;0,0,N(INDEX('CURVA PREVISION'!$A$1:$KZ$3000,$C30,10+3*MIN(BN$3,$D$2-1)))))</f>
        <v>100</v>
      </c>
      <c r="BO30" s="131" t="n">
        <f aca="false">IF(OR($C30="",$B$2="",$D$2=0),0,IF(BO$3&lt;0,0,N(INDEX('CURVA PREVISION'!$A$1:$KZ$3000,$C30,10+3*MIN(BO$3,$D$2-1)))))</f>
        <v>100</v>
      </c>
      <c r="BP30" s="131" t="n">
        <f aca="false">IF(OR($C30="",$B$2="",$D$2=0),0,IF(BP$3&lt;0,0,N(INDEX('CURVA PREVISION'!$A$1:$KZ$3000,$C30,10+3*MIN(BP$3,$D$2-1)))))</f>
        <v>100</v>
      </c>
      <c r="BQ30" s="131" t="n">
        <f aca="false">IF(OR($C30="",$B$2="",$D$2=0),0,IF(BQ$3&lt;0,0,N(INDEX('CURVA PREVISION'!$A$1:$KZ$3000,$C30,10+3*MIN(BQ$3,$D$2-1)))))</f>
        <v>100</v>
      </c>
      <c r="BR30" s="131" t="n">
        <f aca="false">IF(OR($C30="",$B$2="",$D$2=0),0,IF(BR$3&lt;0,0,N(INDEX('CURVA PREVISION'!$A$1:$KZ$3000,$C30,10+3*MIN(BR$3,$D$2-1)))))</f>
        <v>100</v>
      </c>
      <c r="BS30" s="131" t="n">
        <f aca="false">IF(OR($C30="",$B$2="",$D$2=0),0,IF(BS$3&lt;0,0,N(INDEX('CURVA PREVISION'!$A$1:$KZ$3000,$C30,10+3*MIN(BS$3,$D$2-1)))))</f>
        <v>100</v>
      </c>
      <c r="BT30" s="131" t="n">
        <f aca="false">IF(OR($C30="",$B$2="",$D$2=0),0,IF(BT$3&lt;0,0,N(INDEX('CURVA PREVISION'!$A$1:$KZ$3000,$C30,10+3*MIN(BT$3,$D$2-1)))))</f>
        <v>100</v>
      </c>
      <c r="BU30" s="131" t="n">
        <f aca="false">IF(OR($C30="",$B$2="",$D$2=0),0,IF(BU$3&lt;0,0,N(INDEX('CURVA PREVISION'!$A$1:$KZ$3000,$C30,10+3*MIN(BU$3,$D$2-1)))))</f>
        <v>100</v>
      </c>
      <c r="BV30" s="131" t="n">
        <f aca="false">IF(OR($C30="",$B$2="",$D$2=0),0,IF(BV$3&lt;0,0,N(INDEX('CURVA PREVISION'!$A$1:$KZ$3000,$C30,10+3*MIN(BV$3,$D$2-1)))))</f>
        <v>100</v>
      </c>
      <c r="BW30" s="131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27</v>
      </c>
      <c r="B31" s="57" t="str">
        <f aca="false">'VALOR POR PL'!D37</f>
        <v>MARCENARIA</v>
      </c>
      <c r="C31" s="64" t="n">
        <f aca="false">IFERROR(MATCH(A31,'CURVA PREVISION'!$B$1:$B$3000,0),"")</f>
        <v>765</v>
      </c>
      <c r="D31" s="131" t="n">
        <f aca="false">IF(OR($C31="",$B$2="",$D$2=0),0,IF(D$3&lt;0,0,N(INDEX('CURVA PREVISION'!$A$1:$KZ$3000,$C31,10+3*MIN(D$3,$D$2-1)))))</f>
        <v>0</v>
      </c>
      <c r="E31" s="131" t="n">
        <f aca="false">IF(OR($C31="",$B$2="",$D$2=0),0,IF(E$3&lt;0,0,N(INDEX('CURVA PREVISION'!$A$1:$KZ$3000,$C31,10+3*MIN(E$3,$D$2-1)))))</f>
        <v>0</v>
      </c>
      <c r="F31" s="131" t="n">
        <f aca="false">IF(OR($C31="",$B$2="",$D$2=0),0,IF(F$3&lt;0,0,N(INDEX('CURVA PREVISION'!$A$1:$KZ$3000,$C31,10+3*MIN(F$3,$D$2-1)))))</f>
        <v>0</v>
      </c>
      <c r="G31" s="131" t="n">
        <f aca="false">IF(OR($C31="",$B$2="",$D$2=0),0,IF(G$3&lt;0,0,N(INDEX('CURVA PREVISION'!$A$1:$KZ$3000,$C31,10+3*MIN(G$3,$D$2-1)))))</f>
        <v>0</v>
      </c>
      <c r="H31" s="131" t="n">
        <f aca="false">IF(OR($C31="",$B$2="",$D$2=0),0,IF(H$3&lt;0,0,N(INDEX('CURVA PREVISION'!$A$1:$KZ$3000,$C31,10+3*MIN(H$3,$D$2-1)))))</f>
        <v>0</v>
      </c>
      <c r="I31" s="131" t="n">
        <f aca="false">IF(OR($C31="",$B$2="",$D$2=0),0,IF(I$3&lt;0,0,N(INDEX('CURVA PREVISION'!$A$1:$KZ$3000,$C31,10+3*MIN(I$3,$D$2-1)))))</f>
        <v>0</v>
      </c>
      <c r="J31" s="131" t="n">
        <f aca="false">IF(OR($C31="",$B$2="",$D$2=0),0,IF(J$3&lt;0,0,N(INDEX('CURVA PREVISION'!$A$1:$KZ$3000,$C31,10+3*MIN(J$3,$D$2-1)))))</f>
        <v>0</v>
      </c>
      <c r="K31" s="131" t="n">
        <f aca="false">IF(OR($C31="",$B$2="",$D$2=0),0,IF(K$3&lt;0,0,N(INDEX('CURVA PREVISION'!$A$1:$KZ$3000,$C31,10+3*MIN(K$3,$D$2-1)))))</f>
        <v>0</v>
      </c>
      <c r="L31" s="131" t="n">
        <f aca="false">IF(OR($C31="",$B$2="",$D$2=0),0,IF(L$3&lt;0,0,N(INDEX('CURVA PREVISION'!$A$1:$KZ$3000,$C31,10+3*MIN(L$3,$D$2-1)))))</f>
        <v>0</v>
      </c>
      <c r="M31" s="131" t="n">
        <f aca="false">IF(OR($C31="",$B$2="",$D$2=0),0,IF(M$3&lt;0,0,N(INDEX('CURVA PREVISION'!$A$1:$KZ$3000,$C31,10+3*MIN(M$3,$D$2-1)))))</f>
        <v>0</v>
      </c>
      <c r="N31" s="131" t="n">
        <f aca="false">IF(OR($C31="",$B$2="",$D$2=0),0,IF(N$3&lt;0,0,N(INDEX('CURVA PREVISION'!$A$1:$KZ$3000,$C31,10+3*MIN(N$3,$D$2-1)))))</f>
        <v>0</v>
      </c>
      <c r="O31" s="131" t="n">
        <f aca="false">IF(OR($C31="",$B$2="",$D$2=0),0,IF(O$3&lt;0,0,N(INDEX('CURVA PREVISION'!$A$1:$KZ$3000,$C31,10+3*MIN(O$3,$D$2-1)))))</f>
        <v>0</v>
      </c>
      <c r="P31" s="131" t="n">
        <f aca="false">IF(OR($C31="",$B$2="",$D$2=0),0,IF(P$3&lt;0,0,N(INDEX('CURVA PREVISION'!$A$1:$KZ$3000,$C31,10+3*MIN(P$3,$D$2-1)))))</f>
        <v>0</v>
      </c>
      <c r="Q31" s="131" t="n">
        <f aca="false">IF(OR($C31="",$B$2="",$D$2=0),0,IF(Q$3&lt;0,0,N(INDEX('CURVA PREVISION'!$A$1:$KZ$3000,$C31,10+3*MIN(Q$3,$D$2-1)))))</f>
        <v>0</v>
      </c>
      <c r="R31" s="131" t="n">
        <f aca="false">IF(OR($C31="",$B$2="",$D$2=0),0,IF(R$3&lt;0,0,N(INDEX('CURVA PREVISION'!$A$1:$KZ$3000,$C31,10+3*MIN(R$3,$D$2-1)))))</f>
        <v>0</v>
      </c>
      <c r="S31" s="131" t="n">
        <f aca="false">IF(OR($C31="",$B$2="",$D$2=0),0,IF(S$3&lt;0,0,N(INDEX('CURVA PREVISION'!$A$1:$KZ$3000,$C31,10+3*MIN(S$3,$D$2-1)))))</f>
        <v>0</v>
      </c>
      <c r="T31" s="131" t="n">
        <f aca="false">IF(OR($C31="",$B$2="",$D$2=0),0,IF(T$3&lt;0,0,N(INDEX('CURVA PREVISION'!$A$1:$KZ$3000,$C31,10+3*MIN(T$3,$D$2-1)))))</f>
        <v>0</v>
      </c>
      <c r="U31" s="131" t="n">
        <f aca="false">IF(OR($C31="",$B$2="",$D$2=0),0,IF(U$3&lt;0,0,N(INDEX('CURVA PREVISION'!$A$1:$KZ$3000,$C31,10+3*MIN(U$3,$D$2-1)))))</f>
        <v>0</v>
      </c>
      <c r="V31" s="131" t="n">
        <f aca="false">IF(OR($C31="",$B$2="",$D$2=0),0,IF(V$3&lt;0,0,N(INDEX('CURVA PREVISION'!$A$1:$KZ$3000,$C31,10+3*MIN(V$3,$D$2-1)))))</f>
        <v>0</v>
      </c>
      <c r="W31" s="131" t="n">
        <f aca="false">IF(OR($C31="",$B$2="",$D$2=0),0,IF(W$3&lt;0,0,N(INDEX('CURVA PREVISION'!$A$1:$KZ$3000,$C31,10+3*MIN(W$3,$D$2-1)))))</f>
        <v>0</v>
      </c>
      <c r="X31" s="131" t="n">
        <f aca="false">IF(OR($C31="",$B$2="",$D$2=0),0,IF(X$3&lt;0,0,N(INDEX('CURVA PREVISION'!$A$1:$KZ$3000,$C31,10+3*MIN(X$3,$D$2-1)))))</f>
        <v>0</v>
      </c>
      <c r="Y31" s="131" t="n">
        <f aca="false">IF(OR($C31="",$B$2="",$D$2=0),0,IF(Y$3&lt;0,0,N(INDEX('CURVA PREVISION'!$A$1:$KZ$3000,$C31,10+3*MIN(Y$3,$D$2-1)))))</f>
        <v>0</v>
      </c>
      <c r="Z31" s="131" t="n">
        <f aca="false">IF(OR($C31="",$B$2="",$D$2=0),0,IF(Z$3&lt;0,0,N(INDEX('CURVA PREVISION'!$A$1:$KZ$3000,$C31,10+3*MIN(Z$3,$D$2-1)))))</f>
        <v>0</v>
      </c>
      <c r="AA31" s="131" t="n">
        <f aca="false">IF(OR($C31="",$B$2="",$D$2=0),0,IF(AA$3&lt;0,0,N(INDEX('CURVA PREVISION'!$A$1:$KZ$3000,$C31,10+3*MIN(AA$3,$D$2-1)))))</f>
        <v>0</v>
      </c>
      <c r="AB31" s="131" t="n">
        <f aca="false">IF(OR($C31="",$B$2="",$D$2=0),0,IF(AB$3&lt;0,0,N(INDEX('CURVA PREVISION'!$A$1:$KZ$3000,$C31,10+3*MIN(AB$3,$D$2-1)))))</f>
        <v>0</v>
      </c>
      <c r="AC31" s="131" t="n">
        <f aca="false">IF(OR($C31="",$B$2="",$D$2=0),0,IF(AC$3&lt;0,0,N(INDEX('CURVA PREVISION'!$A$1:$KZ$3000,$C31,10+3*MIN(AC$3,$D$2-1)))))</f>
        <v>0</v>
      </c>
      <c r="AD31" s="131" t="n">
        <f aca="false">IF(OR($C31="",$B$2="",$D$2=0),0,IF(AD$3&lt;0,0,N(INDEX('CURVA PREVISION'!$A$1:$KZ$3000,$C31,10+3*MIN(AD$3,$D$2-1)))))</f>
        <v>0</v>
      </c>
      <c r="AE31" s="131" t="n">
        <f aca="false">IF(OR($C31="",$B$2="",$D$2=0),0,IF(AE$3&lt;0,0,N(INDEX('CURVA PREVISION'!$A$1:$KZ$3000,$C31,10+3*MIN(AE$3,$D$2-1)))))</f>
        <v>0</v>
      </c>
      <c r="AF31" s="131" t="n">
        <f aca="false">IF(OR($C31="",$B$2="",$D$2=0),0,IF(AF$3&lt;0,0,N(INDEX('CURVA PREVISION'!$A$1:$KZ$3000,$C31,10+3*MIN(AF$3,$D$2-1)))))</f>
        <v>0</v>
      </c>
      <c r="AG31" s="131" t="n">
        <f aca="false">IF(OR($C31="",$B$2="",$D$2=0),0,IF(AG$3&lt;0,0,N(INDEX('CURVA PREVISION'!$A$1:$KZ$3000,$C31,10+3*MIN(AG$3,$D$2-1)))))</f>
        <v>0</v>
      </c>
      <c r="AH31" s="131" t="n">
        <f aca="false">IF(OR($C31="",$B$2="",$D$2=0),0,IF(AH$3&lt;0,0,N(INDEX('CURVA PREVISION'!$A$1:$KZ$3000,$C31,10+3*MIN(AH$3,$D$2-1)))))</f>
        <v>0</v>
      </c>
      <c r="AI31" s="131" t="n">
        <f aca="false">IF(OR($C31="",$B$2="",$D$2=0),0,IF(AI$3&lt;0,0,N(INDEX('CURVA PREVISION'!$A$1:$KZ$3000,$C31,10+3*MIN(AI$3,$D$2-1)))))</f>
        <v>7.83</v>
      </c>
      <c r="AJ31" s="131" t="n">
        <f aca="false">IF(OR($C31="",$B$2="",$D$2=0),0,IF(AJ$3&lt;0,0,N(INDEX('CURVA PREVISION'!$A$1:$KZ$3000,$C31,10+3*MIN(AJ$3,$D$2-1)))))</f>
        <v>22.76</v>
      </c>
      <c r="AK31" s="131" t="n">
        <f aca="false">IF(OR($C31="",$B$2="",$D$2=0),0,IF(AK$3&lt;0,0,N(INDEX('CURVA PREVISION'!$A$1:$KZ$3000,$C31,10+3*MIN(AK$3,$D$2-1)))))</f>
        <v>22.76</v>
      </c>
      <c r="AL31" s="131" t="n">
        <f aca="false">IF(OR($C31="",$B$2="",$D$2=0),0,IF(AL$3&lt;0,0,N(INDEX('CURVA PREVISION'!$A$1:$KZ$3000,$C31,10+3*MIN(AL$3,$D$2-1)))))</f>
        <v>22.76</v>
      </c>
      <c r="AM31" s="131" t="n">
        <f aca="false">IF(OR($C31="",$B$2="",$D$2=0),0,IF(AM$3&lt;0,0,N(INDEX('CURVA PREVISION'!$A$1:$KZ$3000,$C31,10+3*MIN(AM$3,$D$2-1)))))</f>
        <v>22.76</v>
      </c>
      <c r="AN31" s="131" t="n">
        <f aca="false">IF(OR($C31="",$B$2="",$D$2=0),0,IF(AN$3&lt;0,0,N(INDEX('CURVA PREVISION'!$A$1:$KZ$3000,$C31,10+3*MIN(AN$3,$D$2-1)))))</f>
        <v>22.76</v>
      </c>
      <c r="AO31" s="131" t="n">
        <f aca="false">IF(OR($C31="",$B$2="",$D$2=0),0,IF(AO$3&lt;0,0,N(INDEX('CURVA PREVISION'!$A$1:$KZ$3000,$C31,10+3*MIN(AO$3,$D$2-1)))))</f>
        <v>28.4</v>
      </c>
      <c r="AP31" s="131" t="n">
        <f aca="false">IF(OR($C31="",$B$2="",$D$2=0),0,IF(AP$3&lt;0,0,N(INDEX('CURVA PREVISION'!$A$1:$KZ$3000,$C31,10+3*MIN(AP$3,$D$2-1)))))</f>
        <v>35.15</v>
      </c>
      <c r="AQ31" s="131" t="n">
        <f aca="false">IF(OR($C31="",$B$2="",$D$2=0),0,IF(AQ$3&lt;0,0,N(INDEX('CURVA PREVISION'!$A$1:$KZ$3000,$C31,10+3*MIN(AQ$3,$D$2-1)))))</f>
        <v>47.49</v>
      </c>
      <c r="AR31" s="131" t="n">
        <f aca="false">IF(OR($C31="",$B$2="",$D$2=0),0,IF(AR$3&lt;0,0,N(INDEX('CURVA PREVISION'!$A$1:$KZ$3000,$C31,10+3*MIN(AR$3,$D$2-1)))))</f>
        <v>54</v>
      </c>
      <c r="AS31" s="131" t="n">
        <f aca="false">IF(OR($C31="",$B$2="",$D$2=0),0,IF(AS$3&lt;0,0,N(INDEX('CURVA PREVISION'!$A$1:$KZ$3000,$C31,10+3*MIN(AS$3,$D$2-1)))))</f>
        <v>62.41</v>
      </c>
      <c r="AT31" s="131" t="n">
        <f aca="false">IF(OR($C31="",$B$2="",$D$2=0),0,IF(AT$3&lt;0,0,N(INDEX('CURVA PREVISION'!$A$1:$KZ$3000,$C31,10+3*MIN(AT$3,$D$2-1)))))</f>
        <v>69.97</v>
      </c>
      <c r="AU31" s="131" t="n">
        <f aca="false">IF(OR($C31="",$B$2="",$D$2=0),0,IF(AU$3&lt;0,0,N(INDEX('CURVA PREVISION'!$A$1:$KZ$3000,$C31,10+3*MIN(AU$3,$D$2-1)))))</f>
        <v>83.5</v>
      </c>
      <c r="AV31" s="131" t="n">
        <f aca="false">IF(OR($C31="",$B$2="",$D$2=0),0,IF(AV$3&lt;0,0,N(INDEX('CURVA PREVISION'!$A$1:$KZ$3000,$C31,10+3*MIN(AV$3,$D$2-1)))))</f>
        <v>93.7</v>
      </c>
      <c r="AW31" s="131" t="n">
        <f aca="false">IF(OR($C31="",$B$2="",$D$2=0),0,IF(AW$3&lt;0,0,N(INDEX('CURVA PREVISION'!$A$1:$KZ$3000,$C31,10+3*MIN(AW$3,$D$2-1)))))</f>
        <v>99.34</v>
      </c>
      <c r="AX31" s="131" t="n">
        <f aca="false">IF(OR($C31="",$B$2="",$D$2=0),0,IF(AX$3&lt;0,0,N(INDEX('CURVA PREVISION'!$A$1:$KZ$3000,$C31,10+3*MIN(AX$3,$D$2-1)))))</f>
        <v>100</v>
      </c>
      <c r="AY31" s="131" t="n">
        <f aca="false">IF(OR($C31="",$B$2="",$D$2=0),0,IF(AY$3&lt;0,0,N(INDEX('CURVA PREVISION'!$A$1:$KZ$3000,$C31,10+3*MIN(AY$3,$D$2-1)))))</f>
        <v>100</v>
      </c>
      <c r="AZ31" s="131" t="n">
        <f aca="false">IF(OR($C31="",$B$2="",$D$2=0),0,IF(AZ$3&lt;0,0,N(INDEX('CURVA PREVISION'!$A$1:$KZ$3000,$C31,10+3*MIN(AZ$3,$D$2-1)))))</f>
        <v>100</v>
      </c>
      <c r="BA31" s="131" t="n">
        <f aca="false">IF(OR($C31="",$B$2="",$D$2=0),0,IF(BA$3&lt;0,0,N(INDEX('CURVA PREVISION'!$A$1:$KZ$3000,$C31,10+3*MIN(BA$3,$D$2-1)))))</f>
        <v>100</v>
      </c>
      <c r="BB31" s="131" t="n">
        <f aca="false">IF(OR($C31="",$B$2="",$D$2=0),0,IF(BB$3&lt;0,0,N(INDEX('CURVA PREVISION'!$A$1:$KZ$3000,$C31,10+3*MIN(BB$3,$D$2-1)))))</f>
        <v>100</v>
      </c>
      <c r="BC31" s="131" t="n">
        <f aca="false">IF(OR($C31="",$B$2="",$D$2=0),0,IF(BC$3&lt;0,0,N(INDEX('CURVA PREVISION'!$A$1:$KZ$3000,$C31,10+3*MIN(BC$3,$D$2-1)))))</f>
        <v>100</v>
      </c>
      <c r="BD31" s="131" t="n">
        <f aca="false">IF(OR($C31="",$B$2="",$D$2=0),0,IF(BD$3&lt;0,0,N(INDEX('CURVA PREVISION'!$A$1:$KZ$3000,$C31,10+3*MIN(BD$3,$D$2-1)))))</f>
        <v>100</v>
      </c>
      <c r="BE31" s="131" t="n">
        <f aca="false">IF(OR($C31="",$B$2="",$D$2=0),0,IF(BE$3&lt;0,0,N(INDEX('CURVA PREVISION'!$A$1:$KZ$3000,$C31,10+3*MIN(BE$3,$D$2-1)))))</f>
        <v>100</v>
      </c>
      <c r="BF31" s="131" t="n">
        <f aca="false">IF(OR($C31="",$B$2="",$D$2=0),0,IF(BF$3&lt;0,0,N(INDEX('CURVA PREVISION'!$A$1:$KZ$3000,$C31,10+3*MIN(BF$3,$D$2-1)))))</f>
        <v>100</v>
      </c>
      <c r="BG31" s="131" t="n">
        <f aca="false">IF(OR($C31="",$B$2="",$D$2=0),0,IF(BG$3&lt;0,0,N(INDEX('CURVA PREVISION'!$A$1:$KZ$3000,$C31,10+3*MIN(BG$3,$D$2-1)))))</f>
        <v>100</v>
      </c>
      <c r="BH31" s="131" t="n">
        <f aca="false">IF(OR($C31="",$B$2="",$D$2=0),0,IF(BH$3&lt;0,0,N(INDEX('CURVA PREVISION'!$A$1:$KZ$3000,$C31,10+3*MIN(BH$3,$D$2-1)))))</f>
        <v>100</v>
      </c>
      <c r="BI31" s="131" t="n">
        <f aca="false">IF(OR($C31="",$B$2="",$D$2=0),0,IF(BI$3&lt;0,0,N(INDEX('CURVA PREVISION'!$A$1:$KZ$3000,$C31,10+3*MIN(BI$3,$D$2-1)))))</f>
        <v>100</v>
      </c>
      <c r="BJ31" s="131" t="n">
        <f aca="false">IF(OR($C31="",$B$2="",$D$2=0),0,IF(BJ$3&lt;0,0,N(INDEX('CURVA PREVISION'!$A$1:$KZ$3000,$C31,10+3*MIN(BJ$3,$D$2-1)))))</f>
        <v>100</v>
      </c>
      <c r="BK31" s="131" t="n">
        <f aca="false">IF(OR($C31="",$B$2="",$D$2=0),0,IF(BK$3&lt;0,0,N(INDEX('CURVA PREVISION'!$A$1:$KZ$3000,$C31,10+3*MIN(BK$3,$D$2-1)))))</f>
        <v>100</v>
      </c>
      <c r="BL31" s="131" t="n">
        <f aca="false">IF(OR($C31="",$B$2="",$D$2=0),0,IF(BL$3&lt;0,0,N(INDEX('CURVA PREVISION'!$A$1:$KZ$3000,$C31,10+3*MIN(BL$3,$D$2-1)))))</f>
        <v>100</v>
      </c>
      <c r="BM31" s="131" t="n">
        <f aca="false">IF(OR($C31="",$B$2="",$D$2=0),0,IF(BM$3&lt;0,0,N(INDEX('CURVA PREVISION'!$A$1:$KZ$3000,$C31,10+3*MIN(BM$3,$D$2-1)))))</f>
        <v>100</v>
      </c>
      <c r="BN31" s="131" t="n">
        <f aca="false">IF(OR($C31="",$B$2="",$D$2=0),0,IF(BN$3&lt;0,0,N(INDEX('CURVA PREVISION'!$A$1:$KZ$3000,$C31,10+3*MIN(BN$3,$D$2-1)))))</f>
        <v>100</v>
      </c>
      <c r="BO31" s="131" t="n">
        <f aca="false">IF(OR($C31="",$B$2="",$D$2=0),0,IF(BO$3&lt;0,0,N(INDEX('CURVA PREVISION'!$A$1:$KZ$3000,$C31,10+3*MIN(BO$3,$D$2-1)))))</f>
        <v>100</v>
      </c>
      <c r="BP31" s="131" t="n">
        <f aca="false">IF(OR($C31="",$B$2="",$D$2=0),0,IF(BP$3&lt;0,0,N(INDEX('CURVA PREVISION'!$A$1:$KZ$3000,$C31,10+3*MIN(BP$3,$D$2-1)))))</f>
        <v>100</v>
      </c>
      <c r="BQ31" s="131" t="n">
        <f aca="false">IF(OR($C31="",$B$2="",$D$2=0),0,IF(BQ$3&lt;0,0,N(INDEX('CURVA PREVISION'!$A$1:$KZ$3000,$C31,10+3*MIN(BQ$3,$D$2-1)))))</f>
        <v>100</v>
      </c>
      <c r="BR31" s="131" t="n">
        <f aca="false">IF(OR($C31="",$B$2="",$D$2=0),0,IF(BR$3&lt;0,0,N(INDEX('CURVA PREVISION'!$A$1:$KZ$3000,$C31,10+3*MIN(BR$3,$D$2-1)))))</f>
        <v>100</v>
      </c>
      <c r="BS31" s="131" t="n">
        <f aca="false">IF(OR($C31="",$B$2="",$D$2=0),0,IF(BS$3&lt;0,0,N(INDEX('CURVA PREVISION'!$A$1:$KZ$3000,$C31,10+3*MIN(BS$3,$D$2-1)))))</f>
        <v>100</v>
      </c>
      <c r="BT31" s="131" t="n">
        <f aca="false">IF(OR($C31="",$B$2="",$D$2=0),0,IF(BT$3&lt;0,0,N(INDEX('CURVA PREVISION'!$A$1:$KZ$3000,$C31,10+3*MIN(BT$3,$D$2-1)))))</f>
        <v>100</v>
      </c>
      <c r="BU31" s="131" t="n">
        <f aca="false">IF(OR($C31="",$B$2="",$D$2=0),0,IF(BU$3&lt;0,0,N(INDEX('CURVA PREVISION'!$A$1:$KZ$3000,$C31,10+3*MIN(BU$3,$D$2-1)))))</f>
        <v>100</v>
      </c>
      <c r="BV31" s="131" t="n">
        <f aca="false">IF(OR($C31="",$B$2="",$D$2=0),0,IF(BV$3&lt;0,0,N(INDEX('CURVA PREVISION'!$A$1:$KZ$3000,$C31,10+3*MIN(BV$3,$D$2-1)))))</f>
        <v>100</v>
      </c>
      <c r="BW31" s="131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28</v>
      </c>
      <c r="B32" s="57" t="str">
        <f aca="false">'VALOR POR PL'!D38</f>
        <v>REVESTIMENTOS DE MASSA EM PISOS</v>
      </c>
      <c r="C32" s="64" t="n">
        <f aca="false">IFERROR(MATCH(A32,'CURVA PREVISION'!$B$1:$B$3000,0),"")</f>
        <v>794</v>
      </c>
      <c r="D32" s="131" t="n">
        <f aca="false">IF(OR($C32="",$B$2="",$D$2=0),0,IF(D$3&lt;0,0,N(INDEX('CURVA PREVISION'!$A$1:$KZ$3000,$C32,10+3*MIN(D$3,$D$2-1)))))</f>
        <v>0</v>
      </c>
      <c r="E32" s="131" t="n">
        <f aca="false">IF(OR($C32="",$B$2="",$D$2=0),0,IF(E$3&lt;0,0,N(INDEX('CURVA PREVISION'!$A$1:$KZ$3000,$C32,10+3*MIN(E$3,$D$2-1)))))</f>
        <v>0</v>
      </c>
      <c r="F32" s="131" t="n">
        <f aca="false">IF(OR($C32="",$B$2="",$D$2=0),0,IF(F$3&lt;0,0,N(INDEX('CURVA PREVISION'!$A$1:$KZ$3000,$C32,10+3*MIN(F$3,$D$2-1)))))</f>
        <v>0</v>
      </c>
      <c r="G32" s="131" t="n">
        <f aca="false">IF(OR($C32="",$B$2="",$D$2=0),0,IF(G$3&lt;0,0,N(INDEX('CURVA PREVISION'!$A$1:$KZ$3000,$C32,10+3*MIN(G$3,$D$2-1)))))</f>
        <v>0</v>
      </c>
      <c r="H32" s="131" t="n">
        <f aca="false">IF(OR($C32="",$B$2="",$D$2=0),0,IF(H$3&lt;0,0,N(INDEX('CURVA PREVISION'!$A$1:$KZ$3000,$C32,10+3*MIN(H$3,$D$2-1)))))</f>
        <v>0</v>
      </c>
      <c r="I32" s="131" t="n">
        <f aca="false">IF(OR($C32="",$B$2="",$D$2=0),0,IF(I$3&lt;0,0,N(INDEX('CURVA PREVISION'!$A$1:$KZ$3000,$C32,10+3*MIN(I$3,$D$2-1)))))</f>
        <v>0</v>
      </c>
      <c r="J32" s="131" t="n">
        <f aca="false">IF(OR($C32="",$B$2="",$D$2=0),0,IF(J$3&lt;0,0,N(INDEX('CURVA PREVISION'!$A$1:$KZ$3000,$C32,10+3*MIN(J$3,$D$2-1)))))</f>
        <v>0</v>
      </c>
      <c r="K32" s="131" t="n">
        <f aca="false">IF(OR($C32="",$B$2="",$D$2=0),0,IF(K$3&lt;0,0,N(INDEX('CURVA PREVISION'!$A$1:$KZ$3000,$C32,10+3*MIN(K$3,$D$2-1)))))</f>
        <v>0</v>
      </c>
      <c r="L32" s="131" t="n">
        <f aca="false">IF(OR($C32="",$B$2="",$D$2=0),0,IF(L$3&lt;0,0,N(INDEX('CURVA PREVISION'!$A$1:$KZ$3000,$C32,10+3*MIN(L$3,$D$2-1)))))</f>
        <v>0</v>
      </c>
      <c r="M32" s="131" t="n">
        <f aca="false">IF(OR($C32="",$B$2="",$D$2=0),0,IF(M$3&lt;0,0,N(INDEX('CURVA PREVISION'!$A$1:$KZ$3000,$C32,10+3*MIN(M$3,$D$2-1)))))</f>
        <v>0</v>
      </c>
      <c r="N32" s="131" t="n">
        <f aca="false">IF(OR($C32="",$B$2="",$D$2=0),0,IF(N$3&lt;0,0,N(INDEX('CURVA PREVISION'!$A$1:$KZ$3000,$C32,10+3*MIN(N$3,$D$2-1)))))</f>
        <v>0</v>
      </c>
      <c r="O32" s="131" t="n">
        <f aca="false">IF(OR($C32="",$B$2="",$D$2=0),0,IF(O$3&lt;0,0,N(INDEX('CURVA PREVISION'!$A$1:$KZ$3000,$C32,10+3*MIN(O$3,$D$2-1)))))</f>
        <v>0</v>
      </c>
      <c r="P32" s="131" t="n">
        <f aca="false">IF(OR($C32="",$B$2="",$D$2=0),0,IF(P$3&lt;0,0,N(INDEX('CURVA PREVISION'!$A$1:$KZ$3000,$C32,10+3*MIN(P$3,$D$2-1)))))</f>
        <v>0</v>
      </c>
      <c r="Q32" s="131" t="n">
        <f aca="false">IF(OR($C32="",$B$2="",$D$2=0),0,IF(Q$3&lt;0,0,N(INDEX('CURVA PREVISION'!$A$1:$KZ$3000,$C32,10+3*MIN(Q$3,$D$2-1)))))</f>
        <v>0</v>
      </c>
      <c r="R32" s="131" t="n">
        <f aca="false">IF(OR($C32="",$B$2="",$D$2=0),0,IF(R$3&lt;0,0,N(INDEX('CURVA PREVISION'!$A$1:$KZ$3000,$C32,10+3*MIN(R$3,$D$2-1)))))</f>
        <v>0</v>
      </c>
      <c r="S32" s="131" t="n">
        <f aca="false">IF(OR($C32="",$B$2="",$D$2=0),0,IF(S$3&lt;0,0,N(INDEX('CURVA PREVISION'!$A$1:$KZ$3000,$C32,10+3*MIN(S$3,$D$2-1)))))</f>
        <v>0</v>
      </c>
      <c r="T32" s="131" t="n">
        <f aca="false">IF(OR($C32="",$B$2="",$D$2=0),0,IF(T$3&lt;0,0,N(INDEX('CURVA PREVISION'!$A$1:$KZ$3000,$C32,10+3*MIN(T$3,$D$2-1)))))</f>
        <v>0</v>
      </c>
      <c r="U32" s="131" t="n">
        <f aca="false">IF(OR($C32="",$B$2="",$D$2=0),0,IF(U$3&lt;0,0,N(INDEX('CURVA PREVISION'!$A$1:$KZ$3000,$C32,10+3*MIN(U$3,$D$2-1)))))</f>
        <v>0</v>
      </c>
      <c r="V32" s="131" t="n">
        <f aca="false">IF(OR($C32="",$B$2="",$D$2=0),0,IF(V$3&lt;0,0,N(INDEX('CURVA PREVISION'!$A$1:$KZ$3000,$C32,10+3*MIN(V$3,$D$2-1)))))</f>
        <v>0</v>
      </c>
      <c r="W32" s="131" t="n">
        <f aca="false">IF(OR($C32="",$B$2="",$D$2=0),0,IF(W$3&lt;0,0,N(INDEX('CURVA PREVISION'!$A$1:$KZ$3000,$C32,10+3*MIN(W$3,$D$2-1)))))</f>
        <v>0.15</v>
      </c>
      <c r="X32" s="131" t="n">
        <f aca="false">IF(OR($C32="",$B$2="",$D$2=0),0,IF(X$3&lt;0,0,N(INDEX('CURVA PREVISION'!$A$1:$KZ$3000,$C32,10+3*MIN(X$3,$D$2-1)))))</f>
        <v>0.15</v>
      </c>
      <c r="Y32" s="131" t="n">
        <f aca="false">IF(OR($C32="",$B$2="",$D$2=0),0,IF(Y$3&lt;0,0,N(INDEX('CURVA PREVISION'!$A$1:$KZ$3000,$C32,10+3*MIN(Y$3,$D$2-1)))))</f>
        <v>1.29</v>
      </c>
      <c r="Z32" s="131" t="n">
        <f aca="false">IF(OR($C32="",$B$2="",$D$2=0),0,IF(Z$3&lt;0,0,N(INDEX('CURVA PREVISION'!$A$1:$KZ$3000,$C32,10+3*MIN(Z$3,$D$2-1)))))</f>
        <v>1.67</v>
      </c>
      <c r="AA32" s="131" t="n">
        <f aca="false">IF(OR($C32="",$B$2="",$D$2=0),0,IF(AA$3&lt;0,0,N(INDEX('CURVA PREVISION'!$A$1:$KZ$3000,$C32,10+3*MIN(AA$3,$D$2-1)))))</f>
        <v>2.49</v>
      </c>
      <c r="AB32" s="131" t="n">
        <f aca="false">IF(OR($C32="",$B$2="",$D$2=0),0,IF(AB$3&lt;0,0,N(INDEX('CURVA PREVISION'!$A$1:$KZ$3000,$C32,10+3*MIN(AB$3,$D$2-1)))))</f>
        <v>6.1</v>
      </c>
      <c r="AC32" s="131" t="n">
        <f aca="false">IF(OR($C32="",$B$2="",$D$2=0),0,IF(AC$3&lt;0,0,N(INDEX('CURVA PREVISION'!$A$1:$KZ$3000,$C32,10+3*MIN(AC$3,$D$2-1)))))</f>
        <v>15.04</v>
      </c>
      <c r="AD32" s="131" t="n">
        <f aca="false">IF(OR($C32="",$B$2="",$D$2=0),0,IF(AD$3&lt;0,0,N(INDEX('CURVA PREVISION'!$A$1:$KZ$3000,$C32,10+3*MIN(AD$3,$D$2-1)))))</f>
        <v>21.24</v>
      </c>
      <c r="AE32" s="131" t="n">
        <f aca="false">IF(OR($C32="",$B$2="",$D$2=0),0,IF(AE$3&lt;0,0,N(INDEX('CURVA PREVISION'!$A$1:$KZ$3000,$C32,10+3*MIN(AE$3,$D$2-1)))))</f>
        <v>27.69</v>
      </c>
      <c r="AF32" s="131" t="n">
        <f aca="false">IF(OR($C32="",$B$2="",$D$2=0),0,IF(AF$3&lt;0,0,N(INDEX('CURVA PREVISION'!$A$1:$KZ$3000,$C32,10+3*MIN(AF$3,$D$2-1)))))</f>
        <v>35</v>
      </c>
      <c r="AG32" s="131" t="n">
        <f aca="false">IF(OR($C32="",$B$2="",$D$2=0),0,IF(AG$3&lt;0,0,N(INDEX('CURVA PREVISION'!$A$1:$KZ$3000,$C32,10+3*MIN(AG$3,$D$2-1)))))</f>
        <v>44.82</v>
      </c>
      <c r="AH32" s="131" t="n">
        <f aca="false">IF(OR($C32="",$B$2="",$D$2=0),0,IF(AH$3&lt;0,0,N(INDEX('CURVA PREVISION'!$A$1:$KZ$3000,$C32,10+3*MIN(AH$3,$D$2-1)))))</f>
        <v>62.22</v>
      </c>
      <c r="AI32" s="131" t="n">
        <f aca="false">IF(OR($C32="",$B$2="",$D$2=0),0,IF(AI$3&lt;0,0,N(INDEX('CURVA PREVISION'!$A$1:$KZ$3000,$C32,10+3*MIN(AI$3,$D$2-1)))))</f>
        <v>69.34</v>
      </c>
      <c r="AJ32" s="131" t="n">
        <f aca="false">IF(OR($C32="",$B$2="",$D$2=0),0,IF(AJ$3&lt;0,0,N(INDEX('CURVA PREVISION'!$A$1:$KZ$3000,$C32,10+3*MIN(AJ$3,$D$2-1)))))</f>
        <v>75.79</v>
      </c>
      <c r="AK32" s="131" t="n">
        <f aca="false">IF(OR($C32="",$B$2="",$D$2=0),0,IF(AK$3&lt;0,0,N(INDEX('CURVA PREVISION'!$A$1:$KZ$3000,$C32,10+3*MIN(AK$3,$D$2-1)))))</f>
        <v>84.14</v>
      </c>
      <c r="AL32" s="131" t="n">
        <f aca="false">IF(OR($C32="",$B$2="",$D$2=0),0,IF(AL$3&lt;0,0,N(INDEX('CURVA PREVISION'!$A$1:$KZ$3000,$C32,10+3*MIN(AL$3,$D$2-1)))))</f>
        <v>90.39</v>
      </c>
      <c r="AM32" s="131" t="n">
        <f aca="false">IF(OR($C32="",$B$2="",$D$2=0),0,IF(AM$3&lt;0,0,N(INDEX('CURVA PREVISION'!$A$1:$KZ$3000,$C32,10+3*MIN(AM$3,$D$2-1)))))</f>
        <v>92.3</v>
      </c>
      <c r="AN32" s="131" t="n">
        <f aca="false">IF(OR($C32="",$B$2="",$D$2=0),0,IF(AN$3&lt;0,0,N(INDEX('CURVA PREVISION'!$A$1:$KZ$3000,$C32,10+3*MIN(AN$3,$D$2-1)))))</f>
        <v>95.25</v>
      </c>
      <c r="AO32" s="131" t="n">
        <f aca="false">IF(OR($C32="",$B$2="",$D$2=0),0,IF(AO$3&lt;0,0,N(INDEX('CURVA PREVISION'!$A$1:$KZ$3000,$C32,10+3*MIN(AO$3,$D$2-1)))))</f>
        <v>95.65</v>
      </c>
      <c r="AP32" s="131" t="n">
        <f aca="false">IF(OR($C32="",$B$2="",$D$2=0),0,IF(AP$3&lt;0,0,N(INDEX('CURVA PREVISION'!$A$1:$KZ$3000,$C32,10+3*MIN(AP$3,$D$2-1)))))</f>
        <v>95.92</v>
      </c>
      <c r="AQ32" s="131" t="n">
        <f aca="false">IF(OR($C32="",$B$2="",$D$2=0),0,IF(AQ$3&lt;0,0,N(INDEX('CURVA PREVISION'!$A$1:$KZ$3000,$C32,10+3*MIN(AQ$3,$D$2-1)))))</f>
        <v>97.55</v>
      </c>
      <c r="AR32" s="131" t="n">
        <f aca="false">IF(OR($C32="",$B$2="",$D$2=0),0,IF(AR$3&lt;0,0,N(INDEX('CURVA PREVISION'!$A$1:$KZ$3000,$C32,10+3*MIN(AR$3,$D$2-1)))))</f>
        <v>100</v>
      </c>
      <c r="AS32" s="131" t="n">
        <f aca="false">IF(OR($C32="",$B$2="",$D$2=0),0,IF(AS$3&lt;0,0,N(INDEX('CURVA PREVISION'!$A$1:$KZ$3000,$C32,10+3*MIN(AS$3,$D$2-1)))))</f>
        <v>100</v>
      </c>
      <c r="AT32" s="131" t="n">
        <f aca="false">IF(OR($C32="",$B$2="",$D$2=0),0,IF(AT$3&lt;0,0,N(INDEX('CURVA PREVISION'!$A$1:$KZ$3000,$C32,10+3*MIN(AT$3,$D$2-1)))))</f>
        <v>100</v>
      </c>
      <c r="AU32" s="131" t="n">
        <f aca="false">IF(OR($C32="",$B$2="",$D$2=0),0,IF(AU$3&lt;0,0,N(INDEX('CURVA PREVISION'!$A$1:$KZ$3000,$C32,10+3*MIN(AU$3,$D$2-1)))))</f>
        <v>100</v>
      </c>
      <c r="AV32" s="131" t="n">
        <f aca="false">IF(OR($C32="",$B$2="",$D$2=0),0,IF(AV$3&lt;0,0,N(INDEX('CURVA PREVISION'!$A$1:$KZ$3000,$C32,10+3*MIN(AV$3,$D$2-1)))))</f>
        <v>100</v>
      </c>
      <c r="AW32" s="131" t="n">
        <f aca="false">IF(OR($C32="",$B$2="",$D$2=0),0,IF(AW$3&lt;0,0,N(INDEX('CURVA PREVISION'!$A$1:$KZ$3000,$C32,10+3*MIN(AW$3,$D$2-1)))))</f>
        <v>100</v>
      </c>
      <c r="AX32" s="131" t="n">
        <f aca="false">IF(OR($C32="",$B$2="",$D$2=0),0,IF(AX$3&lt;0,0,N(INDEX('CURVA PREVISION'!$A$1:$KZ$3000,$C32,10+3*MIN(AX$3,$D$2-1)))))</f>
        <v>100</v>
      </c>
      <c r="AY32" s="131" t="n">
        <f aca="false">IF(OR($C32="",$B$2="",$D$2=0),0,IF(AY$3&lt;0,0,N(INDEX('CURVA PREVISION'!$A$1:$KZ$3000,$C32,10+3*MIN(AY$3,$D$2-1)))))</f>
        <v>100</v>
      </c>
      <c r="AZ32" s="131" t="n">
        <f aca="false">IF(OR($C32="",$B$2="",$D$2=0),0,IF(AZ$3&lt;0,0,N(INDEX('CURVA PREVISION'!$A$1:$KZ$3000,$C32,10+3*MIN(AZ$3,$D$2-1)))))</f>
        <v>100</v>
      </c>
      <c r="BA32" s="131" t="n">
        <f aca="false">IF(OR($C32="",$B$2="",$D$2=0),0,IF(BA$3&lt;0,0,N(INDEX('CURVA PREVISION'!$A$1:$KZ$3000,$C32,10+3*MIN(BA$3,$D$2-1)))))</f>
        <v>100</v>
      </c>
      <c r="BB32" s="131" t="n">
        <f aca="false">IF(OR($C32="",$B$2="",$D$2=0),0,IF(BB$3&lt;0,0,N(INDEX('CURVA PREVISION'!$A$1:$KZ$3000,$C32,10+3*MIN(BB$3,$D$2-1)))))</f>
        <v>100</v>
      </c>
      <c r="BC32" s="131" t="n">
        <f aca="false">IF(OR($C32="",$B$2="",$D$2=0),0,IF(BC$3&lt;0,0,N(INDEX('CURVA PREVISION'!$A$1:$KZ$3000,$C32,10+3*MIN(BC$3,$D$2-1)))))</f>
        <v>100</v>
      </c>
      <c r="BD32" s="131" t="n">
        <f aca="false">IF(OR($C32="",$B$2="",$D$2=0),0,IF(BD$3&lt;0,0,N(INDEX('CURVA PREVISION'!$A$1:$KZ$3000,$C32,10+3*MIN(BD$3,$D$2-1)))))</f>
        <v>100</v>
      </c>
      <c r="BE32" s="131" t="n">
        <f aca="false">IF(OR($C32="",$B$2="",$D$2=0),0,IF(BE$3&lt;0,0,N(INDEX('CURVA PREVISION'!$A$1:$KZ$3000,$C32,10+3*MIN(BE$3,$D$2-1)))))</f>
        <v>100</v>
      </c>
      <c r="BF32" s="131" t="n">
        <f aca="false">IF(OR($C32="",$B$2="",$D$2=0),0,IF(BF$3&lt;0,0,N(INDEX('CURVA PREVISION'!$A$1:$KZ$3000,$C32,10+3*MIN(BF$3,$D$2-1)))))</f>
        <v>100</v>
      </c>
      <c r="BG32" s="131" t="n">
        <f aca="false">IF(OR($C32="",$B$2="",$D$2=0),0,IF(BG$3&lt;0,0,N(INDEX('CURVA PREVISION'!$A$1:$KZ$3000,$C32,10+3*MIN(BG$3,$D$2-1)))))</f>
        <v>100</v>
      </c>
      <c r="BH32" s="131" t="n">
        <f aca="false">IF(OR($C32="",$B$2="",$D$2=0),0,IF(BH$3&lt;0,0,N(INDEX('CURVA PREVISION'!$A$1:$KZ$3000,$C32,10+3*MIN(BH$3,$D$2-1)))))</f>
        <v>100</v>
      </c>
      <c r="BI32" s="131" t="n">
        <f aca="false">IF(OR($C32="",$B$2="",$D$2=0),0,IF(BI$3&lt;0,0,N(INDEX('CURVA PREVISION'!$A$1:$KZ$3000,$C32,10+3*MIN(BI$3,$D$2-1)))))</f>
        <v>100</v>
      </c>
      <c r="BJ32" s="131" t="n">
        <f aca="false">IF(OR($C32="",$B$2="",$D$2=0),0,IF(BJ$3&lt;0,0,N(INDEX('CURVA PREVISION'!$A$1:$KZ$3000,$C32,10+3*MIN(BJ$3,$D$2-1)))))</f>
        <v>100</v>
      </c>
      <c r="BK32" s="131" t="n">
        <f aca="false">IF(OR($C32="",$B$2="",$D$2=0),0,IF(BK$3&lt;0,0,N(INDEX('CURVA PREVISION'!$A$1:$KZ$3000,$C32,10+3*MIN(BK$3,$D$2-1)))))</f>
        <v>100</v>
      </c>
      <c r="BL32" s="131" t="n">
        <f aca="false">IF(OR($C32="",$B$2="",$D$2=0),0,IF(BL$3&lt;0,0,N(INDEX('CURVA PREVISION'!$A$1:$KZ$3000,$C32,10+3*MIN(BL$3,$D$2-1)))))</f>
        <v>100</v>
      </c>
      <c r="BM32" s="131" t="n">
        <f aca="false">IF(OR($C32="",$B$2="",$D$2=0),0,IF(BM$3&lt;0,0,N(INDEX('CURVA PREVISION'!$A$1:$KZ$3000,$C32,10+3*MIN(BM$3,$D$2-1)))))</f>
        <v>100</v>
      </c>
      <c r="BN32" s="131" t="n">
        <f aca="false">IF(OR($C32="",$B$2="",$D$2=0),0,IF(BN$3&lt;0,0,N(INDEX('CURVA PREVISION'!$A$1:$KZ$3000,$C32,10+3*MIN(BN$3,$D$2-1)))))</f>
        <v>100</v>
      </c>
      <c r="BO32" s="131" t="n">
        <f aca="false">IF(OR($C32="",$B$2="",$D$2=0),0,IF(BO$3&lt;0,0,N(INDEX('CURVA PREVISION'!$A$1:$KZ$3000,$C32,10+3*MIN(BO$3,$D$2-1)))))</f>
        <v>100</v>
      </c>
      <c r="BP32" s="131" t="n">
        <f aca="false">IF(OR($C32="",$B$2="",$D$2=0),0,IF(BP$3&lt;0,0,N(INDEX('CURVA PREVISION'!$A$1:$KZ$3000,$C32,10+3*MIN(BP$3,$D$2-1)))))</f>
        <v>100</v>
      </c>
      <c r="BQ32" s="131" t="n">
        <f aca="false">IF(OR($C32="",$B$2="",$D$2=0),0,IF(BQ$3&lt;0,0,N(INDEX('CURVA PREVISION'!$A$1:$KZ$3000,$C32,10+3*MIN(BQ$3,$D$2-1)))))</f>
        <v>100</v>
      </c>
      <c r="BR32" s="131" t="n">
        <f aca="false">IF(OR($C32="",$B$2="",$D$2=0),0,IF(BR$3&lt;0,0,N(INDEX('CURVA PREVISION'!$A$1:$KZ$3000,$C32,10+3*MIN(BR$3,$D$2-1)))))</f>
        <v>100</v>
      </c>
      <c r="BS32" s="131" t="n">
        <f aca="false">IF(OR($C32="",$B$2="",$D$2=0),0,IF(BS$3&lt;0,0,N(INDEX('CURVA PREVISION'!$A$1:$KZ$3000,$C32,10+3*MIN(BS$3,$D$2-1)))))</f>
        <v>100</v>
      </c>
      <c r="BT32" s="131" t="n">
        <f aca="false">IF(OR($C32="",$B$2="",$D$2=0),0,IF(BT$3&lt;0,0,N(INDEX('CURVA PREVISION'!$A$1:$KZ$3000,$C32,10+3*MIN(BT$3,$D$2-1)))))</f>
        <v>100</v>
      </c>
      <c r="BU32" s="131" t="n">
        <f aca="false">IF(OR($C32="",$B$2="",$D$2=0),0,IF(BU$3&lt;0,0,N(INDEX('CURVA PREVISION'!$A$1:$KZ$3000,$C32,10+3*MIN(BU$3,$D$2-1)))))</f>
        <v>100</v>
      </c>
      <c r="BV32" s="131" t="n">
        <f aca="false">IF(OR($C32="",$B$2="",$D$2=0),0,IF(BV$3&lt;0,0,N(INDEX('CURVA PREVISION'!$A$1:$KZ$3000,$C32,10+3*MIN(BV$3,$D$2-1)))))</f>
        <v>100</v>
      </c>
      <c r="BW32" s="131" t="n">
        <f aca="false">IF(OR($C32="",$B$2="",$D$2=0),0,IF(BW$3&lt;0,0,N(INDEX('CURVA PREVISION'!$A$1:$KZ$3000,$C32,10+3*MIN(BW$3,$D$2-1)))))</f>
        <v>100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29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803</v>
      </c>
      <c r="D33" s="131" t="n">
        <f aca="false">IF(OR($C33="",$B$2="",$D$2=0),0,IF(D$3&lt;0,0,N(INDEX('CURVA PREVISION'!$A$1:$KZ$3000,$C33,10+3*MIN(D$3,$D$2-1)))))</f>
        <v>0</v>
      </c>
      <c r="E33" s="131" t="n">
        <f aca="false">IF(OR($C33="",$B$2="",$D$2=0),0,IF(E$3&lt;0,0,N(INDEX('CURVA PREVISION'!$A$1:$KZ$3000,$C33,10+3*MIN(E$3,$D$2-1)))))</f>
        <v>0</v>
      </c>
      <c r="F33" s="131" t="n">
        <f aca="false">IF(OR($C33="",$B$2="",$D$2=0),0,IF(F$3&lt;0,0,N(INDEX('CURVA PREVISION'!$A$1:$KZ$3000,$C33,10+3*MIN(F$3,$D$2-1)))))</f>
        <v>0</v>
      </c>
      <c r="G33" s="131" t="n">
        <f aca="false">IF(OR($C33="",$B$2="",$D$2=0),0,IF(G$3&lt;0,0,N(INDEX('CURVA PREVISION'!$A$1:$KZ$3000,$C33,10+3*MIN(G$3,$D$2-1)))))</f>
        <v>0</v>
      </c>
      <c r="H33" s="131" t="n">
        <f aca="false">IF(OR($C33="",$B$2="",$D$2=0),0,IF(H$3&lt;0,0,N(INDEX('CURVA PREVISION'!$A$1:$KZ$3000,$C33,10+3*MIN(H$3,$D$2-1)))))</f>
        <v>0</v>
      </c>
      <c r="I33" s="131" t="n">
        <f aca="false">IF(OR($C33="",$B$2="",$D$2=0),0,IF(I$3&lt;0,0,N(INDEX('CURVA PREVISION'!$A$1:$KZ$3000,$C33,10+3*MIN(I$3,$D$2-1)))))</f>
        <v>0</v>
      </c>
      <c r="J33" s="131" t="n">
        <f aca="false">IF(OR($C33="",$B$2="",$D$2=0),0,IF(J$3&lt;0,0,N(INDEX('CURVA PREVISION'!$A$1:$KZ$3000,$C33,10+3*MIN(J$3,$D$2-1)))))</f>
        <v>0</v>
      </c>
      <c r="K33" s="131" t="n">
        <f aca="false">IF(OR($C33="",$B$2="",$D$2=0),0,IF(K$3&lt;0,0,N(INDEX('CURVA PREVISION'!$A$1:$KZ$3000,$C33,10+3*MIN(K$3,$D$2-1)))))</f>
        <v>0</v>
      </c>
      <c r="L33" s="131" t="n">
        <f aca="false">IF(OR($C33="",$B$2="",$D$2=0),0,IF(L$3&lt;0,0,N(INDEX('CURVA PREVISION'!$A$1:$KZ$3000,$C33,10+3*MIN(L$3,$D$2-1)))))</f>
        <v>0</v>
      </c>
      <c r="M33" s="131" t="n">
        <f aca="false">IF(OR($C33="",$B$2="",$D$2=0),0,IF(M$3&lt;0,0,N(INDEX('CURVA PREVISION'!$A$1:$KZ$3000,$C33,10+3*MIN(M$3,$D$2-1)))))</f>
        <v>0</v>
      </c>
      <c r="N33" s="131" t="n">
        <f aca="false">IF(OR($C33="",$B$2="",$D$2=0),0,IF(N$3&lt;0,0,N(INDEX('CURVA PREVISION'!$A$1:$KZ$3000,$C33,10+3*MIN(N$3,$D$2-1)))))</f>
        <v>0</v>
      </c>
      <c r="O33" s="131" t="n">
        <f aca="false">IF(OR($C33="",$B$2="",$D$2=0),0,IF(O$3&lt;0,0,N(INDEX('CURVA PREVISION'!$A$1:$KZ$3000,$C33,10+3*MIN(O$3,$D$2-1)))))</f>
        <v>0</v>
      </c>
      <c r="P33" s="131" t="n">
        <f aca="false">IF(OR($C33="",$B$2="",$D$2=0),0,IF(P$3&lt;0,0,N(INDEX('CURVA PREVISION'!$A$1:$KZ$3000,$C33,10+3*MIN(P$3,$D$2-1)))))</f>
        <v>0</v>
      </c>
      <c r="Q33" s="131" t="n">
        <f aca="false">IF(OR($C33="",$B$2="",$D$2=0),0,IF(Q$3&lt;0,0,N(INDEX('CURVA PREVISION'!$A$1:$KZ$3000,$C33,10+3*MIN(Q$3,$D$2-1)))))</f>
        <v>0</v>
      </c>
      <c r="R33" s="131" t="n">
        <f aca="false">IF(OR($C33="",$B$2="",$D$2=0),0,IF(R$3&lt;0,0,N(INDEX('CURVA PREVISION'!$A$1:$KZ$3000,$C33,10+3*MIN(R$3,$D$2-1)))))</f>
        <v>0</v>
      </c>
      <c r="S33" s="131" t="n">
        <f aca="false">IF(OR($C33="",$B$2="",$D$2=0),0,IF(S$3&lt;0,0,N(INDEX('CURVA PREVISION'!$A$1:$KZ$3000,$C33,10+3*MIN(S$3,$D$2-1)))))</f>
        <v>0</v>
      </c>
      <c r="T33" s="131" t="n">
        <f aca="false">IF(OR($C33="",$B$2="",$D$2=0),0,IF(T$3&lt;0,0,N(INDEX('CURVA PREVISION'!$A$1:$KZ$3000,$C33,10+3*MIN(T$3,$D$2-1)))))</f>
        <v>0</v>
      </c>
      <c r="U33" s="131" t="n">
        <f aca="false">IF(OR($C33="",$B$2="",$D$2=0),0,IF(U$3&lt;0,0,N(INDEX('CURVA PREVISION'!$A$1:$KZ$3000,$C33,10+3*MIN(U$3,$D$2-1)))))</f>
        <v>0</v>
      </c>
      <c r="V33" s="131" t="n">
        <f aca="false">IF(OR($C33="",$B$2="",$D$2=0),0,IF(V$3&lt;0,0,N(INDEX('CURVA PREVISION'!$A$1:$KZ$3000,$C33,10+3*MIN(V$3,$D$2-1)))))</f>
        <v>0</v>
      </c>
      <c r="W33" s="131" t="n">
        <f aca="false">IF(OR($C33="",$B$2="",$D$2=0),0,IF(W$3&lt;0,0,N(INDEX('CURVA PREVISION'!$A$1:$KZ$3000,$C33,10+3*MIN(W$3,$D$2-1)))))</f>
        <v>0.01</v>
      </c>
      <c r="X33" s="131" t="n">
        <f aca="false">IF(OR($C33="",$B$2="",$D$2=0),0,IF(X$3&lt;0,0,N(INDEX('CURVA PREVISION'!$A$1:$KZ$3000,$C33,10+3*MIN(X$3,$D$2-1)))))</f>
        <v>2.64</v>
      </c>
      <c r="Y33" s="131" t="n">
        <f aca="false">IF(OR($C33="",$B$2="",$D$2=0),0,IF(Y$3&lt;0,0,N(INDEX('CURVA PREVISION'!$A$1:$KZ$3000,$C33,10+3*MIN(Y$3,$D$2-1)))))</f>
        <v>14.03</v>
      </c>
      <c r="Z33" s="131" t="n">
        <f aca="false">IF(OR($C33="",$B$2="",$D$2=0),0,IF(Z$3&lt;0,0,N(INDEX('CURVA PREVISION'!$A$1:$KZ$3000,$C33,10+3*MIN(Z$3,$D$2-1)))))</f>
        <v>17.45</v>
      </c>
      <c r="AA33" s="131" t="n">
        <f aca="false">IF(OR($C33="",$B$2="",$D$2=0),0,IF(AA$3&lt;0,0,N(INDEX('CURVA PREVISION'!$A$1:$KZ$3000,$C33,10+3*MIN(AA$3,$D$2-1)))))</f>
        <v>19.47</v>
      </c>
      <c r="AB33" s="131" t="n">
        <f aca="false">IF(OR($C33="",$B$2="",$D$2=0),0,IF(AB$3&lt;0,0,N(INDEX('CURVA PREVISION'!$A$1:$KZ$3000,$C33,10+3*MIN(AB$3,$D$2-1)))))</f>
        <v>21.5</v>
      </c>
      <c r="AC33" s="131" t="n">
        <f aca="false">IF(OR($C33="",$B$2="",$D$2=0),0,IF(AC$3&lt;0,0,N(INDEX('CURVA PREVISION'!$A$1:$KZ$3000,$C33,10+3*MIN(AC$3,$D$2-1)))))</f>
        <v>25.88</v>
      </c>
      <c r="AD33" s="131" t="n">
        <f aca="false">IF(OR($C33="",$B$2="",$D$2=0),0,IF(AD$3&lt;0,0,N(INDEX('CURVA PREVISION'!$A$1:$KZ$3000,$C33,10+3*MIN(AD$3,$D$2-1)))))</f>
        <v>32.1</v>
      </c>
      <c r="AE33" s="131" t="n">
        <f aca="false">IF(OR($C33="",$B$2="",$D$2=0),0,IF(AE$3&lt;0,0,N(INDEX('CURVA PREVISION'!$A$1:$KZ$3000,$C33,10+3*MIN(AE$3,$D$2-1)))))</f>
        <v>40.07</v>
      </c>
      <c r="AF33" s="131" t="n">
        <f aca="false">IF(OR($C33="",$B$2="",$D$2=0),0,IF(AF$3&lt;0,0,N(INDEX('CURVA PREVISION'!$A$1:$KZ$3000,$C33,10+3*MIN(AF$3,$D$2-1)))))</f>
        <v>48.02</v>
      </c>
      <c r="AG33" s="131" t="n">
        <f aca="false">IF(OR($C33="",$B$2="",$D$2=0),0,IF(AG$3&lt;0,0,N(INDEX('CURVA PREVISION'!$A$1:$KZ$3000,$C33,10+3*MIN(AG$3,$D$2-1)))))</f>
        <v>57.5</v>
      </c>
      <c r="AH33" s="131" t="n">
        <f aca="false">IF(OR($C33="",$B$2="",$D$2=0),0,IF(AH$3&lt;0,0,N(INDEX('CURVA PREVISION'!$A$1:$KZ$3000,$C33,10+3*MIN(AH$3,$D$2-1)))))</f>
        <v>64.24</v>
      </c>
      <c r="AI33" s="131" t="n">
        <f aca="false">IF(OR($C33="",$B$2="",$D$2=0),0,IF(AI$3&lt;0,0,N(INDEX('CURVA PREVISION'!$A$1:$KZ$3000,$C33,10+3*MIN(AI$3,$D$2-1)))))</f>
        <v>72.58</v>
      </c>
      <c r="AJ33" s="131" t="n">
        <f aca="false">IF(OR($C33="",$B$2="",$D$2=0),0,IF(AJ$3&lt;0,0,N(INDEX('CURVA PREVISION'!$A$1:$KZ$3000,$C33,10+3*MIN(AJ$3,$D$2-1)))))</f>
        <v>82.33</v>
      </c>
      <c r="AK33" s="131" t="n">
        <f aca="false">IF(OR($C33="",$B$2="",$D$2=0),0,IF(AK$3&lt;0,0,N(INDEX('CURVA PREVISION'!$A$1:$KZ$3000,$C33,10+3*MIN(AK$3,$D$2-1)))))</f>
        <v>91.1</v>
      </c>
      <c r="AL33" s="131" t="n">
        <f aca="false">IF(OR($C33="",$B$2="",$D$2=0),0,IF(AL$3&lt;0,0,N(INDEX('CURVA PREVISION'!$A$1:$KZ$3000,$C33,10+3*MIN(AL$3,$D$2-1)))))</f>
        <v>93.33</v>
      </c>
      <c r="AM33" s="131" t="n">
        <f aca="false">IF(OR($C33="",$B$2="",$D$2=0),0,IF(AM$3&lt;0,0,N(INDEX('CURVA PREVISION'!$A$1:$KZ$3000,$C33,10+3*MIN(AM$3,$D$2-1)))))</f>
        <v>96.68</v>
      </c>
      <c r="AN33" s="131" t="n">
        <f aca="false">IF(OR($C33="",$B$2="",$D$2=0),0,IF(AN$3&lt;0,0,N(INDEX('CURVA PREVISION'!$A$1:$KZ$3000,$C33,10+3*MIN(AN$3,$D$2-1)))))</f>
        <v>99.33</v>
      </c>
      <c r="AO33" s="131" t="n">
        <f aca="false">IF(OR($C33="",$B$2="",$D$2=0),0,IF(AO$3&lt;0,0,N(INDEX('CURVA PREVISION'!$A$1:$KZ$3000,$C33,10+3*MIN(AO$3,$D$2-1)))))</f>
        <v>99.61</v>
      </c>
      <c r="AP33" s="131" t="n">
        <f aca="false">IF(OR($C33="",$B$2="",$D$2=0),0,IF(AP$3&lt;0,0,N(INDEX('CURVA PREVISION'!$A$1:$KZ$3000,$C33,10+3*MIN(AP$3,$D$2-1)))))</f>
        <v>99.85</v>
      </c>
      <c r="AQ33" s="131" t="n">
        <f aca="false">IF(OR($C33="",$B$2="",$D$2=0),0,IF(AQ$3&lt;0,0,N(INDEX('CURVA PREVISION'!$A$1:$KZ$3000,$C33,10+3*MIN(AQ$3,$D$2-1)))))</f>
        <v>100</v>
      </c>
      <c r="AR33" s="131" t="n">
        <f aca="false">IF(OR($C33="",$B$2="",$D$2=0),0,IF(AR$3&lt;0,0,N(INDEX('CURVA PREVISION'!$A$1:$KZ$3000,$C33,10+3*MIN(AR$3,$D$2-1)))))</f>
        <v>100</v>
      </c>
      <c r="AS33" s="131" t="n">
        <f aca="false">IF(OR($C33="",$B$2="",$D$2=0),0,IF(AS$3&lt;0,0,N(INDEX('CURVA PREVISION'!$A$1:$KZ$3000,$C33,10+3*MIN(AS$3,$D$2-1)))))</f>
        <v>100</v>
      </c>
      <c r="AT33" s="131" t="n">
        <f aca="false">IF(OR($C33="",$B$2="",$D$2=0),0,IF(AT$3&lt;0,0,N(INDEX('CURVA PREVISION'!$A$1:$KZ$3000,$C33,10+3*MIN(AT$3,$D$2-1)))))</f>
        <v>100</v>
      </c>
      <c r="AU33" s="131" t="n">
        <f aca="false">IF(OR($C33="",$B$2="",$D$2=0),0,IF(AU$3&lt;0,0,N(INDEX('CURVA PREVISION'!$A$1:$KZ$3000,$C33,10+3*MIN(AU$3,$D$2-1)))))</f>
        <v>100</v>
      </c>
      <c r="AV33" s="131" t="n">
        <f aca="false">IF(OR($C33="",$B$2="",$D$2=0),0,IF(AV$3&lt;0,0,N(INDEX('CURVA PREVISION'!$A$1:$KZ$3000,$C33,10+3*MIN(AV$3,$D$2-1)))))</f>
        <v>100</v>
      </c>
      <c r="AW33" s="131" t="n">
        <f aca="false">IF(OR($C33="",$B$2="",$D$2=0),0,IF(AW$3&lt;0,0,N(INDEX('CURVA PREVISION'!$A$1:$KZ$3000,$C33,10+3*MIN(AW$3,$D$2-1)))))</f>
        <v>100</v>
      </c>
      <c r="AX33" s="131" t="n">
        <f aca="false">IF(OR($C33="",$B$2="",$D$2=0),0,IF(AX$3&lt;0,0,N(INDEX('CURVA PREVISION'!$A$1:$KZ$3000,$C33,10+3*MIN(AX$3,$D$2-1)))))</f>
        <v>100</v>
      </c>
      <c r="AY33" s="131" t="n">
        <f aca="false">IF(OR($C33="",$B$2="",$D$2=0),0,IF(AY$3&lt;0,0,N(INDEX('CURVA PREVISION'!$A$1:$KZ$3000,$C33,10+3*MIN(AY$3,$D$2-1)))))</f>
        <v>100</v>
      </c>
      <c r="AZ33" s="131" t="n">
        <f aca="false">IF(OR($C33="",$B$2="",$D$2=0),0,IF(AZ$3&lt;0,0,N(INDEX('CURVA PREVISION'!$A$1:$KZ$3000,$C33,10+3*MIN(AZ$3,$D$2-1)))))</f>
        <v>100</v>
      </c>
      <c r="BA33" s="131" t="n">
        <f aca="false">IF(OR($C33="",$B$2="",$D$2=0),0,IF(BA$3&lt;0,0,N(INDEX('CURVA PREVISION'!$A$1:$KZ$3000,$C33,10+3*MIN(BA$3,$D$2-1)))))</f>
        <v>100</v>
      </c>
      <c r="BB33" s="131" t="n">
        <f aca="false">IF(OR($C33="",$B$2="",$D$2=0),0,IF(BB$3&lt;0,0,N(INDEX('CURVA PREVISION'!$A$1:$KZ$3000,$C33,10+3*MIN(BB$3,$D$2-1)))))</f>
        <v>100</v>
      </c>
      <c r="BC33" s="131" t="n">
        <f aca="false">IF(OR($C33="",$B$2="",$D$2=0),0,IF(BC$3&lt;0,0,N(INDEX('CURVA PREVISION'!$A$1:$KZ$3000,$C33,10+3*MIN(BC$3,$D$2-1)))))</f>
        <v>100</v>
      </c>
      <c r="BD33" s="131" t="n">
        <f aca="false">IF(OR($C33="",$B$2="",$D$2=0),0,IF(BD$3&lt;0,0,N(INDEX('CURVA PREVISION'!$A$1:$KZ$3000,$C33,10+3*MIN(BD$3,$D$2-1)))))</f>
        <v>100</v>
      </c>
      <c r="BE33" s="131" t="n">
        <f aca="false">IF(OR($C33="",$B$2="",$D$2=0),0,IF(BE$3&lt;0,0,N(INDEX('CURVA PREVISION'!$A$1:$KZ$3000,$C33,10+3*MIN(BE$3,$D$2-1)))))</f>
        <v>100</v>
      </c>
      <c r="BF33" s="131" t="n">
        <f aca="false">IF(OR($C33="",$B$2="",$D$2=0),0,IF(BF$3&lt;0,0,N(INDEX('CURVA PREVISION'!$A$1:$KZ$3000,$C33,10+3*MIN(BF$3,$D$2-1)))))</f>
        <v>100</v>
      </c>
      <c r="BG33" s="131" t="n">
        <f aca="false">IF(OR($C33="",$B$2="",$D$2=0),0,IF(BG$3&lt;0,0,N(INDEX('CURVA PREVISION'!$A$1:$KZ$3000,$C33,10+3*MIN(BG$3,$D$2-1)))))</f>
        <v>100</v>
      </c>
      <c r="BH33" s="131" t="n">
        <f aca="false">IF(OR($C33="",$B$2="",$D$2=0),0,IF(BH$3&lt;0,0,N(INDEX('CURVA PREVISION'!$A$1:$KZ$3000,$C33,10+3*MIN(BH$3,$D$2-1)))))</f>
        <v>100</v>
      </c>
      <c r="BI33" s="131" t="n">
        <f aca="false">IF(OR($C33="",$B$2="",$D$2=0),0,IF(BI$3&lt;0,0,N(INDEX('CURVA PREVISION'!$A$1:$KZ$3000,$C33,10+3*MIN(BI$3,$D$2-1)))))</f>
        <v>100</v>
      </c>
      <c r="BJ33" s="131" t="n">
        <f aca="false">IF(OR($C33="",$B$2="",$D$2=0),0,IF(BJ$3&lt;0,0,N(INDEX('CURVA PREVISION'!$A$1:$KZ$3000,$C33,10+3*MIN(BJ$3,$D$2-1)))))</f>
        <v>100</v>
      </c>
      <c r="BK33" s="131" t="n">
        <f aca="false">IF(OR($C33="",$B$2="",$D$2=0),0,IF(BK$3&lt;0,0,N(INDEX('CURVA PREVISION'!$A$1:$KZ$3000,$C33,10+3*MIN(BK$3,$D$2-1)))))</f>
        <v>100</v>
      </c>
      <c r="BL33" s="131" t="n">
        <f aca="false">IF(OR($C33="",$B$2="",$D$2=0),0,IF(BL$3&lt;0,0,N(INDEX('CURVA PREVISION'!$A$1:$KZ$3000,$C33,10+3*MIN(BL$3,$D$2-1)))))</f>
        <v>100</v>
      </c>
      <c r="BM33" s="131" t="n">
        <f aca="false">IF(OR($C33="",$B$2="",$D$2=0),0,IF(BM$3&lt;0,0,N(INDEX('CURVA PREVISION'!$A$1:$KZ$3000,$C33,10+3*MIN(BM$3,$D$2-1)))))</f>
        <v>100</v>
      </c>
      <c r="BN33" s="131" t="n">
        <f aca="false">IF(OR($C33="",$B$2="",$D$2=0),0,IF(BN$3&lt;0,0,N(INDEX('CURVA PREVISION'!$A$1:$KZ$3000,$C33,10+3*MIN(BN$3,$D$2-1)))))</f>
        <v>100</v>
      </c>
      <c r="BO33" s="131" t="n">
        <f aca="false">IF(OR($C33="",$B$2="",$D$2=0),0,IF(BO$3&lt;0,0,N(INDEX('CURVA PREVISION'!$A$1:$KZ$3000,$C33,10+3*MIN(BO$3,$D$2-1)))))</f>
        <v>100</v>
      </c>
      <c r="BP33" s="131" t="n">
        <f aca="false">IF(OR($C33="",$B$2="",$D$2=0),0,IF(BP$3&lt;0,0,N(INDEX('CURVA PREVISION'!$A$1:$KZ$3000,$C33,10+3*MIN(BP$3,$D$2-1)))))</f>
        <v>100</v>
      </c>
      <c r="BQ33" s="131" t="n">
        <f aca="false">IF(OR($C33="",$B$2="",$D$2=0),0,IF(BQ$3&lt;0,0,N(INDEX('CURVA PREVISION'!$A$1:$KZ$3000,$C33,10+3*MIN(BQ$3,$D$2-1)))))</f>
        <v>100</v>
      </c>
      <c r="BR33" s="131" t="n">
        <f aca="false">IF(OR($C33="",$B$2="",$D$2=0),0,IF(BR$3&lt;0,0,N(INDEX('CURVA PREVISION'!$A$1:$KZ$3000,$C33,10+3*MIN(BR$3,$D$2-1)))))</f>
        <v>100</v>
      </c>
      <c r="BS33" s="131" t="n">
        <f aca="false">IF(OR($C33="",$B$2="",$D$2=0),0,IF(BS$3&lt;0,0,N(INDEX('CURVA PREVISION'!$A$1:$KZ$3000,$C33,10+3*MIN(BS$3,$D$2-1)))))</f>
        <v>100</v>
      </c>
      <c r="BT33" s="131" t="n">
        <f aca="false">IF(OR($C33="",$B$2="",$D$2=0),0,IF(BT$3&lt;0,0,N(INDEX('CURVA PREVISION'!$A$1:$KZ$3000,$C33,10+3*MIN(BT$3,$D$2-1)))))</f>
        <v>100</v>
      </c>
      <c r="BU33" s="131" t="n">
        <f aca="false">IF(OR($C33="",$B$2="",$D$2=0),0,IF(BU$3&lt;0,0,N(INDEX('CURVA PREVISION'!$A$1:$KZ$3000,$C33,10+3*MIN(BU$3,$D$2-1)))))</f>
        <v>100</v>
      </c>
      <c r="BV33" s="131" t="n">
        <f aca="false">IF(OR($C33="",$B$2="",$D$2=0),0,IF(BV$3&lt;0,0,N(INDEX('CURVA PREVISION'!$A$1:$KZ$3000,$C33,10+3*MIN(BV$3,$D$2-1)))))</f>
        <v>100</v>
      </c>
      <c r="BW33" s="131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30</v>
      </c>
      <c r="B34" s="57" t="str">
        <f aca="false">'VALOR POR PL'!D40</f>
        <v>REVESTIMENTOS DE ACABAMENTO</v>
      </c>
      <c r="C34" s="64" t="n">
        <f aca="false">IFERROR(MATCH(A34,'CURVA PREVISION'!$B$1:$B$3000,0),"")</f>
        <v>811</v>
      </c>
      <c r="D34" s="131" t="n">
        <f aca="false">IF(OR($C34="",$B$2="",$D$2=0),0,IF(D$3&lt;0,0,N(INDEX('CURVA PREVISION'!$A$1:$KZ$3000,$C34,10+3*MIN(D$3,$D$2-1)))))</f>
        <v>0</v>
      </c>
      <c r="E34" s="131" t="n">
        <f aca="false">IF(OR($C34="",$B$2="",$D$2=0),0,IF(E$3&lt;0,0,N(INDEX('CURVA PREVISION'!$A$1:$KZ$3000,$C34,10+3*MIN(E$3,$D$2-1)))))</f>
        <v>0</v>
      </c>
      <c r="F34" s="131" t="n">
        <f aca="false">IF(OR($C34="",$B$2="",$D$2=0),0,IF(F$3&lt;0,0,N(INDEX('CURVA PREVISION'!$A$1:$KZ$3000,$C34,10+3*MIN(F$3,$D$2-1)))))</f>
        <v>0</v>
      </c>
      <c r="G34" s="131" t="n">
        <f aca="false">IF(OR($C34="",$B$2="",$D$2=0),0,IF(G$3&lt;0,0,N(INDEX('CURVA PREVISION'!$A$1:$KZ$3000,$C34,10+3*MIN(G$3,$D$2-1)))))</f>
        <v>0</v>
      </c>
      <c r="H34" s="131" t="n">
        <f aca="false">IF(OR($C34="",$B$2="",$D$2=0),0,IF(H$3&lt;0,0,N(INDEX('CURVA PREVISION'!$A$1:$KZ$3000,$C34,10+3*MIN(H$3,$D$2-1)))))</f>
        <v>0</v>
      </c>
      <c r="I34" s="131" t="n">
        <f aca="false">IF(OR($C34="",$B$2="",$D$2=0),0,IF(I$3&lt;0,0,N(INDEX('CURVA PREVISION'!$A$1:$KZ$3000,$C34,10+3*MIN(I$3,$D$2-1)))))</f>
        <v>0</v>
      </c>
      <c r="J34" s="131" t="n">
        <f aca="false">IF(OR($C34="",$B$2="",$D$2=0),0,IF(J$3&lt;0,0,N(INDEX('CURVA PREVISION'!$A$1:$KZ$3000,$C34,10+3*MIN(J$3,$D$2-1)))))</f>
        <v>0</v>
      </c>
      <c r="K34" s="131" t="n">
        <f aca="false">IF(OR($C34="",$B$2="",$D$2=0),0,IF(K$3&lt;0,0,N(INDEX('CURVA PREVISION'!$A$1:$KZ$3000,$C34,10+3*MIN(K$3,$D$2-1)))))</f>
        <v>0</v>
      </c>
      <c r="L34" s="131" t="n">
        <f aca="false">IF(OR($C34="",$B$2="",$D$2=0),0,IF(L$3&lt;0,0,N(INDEX('CURVA PREVISION'!$A$1:$KZ$3000,$C34,10+3*MIN(L$3,$D$2-1)))))</f>
        <v>0</v>
      </c>
      <c r="M34" s="131" t="n">
        <f aca="false">IF(OR($C34="",$B$2="",$D$2=0),0,IF(M$3&lt;0,0,N(INDEX('CURVA PREVISION'!$A$1:$KZ$3000,$C34,10+3*MIN(M$3,$D$2-1)))))</f>
        <v>0</v>
      </c>
      <c r="N34" s="131" t="n">
        <f aca="false">IF(OR($C34="",$B$2="",$D$2=0),0,IF(N$3&lt;0,0,N(INDEX('CURVA PREVISION'!$A$1:$KZ$3000,$C34,10+3*MIN(N$3,$D$2-1)))))</f>
        <v>0</v>
      </c>
      <c r="O34" s="131" t="n">
        <f aca="false">IF(OR($C34="",$B$2="",$D$2=0),0,IF(O$3&lt;0,0,N(INDEX('CURVA PREVISION'!$A$1:$KZ$3000,$C34,10+3*MIN(O$3,$D$2-1)))))</f>
        <v>0</v>
      </c>
      <c r="P34" s="131" t="n">
        <f aca="false">IF(OR($C34="",$B$2="",$D$2=0),0,IF(P$3&lt;0,0,N(INDEX('CURVA PREVISION'!$A$1:$KZ$3000,$C34,10+3*MIN(P$3,$D$2-1)))))</f>
        <v>0</v>
      </c>
      <c r="Q34" s="131" t="n">
        <f aca="false">IF(OR($C34="",$B$2="",$D$2=0),0,IF(Q$3&lt;0,0,N(INDEX('CURVA PREVISION'!$A$1:$KZ$3000,$C34,10+3*MIN(Q$3,$D$2-1)))))</f>
        <v>0</v>
      </c>
      <c r="R34" s="131" t="n">
        <f aca="false">IF(OR($C34="",$B$2="",$D$2=0),0,IF(R$3&lt;0,0,N(INDEX('CURVA PREVISION'!$A$1:$KZ$3000,$C34,10+3*MIN(R$3,$D$2-1)))))</f>
        <v>0</v>
      </c>
      <c r="S34" s="131" t="n">
        <f aca="false">IF(OR($C34="",$B$2="",$D$2=0),0,IF(S$3&lt;0,0,N(INDEX('CURVA PREVISION'!$A$1:$KZ$3000,$C34,10+3*MIN(S$3,$D$2-1)))))</f>
        <v>0</v>
      </c>
      <c r="T34" s="131" t="n">
        <f aca="false">IF(OR($C34="",$B$2="",$D$2=0),0,IF(T$3&lt;0,0,N(INDEX('CURVA PREVISION'!$A$1:$KZ$3000,$C34,10+3*MIN(T$3,$D$2-1)))))</f>
        <v>0</v>
      </c>
      <c r="U34" s="131" t="n">
        <f aca="false">IF(OR($C34="",$B$2="",$D$2=0),0,IF(U$3&lt;0,0,N(INDEX('CURVA PREVISION'!$A$1:$KZ$3000,$C34,10+3*MIN(U$3,$D$2-1)))))</f>
        <v>0</v>
      </c>
      <c r="V34" s="131" t="n">
        <f aca="false">IF(OR($C34="",$B$2="",$D$2=0),0,IF(V$3&lt;0,0,N(INDEX('CURVA PREVISION'!$A$1:$KZ$3000,$C34,10+3*MIN(V$3,$D$2-1)))))</f>
        <v>0</v>
      </c>
      <c r="W34" s="131" t="n">
        <f aca="false">IF(OR($C34="",$B$2="",$D$2=0),0,IF(W$3&lt;0,0,N(INDEX('CURVA PREVISION'!$A$1:$KZ$3000,$C34,10+3*MIN(W$3,$D$2-1)))))</f>
        <v>0</v>
      </c>
      <c r="X34" s="131" t="n">
        <f aca="false">IF(OR($C34="",$B$2="",$D$2=0),0,IF(X$3&lt;0,0,N(INDEX('CURVA PREVISION'!$A$1:$KZ$3000,$C34,10+3*MIN(X$3,$D$2-1)))))</f>
        <v>0</v>
      </c>
      <c r="Y34" s="131" t="n">
        <f aca="false">IF(OR($C34="",$B$2="",$D$2=0),0,IF(Y$3&lt;0,0,N(INDEX('CURVA PREVISION'!$A$1:$KZ$3000,$C34,10+3*MIN(Y$3,$D$2-1)))))</f>
        <v>0</v>
      </c>
      <c r="Z34" s="131" t="n">
        <f aca="false">IF(OR($C34="",$B$2="",$D$2=0),0,IF(Z$3&lt;0,0,N(INDEX('CURVA PREVISION'!$A$1:$KZ$3000,$C34,10+3*MIN(Z$3,$D$2-1)))))</f>
        <v>0</v>
      </c>
      <c r="AA34" s="131" t="n">
        <f aca="false">IF(OR($C34="",$B$2="",$D$2=0),0,IF(AA$3&lt;0,0,N(INDEX('CURVA PREVISION'!$A$1:$KZ$3000,$C34,10+3*MIN(AA$3,$D$2-1)))))</f>
        <v>0</v>
      </c>
      <c r="AB34" s="131" t="n">
        <f aca="false">IF(OR($C34="",$B$2="",$D$2=0),0,IF(AB$3&lt;0,0,N(INDEX('CURVA PREVISION'!$A$1:$KZ$3000,$C34,10+3*MIN(AB$3,$D$2-1)))))</f>
        <v>0</v>
      </c>
      <c r="AC34" s="131" t="n">
        <f aca="false">IF(OR($C34="",$B$2="",$D$2=0),0,IF(AC$3&lt;0,0,N(INDEX('CURVA PREVISION'!$A$1:$KZ$3000,$C34,10+3*MIN(AC$3,$D$2-1)))))</f>
        <v>0.36</v>
      </c>
      <c r="AD34" s="131" t="n">
        <f aca="false">IF(OR($C34="",$B$2="",$D$2=0),0,IF(AD$3&lt;0,0,N(INDEX('CURVA PREVISION'!$A$1:$KZ$3000,$C34,10+3*MIN(AD$3,$D$2-1)))))</f>
        <v>1.59</v>
      </c>
      <c r="AE34" s="131" t="n">
        <f aca="false">IF(OR($C34="",$B$2="",$D$2=0),0,IF(AE$3&lt;0,0,N(INDEX('CURVA PREVISION'!$A$1:$KZ$3000,$C34,10+3*MIN(AE$3,$D$2-1)))))</f>
        <v>5.75</v>
      </c>
      <c r="AF34" s="131" t="n">
        <f aca="false">IF(OR($C34="",$B$2="",$D$2=0),0,IF(AF$3&lt;0,0,N(INDEX('CURVA PREVISION'!$A$1:$KZ$3000,$C34,10+3*MIN(AF$3,$D$2-1)))))</f>
        <v>11.46</v>
      </c>
      <c r="AG34" s="131" t="n">
        <f aca="false">IF(OR($C34="",$B$2="",$D$2=0),0,IF(AG$3&lt;0,0,N(INDEX('CURVA PREVISION'!$A$1:$KZ$3000,$C34,10+3*MIN(AG$3,$D$2-1)))))</f>
        <v>18.53</v>
      </c>
      <c r="AH34" s="131" t="n">
        <f aca="false">IF(OR($C34="",$B$2="",$D$2=0),0,IF(AH$3&lt;0,0,N(INDEX('CURVA PREVISION'!$A$1:$KZ$3000,$C34,10+3*MIN(AH$3,$D$2-1)))))</f>
        <v>27.61</v>
      </c>
      <c r="AI34" s="131" t="n">
        <f aca="false">IF(OR($C34="",$B$2="",$D$2=0),0,IF(AI$3&lt;0,0,N(INDEX('CURVA PREVISION'!$A$1:$KZ$3000,$C34,10+3*MIN(AI$3,$D$2-1)))))</f>
        <v>32.43</v>
      </c>
      <c r="AJ34" s="131" t="n">
        <f aca="false">IF(OR($C34="",$B$2="",$D$2=0),0,IF(AJ$3&lt;0,0,N(INDEX('CURVA PREVISION'!$A$1:$KZ$3000,$C34,10+3*MIN(AJ$3,$D$2-1)))))</f>
        <v>37.48</v>
      </c>
      <c r="AK34" s="131" t="n">
        <f aca="false">IF(OR($C34="",$B$2="",$D$2=0),0,IF(AK$3&lt;0,0,N(INDEX('CURVA PREVISION'!$A$1:$KZ$3000,$C34,10+3*MIN(AK$3,$D$2-1)))))</f>
        <v>43.44</v>
      </c>
      <c r="AL34" s="131" t="n">
        <f aca="false">IF(OR($C34="",$B$2="",$D$2=0),0,IF(AL$3&lt;0,0,N(INDEX('CURVA PREVISION'!$A$1:$KZ$3000,$C34,10+3*MIN(AL$3,$D$2-1)))))</f>
        <v>50.87</v>
      </c>
      <c r="AM34" s="131" t="n">
        <f aca="false">IF(OR($C34="",$B$2="",$D$2=0),0,IF(AM$3&lt;0,0,N(INDEX('CURVA PREVISION'!$A$1:$KZ$3000,$C34,10+3*MIN(AM$3,$D$2-1)))))</f>
        <v>58.67</v>
      </c>
      <c r="AN34" s="131" t="n">
        <f aca="false">IF(OR($C34="",$B$2="",$D$2=0),0,IF(AN$3&lt;0,0,N(INDEX('CURVA PREVISION'!$A$1:$KZ$3000,$C34,10+3*MIN(AN$3,$D$2-1)))))</f>
        <v>65.88</v>
      </c>
      <c r="AO34" s="131" t="n">
        <f aca="false">IF(OR($C34="",$B$2="",$D$2=0),0,IF(AO$3&lt;0,0,N(INDEX('CURVA PREVISION'!$A$1:$KZ$3000,$C34,10+3*MIN(AO$3,$D$2-1)))))</f>
        <v>72.64</v>
      </c>
      <c r="AP34" s="131" t="n">
        <f aca="false">IF(OR($C34="",$B$2="",$D$2=0),0,IF(AP$3&lt;0,0,N(INDEX('CURVA PREVISION'!$A$1:$KZ$3000,$C34,10+3*MIN(AP$3,$D$2-1)))))</f>
        <v>79.16</v>
      </c>
      <c r="AQ34" s="131" t="n">
        <f aca="false">IF(OR($C34="",$B$2="",$D$2=0),0,IF(AQ$3&lt;0,0,N(INDEX('CURVA PREVISION'!$A$1:$KZ$3000,$C34,10+3*MIN(AQ$3,$D$2-1)))))</f>
        <v>83.89</v>
      </c>
      <c r="AR34" s="131" t="n">
        <f aca="false">IF(OR($C34="",$B$2="",$D$2=0),0,IF(AR$3&lt;0,0,N(INDEX('CURVA PREVISION'!$A$1:$KZ$3000,$C34,10+3*MIN(AR$3,$D$2-1)))))</f>
        <v>85.41</v>
      </c>
      <c r="AS34" s="131" t="n">
        <f aca="false">IF(OR($C34="",$B$2="",$D$2=0),0,IF(AS$3&lt;0,0,N(INDEX('CURVA PREVISION'!$A$1:$KZ$3000,$C34,10+3*MIN(AS$3,$D$2-1)))))</f>
        <v>91.59</v>
      </c>
      <c r="AT34" s="131" t="n">
        <f aca="false">IF(OR($C34="",$B$2="",$D$2=0),0,IF(AT$3&lt;0,0,N(INDEX('CURVA PREVISION'!$A$1:$KZ$3000,$C34,10+3*MIN(AT$3,$D$2-1)))))</f>
        <v>93.71</v>
      </c>
      <c r="AU34" s="131" t="n">
        <f aca="false">IF(OR($C34="",$B$2="",$D$2=0),0,IF(AU$3&lt;0,0,N(INDEX('CURVA PREVISION'!$A$1:$KZ$3000,$C34,10+3*MIN(AU$3,$D$2-1)))))</f>
        <v>96.58</v>
      </c>
      <c r="AV34" s="131" t="n">
        <f aca="false">IF(OR($C34="",$B$2="",$D$2=0),0,IF(AV$3&lt;0,0,N(INDEX('CURVA PREVISION'!$A$1:$KZ$3000,$C34,10+3*MIN(AV$3,$D$2-1)))))</f>
        <v>98.03</v>
      </c>
      <c r="AW34" s="131" t="n">
        <f aca="false">IF(OR($C34="",$B$2="",$D$2=0),0,IF(AW$3&lt;0,0,N(INDEX('CURVA PREVISION'!$A$1:$KZ$3000,$C34,10+3*MIN(AW$3,$D$2-1)))))</f>
        <v>98.87</v>
      </c>
      <c r="AX34" s="131" t="n">
        <f aca="false">IF(OR($C34="",$B$2="",$D$2=0),0,IF(AX$3&lt;0,0,N(INDEX('CURVA PREVISION'!$A$1:$KZ$3000,$C34,10+3*MIN(AX$3,$D$2-1)))))</f>
        <v>99</v>
      </c>
      <c r="AY34" s="131" t="n">
        <f aca="false">IF(OR($C34="",$B$2="",$D$2=0),0,IF(AY$3&lt;0,0,N(INDEX('CURVA PREVISION'!$A$1:$KZ$3000,$C34,10+3*MIN(AY$3,$D$2-1)))))</f>
        <v>100</v>
      </c>
      <c r="AZ34" s="131" t="n">
        <f aca="false">IF(OR($C34="",$B$2="",$D$2=0),0,IF(AZ$3&lt;0,0,N(INDEX('CURVA PREVISION'!$A$1:$KZ$3000,$C34,10+3*MIN(AZ$3,$D$2-1)))))</f>
        <v>100</v>
      </c>
      <c r="BA34" s="131" t="n">
        <f aca="false">IF(OR($C34="",$B$2="",$D$2=0),0,IF(BA$3&lt;0,0,N(INDEX('CURVA PREVISION'!$A$1:$KZ$3000,$C34,10+3*MIN(BA$3,$D$2-1)))))</f>
        <v>100</v>
      </c>
      <c r="BB34" s="131" t="n">
        <f aca="false">IF(OR($C34="",$B$2="",$D$2=0),0,IF(BB$3&lt;0,0,N(INDEX('CURVA PREVISION'!$A$1:$KZ$3000,$C34,10+3*MIN(BB$3,$D$2-1)))))</f>
        <v>100</v>
      </c>
      <c r="BC34" s="131" t="n">
        <f aca="false">IF(OR($C34="",$B$2="",$D$2=0),0,IF(BC$3&lt;0,0,N(INDEX('CURVA PREVISION'!$A$1:$KZ$3000,$C34,10+3*MIN(BC$3,$D$2-1)))))</f>
        <v>100</v>
      </c>
      <c r="BD34" s="131" t="n">
        <f aca="false">IF(OR($C34="",$B$2="",$D$2=0),0,IF(BD$3&lt;0,0,N(INDEX('CURVA PREVISION'!$A$1:$KZ$3000,$C34,10+3*MIN(BD$3,$D$2-1)))))</f>
        <v>100</v>
      </c>
      <c r="BE34" s="131" t="n">
        <f aca="false">IF(OR($C34="",$B$2="",$D$2=0),0,IF(BE$3&lt;0,0,N(INDEX('CURVA PREVISION'!$A$1:$KZ$3000,$C34,10+3*MIN(BE$3,$D$2-1)))))</f>
        <v>100</v>
      </c>
      <c r="BF34" s="131" t="n">
        <f aca="false">IF(OR($C34="",$B$2="",$D$2=0),0,IF(BF$3&lt;0,0,N(INDEX('CURVA PREVISION'!$A$1:$KZ$3000,$C34,10+3*MIN(BF$3,$D$2-1)))))</f>
        <v>100</v>
      </c>
      <c r="BG34" s="131" t="n">
        <f aca="false">IF(OR($C34="",$B$2="",$D$2=0),0,IF(BG$3&lt;0,0,N(INDEX('CURVA PREVISION'!$A$1:$KZ$3000,$C34,10+3*MIN(BG$3,$D$2-1)))))</f>
        <v>100</v>
      </c>
      <c r="BH34" s="131" t="n">
        <f aca="false">IF(OR($C34="",$B$2="",$D$2=0),0,IF(BH$3&lt;0,0,N(INDEX('CURVA PREVISION'!$A$1:$KZ$3000,$C34,10+3*MIN(BH$3,$D$2-1)))))</f>
        <v>100</v>
      </c>
      <c r="BI34" s="131" t="n">
        <f aca="false">IF(OR($C34="",$B$2="",$D$2=0),0,IF(BI$3&lt;0,0,N(INDEX('CURVA PREVISION'!$A$1:$KZ$3000,$C34,10+3*MIN(BI$3,$D$2-1)))))</f>
        <v>100</v>
      </c>
      <c r="BJ34" s="131" t="n">
        <f aca="false">IF(OR($C34="",$B$2="",$D$2=0),0,IF(BJ$3&lt;0,0,N(INDEX('CURVA PREVISION'!$A$1:$KZ$3000,$C34,10+3*MIN(BJ$3,$D$2-1)))))</f>
        <v>100</v>
      </c>
      <c r="BK34" s="131" t="n">
        <f aca="false">IF(OR($C34="",$B$2="",$D$2=0),0,IF(BK$3&lt;0,0,N(INDEX('CURVA PREVISION'!$A$1:$KZ$3000,$C34,10+3*MIN(BK$3,$D$2-1)))))</f>
        <v>100</v>
      </c>
      <c r="BL34" s="131" t="n">
        <f aca="false">IF(OR($C34="",$B$2="",$D$2=0),0,IF(BL$3&lt;0,0,N(INDEX('CURVA PREVISION'!$A$1:$KZ$3000,$C34,10+3*MIN(BL$3,$D$2-1)))))</f>
        <v>100</v>
      </c>
      <c r="BM34" s="131" t="n">
        <f aca="false">IF(OR($C34="",$B$2="",$D$2=0),0,IF(BM$3&lt;0,0,N(INDEX('CURVA PREVISION'!$A$1:$KZ$3000,$C34,10+3*MIN(BM$3,$D$2-1)))))</f>
        <v>100</v>
      </c>
      <c r="BN34" s="131" t="n">
        <f aca="false">IF(OR($C34="",$B$2="",$D$2=0),0,IF(BN$3&lt;0,0,N(INDEX('CURVA PREVISION'!$A$1:$KZ$3000,$C34,10+3*MIN(BN$3,$D$2-1)))))</f>
        <v>100</v>
      </c>
      <c r="BO34" s="131" t="n">
        <f aca="false">IF(OR($C34="",$B$2="",$D$2=0),0,IF(BO$3&lt;0,0,N(INDEX('CURVA PREVISION'!$A$1:$KZ$3000,$C34,10+3*MIN(BO$3,$D$2-1)))))</f>
        <v>100</v>
      </c>
      <c r="BP34" s="131" t="n">
        <f aca="false">IF(OR($C34="",$B$2="",$D$2=0),0,IF(BP$3&lt;0,0,N(INDEX('CURVA PREVISION'!$A$1:$KZ$3000,$C34,10+3*MIN(BP$3,$D$2-1)))))</f>
        <v>100</v>
      </c>
      <c r="BQ34" s="131" t="n">
        <f aca="false">IF(OR($C34="",$B$2="",$D$2=0),0,IF(BQ$3&lt;0,0,N(INDEX('CURVA PREVISION'!$A$1:$KZ$3000,$C34,10+3*MIN(BQ$3,$D$2-1)))))</f>
        <v>100</v>
      </c>
      <c r="BR34" s="131" t="n">
        <f aca="false">IF(OR($C34="",$B$2="",$D$2=0),0,IF(BR$3&lt;0,0,N(INDEX('CURVA PREVISION'!$A$1:$KZ$3000,$C34,10+3*MIN(BR$3,$D$2-1)))))</f>
        <v>100</v>
      </c>
      <c r="BS34" s="131" t="n">
        <f aca="false">IF(OR($C34="",$B$2="",$D$2=0),0,IF(BS$3&lt;0,0,N(INDEX('CURVA PREVISION'!$A$1:$KZ$3000,$C34,10+3*MIN(BS$3,$D$2-1)))))</f>
        <v>100</v>
      </c>
      <c r="BT34" s="131" t="n">
        <f aca="false">IF(OR($C34="",$B$2="",$D$2=0),0,IF(BT$3&lt;0,0,N(INDEX('CURVA PREVISION'!$A$1:$KZ$3000,$C34,10+3*MIN(BT$3,$D$2-1)))))</f>
        <v>100</v>
      </c>
      <c r="BU34" s="131" t="n">
        <f aca="false">IF(OR($C34="",$B$2="",$D$2=0),0,IF(BU$3&lt;0,0,N(INDEX('CURVA PREVISION'!$A$1:$KZ$3000,$C34,10+3*MIN(BU$3,$D$2-1)))))</f>
        <v>100</v>
      </c>
      <c r="BV34" s="131" t="n">
        <f aca="false">IF(OR($C34="",$B$2="",$D$2=0),0,IF(BV$3&lt;0,0,N(INDEX('CURVA PREVISION'!$A$1:$KZ$3000,$C34,10+3*MIN(BV$3,$D$2-1)))))</f>
        <v>100</v>
      </c>
      <c r="BW34" s="131" t="n">
        <f aca="false">IF(OR($C34="",$B$2="",$D$2=0),0,IF(BW$3&lt;0,0,N(INDEX('CURVA PREVISION'!$A$1:$KZ$3000,$C34,10+3*MIN(BW$3,$D$2-1)))))</f>
        <v>100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31</v>
      </c>
      <c r="B35" s="57" t="str">
        <f aca="false">'VALOR POR PL'!D41</f>
        <v>PAVIMENTAÇÃO</v>
      </c>
      <c r="C35" s="64" t="n">
        <f aca="false">IFERROR(MATCH(A35,'CURVA PREVISION'!$B$1:$B$3000,0),"")</f>
        <v>934</v>
      </c>
      <c r="D35" s="131" t="n">
        <f aca="false">IF(OR($C35="",$B$2="",$D$2=0),0,IF(D$3&lt;0,0,N(INDEX('CURVA PREVISION'!$A$1:$KZ$3000,$C35,10+3*MIN(D$3,$D$2-1)))))</f>
        <v>0</v>
      </c>
      <c r="E35" s="131" t="n">
        <f aca="false">IF(OR($C35="",$B$2="",$D$2=0),0,IF(E$3&lt;0,0,N(INDEX('CURVA PREVISION'!$A$1:$KZ$3000,$C35,10+3*MIN(E$3,$D$2-1)))))</f>
        <v>0</v>
      </c>
      <c r="F35" s="131" t="n">
        <f aca="false">IF(OR($C35="",$B$2="",$D$2=0),0,IF(F$3&lt;0,0,N(INDEX('CURVA PREVISION'!$A$1:$KZ$3000,$C35,10+3*MIN(F$3,$D$2-1)))))</f>
        <v>0</v>
      </c>
      <c r="G35" s="131" t="n">
        <f aca="false">IF(OR($C35="",$B$2="",$D$2=0),0,IF(G$3&lt;0,0,N(INDEX('CURVA PREVISION'!$A$1:$KZ$3000,$C35,10+3*MIN(G$3,$D$2-1)))))</f>
        <v>0</v>
      </c>
      <c r="H35" s="131" t="n">
        <f aca="false">IF(OR($C35="",$B$2="",$D$2=0),0,IF(H$3&lt;0,0,N(INDEX('CURVA PREVISION'!$A$1:$KZ$3000,$C35,10+3*MIN(H$3,$D$2-1)))))</f>
        <v>0</v>
      </c>
      <c r="I35" s="131" t="n">
        <f aca="false">IF(OR($C35="",$B$2="",$D$2=0),0,IF(I$3&lt;0,0,N(INDEX('CURVA PREVISION'!$A$1:$KZ$3000,$C35,10+3*MIN(I$3,$D$2-1)))))</f>
        <v>0</v>
      </c>
      <c r="J35" s="131" t="n">
        <f aca="false">IF(OR($C35="",$B$2="",$D$2=0),0,IF(J$3&lt;0,0,N(INDEX('CURVA PREVISION'!$A$1:$KZ$3000,$C35,10+3*MIN(J$3,$D$2-1)))))</f>
        <v>0</v>
      </c>
      <c r="K35" s="131" t="n">
        <f aca="false">IF(OR($C35="",$B$2="",$D$2=0),0,IF(K$3&lt;0,0,N(INDEX('CURVA PREVISION'!$A$1:$KZ$3000,$C35,10+3*MIN(K$3,$D$2-1)))))</f>
        <v>0</v>
      </c>
      <c r="L35" s="131" t="n">
        <f aca="false">IF(OR($C35="",$B$2="",$D$2=0),0,IF(L$3&lt;0,0,N(INDEX('CURVA PREVISION'!$A$1:$KZ$3000,$C35,10+3*MIN(L$3,$D$2-1)))))</f>
        <v>0</v>
      </c>
      <c r="M35" s="131" t="n">
        <f aca="false">IF(OR($C35="",$B$2="",$D$2=0),0,IF(M$3&lt;0,0,N(INDEX('CURVA PREVISION'!$A$1:$KZ$3000,$C35,10+3*MIN(M$3,$D$2-1)))))</f>
        <v>0</v>
      </c>
      <c r="N35" s="131" t="n">
        <f aca="false">IF(OR($C35="",$B$2="",$D$2=0),0,IF(N$3&lt;0,0,N(INDEX('CURVA PREVISION'!$A$1:$KZ$3000,$C35,10+3*MIN(N$3,$D$2-1)))))</f>
        <v>0</v>
      </c>
      <c r="O35" s="131" t="n">
        <f aca="false">IF(OR($C35="",$B$2="",$D$2=0),0,IF(O$3&lt;0,0,N(INDEX('CURVA PREVISION'!$A$1:$KZ$3000,$C35,10+3*MIN(O$3,$D$2-1)))))</f>
        <v>0</v>
      </c>
      <c r="P35" s="131" t="n">
        <f aca="false">IF(OR($C35="",$B$2="",$D$2=0),0,IF(P$3&lt;0,0,N(INDEX('CURVA PREVISION'!$A$1:$KZ$3000,$C35,10+3*MIN(P$3,$D$2-1)))))</f>
        <v>0</v>
      </c>
      <c r="Q35" s="131" t="n">
        <f aca="false">IF(OR($C35="",$B$2="",$D$2=0),0,IF(Q$3&lt;0,0,N(INDEX('CURVA PREVISION'!$A$1:$KZ$3000,$C35,10+3*MIN(Q$3,$D$2-1)))))</f>
        <v>0</v>
      </c>
      <c r="R35" s="131" t="n">
        <f aca="false">IF(OR($C35="",$B$2="",$D$2=0),0,IF(R$3&lt;0,0,N(INDEX('CURVA PREVISION'!$A$1:$KZ$3000,$C35,10+3*MIN(R$3,$D$2-1)))))</f>
        <v>0</v>
      </c>
      <c r="S35" s="131" t="n">
        <f aca="false">IF(OR($C35="",$B$2="",$D$2=0),0,IF(S$3&lt;0,0,N(INDEX('CURVA PREVISION'!$A$1:$KZ$3000,$C35,10+3*MIN(S$3,$D$2-1)))))</f>
        <v>0</v>
      </c>
      <c r="T35" s="131" t="n">
        <f aca="false">IF(OR($C35="",$B$2="",$D$2=0),0,IF(T$3&lt;0,0,N(INDEX('CURVA PREVISION'!$A$1:$KZ$3000,$C35,10+3*MIN(T$3,$D$2-1)))))</f>
        <v>0</v>
      </c>
      <c r="U35" s="131" t="n">
        <f aca="false">IF(OR($C35="",$B$2="",$D$2=0),0,IF(U$3&lt;0,0,N(INDEX('CURVA PREVISION'!$A$1:$KZ$3000,$C35,10+3*MIN(U$3,$D$2-1)))))</f>
        <v>0</v>
      </c>
      <c r="V35" s="131" t="n">
        <f aca="false">IF(OR($C35="",$B$2="",$D$2=0),0,IF(V$3&lt;0,0,N(INDEX('CURVA PREVISION'!$A$1:$KZ$3000,$C35,10+3*MIN(V$3,$D$2-1)))))</f>
        <v>0</v>
      </c>
      <c r="W35" s="131" t="n">
        <f aca="false">IF(OR($C35="",$B$2="",$D$2=0),0,IF(W$3&lt;0,0,N(INDEX('CURVA PREVISION'!$A$1:$KZ$3000,$C35,10+3*MIN(W$3,$D$2-1)))))</f>
        <v>0</v>
      </c>
      <c r="X35" s="131" t="n">
        <f aca="false">IF(OR($C35="",$B$2="",$D$2=0),0,IF(X$3&lt;0,0,N(INDEX('CURVA PREVISION'!$A$1:$KZ$3000,$C35,10+3*MIN(X$3,$D$2-1)))))</f>
        <v>0</v>
      </c>
      <c r="Y35" s="131" t="n">
        <f aca="false">IF(OR($C35="",$B$2="",$D$2=0),0,IF(Y$3&lt;0,0,N(INDEX('CURVA PREVISION'!$A$1:$KZ$3000,$C35,10+3*MIN(Y$3,$D$2-1)))))</f>
        <v>0</v>
      </c>
      <c r="Z35" s="131" t="n">
        <f aca="false">IF(OR($C35="",$B$2="",$D$2=0),0,IF(Z$3&lt;0,0,N(INDEX('CURVA PREVISION'!$A$1:$KZ$3000,$C35,10+3*MIN(Z$3,$D$2-1)))))</f>
        <v>0</v>
      </c>
      <c r="AA35" s="131" t="n">
        <f aca="false">IF(OR($C35="",$B$2="",$D$2=0),0,IF(AA$3&lt;0,0,N(INDEX('CURVA PREVISION'!$A$1:$KZ$3000,$C35,10+3*MIN(AA$3,$D$2-1)))))</f>
        <v>0</v>
      </c>
      <c r="AB35" s="131" t="n">
        <f aca="false">IF(OR($C35="",$B$2="",$D$2=0),0,IF(AB$3&lt;0,0,N(INDEX('CURVA PREVISION'!$A$1:$KZ$3000,$C35,10+3*MIN(AB$3,$D$2-1)))))</f>
        <v>0</v>
      </c>
      <c r="AC35" s="131" t="n">
        <f aca="false">IF(OR($C35="",$B$2="",$D$2=0),0,IF(AC$3&lt;0,0,N(INDEX('CURVA PREVISION'!$A$1:$KZ$3000,$C35,10+3*MIN(AC$3,$D$2-1)))))</f>
        <v>0</v>
      </c>
      <c r="AD35" s="131" t="n">
        <f aca="false">IF(OR($C35="",$B$2="",$D$2=0),0,IF(AD$3&lt;0,0,N(INDEX('CURVA PREVISION'!$A$1:$KZ$3000,$C35,10+3*MIN(AD$3,$D$2-1)))))</f>
        <v>0</v>
      </c>
      <c r="AE35" s="131" t="n">
        <f aca="false">IF(OR($C35="",$B$2="",$D$2=0),0,IF(AE$3&lt;0,0,N(INDEX('CURVA PREVISION'!$A$1:$KZ$3000,$C35,10+3*MIN(AE$3,$D$2-1)))))</f>
        <v>0</v>
      </c>
      <c r="AF35" s="131" t="n">
        <f aca="false">IF(OR($C35="",$B$2="",$D$2=0),0,IF(AF$3&lt;0,0,N(INDEX('CURVA PREVISION'!$A$1:$KZ$3000,$C35,10+3*MIN(AF$3,$D$2-1)))))</f>
        <v>3.86</v>
      </c>
      <c r="AG35" s="131" t="n">
        <f aca="false">IF(OR($C35="",$B$2="",$D$2=0),0,IF(AG$3&lt;0,0,N(INDEX('CURVA PREVISION'!$A$1:$KZ$3000,$C35,10+3*MIN(AG$3,$D$2-1)))))</f>
        <v>42.48</v>
      </c>
      <c r="AH35" s="131" t="n">
        <f aca="false">IF(OR($C35="",$B$2="",$D$2=0),0,IF(AH$3&lt;0,0,N(INDEX('CURVA PREVISION'!$A$1:$KZ$3000,$C35,10+3*MIN(AH$3,$D$2-1)))))</f>
        <v>83.03</v>
      </c>
      <c r="AI35" s="131" t="n">
        <f aca="false">IF(OR($C35="",$B$2="",$D$2=0),0,IF(AI$3&lt;0,0,N(INDEX('CURVA PREVISION'!$A$1:$KZ$3000,$C35,10+3*MIN(AI$3,$D$2-1)))))</f>
        <v>83.03</v>
      </c>
      <c r="AJ35" s="131" t="n">
        <f aca="false">IF(OR($C35="",$B$2="",$D$2=0),0,IF(AJ$3&lt;0,0,N(INDEX('CURVA PREVISION'!$A$1:$KZ$3000,$C35,10+3*MIN(AJ$3,$D$2-1)))))</f>
        <v>83.03</v>
      </c>
      <c r="AK35" s="131" t="n">
        <f aca="false">IF(OR($C35="",$B$2="",$D$2=0),0,IF(AK$3&lt;0,0,N(INDEX('CURVA PREVISION'!$A$1:$KZ$3000,$C35,10+3*MIN(AK$3,$D$2-1)))))</f>
        <v>85.86</v>
      </c>
      <c r="AL35" s="131" t="n">
        <f aca="false">IF(OR($C35="",$B$2="",$D$2=0),0,IF(AL$3&lt;0,0,N(INDEX('CURVA PREVISION'!$A$1:$KZ$3000,$C35,10+3*MIN(AL$3,$D$2-1)))))</f>
        <v>91</v>
      </c>
      <c r="AM35" s="131" t="n">
        <f aca="false">IF(OR($C35="",$B$2="",$D$2=0),0,IF(AM$3&lt;0,0,N(INDEX('CURVA PREVISION'!$A$1:$KZ$3000,$C35,10+3*MIN(AM$3,$D$2-1)))))</f>
        <v>96.14</v>
      </c>
      <c r="AN35" s="131" t="n">
        <f aca="false">IF(OR($C35="",$B$2="",$D$2=0),0,IF(AN$3&lt;0,0,N(INDEX('CURVA PREVISION'!$A$1:$KZ$3000,$C35,10+3*MIN(AN$3,$D$2-1)))))</f>
        <v>100</v>
      </c>
      <c r="AO35" s="131" t="n">
        <f aca="false">IF(OR($C35="",$B$2="",$D$2=0),0,IF(AO$3&lt;0,0,N(INDEX('CURVA PREVISION'!$A$1:$KZ$3000,$C35,10+3*MIN(AO$3,$D$2-1)))))</f>
        <v>100</v>
      </c>
      <c r="AP35" s="131" t="n">
        <f aca="false">IF(OR($C35="",$B$2="",$D$2=0),0,IF(AP$3&lt;0,0,N(INDEX('CURVA PREVISION'!$A$1:$KZ$3000,$C35,10+3*MIN(AP$3,$D$2-1)))))</f>
        <v>100</v>
      </c>
      <c r="AQ35" s="131" t="n">
        <f aca="false">IF(OR($C35="",$B$2="",$D$2=0),0,IF(AQ$3&lt;0,0,N(INDEX('CURVA PREVISION'!$A$1:$KZ$3000,$C35,10+3*MIN(AQ$3,$D$2-1)))))</f>
        <v>100</v>
      </c>
      <c r="AR35" s="131" t="n">
        <f aca="false">IF(OR($C35="",$B$2="",$D$2=0),0,IF(AR$3&lt;0,0,N(INDEX('CURVA PREVISION'!$A$1:$KZ$3000,$C35,10+3*MIN(AR$3,$D$2-1)))))</f>
        <v>100</v>
      </c>
      <c r="AS35" s="131" t="n">
        <f aca="false">IF(OR($C35="",$B$2="",$D$2=0),0,IF(AS$3&lt;0,0,N(INDEX('CURVA PREVISION'!$A$1:$KZ$3000,$C35,10+3*MIN(AS$3,$D$2-1)))))</f>
        <v>100</v>
      </c>
      <c r="AT35" s="131" t="n">
        <f aca="false">IF(OR($C35="",$B$2="",$D$2=0),0,IF(AT$3&lt;0,0,N(INDEX('CURVA PREVISION'!$A$1:$KZ$3000,$C35,10+3*MIN(AT$3,$D$2-1)))))</f>
        <v>100</v>
      </c>
      <c r="AU35" s="131" t="n">
        <f aca="false">IF(OR($C35="",$B$2="",$D$2=0),0,IF(AU$3&lt;0,0,N(INDEX('CURVA PREVISION'!$A$1:$KZ$3000,$C35,10+3*MIN(AU$3,$D$2-1)))))</f>
        <v>100</v>
      </c>
      <c r="AV35" s="131" t="n">
        <f aca="false">IF(OR($C35="",$B$2="",$D$2=0),0,IF(AV$3&lt;0,0,N(INDEX('CURVA PREVISION'!$A$1:$KZ$3000,$C35,10+3*MIN(AV$3,$D$2-1)))))</f>
        <v>100</v>
      </c>
      <c r="AW35" s="131" t="n">
        <f aca="false">IF(OR($C35="",$B$2="",$D$2=0),0,IF(AW$3&lt;0,0,N(INDEX('CURVA PREVISION'!$A$1:$KZ$3000,$C35,10+3*MIN(AW$3,$D$2-1)))))</f>
        <v>100</v>
      </c>
      <c r="AX35" s="131" t="n">
        <f aca="false">IF(OR($C35="",$B$2="",$D$2=0),0,IF(AX$3&lt;0,0,N(INDEX('CURVA PREVISION'!$A$1:$KZ$3000,$C35,10+3*MIN(AX$3,$D$2-1)))))</f>
        <v>100</v>
      </c>
      <c r="AY35" s="131" t="n">
        <f aca="false">IF(OR($C35="",$B$2="",$D$2=0),0,IF(AY$3&lt;0,0,N(INDEX('CURVA PREVISION'!$A$1:$KZ$3000,$C35,10+3*MIN(AY$3,$D$2-1)))))</f>
        <v>100</v>
      </c>
      <c r="AZ35" s="131" t="n">
        <f aca="false">IF(OR($C35="",$B$2="",$D$2=0),0,IF(AZ$3&lt;0,0,N(INDEX('CURVA PREVISION'!$A$1:$KZ$3000,$C35,10+3*MIN(AZ$3,$D$2-1)))))</f>
        <v>100</v>
      </c>
      <c r="BA35" s="131" t="n">
        <f aca="false">IF(OR($C35="",$B$2="",$D$2=0),0,IF(BA$3&lt;0,0,N(INDEX('CURVA PREVISION'!$A$1:$KZ$3000,$C35,10+3*MIN(BA$3,$D$2-1)))))</f>
        <v>100</v>
      </c>
      <c r="BB35" s="131" t="n">
        <f aca="false">IF(OR($C35="",$B$2="",$D$2=0),0,IF(BB$3&lt;0,0,N(INDEX('CURVA PREVISION'!$A$1:$KZ$3000,$C35,10+3*MIN(BB$3,$D$2-1)))))</f>
        <v>100</v>
      </c>
      <c r="BC35" s="131" t="n">
        <f aca="false">IF(OR($C35="",$B$2="",$D$2=0),0,IF(BC$3&lt;0,0,N(INDEX('CURVA PREVISION'!$A$1:$KZ$3000,$C35,10+3*MIN(BC$3,$D$2-1)))))</f>
        <v>100</v>
      </c>
      <c r="BD35" s="131" t="n">
        <f aca="false">IF(OR($C35="",$B$2="",$D$2=0),0,IF(BD$3&lt;0,0,N(INDEX('CURVA PREVISION'!$A$1:$KZ$3000,$C35,10+3*MIN(BD$3,$D$2-1)))))</f>
        <v>100</v>
      </c>
      <c r="BE35" s="131" t="n">
        <f aca="false">IF(OR($C35="",$B$2="",$D$2=0),0,IF(BE$3&lt;0,0,N(INDEX('CURVA PREVISION'!$A$1:$KZ$3000,$C35,10+3*MIN(BE$3,$D$2-1)))))</f>
        <v>100</v>
      </c>
      <c r="BF35" s="131" t="n">
        <f aca="false">IF(OR($C35="",$B$2="",$D$2=0),0,IF(BF$3&lt;0,0,N(INDEX('CURVA PREVISION'!$A$1:$KZ$3000,$C35,10+3*MIN(BF$3,$D$2-1)))))</f>
        <v>100</v>
      </c>
      <c r="BG35" s="131" t="n">
        <f aca="false">IF(OR($C35="",$B$2="",$D$2=0),0,IF(BG$3&lt;0,0,N(INDEX('CURVA PREVISION'!$A$1:$KZ$3000,$C35,10+3*MIN(BG$3,$D$2-1)))))</f>
        <v>100</v>
      </c>
      <c r="BH35" s="131" t="n">
        <f aca="false">IF(OR($C35="",$B$2="",$D$2=0),0,IF(BH$3&lt;0,0,N(INDEX('CURVA PREVISION'!$A$1:$KZ$3000,$C35,10+3*MIN(BH$3,$D$2-1)))))</f>
        <v>100</v>
      </c>
      <c r="BI35" s="131" t="n">
        <f aca="false">IF(OR($C35="",$B$2="",$D$2=0),0,IF(BI$3&lt;0,0,N(INDEX('CURVA PREVISION'!$A$1:$KZ$3000,$C35,10+3*MIN(BI$3,$D$2-1)))))</f>
        <v>100</v>
      </c>
      <c r="BJ35" s="131" t="n">
        <f aca="false">IF(OR($C35="",$B$2="",$D$2=0),0,IF(BJ$3&lt;0,0,N(INDEX('CURVA PREVISION'!$A$1:$KZ$3000,$C35,10+3*MIN(BJ$3,$D$2-1)))))</f>
        <v>100</v>
      </c>
      <c r="BK35" s="131" t="n">
        <f aca="false">IF(OR($C35="",$B$2="",$D$2=0),0,IF(BK$3&lt;0,0,N(INDEX('CURVA PREVISION'!$A$1:$KZ$3000,$C35,10+3*MIN(BK$3,$D$2-1)))))</f>
        <v>100</v>
      </c>
      <c r="BL35" s="131" t="n">
        <f aca="false">IF(OR($C35="",$B$2="",$D$2=0),0,IF(BL$3&lt;0,0,N(INDEX('CURVA PREVISION'!$A$1:$KZ$3000,$C35,10+3*MIN(BL$3,$D$2-1)))))</f>
        <v>100</v>
      </c>
      <c r="BM35" s="131" t="n">
        <f aca="false">IF(OR($C35="",$B$2="",$D$2=0),0,IF(BM$3&lt;0,0,N(INDEX('CURVA PREVISION'!$A$1:$KZ$3000,$C35,10+3*MIN(BM$3,$D$2-1)))))</f>
        <v>100</v>
      </c>
      <c r="BN35" s="131" t="n">
        <f aca="false">IF(OR($C35="",$B$2="",$D$2=0),0,IF(BN$3&lt;0,0,N(INDEX('CURVA PREVISION'!$A$1:$KZ$3000,$C35,10+3*MIN(BN$3,$D$2-1)))))</f>
        <v>100</v>
      </c>
      <c r="BO35" s="131" t="n">
        <f aca="false">IF(OR($C35="",$B$2="",$D$2=0),0,IF(BO$3&lt;0,0,N(INDEX('CURVA PREVISION'!$A$1:$KZ$3000,$C35,10+3*MIN(BO$3,$D$2-1)))))</f>
        <v>100</v>
      </c>
      <c r="BP35" s="131" t="n">
        <f aca="false">IF(OR($C35="",$B$2="",$D$2=0),0,IF(BP$3&lt;0,0,N(INDEX('CURVA PREVISION'!$A$1:$KZ$3000,$C35,10+3*MIN(BP$3,$D$2-1)))))</f>
        <v>100</v>
      </c>
      <c r="BQ35" s="131" t="n">
        <f aca="false">IF(OR($C35="",$B$2="",$D$2=0),0,IF(BQ$3&lt;0,0,N(INDEX('CURVA PREVISION'!$A$1:$KZ$3000,$C35,10+3*MIN(BQ$3,$D$2-1)))))</f>
        <v>100</v>
      </c>
      <c r="BR35" s="131" t="n">
        <f aca="false">IF(OR($C35="",$B$2="",$D$2=0),0,IF(BR$3&lt;0,0,N(INDEX('CURVA PREVISION'!$A$1:$KZ$3000,$C35,10+3*MIN(BR$3,$D$2-1)))))</f>
        <v>100</v>
      </c>
      <c r="BS35" s="131" t="n">
        <f aca="false">IF(OR($C35="",$B$2="",$D$2=0),0,IF(BS$3&lt;0,0,N(INDEX('CURVA PREVISION'!$A$1:$KZ$3000,$C35,10+3*MIN(BS$3,$D$2-1)))))</f>
        <v>100</v>
      </c>
      <c r="BT35" s="131" t="n">
        <f aca="false">IF(OR($C35="",$B$2="",$D$2=0),0,IF(BT$3&lt;0,0,N(INDEX('CURVA PREVISION'!$A$1:$KZ$3000,$C35,10+3*MIN(BT$3,$D$2-1)))))</f>
        <v>100</v>
      </c>
      <c r="BU35" s="131" t="n">
        <f aca="false">IF(OR($C35="",$B$2="",$D$2=0),0,IF(BU$3&lt;0,0,N(INDEX('CURVA PREVISION'!$A$1:$KZ$3000,$C35,10+3*MIN(BU$3,$D$2-1)))))</f>
        <v>100</v>
      </c>
      <c r="BV35" s="131" t="n">
        <f aca="false">IF(OR($C35="",$B$2="",$D$2=0),0,IF(BV$3&lt;0,0,N(INDEX('CURVA PREVISION'!$A$1:$KZ$3000,$C35,10+3*MIN(BV$3,$D$2-1)))))</f>
        <v>100</v>
      </c>
      <c r="BW35" s="131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- FACHADA</v>
      </c>
      <c r="C36" s="64" t="n">
        <f aca="false">IFERROR(MATCH(A36,'CURVA PREVISION'!$B$1:$B$3000,0),"")</f>
        <v>945</v>
      </c>
      <c r="D36" s="131" t="n">
        <f aca="false">IF(OR($C36="",$B$2="",$D$2=0),0,IF(D$3&lt;0,0,N(INDEX('CURVA PREVISION'!$A$1:$KZ$3000,$C36,10+3*MIN(D$3,$D$2-1)))))</f>
        <v>0</v>
      </c>
      <c r="E36" s="131" t="n">
        <f aca="false">IF(OR($C36="",$B$2="",$D$2=0),0,IF(E$3&lt;0,0,N(INDEX('CURVA PREVISION'!$A$1:$KZ$3000,$C36,10+3*MIN(E$3,$D$2-1)))))</f>
        <v>0</v>
      </c>
      <c r="F36" s="131" t="n">
        <f aca="false">IF(OR($C36="",$B$2="",$D$2=0),0,IF(F$3&lt;0,0,N(INDEX('CURVA PREVISION'!$A$1:$KZ$3000,$C36,10+3*MIN(F$3,$D$2-1)))))</f>
        <v>0</v>
      </c>
      <c r="G36" s="131" t="n">
        <f aca="false">IF(OR($C36="",$B$2="",$D$2=0),0,IF(G$3&lt;0,0,N(INDEX('CURVA PREVISION'!$A$1:$KZ$3000,$C36,10+3*MIN(G$3,$D$2-1)))))</f>
        <v>0</v>
      </c>
      <c r="H36" s="131" t="n">
        <f aca="false">IF(OR($C36="",$B$2="",$D$2=0),0,IF(H$3&lt;0,0,N(INDEX('CURVA PREVISION'!$A$1:$KZ$3000,$C36,10+3*MIN(H$3,$D$2-1)))))</f>
        <v>0</v>
      </c>
      <c r="I36" s="131" t="n">
        <f aca="false">IF(OR($C36="",$B$2="",$D$2=0),0,IF(I$3&lt;0,0,N(INDEX('CURVA PREVISION'!$A$1:$KZ$3000,$C36,10+3*MIN(I$3,$D$2-1)))))</f>
        <v>0.22</v>
      </c>
      <c r="J36" s="131" t="n">
        <f aca="false">IF(OR($C36="",$B$2="",$D$2=0),0,IF(J$3&lt;0,0,N(INDEX('CURVA PREVISION'!$A$1:$KZ$3000,$C36,10+3*MIN(J$3,$D$2-1)))))</f>
        <v>0.26</v>
      </c>
      <c r="K36" s="131" t="n">
        <f aca="false">IF(OR($C36="",$B$2="",$D$2=0),0,IF(K$3&lt;0,0,N(INDEX('CURVA PREVISION'!$A$1:$KZ$3000,$C36,10+3*MIN(K$3,$D$2-1)))))</f>
        <v>0.35</v>
      </c>
      <c r="L36" s="131" t="n">
        <f aca="false">IF(OR($C36="",$B$2="",$D$2=0),0,IF(L$3&lt;0,0,N(INDEX('CURVA PREVISION'!$A$1:$KZ$3000,$C36,10+3*MIN(L$3,$D$2-1)))))</f>
        <v>0.45</v>
      </c>
      <c r="M36" s="131" t="n">
        <f aca="false">IF(OR($C36="",$B$2="",$D$2=0),0,IF(M$3&lt;0,0,N(INDEX('CURVA PREVISION'!$A$1:$KZ$3000,$C36,10+3*MIN(M$3,$D$2-1)))))</f>
        <v>0.5</v>
      </c>
      <c r="N36" s="131" t="n">
        <f aca="false">IF(OR($C36="",$B$2="",$D$2=0),0,IF(N$3&lt;0,0,N(INDEX('CURVA PREVISION'!$A$1:$KZ$3000,$C36,10+3*MIN(N$3,$D$2-1)))))</f>
        <v>0.5</v>
      </c>
      <c r="O36" s="131" t="n">
        <f aca="false">IF(OR($C36="",$B$2="",$D$2=0),0,IF(O$3&lt;0,0,N(INDEX('CURVA PREVISION'!$A$1:$KZ$3000,$C36,10+3*MIN(O$3,$D$2-1)))))</f>
        <v>0.5</v>
      </c>
      <c r="P36" s="131" t="n">
        <f aca="false">IF(OR($C36="",$B$2="",$D$2=0),0,IF(P$3&lt;0,0,N(INDEX('CURVA PREVISION'!$A$1:$KZ$3000,$C36,10+3*MIN(P$3,$D$2-1)))))</f>
        <v>0.5</v>
      </c>
      <c r="Q36" s="131" t="n">
        <f aca="false">IF(OR($C36="",$B$2="",$D$2=0),0,IF(Q$3&lt;0,0,N(INDEX('CURVA PREVISION'!$A$1:$KZ$3000,$C36,10+3*MIN(Q$3,$D$2-1)))))</f>
        <v>0.5</v>
      </c>
      <c r="R36" s="131" t="n">
        <f aca="false">IF(OR($C36="",$B$2="",$D$2=0),0,IF(R$3&lt;0,0,N(INDEX('CURVA PREVISION'!$A$1:$KZ$3000,$C36,10+3*MIN(R$3,$D$2-1)))))</f>
        <v>0.5</v>
      </c>
      <c r="S36" s="131" t="n">
        <f aca="false">IF(OR($C36="",$B$2="",$D$2=0),0,IF(S$3&lt;0,0,N(INDEX('CURVA PREVISION'!$A$1:$KZ$3000,$C36,10+3*MIN(S$3,$D$2-1)))))</f>
        <v>0.5</v>
      </c>
      <c r="T36" s="131" t="n">
        <f aca="false">IF(OR($C36="",$B$2="",$D$2=0),0,IF(T$3&lt;0,0,N(INDEX('CURVA PREVISION'!$A$1:$KZ$3000,$C36,10+3*MIN(T$3,$D$2-1)))))</f>
        <v>0.63</v>
      </c>
      <c r="U36" s="131" t="n">
        <f aca="false">IF(OR($C36="",$B$2="",$D$2=0),0,IF(U$3&lt;0,0,N(INDEX('CURVA PREVISION'!$A$1:$KZ$3000,$C36,10+3*MIN(U$3,$D$2-1)))))</f>
        <v>1.06</v>
      </c>
      <c r="V36" s="131" t="n">
        <f aca="false">IF(OR($C36="",$B$2="",$D$2=0),0,IF(V$3&lt;0,0,N(INDEX('CURVA PREVISION'!$A$1:$KZ$3000,$C36,10+3*MIN(V$3,$D$2-1)))))</f>
        <v>1.49</v>
      </c>
      <c r="W36" s="131" t="n">
        <f aca="false">IF(OR($C36="",$B$2="",$D$2=0),0,IF(W$3&lt;0,0,N(INDEX('CURVA PREVISION'!$A$1:$KZ$3000,$C36,10+3*MIN(W$3,$D$2-1)))))</f>
        <v>2.38</v>
      </c>
      <c r="X36" s="131" t="n">
        <f aca="false">IF(OR($C36="",$B$2="",$D$2=0),0,IF(X$3&lt;0,0,N(INDEX('CURVA PREVISION'!$A$1:$KZ$3000,$C36,10+3*MIN(X$3,$D$2-1)))))</f>
        <v>3.41</v>
      </c>
      <c r="Y36" s="131" t="n">
        <f aca="false">IF(OR($C36="",$B$2="",$D$2=0),0,IF(Y$3&lt;0,0,N(INDEX('CURVA PREVISION'!$A$1:$KZ$3000,$C36,10+3*MIN(Y$3,$D$2-1)))))</f>
        <v>4.73</v>
      </c>
      <c r="Z36" s="131" t="n">
        <f aca="false">IF(OR($C36="",$B$2="",$D$2=0),0,IF(Z$3&lt;0,0,N(INDEX('CURVA PREVISION'!$A$1:$KZ$3000,$C36,10+3*MIN(Z$3,$D$2-1)))))</f>
        <v>6.51</v>
      </c>
      <c r="AA36" s="131" t="n">
        <f aca="false">IF(OR($C36="",$B$2="",$D$2=0),0,IF(AA$3&lt;0,0,N(INDEX('CURVA PREVISION'!$A$1:$KZ$3000,$C36,10+3*MIN(AA$3,$D$2-1)))))</f>
        <v>7.7</v>
      </c>
      <c r="AB36" s="131" t="n">
        <f aca="false">IF(OR($C36="",$B$2="",$D$2=0),0,IF(AB$3&lt;0,0,N(INDEX('CURVA PREVISION'!$A$1:$KZ$3000,$C36,10+3*MIN(AB$3,$D$2-1)))))</f>
        <v>8.38</v>
      </c>
      <c r="AC36" s="131" t="n">
        <f aca="false">IF(OR($C36="",$B$2="",$D$2=0),0,IF(AC$3&lt;0,0,N(INDEX('CURVA PREVISION'!$A$1:$KZ$3000,$C36,10+3*MIN(AC$3,$D$2-1)))))</f>
        <v>9.19</v>
      </c>
      <c r="AD36" s="131" t="n">
        <f aca="false">IF(OR($C36="",$B$2="",$D$2=0),0,IF(AD$3&lt;0,0,N(INDEX('CURVA PREVISION'!$A$1:$KZ$3000,$C36,10+3*MIN(AD$3,$D$2-1)))))</f>
        <v>10</v>
      </c>
      <c r="AE36" s="131" t="n">
        <f aca="false">IF(OR($C36="",$B$2="",$D$2=0),0,IF(AE$3&lt;0,0,N(INDEX('CURVA PREVISION'!$A$1:$KZ$3000,$C36,10+3*MIN(AE$3,$D$2-1)))))</f>
        <v>11.78</v>
      </c>
      <c r="AF36" s="131" t="n">
        <f aca="false">IF(OR($C36="",$B$2="",$D$2=0),0,IF(AF$3&lt;0,0,N(INDEX('CURVA PREVISION'!$A$1:$KZ$3000,$C36,10+3*MIN(AF$3,$D$2-1)))))</f>
        <v>15.17</v>
      </c>
      <c r="AG36" s="131" t="n">
        <f aca="false">IF(OR($C36="",$B$2="",$D$2=0),0,IF(AG$3&lt;0,0,N(INDEX('CURVA PREVISION'!$A$1:$KZ$3000,$C36,10+3*MIN(AG$3,$D$2-1)))))</f>
        <v>18</v>
      </c>
      <c r="AH36" s="131" t="n">
        <f aca="false">IF(OR($C36="",$B$2="",$D$2=0),0,IF(AH$3&lt;0,0,N(INDEX('CURVA PREVISION'!$A$1:$KZ$3000,$C36,10+3*MIN(AH$3,$D$2-1)))))</f>
        <v>21.14</v>
      </c>
      <c r="AI36" s="131" t="n">
        <f aca="false">IF(OR($C36="",$B$2="",$D$2=0),0,IF(AI$3&lt;0,0,N(INDEX('CURVA PREVISION'!$A$1:$KZ$3000,$C36,10+3*MIN(AI$3,$D$2-1)))))</f>
        <v>24.44</v>
      </c>
      <c r="AJ36" s="131" t="n">
        <f aca="false">IF(OR($C36="",$B$2="",$D$2=0),0,IF(AJ$3&lt;0,0,N(INDEX('CURVA PREVISION'!$A$1:$KZ$3000,$C36,10+3*MIN(AJ$3,$D$2-1)))))</f>
        <v>28.4</v>
      </c>
      <c r="AK36" s="131" t="n">
        <f aca="false">IF(OR($C36="",$B$2="",$D$2=0),0,IF(AK$3&lt;0,0,N(INDEX('CURVA PREVISION'!$A$1:$KZ$3000,$C36,10+3*MIN(AK$3,$D$2-1)))))</f>
        <v>36.19</v>
      </c>
      <c r="AL36" s="131" t="n">
        <f aca="false">IF(OR($C36="",$B$2="",$D$2=0),0,IF(AL$3&lt;0,0,N(INDEX('CURVA PREVISION'!$A$1:$KZ$3000,$C36,10+3*MIN(AL$3,$D$2-1)))))</f>
        <v>43.17</v>
      </c>
      <c r="AM36" s="131" t="n">
        <f aca="false">IF(OR($C36="",$B$2="",$D$2=0),0,IF(AM$3&lt;0,0,N(INDEX('CURVA PREVISION'!$A$1:$KZ$3000,$C36,10+3*MIN(AM$3,$D$2-1)))))</f>
        <v>46.46</v>
      </c>
      <c r="AN36" s="131" t="n">
        <f aca="false">IF(OR($C36="",$B$2="",$D$2=0),0,IF(AN$3&lt;0,0,N(INDEX('CURVA PREVISION'!$A$1:$KZ$3000,$C36,10+3*MIN(AN$3,$D$2-1)))))</f>
        <v>49.44</v>
      </c>
      <c r="AO36" s="131" t="n">
        <f aca="false">IF(OR($C36="",$B$2="",$D$2=0),0,IF(AO$3&lt;0,0,N(INDEX('CURVA PREVISION'!$A$1:$KZ$3000,$C36,10+3*MIN(AO$3,$D$2-1)))))</f>
        <v>55.79</v>
      </c>
      <c r="AP36" s="131" t="n">
        <f aca="false">IF(OR($C36="",$B$2="",$D$2=0),0,IF(AP$3&lt;0,0,N(INDEX('CURVA PREVISION'!$A$1:$KZ$3000,$C36,10+3*MIN(AP$3,$D$2-1)))))</f>
        <v>57.93</v>
      </c>
      <c r="AQ36" s="131" t="n">
        <f aca="false">IF(OR($C36="",$B$2="",$D$2=0),0,IF(AQ$3&lt;0,0,N(INDEX('CURVA PREVISION'!$A$1:$KZ$3000,$C36,10+3*MIN(AQ$3,$D$2-1)))))</f>
        <v>64.73</v>
      </c>
      <c r="AR36" s="131" t="n">
        <f aca="false">IF(OR($C36="",$B$2="",$D$2=0),0,IF(AR$3&lt;0,0,N(INDEX('CURVA PREVISION'!$A$1:$KZ$3000,$C36,10+3*MIN(AR$3,$D$2-1)))))</f>
        <v>75.13</v>
      </c>
      <c r="AS36" s="131" t="n">
        <f aca="false">IF(OR($C36="",$B$2="",$D$2=0),0,IF(AS$3&lt;0,0,N(INDEX('CURVA PREVISION'!$A$1:$KZ$3000,$C36,10+3*MIN(AS$3,$D$2-1)))))</f>
        <v>81.39</v>
      </c>
      <c r="AT36" s="131" t="n">
        <f aca="false">IF(OR($C36="",$B$2="",$D$2=0),0,IF(AT$3&lt;0,0,N(INDEX('CURVA PREVISION'!$A$1:$KZ$3000,$C36,10+3*MIN(AT$3,$D$2-1)))))</f>
        <v>89.98</v>
      </c>
      <c r="AU36" s="131" t="n">
        <f aca="false">IF(OR($C36="",$B$2="",$D$2=0),0,IF(AU$3&lt;0,0,N(INDEX('CURVA PREVISION'!$A$1:$KZ$3000,$C36,10+3*MIN(AU$3,$D$2-1)))))</f>
        <v>93.78</v>
      </c>
      <c r="AV36" s="131" t="n">
        <f aca="false">IF(OR($C36="",$B$2="",$D$2=0),0,IF(AV$3&lt;0,0,N(INDEX('CURVA PREVISION'!$A$1:$KZ$3000,$C36,10+3*MIN(AV$3,$D$2-1)))))</f>
        <v>95.31</v>
      </c>
      <c r="AW36" s="131" t="n">
        <f aca="false">IF(OR($C36="",$B$2="",$D$2=0),0,IF(AW$3&lt;0,0,N(INDEX('CURVA PREVISION'!$A$1:$KZ$3000,$C36,10+3*MIN(AW$3,$D$2-1)))))</f>
        <v>98.2</v>
      </c>
      <c r="AX36" s="131" t="n">
        <f aca="false">IF(OR($C36="",$B$2="",$D$2=0),0,IF(AX$3&lt;0,0,N(INDEX('CURVA PREVISION'!$A$1:$KZ$3000,$C36,10+3*MIN(AX$3,$D$2-1)))))</f>
        <v>98.71</v>
      </c>
      <c r="AY36" s="131" t="n">
        <f aca="false">IF(OR($C36="",$B$2="",$D$2=0),0,IF(AY$3&lt;0,0,N(INDEX('CURVA PREVISION'!$A$1:$KZ$3000,$C36,10+3*MIN(AY$3,$D$2-1)))))</f>
        <v>99.97</v>
      </c>
      <c r="AZ36" s="131" t="n">
        <f aca="false">IF(OR($C36="",$B$2="",$D$2=0),0,IF(AZ$3&lt;0,0,N(INDEX('CURVA PREVISION'!$A$1:$KZ$3000,$C36,10+3*MIN(AZ$3,$D$2-1)))))</f>
        <v>100</v>
      </c>
      <c r="BA36" s="131" t="n">
        <f aca="false">IF(OR($C36="",$B$2="",$D$2=0),0,IF(BA$3&lt;0,0,N(INDEX('CURVA PREVISION'!$A$1:$KZ$3000,$C36,10+3*MIN(BA$3,$D$2-1)))))</f>
        <v>100</v>
      </c>
      <c r="BB36" s="131" t="n">
        <f aca="false">IF(OR($C36="",$B$2="",$D$2=0),0,IF(BB$3&lt;0,0,N(INDEX('CURVA PREVISION'!$A$1:$KZ$3000,$C36,10+3*MIN(BB$3,$D$2-1)))))</f>
        <v>100</v>
      </c>
      <c r="BC36" s="131" t="n">
        <f aca="false">IF(OR($C36="",$B$2="",$D$2=0),0,IF(BC$3&lt;0,0,N(INDEX('CURVA PREVISION'!$A$1:$KZ$3000,$C36,10+3*MIN(BC$3,$D$2-1)))))</f>
        <v>100</v>
      </c>
      <c r="BD36" s="131" t="n">
        <f aca="false">IF(OR($C36="",$B$2="",$D$2=0),0,IF(BD$3&lt;0,0,N(INDEX('CURVA PREVISION'!$A$1:$KZ$3000,$C36,10+3*MIN(BD$3,$D$2-1)))))</f>
        <v>100</v>
      </c>
      <c r="BE36" s="131" t="n">
        <f aca="false">IF(OR($C36="",$B$2="",$D$2=0),0,IF(BE$3&lt;0,0,N(INDEX('CURVA PREVISION'!$A$1:$KZ$3000,$C36,10+3*MIN(BE$3,$D$2-1)))))</f>
        <v>100</v>
      </c>
      <c r="BF36" s="131" t="n">
        <f aca="false">IF(OR($C36="",$B$2="",$D$2=0),0,IF(BF$3&lt;0,0,N(INDEX('CURVA PREVISION'!$A$1:$KZ$3000,$C36,10+3*MIN(BF$3,$D$2-1)))))</f>
        <v>100</v>
      </c>
      <c r="BG36" s="131" t="n">
        <f aca="false">IF(OR($C36="",$B$2="",$D$2=0),0,IF(BG$3&lt;0,0,N(INDEX('CURVA PREVISION'!$A$1:$KZ$3000,$C36,10+3*MIN(BG$3,$D$2-1)))))</f>
        <v>100</v>
      </c>
      <c r="BH36" s="131" t="n">
        <f aca="false">IF(OR($C36="",$B$2="",$D$2=0),0,IF(BH$3&lt;0,0,N(INDEX('CURVA PREVISION'!$A$1:$KZ$3000,$C36,10+3*MIN(BH$3,$D$2-1)))))</f>
        <v>100</v>
      </c>
      <c r="BI36" s="131" t="n">
        <f aca="false">IF(OR($C36="",$B$2="",$D$2=0),0,IF(BI$3&lt;0,0,N(INDEX('CURVA PREVISION'!$A$1:$KZ$3000,$C36,10+3*MIN(BI$3,$D$2-1)))))</f>
        <v>100</v>
      </c>
      <c r="BJ36" s="131" t="n">
        <f aca="false">IF(OR($C36="",$B$2="",$D$2=0),0,IF(BJ$3&lt;0,0,N(INDEX('CURVA PREVISION'!$A$1:$KZ$3000,$C36,10+3*MIN(BJ$3,$D$2-1)))))</f>
        <v>100</v>
      </c>
      <c r="BK36" s="131" t="n">
        <f aca="false">IF(OR($C36="",$B$2="",$D$2=0),0,IF(BK$3&lt;0,0,N(INDEX('CURVA PREVISION'!$A$1:$KZ$3000,$C36,10+3*MIN(BK$3,$D$2-1)))))</f>
        <v>100</v>
      </c>
      <c r="BL36" s="131" t="n">
        <f aca="false">IF(OR($C36="",$B$2="",$D$2=0),0,IF(BL$3&lt;0,0,N(INDEX('CURVA PREVISION'!$A$1:$KZ$3000,$C36,10+3*MIN(BL$3,$D$2-1)))))</f>
        <v>100</v>
      </c>
      <c r="BM36" s="131" t="n">
        <f aca="false">IF(OR($C36="",$B$2="",$D$2=0),0,IF(BM$3&lt;0,0,N(INDEX('CURVA PREVISION'!$A$1:$KZ$3000,$C36,10+3*MIN(BM$3,$D$2-1)))))</f>
        <v>100</v>
      </c>
      <c r="BN36" s="131" t="n">
        <f aca="false">IF(OR($C36="",$B$2="",$D$2=0),0,IF(BN$3&lt;0,0,N(INDEX('CURVA PREVISION'!$A$1:$KZ$3000,$C36,10+3*MIN(BN$3,$D$2-1)))))</f>
        <v>100</v>
      </c>
      <c r="BO36" s="131" t="n">
        <f aca="false">IF(OR($C36="",$B$2="",$D$2=0),0,IF(BO$3&lt;0,0,N(INDEX('CURVA PREVISION'!$A$1:$KZ$3000,$C36,10+3*MIN(BO$3,$D$2-1)))))</f>
        <v>100</v>
      </c>
      <c r="BP36" s="131" t="n">
        <f aca="false">IF(OR($C36="",$B$2="",$D$2=0),0,IF(BP$3&lt;0,0,N(INDEX('CURVA PREVISION'!$A$1:$KZ$3000,$C36,10+3*MIN(BP$3,$D$2-1)))))</f>
        <v>100</v>
      </c>
      <c r="BQ36" s="131" t="n">
        <f aca="false">IF(OR($C36="",$B$2="",$D$2=0),0,IF(BQ$3&lt;0,0,N(INDEX('CURVA PREVISION'!$A$1:$KZ$3000,$C36,10+3*MIN(BQ$3,$D$2-1)))))</f>
        <v>100</v>
      </c>
      <c r="BR36" s="131" t="n">
        <f aca="false">IF(OR($C36="",$B$2="",$D$2=0),0,IF(BR$3&lt;0,0,N(INDEX('CURVA PREVISION'!$A$1:$KZ$3000,$C36,10+3*MIN(BR$3,$D$2-1)))))</f>
        <v>100</v>
      </c>
      <c r="BS36" s="131" t="n">
        <f aca="false">IF(OR($C36="",$B$2="",$D$2=0),0,IF(BS$3&lt;0,0,N(INDEX('CURVA PREVISION'!$A$1:$KZ$3000,$C36,10+3*MIN(BS$3,$D$2-1)))))</f>
        <v>100</v>
      </c>
      <c r="BT36" s="131" t="n">
        <f aca="false">IF(OR($C36="",$B$2="",$D$2=0),0,IF(BT$3&lt;0,0,N(INDEX('CURVA PREVISION'!$A$1:$KZ$3000,$C36,10+3*MIN(BT$3,$D$2-1)))))</f>
        <v>100</v>
      </c>
      <c r="BU36" s="131" t="n">
        <f aca="false">IF(OR($C36="",$B$2="",$D$2=0),0,IF(BU$3&lt;0,0,N(INDEX('CURVA PREVISION'!$A$1:$KZ$3000,$C36,10+3*MIN(BU$3,$D$2-1)))))</f>
        <v>100</v>
      </c>
      <c r="BV36" s="131" t="n">
        <f aca="false">IF(OR($C36="",$B$2="",$D$2=0),0,IF(BV$3&lt;0,0,N(INDEX('CURVA PREVISION'!$A$1:$KZ$3000,$C36,10+3*MIN(BV$3,$D$2-1)))))</f>
        <v>100</v>
      </c>
      <c r="BW36" s="131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997</v>
      </c>
      <c r="D37" s="131" t="n">
        <f aca="false">IF(OR($C37="",$B$2="",$D$2=0),0,IF(D$3&lt;0,0,N(INDEX('CURVA PREVISION'!$A$1:$KZ$3000,$C37,10+3*MIN(D$3,$D$2-1)))))</f>
        <v>0</v>
      </c>
      <c r="E37" s="131" t="n">
        <f aca="false">IF(OR($C37="",$B$2="",$D$2=0),0,IF(E$3&lt;0,0,N(INDEX('CURVA PREVISION'!$A$1:$KZ$3000,$C37,10+3*MIN(E$3,$D$2-1)))))</f>
        <v>0</v>
      </c>
      <c r="F37" s="131" t="n">
        <f aca="false">IF(OR($C37="",$B$2="",$D$2=0),0,IF(F$3&lt;0,0,N(INDEX('CURVA PREVISION'!$A$1:$KZ$3000,$C37,10+3*MIN(F$3,$D$2-1)))))</f>
        <v>0</v>
      </c>
      <c r="G37" s="131" t="n">
        <f aca="false">IF(OR($C37="",$B$2="",$D$2=0),0,IF(G$3&lt;0,0,N(INDEX('CURVA PREVISION'!$A$1:$KZ$3000,$C37,10+3*MIN(G$3,$D$2-1)))))</f>
        <v>0</v>
      </c>
      <c r="H37" s="131" t="n">
        <f aca="false">IF(OR($C37="",$B$2="",$D$2=0),0,IF(H$3&lt;0,0,N(INDEX('CURVA PREVISION'!$A$1:$KZ$3000,$C37,10+3*MIN(H$3,$D$2-1)))))</f>
        <v>0</v>
      </c>
      <c r="I37" s="131" t="n">
        <f aca="false">IF(OR($C37="",$B$2="",$D$2=0),0,IF(I$3&lt;0,0,N(INDEX('CURVA PREVISION'!$A$1:$KZ$3000,$C37,10+3*MIN(I$3,$D$2-1)))))</f>
        <v>0</v>
      </c>
      <c r="J37" s="131" t="n">
        <f aca="false">IF(OR($C37="",$B$2="",$D$2=0),0,IF(J$3&lt;0,0,N(INDEX('CURVA PREVISION'!$A$1:$KZ$3000,$C37,10+3*MIN(J$3,$D$2-1)))))</f>
        <v>0</v>
      </c>
      <c r="K37" s="131" t="n">
        <f aca="false">IF(OR($C37="",$B$2="",$D$2=0),0,IF(K$3&lt;0,0,N(INDEX('CURVA PREVISION'!$A$1:$KZ$3000,$C37,10+3*MIN(K$3,$D$2-1)))))</f>
        <v>0</v>
      </c>
      <c r="L37" s="131" t="n">
        <f aca="false">IF(OR($C37="",$B$2="",$D$2=0),0,IF(L$3&lt;0,0,N(INDEX('CURVA PREVISION'!$A$1:$KZ$3000,$C37,10+3*MIN(L$3,$D$2-1)))))</f>
        <v>0</v>
      </c>
      <c r="M37" s="131" t="n">
        <f aca="false">IF(OR($C37="",$B$2="",$D$2=0),0,IF(M$3&lt;0,0,N(INDEX('CURVA PREVISION'!$A$1:$KZ$3000,$C37,10+3*MIN(M$3,$D$2-1)))))</f>
        <v>0</v>
      </c>
      <c r="N37" s="131" t="n">
        <f aca="false">IF(OR($C37="",$B$2="",$D$2=0),0,IF(N$3&lt;0,0,N(INDEX('CURVA PREVISION'!$A$1:$KZ$3000,$C37,10+3*MIN(N$3,$D$2-1)))))</f>
        <v>0</v>
      </c>
      <c r="O37" s="131" t="n">
        <f aca="false">IF(OR($C37="",$B$2="",$D$2=0),0,IF(O$3&lt;0,0,N(INDEX('CURVA PREVISION'!$A$1:$KZ$3000,$C37,10+3*MIN(O$3,$D$2-1)))))</f>
        <v>0</v>
      </c>
      <c r="P37" s="131" t="n">
        <f aca="false">IF(OR($C37="",$B$2="",$D$2=0),0,IF(P$3&lt;0,0,N(INDEX('CURVA PREVISION'!$A$1:$KZ$3000,$C37,10+3*MIN(P$3,$D$2-1)))))</f>
        <v>0</v>
      </c>
      <c r="Q37" s="131" t="n">
        <f aca="false">IF(OR($C37="",$B$2="",$D$2=0),0,IF(Q$3&lt;0,0,N(INDEX('CURVA PREVISION'!$A$1:$KZ$3000,$C37,10+3*MIN(Q$3,$D$2-1)))))</f>
        <v>0</v>
      </c>
      <c r="R37" s="131" t="n">
        <f aca="false">IF(OR($C37="",$B$2="",$D$2=0),0,IF(R$3&lt;0,0,N(INDEX('CURVA PREVISION'!$A$1:$KZ$3000,$C37,10+3*MIN(R$3,$D$2-1)))))</f>
        <v>0</v>
      </c>
      <c r="S37" s="131" t="n">
        <f aca="false">IF(OR($C37="",$B$2="",$D$2=0),0,IF(S$3&lt;0,0,N(INDEX('CURVA PREVISION'!$A$1:$KZ$3000,$C37,10+3*MIN(S$3,$D$2-1)))))</f>
        <v>0</v>
      </c>
      <c r="T37" s="131" t="n">
        <f aca="false">IF(OR($C37="",$B$2="",$D$2=0),0,IF(T$3&lt;0,0,N(INDEX('CURVA PREVISION'!$A$1:$KZ$3000,$C37,10+3*MIN(T$3,$D$2-1)))))</f>
        <v>0</v>
      </c>
      <c r="U37" s="131" t="n">
        <f aca="false">IF(OR($C37="",$B$2="",$D$2=0),0,IF(U$3&lt;0,0,N(INDEX('CURVA PREVISION'!$A$1:$KZ$3000,$C37,10+3*MIN(U$3,$D$2-1)))))</f>
        <v>0</v>
      </c>
      <c r="V37" s="131" t="n">
        <f aca="false">IF(OR($C37="",$B$2="",$D$2=0),0,IF(V$3&lt;0,0,N(INDEX('CURVA PREVISION'!$A$1:$KZ$3000,$C37,10+3*MIN(V$3,$D$2-1)))))</f>
        <v>0</v>
      </c>
      <c r="W37" s="131" t="n">
        <f aca="false">IF(OR($C37="",$B$2="",$D$2=0),0,IF(W$3&lt;0,0,N(INDEX('CURVA PREVISION'!$A$1:$KZ$3000,$C37,10+3*MIN(W$3,$D$2-1)))))</f>
        <v>0</v>
      </c>
      <c r="X37" s="131" t="n">
        <f aca="false">IF(OR($C37="",$B$2="",$D$2=0),0,IF(X$3&lt;0,0,N(INDEX('CURVA PREVISION'!$A$1:$KZ$3000,$C37,10+3*MIN(X$3,$D$2-1)))))</f>
        <v>0</v>
      </c>
      <c r="Y37" s="131" t="n">
        <f aca="false">IF(OR($C37="",$B$2="",$D$2=0),0,IF(Y$3&lt;0,0,N(INDEX('CURVA PREVISION'!$A$1:$KZ$3000,$C37,10+3*MIN(Y$3,$D$2-1)))))</f>
        <v>0</v>
      </c>
      <c r="Z37" s="131" t="n">
        <f aca="false">IF(OR($C37="",$B$2="",$D$2=0),0,IF(Z$3&lt;0,0,N(INDEX('CURVA PREVISION'!$A$1:$KZ$3000,$C37,10+3*MIN(Z$3,$D$2-1)))))</f>
        <v>0</v>
      </c>
      <c r="AA37" s="131" t="n">
        <f aca="false">IF(OR($C37="",$B$2="",$D$2=0),0,IF(AA$3&lt;0,0,N(INDEX('CURVA PREVISION'!$A$1:$KZ$3000,$C37,10+3*MIN(AA$3,$D$2-1)))))</f>
        <v>0</v>
      </c>
      <c r="AB37" s="131" t="n">
        <f aca="false">IF(OR($C37="",$B$2="",$D$2=0),0,IF(AB$3&lt;0,0,N(INDEX('CURVA PREVISION'!$A$1:$KZ$3000,$C37,10+3*MIN(AB$3,$D$2-1)))))</f>
        <v>0</v>
      </c>
      <c r="AC37" s="131" t="n">
        <f aca="false">IF(OR($C37="",$B$2="",$D$2=0),0,IF(AC$3&lt;0,0,N(INDEX('CURVA PREVISION'!$A$1:$KZ$3000,$C37,10+3*MIN(AC$3,$D$2-1)))))</f>
        <v>0</v>
      </c>
      <c r="AD37" s="131" t="n">
        <f aca="false">IF(OR($C37="",$B$2="",$D$2=0),0,IF(AD$3&lt;0,0,N(INDEX('CURVA PREVISION'!$A$1:$KZ$3000,$C37,10+3*MIN(AD$3,$D$2-1)))))</f>
        <v>1.82</v>
      </c>
      <c r="AE37" s="131" t="n">
        <f aca="false">IF(OR($C37="",$B$2="",$D$2=0),0,IF(AE$3&lt;0,0,N(INDEX('CURVA PREVISION'!$A$1:$KZ$3000,$C37,10+3*MIN(AE$3,$D$2-1)))))</f>
        <v>1.82</v>
      </c>
      <c r="AF37" s="131" t="n">
        <f aca="false">IF(OR($C37="",$B$2="",$D$2=0),0,IF(AF$3&lt;0,0,N(INDEX('CURVA PREVISION'!$A$1:$KZ$3000,$C37,10+3*MIN(AF$3,$D$2-1)))))</f>
        <v>6.74</v>
      </c>
      <c r="AG37" s="131" t="n">
        <f aca="false">IF(OR($C37="",$B$2="",$D$2=0),0,IF(AG$3&lt;0,0,N(INDEX('CURVA PREVISION'!$A$1:$KZ$3000,$C37,10+3*MIN(AG$3,$D$2-1)))))</f>
        <v>12.89</v>
      </c>
      <c r="AH37" s="131" t="n">
        <f aca="false">IF(OR($C37="",$B$2="",$D$2=0),0,IF(AH$3&lt;0,0,N(INDEX('CURVA PREVISION'!$A$1:$KZ$3000,$C37,10+3*MIN(AH$3,$D$2-1)))))</f>
        <v>24.79</v>
      </c>
      <c r="AI37" s="131" t="n">
        <f aca="false">IF(OR($C37="",$B$2="",$D$2=0),0,IF(AI$3&lt;0,0,N(INDEX('CURVA PREVISION'!$A$1:$KZ$3000,$C37,10+3*MIN(AI$3,$D$2-1)))))</f>
        <v>41.34</v>
      </c>
      <c r="AJ37" s="131" t="n">
        <f aca="false">IF(OR($C37="",$B$2="",$D$2=0),0,IF(AJ$3&lt;0,0,N(INDEX('CURVA PREVISION'!$A$1:$KZ$3000,$C37,10+3*MIN(AJ$3,$D$2-1)))))</f>
        <v>46.52</v>
      </c>
      <c r="AK37" s="131" t="n">
        <f aca="false">IF(OR($C37="",$B$2="",$D$2=0),0,IF(AK$3&lt;0,0,N(INDEX('CURVA PREVISION'!$A$1:$KZ$3000,$C37,10+3*MIN(AK$3,$D$2-1)))))</f>
        <v>52.36</v>
      </c>
      <c r="AL37" s="131" t="n">
        <f aca="false">IF(OR($C37="",$B$2="",$D$2=0),0,IF(AL$3&lt;0,0,N(INDEX('CURVA PREVISION'!$A$1:$KZ$3000,$C37,10+3*MIN(AL$3,$D$2-1)))))</f>
        <v>58.51</v>
      </c>
      <c r="AM37" s="131" t="n">
        <f aca="false">IF(OR($C37="",$B$2="",$D$2=0),0,IF(AM$3&lt;0,0,N(INDEX('CURVA PREVISION'!$A$1:$KZ$3000,$C37,10+3*MIN(AM$3,$D$2-1)))))</f>
        <v>64.67</v>
      </c>
      <c r="AN37" s="131" t="n">
        <f aca="false">IF(OR($C37="",$B$2="",$D$2=0),0,IF(AN$3&lt;0,0,N(INDEX('CURVA PREVISION'!$A$1:$KZ$3000,$C37,10+3*MIN(AN$3,$D$2-1)))))</f>
        <v>70.3</v>
      </c>
      <c r="AO37" s="131" t="n">
        <f aca="false">IF(OR($C37="",$B$2="",$D$2=0),0,IF(AO$3&lt;0,0,N(INDEX('CURVA PREVISION'!$A$1:$KZ$3000,$C37,10+3*MIN(AO$3,$D$2-1)))))</f>
        <v>80.33</v>
      </c>
      <c r="AP37" s="131" t="n">
        <f aca="false">IF(OR($C37="",$B$2="",$D$2=0),0,IF(AP$3&lt;0,0,N(INDEX('CURVA PREVISION'!$A$1:$KZ$3000,$C37,10+3*MIN(AP$3,$D$2-1)))))</f>
        <v>83.7</v>
      </c>
      <c r="AQ37" s="131" t="n">
        <f aca="false">IF(OR($C37="",$B$2="",$D$2=0),0,IF(AQ$3&lt;0,0,N(INDEX('CURVA PREVISION'!$A$1:$KZ$3000,$C37,10+3*MIN(AQ$3,$D$2-1)))))</f>
        <v>85.58</v>
      </c>
      <c r="AR37" s="131" t="n">
        <f aca="false">IF(OR($C37="",$B$2="",$D$2=0),0,IF(AR$3&lt;0,0,N(INDEX('CURVA PREVISION'!$A$1:$KZ$3000,$C37,10+3*MIN(AR$3,$D$2-1)))))</f>
        <v>85.92</v>
      </c>
      <c r="AS37" s="131" t="n">
        <f aca="false">IF(OR($C37="",$B$2="",$D$2=0),0,IF(AS$3&lt;0,0,N(INDEX('CURVA PREVISION'!$A$1:$KZ$3000,$C37,10+3*MIN(AS$3,$D$2-1)))))</f>
        <v>88.21</v>
      </c>
      <c r="AT37" s="131" t="n">
        <f aca="false">IF(OR($C37="",$B$2="",$D$2=0),0,IF(AT$3&lt;0,0,N(INDEX('CURVA PREVISION'!$A$1:$KZ$3000,$C37,10+3*MIN(AT$3,$D$2-1)))))</f>
        <v>94.3</v>
      </c>
      <c r="AU37" s="131" t="n">
        <f aca="false">IF(OR($C37="",$B$2="",$D$2=0),0,IF(AU$3&lt;0,0,N(INDEX('CURVA PREVISION'!$A$1:$KZ$3000,$C37,10+3*MIN(AU$3,$D$2-1)))))</f>
        <v>95.49</v>
      </c>
      <c r="AV37" s="131" t="n">
        <f aca="false">IF(OR($C37="",$B$2="",$D$2=0),0,IF(AV$3&lt;0,0,N(INDEX('CURVA PREVISION'!$A$1:$KZ$3000,$C37,10+3*MIN(AV$3,$D$2-1)))))</f>
        <v>98.03</v>
      </c>
      <c r="AW37" s="131" t="n">
        <f aca="false">IF(OR($C37="",$B$2="",$D$2=0),0,IF(AW$3&lt;0,0,N(INDEX('CURVA PREVISION'!$A$1:$KZ$3000,$C37,10+3*MIN(AW$3,$D$2-1)))))</f>
        <v>98.03</v>
      </c>
      <c r="AX37" s="131" t="n">
        <f aca="false">IF(OR($C37="",$B$2="",$D$2=0),0,IF(AX$3&lt;0,0,N(INDEX('CURVA PREVISION'!$A$1:$KZ$3000,$C37,10+3*MIN(AX$3,$D$2-1)))))</f>
        <v>100</v>
      </c>
      <c r="AY37" s="131" t="n">
        <f aca="false">IF(OR($C37="",$B$2="",$D$2=0),0,IF(AY$3&lt;0,0,N(INDEX('CURVA PREVISION'!$A$1:$KZ$3000,$C37,10+3*MIN(AY$3,$D$2-1)))))</f>
        <v>100</v>
      </c>
      <c r="AZ37" s="131" t="n">
        <f aca="false">IF(OR($C37="",$B$2="",$D$2=0),0,IF(AZ$3&lt;0,0,N(INDEX('CURVA PREVISION'!$A$1:$KZ$3000,$C37,10+3*MIN(AZ$3,$D$2-1)))))</f>
        <v>100</v>
      </c>
      <c r="BA37" s="131" t="n">
        <f aca="false">IF(OR($C37="",$B$2="",$D$2=0),0,IF(BA$3&lt;0,0,N(INDEX('CURVA PREVISION'!$A$1:$KZ$3000,$C37,10+3*MIN(BA$3,$D$2-1)))))</f>
        <v>100</v>
      </c>
      <c r="BB37" s="131" t="n">
        <f aca="false">IF(OR($C37="",$B$2="",$D$2=0),0,IF(BB$3&lt;0,0,N(INDEX('CURVA PREVISION'!$A$1:$KZ$3000,$C37,10+3*MIN(BB$3,$D$2-1)))))</f>
        <v>100</v>
      </c>
      <c r="BC37" s="131" t="n">
        <f aca="false">IF(OR($C37="",$B$2="",$D$2=0),0,IF(BC$3&lt;0,0,N(INDEX('CURVA PREVISION'!$A$1:$KZ$3000,$C37,10+3*MIN(BC$3,$D$2-1)))))</f>
        <v>100</v>
      </c>
      <c r="BD37" s="131" t="n">
        <f aca="false">IF(OR($C37="",$B$2="",$D$2=0),0,IF(BD$3&lt;0,0,N(INDEX('CURVA PREVISION'!$A$1:$KZ$3000,$C37,10+3*MIN(BD$3,$D$2-1)))))</f>
        <v>100</v>
      </c>
      <c r="BE37" s="131" t="n">
        <f aca="false">IF(OR($C37="",$B$2="",$D$2=0),0,IF(BE$3&lt;0,0,N(INDEX('CURVA PREVISION'!$A$1:$KZ$3000,$C37,10+3*MIN(BE$3,$D$2-1)))))</f>
        <v>100</v>
      </c>
      <c r="BF37" s="131" t="n">
        <f aca="false">IF(OR($C37="",$B$2="",$D$2=0),0,IF(BF$3&lt;0,0,N(INDEX('CURVA PREVISION'!$A$1:$KZ$3000,$C37,10+3*MIN(BF$3,$D$2-1)))))</f>
        <v>100</v>
      </c>
      <c r="BG37" s="131" t="n">
        <f aca="false">IF(OR($C37="",$B$2="",$D$2=0),0,IF(BG$3&lt;0,0,N(INDEX('CURVA PREVISION'!$A$1:$KZ$3000,$C37,10+3*MIN(BG$3,$D$2-1)))))</f>
        <v>100</v>
      </c>
      <c r="BH37" s="131" t="n">
        <f aca="false">IF(OR($C37="",$B$2="",$D$2=0),0,IF(BH$3&lt;0,0,N(INDEX('CURVA PREVISION'!$A$1:$KZ$3000,$C37,10+3*MIN(BH$3,$D$2-1)))))</f>
        <v>100</v>
      </c>
      <c r="BI37" s="131" t="n">
        <f aca="false">IF(OR($C37="",$B$2="",$D$2=0),0,IF(BI$3&lt;0,0,N(INDEX('CURVA PREVISION'!$A$1:$KZ$3000,$C37,10+3*MIN(BI$3,$D$2-1)))))</f>
        <v>100</v>
      </c>
      <c r="BJ37" s="131" t="n">
        <f aca="false">IF(OR($C37="",$B$2="",$D$2=0),0,IF(BJ$3&lt;0,0,N(INDEX('CURVA PREVISION'!$A$1:$KZ$3000,$C37,10+3*MIN(BJ$3,$D$2-1)))))</f>
        <v>100</v>
      </c>
      <c r="BK37" s="131" t="n">
        <f aca="false">IF(OR($C37="",$B$2="",$D$2=0),0,IF(BK$3&lt;0,0,N(INDEX('CURVA PREVISION'!$A$1:$KZ$3000,$C37,10+3*MIN(BK$3,$D$2-1)))))</f>
        <v>100</v>
      </c>
      <c r="BL37" s="131" t="n">
        <f aca="false">IF(OR($C37="",$B$2="",$D$2=0),0,IF(BL$3&lt;0,0,N(INDEX('CURVA PREVISION'!$A$1:$KZ$3000,$C37,10+3*MIN(BL$3,$D$2-1)))))</f>
        <v>100</v>
      </c>
      <c r="BM37" s="131" t="n">
        <f aca="false">IF(OR($C37="",$B$2="",$D$2=0),0,IF(BM$3&lt;0,0,N(INDEX('CURVA PREVISION'!$A$1:$KZ$3000,$C37,10+3*MIN(BM$3,$D$2-1)))))</f>
        <v>100</v>
      </c>
      <c r="BN37" s="131" t="n">
        <f aca="false">IF(OR($C37="",$B$2="",$D$2=0),0,IF(BN$3&lt;0,0,N(INDEX('CURVA PREVISION'!$A$1:$KZ$3000,$C37,10+3*MIN(BN$3,$D$2-1)))))</f>
        <v>100</v>
      </c>
      <c r="BO37" s="131" t="n">
        <f aca="false">IF(OR($C37="",$B$2="",$D$2=0),0,IF(BO$3&lt;0,0,N(INDEX('CURVA PREVISION'!$A$1:$KZ$3000,$C37,10+3*MIN(BO$3,$D$2-1)))))</f>
        <v>100</v>
      </c>
      <c r="BP37" s="131" t="n">
        <f aca="false">IF(OR($C37="",$B$2="",$D$2=0),0,IF(BP$3&lt;0,0,N(INDEX('CURVA PREVISION'!$A$1:$KZ$3000,$C37,10+3*MIN(BP$3,$D$2-1)))))</f>
        <v>100</v>
      </c>
      <c r="BQ37" s="131" t="n">
        <f aca="false">IF(OR($C37="",$B$2="",$D$2=0),0,IF(BQ$3&lt;0,0,N(INDEX('CURVA PREVISION'!$A$1:$KZ$3000,$C37,10+3*MIN(BQ$3,$D$2-1)))))</f>
        <v>100</v>
      </c>
      <c r="BR37" s="131" t="n">
        <f aca="false">IF(OR($C37="",$B$2="",$D$2=0),0,IF(BR$3&lt;0,0,N(INDEX('CURVA PREVISION'!$A$1:$KZ$3000,$C37,10+3*MIN(BR$3,$D$2-1)))))</f>
        <v>100</v>
      </c>
      <c r="BS37" s="131" t="n">
        <f aca="false">IF(OR($C37="",$B$2="",$D$2=0),0,IF(BS$3&lt;0,0,N(INDEX('CURVA PREVISION'!$A$1:$KZ$3000,$C37,10+3*MIN(BS$3,$D$2-1)))))</f>
        <v>100</v>
      </c>
      <c r="BT37" s="131" t="n">
        <f aca="false">IF(OR($C37="",$B$2="",$D$2=0),0,IF(BT$3&lt;0,0,N(INDEX('CURVA PREVISION'!$A$1:$KZ$3000,$C37,10+3*MIN(BT$3,$D$2-1)))))</f>
        <v>100</v>
      </c>
      <c r="BU37" s="131" t="n">
        <f aca="false">IF(OR($C37="",$B$2="",$D$2=0),0,IF(BU$3&lt;0,0,N(INDEX('CURVA PREVISION'!$A$1:$KZ$3000,$C37,10+3*MIN(BU$3,$D$2-1)))))</f>
        <v>100</v>
      </c>
      <c r="BV37" s="131" t="n">
        <f aca="false">IF(OR($C37="",$B$2="",$D$2=0),0,IF(BV$3&lt;0,0,N(INDEX('CURVA PREVISION'!$A$1:$KZ$3000,$C37,10+3*MIN(BV$3,$D$2-1)))))</f>
        <v>100</v>
      </c>
      <c r="BW37" s="131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1008</v>
      </c>
      <c r="D38" s="131" t="n">
        <f aca="false">IF(OR($C38="",$B$2="",$D$2=0),0,IF(D$3&lt;0,0,N(INDEX('CURVA PREVISION'!$A$1:$KZ$3000,$C38,10+3*MIN(D$3,$D$2-1)))))</f>
        <v>0</v>
      </c>
      <c r="E38" s="131" t="n">
        <f aca="false">IF(OR($C38="",$B$2="",$D$2=0),0,IF(E$3&lt;0,0,N(INDEX('CURVA PREVISION'!$A$1:$KZ$3000,$C38,10+3*MIN(E$3,$D$2-1)))))</f>
        <v>0</v>
      </c>
      <c r="F38" s="131" t="n">
        <f aca="false">IF(OR($C38="",$B$2="",$D$2=0),0,IF(F$3&lt;0,0,N(INDEX('CURVA PREVISION'!$A$1:$KZ$3000,$C38,10+3*MIN(F$3,$D$2-1)))))</f>
        <v>0</v>
      </c>
      <c r="G38" s="131" t="n">
        <f aca="false">IF(OR($C38="",$B$2="",$D$2=0),0,IF(G$3&lt;0,0,N(INDEX('CURVA PREVISION'!$A$1:$KZ$3000,$C38,10+3*MIN(G$3,$D$2-1)))))</f>
        <v>0</v>
      </c>
      <c r="H38" s="131" t="n">
        <f aca="false">IF(OR($C38="",$B$2="",$D$2=0),0,IF(H$3&lt;0,0,N(INDEX('CURVA PREVISION'!$A$1:$KZ$3000,$C38,10+3*MIN(H$3,$D$2-1)))))</f>
        <v>0</v>
      </c>
      <c r="I38" s="131" t="n">
        <f aca="false">IF(OR($C38="",$B$2="",$D$2=0),0,IF(I$3&lt;0,0,N(INDEX('CURVA PREVISION'!$A$1:$KZ$3000,$C38,10+3*MIN(I$3,$D$2-1)))))</f>
        <v>0</v>
      </c>
      <c r="J38" s="131" t="n">
        <f aca="false">IF(OR($C38="",$B$2="",$D$2=0),0,IF(J$3&lt;0,0,N(INDEX('CURVA PREVISION'!$A$1:$KZ$3000,$C38,10+3*MIN(J$3,$D$2-1)))))</f>
        <v>0</v>
      </c>
      <c r="K38" s="131" t="n">
        <f aca="false">IF(OR($C38="",$B$2="",$D$2=0),0,IF(K$3&lt;0,0,N(INDEX('CURVA PREVISION'!$A$1:$KZ$3000,$C38,10+3*MIN(K$3,$D$2-1)))))</f>
        <v>0</v>
      </c>
      <c r="L38" s="131" t="n">
        <f aca="false">IF(OR($C38="",$B$2="",$D$2=0),0,IF(L$3&lt;0,0,N(INDEX('CURVA PREVISION'!$A$1:$KZ$3000,$C38,10+3*MIN(L$3,$D$2-1)))))</f>
        <v>0</v>
      </c>
      <c r="M38" s="131" t="n">
        <f aca="false">IF(OR($C38="",$B$2="",$D$2=0),0,IF(M$3&lt;0,0,N(INDEX('CURVA PREVISION'!$A$1:$KZ$3000,$C38,10+3*MIN(M$3,$D$2-1)))))</f>
        <v>0</v>
      </c>
      <c r="N38" s="131" t="n">
        <f aca="false">IF(OR($C38="",$B$2="",$D$2=0),0,IF(N$3&lt;0,0,N(INDEX('CURVA PREVISION'!$A$1:$KZ$3000,$C38,10+3*MIN(N$3,$D$2-1)))))</f>
        <v>0</v>
      </c>
      <c r="O38" s="131" t="n">
        <f aca="false">IF(OR($C38="",$B$2="",$D$2=0),0,IF(O$3&lt;0,0,N(INDEX('CURVA PREVISION'!$A$1:$KZ$3000,$C38,10+3*MIN(O$3,$D$2-1)))))</f>
        <v>0</v>
      </c>
      <c r="P38" s="131" t="n">
        <f aca="false">IF(OR($C38="",$B$2="",$D$2=0),0,IF(P$3&lt;0,0,N(INDEX('CURVA PREVISION'!$A$1:$KZ$3000,$C38,10+3*MIN(P$3,$D$2-1)))))</f>
        <v>0</v>
      </c>
      <c r="Q38" s="131" t="n">
        <f aca="false">IF(OR($C38="",$B$2="",$D$2=0),0,IF(Q$3&lt;0,0,N(INDEX('CURVA PREVISION'!$A$1:$KZ$3000,$C38,10+3*MIN(Q$3,$D$2-1)))))</f>
        <v>0</v>
      </c>
      <c r="R38" s="131" t="n">
        <f aca="false">IF(OR($C38="",$B$2="",$D$2=0),0,IF(R$3&lt;0,0,N(INDEX('CURVA PREVISION'!$A$1:$KZ$3000,$C38,10+3*MIN(R$3,$D$2-1)))))</f>
        <v>0</v>
      </c>
      <c r="S38" s="131" t="n">
        <f aca="false">IF(OR($C38="",$B$2="",$D$2=0),0,IF(S$3&lt;0,0,N(INDEX('CURVA PREVISION'!$A$1:$KZ$3000,$C38,10+3*MIN(S$3,$D$2-1)))))</f>
        <v>0</v>
      </c>
      <c r="T38" s="131" t="n">
        <f aca="false">IF(OR($C38="",$B$2="",$D$2=0),0,IF(T$3&lt;0,0,N(INDEX('CURVA PREVISION'!$A$1:$KZ$3000,$C38,10+3*MIN(T$3,$D$2-1)))))</f>
        <v>0</v>
      </c>
      <c r="U38" s="131" t="n">
        <f aca="false">IF(OR($C38="",$B$2="",$D$2=0),0,IF(U$3&lt;0,0,N(INDEX('CURVA PREVISION'!$A$1:$KZ$3000,$C38,10+3*MIN(U$3,$D$2-1)))))</f>
        <v>0</v>
      </c>
      <c r="V38" s="131" t="n">
        <f aca="false">IF(OR($C38="",$B$2="",$D$2=0),0,IF(V$3&lt;0,0,N(INDEX('CURVA PREVISION'!$A$1:$KZ$3000,$C38,10+3*MIN(V$3,$D$2-1)))))</f>
        <v>0</v>
      </c>
      <c r="W38" s="131" t="n">
        <f aca="false">IF(OR($C38="",$B$2="",$D$2=0),0,IF(W$3&lt;0,0,N(INDEX('CURVA PREVISION'!$A$1:$KZ$3000,$C38,10+3*MIN(W$3,$D$2-1)))))</f>
        <v>0</v>
      </c>
      <c r="X38" s="131" t="n">
        <f aca="false">IF(OR($C38="",$B$2="",$D$2=0),0,IF(X$3&lt;0,0,N(INDEX('CURVA PREVISION'!$A$1:$KZ$3000,$C38,10+3*MIN(X$3,$D$2-1)))))</f>
        <v>0</v>
      </c>
      <c r="Y38" s="131" t="n">
        <f aca="false">IF(OR($C38="",$B$2="",$D$2=0),0,IF(Y$3&lt;0,0,N(INDEX('CURVA PREVISION'!$A$1:$KZ$3000,$C38,10+3*MIN(Y$3,$D$2-1)))))</f>
        <v>0</v>
      </c>
      <c r="Z38" s="131" t="n">
        <f aca="false">IF(OR($C38="",$B$2="",$D$2=0),0,IF(Z$3&lt;0,0,N(INDEX('CURVA PREVISION'!$A$1:$KZ$3000,$C38,10+3*MIN(Z$3,$D$2-1)))))</f>
        <v>0</v>
      </c>
      <c r="AA38" s="131" t="n">
        <f aca="false">IF(OR($C38="",$B$2="",$D$2=0),0,IF(AA$3&lt;0,0,N(INDEX('CURVA PREVISION'!$A$1:$KZ$3000,$C38,10+3*MIN(AA$3,$D$2-1)))))</f>
        <v>0</v>
      </c>
      <c r="AB38" s="131" t="n">
        <f aca="false">IF(OR($C38="",$B$2="",$D$2=0),0,IF(AB$3&lt;0,0,N(INDEX('CURVA PREVISION'!$A$1:$KZ$3000,$C38,10+3*MIN(AB$3,$D$2-1)))))</f>
        <v>0</v>
      </c>
      <c r="AC38" s="131" t="n">
        <f aca="false">IF(OR($C38="",$B$2="",$D$2=0),0,IF(AC$3&lt;0,0,N(INDEX('CURVA PREVISION'!$A$1:$KZ$3000,$C38,10+3*MIN(AC$3,$D$2-1)))))</f>
        <v>0</v>
      </c>
      <c r="AD38" s="131" t="n">
        <f aca="false">IF(OR($C38="",$B$2="",$D$2=0),0,IF(AD$3&lt;0,0,N(INDEX('CURVA PREVISION'!$A$1:$KZ$3000,$C38,10+3*MIN(AD$3,$D$2-1)))))</f>
        <v>0</v>
      </c>
      <c r="AE38" s="131" t="n">
        <f aca="false">IF(OR($C38="",$B$2="",$D$2=0),0,IF(AE$3&lt;0,0,N(INDEX('CURVA PREVISION'!$A$1:$KZ$3000,$C38,10+3*MIN(AE$3,$D$2-1)))))</f>
        <v>1.29</v>
      </c>
      <c r="AF38" s="131" t="n">
        <f aca="false">IF(OR($C38="",$B$2="",$D$2=0),0,IF(AF$3&lt;0,0,N(INDEX('CURVA PREVISION'!$A$1:$KZ$3000,$C38,10+3*MIN(AF$3,$D$2-1)))))</f>
        <v>1.29</v>
      </c>
      <c r="AG38" s="131" t="n">
        <f aca="false">IF(OR($C38="",$B$2="",$D$2=0),0,IF(AG$3&lt;0,0,N(INDEX('CURVA PREVISION'!$A$1:$KZ$3000,$C38,10+3*MIN(AG$3,$D$2-1)))))</f>
        <v>1.29</v>
      </c>
      <c r="AH38" s="131" t="n">
        <f aca="false">IF(OR($C38="",$B$2="",$D$2=0),0,IF(AH$3&lt;0,0,N(INDEX('CURVA PREVISION'!$A$1:$KZ$3000,$C38,10+3*MIN(AH$3,$D$2-1)))))</f>
        <v>1.29</v>
      </c>
      <c r="AI38" s="131" t="n">
        <f aca="false">IF(OR($C38="",$B$2="",$D$2=0),0,IF(AI$3&lt;0,0,N(INDEX('CURVA PREVISION'!$A$1:$KZ$3000,$C38,10+3*MIN(AI$3,$D$2-1)))))</f>
        <v>1.29</v>
      </c>
      <c r="AJ38" s="131" t="n">
        <f aca="false">IF(OR($C38="",$B$2="",$D$2=0),0,IF(AJ$3&lt;0,0,N(INDEX('CURVA PREVISION'!$A$1:$KZ$3000,$C38,10+3*MIN(AJ$3,$D$2-1)))))</f>
        <v>1.29</v>
      </c>
      <c r="AK38" s="131" t="n">
        <f aca="false">IF(OR($C38="",$B$2="",$D$2=0),0,IF(AK$3&lt;0,0,N(INDEX('CURVA PREVISION'!$A$1:$KZ$3000,$C38,10+3*MIN(AK$3,$D$2-1)))))</f>
        <v>1.29</v>
      </c>
      <c r="AL38" s="131" t="n">
        <f aca="false">IF(OR($C38="",$B$2="",$D$2=0),0,IF(AL$3&lt;0,0,N(INDEX('CURVA PREVISION'!$A$1:$KZ$3000,$C38,10+3*MIN(AL$3,$D$2-1)))))</f>
        <v>1.29</v>
      </c>
      <c r="AM38" s="131" t="n">
        <f aca="false">IF(OR($C38="",$B$2="",$D$2=0),0,IF(AM$3&lt;0,0,N(INDEX('CURVA PREVISION'!$A$1:$KZ$3000,$C38,10+3*MIN(AM$3,$D$2-1)))))</f>
        <v>1.29</v>
      </c>
      <c r="AN38" s="131" t="n">
        <f aca="false">IF(OR($C38="",$B$2="",$D$2=0),0,IF(AN$3&lt;0,0,N(INDEX('CURVA PREVISION'!$A$1:$KZ$3000,$C38,10+3*MIN(AN$3,$D$2-1)))))</f>
        <v>1.29</v>
      </c>
      <c r="AO38" s="131" t="n">
        <f aca="false">IF(OR($C38="",$B$2="",$D$2=0),0,IF(AO$3&lt;0,0,N(INDEX('CURVA PREVISION'!$A$1:$KZ$3000,$C38,10+3*MIN(AO$3,$D$2-1)))))</f>
        <v>3.12</v>
      </c>
      <c r="AP38" s="131" t="n">
        <f aca="false">IF(OR($C38="",$B$2="",$D$2=0),0,IF(AP$3&lt;0,0,N(INDEX('CURVA PREVISION'!$A$1:$KZ$3000,$C38,10+3*MIN(AP$3,$D$2-1)))))</f>
        <v>8.41</v>
      </c>
      <c r="AQ38" s="131" t="n">
        <f aca="false">IF(OR($C38="",$B$2="",$D$2=0),0,IF(AQ$3&lt;0,0,N(INDEX('CURVA PREVISION'!$A$1:$KZ$3000,$C38,10+3*MIN(AQ$3,$D$2-1)))))</f>
        <v>17.8</v>
      </c>
      <c r="AR38" s="131" t="n">
        <f aca="false">IF(OR($C38="",$B$2="",$D$2=0),0,IF(AR$3&lt;0,0,N(INDEX('CURVA PREVISION'!$A$1:$KZ$3000,$C38,10+3*MIN(AR$3,$D$2-1)))))</f>
        <v>27.2</v>
      </c>
      <c r="AS38" s="131" t="n">
        <f aca="false">IF(OR($C38="",$B$2="",$D$2=0),0,IF(AS$3&lt;0,0,N(INDEX('CURVA PREVISION'!$A$1:$KZ$3000,$C38,10+3*MIN(AS$3,$D$2-1)))))</f>
        <v>42.93</v>
      </c>
      <c r="AT38" s="131" t="n">
        <f aca="false">IF(OR($C38="",$B$2="",$D$2=0),0,IF(AT$3&lt;0,0,N(INDEX('CURVA PREVISION'!$A$1:$KZ$3000,$C38,10+3*MIN(AT$3,$D$2-1)))))</f>
        <v>54.12</v>
      </c>
      <c r="AU38" s="131" t="n">
        <f aca="false">IF(OR($C38="",$B$2="",$D$2=0),0,IF(AU$3&lt;0,0,N(INDEX('CURVA PREVISION'!$A$1:$KZ$3000,$C38,10+3*MIN(AU$3,$D$2-1)))))</f>
        <v>65.75</v>
      </c>
      <c r="AV38" s="131" t="n">
        <f aca="false">IF(OR($C38="",$B$2="",$D$2=0),0,IF(AV$3&lt;0,0,N(INDEX('CURVA PREVISION'!$A$1:$KZ$3000,$C38,10+3*MIN(AV$3,$D$2-1)))))</f>
        <v>77.1</v>
      </c>
      <c r="AW38" s="131" t="n">
        <f aca="false">IF(OR($C38="",$B$2="",$D$2=0),0,IF(AW$3&lt;0,0,N(INDEX('CURVA PREVISION'!$A$1:$KZ$3000,$C38,10+3*MIN(AW$3,$D$2-1)))))</f>
        <v>88.41</v>
      </c>
      <c r="AX38" s="131" t="n">
        <f aca="false">IF(OR($C38="",$B$2="",$D$2=0),0,IF(AX$3&lt;0,0,N(INDEX('CURVA PREVISION'!$A$1:$KZ$3000,$C38,10+3*MIN(AX$3,$D$2-1)))))</f>
        <v>97.08</v>
      </c>
      <c r="AY38" s="131" t="n">
        <f aca="false">IF(OR($C38="",$B$2="",$D$2=0),0,IF(AY$3&lt;0,0,N(INDEX('CURVA PREVISION'!$A$1:$KZ$3000,$C38,10+3*MIN(AY$3,$D$2-1)))))</f>
        <v>100</v>
      </c>
      <c r="AZ38" s="131" t="n">
        <f aca="false">IF(OR($C38="",$B$2="",$D$2=0),0,IF(AZ$3&lt;0,0,N(INDEX('CURVA PREVISION'!$A$1:$KZ$3000,$C38,10+3*MIN(AZ$3,$D$2-1)))))</f>
        <v>100</v>
      </c>
      <c r="BA38" s="131" t="n">
        <f aca="false">IF(OR($C38="",$B$2="",$D$2=0),0,IF(BA$3&lt;0,0,N(INDEX('CURVA PREVISION'!$A$1:$KZ$3000,$C38,10+3*MIN(BA$3,$D$2-1)))))</f>
        <v>100</v>
      </c>
      <c r="BB38" s="131" t="n">
        <f aca="false">IF(OR($C38="",$B$2="",$D$2=0),0,IF(BB$3&lt;0,0,N(INDEX('CURVA PREVISION'!$A$1:$KZ$3000,$C38,10+3*MIN(BB$3,$D$2-1)))))</f>
        <v>100</v>
      </c>
      <c r="BC38" s="131" t="n">
        <f aca="false">IF(OR($C38="",$B$2="",$D$2=0),0,IF(BC$3&lt;0,0,N(INDEX('CURVA PREVISION'!$A$1:$KZ$3000,$C38,10+3*MIN(BC$3,$D$2-1)))))</f>
        <v>100</v>
      </c>
      <c r="BD38" s="131" t="n">
        <f aca="false">IF(OR($C38="",$B$2="",$D$2=0),0,IF(BD$3&lt;0,0,N(INDEX('CURVA PREVISION'!$A$1:$KZ$3000,$C38,10+3*MIN(BD$3,$D$2-1)))))</f>
        <v>100</v>
      </c>
      <c r="BE38" s="131" t="n">
        <f aca="false">IF(OR($C38="",$B$2="",$D$2=0),0,IF(BE$3&lt;0,0,N(INDEX('CURVA PREVISION'!$A$1:$KZ$3000,$C38,10+3*MIN(BE$3,$D$2-1)))))</f>
        <v>100</v>
      </c>
      <c r="BF38" s="131" t="n">
        <f aca="false">IF(OR($C38="",$B$2="",$D$2=0),0,IF(BF$3&lt;0,0,N(INDEX('CURVA PREVISION'!$A$1:$KZ$3000,$C38,10+3*MIN(BF$3,$D$2-1)))))</f>
        <v>100</v>
      </c>
      <c r="BG38" s="131" t="n">
        <f aca="false">IF(OR($C38="",$B$2="",$D$2=0),0,IF(BG$3&lt;0,0,N(INDEX('CURVA PREVISION'!$A$1:$KZ$3000,$C38,10+3*MIN(BG$3,$D$2-1)))))</f>
        <v>100</v>
      </c>
      <c r="BH38" s="131" t="n">
        <f aca="false">IF(OR($C38="",$B$2="",$D$2=0),0,IF(BH$3&lt;0,0,N(INDEX('CURVA PREVISION'!$A$1:$KZ$3000,$C38,10+3*MIN(BH$3,$D$2-1)))))</f>
        <v>100</v>
      </c>
      <c r="BI38" s="131" t="n">
        <f aca="false">IF(OR($C38="",$B$2="",$D$2=0),0,IF(BI$3&lt;0,0,N(INDEX('CURVA PREVISION'!$A$1:$KZ$3000,$C38,10+3*MIN(BI$3,$D$2-1)))))</f>
        <v>100</v>
      </c>
      <c r="BJ38" s="131" t="n">
        <f aca="false">IF(OR($C38="",$B$2="",$D$2=0),0,IF(BJ$3&lt;0,0,N(INDEX('CURVA PREVISION'!$A$1:$KZ$3000,$C38,10+3*MIN(BJ$3,$D$2-1)))))</f>
        <v>100</v>
      </c>
      <c r="BK38" s="131" t="n">
        <f aca="false">IF(OR($C38="",$B$2="",$D$2=0),0,IF(BK$3&lt;0,0,N(INDEX('CURVA PREVISION'!$A$1:$KZ$3000,$C38,10+3*MIN(BK$3,$D$2-1)))))</f>
        <v>100</v>
      </c>
      <c r="BL38" s="131" t="n">
        <f aca="false">IF(OR($C38="",$B$2="",$D$2=0),0,IF(BL$3&lt;0,0,N(INDEX('CURVA PREVISION'!$A$1:$KZ$3000,$C38,10+3*MIN(BL$3,$D$2-1)))))</f>
        <v>100</v>
      </c>
      <c r="BM38" s="131" t="n">
        <f aca="false">IF(OR($C38="",$B$2="",$D$2=0),0,IF(BM$3&lt;0,0,N(INDEX('CURVA PREVISION'!$A$1:$KZ$3000,$C38,10+3*MIN(BM$3,$D$2-1)))))</f>
        <v>100</v>
      </c>
      <c r="BN38" s="131" t="n">
        <f aca="false">IF(OR($C38="",$B$2="",$D$2=0),0,IF(BN$3&lt;0,0,N(INDEX('CURVA PREVISION'!$A$1:$KZ$3000,$C38,10+3*MIN(BN$3,$D$2-1)))))</f>
        <v>100</v>
      </c>
      <c r="BO38" s="131" t="n">
        <f aca="false">IF(OR($C38="",$B$2="",$D$2=0),0,IF(BO$3&lt;0,0,N(INDEX('CURVA PREVISION'!$A$1:$KZ$3000,$C38,10+3*MIN(BO$3,$D$2-1)))))</f>
        <v>100</v>
      </c>
      <c r="BP38" s="131" t="n">
        <f aca="false">IF(OR($C38="",$B$2="",$D$2=0),0,IF(BP$3&lt;0,0,N(INDEX('CURVA PREVISION'!$A$1:$KZ$3000,$C38,10+3*MIN(BP$3,$D$2-1)))))</f>
        <v>100</v>
      </c>
      <c r="BQ38" s="131" t="n">
        <f aca="false">IF(OR($C38="",$B$2="",$D$2=0),0,IF(BQ$3&lt;0,0,N(INDEX('CURVA PREVISION'!$A$1:$KZ$3000,$C38,10+3*MIN(BQ$3,$D$2-1)))))</f>
        <v>100</v>
      </c>
      <c r="BR38" s="131" t="n">
        <f aca="false">IF(OR($C38="",$B$2="",$D$2=0),0,IF(BR$3&lt;0,0,N(INDEX('CURVA PREVISION'!$A$1:$KZ$3000,$C38,10+3*MIN(BR$3,$D$2-1)))))</f>
        <v>100</v>
      </c>
      <c r="BS38" s="131" t="n">
        <f aca="false">IF(OR($C38="",$B$2="",$D$2=0),0,IF(BS$3&lt;0,0,N(INDEX('CURVA PREVISION'!$A$1:$KZ$3000,$C38,10+3*MIN(BS$3,$D$2-1)))))</f>
        <v>100</v>
      </c>
      <c r="BT38" s="131" t="n">
        <f aca="false">IF(OR($C38="",$B$2="",$D$2=0),0,IF(BT$3&lt;0,0,N(INDEX('CURVA PREVISION'!$A$1:$KZ$3000,$C38,10+3*MIN(BT$3,$D$2-1)))))</f>
        <v>100</v>
      </c>
      <c r="BU38" s="131" t="n">
        <f aca="false">IF(OR($C38="",$B$2="",$D$2=0),0,IF(BU$3&lt;0,0,N(INDEX('CURVA PREVISION'!$A$1:$KZ$3000,$C38,10+3*MIN(BU$3,$D$2-1)))))</f>
        <v>100</v>
      </c>
      <c r="BV38" s="131" t="n">
        <f aca="false">IF(OR($C38="",$B$2="",$D$2=0),0,IF(BV$3&lt;0,0,N(INDEX('CURVA PREVISION'!$A$1:$KZ$3000,$C38,10+3*MIN(BV$3,$D$2-1)))))</f>
        <v>100</v>
      </c>
      <c r="BW38" s="131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1073</v>
      </c>
      <c r="D39" s="131" t="n">
        <f aca="false">IF(OR($C39="",$B$2="",$D$2=0),0,IF(D$3&lt;0,0,N(INDEX('CURVA PREVISION'!$A$1:$KZ$3000,$C39,10+3*MIN(D$3,$D$2-1)))))</f>
        <v>0</v>
      </c>
      <c r="E39" s="131" t="n">
        <f aca="false">IF(OR($C39="",$B$2="",$D$2=0),0,IF(E$3&lt;0,0,N(INDEX('CURVA PREVISION'!$A$1:$KZ$3000,$C39,10+3*MIN(E$3,$D$2-1)))))</f>
        <v>0</v>
      </c>
      <c r="F39" s="131" t="n">
        <f aca="false">IF(OR($C39="",$B$2="",$D$2=0),0,IF(F$3&lt;0,0,N(INDEX('CURVA PREVISION'!$A$1:$KZ$3000,$C39,10+3*MIN(F$3,$D$2-1)))))</f>
        <v>0</v>
      </c>
      <c r="G39" s="131" t="n">
        <f aca="false">IF(OR($C39="",$B$2="",$D$2=0),0,IF(G$3&lt;0,0,N(INDEX('CURVA PREVISION'!$A$1:$KZ$3000,$C39,10+3*MIN(G$3,$D$2-1)))))</f>
        <v>0</v>
      </c>
      <c r="H39" s="131" t="n">
        <f aca="false">IF(OR($C39="",$B$2="",$D$2=0),0,IF(H$3&lt;0,0,N(INDEX('CURVA PREVISION'!$A$1:$KZ$3000,$C39,10+3*MIN(H$3,$D$2-1)))))</f>
        <v>0</v>
      </c>
      <c r="I39" s="131" t="n">
        <f aca="false">IF(OR($C39="",$B$2="",$D$2=0),0,IF(I$3&lt;0,0,N(INDEX('CURVA PREVISION'!$A$1:$KZ$3000,$C39,10+3*MIN(I$3,$D$2-1)))))</f>
        <v>0</v>
      </c>
      <c r="J39" s="131" t="n">
        <f aca="false">IF(OR($C39="",$B$2="",$D$2=0),0,IF(J$3&lt;0,0,N(INDEX('CURVA PREVISION'!$A$1:$KZ$3000,$C39,10+3*MIN(J$3,$D$2-1)))))</f>
        <v>0</v>
      </c>
      <c r="K39" s="131" t="n">
        <f aca="false">IF(OR($C39="",$B$2="",$D$2=0),0,IF(K$3&lt;0,0,N(INDEX('CURVA PREVISION'!$A$1:$KZ$3000,$C39,10+3*MIN(K$3,$D$2-1)))))</f>
        <v>0</v>
      </c>
      <c r="L39" s="131" t="n">
        <f aca="false">IF(OR($C39="",$B$2="",$D$2=0),0,IF(L$3&lt;0,0,N(INDEX('CURVA PREVISION'!$A$1:$KZ$3000,$C39,10+3*MIN(L$3,$D$2-1)))))</f>
        <v>0</v>
      </c>
      <c r="M39" s="131" t="n">
        <f aca="false">IF(OR($C39="",$B$2="",$D$2=0),0,IF(M$3&lt;0,0,N(INDEX('CURVA PREVISION'!$A$1:$KZ$3000,$C39,10+3*MIN(M$3,$D$2-1)))))</f>
        <v>0</v>
      </c>
      <c r="N39" s="131" t="n">
        <f aca="false">IF(OR($C39="",$B$2="",$D$2=0),0,IF(N$3&lt;0,0,N(INDEX('CURVA PREVISION'!$A$1:$KZ$3000,$C39,10+3*MIN(N$3,$D$2-1)))))</f>
        <v>0</v>
      </c>
      <c r="O39" s="131" t="n">
        <f aca="false">IF(OR($C39="",$B$2="",$D$2=0),0,IF(O$3&lt;0,0,N(INDEX('CURVA PREVISION'!$A$1:$KZ$3000,$C39,10+3*MIN(O$3,$D$2-1)))))</f>
        <v>0</v>
      </c>
      <c r="P39" s="131" t="n">
        <f aca="false">IF(OR($C39="",$B$2="",$D$2=0),0,IF(P$3&lt;0,0,N(INDEX('CURVA PREVISION'!$A$1:$KZ$3000,$C39,10+3*MIN(P$3,$D$2-1)))))</f>
        <v>0</v>
      </c>
      <c r="Q39" s="131" t="n">
        <f aca="false">IF(OR($C39="",$B$2="",$D$2=0),0,IF(Q$3&lt;0,0,N(INDEX('CURVA PREVISION'!$A$1:$KZ$3000,$C39,10+3*MIN(Q$3,$D$2-1)))))</f>
        <v>0</v>
      </c>
      <c r="R39" s="131" t="n">
        <f aca="false">IF(OR($C39="",$B$2="",$D$2=0),0,IF(R$3&lt;0,0,N(INDEX('CURVA PREVISION'!$A$1:$KZ$3000,$C39,10+3*MIN(R$3,$D$2-1)))))</f>
        <v>0</v>
      </c>
      <c r="S39" s="131" t="n">
        <f aca="false">IF(OR($C39="",$B$2="",$D$2=0),0,IF(S$3&lt;0,0,N(INDEX('CURVA PREVISION'!$A$1:$KZ$3000,$C39,10+3*MIN(S$3,$D$2-1)))))</f>
        <v>0</v>
      </c>
      <c r="T39" s="131" t="n">
        <f aca="false">IF(OR($C39="",$B$2="",$D$2=0),0,IF(T$3&lt;0,0,N(INDEX('CURVA PREVISION'!$A$1:$KZ$3000,$C39,10+3*MIN(T$3,$D$2-1)))))</f>
        <v>0.7</v>
      </c>
      <c r="U39" s="131" t="n">
        <f aca="false">IF(OR($C39="",$B$2="",$D$2=0),0,IF(U$3&lt;0,0,N(INDEX('CURVA PREVISION'!$A$1:$KZ$3000,$C39,10+3*MIN(U$3,$D$2-1)))))</f>
        <v>2.79</v>
      </c>
      <c r="V39" s="131" t="n">
        <f aca="false">IF(OR($C39="",$B$2="",$D$2=0),0,IF(V$3&lt;0,0,N(INDEX('CURVA PREVISION'!$A$1:$KZ$3000,$C39,10+3*MIN(V$3,$D$2-1)))))</f>
        <v>5.06</v>
      </c>
      <c r="W39" s="131" t="n">
        <f aca="false">IF(OR($C39="",$B$2="",$D$2=0),0,IF(W$3&lt;0,0,N(INDEX('CURVA PREVISION'!$A$1:$KZ$3000,$C39,10+3*MIN(W$3,$D$2-1)))))</f>
        <v>7.5</v>
      </c>
      <c r="X39" s="131" t="n">
        <f aca="false">IF(OR($C39="",$B$2="",$D$2=0),0,IF(X$3&lt;0,0,N(INDEX('CURVA PREVISION'!$A$1:$KZ$3000,$C39,10+3*MIN(X$3,$D$2-1)))))</f>
        <v>12.31</v>
      </c>
      <c r="Y39" s="131" t="n">
        <f aca="false">IF(OR($C39="",$B$2="",$D$2=0),0,IF(Y$3&lt;0,0,N(INDEX('CURVA PREVISION'!$A$1:$KZ$3000,$C39,10+3*MIN(Y$3,$D$2-1)))))</f>
        <v>16.39</v>
      </c>
      <c r="Z39" s="131" t="n">
        <f aca="false">IF(OR($C39="",$B$2="",$D$2=0),0,IF(Z$3&lt;0,0,N(INDEX('CURVA PREVISION'!$A$1:$KZ$3000,$C39,10+3*MIN(Z$3,$D$2-1)))))</f>
        <v>20.63</v>
      </c>
      <c r="AA39" s="131" t="n">
        <f aca="false">IF(OR($C39="",$B$2="",$D$2=0),0,IF(AA$3&lt;0,0,N(INDEX('CURVA PREVISION'!$A$1:$KZ$3000,$C39,10+3*MIN(AA$3,$D$2-1)))))</f>
        <v>23.12</v>
      </c>
      <c r="AB39" s="131" t="n">
        <f aca="false">IF(OR($C39="",$B$2="",$D$2=0),0,IF(AB$3&lt;0,0,N(INDEX('CURVA PREVISION'!$A$1:$KZ$3000,$C39,10+3*MIN(AB$3,$D$2-1)))))</f>
        <v>24.55</v>
      </c>
      <c r="AC39" s="131" t="n">
        <f aca="false">IF(OR($C39="",$B$2="",$D$2=0),0,IF(AC$3&lt;0,0,N(INDEX('CURVA PREVISION'!$A$1:$KZ$3000,$C39,10+3*MIN(AC$3,$D$2-1)))))</f>
        <v>24.55</v>
      </c>
      <c r="AD39" s="131" t="n">
        <f aca="false">IF(OR($C39="",$B$2="",$D$2=0),0,IF(AD$3&lt;0,0,N(INDEX('CURVA PREVISION'!$A$1:$KZ$3000,$C39,10+3*MIN(AD$3,$D$2-1)))))</f>
        <v>24.62</v>
      </c>
      <c r="AE39" s="131" t="n">
        <f aca="false">IF(OR($C39="",$B$2="",$D$2=0),0,IF(AE$3&lt;0,0,N(INDEX('CURVA PREVISION'!$A$1:$KZ$3000,$C39,10+3*MIN(AE$3,$D$2-1)))))</f>
        <v>25.03</v>
      </c>
      <c r="AF39" s="131" t="n">
        <f aca="false">IF(OR($C39="",$B$2="",$D$2=0),0,IF(AF$3&lt;0,0,N(INDEX('CURVA PREVISION'!$A$1:$KZ$3000,$C39,10+3*MIN(AF$3,$D$2-1)))))</f>
        <v>25.03</v>
      </c>
      <c r="AG39" s="131" t="n">
        <f aca="false">IF(OR($C39="",$B$2="",$D$2=0),0,IF(AG$3&lt;0,0,N(INDEX('CURVA PREVISION'!$A$1:$KZ$3000,$C39,10+3*MIN(AG$3,$D$2-1)))))</f>
        <v>26.05</v>
      </c>
      <c r="AH39" s="131" t="n">
        <f aca="false">IF(OR($C39="",$B$2="",$D$2=0),0,IF(AH$3&lt;0,0,N(INDEX('CURVA PREVISION'!$A$1:$KZ$3000,$C39,10+3*MIN(AH$3,$D$2-1)))))</f>
        <v>28.02</v>
      </c>
      <c r="AI39" s="131" t="n">
        <f aca="false">IF(OR($C39="",$B$2="",$D$2=0),0,IF(AI$3&lt;0,0,N(INDEX('CURVA PREVISION'!$A$1:$KZ$3000,$C39,10+3*MIN(AI$3,$D$2-1)))))</f>
        <v>31.03</v>
      </c>
      <c r="AJ39" s="131" t="n">
        <f aca="false">IF(OR($C39="",$B$2="",$D$2=0),0,IF(AJ$3&lt;0,0,N(INDEX('CURVA PREVISION'!$A$1:$KZ$3000,$C39,10+3*MIN(AJ$3,$D$2-1)))))</f>
        <v>35.31</v>
      </c>
      <c r="AK39" s="131" t="n">
        <f aca="false">IF(OR($C39="",$B$2="",$D$2=0),0,IF(AK$3&lt;0,0,N(INDEX('CURVA PREVISION'!$A$1:$KZ$3000,$C39,10+3*MIN(AK$3,$D$2-1)))))</f>
        <v>41.03</v>
      </c>
      <c r="AL39" s="131" t="n">
        <f aca="false">IF(OR($C39="",$B$2="",$D$2=0),0,IF(AL$3&lt;0,0,N(INDEX('CURVA PREVISION'!$A$1:$KZ$3000,$C39,10+3*MIN(AL$3,$D$2-1)))))</f>
        <v>42.62</v>
      </c>
      <c r="AM39" s="131" t="n">
        <f aca="false">IF(OR($C39="",$B$2="",$D$2=0),0,IF(AM$3&lt;0,0,N(INDEX('CURVA PREVISION'!$A$1:$KZ$3000,$C39,10+3*MIN(AM$3,$D$2-1)))))</f>
        <v>43.67</v>
      </c>
      <c r="AN39" s="131" t="n">
        <f aca="false">IF(OR($C39="",$B$2="",$D$2=0),0,IF(AN$3&lt;0,0,N(INDEX('CURVA PREVISION'!$A$1:$KZ$3000,$C39,10+3*MIN(AN$3,$D$2-1)))))</f>
        <v>44.41</v>
      </c>
      <c r="AO39" s="131" t="n">
        <f aca="false">IF(OR($C39="",$B$2="",$D$2=0),0,IF(AO$3&lt;0,0,N(INDEX('CURVA PREVISION'!$A$1:$KZ$3000,$C39,10+3*MIN(AO$3,$D$2-1)))))</f>
        <v>48.09</v>
      </c>
      <c r="AP39" s="131" t="n">
        <f aca="false">IF(OR($C39="",$B$2="",$D$2=0),0,IF(AP$3&lt;0,0,N(INDEX('CURVA PREVISION'!$A$1:$KZ$3000,$C39,10+3*MIN(AP$3,$D$2-1)))))</f>
        <v>53.27</v>
      </c>
      <c r="AQ39" s="131" t="n">
        <f aca="false">IF(OR($C39="",$B$2="",$D$2=0),0,IF(AQ$3&lt;0,0,N(INDEX('CURVA PREVISION'!$A$1:$KZ$3000,$C39,10+3*MIN(AQ$3,$D$2-1)))))</f>
        <v>60.81</v>
      </c>
      <c r="AR39" s="131" t="n">
        <f aca="false">IF(OR($C39="",$B$2="",$D$2=0),0,IF(AR$3&lt;0,0,N(INDEX('CURVA PREVISION'!$A$1:$KZ$3000,$C39,10+3*MIN(AR$3,$D$2-1)))))</f>
        <v>67.11</v>
      </c>
      <c r="AS39" s="131" t="n">
        <f aca="false">IF(OR($C39="",$B$2="",$D$2=0),0,IF(AS$3&lt;0,0,N(INDEX('CURVA PREVISION'!$A$1:$KZ$3000,$C39,10+3*MIN(AS$3,$D$2-1)))))</f>
        <v>72.65</v>
      </c>
      <c r="AT39" s="131" t="n">
        <f aca="false">IF(OR($C39="",$B$2="",$D$2=0),0,IF(AT$3&lt;0,0,N(INDEX('CURVA PREVISION'!$A$1:$KZ$3000,$C39,10+3*MIN(AT$3,$D$2-1)))))</f>
        <v>78.9</v>
      </c>
      <c r="AU39" s="131" t="n">
        <f aca="false">IF(OR($C39="",$B$2="",$D$2=0),0,IF(AU$3&lt;0,0,N(INDEX('CURVA PREVISION'!$A$1:$KZ$3000,$C39,10+3*MIN(AU$3,$D$2-1)))))</f>
        <v>84.72</v>
      </c>
      <c r="AV39" s="131" t="n">
        <f aca="false">IF(OR($C39="",$B$2="",$D$2=0),0,IF(AV$3&lt;0,0,N(INDEX('CURVA PREVISION'!$A$1:$KZ$3000,$C39,10+3*MIN(AV$3,$D$2-1)))))</f>
        <v>90.43</v>
      </c>
      <c r="AW39" s="131" t="n">
        <f aca="false">IF(OR($C39="",$B$2="",$D$2=0),0,IF(AW$3&lt;0,0,N(INDEX('CURVA PREVISION'!$A$1:$KZ$3000,$C39,10+3*MIN(AW$3,$D$2-1)))))</f>
        <v>94.44</v>
      </c>
      <c r="AX39" s="131" t="n">
        <f aca="false">IF(OR($C39="",$B$2="",$D$2=0),0,IF(AX$3&lt;0,0,N(INDEX('CURVA PREVISION'!$A$1:$KZ$3000,$C39,10+3*MIN(AX$3,$D$2-1)))))</f>
        <v>97.6</v>
      </c>
      <c r="AY39" s="131" t="n">
        <f aca="false">IF(OR($C39="",$B$2="",$D$2=0),0,IF(AY$3&lt;0,0,N(INDEX('CURVA PREVISION'!$A$1:$KZ$3000,$C39,10+3*MIN(AY$3,$D$2-1)))))</f>
        <v>99.73</v>
      </c>
      <c r="AZ39" s="131" t="n">
        <f aca="false">IF(OR($C39="",$B$2="",$D$2=0),0,IF(AZ$3&lt;0,0,N(INDEX('CURVA PREVISION'!$A$1:$KZ$3000,$C39,10+3*MIN(AZ$3,$D$2-1)))))</f>
        <v>100</v>
      </c>
      <c r="BA39" s="131" t="n">
        <f aca="false">IF(OR($C39="",$B$2="",$D$2=0),0,IF(BA$3&lt;0,0,N(INDEX('CURVA PREVISION'!$A$1:$KZ$3000,$C39,10+3*MIN(BA$3,$D$2-1)))))</f>
        <v>100</v>
      </c>
      <c r="BB39" s="131" t="n">
        <f aca="false">IF(OR($C39="",$B$2="",$D$2=0),0,IF(BB$3&lt;0,0,N(INDEX('CURVA PREVISION'!$A$1:$KZ$3000,$C39,10+3*MIN(BB$3,$D$2-1)))))</f>
        <v>100</v>
      </c>
      <c r="BC39" s="131" t="n">
        <f aca="false">IF(OR($C39="",$B$2="",$D$2=0),0,IF(BC$3&lt;0,0,N(INDEX('CURVA PREVISION'!$A$1:$KZ$3000,$C39,10+3*MIN(BC$3,$D$2-1)))))</f>
        <v>100</v>
      </c>
      <c r="BD39" s="131" t="n">
        <f aca="false">IF(OR($C39="",$B$2="",$D$2=0),0,IF(BD$3&lt;0,0,N(INDEX('CURVA PREVISION'!$A$1:$KZ$3000,$C39,10+3*MIN(BD$3,$D$2-1)))))</f>
        <v>100</v>
      </c>
      <c r="BE39" s="131" t="n">
        <f aca="false">IF(OR($C39="",$B$2="",$D$2=0),0,IF(BE$3&lt;0,0,N(INDEX('CURVA PREVISION'!$A$1:$KZ$3000,$C39,10+3*MIN(BE$3,$D$2-1)))))</f>
        <v>100</v>
      </c>
      <c r="BF39" s="131" t="n">
        <f aca="false">IF(OR($C39="",$B$2="",$D$2=0),0,IF(BF$3&lt;0,0,N(INDEX('CURVA PREVISION'!$A$1:$KZ$3000,$C39,10+3*MIN(BF$3,$D$2-1)))))</f>
        <v>100</v>
      </c>
      <c r="BG39" s="131" t="n">
        <f aca="false">IF(OR($C39="",$B$2="",$D$2=0),0,IF(BG$3&lt;0,0,N(INDEX('CURVA PREVISION'!$A$1:$KZ$3000,$C39,10+3*MIN(BG$3,$D$2-1)))))</f>
        <v>100</v>
      </c>
      <c r="BH39" s="131" t="n">
        <f aca="false">IF(OR($C39="",$B$2="",$D$2=0),0,IF(BH$3&lt;0,0,N(INDEX('CURVA PREVISION'!$A$1:$KZ$3000,$C39,10+3*MIN(BH$3,$D$2-1)))))</f>
        <v>100</v>
      </c>
      <c r="BI39" s="131" t="n">
        <f aca="false">IF(OR($C39="",$B$2="",$D$2=0),0,IF(BI$3&lt;0,0,N(INDEX('CURVA PREVISION'!$A$1:$KZ$3000,$C39,10+3*MIN(BI$3,$D$2-1)))))</f>
        <v>100</v>
      </c>
      <c r="BJ39" s="131" t="n">
        <f aca="false">IF(OR($C39="",$B$2="",$D$2=0),0,IF(BJ$3&lt;0,0,N(INDEX('CURVA PREVISION'!$A$1:$KZ$3000,$C39,10+3*MIN(BJ$3,$D$2-1)))))</f>
        <v>100</v>
      </c>
      <c r="BK39" s="131" t="n">
        <f aca="false">IF(OR($C39="",$B$2="",$D$2=0),0,IF(BK$3&lt;0,0,N(INDEX('CURVA PREVISION'!$A$1:$KZ$3000,$C39,10+3*MIN(BK$3,$D$2-1)))))</f>
        <v>100</v>
      </c>
      <c r="BL39" s="131" t="n">
        <f aca="false">IF(OR($C39="",$B$2="",$D$2=0),0,IF(BL$3&lt;0,0,N(INDEX('CURVA PREVISION'!$A$1:$KZ$3000,$C39,10+3*MIN(BL$3,$D$2-1)))))</f>
        <v>100</v>
      </c>
      <c r="BM39" s="131" t="n">
        <f aca="false">IF(OR($C39="",$B$2="",$D$2=0),0,IF(BM$3&lt;0,0,N(INDEX('CURVA PREVISION'!$A$1:$KZ$3000,$C39,10+3*MIN(BM$3,$D$2-1)))))</f>
        <v>100</v>
      </c>
      <c r="BN39" s="131" t="n">
        <f aca="false">IF(OR($C39="",$B$2="",$D$2=0),0,IF(BN$3&lt;0,0,N(INDEX('CURVA PREVISION'!$A$1:$KZ$3000,$C39,10+3*MIN(BN$3,$D$2-1)))))</f>
        <v>100</v>
      </c>
      <c r="BO39" s="131" t="n">
        <f aca="false">IF(OR($C39="",$B$2="",$D$2=0),0,IF(BO$3&lt;0,0,N(INDEX('CURVA PREVISION'!$A$1:$KZ$3000,$C39,10+3*MIN(BO$3,$D$2-1)))))</f>
        <v>100</v>
      </c>
      <c r="BP39" s="131" t="n">
        <f aca="false">IF(OR($C39="",$B$2="",$D$2=0),0,IF(BP$3&lt;0,0,N(INDEX('CURVA PREVISION'!$A$1:$KZ$3000,$C39,10+3*MIN(BP$3,$D$2-1)))))</f>
        <v>100</v>
      </c>
      <c r="BQ39" s="131" t="n">
        <f aca="false">IF(OR($C39="",$B$2="",$D$2=0),0,IF(BQ$3&lt;0,0,N(INDEX('CURVA PREVISION'!$A$1:$KZ$3000,$C39,10+3*MIN(BQ$3,$D$2-1)))))</f>
        <v>100</v>
      </c>
      <c r="BR39" s="131" t="n">
        <f aca="false">IF(OR($C39="",$B$2="",$D$2=0),0,IF(BR$3&lt;0,0,N(INDEX('CURVA PREVISION'!$A$1:$KZ$3000,$C39,10+3*MIN(BR$3,$D$2-1)))))</f>
        <v>100</v>
      </c>
      <c r="BS39" s="131" t="n">
        <f aca="false">IF(OR($C39="",$B$2="",$D$2=0),0,IF(BS$3&lt;0,0,N(INDEX('CURVA PREVISION'!$A$1:$KZ$3000,$C39,10+3*MIN(BS$3,$D$2-1)))))</f>
        <v>100</v>
      </c>
      <c r="BT39" s="131" t="n">
        <f aca="false">IF(OR($C39="",$B$2="",$D$2=0),0,IF(BT$3&lt;0,0,N(INDEX('CURVA PREVISION'!$A$1:$KZ$3000,$C39,10+3*MIN(BT$3,$D$2-1)))))</f>
        <v>100</v>
      </c>
      <c r="BU39" s="131" t="n">
        <f aca="false">IF(OR($C39="",$B$2="",$D$2=0),0,IF(BU$3&lt;0,0,N(INDEX('CURVA PREVISION'!$A$1:$KZ$3000,$C39,10+3*MIN(BU$3,$D$2-1)))))</f>
        <v>100</v>
      </c>
      <c r="BV39" s="131" t="n">
        <f aca="false">IF(OR($C39="",$B$2="",$D$2=0),0,IF(BV$3&lt;0,0,N(INDEX('CURVA PREVISION'!$A$1:$KZ$3000,$C39,10+3*MIN(BV$3,$D$2-1)))))</f>
        <v>100</v>
      </c>
      <c r="BW39" s="131" t="n">
        <f aca="false">IF(OR($C39="",$B$2="",$D$2=0),0,IF(BW$3&lt;0,0,N(INDEX('CURVA PREVISION'!$A$1:$KZ$3000,$C39,10+3*MIN(BW$3,$D$2-1)))))</f>
        <v>100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PAISAGISMO</v>
      </c>
      <c r="C40" s="64" t="n">
        <f aca="false">IFERROR(MATCH(A40,'CURVA PREVISION'!$B$1:$B$3000,0),"")</f>
        <v>1105</v>
      </c>
      <c r="D40" s="131" t="n">
        <f aca="false">IF(OR($C40="",$B$2="",$D$2=0),0,IF(D$3&lt;0,0,N(INDEX('CURVA PREVISION'!$A$1:$KZ$3000,$C40,10+3*MIN(D$3,$D$2-1)))))</f>
        <v>0</v>
      </c>
      <c r="E40" s="131" t="n">
        <f aca="false">IF(OR($C40="",$B$2="",$D$2=0),0,IF(E$3&lt;0,0,N(INDEX('CURVA PREVISION'!$A$1:$KZ$3000,$C40,10+3*MIN(E$3,$D$2-1)))))</f>
        <v>0</v>
      </c>
      <c r="F40" s="131" t="n">
        <f aca="false">IF(OR($C40="",$B$2="",$D$2=0),0,IF(F$3&lt;0,0,N(INDEX('CURVA PREVISION'!$A$1:$KZ$3000,$C40,10+3*MIN(F$3,$D$2-1)))))</f>
        <v>0</v>
      </c>
      <c r="G40" s="131" t="n">
        <f aca="false">IF(OR($C40="",$B$2="",$D$2=0),0,IF(G$3&lt;0,0,N(INDEX('CURVA PREVISION'!$A$1:$KZ$3000,$C40,10+3*MIN(G$3,$D$2-1)))))</f>
        <v>0</v>
      </c>
      <c r="H40" s="131" t="n">
        <f aca="false">IF(OR($C40="",$B$2="",$D$2=0),0,IF(H$3&lt;0,0,N(INDEX('CURVA PREVISION'!$A$1:$KZ$3000,$C40,10+3*MIN(H$3,$D$2-1)))))</f>
        <v>0</v>
      </c>
      <c r="I40" s="131" t="n">
        <f aca="false">IF(OR($C40="",$B$2="",$D$2=0),0,IF(I$3&lt;0,0,N(INDEX('CURVA PREVISION'!$A$1:$KZ$3000,$C40,10+3*MIN(I$3,$D$2-1)))))</f>
        <v>0</v>
      </c>
      <c r="J40" s="131" t="n">
        <f aca="false">IF(OR($C40="",$B$2="",$D$2=0),0,IF(J$3&lt;0,0,N(INDEX('CURVA PREVISION'!$A$1:$KZ$3000,$C40,10+3*MIN(J$3,$D$2-1)))))</f>
        <v>0</v>
      </c>
      <c r="K40" s="131" t="n">
        <f aca="false">IF(OR($C40="",$B$2="",$D$2=0),0,IF(K$3&lt;0,0,N(INDEX('CURVA PREVISION'!$A$1:$KZ$3000,$C40,10+3*MIN(K$3,$D$2-1)))))</f>
        <v>0</v>
      </c>
      <c r="L40" s="131" t="n">
        <f aca="false">IF(OR($C40="",$B$2="",$D$2=0),0,IF(L$3&lt;0,0,N(INDEX('CURVA PREVISION'!$A$1:$KZ$3000,$C40,10+3*MIN(L$3,$D$2-1)))))</f>
        <v>0</v>
      </c>
      <c r="M40" s="131" t="n">
        <f aca="false">IF(OR($C40="",$B$2="",$D$2=0),0,IF(M$3&lt;0,0,N(INDEX('CURVA PREVISION'!$A$1:$KZ$3000,$C40,10+3*MIN(M$3,$D$2-1)))))</f>
        <v>0</v>
      </c>
      <c r="N40" s="131" t="n">
        <f aca="false">IF(OR($C40="",$B$2="",$D$2=0),0,IF(N$3&lt;0,0,N(INDEX('CURVA PREVISION'!$A$1:$KZ$3000,$C40,10+3*MIN(N$3,$D$2-1)))))</f>
        <v>0</v>
      </c>
      <c r="O40" s="131" t="n">
        <f aca="false">IF(OR($C40="",$B$2="",$D$2=0),0,IF(O$3&lt;0,0,N(INDEX('CURVA PREVISION'!$A$1:$KZ$3000,$C40,10+3*MIN(O$3,$D$2-1)))))</f>
        <v>0</v>
      </c>
      <c r="P40" s="131" t="n">
        <f aca="false">IF(OR($C40="",$B$2="",$D$2=0),0,IF(P$3&lt;0,0,N(INDEX('CURVA PREVISION'!$A$1:$KZ$3000,$C40,10+3*MIN(P$3,$D$2-1)))))</f>
        <v>0</v>
      </c>
      <c r="Q40" s="131" t="n">
        <f aca="false">IF(OR($C40="",$B$2="",$D$2=0),0,IF(Q$3&lt;0,0,N(INDEX('CURVA PREVISION'!$A$1:$KZ$3000,$C40,10+3*MIN(Q$3,$D$2-1)))))</f>
        <v>0</v>
      </c>
      <c r="R40" s="131" t="n">
        <f aca="false">IF(OR($C40="",$B$2="",$D$2=0),0,IF(R$3&lt;0,0,N(INDEX('CURVA PREVISION'!$A$1:$KZ$3000,$C40,10+3*MIN(R$3,$D$2-1)))))</f>
        <v>0</v>
      </c>
      <c r="S40" s="131" t="n">
        <f aca="false">IF(OR($C40="",$B$2="",$D$2=0),0,IF(S$3&lt;0,0,N(INDEX('CURVA PREVISION'!$A$1:$KZ$3000,$C40,10+3*MIN(S$3,$D$2-1)))))</f>
        <v>0</v>
      </c>
      <c r="T40" s="131" t="n">
        <f aca="false">IF(OR($C40="",$B$2="",$D$2=0),0,IF(T$3&lt;0,0,N(INDEX('CURVA PREVISION'!$A$1:$KZ$3000,$C40,10+3*MIN(T$3,$D$2-1)))))</f>
        <v>0</v>
      </c>
      <c r="U40" s="131" t="n">
        <f aca="false">IF(OR($C40="",$B$2="",$D$2=0),0,IF(U$3&lt;0,0,N(INDEX('CURVA PREVISION'!$A$1:$KZ$3000,$C40,10+3*MIN(U$3,$D$2-1)))))</f>
        <v>0</v>
      </c>
      <c r="V40" s="131" t="n">
        <f aca="false">IF(OR($C40="",$B$2="",$D$2=0),0,IF(V$3&lt;0,0,N(INDEX('CURVA PREVISION'!$A$1:$KZ$3000,$C40,10+3*MIN(V$3,$D$2-1)))))</f>
        <v>0</v>
      </c>
      <c r="W40" s="131" t="n">
        <f aca="false">IF(OR($C40="",$B$2="",$D$2=0),0,IF(W$3&lt;0,0,N(INDEX('CURVA PREVISION'!$A$1:$KZ$3000,$C40,10+3*MIN(W$3,$D$2-1)))))</f>
        <v>0</v>
      </c>
      <c r="X40" s="131" t="n">
        <f aca="false">IF(OR($C40="",$B$2="",$D$2=0),0,IF(X$3&lt;0,0,N(INDEX('CURVA PREVISION'!$A$1:$KZ$3000,$C40,10+3*MIN(X$3,$D$2-1)))))</f>
        <v>0</v>
      </c>
      <c r="Y40" s="131" t="n">
        <f aca="false">IF(OR($C40="",$B$2="",$D$2=0),0,IF(Y$3&lt;0,0,N(INDEX('CURVA PREVISION'!$A$1:$KZ$3000,$C40,10+3*MIN(Y$3,$D$2-1)))))</f>
        <v>0</v>
      </c>
      <c r="Z40" s="131" t="n">
        <f aca="false">IF(OR($C40="",$B$2="",$D$2=0),0,IF(Z$3&lt;0,0,N(INDEX('CURVA PREVISION'!$A$1:$KZ$3000,$C40,10+3*MIN(Z$3,$D$2-1)))))</f>
        <v>0</v>
      </c>
      <c r="AA40" s="131" t="n">
        <f aca="false">IF(OR($C40="",$B$2="",$D$2=0),0,IF(AA$3&lt;0,0,N(INDEX('CURVA PREVISION'!$A$1:$KZ$3000,$C40,10+3*MIN(AA$3,$D$2-1)))))</f>
        <v>0</v>
      </c>
      <c r="AB40" s="131" t="n">
        <f aca="false">IF(OR($C40="",$B$2="",$D$2=0),0,IF(AB$3&lt;0,0,N(INDEX('CURVA PREVISION'!$A$1:$KZ$3000,$C40,10+3*MIN(AB$3,$D$2-1)))))</f>
        <v>0</v>
      </c>
      <c r="AC40" s="131" t="n">
        <f aca="false">IF(OR($C40="",$B$2="",$D$2=0),0,IF(AC$3&lt;0,0,N(INDEX('CURVA PREVISION'!$A$1:$KZ$3000,$C40,10+3*MIN(AC$3,$D$2-1)))))</f>
        <v>0</v>
      </c>
      <c r="AD40" s="131" t="n">
        <f aca="false">IF(OR($C40="",$B$2="",$D$2=0),0,IF(AD$3&lt;0,0,N(INDEX('CURVA PREVISION'!$A$1:$KZ$3000,$C40,10+3*MIN(AD$3,$D$2-1)))))</f>
        <v>0</v>
      </c>
      <c r="AE40" s="131" t="n">
        <f aca="false">IF(OR($C40="",$B$2="",$D$2=0),0,IF(AE$3&lt;0,0,N(INDEX('CURVA PREVISION'!$A$1:$KZ$3000,$C40,10+3*MIN(AE$3,$D$2-1)))))</f>
        <v>0</v>
      </c>
      <c r="AF40" s="131" t="n">
        <f aca="false">IF(OR($C40="",$B$2="",$D$2=0),0,IF(AF$3&lt;0,0,N(INDEX('CURVA PREVISION'!$A$1:$KZ$3000,$C40,10+3*MIN(AF$3,$D$2-1)))))</f>
        <v>0</v>
      </c>
      <c r="AG40" s="131" t="n">
        <f aca="false">IF(OR($C40="",$B$2="",$D$2=0),0,IF(AG$3&lt;0,0,N(INDEX('CURVA PREVISION'!$A$1:$KZ$3000,$C40,10+3*MIN(AG$3,$D$2-1)))))</f>
        <v>0</v>
      </c>
      <c r="AH40" s="131" t="n">
        <f aca="false">IF(OR($C40="",$B$2="",$D$2=0),0,IF(AH$3&lt;0,0,N(INDEX('CURVA PREVISION'!$A$1:$KZ$3000,$C40,10+3*MIN(AH$3,$D$2-1)))))</f>
        <v>0</v>
      </c>
      <c r="AI40" s="131" t="n">
        <f aca="false">IF(OR($C40="",$B$2="",$D$2=0),0,IF(AI$3&lt;0,0,N(INDEX('CURVA PREVISION'!$A$1:$KZ$3000,$C40,10+3*MIN(AI$3,$D$2-1)))))</f>
        <v>0</v>
      </c>
      <c r="AJ40" s="131" t="n">
        <f aca="false">IF(OR($C40="",$B$2="",$D$2=0),0,IF(AJ$3&lt;0,0,N(INDEX('CURVA PREVISION'!$A$1:$KZ$3000,$C40,10+3*MIN(AJ$3,$D$2-1)))))</f>
        <v>0</v>
      </c>
      <c r="AK40" s="131" t="n">
        <f aca="false">IF(OR($C40="",$B$2="",$D$2=0),0,IF(AK$3&lt;0,0,N(INDEX('CURVA PREVISION'!$A$1:$KZ$3000,$C40,10+3*MIN(AK$3,$D$2-1)))))</f>
        <v>0</v>
      </c>
      <c r="AL40" s="131" t="n">
        <f aca="false">IF(OR($C40="",$B$2="",$D$2=0),0,IF(AL$3&lt;0,0,N(INDEX('CURVA PREVISION'!$A$1:$KZ$3000,$C40,10+3*MIN(AL$3,$D$2-1)))))</f>
        <v>0</v>
      </c>
      <c r="AM40" s="131" t="n">
        <f aca="false">IF(OR($C40="",$B$2="",$D$2=0),0,IF(AM$3&lt;0,0,N(INDEX('CURVA PREVISION'!$A$1:$KZ$3000,$C40,10+3*MIN(AM$3,$D$2-1)))))</f>
        <v>0</v>
      </c>
      <c r="AN40" s="131" t="n">
        <f aca="false">IF(OR($C40="",$B$2="",$D$2=0),0,IF(AN$3&lt;0,0,N(INDEX('CURVA PREVISION'!$A$1:$KZ$3000,$C40,10+3*MIN(AN$3,$D$2-1)))))</f>
        <v>7.53</v>
      </c>
      <c r="AO40" s="131" t="n">
        <f aca="false">IF(OR($C40="",$B$2="",$D$2=0),0,IF(AO$3&lt;0,0,N(INDEX('CURVA PREVISION'!$A$1:$KZ$3000,$C40,10+3*MIN(AO$3,$D$2-1)))))</f>
        <v>32.27</v>
      </c>
      <c r="AP40" s="131" t="n">
        <f aca="false">IF(OR($C40="",$B$2="",$D$2=0),0,IF(AP$3&lt;0,0,N(INDEX('CURVA PREVISION'!$A$1:$KZ$3000,$C40,10+3*MIN(AP$3,$D$2-1)))))</f>
        <v>49.82</v>
      </c>
      <c r="AQ40" s="131" t="n">
        <f aca="false">IF(OR($C40="",$B$2="",$D$2=0),0,IF(AQ$3&lt;0,0,N(INDEX('CURVA PREVISION'!$A$1:$KZ$3000,$C40,10+3*MIN(AQ$3,$D$2-1)))))</f>
        <v>70.83</v>
      </c>
      <c r="AR40" s="131" t="n">
        <f aca="false">IF(OR($C40="",$B$2="",$D$2=0),0,IF(AR$3&lt;0,0,N(INDEX('CURVA PREVISION'!$A$1:$KZ$3000,$C40,10+3*MIN(AR$3,$D$2-1)))))</f>
        <v>87.28</v>
      </c>
      <c r="AS40" s="131" t="n">
        <f aca="false">IF(OR($C40="",$B$2="",$D$2=0),0,IF(AS$3&lt;0,0,N(INDEX('CURVA PREVISION'!$A$1:$KZ$3000,$C40,10+3*MIN(AS$3,$D$2-1)))))</f>
        <v>87.28</v>
      </c>
      <c r="AT40" s="131" t="n">
        <f aca="false">IF(OR($C40="",$B$2="",$D$2=0),0,IF(AT$3&lt;0,0,N(INDEX('CURVA PREVISION'!$A$1:$KZ$3000,$C40,10+3*MIN(AT$3,$D$2-1)))))</f>
        <v>87.28</v>
      </c>
      <c r="AU40" s="131" t="n">
        <f aca="false">IF(OR($C40="",$B$2="",$D$2=0),0,IF(AU$3&lt;0,0,N(INDEX('CURVA PREVISION'!$A$1:$KZ$3000,$C40,10+3*MIN(AU$3,$D$2-1)))))</f>
        <v>87.28</v>
      </c>
      <c r="AV40" s="131" t="n">
        <f aca="false">IF(OR($C40="",$B$2="",$D$2=0),0,IF(AV$3&lt;0,0,N(INDEX('CURVA PREVISION'!$A$1:$KZ$3000,$C40,10+3*MIN(AV$3,$D$2-1)))))</f>
        <v>88.66</v>
      </c>
      <c r="AW40" s="131" t="n">
        <f aca="false">IF(OR($C40="",$B$2="",$D$2=0),0,IF(AW$3&lt;0,0,N(INDEX('CURVA PREVISION'!$A$1:$KZ$3000,$C40,10+3*MIN(AW$3,$D$2-1)))))</f>
        <v>94.2</v>
      </c>
      <c r="AX40" s="131" t="n">
        <f aca="false">IF(OR($C40="",$B$2="",$D$2=0),0,IF(AX$3&lt;0,0,N(INDEX('CURVA PREVISION'!$A$1:$KZ$3000,$C40,10+3*MIN(AX$3,$D$2-1)))))</f>
        <v>100</v>
      </c>
      <c r="AY40" s="131" t="n">
        <f aca="false">IF(OR($C40="",$B$2="",$D$2=0),0,IF(AY$3&lt;0,0,N(INDEX('CURVA PREVISION'!$A$1:$KZ$3000,$C40,10+3*MIN(AY$3,$D$2-1)))))</f>
        <v>100</v>
      </c>
      <c r="AZ40" s="131" t="n">
        <f aca="false">IF(OR($C40="",$B$2="",$D$2=0),0,IF(AZ$3&lt;0,0,N(INDEX('CURVA PREVISION'!$A$1:$KZ$3000,$C40,10+3*MIN(AZ$3,$D$2-1)))))</f>
        <v>100</v>
      </c>
      <c r="BA40" s="131" t="n">
        <f aca="false">IF(OR($C40="",$B$2="",$D$2=0),0,IF(BA$3&lt;0,0,N(INDEX('CURVA PREVISION'!$A$1:$KZ$3000,$C40,10+3*MIN(BA$3,$D$2-1)))))</f>
        <v>100</v>
      </c>
      <c r="BB40" s="131" t="n">
        <f aca="false">IF(OR($C40="",$B$2="",$D$2=0),0,IF(BB$3&lt;0,0,N(INDEX('CURVA PREVISION'!$A$1:$KZ$3000,$C40,10+3*MIN(BB$3,$D$2-1)))))</f>
        <v>100</v>
      </c>
      <c r="BC40" s="131" t="n">
        <f aca="false">IF(OR($C40="",$B$2="",$D$2=0),0,IF(BC$3&lt;0,0,N(INDEX('CURVA PREVISION'!$A$1:$KZ$3000,$C40,10+3*MIN(BC$3,$D$2-1)))))</f>
        <v>100</v>
      </c>
      <c r="BD40" s="131" t="n">
        <f aca="false">IF(OR($C40="",$B$2="",$D$2=0),0,IF(BD$3&lt;0,0,N(INDEX('CURVA PREVISION'!$A$1:$KZ$3000,$C40,10+3*MIN(BD$3,$D$2-1)))))</f>
        <v>100</v>
      </c>
      <c r="BE40" s="131" t="n">
        <f aca="false">IF(OR($C40="",$B$2="",$D$2=0),0,IF(BE$3&lt;0,0,N(INDEX('CURVA PREVISION'!$A$1:$KZ$3000,$C40,10+3*MIN(BE$3,$D$2-1)))))</f>
        <v>100</v>
      </c>
      <c r="BF40" s="131" t="n">
        <f aca="false">IF(OR($C40="",$B$2="",$D$2=0),0,IF(BF$3&lt;0,0,N(INDEX('CURVA PREVISION'!$A$1:$KZ$3000,$C40,10+3*MIN(BF$3,$D$2-1)))))</f>
        <v>100</v>
      </c>
      <c r="BG40" s="131" t="n">
        <f aca="false">IF(OR($C40="",$B$2="",$D$2=0),0,IF(BG$3&lt;0,0,N(INDEX('CURVA PREVISION'!$A$1:$KZ$3000,$C40,10+3*MIN(BG$3,$D$2-1)))))</f>
        <v>100</v>
      </c>
      <c r="BH40" s="131" t="n">
        <f aca="false">IF(OR($C40="",$B$2="",$D$2=0),0,IF(BH$3&lt;0,0,N(INDEX('CURVA PREVISION'!$A$1:$KZ$3000,$C40,10+3*MIN(BH$3,$D$2-1)))))</f>
        <v>100</v>
      </c>
      <c r="BI40" s="131" t="n">
        <f aca="false">IF(OR($C40="",$B$2="",$D$2=0),0,IF(BI$3&lt;0,0,N(INDEX('CURVA PREVISION'!$A$1:$KZ$3000,$C40,10+3*MIN(BI$3,$D$2-1)))))</f>
        <v>100</v>
      </c>
      <c r="BJ40" s="131" t="n">
        <f aca="false">IF(OR($C40="",$B$2="",$D$2=0),0,IF(BJ$3&lt;0,0,N(INDEX('CURVA PREVISION'!$A$1:$KZ$3000,$C40,10+3*MIN(BJ$3,$D$2-1)))))</f>
        <v>100</v>
      </c>
      <c r="BK40" s="131" t="n">
        <f aca="false">IF(OR($C40="",$B$2="",$D$2=0),0,IF(BK$3&lt;0,0,N(INDEX('CURVA PREVISION'!$A$1:$KZ$3000,$C40,10+3*MIN(BK$3,$D$2-1)))))</f>
        <v>100</v>
      </c>
      <c r="BL40" s="131" t="n">
        <f aca="false">IF(OR($C40="",$B$2="",$D$2=0),0,IF(BL$3&lt;0,0,N(INDEX('CURVA PREVISION'!$A$1:$KZ$3000,$C40,10+3*MIN(BL$3,$D$2-1)))))</f>
        <v>100</v>
      </c>
      <c r="BM40" s="131" t="n">
        <f aca="false">IF(OR($C40="",$B$2="",$D$2=0),0,IF(BM$3&lt;0,0,N(INDEX('CURVA PREVISION'!$A$1:$KZ$3000,$C40,10+3*MIN(BM$3,$D$2-1)))))</f>
        <v>100</v>
      </c>
      <c r="BN40" s="131" t="n">
        <f aca="false">IF(OR($C40="",$B$2="",$D$2=0),0,IF(BN$3&lt;0,0,N(INDEX('CURVA PREVISION'!$A$1:$KZ$3000,$C40,10+3*MIN(BN$3,$D$2-1)))))</f>
        <v>100</v>
      </c>
      <c r="BO40" s="131" t="n">
        <f aca="false">IF(OR($C40="",$B$2="",$D$2=0),0,IF(BO$3&lt;0,0,N(INDEX('CURVA PREVISION'!$A$1:$KZ$3000,$C40,10+3*MIN(BO$3,$D$2-1)))))</f>
        <v>100</v>
      </c>
      <c r="BP40" s="131" t="n">
        <f aca="false">IF(OR($C40="",$B$2="",$D$2=0),0,IF(BP$3&lt;0,0,N(INDEX('CURVA PREVISION'!$A$1:$KZ$3000,$C40,10+3*MIN(BP$3,$D$2-1)))))</f>
        <v>100</v>
      </c>
      <c r="BQ40" s="131" t="n">
        <f aca="false">IF(OR($C40="",$B$2="",$D$2=0),0,IF(BQ$3&lt;0,0,N(INDEX('CURVA PREVISION'!$A$1:$KZ$3000,$C40,10+3*MIN(BQ$3,$D$2-1)))))</f>
        <v>100</v>
      </c>
      <c r="BR40" s="131" t="n">
        <f aca="false">IF(OR($C40="",$B$2="",$D$2=0),0,IF(BR$3&lt;0,0,N(INDEX('CURVA PREVISION'!$A$1:$KZ$3000,$C40,10+3*MIN(BR$3,$D$2-1)))))</f>
        <v>100</v>
      </c>
      <c r="BS40" s="131" t="n">
        <f aca="false">IF(OR($C40="",$B$2="",$D$2=0),0,IF(BS$3&lt;0,0,N(INDEX('CURVA PREVISION'!$A$1:$KZ$3000,$C40,10+3*MIN(BS$3,$D$2-1)))))</f>
        <v>100</v>
      </c>
      <c r="BT40" s="131" t="n">
        <f aca="false">IF(OR($C40="",$B$2="",$D$2=0),0,IF(BT$3&lt;0,0,N(INDEX('CURVA PREVISION'!$A$1:$KZ$3000,$C40,10+3*MIN(BT$3,$D$2-1)))))</f>
        <v>100</v>
      </c>
      <c r="BU40" s="131" t="n">
        <f aca="false">IF(OR($C40="",$B$2="",$D$2=0),0,IF(BU$3&lt;0,0,N(INDEX('CURVA PREVISION'!$A$1:$KZ$3000,$C40,10+3*MIN(BU$3,$D$2-1)))))</f>
        <v>100</v>
      </c>
      <c r="BV40" s="131" t="n">
        <f aca="false">IF(OR($C40="",$B$2="",$D$2=0),0,IF(BV$3&lt;0,0,N(INDEX('CURVA PREVISION'!$A$1:$KZ$3000,$C40,10+3*MIN(BV$3,$D$2-1)))))</f>
        <v>100</v>
      </c>
      <c r="BW40" s="131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1112</v>
      </c>
      <c r="D41" s="131" t="n">
        <f aca="false">IF(OR($C41="",$B$2="",$D$2=0),0,IF(D$3&lt;0,0,N(INDEX('CURVA PREVISION'!$A$1:$KZ$3000,$C41,10+3*MIN(D$3,$D$2-1)))))</f>
        <v>0</v>
      </c>
      <c r="E41" s="131" t="n">
        <f aca="false">IF(OR($C41="",$B$2="",$D$2=0),0,IF(E$3&lt;0,0,N(INDEX('CURVA PREVISION'!$A$1:$KZ$3000,$C41,10+3*MIN(E$3,$D$2-1)))))</f>
        <v>0</v>
      </c>
      <c r="F41" s="131" t="n">
        <f aca="false">IF(OR($C41="",$B$2="",$D$2=0),0,IF(F$3&lt;0,0,N(INDEX('CURVA PREVISION'!$A$1:$KZ$3000,$C41,10+3*MIN(F$3,$D$2-1)))))</f>
        <v>0</v>
      </c>
      <c r="G41" s="131" t="n">
        <f aca="false">IF(OR($C41="",$B$2="",$D$2=0),0,IF(G$3&lt;0,0,N(INDEX('CURVA PREVISION'!$A$1:$KZ$3000,$C41,10+3*MIN(G$3,$D$2-1)))))</f>
        <v>0</v>
      </c>
      <c r="H41" s="131" t="n">
        <f aca="false">IF(OR($C41="",$B$2="",$D$2=0),0,IF(H$3&lt;0,0,N(INDEX('CURVA PREVISION'!$A$1:$KZ$3000,$C41,10+3*MIN(H$3,$D$2-1)))))</f>
        <v>0</v>
      </c>
      <c r="I41" s="131" t="n">
        <f aca="false">IF(OR($C41="",$B$2="",$D$2=0),0,IF(I$3&lt;0,0,N(INDEX('CURVA PREVISION'!$A$1:$KZ$3000,$C41,10+3*MIN(I$3,$D$2-1)))))</f>
        <v>0</v>
      </c>
      <c r="J41" s="131" t="n">
        <f aca="false">IF(OR($C41="",$B$2="",$D$2=0),0,IF(J$3&lt;0,0,N(INDEX('CURVA PREVISION'!$A$1:$KZ$3000,$C41,10+3*MIN(J$3,$D$2-1)))))</f>
        <v>0</v>
      </c>
      <c r="K41" s="131" t="n">
        <f aca="false">IF(OR($C41="",$B$2="",$D$2=0),0,IF(K$3&lt;0,0,N(INDEX('CURVA PREVISION'!$A$1:$KZ$3000,$C41,10+3*MIN(K$3,$D$2-1)))))</f>
        <v>0</v>
      </c>
      <c r="L41" s="131" t="n">
        <f aca="false">IF(OR($C41="",$B$2="",$D$2=0),0,IF(L$3&lt;0,0,N(INDEX('CURVA PREVISION'!$A$1:$KZ$3000,$C41,10+3*MIN(L$3,$D$2-1)))))</f>
        <v>0</v>
      </c>
      <c r="M41" s="131" t="n">
        <f aca="false">IF(OR($C41="",$B$2="",$D$2=0),0,IF(M$3&lt;0,0,N(INDEX('CURVA PREVISION'!$A$1:$KZ$3000,$C41,10+3*MIN(M$3,$D$2-1)))))</f>
        <v>0</v>
      </c>
      <c r="N41" s="131" t="n">
        <f aca="false">IF(OR($C41="",$B$2="",$D$2=0),0,IF(N$3&lt;0,0,N(INDEX('CURVA PREVISION'!$A$1:$KZ$3000,$C41,10+3*MIN(N$3,$D$2-1)))))</f>
        <v>0</v>
      </c>
      <c r="O41" s="131" t="n">
        <f aca="false">IF(OR($C41="",$B$2="",$D$2=0),0,IF(O$3&lt;0,0,N(INDEX('CURVA PREVISION'!$A$1:$KZ$3000,$C41,10+3*MIN(O$3,$D$2-1)))))</f>
        <v>0</v>
      </c>
      <c r="P41" s="131" t="n">
        <f aca="false">IF(OR($C41="",$B$2="",$D$2=0),0,IF(P$3&lt;0,0,N(INDEX('CURVA PREVISION'!$A$1:$KZ$3000,$C41,10+3*MIN(P$3,$D$2-1)))))</f>
        <v>0</v>
      </c>
      <c r="Q41" s="131" t="n">
        <f aca="false">IF(OR($C41="",$B$2="",$D$2=0),0,IF(Q$3&lt;0,0,N(INDEX('CURVA PREVISION'!$A$1:$KZ$3000,$C41,10+3*MIN(Q$3,$D$2-1)))))</f>
        <v>0</v>
      </c>
      <c r="R41" s="131" t="n">
        <f aca="false">IF(OR($C41="",$B$2="",$D$2=0),0,IF(R$3&lt;0,0,N(INDEX('CURVA PREVISION'!$A$1:$KZ$3000,$C41,10+3*MIN(R$3,$D$2-1)))))</f>
        <v>0</v>
      </c>
      <c r="S41" s="131" t="n">
        <f aca="false">IF(OR($C41="",$B$2="",$D$2=0),0,IF(S$3&lt;0,0,N(INDEX('CURVA PREVISION'!$A$1:$KZ$3000,$C41,10+3*MIN(S$3,$D$2-1)))))</f>
        <v>0</v>
      </c>
      <c r="T41" s="131" t="n">
        <f aca="false">IF(OR($C41="",$B$2="",$D$2=0),0,IF(T$3&lt;0,0,N(INDEX('CURVA PREVISION'!$A$1:$KZ$3000,$C41,10+3*MIN(T$3,$D$2-1)))))</f>
        <v>0</v>
      </c>
      <c r="U41" s="131" t="n">
        <f aca="false">IF(OR($C41="",$B$2="",$D$2=0),0,IF(U$3&lt;0,0,N(INDEX('CURVA PREVISION'!$A$1:$KZ$3000,$C41,10+3*MIN(U$3,$D$2-1)))))</f>
        <v>0</v>
      </c>
      <c r="V41" s="131" t="n">
        <f aca="false">IF(OR($C41="",$B$2="",$D$2=0),0,IF(V$3&lt;0,0,N(INDEX('CURVA PREVISION'!$A$1:$KZ$3000,$C41,10+3*MIN(V$3,$D$2-1)))))</f>
        <v>0</v>
      </c>
      <c r="W41" s="131" t="n">
        <f aca="false">IF(OR($C41="",$B$2="",$D$2=0),0,IF(W$3&lt;0,0,N(INDEX('CURVA PREVISION'!$A$1:$KZ$3000,$C41,10+3*MIN(W$3,$D$2-1)))))</f>
        <v>0</v>
      </c>
      <c r="X41" s="131" t="n">
        <f aca="false">IF(OR($C41="",$B$2="",$D$2=0),0,IF(X$3&lt;0,0,N(INDEX('CURVA PREVISION'!$A$1:$KZ$3000,$C41,10+3*MIN(X$3,$D$2-1)))))</f>
        <v>0</v>
      </c>
      <c r="Y41" s="131" t="n">
        <f aca="false">IF(OR($C41="",$B$2="",$D$2=0),0,IF(Y$3&lt;0,0,N(INDEX('CURVA PREVISION'!$A$1:$KZ$3000,$C41,10+3*MIN(Y$3,$D$2-1)))))</f>
        <v>0</v>
      </c>
      <c r="Z41" s="131" t="n">
        <f aca="false">IF(OR($C41="",$B$2="",$D$2=0),0,IF(Z$3&lt;0,0,N(INDEX('CURVA PREVISION'!$A$1:$KZ$3000,$C41,10+3*MIN(Z$3,$D$2-1)))))</f>
        <v>0</v>
      </c>
      <c r="AA41" s="131" t="n">
        <f aca="false">IF(OR($C41="",$B$2="",$D$2=0),0,IF(AA$3&lt;0,0,N(INDEX('CURVA PREVISION'!$A$1:$KZ$3000,$C41,10+3*MIN(AA$3,$D$2-1)))))</f>
        <v>0</v>
      </c>
      <c r="AB41" s="131" t="n">
        <f aca="false">IF(OR($C41="",$B$2="",$D$2=0),0,IF(AB$3&lt;0,0,N(INDEX('CURVA PREVISION'!$A$1:$KZ$3000,$C41,10+3*MIN(AB$3,$D$2-1)))))</f>
        <v>0</v>
      </c>
      <c r="AC41" s="131" t="n">
        <f aca="false">IF(OR($C41="",$B$2="",$D$2=0),0,IF(AC$3&lt;0,0,N(INDEX('CURVA PREVISION'!$A$1:$KZ$3000,$C41,10+3*MIN(AC$3,$D$2-1)))))</f>
        <v>0</v>
      </c>
      <c r="AD41" s="131" t="n">
        <f aca="false">IF(OR($C41="",$B$2="",$D$2=0),0,IF(AD$3&lt;0,0,N(INDEX('CURVA PREVISION'!$A$1:$KZ$3000,$C41,10+3*MIN(AD$3,$D$2-1)))))</f>
        <v>0</v>
      </c>
      <c r="AE41" s="131" t="n">
        <f aca="false">IF(OR($C41="",$B$2="",$D$2=0),0,IF(AE$3&lt;0,0,N(INDEX('CURVA PREVISION'!$A$1:$KZ$3000,$C41,10+3*MIN(AE$3,$D$2-1)))))</f>
        <v>0.33</v>
      </c>
      <c r="AF41" s="131" t="n">
        <f aca="false">IF(OR($C41="",$B$2="",$D$2=0),0,IF(AF$3&lt;0,0,N(INDEX('CURVA PREVISION'!$A$1:$KZ$3000,$C41,10+3*MIN(AF$3,$D$2-1)))))</f>
        <v>0.48</v>
      </c>
      <c r="AG41" s="131" t="n">
        <f aca="false">IF(OR($C41="",$B$2="",$D$2=0),0,IF(AG$3&lt;0,0,N(INDEX('CURVA PREVISION'!$A$1:$KZ$3000,$C41,10+3*MIN(AG$3,$D$2-1)))))</f>
        <v>0.48</v>
      </c>
      <c r="AH41" s="131" t="n">
        <f aca="false">IF(OR($C41="",$B$2="",$D$2=0),0,IF(AH$3&lt;0,0,N(INDEX('CURVA PREVISION'!$A$1:$KZ$3000,$C41,10+3*MIN(AH$3,$D$2-1)))))</f>
        <v>0.69</v>
      </c>
      <c r="AI41" s="131" t="n">
        <f aca="false">IF(OR($C41="",$B$2="",$D$2=0),0,IF(AI$3&lt;0,0,N(INDEX('CURVA PREVISION'!$A$1:$KZ$3000,$C41,10+3*MIN(AI$3,$D$2-1)))))</f>
        <v>2.78</v>
      </c>
      <c r="AJ41" s="131" t="n">
        <f aca="false">IF(OR($C41="",$B$2="",$D$2=0),0,IF(AJ$3&lt;0,0,N(INDEX('CURVA PREVISION'!$A$1:$KZ$3000,$C41,10+3*MIN(AJ$3,$D$2-1)))))</f>
        <v>6.84</v>
      </c>
      <c r="AK41" s="131" t="n">
        <f aca="false">IF(OR($C41="",$B$2="",$D$2=0),0,IF(AK$3&lt;0,0,N(INDEX('CURVA PREVISION'!$A$1:$KZ$3000,$C41,10+3*MIN(AK$3,$D$2-1)))))</f>
        <v>8.92</v>
      </c>
      <c r="AL41" s="131" t="n">
        <f aca="false">IF(OR($C41="",$B$2="",$D$2=0),0,IF(AL$3&lt;0,0,N(INDEX('CURVA PREVISION'!$A$1:$KZ$3000,$C41,10+3*MIN(AL$3,$D$2-1)))))</f>
        <v>11.91</v>
      </c>
      <c r="AM41" s="131" t="n">
        <f aca="false">IF(OR($C41="",$B$2="",$D$2=0),0,IF(AM$3&lt;0,0,N(INDEX('CURVA PREVISION'!$A$1:$KZ$3000,$C41,10+3*MIN(AM$3,$D$2-1)))))</f>
        <v>12.17</v>
      </c>
      <c r="AN41" s="131" t="n">
        <f aca="false">IF(OR($C41="",$B$2="",$D$2=0),0,IF(AN$3&lt;0,0,N(INDEX('CURVA PREVISION'!$A$1:$KZ$3000,$C41,10+3*MIN(AN$3,$D$2-1)))))</f>
        <v>12.23</v>
      </c>
      <c r="AO41" s="131" t="n">
        <f aca="false">IF(OR($C41="",$B$2="",$D$2=0),0,IF(AO$3&lt;0,0,N(INDEX('CURVA PREVISION'!$A$1:$KZ$3000,$C41,10+3*MIN(AO$3,$D$2-1)))))</f>
        <v>12.35</v>
      </c>
      <c r="AP41" s="131" t="n">
        <f aca="false">IF(OR($C41="",$B$2="",$D$2=0),0,IF(AP$3&lt;0,0,N(INDEX('CURVA PREVISION'!$A$1:$KZ$3000,$C41,10+3*MIN(AP$3,$D$2-1)))))</f>
        <v>15.12</v>
      </c>
      <c r="AQ41" s="131" t="n">
        <f aca="false">IF(OR($C41="",$B$2="",$D$2=0),0,IF(AQ$3&lt;0,0,N(INDEX('CURVA PREVISION'!$A$1:$KZ$3000,$C41,10+3*MIN(AQ$3,$D$2-1)))))</f>
        <v>22.6</v>
      </c>
      <c r="AR41" s="131" t="n">
        <f aca="false">IF(OR($C41="",$B$2="",$D$2=0),0,IF(AR$3&lt;0,0,N(INDEX('CURVA PREVISION'!$A$1:$KZ$3000,$C41,10+3*MIN(AR$3,$D$2-1)))))</f>
        <v>31.44</v>
      </c>
      <c r="AS41" s="131" t="n">
        <f aca="false">IF(OR($C41="",$B$2="",$D$2=0),0,IF(AS$3&lt;0,0,N(INDEX('CURVA PREVISION'!$A$1:$KZ$3000,$C41,10+3*MIN(AS$3,$D$2-1)))))</f>
        <v>48.3</v>
      </c>
      <c r="AT41" s="131" t="n">
        <f aca="false">IF(OR($C41="",$B$2="",$D$2=0),0,IF(AT$3&lt;0,0,N(INDEX('CURVA PREVISION'!$A$1:$KZ$3000,$C41,10+3*MIN(AT$3,$D$2-1)))))</f>
        <v>59.77</v>
      </c>
      <c r="AU41" s="131" t="n">
        <f aca="false">IF(OR($C41="",$B$2="",$D$2=0),0,IF(AU$3&lt;0,0,N(INDEX('CURVA PREVISION'!$A$1:$KZ$3000,$C41,10+3*MIN(AU$3,$D$2-1)))))</f>
        <v>68.09</v>
      </c>
      <c r="AV41" s="131" t="n">
        <f aca="false">IF(OR($C41="",$B$2="",$D$2=0),0,IF(AV$3&lt;0,0,N(INDEX('CURVA PREVISION'!$A$1:$KZ$3000,$C41,10+3*MIN(AV$3,$D$2-1)))))</f>
        <v>79.8</v>
      </c>
      <c r="AW41" s="131" t="n">
        <f aca="false">IF(OR($C41="",$B$2="",$D$2=0),0,IF(AW$3&lt;0,0,N(INDEX('CURVA PREVISION'!$A$1:$KZ$3000,$C41,10+3*MIN(AW$3,$D$2-1)))))</f>
        <v>87.39</v>
      </c>
      <c r="AX41" s="131" t="n">
        <f aca="false">IF(OR($C41="",$B$2="",$D$2=0),0,IF(AX$3&lt;0,0,N(INDEX('CURVA PREVISION'!$A$1:$KZ$3000,$C41,10+3*MIN(AX$3,$D$2-1)))))</f>
        <v>94.11</v>
      </c>
      <c r="AY41" s="131" t="n">
        <f aca="false">IF(OR($C41="",$B$2="",$D$2=0),0,IF(AY$3&lt;0,0,N(INDEX('CURVA PREVISION'!$A$1:$KZ$3000,$C41,10+3*MIN(AY$3,$D$2-1)))))</f>
        <v>99.06</v>
      </c>
      <c r="AZ41" s="131" t="n">
        <f aca="false">IF(OR($C41="",$B$2="",$D$2=0),0,IF(AZ$3&lt;0,0,N(INDEX('CURVA PREVISION'!$A$1:$KZ$3000,$C41,10+3*MIN(AZ$3,$D$2-1)))))</f>
        <v>100</v>
      </c>
      <c r="BA41" s="131" t="n">
        <f aca="false">IF(OR($C41="",$B$2="",$D$2=0),0,IF(BA$3&lt;0,0,N(INDEX('CURVA PREVISION'!$A$1:$KZ$3000,$C41,10+3*MIN(BA$3,$D$2-1)))))</f>
        <v>100</v>
      </c>
      <c r="BB41" s="131" t="n">
        <f aca="false">IF(OR($C41="",$B$2="",$D$2=0),0,IF(BB$3&lt;0,0,N(INDEX('CURVA PREVISION'!$A$1:$KZ$3000,$C41,10+3*MIN(BB$3,$D$2-1)))))</f>
        <v>100</v>
      </c>
      <c r="BC41" s="131" t="n">
        <f aca="false">IF(OR($C41="",$B$2="",$D$2=0),0,IF(BC$3&lt;0,0,N(INDEX('CURVA PREVISION'!$A$1:$KZ$3000,$C41,10+3*MIN(BC$3,$D$2-1)))))</f>
        <v>100</v>
      </c>
      <c r="BD41" s="131" t="n">
        <f aca="false">IF(OR($C41="",$B$2="",$D$2=0),0,IF(BD$3&lt;0,0,N(INDEX('CURVA PREVISION'!$A$1:$KZ$3000,$C41,10+3*MIN(BD$3,$D$2-1)))))</f>
        <v>100</v>
      </c>
      <c r="BE41" s="131" t="n">
        <f aca="false">IF(OR($C41="",$B$2="",$D$2=0),0,IF(BE$3&lt;0,0,N(INDEX('CURVA PREVISION'!$A$1:$KZ$3000,$C41,10+3*MIN(BE$3,$D$2-1)))))</f>
        <v>100</v>
      </c>
      <c r="BF41" s="131" t="n">
        <f aca="false">IF(OR($C41="",$B$2="",$D$2=0),0,IF(BF$3&lt;0,0,N(INDEX('CURVA PREVISION'!$A$1:$KZ$3000,$C41,10+3*MIN(BF$3,$D$2-1)))))</f>
        <v>100</v>
      </c>
      <c r="BG41" s="131" t="n">
        <f aca="false">IF(OR($C41="",$B$2="",$D$2=0),0,IF(BG$3&lt;0,0,N(INDEX('CURVA PREVISION'!$A$1:$KZ$3000,$C41,10+3*MIN(BG$3,$D$2-1)))))</f>
        <v>100</v>
      </c>
      <c r="BH41" s="131" t="n">
        <f aca="false">IF(OR($C41="",$B$2="",$D$2=0),0,IF(BH$3&lt;0,0,N(INDEX('CURVA PREVISION'!$A$1:$KZ$3000,$C41,10+3*MIN(BH$3,$D$2-1)))))</f>
        <v>100</v>
      </c>
      <c r="BI41" s="131" t="n">
        <f aca="false">IF(OR($C41="",$B$2="",$D$2=0),0,IF(BI$3&lt;0,0,N(INDEX('CURVA PREVISION'!$A$1:$KZ$3000,$C41,10+3*MIN(BI$3,$D$2-1)))))</f>
        <v>100</v>
      </c>
      <c r="BJ41" s="131" t="n">
        <f aca="false">IF(OR($C41="",$B$2="",$D$2=0),0,IF(BJ$3&lt;0,0,N(INDEX('CURVA PREVISION'!$A$1:$KZ$3000,$C41,10+3*MIN(BJ$3,$D$2-1)))))</f>
        <v>100</v>
      </c>
      <c r="BK41" s="131" t="n">
        <f aca="false">IF(OR($C41="",$B$2="",$D$2=0),0,IF(BK$3&lt;0,0,N(INDEX('CURVA PREVISION'!$A$1:$KZ$3000,$C41,10+3*MIN(BK$3,$D$2-1)))))</f>
        <v>100</v>
      </c>
      <c r="BL41" s="131" t="n">
        <f aca="false">IF(OR($C41="",$B$2="",$D$2=0),0,IF(BL$3&lt;0,0,N(INDEX('CURVA PREVISION'!$A$1:$KZ$3000,$C41,10+3*MIN(BL$3,$D$2-1)))))</f>
        <v>100</v>
      </c>
      <c r="BM41" s="131" t="n">
        <f aca="false">IF(OR($C41="",$B$2="",$D$2=0),0,IF(BM$3&lt;0,0,N(INDEX('CURVA PREVISION'!$A$1:$KZ$3000,$C41,10+3*MIN(BM$3,$D$2-1)))))</f>
        <v>100</v>
      </c>
      <c r="BN41" s="131" t="n">
        <f aca="false">IF(OR($C41="",$B$2="",$D$2=0),0,IF(BN$3&lt;0,0,N(INDEX('CURVA PREVISION'!$A$1:$KZ$3000,$C41,10+3*MIN(BN$3,$D$2-1)))))</f>
        <v>100</v>
      </c>
      <c r="BO41" s="131" t="n">
        <f aca="false">IF(OR($C41="",$B$2="",$D$2=0),0,IF(BO$3&lt;0,0,N(INDEX('CURVA PREVISION'!$A$1:$KZ$3000,$C41,10+3*MIN(BO$3,$D$2-1)))))</f>
        <v>100</v>
      </c>
      <c r="BP41" s="131" t="n">
        <f aca="false">IF(OR($C41="",$B$2="",$D$2=0),0,IF(BP$3&lt;0,0,N(INDEX('CURVA PREVISION'!$A$1:$KZ$3000,$C41,10+3*MIN(BP$3,$D$2-1)))))</f>
        <v>100</v>
      </c>
      <c r="BQ41" s="131" t="n">
        <f aca="false">IF(OR($C41="",$B$2="",$D$2=0),0,IF(BQ$3&lt;0,0,N(INDEX('CURVA PREVISION'!$A$1:$KZ$3000,$C41,10+3*MIN(BQ$3,$D$2-1)))))</f>
        <v>100</v>
      </c>
      <c r="BR41" s="131" t="n">
        <f aca="false">IF(OR($C41="",$B$2="",$D$2=0),0,IF(BR$3&lt;0,0,N(INDEX('CURVA PREVISION'!$A$1:$KZ$3000,$C41,10+3*MIN(BR$3,$D$2-1)))))</f>
        <v>100</v>
      </c>
      <c r="BS41" s="131" t="n">
        <f aca="false">IF(OR($C41="",$B$2="",$D$2=0),0,IF(BS$3&lt;0,0,N(INDEX('CURVA PREVISION'!$A$1:$KZ$3000,$C41,10+3*MIN(BS$3,$D$2-1)))))</f>
        <v>100</v>
      </c>
      <c r="BT41" s="131" t="n">
        <f aca="false">IF(OR($C41="",$B$2="",$D$2=0),0,IF(BT$3&lt;0,0,N(INDEX('CURVA PREVISION'!$A$1:$KZ$3000,$C41,10+3*MIN(BT$3,$D$2-1)))))</f>
        <v>100</v>
      </c>
      <c r="BU41" s="131" t="n">
        <f aca="false">IF(OR($C41="",$B$2="",$D$2=0),0,IF(BU$3&lt;0,0,N(INDEX('CURVA PREVISION'!$A$1:$KZ$3000,$C41,10+3*MIN(BU$3,$D$2-1)))))</f>
        <v>100</v>
      </c>
      <c r="BV41" s="131" t="n">
        <f aca="false">IF(OR($C41="",$B$2="",$D$2=0),0,IF(BV$3&lt;0,0,N(INDEX('CURVA PREVISION'!$A$1:$KZ$3000,$C41,10+3*MIN(BV$3,$D$2-1)))))</f>
        <v>100</v>
      </c>
      <c r="BW41" s="131" t="n">
        <f aca="false">IF(OR($C41="",$B$2="",$D$2=0),0,IF(BW$3&lt;0,0,N(INDEX('CURVA PREVISION'!$A$1:$KZ$3000,$C41,10+3*MIN(BW$3,$D$2-1)))))</f>
        <v>100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n">
        <f aca="false">IFERROR(MATCH(A42,'CURVA PREVISION'!$B$1:$B$3000,0),"")</f>
        <v>4</v>
      </c>
      <c r="D42" s="131" t="n">
        <f aca="false">IF(OR($C42="",$B$2="",$D$2=0),0,IF(D$3&lt;0,0,N(INDEX('CURVA PREVISION'!$A$1:$KZ$3000,$C42,10+3*MIN(D$3,$D$2-1)))))</f>
        <v>0</v>
      </c>
      <c r="E42" s="131" t="n">
        <f aca="false">IF(OR($C42="",$B$2="",$D$2=0),0,IF(E$3&lt;0,0,N(INDEX('CURVA PREVISION'!$A$1:$KZ$3000,$C42,10+3*MIN(E$3,$D$2-1)))))</f>
        <v>0</v>
      </c>
      <c r="F42" s="131" t="n">
        <f aca="false">IF(OR($C42="",$B$2="",$D$2=0),0,IF(F$3&lt;0,0,N(INDEX('CURVA PREVISION'!$A$1:$KZ$3000,$C42,10+3*MIN(F$3,$D$2-1)))))</f>
        <v>0</v>
      </c>
      <c r="G42" s="131" t="n">
        <f aca="false">IF(OR($C42="",$B$2="",$D$2=0),0,IF(G$3&lt;0,0,N(INDEX('CURVA PREVISION'!$A$1:$KZ$3000,$C42,10+3*MIN(G$3,$D$2-1)))))</f>
        <v>0</v>
      </c>
      <c r="H42" s="131" t="n">
        <f aca="false">IF(OR($C42="",$B$2="",$D$2=0),0,IF(H$3&lt;0,0,N(INDEX('CURVA PREVISION'!$A$1:$KZ$3000,$C42,10+3*MIN(H$3,$D$2-1)))))</f>
        <v>0</v>
      </c>
      <c r="I42" s="131" t="n">
        <f aca="false">IF(OR($C42="",$B$2="",$D$2=0),0,IF(I$3&lt;0,0,N(INDEX('CURVA PREVISION'!$A$1:$KZ$3000,$C42,10+3*MIN(I$3,$D$2-1)))))</f>
        <v>0</v>
      </c>
      <c r="J42" s="131" t="n">
        <f aca="false">IF(OR($C42="",$B$2="",$D$2=0),0,IF(J$3&lt;0,0,N(INDEX('CURVA PREVISION'!$A$1:$KZ$3000,$C42,10+3*MIN(J$3,$D$2-1)))))</f>
        <v>0</v>
      </c>
      <c r="K42" s="131" t="n">
        <f aca="false">IF(OR($C42="",$B$2="",$D$2=0),0,IF(K$3&lt;0,0,N(INDEX('CURVA PREVISION'!$A$1:$KZ$3000,$C42,10+3*MIN(K$3,$D$2-1)))))</f>
        <v>0</v>
      </c>
      <c r="L42" s="131" t="n">
        <f aca="false">IF(OR($C42="",$B$2="",$D$2=0),0,IF(L$3&lt;0,0,N(INDEX('CURVA PREVISION'!$A$1:$KZ$3000,$C42,10+3*MIN(L$3,$D$2-1)))))</f>
        <v>0</v>
      </c>
      <c r="M42" s="131" t="n">
        <f aca="false">IF(OR($C42="",$B$2="",$D$2=0),0,IF(M$3&lt;0,0,N(INDEX('CURVA PREVISION'!$A$1:$KZ$3000,$C42,10+3*MIN(M$3,$D$2-1)))))</f>
        <v>0</v>
      </c>
      <c r="N42" s="131" t="n">
        <f aca="false">IF(OR($C42="",$B$2="",$D$2=0),0,IF(N$3&lt;0,0,N(INDEX('CURVA PREVISION'!$A$1:$KZ$3000,$C42,10+3*MIN(N$3,$D$2-1)))))</f>
        <v>0</v>
      </c>
      <c r="O42" s="131" t="n">
        <f aca="false">IF(OR($C42="",$B$2="",$D$2=0),0,IF(O$3&lt;0,0,N(INDEX('CURVA PREVISION'!$A$1:$KZ$3000,$C42,10+3*MIN(O$3,$D$2-1)))))</f>
        <v>0</v>
      </c>
      <c r="P42" s="131" t="n">
        <f aca="false">IF(OR($C42="",$B$2="",$D$2=0),0,IF(P$3&lt;0,0,N(INDEX('CURVA PREVISION'!$A$1:$KZ$3000,$C42,10+3*MIN(P$3,$D$2-1)))))</f>
        <v>0</v>
      </c>
      <c r="Q42" s="131" t="n">
        <f aca="false">IF(OR($C42="",$B$2="",$D$2=0),0,IF(Q$3&lt;0,0,N(INDEX('CURVA PREVISION'!$A$1:$KZ$3000,$C42,10+3*MIN(Q$3,$D$2-1)))))</f>
        <v>0</v>
      </c>
      <c r="R42" s="131" t="n">
        <f aca="false">IF(OR($C42="",$B$2="",$D$2=0),0,IF(R$3&lt;0,0,N(INDEX('CURVA PREVISION'!$A$1:$KZ$3000,$C42,10+3*MIN(R$3,$D$2-1)))))</f>
        <v>0</v>
      </c>
      <c r="S42" s="131" t="n">
        <f aca="false">IF(OR($C42="",$B$2="",$D$2=0),0,IF(S$3&lt;0,0,N(INDEX('CURVA PREVISION'!$A$1:$KZ$3000,$C42,10+3*MIN(S$3,$D$2-1)))))</f>
        <v>0</v>
      </c>
      <c r="T42" s="131" t="n">
        <f aca="false">IF(OR($C42="",$B$2="",$D$2=0),0,IF(T$3&lt;0,0,N(INDEX('CURVA PREVISION'!$A$1:$KZ$3000,$C42,10+3*MIN(T$3,$D$2-1)))))</f>
        <v>0</v>
      </c>
      <c r="U42" s="131" t="n">
        <f aca="false">IF(OR($C42="",$B$2="",$D$2=0),0,IF(U$3&lt;0,0,N(INDEX('CURVA PREVISION'!$A$1:$KZ$3000,$C42,10+3*MIN(U$3,$D$2-1)))))</f>
        <v>0</v>
      </c>
      <c r="V42" s="131" t="n">
        <f aca="false">IF(OR($C42="",$B$2="",$D$2=0),0,IF(V$3&lt;0,0,N(INDEX('CURVA PREVISION'!$A$1:$KZ$3000,$C42,10+3*MIN(V$3,$D$2-1)))))</f>
        <v>0</v>
      </c>
      <c r="W42" s="131" t="n">
        <f aca="false">IF(OR($C42="",$B$2="",$D$2=0),0,IF(W$3&lt;0,0,N(INDEX('CURVA PREVISION'!$A$1:$KZ$3000,$C42,10+3*MIN(W$3,$D$2-1)))))</f>
        <v>0</v>
      </c>
      <c r="X42" s="131" t="n">
        <f aca="false">IF(OR($C42="",$B$2="",$D$2=0),0,IF(X$3&lt;0,0,N(INDEX('CURVA PREVISION'!$A$1:$KZ$3000,$C42,10+3*MIN(X$3,$D$2-1)))))</f>
        <v>0</v>
      </c>
      <c r="Y42" s="131" t="n">
        <f aca="false">IF(OR($C42="",$B$2="",$D$2=0),0,IF(Y$3&lt;0,0,N(INDEX('CURVA PREVISION'!$A$1:$KZ$3000,$C42,10+3*MIN(Y$3,$D$2-1)))))</f>
        <v>0</v>
      </c>
      <c r="Z42" s="131" t="n">
        <f aca="false">IF(OR($C42="",$B$2="",$D$2=0),0,IF(Z$3&lt;0,0,N(INDEX('CURVA PREVISION'!$A$1:$KZ$3000,$C42,10+3*MIN(Z$3,$D$2-1)))))</f>
        <v>0</v>
      </c>
      <c r="AA42" s="131" t="n">
        <f aca="false">IF(OR($C42="",$B$2="",$D$2=0),0,IF(AA$3&lt;0,0,N(INDEX('CURVA PREVISION'!$A$1:$KZ$3000,$C42,10+3*MIN(AA$3,$D$2-1)))))</f>
        <v>0</v>
      </c>
      <c r="AB42" s="131" t="n">
        <f aca="false">IF(OR($C42="",$B$2="",$D$2=0),0,IF(AB$3&lt;0,0,N(INDEX('CURVA PREVISION'!$A$1:$KZ$3000,$C42,10+3*MIN(AB$3,$D$2-1)))))</f>
        <v>0</v>
      </c>
      <c r="AC42" s="131" t="n">
        <f aca="false">IF(OR($C42="",$B$2="",$D$2=0),0,IF(AC$3&lt;0,0,N(INDEX('CURVA PREVISION'!$A$1:$KZ$3000,$C42,10+3*MIN(AC$3,$D$2-1)))))</f>
        <v>0</v>
      </c>
      <c r="AD42" s="131" t="n">
        <f aca="false">IF(OR($C42="",$B$2="",$D$2=0),0,IF(AD$3&lt;0,0,N(INDEX('CURVA PREVISION'!$A$1:$KZ$3000,$C42,10+3*MIN(AD$3,$D$2-1)))))</f>
        <v>0</v>
      </c>
      <c r="AE42" s="131" t="n">
        <f aca="false">IF(OR($C42="",$B$2="",$D$2=0),0,IF(AE$3&lt;0,0,N(INDEX('CURVA PREVISION'!$A$1:$KZ$3000,$C42,10+3*MIN(AE$3,$D$2-1)))))</f>
        <v>0</v>
      </c>
      <c r="AF42" s="131" t="n">
        <f aca="false">IF(OR($C42="",$B$2="",$D$2=0),0,IF(AF$3&lt;0,0,N(INDEX('CURVA PREVISION'!$A$1:$KZ$3000,$C42,10+3*MIN(AF$3,$D$2-1)))))</f>
        <v>0</v>
      </c>
      <c r="AG42" s="131" t="n">
        <f aca="false">IF(OR($C42="",$B$2="",$D$2=0),0,IF(AG$3&lt;0,0,N(INDEX('CURVA PREVISION'!$A$1:$KZ$3000,$C42,10+3*MIN(AG$3,$D$2-1)))))</f>
        <v>0</v>
      </c>
      <c r="AH42" s="131" t="n">
        <f aca="false">IF(OR($C42="",$B$2="",$D$2=0),0,IF(AH$3&lt;0,0,N(INDEX('CURVA PREVISION'!$A$1:$KZ$3000,$C42,10+3*MIN(AH$3,$D$2-1)))))</f>
        <v>0</v>
      </c>
      <c r="AI42" s="131" t="n">
        <f aca="false">IF(OR($C42="",$B$2="",$D$2=0),0,IF(AI$3&lt;0,0,N(INDEX('CURVA PREVISION'!$A$1:$KZ$3000,$C42,10+3*MIN(AI$3,$D$2-1)))))</f>
        <v>0</v>
      </c>
      <c r="AJ42" s="131" t="n">
        <f aca="false">IF(OR($C42="",$B$2="",$D$2=0),0,IF(AJ$3&lt;0,0,N(INDEX('CURVA PREVISION'!$A$1:$KZ$3000,$C42,10+3*MIN(AJ$3,$D$2-1)))))</f>
        <v>0</v>
      </c>
      <c r="AK42" s="131" t="n">
        <f aca="false">IF(OR($C42="",$B$2="",$D$2=0),0,IF(AK$3&lt;0,0,N(INDEX('CURVA PREVISION'!$A$1:$KZ$3000,$C42,10+3*MIN(AK$3,$D$2-1)))))</f>
        <v>0</v>
      </c>
      <c r="AL42" s="131" t="n">
        <f aca="false">IF(OR($C42="",$B$2="",$D$2=0),0,IF(AL$3&lt;0,0,N(INDEX('CURVA PREVISION'!$A$1:$KZ$3000,$C42,10+3*MIN(AL$3,$D$2-1)))))</f>
        <v>0</v>
      </c>
      <c r="AM42" s="131" t="n">
        <f aca="false">IF(OR($C42="",$B$2="",$D$2=0),0,IF(AM$3&lt;0,0,N(INDEX('CURVA PREVISION'!$A$1:$KZ$3000,$C42,10+3*MIN(AM$3,$D$2-1)))))</f>
        <v>0</v>
      </c>
      <c r="AN42" s="131" t="n">
        <f aca="false">IF(OR($C42="",$B$2="",$D$2=0),0,IF(AN$3&lt;0,0,N(INDEX('CURVA PREVISION'!$A$1:$KZ$3000,$C42,10+3*MIN(AN$3,$D$2-1)))))</f>
        <v>0</v>
      </c>
      <c r="AO42" s="131" t="n">
        <f aca="false">IF(OR($C42="",$B$2="",$D$2=0),0,IF(AO$3&lt;0,0,N(INDEX('CURVA PREVISION'!$A$1:$KZ$3000,$C42,10+3*MIN(AO$3,$D$2-1)))))</f>
        <v>0</v>
      </c>
      <c r="AP42" s="131" t="n">
        <f aca="false">IF(OR($C42="",$B$2="",$D$2=0),0,IF(AP$3&lt;0,0,N(INDEX('CURVA PREVISION'!$A$1:$KZ$3000,$C42,10+3*MIN(AP$3,$D$2-1)))))</f>
        <v>0</v>
      </c>
      <c r="AQ42" s="131" t="n">
        <f aca="false">IF(OR($C42="",$B$2="",$D$2=0),0,IF(AQ$3&lt;0,0,N(INDEX('CURVA PREVISION'!$A$1:$KZ$3000,$C42,10+3*MIN(AQ$3,$D$2-1)))))</f>
        <v>0</v>
      </c>
      <c r="AR42" s="131" t="n">
        <f aca="false">IF(OR($C42="",$B$2="",$D$2=0),0,IF(AR$3&lt;0,0,N(INDEX('CURVA PREVISION'!$A$1:$KZ$3000,$C42,10+3*MIN(AR$3,$D$2-1)))))</f>
        <v>0</v>
      </c>
      <c r="AS42" s="131" t="n">
        <f aca="false">IF(OR($C42="",$B$2="",$D$2=0),0,IF(AS$3&lt;0,0,N(INDEX('CURVA PREVISION'!$A$1:$KZ$3000,$C42,10+3*MIN(AS$3,$D$2-1)))))</f>
        <v>0</v>
      </c>
      <c r="AT42" s="131" t="n">
        <f aca="false">IF(OR($C42="",$B$2="",$D$2=0),0,IF(AT$3&lt;0,0,N(INDEX('CURVA PREVISION'!$A$1:$KZ$3000,$C42,10+3*MIN(AT$3,$D$2-1)))))</f>
        <v>0</v>
      </c>
      <c r="AU42" s="131" t="n">
        <f aca="false">IF(OR($C42="",$B$2="",$D$2=0),0,IF(AU$3&lt;0,0,N(INDEX('CURVA PREVISION'!$A$1:$KZ$3000,$C42,10+3*MIN(AU$3,$D$2-1)))))</f>
        <v>0</v>
      </c>
      <c r="AV42" s="131" t="n">
        <f aca="false">IF(OR($C42="",$B$2="",$D$2=0),0,IF(AV$3&lt;0,0,N(INDEX('CURVA PREVISION'!$A$1:$KZ$3000,$C42,10+3*MIN(AV$3,$D$2-1)))))</f>
        <v>0</v>
      </c>
      <c r="AW42" s="131" t="n">
        <f aca="false">IF(OR($C42="",$B$2="",$D$2=0),0,IF(AW$3&lt;0,0,N(INDEX('CURVA PREVISION'!$A$1:$KZ$3000,$C42,10+3*MIN(AW$3,$D$2-1)))))</f>
        <v>0</v>
      </c>
      <c r="AX42" s="131" t="n">
        <f aca="false">IF(OR($C42="",$B$2="",$D$2=0),0,IF(AX$3&lt;0,0,N(INDEX('CURVA PREVISION'!$A$1:$KZ$3000,$C42,10+3*MIN(AX$3,$D$2-1)))))</f>
        <v>0</v>
      </c>
      <c r="AY42" s="131" t="n">
        <f aca="false">IF(OR($C42="",$B$2="",$D$2=0),0,IF(AY$3&lt;0,0,N(INDEX('CURVA PREVISION'!$A$1:$KZ$3000,$C42,10+3*MIN(AY$3,$D$2-1)))))</f>
        <v>0</v>
      </c>
      <c r="AZ42" s="131" t="n">
        <f aca="false">IF(OR($C42="",$B$2="",$D$2=0),0,IF(AZ$3&lt;0,0,N(INDEX('CURVA PREVISION'!$A$1:$KZ$3000,$C42,10+3*MIN(AZ$3,$D$2-1)))))</f>
        <v>0</v>
      </c>
      <c r="BA42" s="131" t="n">
        <f aca="false">IF(OR($C42="",$B$2="",$D$2=0),0,IF(BA$3&lt;0,0,N(INDEX('CURVA PREVISION'!$A$1:$KZ$3000,$C42,10+3*MIN(BA$3,$D$2-1)))))</f>
        <v>0</v>
      </c>
      <c r="BB42" s="131" t="n">
        <f aca="false">IF(OR($C42="",$B$2="",$D$2=0),0,IF(BB$3&lt;0,0,N(INDEX('CURVA PREVISION'!$A$1:$KZ$3000,$C42,10+3*MIN(BB$3,$D$2-1)))))</f>
        <v>0</v>
      </c>
      <c r="BC42" s="131" t="n">
        <f aca="false">IF(OR($C42="",$B$2="",$D$2=0),0,IF(BC$3&lt;0,0,N(INDEX('CURVA PREVISION'!$A$1:$KZ$3000,$C42,10+3*MIN(BC$3,$D$2-1)))))</f>
        <v>0</v>
      </c>
      <c r="BD42" s="131" t="n">
        <f aca="false">IF(OR($C42="",$B$2="",$D$2=0),0,IF(BD$3&lt;0,0,N(INDEX('CURVA PREVISION'!$A$1:$KZ$3000,$C42,10+3*MIN(BD$3,$D$2-1)))))</f>
        <v>0</v>
      </c>
      <c r="BE42" s="131" t="n">
        <f aca="false">IF(OR($C42="",$B$2="",$D$2=0),0,IF(BE$3&lt;0,0,N(INDEX('CURVA PREVISION'!$A$1:$KZ$3000,$C42,10+3*MIN(BE$3,$D$2-1)))))</f>
        <v>0</v>
      </c>
      <c r="BF42" s="131" t="n">
        <f aca="false">IF(OR($C42="",$B$2="",$D$2=0),0,IF(BF$3&lt;0,0,N(INDEX('CURVA PREVISION'!$A$1:$KZ$3000,$C42,10+3*MIN(BF$3,$D$2-1)))))</f>
        <v>0</v>
      </c>
      <c r="BG42" s="131" t="n">
        <f aca="false">IF(OR($C42="",$B$2="",$D$2=0),0,IF(BG$3&lt;0,0,N(INDEX('CURVA PREVISION'!$A$1:$KZ$3000,$C42,10+3*MIN(BG$3,$D$2-1)))))</f>
        <v>0</v>
      </c>
      <c r="BH42" s="131" t="n">
        <f aca="false">IF(OR($C42="",$B$2="",$D$2=0),0,IF(BH$3&lt;0,0,N(INDEX('CURVA PREVISION'!$A$1:$KZ$3000,$C42,10+3*MIN(BH$3,$D$2-1)))))</f>
        <v>0</v>
      </c>
      <c r="BI42" s="131" t="n">
        <f aca="false">IF(OR($C42="",$B$2="",$D$2=0),0,IF(BI$3&lt;0,0,N(INDEX('CURVA PREVISION'!$A$1:$KZ$3000,$C42,10+3*MIN(BI$3,$D$2-1)))))</f>
        <v>0</v>
      </c>
      <c r="BJ42" s="131" t="n">
        <f aca="false">IF(OR($C42="",$B$2="",$D$2=0),0,IF(BJ$3&lt;0,0,N(INDEX('CURVA PREVISION'!$A$1:$KZ$3000,$C42,10+3*MIN(BJ$3,$D$2-1)))))</f>
        <v>0</v>
      </c>
      <c r="BK42" s="131" t="n">
        <f aca="false">IF(OR($C42="",$B$2="",$D$2=0),0,IF(BK$3&lt;0,0,N(INDEX('CURVA PREVISION'!$A$1:$KZ$3000,$C42,10+3*MIN(BK$3,$D$2-1)))))</f>
        <v>0</v>
      </c>
      <c r="BL42" s="131" t="n">
        <f aca="false">IF(OR($C42="",$B$2="",$D$2=0),0,IF(BL$3&lt;0,0,N(INDEX('CURVA PREVISION'!$A$1:$KZ$3000,$C42,10+3*MIN(BL$3,$D$2-1)))))</f>
        <v>0</v>
      </c>
      <c r="BM42" s="131" t="n">
        <f aca="false">IF(OR($C42="",$B$2="",$D$2=0),0,IF(BM$3&lt;0,0,N(INDEX('CURVA PREVISION'!$A$1:$KZ$3000,$C42,10+3*MIN(BM$3,$D$2-1)))))</f>
        <v>0</v>
      </c>
      <c r="BN42" s="131" t="n">
        <f aca="false">IF(OR($C42="",$B$2="",$D$2=0),0,IF(BN$3&lt;0,0,N(INDEX('CURVA PREVISION'!$A$1:$KZ$3000,$C42,10+3*MIN(BN$3,$D$2-1)))))</f>
        <v>0</v>
      </c>
      <c r="BO42" s="131" t="n">
        <f aca="false">IF(OR($C42="",$B$2="",$D$2=0),0,IF(BO$3&lt;0,0,N(INDEX('CURVA PREVISION'!$A$1:$KZ$3000,$C42,10+3*MIN(BO$3,$D$2-1)))))</f>
        <v>0</v>
      </c>
      <c r="BP42" s="131" t="n">
        <f aca="false">IF(OR($C42="",$B$2="",$D$2=0),0,IF(BP$3&lt;0,0,N(INDEX('CURVA PREVISION'!$A$1:$KZ$3000,$C42,10+3*MIN(BP$3,$D$2-1)))))</f>
        <v>0</v>
      </c>
      <c r="BQ42" s="131" t="n">
        <f aca="false">IF(OR($C42="",$B$2="",$D$2=0),0,IF(BQ$3&lt;0,0,N(INDEX('CURVA PREVISION'!$A$1:$KZ$3000,$C42,10+3*MIN(BQ$3,$D$2-1)))))</f>
        <v>0</v>
      </c>
      <c r="BR42" s="131" t="n">
        <f aca="false">IF(OR($C42="",$B$2="",$D$2=0),0,IF(BR$3&lt;0,0,N(INDEX('CURVA PREVISION'!$A$1:$KZ$3000,$C42,10+3*MIN(BR$3,$D$2-1)))))</f>
        <v>0</v>
      </c>
      <c r="BS42" s="131" t="n">
        <f aca="false">IF(OR($C42="",$B$2="",$D$2=0),0,IF(BS$3&lt;0,0,N(INDEX('CURVA PREVISION'!$A$1:$KZ$3000,$C42,10+3*MIN(BS$3,$D$2-1)))))</f>
        <v>0</v>
      </c>
      <c r="BT42" s="131" t="n">
        <f aca="false">IF(OR($C42="",$B$2="",$D$2=0),0,IF(BT$3&lt;0,0,N(INDEX('CURVA PREVISION'!$A$1:$KZ$3000,$C42,10+3*MIN(BT$3,$D$2-1)))))</f>
        <v>0</v>
      </c>
      <c r="BU42" s="131" t="n">
        <f aca="false">IF(OR($C42="",$B$2="",$D$2=0),0,IF(BU$3&lt;0,0,N(INDEX('CURVA PREVISION'!$A$1:$KZ$3000,$C42,10+3*MIN(BU$3,$D$2-1)))))</f>
        <v>0</v>
      </c>
      <c r="BV42" s="131" t="n">
        <f aca="false">IF(OR($C42="",$B$2="",$D$2=0),0,IF(BV$3&lt;0,0,N(INDEX('CURVA PREVISION'!$A$1:$KZ$3000,$C42,10+3*MIN(BV$3,$D$2-1)))))</f>
        <v>0</v>
      </c>
      <c r="BW42" s="131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3841</v>
      </c>
    </row>
    <row r="46" customFormat="false" ht="31.5" hidden="false" customHeight="true" outlineLevel="0" collapsed="false">
      <c r="A46" s="54" t="s">
        <v>115</v>
      </c>
      <c r="B46" s="54" t="s">
        <v>3839</v>
      </c>
      <c r="C46" s="54" t="s">
        <v>3840</v>
      </c>
      <c r="D46" s="130" t="n">
        <f aca="false">D4</f>
        <v>45627</v>
      </c>
      <c r="E46" s="130" t="n">
        <f aca="false">E4</f>
        <v>45658</v>
      </c>
      <c r="F46" s="130" t="n">
        <f aca="false">F4</f>
        <v>45689</v>
      </c>
      <c r="G46" s="130" t="n">
        <f aca="false">G4</f>
        <v>45717</v>
      </c>
      <c r="H46" s="130" t="n">
        <f aca="false">H4</f>
        <v>45748</v>
      </c>
      <c r="I46" s="130" t="n">
        <f aca="false">I4</f>
        <v>45778</v>
      </c>
      <c r="J46" s="130" t="n">
        <f aca="false">J4</f>
        <v>45809</v>
      </c>
      <c r="K46" s="130" t="n">
        <f aca="false">K4</f>
        <v>45839</v>
      </c>
      <c r="L46" s="130" t="n">
        <f aca="false">L4</f>
        <v>45870</v>
      </c>
      <c r="M46" s="130" t="n">
        <f aca="false">M4</f>
        <v>45901</v>
      </c>
      <c r="N46" s="130" t="n">
        <f aca="false">N4</f>
        <v>45931</v>
      </c>
      <c r="O46" s="130" t="n">
        <f aca="false">O4</f>
        <v>45962</v>
      </c>
      <c r="P46" s="130" t="n">
        <f aca="false">P4</f>
        <v>45992</v>
      </c>
      <c r="Q46" s="130" t="n">
        <f aca="false">Q4</f>
        <v>46023</v>
      </c>
      <c r="R46" s="130" t="n">
        <f aca="false">R4</f>
        <v>46054</v>
      </c>
      <c r="S46" s="130" t="n">
        <f aca="false">S4</f>
        <v>46082</v>
      </c>
      <c r="T46" s="130" t="n">
        <f aca="false">T4</f>
        <v>46113</v>
      </c>
      <c r="U46" s="130" t="n">
        <f aca="false">U4</f>
        <v>46143</v>
      </c>
      <c r="V46" s="130" t="n">
        <f aca="false">V4</f>
        <v>46174</v>
      </c>
      <c r="W46" s="130" t="n">
        <f aca="false">W4</f>
        <v>46204</v>
      </c>
      <c r="X46" s="130" t="n">
        <f aca="false">X4</f>
        <v>46235</v>
      </c>
      <c r="Y46" s="130" t="n">
        <f aca="false">Y4</f>
        <v>46266</v>
      </c>
      <c r="Z46" s="130" t="n">
        <f aca="false">Z4</f>
        <v>46296</v>
      </c>
      <c r="AA46" s="130" t="n">
        <f aca="false">AA4</f>
        <v>46327</v>
      </c>
      <c r="AB46" s="130" t="n">
        <f aca="false">AB4</f>
        <v>46357</v>
      </c>
      <c r="AC46" s="130" t="n">
        <f aca="false">AC4</f>
        <v>46388</v>
      </c>
      <c r="AD46" s="130" t="n">
        <f aca="false">AD4</f>
        <v>46419</v>
      </c>
      <c r="AE46" s="130" t="n">
        <f aca="false">AE4</f>
        <v>46447</v>
      </c>
      <c r="AF46" s="130" t="n">
        <f aca="false">AF4</f>
        <v>46478</v>
      </c>
      <c r="AG46" s="130" t="n">
        <f aca="false">AG4</f>
        <v>46508</v>
      </c>
      <c r="AH46" s="130" t="n">
        <f aca="false">AH4</f>
        <v>46539</v>
      </c>
      <c r="AI46" s="130" t="n">
        <f aca="false">AI4</f>
        <v>46569</v>
      </c>
      <c r="AJ46" s="130" t="n">
        <f aca="false">AJ4</f>
        <v>46600</v>
      </c>
      <c r="AK46" s="130" t="n">
        <f aca="false">AK4</f>
        <v>46631</v>
      </c>
      <c r="AL46" s="130" t="n">
        <f aca="false">AL4</f>
        <v>46661</v>
      </c>
      <c r="AM46" s="130" t="n">
        <f aca="false">AM4</f>
        <v>46692</v>
      </c>
      <c r="AN46" s="130" t="n">
        <f aca="false">AN4</f>
        <v>46722</v>
      </c>
      <c r="AO46" s="130" t="n">
        <f aca="false">AO4</f>
        <v>46753</v>
      </c>
      <c r="AP46" s="130" t="n">
        <f aca="false">AP4</f>
        <v>46784</v>
      </c>
      <c r="AQ46" s="130" t="n">
        <f aca="false">AQ4</f>
        <v>46813</v>
      </c>
      <c r="AR46" s="130" t="n">
        <f aca="false">AR4</f>
        <v>46844</v>
      </c>
      <c r="AS46" s="130" t="n">
        <f aca="false">AS4</f>
        <v>46874</v>
      </c>
      <c r="AT46" s="130" t="n">
        <f aca="false">AT4</f>
        <v>46905</v>
      </c>
      <c r="AU46" s="130" t="n">
        <f aca="false">AU4</f>
        <v>46935</v>
      </c>
      <c r="AV46" s="130" t="n">
        <f aca="false">AV4</f>
        <v>46966</v>
      </c>
      <c r="AW46" s="130" t="n">
        <f aca="false">AW4</f>
        <v>46997</v>
      </c>
      <c r="AX46" s="130" t="n">
        <f aca="false">AX4</f>
        <v>47027</v>
      </c>
      <c r="AY46" s="130" t="n">
        <f aca="false">AY4</f>
        <v>47058</v>
      </c>
      <c r="AZ46" s="130" t="n">
        <f aca="false">AZ4</f>
        <v>47088</v>
      </c>
      <c r="BA46" s="130" t="n">
        <f aca="false">BA4</f>
        <v>47119</v>
      </c>
      <c r="BB46" s="130" t="n">
        <f aca="false">BB4</f>
        <v>47150</v>
      </c>
      <c r="BC46" s="130" t="n">
        <f aca="false">BC4</f>
        <v>47178</v>
      </c>
      <c r="BD46" s="130" t="n">
        <f aca="false">BD4</f>
        <v>47209</v>
      </c>
      <c r="BE46" s="130" t="n">
        <f aca="false">BE4</f>
        <v>47239</v>
      </c>
      <c r="BF46" s="130" t="n">
        <f aca="false">BF4</f>
        <v>47270</v>
      </c>
      <c r="BG46" s="130" t="n">
        <f aca="false">BG4</f>
        <v>47300</v>
      </c>
      <c r="BH46" s="130" t="n">
        <f aca="false">BH4</f>
        <v>47331</v>
      </c>
      <c r="BI46" s="130" t="n">
        <f aca="false">BI4</f>
        <v>47362</v>
      </c>
      <c r="BJ46" s="130" t="n">
        <f aca="false">BJ4</f>
        <v>47392</v>
      </c>
      <c r="BK46" s="130" t="n">
        <f aca="false">BK4</f>
        <v>47423</v>
      </c>
      <c r="BL46" s="130" t="n">
        <f aca="false">BL4</f>
        <v>47453</v>
      </c>
      <c r="BM46" s="130" t="n">
        <f aca="false">BM4</f>
        <v>47484</v>
      </c>
      <c r="BN46" s="130" t="n">
        <f aca="false">BN4</f>
        <v>47515</v>
      </c>
      <c r="BO46" s="130" t="n">
        <f aca="false">BO4</f>
        <v>47543</v>
      </c>
      <c r="BP46" s="130" t="n">
        <f aca="false">BP4</f>
        <v>47574</v>
      </c>
      <c r="BQ46" s="130" t="n">
        <f aca="false">BQ4</f>
        <v>47604</v>
      </c>
      <c r="BR46" s="130" t="n">
        <f aca="false">BR4</f>
        <v>47635</v>
      </c>
      <c r="BS46" s="130" t="n">
        <f aca="false">BS4</f>
        <v>47665</v>
      </c>
      <c r="BT46" s="130" t="n">
        <f aca="false">BT4</f>
        <v>47696</v>
      </c>
      <c r="BU46" s="130" t="n">
        <f aca="false">BU4</f>
        <v>47727</v>
      </c>
      <c r="BV46" s="130" t="n">
        <f aca="false">BV4</f>
        <v>47757</v>
      </c>
      <c r="BW46" s="130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5</v>
      </c>
      <c r="D47" s="131" t="n">
        <f aca="false">IF(OR($C47="",$B$2="",$D$2=0),0,IF(D$3&lt;0,0,N(INDEX('CURVA PREVISION'!$A$1:$KZ$3000,$C47,11+3*MIN(D$3,$D$2-1)))))</f>
        <v>0</v>
      </c>
      <c r="E47" s="131" t="n">
        <f aca="false">IF(OR($C47="",$B$2="",$D$2=0),0,IF(E$3&lt;0,0,N(INDEX('CURVA PREVISION'!$A$1:$KZ$3000,$C47,11+3*MIN(E$3,$D$2-1)))))</f>
        <v>0</v>
      </c>
      <c r="F47" s="131" t="n">
        <f aca="false">IF(OR($C47="",$B$2="",$D$2=0),0,IF(F$3&lt;0,0,N(INDEX('CURVA PREVISION'!$A$1:$KZ$3000,$C47,11+3*MIN(F$3,$D$2-1)))))</f>
        <v>0</v>
      </c>
      <c r="G47" s="131" t="n">
        <f aca="false">IF(OR($C47="",$B$2="",$D$2=0),0,IF(G$3&lt;0,0,N(INDEX('CURVA PREVISION'!$A$1:$KZ$3000,$C47,11+3*MIN(G$3,$D$2-1)))))</f>
        <v>0</v>
      </c>
      <c r="H47" s="131" t="n">
        <f aca="false">IF(OR($C47="",$B$2="",$D$2=0),0,IF(H$3&lt;0,0,N(INDEX('CURVA PREVISION'!$A$1:$KZ$3000,$C47,11+3*MIN(H$3,$D$2-1)))))</f>
        <v>0</v>
      </c>
      <c r="I47" s="131" t="n">
        <f aca="false">IF(OR($C47="",$B$2="",$D$2=0),0,IF(I$3&lt;0,0,N(INDEX('CURVA PREVISION'!$A$1:$KZ$3000,$C47,11+3*MIN(I$3,$D$2-1)))))</f>
        <v>0</v>
      </c>
      <c r="J47" s="131" t="n">
        <f aca="false">IF(OR($C47="",$B$2="",$D$2=0),0,IF(J$3&lt;0,0,N(INDEX('CURVA PREVISION'!$A$1:$KZ$3000,$C47,11+3*MIN(J$3,$D$2-1)))))</f>
        <v>0</v>
      </c>
      <c r="K47" s="131" t="n">
        <f aca="false">IF(OR($C47="",$B$2="",$D$2=0),0,IF(K$3&lt;0,0,N(INDEX('CURVA PREVISION'!$A$1:$KZ$3000,$C47,11+3*MIN(K$3,$D$2-1)))))</f>
        <v>0</v>
      </c>
      <c r="L47" s="131" t="n">
        <f aca="false">IF(OR($C47="",$B$2="",$D$2=0),0,IF(L$3&lt;0,0,N(INDEX('CURVA PREVISION'!$A$1:$KZ$3000,$C47,11+3*MIN(L$3,$D$2-1)))))</f>
        <v>0</v>
      </c>
      <c r="M47" s="131" t="n">
        <f aca="false">IF(OR($C47="",$B$2="",$D$2=0),0,IF(M$3&lt;0,0,N(INDEX('CURVA PREVISION'!$A$1:$KZ$3000,$C47,11+3*MIN(M$3,$D$2-1)))))</f>
        <v>0</v>
      </c>
      <c r="N47" s="131" t="n">
        <f aca="false">IF(OR($C47="",$B$2="",$D$2=0),0,IF(N$3&lt;0,0,N(INDEX('CURVA PREVISION'!$A$1:$KZ$3000,$C47,11+3*MIN(N$3,$D$2-1)))))</f>
        <v>0</v>
      </c>
      <c r="O47" s="131" t="n">
        <f aca="false">IF(OR($C47="",$B$2="",$D$2=0),0,IF(O$3&lt;0,0,N(INDEX('CURVA PREVISION'!$A$1:$KZ$3000,$C47,11+3*MIN(O$3,$D$2-1)))))</f>
        <v>0</v>
      </c>
      <c r="P47" s="131" t="n">
        <f aca="false">IF(OR($C47="",$B$2="",$D$2=0),0,IF(P$3&lt;0,0,N(INDEX('CURVA PREVISION'!$A$1:$KZ$3000,$C47,11+3*MIN(P$3,$D$2-1)))))</f>
        <v>0</v>
      </c>
      <c r="Q47" s="131" t="n">
        <f aca="false">IF(OR($C47="",$B$2="",$D$2=0),0,IF(Q$3&lt;0,0,N(INDEX('CURVA PREVISION'!$A$1:$KZ$3000,$C47,11+3*MIN(Q$3,$D$2-1)))))</f>
        <v>0</v>
      </c>
      <c r="R47" s="131" t="n">
        <f aca="false">IF(OR($C47="",$B$2="",$D$2=0),0,IF(R$3&lt;0,0,N(INDEX('CURVA PREVISION'!$A$1:$KZ$3000,$C47,11+3*MIN(R$3,$D$2-1)))))</f>
        <v>0</v>
      </c>
      <c r="S47" s="131" t="n">
        <f aca="false">IF(OR($C47="",$B$2="",$D$2=0),0,IF(S$3&lt;0,0,N(INDEX('CURVA PREVISION'!$A$1:$KZ$3000,$C47,11+3*MIN(S$3,$D$2-1)))))</f>
        <v>0</v>
      </c>
      <c r="T47" s="131" t="n">
        <f aca="false">IF(OR($C47="",$B$2="",$D$2=0),0,IF(T$3&lt;0,0,N(INDEX('CURVA PREVISION'!$A$1:$KZ$3000,$C47,11+3*MIN(T$3,$D$2-1)))))</f>
        <v>0</v>
      </c>
      <c r="U47" s="131" t="n">
        <f aca="false">IF(OR($C47="",$B$2="",$D$2=0),0,IF(U$3&lt;0,0,N(INDEX('CURVA PREVISION'!$A$1:$KZ$3000,$C47,11+3*MIN(U$3,$D$2-1)))))</f>
        <v>0</v>
      </c>
      <c r="V47" s="131" t="n">
        <f aca="false">IF(OR($C47="",$B$2="",$D$2=0),0,IF(V$3&lt;0,0,N(INDEX('CURVA PREVISION'!$A$1:$KZ$3000,$C47,11+3*MIN(V$3,$D$2-1)))))</f>
        <v>0</v>
      </c>
      <c r="W47" s="131" t="n">
        <f aca="false">IF(OR($C47="",$B$2="",$D$2=0),0,IF(W$3&lt;0,0,N(INDEX('CURVA PREVISION'!$A$1:$KZ$3000,$C47,11+3*MIN(W$3,$D$2-1)))))</f>
        <v>0</v>
      </c>
      <c r="X47" s="131" t="n">
        <f aca="false">IF(OR($C47="",$B$2="",$D$2=0),0,IF(X$3&lt;0,0,N(INDEX('CURVA PREVISION'!$A$1:$KZ$3000,$C47,11+3*MIN(X$3,$D$2-1)))))</f>
        <v>0</v>
      </c>
      <c r="Y47" s="131" t="n">
        <f aca="false">IF(OR($C47="",$B$2="",$D$2=0),0,IF(Y$3&lt;0,0,N(INDEX('CURVA PREVISION'!$A$1:$KZ$3000,$C47,11+3*MIN(Y$3,$D$2-1)))))</f>
        <v>0</v>
      </c>
      <c r="Z47" s="131" t="n">
        <f aca="false">IF(OR($C47="",$B$2="",$D$2=0),0,IF(Z$3&lt;0,0,N(INDEX('CURVA PREVISION'!$A$1:$KZ$3000,$C47,11+3*MIN(Z$3,$D$2-1)))))</f>
        <v>0</v>
      </c>
      <c r="AA47" s="131" t="n">
        <f aca="false">IF(OR($C47="",$B$2="",$D$2=0),0,IF(AA$3&lt;0,0,N(INDEX('CURVA PREVISION'!$A$1:$KZ$3000,$C47,11+3*MIN(AA$3,$D$2-1)))))</f>
        <v>0</v>
      </c>
      <c r="AB47" s="131" t="n">
        <f aca="false">IF(OR($C47="",$B$2="",$D$2=0),0,IF(AB$3&lt;0,0,N(INDEX('CURVA PREVISION'!$A$1:$KZ$3000,$C47,11+3*MIN(AB$3,$D$2-1)))))</f>
        <v>0</v>
      </c>
      <c r="AC47" s="131" t="n">
        <f aca="false">IF(OR($C47="",$B$2="",$D$2=0),0,IF(AC$3&lt;0,0,N(INDEX('CURVA PREVISION'!$A$1:$KZ$3000,$C47,11+3*MIN(AC$3,$D$2-1)))))</f>
        <v>0</v>
      </c>
      <c r="AD47" s="131" t="n">
        <f aca="false">IF(OR($C47="",$B$2="",$D$2=0),0,IF(AD$3&lt;0,0,N(INDEX('CURVA PREVISION'!$A$1:$KZ$3000,$C47,11+3*MIN(AD$3,$D$2-1)))))</f>
        <v>0</v>
      </c>
      <c r="AE47" s="131" t="n">
        <f aca="false">IF(OR($C47="",$B$2="",$D$2=0),0,IF(AE$3&lt;0,0,N(INDEX('CURVA PREVISION'!$A$1:$KZ$3000,$C47,11+3*MIN(AE$3,$D$2-1)))))</f>
        <v>0</v>
      </c>
      <c r="AF47" s="131" t="n">
        <f aca="false">IF(OR($C47="",$B$2="",$D$2=0),0,IF(AF$3&lt;0,0,N(INDEX('CURVA PREVISION'!$A$1:$KZ$3000,$C47,11+3*MIN(AF$3,$D$2-1)))))</f>
        <v>0</v>
      </c>
      <c r="AG47" s="131" t="n">
        <f aca="false">IF(OR($C47="",$B$2="",$D$2=0),0,IF(AG$3&lt;0,0,N(INDEX('CURVA PREVISION'!$A$1:$KZ$3000,$C47,11+3*MIN(AG$3,$D$2-1)))))</f>
        <v>0</v>
      </c>
      <c r="AH47" s="131" t="n">
        <f aca="false">IF(OR($C47="",$B$2="",$D$2=0),0,IF(AH$3&lt;0,0,N(INDEX('CURVA PREVISION'!$A$1:$KZ$3000,$C47,11+3*MIN(AH$3,$D$2-1)))))</f>
        <v>0</v>
      </c>
      <c r="AI47" s="131" t="n">
        <f aca="false">IF(OR($C47="",$B$2="",$D$2=0),0,IF(AI$3&lt;0,0,N(INDEX('CURVA PREVISION'!$A$1:$KZ$3000,$C47,11+3*MIN(AI$3,$D$2-1)))))</f>
        <v>0</v>
      </c>
      <c r="AJ47" s="131" t="n">
        <f aca="false">IF(OR($C47="",$B$2="",$D$2=0),0,IF(AJ$3&lt;0,0,N(INDEX('CURVA PREVISION'!$A$1:$KZ$3000,$C47,11+3*MIN(AJ$3,$D$2-1)))))</f>
        <v>0</v>
      </c>
      <c r="AK47" s="131" t="n">
        <f aca="false">IF(OR($C47="",$B$2="",$D$2=0),0,IF(AK$3&lt;0,0,N(INDEX('CURVA PREVISION'!$A$1:$KZ$3000,$C47,11+3*MIN(AK$3,$D$2-1)))))</f>
        <v>0</v>
      </c>
      <c r="AL47" s="131" t="n">
        <f aca="false">IF(OR($C47="",$B$2="",$D$2=0),0,IF(AL$3&lt;0,0,N(INDEX('CURVA PREVISION'!$A$1:$KZ$3000,$C47,11+3*MIN(AL$3,$D$2-1)))))</f>
        <v>0</v>
      </c>
      <c r="AM47" s="131" t="n">
        <f aca="false">IF(OR($C47="",$B$2="",$D$2=0),0,IF(AM$3&lt;0,0,N(INDEX('CURVA PREVISION'!$A$1:$KZ$3000,$C47,11+3*MIN(AM$3,$D$2-1)))))</f>
        <v>0</v>
      </c>
      <c r="AN47" s="131" t="n">
        <f aca="false">IF(OR($C47="",$B$2="",$D$2=0),0,IF(AN$3&lt;0,0,N(INDEX('CURVA PREVISION'!$A$1:$KZ$3000,$C47,11+3*MIN(AN$3,$D$2-1)))))</f>
        <v>0</v>
      </c>
      <c r="AO47" s="131" t="n">
        <f aca="false">IF(OR($C47="",$B$2="",$D$2=0),0,IF(AO$3&lt;0,0,N(INDEX('CURVA PREVISION'!$A$1:$KZ$3000,$C47,11+3*MIN(AO$3,$D$2-1)))))</f>
        <v>0</v>
      </c>
      <c r="AP47" s="131" t="n">
        <f aca="false">IF(OR($C47="",$B$2="",$D$2=0),0,IF(AP$3&lt;0,0,N(INDEX('CURVA PREVISION'!$A$1:$KZ$3000,$C47,11+3*MIN(AP$3,$D$2-1)))))</f>
        <v>0</v>
      </c>
      <c r="AQ47" s="131" t="n">
        <f aca="false">IF(OR($C47="",$B$2="",$D$2=0),0,IF(AQ$3&lt;0,0,N(INDEX('CURVA PREVISION'!$A$1:$KZ$3000,$C47,11+3*MIN(AQ$3,$D$2-1)))))</f>
        <v>0</v>
      </c>
      <c r="AR47" s="131" t="n">
        <f aca="false">IF(OR($C47="",$B$2="",$D$2=0),0,IF(AR$3&lt;0,0,N(INDEX('CURVA PREVISION'!$A$1:$KZ$3000,$C47,11+3*MIN(AR$3,$D$2-1)))))</f>
        <v>0</v>
      </c>
      <c r="AS47" s="131" t="n">
        <f aca="false">IF(OR($C47="",$B$2="",$D$2=0),0,IF(AS$3&lt;0,0,N(INDEX('CURVA PREVISION'!$A$1:$KZ$3000,$C47,11+3*MIN(AS$3,$D$2-1)))))</f>
        <v>0</v>
      </c>
      <c r="AT47" s="131" t="n">
        <f aca="false">IF(OR($C47="",$B$2="",$D$2=0),0,IF(AT$3&lt;0,0,N(INDEX('CURVA PREVISION'!$A$1:$KZ$3000,$C47,11+3*MIN(AT$3,$D$2-1)))))</f>
        <v>0</v>
      </c>
      <c r="AU47" s="131" t="n">
        <f aca="false">IF(OR($C47="",$B$2="",$D$2=0),0,IF(AU$3&lt;0,0,N(INDEX('CURVA PREVISION'!$A$1:$KZ$3000,$C47,11+3*MIN(AU$3,$D$2-1)))))</f>
        <v>0</v>
      </c>
      <c r="AV47" s="131" t="n">
        <f aca="false">IF(OR($C47="",$B$2="",$D$2=0),0,IF(AV$3&lt;0,0,N(INDEX('CURVA PREVISION'!$A$1:$KZ$3000,$C47,11+3*MIN(AV$3,$D$2-1)))))</f>
        <v>0</v>
      </c>
      <c r="AW47" s="131" t="n">
        <f aca="false">IF(OR($C47="",$B$2="",$D$2=0),0,IF(AW$3&lt;0,0,N(INDEX('CURVA PREVISION'!$A$1:$KZ$3000,$C47,11+3*MIN(AW$3,$D$2-1)))))</f>
        <v>0</v>
      </c>
      <c r="AX47" s="131" t="n">
        <f aca="false">IF(OR($C47="",$B$2="",$D$2=0),0,IF(AX$3&lt;0,0,N(INDEX('CURVA PREVISION'!$A$1:$KZ$3000,$C47,11+3*MIN(AX$3,$D$2-1)))))</f>
        <v>0</v>
      </c>
      <c r="AY47" s="131" t="n">
        <f aca="false">IF(OR($C47="",$B$2="",$D$2=0),0,IF(AY$3&lt;0,0,N(INDEX('CURVA PREVISION'!$A$1:$KZ$3000,$C47,11+3*MIN(AY$3,$D$2-1)))))</f>
        <v>0</v>
      </c>
      <c r="AZ47" s="131" t="n">
        <f aca="false">IF(OR($C47="",$B$2="",$D$2=0),0,IF(AZ$3&lt;0,0,N(INDEX('CURVA PREVISION'!$A$1:$KZ$3000,$C47,11+3*MIN(AZ$3,$D$2-1)))))</f>
        <v>0</v>
      </c>
      <c r="BA47" s="131" t="n">
        <f aca="false">IF(OR($C47="",$B$2="",$D$2=0),0,IF(BA$3&lt;0,0,N(INDEX('CURVA PREVISION'!$A$1:$KZ$3000,$C47,11+3*MIN(BA$3,$D$2-1)))))</f>
        <v>0</v>
      </c>
      <c r="BB47" s="131" t="n">
        <f aca="false">IF(OR($C47="",$B$2="",$D$2=0),0,IF(BB$3&lt;0,0,N(INDEX('CURVA PREVISION'!$A$1:$KZ$3000,$C47,11+3*MIN(BB$3,$D$2-1)))))</f>
        <v>0</v>
      </c>
      <c r="BC47" s="131" t="n">
        <f aca="false">IF(OR($C47="",$B$2="",$D$2=0),0,IF(BC$3&lt;0,0,N(INDEX('CURVA PREVISION'!$A$1:$KZ$3000,$C47,11+3*MIN(BC$3,$D$2-1)))))</f>
        <v>0</v>
      </c>
      <c r="BD47" s="131" t="n">
        <f aca="false">IF(OR($C47="",$B$2="",$D$2=0),0,IF(BD$3&lt;0,0,N(INDEX('CURVA PREVISION'!$A$1:$KZ$3000,$C47,11+3*MIN(BD$3,$D$2-1)))))</f>
        <v>0</v>
      </c>
      <c r="BE47" s="131" t="n">
        <f aca="false">IF(OR($C47="",$B$2="",$D$2=0),0,IF(BE$3&lt;0,0,N(INDEX('CURVA PREVISION'!$A$1:$KZ$3000,$C47,11+3*MIN(BE$3,$D$2-1)))))</f>
        <v>0</v>
      </c>
      <c r="BF47" s="131" t="n">
        <f aca="false">IF(OR($C47="",$B$2="",$D$2=0),0,IF(BF$3&lt;0,0,N(INDEX('CURVA PREVISION'!$A$1:$KZ$3000,$C47,11+3*MIN(BF$3,$D$2-1)))))</f>
        <v>0</v>
      </c>
      <c r="BG47" s="131" t="n">
        <f aca="false">IF(OR($C47="",$B$2="",$D$2=0),0,IF(BG$3&lt;0,0,N(INDEX('CURVA PREVISION'!$A$1:$KZ$3000,$C47,11+3*MIN(BG$3,$D$2-1)))))</f>
        <v>0</v>
      </c>
      <c r="BH47" s="131" t="n">
        <f aca="false">IF(OR($C47="",$B$2="",$D$2=0),0,IF(BH$3&lt;0,0,N(INDEX('CURVA PREVISION'!$A$1:$KZ$3000,$C47,11+3*MIN(BH$3,$D$2-1)))))</f>
        <v>0</v>
      </c>
      <c r="BI47" s="131" t="n">
        <f aca="false">IF(OR($C47="",$B$2="",$D$2=0),0,IF(BI$3&lt;0,0,N(INDEX('CURVA PREVISION'!$A$1:$KZ$3000,$C47,11+3*MIN(BI$3,$D$2-1)))))</f>
        <v>0</v>
      </c>
      <c r="BJ47" s="131" t="n">
        <f aca="false">IF(OR($C47="",$B$2="",$D$2=0),0,IF(BJ$3&lt;0,0,N(INDEX('CURVA PREVISION'!$A$1:$KZ$3000,$C47,11+3*MIN(BJ$3,$D$2-1)))))</f>
        <v>0</v>
      </c>
      <c r="BK47" s="131" t="n">
        <f aca="false">IF(OR($C47="",$B$2="",$D$2=0),0,IF(BK$3&lt;0,0,N(INDEX('CURVA PREVISION'!$A$1:$KZ$3000,$C47,11+3*MIN(BK$3,$D$2-1)))))</f>
        <v>0</v>
      </c>
      <c r="BL47" s="131" t="n">
        <f aca="false">IF(OR($C47="",$B$2="",$D$2=0),0,IF(BL$3&lt;0,0,N(INDEX('CURVA PREVISION'!$A$1:$KZ$3000,$C47,11+3*MIN(BL$3,$D$2-1)))))</f>
        <v>0</v>
      </c>
      <c r="BM47" s="131" t="n">
        <f aca="false">IF(OR($C47="",$B$2="",$D$2=0),0,IF(BM$3&lt;0,0,N(INDEX('CURVA PREVISION'!$A$1:$KZ$3000,$C47,11+3*MIN(BM$3,$D$2-1)))))</f>
        <v>0</v>
      </c>
      <c r="BN47" s="131" t="n">
        <f aca="false">IF(OR($C47="",$B$2="",$D$2=0),0,IF(BN$3&lt;0,0,N(INDEX('CURVA PREVISION'!$A$1:$KZ$3000,$C47,11+3*MIN(BN$3,$D$2-1)))))</f>
        <v>0</v>
      </c>
      <c r="BO47" s="131" t="n">
        <f aca="false">IF(OR($C47="",$B$2="",$D$2=0),0,IF(BO$3&lt;0,0,N(INDEX('CURVA PREVISION'!$A$1:$KZ$3000,$C47,11+3*MIN(BO$3,$D$2-1)))))</f>
        <v>0</v>
      </c>
      <c r="BP47" s="131" t="n">
        <f aca="false">IF(OR($C47="",$B$2="",$D$2=0),0,IF(BP$3&lt;0,0,N(INDEX('CURVA PREVISION'!$A$1:$KZ$3000,$C47,11+3*MIN(BP$3,$D$2-1)))))</f>
        <v>0</v>
      </c>
      <c r="BQ47" s="131" t="n">
        <f aca="false">IF(OR($C47="",$B$2="",$D$2=0),0,IF(BQ$3&lt;0,0,N(INDEX('CURVA PREVISION'!$A$1:$KZ$3000,$C47,11+3*MIN(BQ$3,$D$2-1)))))</f>
        <v>0</v>
      </c>
      <c r="BR47" s="131" t="n">
        <f aca="false">IF(OR($C47="",$B$2="",$D$2=0),0,IF(BR$3&lt;0,0,N(INDEX('CURVA PREVISION'!$A$1:$KZ$3000,$C47,11+3*MIN(BR$3,$D$2-1)))))</f>
        <v>0</v>
      </c>
      <c r="BS47" s="131" t="n">
        <f aca="false">IF(OR($C47="",$B$2="",$D$2=0),0,IF(BS$3&lt;0,0,N(INDEX('CURVA PREVISION'!$A$1:$KZ$3000,$C47,11+3*MIN(BS$3,$D$2-1)))))</f>
        <v>0</v>
      </c>
      <c r="BT47" s="131" t="n">
        <f aca="false">IF(OR($C47="",$B$2="",$D$2=0),0,IF(BT$3&lt;0,0,N(INDEX('CURVA PREVISION'!$A$1:$KZ$3000,$C47,11+3*MIN(BT$3,$D$2-1)))))</f>
        <v>0</v>
      </c>
      <c r="BU47" s="131" t="n">
        <f aca="false">IF(OR($C47="",$B$2="",$D$2=0),0,IF(BU$3&lt;0,0,N(INDEX('CURVA PREVISION'!$A$1:$KZ$3000,$C47,11+3*MIN(BU$3,$D$2-1)))))</f>
        <v>0</v>
      </c>
      <c r="BV47" s="131" t="n">
        <f aca="false">IF(OR($C47="",$B$2="",$D$2=0),0,IF(BV$3&lt;0,0,N(INDEX('CURVA PREVISION'!$A$1:$KZ$3000,$C47,11+3*MIN(BV$3,$D$2-1)))))</f>
        <v>0</v>
      </c>
      <c r="BW47" s="131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9</v>
      </c>
      <c r="D48" s="131" t="n">
        <f aca="false">IF(OR($C48="",$B$2="",$D$2=0),0,IF(D$3&lt;0,0,N(INDEX('CURVA PREVISION'!$A$1:$KZ$3000,$C48,11+3*MIN(D$3,$D$2-1)))))</f>
        <v>0</v>
      </c>
      <c r="E48" s="131" t="n">
        <f aca="false">IF(OR($C48="",$B$2="",$D$2=0),0,IF(E$3&lt;0,0,N(INDEX('CURVA PREVISION'!$A$1:$KZ$3000,$C48,11+3*MIN(E$3,$D$2-1)))))</f>
        <v>0</v>
      </c>
      <c r="F48" s="131" t="n">
        <f aca="false">IF(OR($C48="",$B$2="",$D$2=0),0,IF(F$3&lt;0,0,N(INDEX('CURVA PREVISION'!$A$1:$KZ$3000,$C48,11+3*MIN(F$3,$D$2-1)))))</f>
        <v>0</v>
      </c>
      <c r="G48" s="131" t="n">
        <f aca="false">IF(OR($C48="",$B$2="",$D$2=0),0,IF(G$3&lt;0,0,N(INDEX('CURVA PREVISION'!$A$1:$KZ$3000,$C48,11+3*MIN(G$3,$D$2-1)))))</f>
        <v>0</v>
      </c>
      <c r="H48" s="131" t="n">
        <f aca="false">IF(OR($C48="",$B$2="",$D$2=0),0,IF(H$3&lt;0,0,N(INDEX('CURVA PREVISION'!$A$1:$KZ$3000,$C48,11+3*MIN(H$3,$D$2-1)))))</f>
        <v>0</v>
      </c>
      <c r="I48" s="131" t="n">
        <f aca="false">IF(OR($C48="",$B$2="",$D$2=0),0,IF(I$3&lt;0,0,N(INDEX('CURVA PREVISION'!$A$1:$KZ$3000,$C48,11+3*MIN(I$3,$D$2-1)))))</f>
        <v>0</v>
      </c>
      <c r="J48" s="131" t="n">
        <f aca="false">IF(OR($C48="",$B$2="",$D$2=0),0,IF(J$3&lt;0,0,N(INDEX('CURVA PREVISION'!$A$1:$KZ$3000,$C48,11+3*MIN(J$3,$D$2-1)))))</f>
        <v>0</v>
      </c>
      <c r="K48" s="131" t="n">
        <f aca="false">IF(OR($C48="",$B$2="",$D$2=0),0,IF(K$3&lt;0,0,N(INDEX('CURVA PREVISION'!$A$1:$KZ$3000,$C48,11+3*MIN(K$3,$D$2-1)))))</f>
        <v>0</v>
      </c>
      <c r="L48" s="131" t="n">
        <f aca="false">IF(OR($C48="",$B$2="",$D$2=0),0,IF(L$3&lt;0,0,N(INDEX('CURVA PREVISION'!$A$1:$KZ$3000,$C48,11+3*MIN(L$3,$D$2-1)))))</f>
        <v>0</v>
      </c>
      <c r="M48" s="131" t="n">
        <f aca="false">IF(OR($C48="",$B$2="",$D$2=0),0,IF(M$3&lt;0,0,N(INDEX('CURVA PREVISION'!$A$1:$KZ$3000,$C48,11+3*MIN(M$3,$D$2-1)))))</f>
        <v>0</v>
      </c>
      <c r="N48" s="131" t="n">
        <f aca="false">IF(OR($C48="",$B$2="",$D$2=0),0,IF(N$3&lt;0,0,N(INDEX('CURVA PREVISION'!$A$1:$KZ$3000,$C48,11+3*MIN(N$3,$D$2-1)))))</f>
        <v>0</v>
      </c>
      <c r="O48" s="131" t="n">
        <f aca="false">IF(OR($C48="",$B$2="",$D$2=0),0,IF(O$3&lt;0,0,N(INDEX('CURVA PREVISION'!$A$1:$KZ$3000,$C48,11+3*MIN(O$3,$D$2-1)))))</f>
        <v>0</v>
      </c>
      <c r="P48" s="131" t="n">
        <f aca="false">IF(OR($C48="",$B$2="",$D$2=0),0,IF(P$3&lt;0,0,N(INDEX('CURVA PREVISION'!$A$1:$KZ$3000,$C48,11+3*MIN(P$3,$D$2-1)))))</f>
        <v>0</v>
      </c>
      <c r="Q48" s="131" t="n">
        <f aca="false">IF(OR($C48="",$B$2="",$D$2=0),0,IF(Q$3&lt;0,0,N(INDEX('CURVA PREVISION'!$A$1:$KZ$3000,$C48,11+3*MIN(Q$3,$D$2-1)))))</f>
        <v>0</v>
      </c>
      <c r="R48" s="131" t="n">
        <f aca="false">IF(OR($C48="",$B$2="",$D$2=0),0,IF(R$3&lt;0,0,N(INDEX('CURVA PREVISION'!$A$1:$KZ$3000,$C48,11+3*MIN(R$3,$D$2-1)))))</f>
        <v>0</v>
      </c>
      <c r="S48" s="131" t="n">
        <f aca="false">IF(OR($C48="",$B$2="",$D$2=0),0,IF(S$3&lt;0,0,N(INDEX('CURVA PREVISION'!$A$1:$KZ$3000,$C48,11+3*MIN(S$3,$D$2-1)))))</f>
        <v>0</v>
      </c>
      <c r="T48" s="131" t="n">
        <f aca="false">IF(OR($C48="",$B$2="",$D$2=0),0,IF(T$3&lt;0,0,N(INDEX('CURVA PREVISION'!$A$1:$KZ$3000,$C48,11+3*MIN(T$3,$D$2-1)))))</f>
        <v>0</v>
      </c>
      <c r="U48" s="131" t="n">
        <f aca="false">IF(OR($C48="",$B$2="",$D$2=0),0,IF(U$3&lt;0,0,N(INDEX('CURVA PREVISION'!$A$1:$KZ$3000,$C48,11+3*MIN(U$3,$D$2-1)))))</f>
        <v>0</v>
      </c>
      <c r="V48" s="131" t="n">
        <f aca="false">IF(OR($C48="",$B$2="",$D$2=0),0,IF(V$3&lt;0,0,N(INDEX('CURVA PREVISION'!$A$1:$KZ$3000,$C48,11+3*MIN(V$3,$D$2-1)))))</f>
        <v>0</v>
      </c>
      <c r="W48" s="131" t="n">
        <f aca="false">IF(OR($C48="",$B$2="",$D$2=0),0,IF(W$3&lt;0,0,N(INDEX('CURVA PREVISION'!$A$1:$KZ$3000,$C48,11+3*MIN(W$3,$D$2-1)))))</f>
        <v>0</v>
      </c>
      <c r="X48" s="131" t="n">
        <f aca="false">IF(OR($C48="",$B$2="",$D$2=0),0,IF(X$3&lt;0,0,N(INDEX('CURVA PREVISION'!$A$1:$KZ$3000,$C48,11+3*MIN(X$3,$D$2-1)))))</f>
        <v>0</v>
      </c>
      <c r="Y48" s="131" t="n">
        <f aca="false">IF(OR($C48="",$B$2="",$D$2=0),0,IF(Y$3&lt;0,0,N(INDEX('CURVA PREVISION'!$A$1:$KZ$3000,$C48,11+3*MIN(Y$3,$D$2-1)))))</f>
        <v>0</v>
      </c>
      <c r="Z48" s="131" t="n">
        <f aca="false">IF(OR($C48="",$B$2="",$D$2=0),0,IF(Z$3&lt;0,0,N(INDEX('CURVA PREVISION'!$A$1:$KZ$3000,$C48,11+3*MIN(Z$3,$D$2-1)))))</f>
        <v>0</v>
      </c>
      <c r="AA48" s="131" t="n">
        <f aca="false">IF(OR($C48="",$B$2="",$D$2=0),0,IF(AA$3&lt;0,0,N(INDEX('CURVA PREVISION'!$A$1:$KZ$3000,$C48,11+3*MIN(AA$3,$D$2-1)))))</f>
        <v>0</v>
      </c>
      <c r="AB48" s="131" t="n">
        <f aca="false">IF(OR($C48="",$B$2="",$D$2=0),0,IF(AB$3&lt;0,0,N(INDEX('CURVA PREVISION'!$A$1:$KZ$3000,$C48,11+3*MIN(AB$3,$D$2-1)))))</f>
        <v>0</v>
      </c>
      <c r="AC48" s="131" t="n">
        <f aca="false">IF(OR($C48="",$B$2="",$D$2=0),0,IF(AC$3&lt;0,0,N(INDEX('CURVA PREVISION'!$A$1:$KZ$3000,$C48,11+3*MIN(AC$3,$D$2-1)))))</f>
        <v>0</v>
      </c>
      <c r="AD48" s="131" t="n">
        <f aca="false">IF(OR($C48="",$B$2="",$D$2=0),0,IF(AD$3&lt;0,0,N(INDEX('CURVA PREVISION'!$A$1:$KZ$3000,$C48,11+3*MIN(AD$3,$D$2-1)))))</f>
        <v>0</v>
      </c>
      <c r="AE48" s="131" t="n">
        <f aca="false">IF(OR($C48="",$B$2="",$D$2=0),0,IF(AE$3&lt;0,0,N(INDEX('CURVA PREVISION'!$A$1:$KZ$3000,$C48,11+3*MIN(AE$3,$D$2-1)))))</f>
        <v>0</v>
      </c>
      <c r="AF48" s="131" t="n">
        <f aca="false">IF(OR($C48="",$B$2="",$D$2=0),0,IF(AF$3&lt;0,0,N(INDEX('CURVA PREVISION'!$A$1:$KZ$3000,$C48,11+3*MIN(AF$3,$D$2-1)))))</f>
        <v>0</v>
      </c>
      <c r="AG48" s="131" t="n">
        <f aca="false">IF(OR($C48="",$B$2="",$D$2=0),0,IF(AG$3&lt;0,0,N(INDEX('CURVA PREVISION'!$A$1:$KZ$3000,$C48,11+3*MIN(AG$3,$D$2-1)))))</f>
        <v>0</v>
      </c>
      <c r="AH48" s="131" t="n">
        <f aca="false">IF(OR($C48="",$B$2="",$D$2=0),0,IF(AH$3&lt;0,0,N(INDEX('CURVA PREVISION'!$A$1:$KZ$3000,$C48,11+3*MIN(AH$3,$D$2-1)))))</f>
        <v>0</v>
      </c>
      <c r="AI48" s="131" t="n">
        <f aca="false">IF(OR($C48="",$B$2="",$D$2=0),0,IF(AI$3&lt;0,0,N(INDEX('CURVA PREVISION'!$A$1:$KZ$3000,$C48,11+3*MIN(AI$3,$D$2-1)))))</f>
        <v>0</v>
      </c>
      <c r="AJ48" s="131" t="n">
        <f aca="false">IF(OR($C48="",$B$2="",$D$2=0),0,IF(AJ$3&lt;0,0,N(INDEX('CURVA PREVISION'!$A$1:$KZ$3000,$C48,11+3*MIN(AJ$3,$D$2-1)))))</f>
        <v>0</v>
      </c>
      <c r="AK48" s="131" t="n">
        <f aca="false">IF(OR($C48="",$B$2="",$D$2=0),0,IF(AK$3&lt;0,0,N(INDEX('CURVA PREVISION'!$A$1:$KZ$3000,$C48,11+3*MIN(AK$3,$D$2-1)))))</f>
        <v>0</v>
      </c>
      <c r="AL48" s="131" t="n">
        <f aca="false">IF(OR($C48="",$B$2="",$D$2=0),0,IF(AL$3&lt;0,0,N(INDEX('CURVA PREVISION'!$A$1:$KZ$3000,$C48,11+3*MIN(AL$3,$D$2-1)))))</f>
        <v>0</v>
      </c>
      <c r="AM48" s="131" t="n">
        <f aca="false">IF(OR($C48="",$B$2="",$D$2=0),0,IF(AM$3&lt;0,0,N(INDEX('CURVA PREVISION'!$A$1:$KZ$3000,$C48,11+3*MIN(AM$3,$D$2-1)))))</f>
        <v>0</v>
      </c>
      <c r="AN48" s="131" t="n">
        <f aca="false">IF(OR($C48="",$B$2="",$D$2=0),0,IF(AN$3&lt;0,0,N(INDEX('CURVA PREVISION'!$A$1:$KZ$3000,$C48,11+3*MIN(AN$3,$D$2-1)))))</f>
        <v>0</v>
      </c>
      <c r="AO48" s="131" t="n">
        <f aca="false">IF(OR($C48="",$B$2="",$D$2=0),0,IF(AO$3&lt;0,0,N(INDEX('CURVA PREVISION'!$A$1:$KZ$3000,$C48,11+3*MIN(AO$3,$D$2-1)))))</f>
        <v>0</v>
      </c>
      <c r="AP48" s="131" t="n">
        <f aca="false">IF(OR($C48="",$B$2="",$D$2=0),0,IF(AP$3&lt;0,0,N(INDEX('CURVA PREVISION'!$A$1:$KZ$3000,$C48,11+3*MIN(AP$3,$D$2-1)))))</f>
        <v>0</v>
      </c>
      <c r="AQ48" s="131" t="n">
        <f aca="false">IF(OR($C48="",$B$2="",$D$2=0),0,IF(AQ$3&lt;0,0,N(INDEX('CURVA PREVISION'!$A$1:$KZ$3000,$C48,11+3*MIN(AQ$3,$D$2-1)))))</f>
        <v>0</v>
      </c>
      <c r="AR48" s="131" t="n">
        <f aca="false">IF(OR($C48="",$B$2="",$D$2=0),0,IF(AR$3&lt;0,0,N(INDEX('CURVA PREVISION'!$A$1:$KZ$3000,$C48,11+3*MIN(AR$3,$D$2-1)))))</f>
        <v>0</v>
      </c>
      <c r="AS48" s="131" t="n">
        <f aca="false">IF(OR($C48="",$B$2="",$D$2=0),0,IF(AS$3&lt;0,0,N(INDEX('CURVA PREVISION'!$A$1:$KZ$3000,$C48,11+3*MIN(AS$3,$D$2-1)))))</f>
        <v>0</v>
      </c>
      <c r="AT48" s="131" t="n">
        <f aca="false">IF(OR($C48="",$B$2="",$D$2=0),0,IF(AT$3&lt;0,0,N(INDEX('CURVA PREVISION'!$A$1:$KZ$3000,$C48,11+3*MIN(AT$3,$D$2-1)))))</f>
        <v>0</v>
      </c>
      <c r="AU48" s="131" t="n">
        <f aca="false">IF(OR($C48="",$B$2="",$D$2=0),0,IF(AU$3&lt;0,0,N(INDEX('CURVA PREVISION'!$A$1:$KZ$3000,$C48,11+3*MIN(AU$3,$D$2-1)))))</f>
        <v>0</v>
      </c>
      <c r="AV48" s="131" t="n">
        <f aca="false">IF(OR($C48="",$B$2="",$D$2=0),0,IF(AV$3&lt;0,0,N(INDEX('CURVA PREVISION'!$A$1:$KZ$3000,$C48,11+3*MIN(AV$3,$D$2-1)))))</f>
        <v>0</v>
      </c>
      <c r="AW48" s="131" t="n">
        <f aca="false">IF(OR($C48="",$B$2="",$D$2=0),0,IF(AW$3&lt;0,0,N(INDEX('CURVA PREVISION'!$A$1:$KZ$3000,$C48,11+3*MIN(AW$3,$D$2-1)))))</f>
        <v>0</v>
      </c>
      <c r="AX48" s="131" t="n">
        <f aca="false">IF(OR($C48="",$B$2="",$D$2=0),0,IF(AX$3&lt;0,0,N(INDEX('CURVA PREVISION'!$A$1:$KZ$3000,$C48,11+3*MIN(AX$3,$D$2-1)))))</f>
        <v>0</v>
      </c>
      <c r="AY48" s="131" t="n">
        <f aca="false">IF(OR($C48="",$B$2="",$D$2=0),0,IF(AY$3&lt;0,0,N(INDEX('CURVA PREVISION'!$A$1:$KZ$3000,$C48,11+3*MIN(AY$3,$D$2-1)))))</f>
        <v>0</v>
      </c>
      <c r="AZ48" s="131" t="n">
        <f aca="false">IF(OR($C48="",$B$2="",$D$2=0),0,IF(AZ$3&lt;0,0,N(INDEX('CURVA PREVISION'!$A$1:$KZ$3000,$C48,11+3*MIN(AZ$3,$D$2-1)))))</f>
        <v>0</v>
      </c>
      <c r="BA48" s="131" t="n">
        <f aca="false">IF(OR($C48="",$B$2="",$D$2=0),0,IF(BA$3&lt;0,0,N(INDEX('CURVA PREVISION'!$A$1:$KZ$3000,$C48,11+3*MIN(BA$3,$D$2-1)))))</f>
        <v>0</v>
      </c>
      <c r="BB48" s="131" t="n">
        <f aca="false">IF(OR($C48="",$B$2="",$D$2=0),0,IF(BB$3&lt;0,0,N(INDEX('CURVA PREVISION'!$A$1:$KZ$3000,$C48,11+3*MIN(BB$3,$D$2-1)))))</f>
        <v>0</v>
      </c>
      <c r="BC48" s="131" t="n">
        <f aca="false">IF(OR($C48="",$B$2="",$D$2=0),0,IF(BC$3&lt;0,0,N(INDEX('CURVA PREVISION'!$A$1:$KZ$3000,$C48,11+3*MIN(BC$3,$D$2-1)))))</f>
        <v>0</v>
      </c>
      <c r="BD48" s="131" t="n">
        <f aca="false">IF(OR($C48="",$B$2="",$D$2=0),0,IF(BD$3&lt;0,0,N(INDEX('CURVA PREVISION'!$A$1:$KZ$3000,$C48,11+3*MIN(BD$3,$D$2-1)))))</f>
        <v>0</v>
      </c>
      <c r="BE48" s="131" t="n">
        <f aca="false">IF(OR($C48="",$B$2="",$D$2=0),0,IF(BE$3&lt;0,0,N(INDEX('CURVA PREVISION'!$A$1:$KZ$3000,$C48,11+3*MIN(BE$3,$D$2-1)))))</f>
        <v>0</v>
      </c>
      <c r="BF48" s="131" t="n">
        <f aca="false">IF(OR($C48="",$B$2="",$D$2=0),0,IF(BF$3&lt;0,0,N(INDEX('CURVA PREVISION'!$A$1:$KZ$3000,$C48,11+3*MIN(BF$3,$D$2-1)))))</f>
        <v>0</v>
      </c>
      <c r="BG48" s="131" t="n">
        <f aca="false">IF(OR($C48="",$B$2="",$D$2=0),0,IF(BG$3&lt;0,0,N(INDEX('CURVA PREVISION'!$A$1:$KZ$3000,$C48,11+3*MIN(BG$3,$D$2-1)))))</f>
        <v>0</v>
      </c>
      <c r="BH48" s="131" t="n">
        <f aca="false">IF(OR($C48="",$B$2="",$D$2=0),0,IF(BH$3&lt;0,0,N(INDEX('CURVA PREVISION'!$A$1:$KZ$3000,$C48,11+3*MIN(BH$3,$D$2-1)))))</f>
        <v>0</v>
      </c>
      <c r="BI48" s="131" t="n">
        <f aca="false">IF(OR($C48="",$B$2="",$D$2=0),0,IF(BI$3&lt;0,0,N(INDEX('CURVA PREVISION'!$A$1:$KZ$3000,$C48,11+3*MIN(BI$3,$D$2-1)))))</f>
        <v>0</v>
      </c>
      <c r="BJ48" s="131" t="n">
        <f aca="false">IF(OR($C48="",$B$2="",$D$2=0),0,IF(BJ$3&lt;0,0,N(INDEX('CURVA PREVISION'!$A$1:$KZ$3000,$C48,11+3*MIN(BJ$3,$D$2-1)))))</f>
        <v>0</v>
      </c>
      <c r="BK48" s="131" t="n">
        <f aca="false">IF(OR($C48="",$B$2="",$D$2=0),0,IF(BK$3&lt;0,0,N(INDEX('CURVA PREVISION'!$A$1:$KZ$3000,$C48,11+3*MIN(BK$3,$D$2-1)))))</f>
        <v>0</v>
      </c>
      <c r="BL48" s="131" t="n">
        <f aca="false">IF(OR($C48="",$B$2="",$D$2=0),0,IF(BL$3&lt;0,0,N(INDEX('CURVA PREVISION'!$A$1:$KZ$3000,$C48,11+3*MIN(BL$3,$D$2-1)))))</f>
        <v>0</v>
      </c>
      <c r="BM48" s="131" t="n">
        <f aca="false">IF(OR($C48="",$B$2="",$D$2=0),0,IF(BM$3&lt;0,0,N(INDEX('CURVA PREVISION'!$A$1:$KZ$3000,$C48,11+3*MIN(BM$3,$D$2-1)))))</f>
        <v>0</v>
      </c>
      <c r="BN48" s="131" t="n">
        <f aca="false">IF(OR($C48="",$B$2="",$D$2=0),0,IF(BN$3&lt;0,0,N(INDEX('CURVA PREVISION'!$A$1:$KZ$3000,$C48,11+3*MIN(BN$3,$D$2-1)))))</f>
        <v>0</v>
      </c>
      <c r="BO48" s="131" t="n">
        <f aca="false">IF(OR($C48="",$B$2="",$D$2=0),0,IF(BO$3&lt;0,0,N(INDEX('CURVA PREVISION'!$A$1:$KZ$3000,$C48,11+3*MIN(BO$3,$D$2-1)))))</f>
        <v>0</v>
      </c>
      <c r="BP48" s="131" t="n">
        <f aca="false">IF(OR($C48="",$B$2="",$D$2=0),0,IF(BP$3&lt;0,0,N(INDEX('CURVA PREVISION'!$A$1:$KZ$3000,$C48,11+3*MIN(BP$3,$D$2-1)))))</f>
        <v>0</v>
      </c>
      <c r="BQ48" s="131" t="n">
        <f aca="false">IF(OR($C48="",$B$2="",$D$2=0),0,IF(BQ$3&lt;0,0,N(INDEX('CURVA PREVISION'!$A$1:$KZ$3000,$C48,11+3*MIN(BQ$3,$D$2-1)))))</f>
        <v>0</v>
      </c>
      <c r="BR48" s="131" t="n">
        <f aca="false">IF(OR($C48="",$B$2="",$D$2=0),0,IF(BR$3&lt;0,0,N(INDEX('CURVA PREVISION'!$A$1:$KZ$3000,$C48,11+3*MIN(BR$3,$D$2-1)))))</f>
        <v>0</v>
      </c>
      <c r="BS48" s="131" t="n">
        <f aca="false">IF(OR($C48="",$B$2="",$D$2=0),0,IF(BS$3&lt;0,0,N(INDEX('CURVA PREVISION'!$A$1:$KZ$3000,$C48,11+3*MIN(BS$3,$D$2-1)))))</f>
        <v>0</v>
      </c>
      <c r="BT48" s="131" t="n">
        <f aca="false">IF(OR($C48="",$B$2="",$D$2=0),0,IF(BT$3&lt;0,0,N(INDEX('CURVA PREVISION'!$A$1:$KZ$3000,$C48,11+3*MIN(BT$3,$D$2-1)))))</f>
        <v>0</v>
      </c>
      <c r="BU48" s="131" t="n">
        <f aca="false">IF(OR($C48="",$B$2="",$D$2=0),0,IF(BU$3&lt;0,0,N(INDEX('CURVA PREVISION'!$A$1:$KZ$3000,$C48,11+3*MIN(BU$3,$D$2-1)))))</f>
        <v>0</v>
      </c>
      <c r="BV48" s="131" t="n">
        <f aca="false">IF(OR($C48="",$B$2="",$D$2=0),0,IF(BV$3&lt;0,0,N(INDEX('CURVA PREVISION'!$A$1:$KZ$3000,$C48,11+3*MIN(BV$3,$D$2-1)))))</f>
        <v>0</v>
      </c>
      <c r="BW48" s="131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13</v>
      </c>
      <c r="D49" s="131" t="n">
        <f aca="false">IF(OR($C49="",$B$2="",$D$2=0),0,IF(D$3&lt;0,0,N(INDEX('CURVA PREVISION'!$A$1:$KZ$3000,$C49,11+3*MIN(D$3,$D$2-1)))))</f>
        <v>0</v>
      </c>
      <c r="E49" s="131" t="n">
        <f aca="false">IF(OR($C49="",$B$2="",$D$2=0),0,IF(E$3&lt;0,0,N(INDEX('CURVA PREVISION'!$A$1:$KZ$3000,$C49,11+3*MIN(E$3,$D$2-1)))))</f>
        <v>0</v>
      </c>
      <c r="F49" s="131" t="n">
        <f aca="false">IF(OR($C49="",$B$2="",$D$2=0),0,IF(F$3&lt;0,0,N(INDEX('CURVA PREVISION'!$A$1:$KZ$3000,$C49,11+3*MIN(F$3,$D$2-1)))))</f>
        <v>0</v>
      </c>
      <c r="G49" s="131" t="n">
        <f aca="false">IF(OR($C49="",$B$2="",$D$2=0),0,IF(G$3&lt;0,0,N(INDEX('CURVA PREVISION'!$A$1:$KZ$3000,$C49,11+3*MIN(G$3,$D$2-1)))))</f>
        <v>0</v>
      </c>
      <c r="H49" s="131" t="n">
        <f aca="false">IF(OR($C49="",$B$2="",$D$2=0),0,IF(H$3&lt;0,0,N(INDEX('CURVA PREVISION'!$A$1:$KZ$3000,$C49,11+3*MIN(H$3,$D$2-1)))))</f>
        <v>0</v>
      </c>
      <c r="I49" s="131" t="n">
        <f aca="false">IF(OR($C49="",$B$2="",$D$2=0),0,IF(I$3&lt;0,0,N(INDEX('CURVA PREVISION'!$A$1:$KZ$3000,$C49,11+3*MIN(I$3,$D$2-1)))))</f>
        <v>0</v>
      </c>
      <c r="J49" s="131" t="n">
        <f aca="false">IF(OR($C49="",$B$2="",$D$2=0),0,IF(J$3&lt;0,0,N(INDEX('CURVA PREVISION'!$A$1:$KZ$3000,$C49,11+3*MIN(J$3,$D$2-1)))))</f>
        <v>0</v>
      </c>
      <c r="K49" s="131" t="n">
        <f aca="false">IF(OR($C49="",$B$2="",$D$2=0),0,IF(K$3&lt;0,0,N(INDEX('CURVA PREVISION'!$A$1:$KZ$3000,$C49,11+3*MIN(K$3,$D$2-1)))))</f>
        <v>0</v>
      </c>
      <c r="L49" s="131" t="n">
        <f aca="false">IF(OR($C49="",$B$2="",$D$2=0),0,IF(L$3&lt;0,0,N(INDEX('CURVA PREVISION'!$A$1:$KZ$3000,$C49,11+3*MIN(L$3,$D$2-1)))))</f>
        <v>0</v>
      </c>
      <c r="M49" s="131" t="n">
        <f aca="false">IF(OR($C49="",$B$2="",$D$2=0),0,IF(M$3&lt;0,0,N(INDEX('CURVA PREVISION'!$A$1:$KZ$3000,$C49,11+3*MIN(M$3,$D$2-1)))))</f>
        <v>0</v>
      </c>
      <c r="N49" s="131" t="n">
        <f aca="false">IF(OR($C49="",$B$2="",$D$2=0),0,IF(N$3&lt;0,0,N(INDEX('CURVA PREVISION'!$A$1:$KZ$3000,$C49,11+3*MIN(N$3,$D$2-1)))))</f>
        <v>0</v>
      </c>
      <c r="O49" s="131" t="n">
        <f aca="false">IF(OR($C49="",$B$2="",$D$2=0),0,IF(O$3&lt;0,0,N(INDEX('CURVA PREVISION'!$A$1:$KZ$3000,$C49,11+3*MIN(O$3,$D$2-1)))))</f>
        <v>0</v>
      </c>
      <c r="P49" s="131" t="n">
        <f aca="false">IF(OR($C49="",$B$2="",$D$2=0),0,IF(P$3&lt;0,0,N(INDEX('CURVA PREVISION'!$A$1:$KZ$3000,$C49,11+3*MIN(P$3,$D$2-1)))))</f>
        <v>0</v>
      </c>
      <c r="Q49" s="131" t="n">
        <f aca="false">IF(OR($C49="",$B$2="",$D$2=0),0,IF(Q$3&lt;0,0,N(INDEX('CURVA PREVISION'!$A$1:$KZ$3000,$C49,11+3*MIN(Q$3,$D$2-1)))))</f>
        <v>0</v>
      </c>
      <c r="R49" s="131" t="n">
        <f aca="false">IF(OR($C49="",$B$2="",$D$2=0),0,IF(R$3&lt;0,0,N(INDEX('CURVA PREVISION'!$A$1:$KZ$3000,$C49,11+3*MIN(R$3,$D$2-1)))))</f>
        <v>0</v>
      </c>
      <c r="S49" s="131" t="n">
        <f aca="false">IF(OR($C49="",$B$2="",$D$2=0),0,IF(S$3&lt;0,0,N(INDEX('CURVA PREVISION'!$A$1:$KZ$3000,$C49,11+3*MIN(S$3,$D$2-1)))))</f>
        <v>0</v>
      </c>
      <c r="T49" s="131" t="n">
        <f aca="false">IF(OR($C49="",$B$2="",$D$2=0),0,IF(T$3&lt;0,0,N(INDEX('CURVA PREVISION'!$A$1:$KZ$3000,$C49,11+3*MIN(T$3,$D$2-1)))))</f>
        <v>0</v>
      </c>
      <c r="U49" s="131" t="n">
        <f aca="false">IF(OR($C49="",$B$2="",$D$2=0),0,IF(U$3&lt;0,0,N(INDEX('CURVA PREVISION'!$A$1:$KZ$3000,$C49,11+3*MIN(U$3,$D$2-1)))))</f>
        <v>0</v>
      </c>
      <c r="V49" s="131" t="n">
        <f aca="false">IF(OR($C49="",$B$2="",$D$2=0),0,IF(V$3&lt;0,0,N(INDEX('CURVA PREVISION'!$A$1:$KZ$3000,$C49,11+3*MIN(V$3,$D$2-1)))))</f>
        <v>0</v>
      </c>
      <c r="W49" s="131" t="n">
        <f aca="false">IF(OR($C49="",$B$2="",$D$2=0),0,IF(W$3&lt;0,0,N(INDEX('CURVA PREVISION'!$A$1:$KZ$3000,$C49,11+3*MIN(W$3,$D$2-1)))))</f>
        <v>0</v>
      </c>
      <c r="X49" s="131" t="n">
        <f aca="false">IF(OR($C49="",$B$2="",$D$2=0),0,IF(X$3&lt;0,0,N(INDEX('CURVA PREVISION'!$A$1:$KZ$3000,$C49,11+3*MIN(X$3,$D$2-1)))))</f>
        <v>0</v>
      </c>
      <c r="Y49" s="131" t="n">
        <f aca="false">IF(OR($C49="",$B$2="",$D$2=0),0,IF(Y$3&lt;0,0,N(INDEX('CURVA PREVISION'!$A$1:$KZ$3000,$C49,11+3*MIN(Y$3,$D$2-1)))))</f>
        <v>0</v>
      </c>
      <c r="Z49" s="131" t="n">
        <f aca="false">IF(OR($C49="",$B$2="",$D$2=0),0,IF(Z$3&lt;0,0,N(INDEX('CURVA PREVISION'!$A$1:$KZ$3000,$C49,11+3*MIN(Z$3,$D$2-1)))))</f>
        <v>0</v>
      </c>
      <c r="AA49" s="131" t="n">
        <f aca="false">IF(OR($C49="",$B$2="",$D$2=0),0,IF(AA$3&lt;0,0,N(INDEX('CURVA PREVISION'!$A$1:$KZ$3000,$C49,11+3*MIN(AA$3,$D$2-1)))))</f>
        <v>0</v>
      </c>
      <c r="AB49" s="131" t="n">
        <f aca="false">IF(OR($C49="",$B$2="",$D$2=0),0,IF(AB$3&lt;0,0,N(INDEX('CURVA PREVISION'!$A$1:$KZ$3000,$C49,11+3*MIN(AB$3,$D$2-1)))))</f>
        <v>0</v>
      </c>
      <c r="AC49" s="131" t="n">
        <f aca="false">IF(OR($C49="",$B$2="",$D$2=0),0,IF(AC$3&lt;0,0,N(INDEX('CURVA PREVISION'!$A$1:$KZ$3000,$C49,11+3*MIN(AC$3,$D$2-1)))))</f>
        <v>0</v>
      </c>
      <c r="AD49" s="131" t="n">
        <f aca="false">IF(OR($C49="",$B$2="",$D$2=0),0,IF(AD$3&lt;0,0,N(INDEX('CURVA PREVISION'!$A$1:$KZ$3000,$C49,11+3*MIN(AD$3,$D$2-1)))))</f>
        <v>0</v>
      </c>
      <c r="AE49" s="131" t="n">
        <f aca="false">IF(OR($C49="",$B$2="",$D$2=0),0,IF(AE$3&lt;0,0,N(INDEX('CURVA PREVISION'!$A$1:$KZ$3000,$C49,11+3*MIN(AE$3,$D$2-1)))))</f>
        <v>0</v>
      </c>
      <c r="AF49" s="131" t="n">
        <f aca="false">IF(OR($C49="",$B$2="",$D$2=0),0,IF(AF$3&lt;0,0,N(INDEX('CURVA PREVISION'!$A$1:$KZ$3000,$C49,11+3*MIN(AF$3,$D$2-1)))))</f>
        <v>0</v>
      </c>
      <c r="AG49" s="131" t="n">
        <f aca="false">IF(OR($C49="",$B$2="",$D$2=0),0,IF(AG$3&lt;0,0,N(INDEX('CURVA PREVISION'!$A$1:$KZ$3000,$C49,11+3*MIN(AG$3,$D$2-1)))))</f>
        <v>0</v>
      </c>
      <c r="AH49" s="131" t="n">
        <f aca="false">IF(OR($C49="",$B$2="",$D$2=0),0,IF(AH$3&lt;0,0,N(INDEX('CURVA PREVISION'!$A$1:$KZ$3000,$C49,11+3*MIN(AH$3,$D$2-1)))))</f>
        <v>0</v>
      </c>
      <c r="AI49" s="131" t="n">
        <f aca="false">IF(OR($C49="",$B$2="",$D$2=0),0,IF(AI$3&lt;0,0,N(INDEX('CURVA PREVISION'!$A$1:$KZ$3000,$C49,11+3*MIN(AI$3,$D$2-1)))))</f>
        <v>0</v>
      </c>
      <c r="AJ49" s="131" t="n">
        <f aca="false">IF(OR($C49="",$B$2="",$D$2=0),0,IF(AJ$3&lt;0,0,N(INDEX('CURVA PREVISION'!$A$1:$KZ$3000,$C49,11+3*MIN(AJ$3,$D$2-1)))))</f>
        <v>0</v>
      </c>
      <c r="AK49" s="131" t="n">
        <f aca="false">IF(OR($C49="",$B$2="",$D$2=0),0,IF(AK$3&lt;0,0,N(INDEX('CURVA PREVISION'!$A$1:$KZ$3000,$C49,11+3*MIN(AK$3,$D$2-1)))))</f>
        <v>0</v>
      </c>
      <c r="AL49" s="131" t="n">
        <f aca="false">IF(OR($C49="",$B$2="",$D$2=0),0,IF(AL$3&lt;0,0,N(INDEX('CURVA PREVISION'!$A$1:$KZ$3000,$C49,11+3*MIN(AL$3,$D$2-1)))))</f>
        <v>0</v>
      </c>
      <c r="AM49" s="131" t="n">
        <f aca="false">IF(OR($C49="",$B$2="",$D$2=0),0,IF(AM$3&lt;0,0,N(INDEX('CURVA PREVISION'!$A$1:$KZ$3000,$C49,11+3*MIN(AM$3,$D$2-1)))))</f>
        <v>0</v>
      </c>
      <c r="AN49" s="131" t="n">
        <f aca="false">IF(OR($C49="",$B$2="",$D$2=0),0,IF(AN$3&lt;0,0,N(INDEX('CURVA PREVISION'!$A$1:$KZ$3000,$C49,11+3*MIN(AN$3,$D$2-1)))))</f>
        <v>0</v>
      </c>
      <c r="AO49" s="131" t="n">
        <f aca="false">IF(OR($C49="",$B$2="",$D$2=0),0,IF(AO$3&lt;0,0,N(INDEX('CURVA PREVISION'!$A$1:$KZ$3000,$C49,11+3*MIN(AO$3,$D$2-1)))))</f>
        <v>0</v>
      </c>
      <c r="AP49" s="131" t="n">
        <f aca="false">IF(OR($C49="",$B$2="",$D$2=0),0,IF(AP$3&lt;0,0,N(INDEX('CURVA PREVISION'!$A$1:$KZ$3000,$C49,11+3*MIN(AP$3,$D$2-1)))))</f>
        <v>0</v>
      </c>
      <c r="AQ49" s="131" t="n">
        <f aca="false">IF(OR($C49="",$B$2="",$D$2=0),0,IF(AQ$3&lt;0,0,N(INDEX('CURVA PREVISION'!$A$1:$KZ$3000,$C49,11+3*MIN(AQ$3,$D$2-1)))))</f>
        <v>0</v>
      </c>
      <c r="AR49" s="131" t="n">
        <f aca="false">IF(OR($C49="",$B$2="",$D$2=0),0,IF(AR$3&lt;0,0,N(INDEX('CURVA PREVISION'!$A$1:$KZ$3000,$C49,11+3*MIN(AR$3,$D$2-1)))))</f>
        <v>0</v>
      </c>
      <c r="AS49" s="131" t="n">
        <f aca="false">IF(OR($C49="",$B$2="",$D$2=0),0,IF(AS$3&lt;0,0,N(INDEX('CURVA PREVISION'!$A$1:$KZ$3000,$C49,11+3*MIN(AS$3,$D$2-1)))))</f>
        <v>0</v>
      </c>
      <c r="AT49" s="131" t="n">
        <f aca="false">IF(OR($C49="",$B$2="",$D$2=0),0,IF(AT$3&lt;0,0,N(INDEX('CURVA PREVISION'!$A$1:$KZ$3000,$C49,11+3*MIN(AT$3,$D$2-1)))))</f>
        <v>0</v>
      </c>
      <c r="AU49" s="131" t="n">
        <f aca="false">IF(OR($C49="",$B$2="",$D$2=0),0,IF(AU$3&lt;0,0,N(INDEX('CURVA PREVISION'!$A$1:$KZ$3000,$C49,11+3*MIN(AU$3,$D$2-1)))))</f>
        <v>0</v>
      </c>
      <c r="AV49" s="131" t="n">
        <f aca="false">IF(OR($C49="",$B$2="",$D$2=0),0,IF(AV$3&lt;0,0,N(INDEX('CURVA PREVISION'!$A$1:$KZ$3000,$C49,11+3*MIN(AV$3,$D$2-1)))))</f>
        <v>0</v>
      </c>
      <c r="AW49" s="131" t="n">
        <f aca="false">IF(OR($C49="",$B$2="",$D$2=0),0,IF(AW$3&lt;0,0,N(INDEX('CURVA PREVISION'!$A$1:$KZ$3000,$C49,11+3*MIN(AW$3,$D$2-1)))))</f>
        <v>0</v>
      </c>
      <c r="AX49" s="131" t="n">
        <f aca="false">IF(OR($C49="",$B$2="",$D$2=0),0,IF(AX$3&lt;0,0,N(INDEX('CURVA PREVISION'!$A$1:$KZ$3000,$C49,11+3*MIN(AX$3,$D$2-1)))))</f>
        <v>0</v>
      </c>
      <c r="AY49" s="131" t="n">
        <f aca="false">IF(OR($C49="",$B$2="",$D$2=0),0,IF(AY$3&lt;0,0,N(INDEX('CURVA PREVISION'!$A$1:$KZ$3000,$C49,11+3*MIN(AY$3,$D$2-1)))))</f>
        <v>0</v>
      </c>
      <c r="AZ49" s="131" t="n">
        <f aca="false">IF(OR($C49="",$B$2="",$D$2=0),0,IF(AZ$3&lt;0,0,N(INDEX('CURVA PREVISION'!$A$1:$KZ$3000,$C49,11+3*MIN(AZ$3,$D$2-1)))))</f>
        <v>0</v>
      </c>
      <c r="BA49" s="131" t="n">
        <f aca="false">IF(OR($C49="",$B$2="",$D$2=0),0,IF(BA$3&lt;0,0,N(INDEX('CURVA PREVISION'!$A$1:$KZ$3000,$C49,11+3*MIN(BA$3,$D$2-1)))))</f>
        <v>0</v>
      </c>
      <c r="BB49" s="131" t="n">
        <f aca="false">IF(OR($C49="",$B$2="",$D$2=0),0,IF(BB$3&lt;0,0,N(INDEX('CURVA PREVISION'!$A$1:$KZ$3000,$C49,11+3*MIN(BB$3,$D$2-1)))))</f>
        <v>0</v>
      </c>
      <c r="BC49" s="131" t="n">
        <f aca="false">IF(OR($C49="",$B$2="",$D$2=0),0,IF(BC$3&lt;0,0,N(INDEX('CURVA PREVISION'!$A$1:$KZ$3000,$C49,11+3*MIN(BC$3,$D$2-1)))))</f>
        <v>0</v>
      </c>
      <c r="BD49" s="131" t="n">
        <f aca="false">IF(OR($C49="",$B$2="",$D$2=0),0,IF(BD$3&lt;0,0,N(INDEX('CURVA PREVISION'!$A$1:$KZ$3000,$C49,11+3*MIN(BD$3,$D$2-1)))))</f>
        <v>0</v>
      </c>
      <c r="BE49" s="131" t="n">
        <f aca="false">IF(OR($C49="",$B$2="",$D$2=0),0,IF(BE$3&lt;0,0,N(INDEX('CURVA PREVISION'!$A$1:$KZ$3000,$C49,11+3*MIN(BE$3,$D$2-1)))))</f>
        <v>0</v>
      </c>
      <c r="BF49" s="131" t="n">
        <f aca="false">IF(OR($C49="",$B$2="",$D$2=0),0,IF(BF$3&lt;0,0,N(INDEX('CURVA PREVISION'!$A$1:$KZ$3000,$C49,11+3*MIN(BF$3,$D$2-1)))))</f>
        <v>0</v>
      </c>
      <c r="BG49" s="131" t="n">
        <f aca="false">IF(OR($C49="",$B$2="",$D$2=0),0,IF(BG$3&lt;0,0,N(INDEX('CURVA PREVISION'!$A$1:$KZ$3000,$C49,11+3*MIN(BG$3,$D$2-1)))))</f>
        <v>0</v>
      </c>
      <c r="BH49" s="131" t="n">
        <f aca="false">IF(OR($C49="",$B$2="",$D$2=0),0,IF(BH$3&lt;0,0,N(INDEX('CURVA PREVISION'!$A$1:$KZ$3000,$C49,11+3*MIN(BH$3,$D$2-1)))))</f>
        <v>0</v>
      </c>
      <c r="BI49" s="131" t="n">
        <f aca="false">IF(OR($C49="",$B$2="",$D$2=0),0,IF(BI$3&lt;0,0,N(INDEX('CURVA PREVISION'!$A$1:$KZ$3000,$C49,11+3*MIN(BI$3,$D$2-1)))))</f>
        <v>0</v>
      </c>
      <c r="BJ49" s="131" t="n">
        <f aca="false">IF(OR($C49="",$B$2="",$D$2=0),0,IF(BJ$3&lt;0,0,N(INDEX('CURVA PREVISION'!$A$1:$KZ$3000,$C49,11+3*MIN(BJ$3,$D$2-1)))))</f>
        <v>0</v>
      </c>
      <c r="BK49" s="131" t="n">
        <f aca="false">IF(OR($C49="",$B$2="",$D$2=0),0,IF(BK$3&lt;0,0,N(INDEX('CURVA PREVISION'!$A$1:$KZ$3000,$C49,11+3*MIN(BK$3,$D$2-1)))))</f>
        <v>0</v>
      </c>
      <c r="BL49" s="131" t="n">
        <f aca="false">IF(OR($C49="",$B$2="",$D$2=0),0,IF(BL$3&lt;0,0,N(INDEX('CURVA PREVISION'!$A$1:$KZ$3000,$C49,11+3*MIN(BL$3,$D$2-1)))))</f>
        <v>0</v>
      </c>
      <c r="BM49" s="131" t="n">
        <f aca="false">IF(OR($C49="",$B$2="",$D$2=0),0,IF(BM$3&lt;0,0,N(INDEX('CURVA PREVISION'!$A$1:$KZ$3000,$C49,11+3*MIN(BM$3,$D$2-1)))))</f>
        <v>0</v>
      </c>
      <c r="BN49" s="131" t="n">
        <f aca="false">IF(OR($C49="",$B$2="",$D$2=0),0,IF(BN$3&lt;0,0,N(INDEX('CURVA PREVISION'!$A$1:$KZ$3000,$C49,11+3*MIN(BN$3,$D$2-1)))))</f>
        <v>0</v>
      </c>
      <c r="BO49" s="131" t="n">
        <f aca="false">IF(OR($C49="",$B$2="",$D$2=0),0,IF(BO$3&lt;0,0,N(INDEX('CURVA PREVISION'!$A$1:$KZ$3000,$C49,11+3*MIN(BO$3,$D$2-1)))))</f>
        <v>0</v>
      </c>
      <c r="BP49" s="131" t="n">
        <f aca="false">IF(OR($C49="",$B$2="",$D$2=0),0,IF(BP$3&lt;0,0,N(INDEX('CURVA PREVISION'!$A$1:$KZ$3000,$C49,11+3*MIN(BP$3,$D$2-1)))))</f>
        <v>0</v>
      </c>
      <c r="BQ49" s="131" t="n">
        <f aca="false">IF(OR($C49="",$B$2="",$D$2=0),0,IF(BQ$3&lt;0,0,N(INDEX('CURVA PREVISION'!$A$1:$KZ$3000,$C49,11+3*MIN(BQ$3,$D$2-1)))))</f>
        <v>0</v>
      </c>
      <c r="BR49" s="131" t="n">
        <f aca="false">IF(OR($C49="",$B$2="",$D$2=0),0,IF(BR$3&lt;0,0,N(INDEX('CURVA PREVISION'!$A$1:$KZ$3000,$C49,11+3*MIN(BR$3,$D$2-1)))))</f>
        <v>0</v>
      </c>
      <c r="BS49" s="131" t="n">
        <f aca="false">IF(OR($C49="",$B$2="",$D$2=0),0,IF(BS$3&lt;0,0,N(INDEX('CURVA PREVISION'!$A$1:$KZ$3000,$C49,11+3*MIN(BS$3,$D$2-1)))))</f>
        <v>0</v>
      </c>
      <c r="BT49" s="131" t="n">
        <f aca="false">IF(OR($C49="",$B$2="",$D$2=0),0,IF(BT$3&lt;0,0,N(INDEX('CURVA PREVISION'!$A$1:$KZ$3000,$C49,11+3*MIN(BT$3,$D$2-1)))))</f>
        <v>0</v>
      </c>
      <c r="BU49" s="131" t="n">
        <f aca="false">IF(OR($C49="",$B$2="",$D$2=0),0,IF(BU$3&lt;0,0,N(INDEX('CURVA PREVISION'!$A$1:$KZ$3000,$C49,11+3*MIN(BU$3,$D$2-1)))))</f>
        <v>0</v>
      </c>
      <c r="BV49" s="131" t="n">
        <f aca="false">IF(OR($C49="",$B$2="",$D$2=0),0,IF(BV$3&lt;0,0,N(INDEX('CURVA PREVISION'!$A$1:$KZ$3000,$C49,11+3*MIN(BV$3,$D$2-1)))))</f>
        <v>0</v>
      </c>
      <c r="BW49" s="131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16</v>
      </c>
      <c r="D50" s="131" t="n">
        <f aca="false">IF(OR($C50="",$B$2="",$D$2=0),0,IF(D$3&lt;0,0,N(INDEX('CURVA PREVISION'!$A$1:$KZ$3000,$C50,11+3*MIN(D$3,$D$2-1)))))</f>
        <v>0</v>
      </c>
      <c r="E50" s="131" t="n">
        <f aca="false">IF(OR($C50="",$B$2="",$D$2=0),0,IF(E$3&lt;0,0,N(INDEX('CURVA PREVISION'!$A$1:$KZ$3000,$C50,11+3*MIN(E$3,$D$2-1)))))</f>
        <v>0</v>
      </c>
      <c r="F50" s="131" t="n">
        <f aca="false">IF(OR($C50="",$B$2="",$D$2=0),0,IF(F$3&lt;0,0,N(INDEX('CURVA PREVISION'!$A$1:$KZ$3000,$C50,11+3*MIN(F$3,$D$2-1)))))</f>
        <v>0</v>
      </c>
      <c r="G50" s="131" t="n">
        <f aca="false">IF(OR($C50="",$B$2="",$D$2=0),0,IF(G$3&lt;0,0,N(INDEX('CURVA PREVISION'!$A$1:$KZ$3000,$C50,11+3*MIN(G$3,$D$2-1)))))</f>
        <v>0</v>
      </c>
      <c r="H50" s="131" t="n">
        <f aca="false">IF(OR($C50="",$B$2="",$D$2=0),0,IF(H$3&lt;0,0,N(INDEX('CURVA PREVISION'!$A$1:$KZ$3000,$C50,11+3*MIN(H$3,$D$2-1)))))</f>
        <v>0</v>
      </c>
      <c r="I50" s="131" t="n">
        <f aca="false">IF(OR($C50="",$B$2="",$D$2=0),0,IF(I$3&lt;0,0,N(INDEX('CURVA PREVISION'!$A$1:$KZ$3000,$C50,11+3*MIN(I$3,$D$2-1)))))</f>
        <v>0</v>
      </c>
      <c r="J50" s="131" t="n">
        <f aca="false">IF(OR($C50="",$B$2="",$D$2=0),0,IF(J$3&lt;0,0,N(INDEX('CURVA PREVISION'!$A$1:$KZ$3000,$C50,11+3*MIN(J$3,$D$2-1)))))</f>
        <v>0</v>
      </c>
      <c r="K50" s="131" t="n">
        <f aca="false">IF(OR($C50="",$B$2="",$D$2=0),0,IF(K$3&lt;0,0,N(INDEX('CURVA PREVISION'!$A$1:$KZ$3000,$C50,11+3*MIN(K$3,$D$2-1)))))</f>
        <v>0</v>
      </c>
      <c r="L50" s="131" t="n">
        <f aca="false">IF(OR($C50="",$B$2="",$D$2=0),0,IF(L$3&lt;0,0,N(INDEX('CURVA PREVISION'!$A$1:$KZ$3000,$C50,11+3*MIN(L$3,$D$2-1)))))</f>
        <v>0</v>
      </c>
      <c r="M50" s="131" t="n">
        <f aca="false">IF(OR($C50="",$B$2="",$D$2=0),0,IF(M$3&lt;0,0,N(INDEX('CURVA PREVISION'!$A$1:$KZ$3000,$C50,11+3*MIN(M$3,$D$2-1)))))</f>
        <v>0</v>
      </c>
      <c r="N50" s="131" t="n">
        <f aca="false">IF(OR($C50="",$B$2="",$D$2=0),0,IF(N$3&lt;0,0,N(INDEX('CURVA PREVISION'!$A$1:$KZ$3000,$C50,11+3*MIN(N$3,$D$2-1)))))</f>
        <v>0</v>
      </c>
      <c r="O50" s="131" t="n">
        <f aca="false">IF(OR($C50="",$B$2="",$D$2=0),0,IF(O$3&lt;0,0,N(INDEX('CURVA PREVISION'!$A$1:$KZ$3000,$C50,11+3*MIN(O$3,$D$2-1)))))</f>
        <v>0</v>
      </c>
      <c r="P50" s="131" t="n">
        <f aca="false">IF(OR($C50="",$B$2="",$D$2=0),0,IF(P$3&lt;0,0,N(INDEX('CURVA PREVISION'!$A$1:$KZ$3000,$C50,11+3*MIN(P$3,$D$2-1)))))</f>
        <v>0</v>
      </c>
      <c r="Q50" s="131" t="n">
        <f aca="false">IF(OR($C50="",$B$2="",$D$2=0),0,IF(Q$3&lt;0,0,N(INDEX('CURVA PREVISION'!$A$1:$KZ$3000,$C50,11+3*MIN(Q$3,$D$2-1)))))</f>
        <v>0</v>
      </c>
      <c r="R50" s="131" t="n">
        <f aca="false">IF(OR($C50="",$B$2="",$D$2=0),0,IF(R$3&lt;0,0,N(INDEX('CURVA PREVISION'!$A$1:$KZ$3000,$C50,11+3*MIN(R$3,$D$2-1)))))</f>
        <v>0</v>
      </c>
      <c r="S50" s="131" t="n">
        <f aca="false">IF(OR($C50="",$B$2="",$D$2=0),0,IF(S$3&lt;0,0,N(INDEX('CURVA PREVISION'!$A$1:$KZ$3000,$C50,11+3*MIN(S$3,$D$2-1)))))</f>
        <v>0</v>
      </c>
      <c r="T50" s="131" t="n">
        <f aca="false">IF(OR($C50="",$B$2="",$D$2=0),0,IF(T$3&lt;0,0,N(INDEX('CURVA PREVISION'!$A$1:$KZ$3000,$C50,11+3*MIN(T$3,$D$2-1)))))</f>
        <v>0</v>
      </c>
      <c r="U50" s="131" t="n">
        <f aca="false">IF(OR($C50="",$B$2="",$D$2=0),0,IF(U$3&lt;0,0,N(INDEX('CURVA PREVISION'!$A$1:$KZ$3000,$C50,11+3*MIN(U$3,$D$2-1)))))</f>
        <v>0</v>
      </c>
      <c r="V50" s="131" t="n">
        <f aca="false">IF(OR($C50="",$B$2="",$D$2=0),0,IF(V$3&lt;0,0,N(INDEX('CURVA PREVISION'!$A$1:$KZ$3000,$C50,11+3*MIN(V$3,$D$2-1)))))</f>
        <v>0</v>
      </c>
      <c r="W50" s="131" t="n">
        <f aca="false">IF(OR($C50="",$B$2="",$D$2=0),0,IF(W$3&lt;0,0,N(INDEX('CURVA PREVISION'!$A$1:$KZ$3000,$C50,11+3*MIN(W$3,$D$2-1)))))</f>
        <v>0</v>
      </c>
      <c r="X50" s="131" t="n">
        <f aca="false">IF(OR($C50="",$B$2="",$D$2=0),0,IF(X$3&lt;0,0,N(INDEX('CURVA PREVISION'!$A$1:$KZ$3000,$C50,11+3*MIN(X$3,$D$2-1)))))</f>
        <v>0</v>
      </c>
      <c r="Y50" s="131" t="n">
        <f aca="false">IF(OR($C50="",$B$2="",$D$2=0),0,IF(Y$3&lt;0,0,N(INDEX('CURVA PREVISION'!$A$1:$KZ$3000,$C50,11+3*MIN(Y$3,$D$2-1)))))</f>
        <v>0</v>
      </c>
      <c r="Z50" s="131" t="n">
        <f aca="false">IF(OR($C50="",$B$2="",$D$2=0),0,IF(Z$3&lt;0,0,N(INDEX('CURVA PREVISION'!$A$1:$KZ$3000,$C50,11+3*MIN(Z$3,$D$2-1)))))</f>
        <v>0</v>
      </c>
      <c r="AA50" s="131" t="n">
        <f aca="false">IF(OR($C50="",$B$2="",$D$2=0),0,IF(AA$3&lt;0,0,N(INDEX('CURVA PREVISION'!$A$1:$KZ$3000,$C50,11+3*MIN(AA$3,$D$2-1)))))</f>
        <v>0</v>
      </c>
      <c r="AB50" s="131" t="n">
        <f aca="false">IF(OR($C50="",$B$2="",$D$2=0),0,IF(AB$3&lt;0,0,N(INDEX('CURVA PREVISION'!$A$1:$KZ$3000,$C50,11+3*MIN(AB$3,$D$2-1)))))</f>
        <v>0</v>
      </c>
      <c r="AC50" s="131" t="n">
        <f aca="false">IF(OR($C50="",$B$2="",$D$2=0),0,IF(AC$3&lt;0,0,N(INDEX('CURVA PREVISION'!$A$1:$KZ$3000,$C50,11+3*MIN(AC$3,$D$2-1)))))</f>
        <v>0</v>
      </c>
      <c r="AD50" s="131" t="n">
        <f aca="false">IF(OR($C50="",$B$2="",$D$2=0),0,IF(AD$3&lt;0,0,N(INDEX('CURVA PREVISION'!$A$1:$KZ$3000,$C50,11+3*MIN(AD$3,$D$2-1)))))</f>
        <v>0</v>
      </c>
      <c r="AE50" s="131" t="n">
        <f aca="false">IF(OR($C50="",$B$2="",$D$2=0),0,IF(AE$3&lt;0,0,N(INDEX('CURVA PREVISION'!$A$1:$KZ$3000,$C50,11+3*MIN(AE$3,$D$2-1)))))</f>
        <v>0</v>
      </c>
      <c r="AF50" s="131" t="n">
        <f aca="false">IF(OR($C50="",$B$2="",$D$2=0),0,IF(AF$3&lt;0,0,N(INDEX('CURVA PREVISION'!$A$1:$KZ$3000,$C50,11+3*MIN(AF$3,$D$2-1)))))</f>
        <v>0</v>
      </c>
      <c r="AG50" s="131" t="n">
        <f aca="false">IF(OR($C50="",$B$2="",$D$2=0),0,IF(AG$3&lt;0,0,N(INDEX('CURVA PREVISION'!$A$1:$KZ$3000,$C50,11+3*MIN(AG$3,$D$2-1)))))</f>
        <v>0</v>
      </c>
      <c r="AH50" s="131" t="n">
        <f aca="false">IF(OR($C50="",$B$2="",$D$2=0),0,IF(AH$3&lt;0,0,N(INDEX('CURVA PREVISION'!$A$1:$KZ$3000,$C50,11+3*MIN(AH$3,$D$2-1)))))</f>
        <v>0</v>
      </c>
      <c r="AI50" s="131" t="n">
        <f aca="false">IF(OR($C50="",$B$2="",$D$2=0),0,IF(AI$3&lt;0,0,N(INDEX('CURVA PREVISION'!$A$1:$KZ$3000,$C50,11+3*MIN(AI$3,$D$2-1)))))</f>
        <v>0</v>
      </c>
      <c r="AJ50" s="131" t="n">
        <f aca="false">IF(OR($C50="",$B$2="",$D$2=0),0,IF(AJ$3&lt;0,0,N(INDEX('CURVA PREVISION'!$A$1:$KZ$3000,$C50,11+3*MIN(AJ$3,$D$2-1)))))</f>
        <v>0</v>
      </c>
      <c r="AK50" s="131" t="n">
        <f aca="false">IF(OR($C50="",$B$2="",$D$2=0),0,IF(AK$3&lt;0,0,N(INDEX('CURVA PREVISION'!$A$1:$KZ$3000,$C50,11+3*MIN(AK$3,$D$2-1)))))</f>
        <v>0</v>
      </c>
      <c r="AL50" s="131" t="n">
        <f aca="false">IF(OR($C50="",$B$2="",$D$2=0),0,IF(AL$3&lt;0,0,N(INDEX('CURVA PREVISION'!$A$1:$KZ$3000,$C50,11+3*MIN(AL$3,$D$2-1)))))</f>
        <v>0</v>
      </c>
      <c r="AM50" s="131" t="n">
        <f aca="false">IF(OR($C50="",$B$2="",$D$2=0),0,IF(AM$3&lt;0,0,N(INDEX('CURVA PREVISION'!$A$1:$KZ$3000,$C50,11+3*MIN(AM$3,$D$2-1)))))</f>
        <v>0</v>
      </c>
      <c r="AN50" s="131" t="n">
        <f aca="false">IF(OR($C50="",$B$2="",$D$2=0),0,IF(AN$3&lt;0,0,N(INDEX('CURVA PREVISION'!$A$1:$KZ$3000,$C50,11+3*MIN(AN$3,$D$2-1)))))</f>
        <v>0</v>
      </c>
      <c r="AO50" s="131" t="n">
        <f aca="false">IF(OR($C50="",$B$2="",$D$2=0),0,IF(AO$3&lt;0,0,N(INDEX('CURVA PREVISION'!$A$1:$KZ$3000,$C50,11+3*MIN(AO$3,$D$2-1)))))</f>
        <v>0</v>
      </c>
      <c r="AP50" s="131" t="n">
        <f aca="false">IF(OR($C50="",$B$2="",$D$2=0),0,IF(AP$3&lt;0,0,N(INDEX('CURVA PREVISION'!$A$1:$KZ$3000,$C50,11+3*MIN(AP$3,$D$2-1)))))</f>
        <v>0</v>
      </c>
      <c r="AQ50" s="131" t="n">
        <f aca="false">IF(OR($C50="",$B$2="",$D$2=0),0,IF(AQ$3&lt;0,0,N(INDEX('CURVA PREVISION'!$A$1:$KZ$3000,$C50,11+3*MIN(AQ$3,$D$2-1)))))</f>
        <v>0</v>
      </c>
      <c r="AR50" s="131" t="n">
        <f aca="false">IF(OR($C50="",$B$2="",$D$2=0),0,IF(AR$3&lt;0,0,N(INDEX('CURVA PREVISION'!$A$1:$KZ$3000,$C50,11+3*MIN(AR$3,$D$2-1)))))</f>
        <v>0</v>
      </c>
      <c r="AS50" s="131" t="n">
        <f aca="false">IF(OR($C50="",$B$2="",$D$2=0),0,IF(AS$3&lt;0,0,N(INDEX('CURVA PREVISION'!$A$1:$KZ$3000,$C50,11+3*MIN(AS$3,$D$2-1)))))</f>
        <v>0</v>
      </c>
      <c r="AT50" s="131" t="n">
        <f aca="false">IF(OR($C50="",$B$2="",$D$2=0),0,IF(AT$3&lt;0,0,N(INDEX('CURVA PREVISION'!$A$1:$KZ$3000,$C50,11+3*MIN(AT$3,$D$2-1)))))</f>
        <v>0</v>
      </c>
      <c r="AU50" s="131" t="n">
        <f aca="false">IF(OR($C50="",$B$2="",$D$2=0),0,IF(AU$3&lt;0,0,N(INDEX('CURVA PREVISION'!$A$1:$KZ$3000,$C50,11+3*MIN(AU$3,$D$2-1)))))</f>
        <v>0</v>
      </c>
      <c r="AV50" s="131" t="n">
        <f aca="false">IF(OR($C50="",$B$2="",$D$2=0),0,IF(AV$3&lt;0,0,N(INDEX('CURVA PREVISION'!$A$1:$KZ$3000,$C50,11+3*MIN(AV$3,$D$2-1)))))</f>
        <v>0</v>
      </c>
      <c r="AW50" s="131" t="n">
        <f aca="false">IF(OR($C50="",$B$2="",$D$2=0),0,IF(AW$3&lt;0,0,N(INDEX('CURVA PREVISION'!$A$1:$KZ$3000,$C50,11+3*MIN(AW$3,$D$2-1)))))</f>
        <v>0</v>
      </c>
      <c r="AX50" s="131" t="n">
        <f aca="false">IF(OR($C50="",$B$2="",$D$2=0),0,IF(AX$3&lt;0,0,N(INDEX('CURVA PREVISION'!$A$1:$KZ$3000,$C50,11+3*MIN(AX$3,$D$2-1)))))</f>
        <v>0</v>
      </c>
      <c r="AY50" s="131" t="n">
        <f aca="false">IF(OR($C50="",$B$2="",$D$2=0),0,IF(AY$3&lt;0,0,N(INDEX('CURVA PREVISION'!$A$1:$KZ$3000,$C50,11+3*MIN(AY$3,$D$2-1)))))</f>
        <v>0</v>
      </c>
      <c r="AZ50" s="131" t="n">
        <f aca="false">IF(OR($C50="",$B$2="",$D$2=0),0,IF(AZ$3&lt;0,0,N(INDEX('CURVA PREVISION'!$A$1:$KZ$3000,$C50,11+3*MIN(AZ$3,$D$2-1)))))</f>
        <v>0</v>
      </c>
      <c r="BA50" s="131" t="n">
        <f aca="false">IF(OR($C50="",$B$2="",$D$2=0),0,IF(BA$3&lt;0,0,N(INDEX('CURVA PREVISION'!$A$1:$KZ$3000,$C50,11+3*MIN(BA$3,$D$2-1)))))</f>
        <v>0</v>
      </c>
      <c r="BB50" s="131" t="n">
        <f aca="false">IF(OR($C50="",$B$2="",$D$2=0),0,IF(BB$3&lt;0,0,N(INDEX('CURVA PREVISION'!$A$1:$KZ$3000,$C50,11+3*MIN(BB$3,$D$2-1)))))</f>
        <v>0</v>
      </c>
      <c r="BC50" s="131" t="n">
        <f aca="false">IF(OR($C50="",$B$2="",$D$2=0),0,IF(BC$3&lt;0,0,N(INDEX('CURVA PREVISION'!$A$1:$KZ$3000,$C50,11+3*MIN(BC$3,$D$2-1)))))</f>
        <v>0</v>
      </c>
      <c r="BD50" s="131" t="n">
        <f aca="false">IF(OR($C50="",$B$2="",$D$2=0),0,IF(BD$3&lt;0,0,N(INDEX('CURVA PREVISION'!$A$1:$KZ$3000,$C50,11+3*MIN(BD$3,$D$2-1)))))</f>
        <v>0</v>
      </c>
      <c r="BE50" s="131" t="n">
        <f aca="false">IF(OR($C50="",$B$2="",$D$2=0),0,IF(BE$3&lt;0,0,N(INDEX('CURVA PREVISION'!$A$1:$KZ$3000,$C50,11+3*MIN(BE$3,$D$2-1)))))</f>
        <v>0</v>
      </c>
      <c r="BF50" s="131" t="n">
        <f aca="false">IF(OR($C50="",$B$2="",$D$2=0),0,IF(BF$3&lt;0,0,N(INDEX('CURVA PREVISION'!$A$1:$KZ$3000,$C50,11+3*MIN(BF$3,$D$2-1)))))</f>
        <v>0</v>
      </c>
      <c r="BG50" s="131" t="n">
        <f aca="false">IF(OR($C50="",$B$2="",$D$2=0),0,IF(BG$3&lt;0,0,N(INDEX('CURVA PREVISION'!$A$1:$KZ$3000,$C50,11+3*MIN(BG$3,$D$2-1)))))</f>
        <v>0</v>
      </c>
      <c r="BH50" s="131" t="n">
        <f aca="false">IF(OR($C50="",$B$2="",$D$2=0),0,IF(BH$3&lt;0,0,N(INDEX('CURVA PREVISION'!$A$1:$KZ$3000,$C50,11+3*MIN(BH$3,$D$2-1)))))</f>
        <v>0</v>
      </c>
      <c r="BI50" s="131" t="n">
        <f aca="false">IF(OR($C50="",$B$2="",$D$2=0),0,IF(BI$3&lt;0,0,N(INDEX('CURVA PREVISION'!$A$1:$KZ$3000,$C50,11+3*MIN(BI$3,$D$2-1)))))</f>
        <v>0</v>
      </c>
      <c r="BJ50" s="131" t="n">
        <f aca="false">IF(OR($C50="",$B$2="",$D$2=0),0,IF(BJ$3&lt;0,0,N(INDEX('CURVA PREVISION'!$A$1:$KZ$3000,$C50,11+3*MIN(BJ$3,$D$2-1)))))</f>
        <v>0</v>
      </c>
      <c r="BK50" s="131" t="n">
        <f aca="false">IF(OR($C50="",$B$2="",$D$2=0),0,IF(BK$3&lt;0,0,N(INDEX('CURVA PREVISION'!$A$1:$KZ$3000,$C50,11+3*MIN(BK$3,$D$2-1)))))</f>
        <v>0</v>
      </c>
      <c r="BL50" s="131" t="n">
        <f aca="false">IF(OR($C50="",$B$2="",$D$2=0),0,IF(BL$3&lt;0,0,N(INDEX('CURVA PREVISION'!$A$1:$KZ$3000,$C50,11+3*MIN(BL$3,$D$2-1)))))</f>
        <v>0</v>
      </c>
      <c r="BM50" s="131" t="n">
        <f aca="false">IF(OR($C50="",$B$2="",$D$2=0),0,IF(BM$3&lt;0,0,N(INDEX('CURVA PREVISION'!$A$1:$KZ$3000,$C50,11+3*MIN(BM$3,$D$2-1)))))</f>
        <v>0</v>
      </c>
      <c r="BN50" s="131" t="n">
        <f aca="false">IF(OR($C50="",$B$2="",$D$2=0),0,IF(BN$3&lt;0,0,N(INDEX('CURVA PREVISION'!$A$1:$KZ$3000,$C50,11+3*MIN(BN$3,$D$2-1)))))</f>
        <v>0</v>
      </c>
      <c r="BO50" s="131" t="n">
        <f aca="false">IF(OR($C50="",$B$2="",$D$2=0),0,IF(BO$3&lt;0,0,N(INDEX('CURVA PREVISION'!$A$1:$KZ$3000,$C50,11+3*MIN(BO$3,$D$2-1)))))</f>
        <v>0</v>
      </c>
      <c r="BP50" s="131" t="n">
        <f aca="false">IF(OR($C50="",$B$2="",$D$2=0),0,IF(BP$3&lt;0,0,N(INDEX('CURVA PREVISION'!$A$1:$KZ$3000,$C50,11+3*MIN(BP$3,$D$2-1)))))</f>
        <v>0</v>
      </c>
      <c r="BQ50" s="131" t="n">
        <f aca="false">IF(OR($C50="",$B$2="",$D$2=0),0,IF(BQ$3&lt;0,0,N(INDEX('CURVA PREVISION'!$A$1:$KZ$3000,$C50,11+3*MIN(BQ$3,$D$2-1)))))</f>
        <v>0</v>
      </c>
      <c r="BR50" s="131" t="n">
        <f aca="false">IF(OR($C50="",$B$2="",$D$2=0),0,IF(BR$3&lt;0,0,N(INDEX('CURVA PREVISION'!$A$1:$KZ$3000,$C50,11+3*MIN(BR$3,$D$2-1)))))</f>
        <v>0</v>
      </c>
      <c r="BS50" s="131" t="n">
        <f aca="false">IF(OR($C50="",$B$2="",$D$2=0),0,IF(BS$3&lt;0,0,N(INDEX('CURVA PREVISION'!$A$1:$KZ$3000,$C50,11+3*MIN(BS$3,$D$2-1)))))</f>
        <v>0</v>
      </c>
      <c r="BT50" s="131" t="n">
        <f aca="false">IF(OR($C50="",$B$2="",$D$2=0),0,IF(BT$3&lt;0,0,N(INDEX('CURVA PREVISION'!$A$1:$KZ$3000,$C50,11+3*MIN(BT$3,$D$2-1)))))</f>
        <v>0</v>
      </c>
      <c r="BU50" s="131" t="n">
        <f aca="false">IF(OR($C50="",$B$2="",$D$2=0),0,IF(BU$3&lt;0,0,N(INDEX('CURVA PREVISION'!$A$1:$KZ$3000,$C50,11+3*MIN(BU$3,$D$2-1)))))</f>
        <v>0</v>
      </c>
      <c r="BV50" s="131" t="n">
        <f aca="false">IF(OR($C50="",$B$2="",$D$2=0),0,IF(BV$3&lt;0,0,N(INDEX('CURVA PREVISION'!$A$1:$KZ$3000,$C50,11+3*MIN(BV$3,$D$2-1)))))</f>
        <v>0</v>
      </c>
      <c r="BW50" s="131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77</v>
      </c>
      <c r="D51" s="131" t="n">
        <f aca="false">IF(OR($C51="",$B$2="",$D$2=0),0,IF(D$3&lt;0,0,N(INDEX('CURVA PREVISION'!$A$1:$KZ$3000,$C51,11+3*MIN(D$3,$D$2-1)))))</f>
        <v>0</v>
      </c>
      <c r="E51" s="131" t="n">
        <f aca="false">IF(OR($C51="",$B$2="",$D$2=0),0,IF(E$3&lt;0,0,N(INDEX('CURVA PREVISION'!$A$1:$KZ$3000,$C51,11+3*MIN(E$3,$D$2-1)))))</f>
        <v>0</v>
      </c>
      <c r="F51" s="131" t="n">
        <f aca="false">IF(OR($C51="",$B$2="",$D$2=0),0,IF(F$3&lt;0,0,N(INDEX('CURVA PREVISION'!$A$1:$KZ$3000,$C51,11+3*MIN(F$3,$D$2-1)))))</f>
        <v>0</v>
      </c>
      <c r="G51" s="131" t="n">
        <f aca="false">IF(OR($C51="",$B$2="",$D$2=0),0,IF(G$3&lt;0,0,N(INDEX('CURVA PREVISION'!$A$1:$KZ$3000,$C51,11+3*MIN(G$3,$D$2-1)))))</f>
        <v>0</v>
      </c>
      <c r="H51" s="131" t="n">
        <f aca="false">IF(OR($C51="",$B$2="",$D$2=0),0,IF(H$3&lt;0,0,N(INDEX('CURVA PREVISION'!$A$1:$KZ$3000,$C51,11+3*MIN(H$3,$D$2-1)))))</f>
        <v>0</v>
      </c>
      <c r="I51" s="131" t="n">
        <f aca="false">IF(OR($C51="",$B$2="",$D$2=0),0,IF(I$3&lt;0,0,N(INDEX('CURVA PREVISION'!$A$1:$KZ$3000,$C51,11+3*MIN(I$3,$D$2-1)))))</f>
        <v>0</v>
      </c>
      <c r="J51" s="131" t="n">
        <f aca="false">IF(OR($C51="",$B$2="",$D$2=0),0,IF(J$3&lt;0,0,N(INDEX('CURVA PREVISION'!$A$1:$KZ$3000,$C51,11+3*MIN(J$3,$D$2-1)))))</f>
        <v>0</v>
      </c>
      <c r="K51" s="131" t="n">
        <f aca="false">IF(OR($C51="",$B$2="",$D$2=0),0,IF(K$3&lt;0,0,N(INDEX('CURVA PREVISION'!$A$1:$KZ$3000,$C51,11+3*MIN(K$3,$D$2-1)))))</f>
        <v>0</v>
      </c>
      <c r="L51" s="131" t="n">
        <f aca="false">IF(OR($C51="",$B$2="",$D$2=0),0,IF(L$3&lt;0,0,N(INDEX('CURVA PREVISION'!$A$1:$KZ$3000,$C51,11+3*MIN(L$3,$D$2-1)))))</f>
        <v>0</v>
      </c>
      <c r="M51" s="131" t="n">
        <f aca="false">IF(OR($C51="",$B$2="",$D$2=0),0,IF(M$3&lt;0,0,N(INDEX('CURVA PREVISION'!$A$1:$KZ$3000,$C51,11+3*MIN(M$3,$D$2-1)))))</f>
        <v>0</v>
      </c>
      <c r="N51" s="131" t="n">
        <f aca="false">IF(OR($C51="",$B$2="",$D$2=0),0,IF(N$3&lt;0,0,N(INDEX('CURVA PREVISION'!$A$1:$KZ$3000,$C51,11+3*MIN(N$3,$D$2-1)))))</f>
        <v>0</v>
      </c>
      <c r="O51" s="131" t="n">
        <f aca="false">IF(OR($C51="",$B$2="",$D$2=0),0,IF(O$3&lt;0,0,N(INDEX('CURVA PREVISION'!$A$1:$KZ$3000,$C51,11+3*MIN(O$3,$D$2-1)))))</f>
        <v>0</v>
      </c>
      <c r="P51" s="131" t="n">
        <f aca="false">IF(OR($C51="",$B$2="",$D$2=0),0,IF(P$3&lt;0,0,N(INDEX('CURVA PREVISION'!$A$1:$KZ$3000,$C51,11+3*MIN(P$3,$D$2-1)))))</f>
        <v>0</v>
      </c>
      <c r="Q51" s="131" t="n">
        <f aca="false">IF(OR($C51="",$B$2="",$D$2=0),0,IF(Q$3&lt;0,0,N(INDEX('CURVA PREVISION'!$A$1:$KZ$3000,$C51,11+3*MIN(Q$3,$D$2-1)))))</f>
        <v>0</v>
      </c>
      <c r="R51" s="131" t="n">
        <f aca="false">IF(OR($C51="",$B$2="",$D$2=0),0,IF(R$3&lt;0,0,N(INDEX('CURVA PREVISION'!$A$1:$KZ$3000,$C51,11+3*MIN(R$3,$D$2-1)))))</f>
        <v>0</v>
      </c>
      <c r="S51" s="131" t="n">
        <f aca="false">IF(OR($C51="",$B$2="",$D$2=0),0,IF(S$3&lt;0,0,N(INDEX('CURVA PREVISION'!$A$1:$KZ$3000,$C51,11+3*MIN(S$3,$D$2-1)))))</f>
        <v>0</v>
      </c>
      <c r="T51" s="131" t="n">
        <f aca="false">IF(OR($C51="",$B$2="",$D$2=0),0,IF(T$3&lt;0,0,N(INDEX('CURVA PREVISION'!$A$1:$KZ$3000,$C51,11+3*MIN(T$3,$D$2-1)))))</f>
        <v>0</v>
      </c>
      <c r="U51" s="131" t="n">
        <f aca="false">IF(OR($C51="",$B$2="",$D$2=0),0,IF(U$3&lt;0,0,N(INDEX('CURVA PREVISION'!$A$1:$KZ$3000,$C51,11+3*MIN(U$3,$D$2-1)))))</f>
        <v>0</v>
      </c>
      <c r="V51" s="131" t="n">
        <f aca="false">IF(OR($C51="",$B$2="",$D$2=0),0,IF(V$3&lt;0,0,N(INDEX('CURVA PREVISION'!$A$1:$KZ$3000,$C51,11+3*MIN(V$3,$D$2-1)))))</f>
        <v>0</v>
      </c>
      <c r="W51" s="131" t="n">
        <f aca="false">IF(OR($C51="",$B$2="",$D$2=0),0,IF(W$3&lt;0,0,N(INDEX('CURVA PREVISION'!$A$1:$KZ$3000,$C51,11+3*MIN(W$3,$D$2-1)))))</f>
        <v>0</v>
      </c>
      <c r="X51" s="131" t="n">
        <f aca="false">IF(OR($C51="",$B$2="",$D$2=0),0,IF(X$3&lt;0,0,N(INDEX('CURVA PREVISION'!$A$1:$KZ$3000,$C51,11+3*MIN(X$3,$D$2-1)))))</f>
        <v>0</v>
      </c>
      <c r="Y51" s="131" t="n">
        <f aca="false">IF(OR($C51="",$B$2="",$D$2=0),0,IF(Y$3&lt;0,0,N(INDEX('CURVA PREVISION'!$A$1:$KZ$3000,$C51,11+3*MIN(Y$3,$D$2-1)))))</f>
        <v>0</v>
      </c>
      <c r="Z51" s="131" t="n">
        <f aca="false">IF(OR($C51="",$B$2="",$D$2=0),0,IF(Z$3&lt;0,0,N(INDEX('CURVA PREVISION'!$A$1:$KZ$3000,$C51,11+3*MIN(Z$3,$D$2-1)))))</f>
        <v>0</v>
      </c>
      <c r="AA51" s="131" t="n">
        <f aca="false">IF(OR($C51="",$B$2="",$D$2=0),0,IF(AA$3&lt;0,0,N(INDEX('CURVA PREVISION'!$A$1:$KZ$3000,$C51,11+3*MIN(AA$3,$D$2-1)))))</f>
        <v>0</v>
      </c>
      <c r="AB51" s="131" t="n">
        <f aca="false">IF(OR($C51="",$B$2="",$D$2=0),0,IF(AB$3&lt;0,0,N(INDEX('CURVA PREVISION'!$A$1:$KZ$3000,$C51,11+3*MIN(AB$3,$D$2-1)))))</f>
        <v>0</v>
      </c>
      <c r="AC51" s="131" t="n">
        <f aca="false">IF(OR($C51="",$B$2="",$D$2=0),0,IF(AC$3&lt;0,0,N(INDEX('CURVA PREVISION'!$A$1:$KZ$3000,$C51,11+3*MIN(AC$3,$D$2-1)))))</f>
        <v>0</v>
      </c>
      <c r="AD51" s="131" t="n">
        <f aca="false">IF(OR($C51="",$B$2="",$D$2=0),0,IF(AD$3&lt;0,0,N(INDEX('CURVA PREVISION'!$A$1:$KZ$3000,$C51,11+3*MIN(AD$3,$D$2-1)))))</f>
        <v>0</v>
      </c>
      <c r="AE51" s="131" t="n">
        <f aca="false">IF(OR($C51="",$B$2="",$D$2=0),0,IF(AE$3&lt;0,0,N(INDEX('CURVA PREVISION'!$A$1:$KZ$3000,$C51,11+3*MIN(AE$3,$D$2-1)))))</f>
        <v>0</v>
      </c>
      <c r="AF51" s="131" t="n">
        <f aca="false">IF(OR($C51="",$B$2="",$D$2=0),0,IF(AF$3&lt;0,0,N(INDEX('CURVA PREVISION'!$A$1:$KZ$3000,$C51,11+3*MIN(AF$3,$D$2-1)))))</f>
        <v>0</v>
      </c>
      <c r="AG51" s="131" t="n">
        <f aca="false">IF(OR($C51="",$B$2="",$D$2=0),0,IF(AG$3&lt;0,0,N(INDEX('CURVA PREVISION'!$A$1:$KZ$3000,$C51,11+3*MIN(AG$3,$D$2-1)))))</f>
        <v>0</v>
      </c>
      <c r="AH51" s="131" t="n">
        <f aca="false">IF(OR($C51="",$B$2="",$D$2=0),0,IF(AH$3&lt;0,0,N(INDEX('CURVA PREVISION'!$A$1:$KZ$3000,$C51,11+3*MIN(AH$3,$D$2-1)))))</f>
        <v>0</v>
      </c>
      <c r="AI51" s="131" t="n">
        <f aca="false">IF(OR($C51="",$B$2="",$D$2=0),0,IF(AI$3&lt;0,0,N(INDEX('CURVA PREVISION'!$A$1:$KZ$3000,$C51,11+3*MIN(AI$3,$D$2-1)))))</f>
        <v>0</v>
      </c>
      <c r="AJ51" s="131" t="n">
        <f aca="false">IF(OR($C51="",$B$2="",$D$2=0),0,IF(AJ$3&lt;0,0,N(INDEX('CURVA PREVISION'!$A$1:$KZ$3000,$C51,11+3*MIN(AJ$3,$D$2-1)))))</f>
        <v>0</v>
      </c>
      <c r="AK51" s="131" t="n">
        <f aca="false">IF(OR($C51="",$B$2="",$D$2=0),0,IF(AK$3&lt;0,0,N(INDEX('CURVA PREVISION'!$A$1:$KZ$3000,$C51,11+3*MIN(AK$3,$D$2-1)))))</f>
        <v>0</v>
      </c>
      <c r="AL51" s="131" t="n">
        <f aca="false">IF(OR($C51="",$B$2="",$D$2=0),0,IF(AL$3&lt;0,0,N(INDEX('CURVA PREVISION'!$A$1:$KZ$3000,$C51,11+3*MIN(AL$3,$D$2-1)))))</f>
        <v>0</v>
      </c>
      <c r="AM51" s="131" t="n">
        <f aca="false">IF(OR($C51="",$B$2="",$D$2=0),0,IF(AM$3&lt;0,0,N(INDEX('CURVA PREVISION'!$A$1:$KZ$3000,$C51,11+3*MIN(AM$3,$D$2-1)))))</f>
        <v>0</v>
      </c>
      <c r="AN51" s="131" t="n">
        <f aca="false">IF(OR($C51="",$B$2="",$D$2=0),0,IF(AN$3&lt;0,0,N(INDEX('CURVA PREVISION'!$A$1:$KZ$3000,$C51,11+3*MIN(AN$3,$D$2-1)))))</f>
        <v>0</v>
      </c>
      <c r="AO51" s="131" t="n">
        <f aca="false">IF(OR($C51="",$B$2="",$D$2=0),0,IF(AO$3&lt;0,0,N(INDEX('CURVA PREVISION'!$A$1:$KZ$3000,$C51,11+3*MIN(AO$3,$D$2-1)))))</f>
        <v>0</v>
      </c>
      <c r="AP51" s="131" t="n">
        <f aca="false">IF(OR($C51="",$B$2="",$D$2=0),0,IF(AP$3&lt;0,0,N(INDEX('CURVA PREVISION'!$A$1:$KZ$3000,$C51,11+3*MIN(AP$3,$D$2-1)))))</f>
        <v>0</v>
      </c>
      <c r="AQ51" s="131" t="n">
        <f aca="false">IF(OR($C51="",$B$2="",$D$2=0),0,IF(AQ$3&lt;0,0,N(INDEX('CURVA PREVISION'!$A$1:$KZ$3000,$C51,11+3*MIN(AQ$3,$D$2-1)))))</f>
        <v>0</v>
      </c>
      <c r="AR51" s="131" t="n">
        <f aca="false">IF(OR($C51="",$B$2="",$D$2=0),0,IF(AR$3&lt;0,0,N(INDEX('CURVA PREVISION'!$A$1:$KZ$3000,$C51,11+3*MIN(AR$3,$D$2-1)))))</f>
        <v>0</v>
      </c>
      <c r="AS51" s="131" t="n">
        <f aca="false">IF(OR($C51="",$B$2="",$D$2=0),0,IF(AS$3&lt;0,0,N(INDEX('CURVA PREVISION'!$A$1:$KZ$3000,$C51,11+3*MIN(AS$3,$D$2-1)))))</f>
        <v>0</v>
      </c>
      <c r="AT51" s="131" t="n">
        <f aca="false">IF(OR($C51="",$B$2="",$D$2=0),0,IF(AT$3&lt;0,0,N(INDEX('CURVA PREVISION'!$A$1:$KZ$3000,$C51,11+3*MIN(AT$3,$D$2-1)))))</f>
        <v>0</v>
      </c>
      <c r="AU51" s="131" t="n">
        <f aca="false">IF(OR($C51="",$B$2="",$D$2=0),0,IF(AU$3&lt;0,0,N(INDEX('CURVA PREVISION'!$A$1:$KZ$3000,$C51,11+3*MIN(AU$3,$D$2-1)))))</f>
        <v>0</v>
      </c>
      <c r="AV51" s="131" t="n">
        <f aca="false">IF(OR($C51="",$B$2="",$D$2=0),0,IF(AV$3&lt;0,0,N(INDEX('CURVA PREVISION'!$A$1:$KZ$3000,$C51,11+3*MIN(AV$3,$D$2-1)))))</f>
        <v>0</v>
      </c>
      <c r="AW51" s="131" t="n">
        <f aca="false">IF(OR($C51="",$B$2="",$D$2=0),0,IF(AW$3&lt;0,0,N(INDEX('CURVA PREVISION'!$A$1:$KZ$3000,$C51,11+3*MIN(AW$3,$D$2-1)))))</f>
        <v>0</v>
      </c>
      <c r="AX51" s="131" t="n">
        <f aca="false">IF(OR($C51="",$B$2="",$D$2=0),0,IF(AX$3&lt;0,0,N(INDEX('CURVA PREVISION'!$A$1:$KZ$3000,$C51,11+3*MIN(AX$3,$D$2-1)))))</f>
        <v>0</v>
      </c>
      <c r="AY51" s="131" t="n">
        <f aca="false">IF(OR($C51="",$B$2="",$D$2=0),0,IF(AY$3&lt;0,0,N(INDEX('CURVA PREVISION'!$A$1:$KZ$3000,$C51,11+3*MIN(AY$3,$D$2-1)))))</f>
        <v>0</v>
      </c>
      <c r="AZ51" s="131" t="n">
        <f aca="false">IF(OR($C51="",$B$2="",$D$2=0),0,IF(AZ$3&lt;0,0,N(INDEX('CURVA PREVISION'!$A$1:$KZ$3000,$C51,11+3*MIN(AZ$3,$D$2-1)))))</f>
        <v>0</v>
      </c>
      <c r="BA51" s="131" t="n">
        <f aca="false">IF(OR($C51="",$B$2="",$D$2=0),0,IF(BA$3&lt;0,0,N(INDEX('CURVA PREVISION'!$A$1:$KZ$3000,$C51,11+3*MIN(BA$3,$D$2-1)))))</f>
        <v>0</v>
      </c>
      <c r="BB51" s="131" t="n">
        <f aca="false">IF(OR($C51="",$B$2="",$D$2=0),0,IF(BB$3&lt;0,0,N(INDEX('CURVA PREVISION'!$A$1:$KZ$3000,$C51,11+3*MIN(BB$3,$D$2-1)))))</f>
        <v>0</v>
      </c>
      <c r="BC51" s="131" t="n">
        <f aca="false">IF(OR($C51="",$B$2="",$D$2=0),0,IF(BC$3&lt;0,0,N(INDEX('CURVA PREVISION'!$A$1:$KZ$3000,$C51,11+3*MIN(BC$3,$D$2-1)))))</f>
        <v>0</v>
      </c>
      <c r="BD51" s="131" t="n">
        <f aca="false">IF(OR($C51="",$B$2="",$D$2=0),0,IF(BD$3&lt;0,0,N(INDEX('CURVA PREVISION'!$A$1:$KZ$3000,$C51,11+3*MIN(BD$3,$D$2-1)))))</f>
        <v>0</v>
      </c>
      <c r="BE51" s="131" t="n">
        <f aca="false">IF(OR($C51="",$B$2="",$D$2=0),0,IF(BE$3&lt;0,0,N(INDEX('CURVA PREVISION'!$A$1:$KZ$3000,$C51,11+3*MIN(BE$3,$D$2-1)))))</f>
        <v>0</v>
      </c>
      <c r="BF51" s="131" t="n">
        <f aca="false">IF(OR($C51="",$B$2="",$D$2=0),0,IF(BF$3&lt;0,0,N(INDEX('CURVA PREVISION'!$A$1:$KZ$3000,$C51,11+3*MIN(BF$3,$D$2-1)))))</f>
        <v>0</v>
      </c>
      <c r="BG51" s="131" t="n">
        <f aca="false">IF(OR($C51="",$B$2="",$D$2=0),0,IF(BG$3&lt;0,0,N(INDEX('CURVA PREVISION'!$A$1:$KZ$3000,$C51,11+3*MIN(BG$3,$D$2-1)))))</f>
        <v>0</v>
      </c>
      <c r="BH51" s="131" t="n">
        <f aca="false">IF(OR($C51="",$B$2="",$D$2=0),0,IF(BH$3&lt;0,0,N(INDEX('CURVA PREVISION'!$A$1:$KZ$3000,$C51,11+3*MIN(BH$3,$D$2-1)))))</f>
        <v>0</v>
      </c>
      <c r="BI51" s="131" t="n">
        <f aca="false">IF(OR($C51="",$B$2="",$D$2=0),0,IF(BI$3&lt;0,0,N(INDEX('CURVA PREVISION'!$A$1:$KZ$3000,$C51,11+3*MIN(BI$3,$D$2-1)))))</f>
        <v>0</v>
      </c>
      <c r="BJ51" s="131" t="n">
        <f aca="false">IF(OR($C51="",$B$2="",$D$2=0),0,IF(BJ$3&lt;0,0,N(INDEX('CURVA PREVISION'!$A$1:$KZ$3000,$C51,11+3*MIN(BJ$3,$D$2-1)))))</f>
        <v>0</v>
      </c>
      <c r="BK51" s="131" t="n">
        <f aca="false">IF(OR($C51="",$B$2="",$D$2=0),0,IF(BK$3&lt;0,0,N(INDEX('CURVA PREVISION'!$A$1:$KZ$3000,$C51,11+3*MIN(BK$3,$D$2-1)))))</f>
        <v>0</v>
      </c>
      <c r="BL51" s="131" t="n">
        <f aca="false">IF(OR($C51="",$B$2="",$D$2=0),0,IF(BL$3&lt;0,0,N(INDEX('CURVA PREVISION'!$A$1:$KZ$3000,$C51,11+3*MIN(BL$3,$D$2-1)))))</f>
        <v>0</v>
      </c>
      <c r="BM51" s="131" t="n">
        <f aca="false">IF(OR($C51="",$B$2="",$D$2=0),0,IF(BM$3&lt;0,0,N(INDEX('CURVA PREVISION'!$A$1:$KZ$3000,$C51,11+3*MIN(BM$3,$D$2-1)))))</f>
        <v>0</v>
      </c>
      <c r="BN51" s="131" t="n">
        <f aca="false">IF(OR($C51="",$B$2="",$D$2=0),0,IF(BN$3&lt;0,0,N(INDEX('CURVA PREVISION'!$A$1:$KZ$3000,$C51,11+3*MIN(BN$3,$D$2-1)))))</f>
        <v>0</v>
      </c>
      <c r="BO51" s="131" t="n">
        <f aca="false">IF(OR($C51="",$B$2="",$D$2=0),0,IF(BO$3&lt;0,0,N(INDEX('CURVA PREVISION'!$A$1:$KZ$3000,$C51,11+3*MIN(BO$3,$D$2-1)))))</f>
        <v>0</v>
      </c>
      <c r="BP51" s="131" t="n">
        <f aca="false">IF(OR($C51="",$B$2="",$D$2=0),0,IF(BP$3&lt;0,0,N(INDEX('CURVA PREVISION'!$A$1:$KZ$3000,$C51,11+3*MIN(BP$3,$D$2-1)))))</f>
        <v>0</v>
      </c>
      <c r="BQ51" s="131" t="n">
        <f aca="false">IF(OR($C51="",$B$2="",$D$2=0),0,IF(BQ$3&lt;0,0,N(INDEX('CURVA PREVISION'!$A$1:$KZ$3000,$C51,11+3*MIN(BQ$3,$D$2-1)))))</f>
        <v>0</v>
      </c>
      <c r="BR51" s="131" t="n">
        <f aca="false">IF(OR($C51="",$B$2="",$D$2=0),0,IF(BR$3&lt;0,0,N(INDEX('CURVA PREVISION'!$A$1:$KZ$3000,$C51,11+3*MIN(BR$3,$D$2-1)))))</f>
        <v>0</v>
      </c>
      <c r="BS51" s="131" t="n">
        <f aca="false">IF(OR($C51="",$B$2="",$D$2=0),0,IF(BS$3&lt;0,0,N(INDEX('CURVA PREVISION'!$A$1:$KZ$3000,$C51,11+3*MIN(BS$3,$D$2-1)))))</f>
        <v>0</v>
      </c>
      <c r="BT51" s="131" t="n">
        <f aca="false">IF(OR($C51="",$B$2="",$D$2=0),0,IF(BT$3&lt;0,0,N(INDEX('CURVA PREVISION'!$A$1:$KZ$3000,$C51,11+3*MIN(BT$3,$D$2-1)))))</f>
        <v>0</v>
      </c>
      <c r="BU51" s="131" t="n">
        <f aca="false">IF(OR($C51="",$B$2="",$D$2=0),0,IF(BU$3&lt;0,0,N(INDEX('CURVA PREVISION'!$A$1:$KZ$3000,$C51,11+3*MIN(BU$3,$D$2-1)))))</f>
        <v>0</v>
      </c>
      <c r="BV51" s="131" t="n">
        <f aca="false">IF(OR($C51="",$B$2="",$D$2=0),0,IF(BV$3&lt;0,0,N(INDEX('CURVA PREVISION'!$A$1:$KZ$3000,$C51,11+3*MIN(BV$3,$D$2-1)))))</f>
        <v>0</v>
      </c>
      <c r="BW51" s="131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82</v>
      </c>
      <c r="D52" s="131" t="n">
        <f aca="false">IF(OR($C52="",$B$2="",$D$2=0),0,IF(D$3&lt;0,0,N(INDEX('CURVA PREVISION'!$A$1:$KZ$3000,$C52,11+3*MIN(D$3,$D$2-1)))))</f>
        <v>0</v>
      </c>
      <c r="E52" s="131" t="n">
        <f aca="false">IF(OR($C52="",$B$2="",$D$2=0),0,IF(E$3&lt;0,0,N(INDEX('CURVA PREVISION'!$A$1:$KZ$3000,$C52,11+3*MIN(E$3,$D$2-1)))))</f>
        <v>0</v>
      </c>
      <c r="F52" s="131" t="n">
        <f aca="false">IF(OR($C52="",$B$2="",$D$2=0),0,IF(F$3&lt;0,0,N(INDEX('CURVA PREVISION'!$A$1:$KZ$3000,$C52,11+3*MIN(F$3,$D$2-1)))))</f>
        <v>0</v>
      </c>
      <c r="G52" s="131" t="n">
        <f aca="false">IF(OR($C52="",$B$2="",$D$2=0),0,IF(G$3&lt;0,0,N(INDEX('CURVA PREVISION'!$A$1:$KZ$3000,$C52,11+3*MIN(G$3,$D$2-1)))))</f>
        <v>0</v>
      </c>
      <c r="H52" s="131" t="n">
        <f aca="false">IF(OR($C52="",$B$2="",$D$2=0),0,IF(H$3&lt;0,0,N(INDEX('CURVA PREVISION'!$A$1:$KZ$3000,$C52,11+3*MIN(H$3,$D$2-1)))))</f>
        <v>0</v>
      </c>
      <c r="I52" s="131" t="n">
        <f aca="false">IF(OR($C52="",$B$2="",$D$2=0),0,IF(I$3&lt;0,0,N(INDEX('CURVA PREVISION'!$A$1:$KZ$3000,$C52,11+3*MIN(I$3,$D$2-1)))))</f>
        <v>0</v>
      </c>
      <c r="J52" s="131" t="n">
        <f aca="false">IF(OR($C52="",$B$2="",$D$2=0),0,IF(J$3&lt;0,0,N(INDEX('CURVA PREVISION'!$A$1:$KZ$3000,$C52,11+3*MIN(J$3,$D$2-1)))))</f>
        <v>0</v>
      </c>
      <c r="K52" s="131" t="n">
        <f aca="false">IF(OR($C52="",$B$2="",$D$2=0),0,IF(K$3&lt;0,0,N(INDEX('CURVA PREVISION'!$A$1:$KZ$3000,$C52,11+3*MIN(K$3,$D$2-1)))))</f>
        <v>0</v>
      </c>
      <c r="L52" s="131" t="n">
        <f aca="false">IF(OR($C52="",$B$2="",$D$2=0),0,IF(L$3&lt;0,0,N(INDEX('CURVA PREVISION'!$A$1:$KZ$3000,$C52,11+3*MIN(L$3,$D$2-1)))))</f>
        <v>0</v>
      </c>
      <c r="M52" s="131" t="n">
        <f aca="false">IF(OR($C52="",$B$2="",$D$2=0),0,IF(M$3&lt;0,0,N(INDEX('CURVA PREVISION'!$A$1:$KZ$3000,$C52,11+3*MIN(M$3,$D$2-1)))))</f>
        <v>0</v>
      </c>
      <c r="N52" s="131" t="n">
        <f aca="false">IF(OR($C52="",$B$2="",$D$2=0),0,IF(N$3&lt;0,0,N(INDEX('CURVA PREVISION'!$A$1:$KZ$3000,$C52,11+3*MIN(N$3,$D$2-1)))))</f>
        <v>0</v>
      </c>
      <c r="O52" s="131" t="n">
        <f aca="false">IF(OR($C52="",$B$2="",$D$2=0),0,IF(O$3&lt;0,0,N(INDEX('CURVA PREVISION'!$A$1:$KZ$3000,$C52,11+3*MIN(O$3,$D$2-1)))))</f>
        <v>0</v>
      </c>
      <c r="P52" s="131" t="n">
        <f aca="false">IF(OR($C52="",$B$2="",$D$2=0),0,IF(P$3&lt;0,0,N(INDEX('CURVA PREVISION'!$A$1:$KZ$3000,$C52,11+3*MIN(P$3,$D$2-1)))))</f>
        <v>0</v>
      </c>
      <c r="Q52" s="131" t="n">
        <f aca="false">IF(OR($C52="",$B$2="",$D$2=0),0,IF(Q$3&lt;0,0,N(INDEX('CURVA PREVISION'!$A$1:$KZ$3000,$C52,11+3*MIN(Q$3,$D$2-1)))))</f>
        <v>0</v>
      </c>
      <c r="R52" s="131" t="n">
        <f aca="false">IF(OR($C52="",$B$2="",$D$2=0),0,IF(R$3&lt;0,0,N(INDEX('CURVA PREVISION'!$A$1:$KZ$3000,$C52,11+3*MIN(R$3,$D$2-1)))))</f>
        <v>0</v>
      </c>
      <c r="S52" s="131" t="n">
        <f aca="false">IF(OR($C52="",$B$2="",$D$2=0),0,IF(S$3&lt;0,0,N(INDEX('CURVA PREVISION'!$A$1:$KZ$3000,$C52,11+3*MIN(S$3,$D$2-1)))))</f>
        <v>0</v>
      </c>
      <c r="T52" s="131" t="n">
        <f aca="false">IF(OR($C52="",$B$2="",$D$2=0),0,IF(T$3&lt;0,0,N(INDEX('CURVA PREVISION'!$A$1:$KZ$3000,$C52,11+3*MIN(T$3,$D$2-1)))))</f>
        <v>0</v>
      </c>
      <c r="U52" s="131" t="n">
        <f aca="false">IF(OR($C52="",$B$2="",$D$2=0),0,IF(U$3&lt;0,0,N(INDEX('CURVA PREVISION'!$A$1:$KZ$3000,$C52,11+3*MIN(U$3,$D$2-1)))))</f>
        <v>0</v>
      </c>
      <c r="V52" s="131" t="n">
        <f aca="false">IF(OR($C52="",$B$2="",$D$2=0),0,IF(V$3&lt;0,0,N(INDEX('CURVA PREVISION'!$A$1:$KZ$3000,$C52,11+3*MIN(V$3,$D$2-1)))))</f>
        <v>0</v>
      </c>
      <c r="W52" s="131" t="n">
        <f aca="false">IF(OR($C52="",$B$2="",$D$2=0),0,IF(W$3&lt;0,0,N(INDEX('CURVA PREVISION'!$A$1:$KZ$3000,$C52,11+3*MIN(W$3,$D$2-1)))))</f>
        <v>0</v>
      </c>
      <c r="X52" s="131" t="n">
        <f aca="false">IF(OR($C52="",$B$2="",$D$2=0),0,IF(X$3&lt;0,0,N(INDEX('CURVA PREVISION'!$A$1:$KZ$3000,$C52,11+3*MIN(X$3,$D$2-1)))))</f>
        <v>0</v>
      </c>
      <c r="Y52" s="131" t="n">
        <f aca="false">IF(OR($C52="",$B$2="",$D$2=0),0,IF(Y$3&lt;0,0,N(INDEX('CURVA PREVISION'!$A$1:$KZ$3000,$C52,11+3*MIN(Y$3,$D$2-1)))))</f>
        <v>0</v>
      </c>
      <c r="Z52" s="131" t="n">
        <f aca="false">IF(OR($C52="",$B$2="",$D$2=0),0,IF(Z$3&lt;0,0,N(INDEX('CURVA PREVISION'!$A$1:$KZ$3000,$C52,11+3*MIN(Z$3,$D$2-1)))))</f>
        <v>0</v>
      </c>
      <c r="AA52" s="131" t="n">
        <f aca="false">IF(OR($C52="",$B$2="",$D$2=0),0,IF(AA$3&lt;0,0,N(INDEX('CURVA PREVISION'!$A$1:$KZ$3000,$C52,11+3*MIN(AA$3,$D$2-1)))))</f>
        <v>0</v>
      </c>
      <c r="AB52" s="131" t="n">
        <f aca="false">IF(OR($C52="",$B$2="",$D$2=0),0,IF(AB$3&lt;0,0,N(INDEX('CURVA PREVISION'!$A$1:$KZ$3000,$C52,11+3*MIN(AB$3,$D$2-1)))))</f>
        <v>0</v>
      </c>
      <c r="AC52" s="131" t="n">
        <f aca="false">IF(OR($C52="",$B$2="",$D$2=0),0,IF(AC$3&lt;0,0,N(INDEX('CURVA PREVISION'!$A$1:$KZ$3000,$C52,11+3*MIN(AC$3,$D$2-1)))))</f>
        <v>0</v>
      </c>
      <c r="AD52" s="131" t="n">
        <f aca="false">IF(OR($C52="",$B$2="",$D$2=0),0,IF(AD$3&lt;0,0,N(INDEX('CURVA PREVISION'!$A$1:$KZ$3000,$C52,11+3*MIN(AD$3,$D$2-1)))))</f>
        <v>0</v>
      </c>
      <c r="AE52" s="131" t="n">
        <f aca="false">IF(OR($C52="",$B$2="",$D$2=0),0,IF(AE$3&lt;0,0,N(INDEX('CURVA PREVISION'!$A$1:$KZ$3000,$C52,11+3*MIN(AE$3,$D$2-1)))))</f>
        <v>0</v>
      </c>
      <c r="AF52" s="131" t="n">
        <f aca="false">IF(OR($C52="",$B$2="",$D$2=0),0,IF(AF$3&lt;0,0,N(INDEX('CURVA PREVISION'!$A$1:$KZ$3000,$C52,11+3*MIN(AF$3,$D$2-1)))))</f>
        <v>0</v>
      </c>
      <c r="AG52" s="131" t="n">
        <f aca="false">IF(OR($C52="",$B$2="",$D$2=0),0,IF(AG$3&lt;0,0,N(INDEX('CURVA PREVISION'!$A$1:$KZ$3000,$C52,11+3*MIN(AG$3,$D$2-1)))))</f>
        <v>0</v>
      </c>
      <c r="AH52" s="131" t="n">
        <f aca="false">IF(OR($C52="",$B$2="",$D$2=0),0,IF(AH$3&lt;0,0,N(INDEX('CURVA PREVISION'!$A$1:$KZ$3000,$C52,11+3*MIN(AH$3,$D$2-1)))))</f>
        <v>0</v>
      </c>
      <c r="AI52" s="131" t="n">
        <f aca="false">IF(OR($C52="",$B$2="",$D$2=0),0,IF(AI$3&lt;0,0,N(INDEX('CURVA PREVISION'!$A$1:$KZ$3000,$C52,11+3*MIN(AI$3,$D$2-1)))))</f>
        <v>0</v>
      </c>
      <c r="AJ52" s="131" t="n">
        <f aca="false">IF(OR($C52="",$B$2="",$D$2=0),0,IF(AJ$3&lt;0,0,N(INDEX('CURVA PREVISION'!$A$1:$KZ$3000,$C52,11+3*MIN(AJ$3,$D$2-1)))))</f>
        <v>0</v>
      </c>
      <c r="AK52" s="131" t="n">
        <f aca="false">IF(OR($C52="",$B$2="",$D$2=0),0,IF(AK$3&lt;0,0,N(INDEX('CURVA PREVISION'!$A$1:$KZ$3000,$C52,11+3*MIN(AK$3,$D$2-1)))))</f>
        <v>0</v>
      </c>
      <c r="AL52" s="131" t="n">
        <f aca="false">IF(OR($C52="",$B$2="",$D$2=0),0,IF(AL$3&lt;0,0,N(INDEX('CURVA PREVISION'!$A$1:$KZ$3000,$C52,11+3*MIN(AL$3,$D$2-1)))))</f>
        <v>0</v>
      </c>
      <c r="AM52" s="131" t="n">
        <f aca="false">IF(OR($C52="",$B$2="",$D$2=0),0,IF(AM$3&lt;0,0,N(INDEX('CURVA PREVISION'!$A$1:$KZ$3000,$C52,11+3*MIN(AM$3,$D$2-1)))))</f>
        <v>0</v>
      </c>
      <c r="AN52" s="131" t="n">
        <f aca="false">IF(OR($C52="",$B$2="",$D$2=0),0,IF(AN$3&lt;0,0,N(INDEX('CURVA PREVISION'!$A$1:$KZ$3000,$C52,11+3*MIN(AN$3,$D$2-1)))))</f>
        <v>0</v>
      </c>
      <c r="AO52" s="131" t="n">
        <f aca="false">IF(OR($C52="",$B$2="",$D$2=0),0,IF(AO$3&lt;0,0,N(INDEX('CURVA PREVISION'!$A$1:$KZ$3000,$C52,11+3*MIN(AO$3,$D$2-1)))))</f>
        <v>0</v>
      </c>
      <c r="AP52" s="131" t="n">
        <f aca="false">IF(OR($C52="",$B$2="",$D$2=0),0,IF(AP$3&lt;0,0,N(INDEX('CURVA PREVISION'!$A$1:$KZ$3000,$C52,11+3*MIN(AP$3,$D$2-1)))))</f>
        <v>0</v>
      </c>
      <c r="AQ52" s="131" t="n">
        <f aca="false">IF(OR($C52="",$B$2="",$D$2=0),0,IF(AQ$3&lt;0,0,N(INDEX('CURVA PREVISION'!$A$1:$KZ$3000,$C52,11+3*MIN(AQ$3,$D$2-1)))))</f>
        <v>0</v>
      </c>
      <c r="AR52" s="131" t="n">
        <f aca="false">IF(OR($C52="",$B$2="",$D$2=0),0,IF(AR$3&lt;0,0,N(INDEX('CURVA PREVISION'!$A$1:$KZ$3000,$C52,11+3*MIN(AR$3,$D$2-1)))))</f>
        <v>0</v>
      </c>
      <c r="AS52" s="131" t="n">
        <f aca="false">IF(OR($C52="",$B$2="",$D$2=0),0,IF(AS$3&lt;0,0,N(INDEX('CURVA PREVISION'!$A$1:$KZ$3000,$C52,11+3*MIN(AS$3,$D$2-1)))))</f>
        <v>0</v>
      </c>
      <c r="AT52" s="131" t="n">
        <f aca="false">IF(OR($C52="",$B$2="",$D$2=0),0,IF(AT$3&lt;0,0,N(INDEX('CURVA PREVISION'!$A$1:$KZ$3000,$C52,11+3*MIN(AT$3,$D$2-1)))))</f>
        <v>0</v>
      </c>
      <c r="AU52" s="131" t="n">
        <f aca="false">IF(OR($C52="",$B$2="",$D$2=0),0,IF(AU$3&lt;0,0,N(INDEX('CURVA PREVISION'!$A$1:$KZ$3000,$C52,11+3*MIN(AU$3,$D$2-1)))))</f>
        <v>0</v>
      </c>
      <c r="AV52" s="131" t="n">
        <f aca="false">IF(OR($C52="",$B$2="",$D$2=0),0,IF(AV$3&lt;0,0,N(INDEX('CURVA PREVISION'!$A$1:$KZ$3000,$C52,11+3*MIN(AV$3,$D$2-1)))))</f>
        <v>0</v>
      </c>
      <c r="AW52" s="131" t="n">
        <f aca="false">IF(OR($C52="",$B$2="",$D$2=0),0,IF(AW$3&lt;0,0,N(INDEX('CURVA PREVISION'!$A$1:$KZ$3000,$C52,11+3*MIN(AW$3,$D$2-1)))))</f>
        <v>0</v>
      </c>
      <c r="AX52" s="131" t="n">
        <f aca="false">IF(OR($C52="",$B$2="",$D$2=0),0,IF(AX$3&lt;0,0,N(INDEX('CURVA PREVISION'!$A$1:$KZ$3000,$C52,11+3*MIN(AX$3,$D$2-1)))))</f>
        <v>0</v>
      </c>
      <c r="AY52" s="131" t="n">
        <f aca="false">IF(OR($C52="",$B$2="",$D$2=0),0,IF(AY$3&lt;0,0,N(INDEX('CURVA PREVISION'!$A$1:$KZ$3000,$C52,11+3*MIN(AY$3,$D$2-1)))))</f>
        <v>0</v>
      </c>
      <c r="AZ52" s="131" t="n">
        <f aca="false">IF(OR($C52="",$B$2="",$D$2=0),0,IF(AZ$3&lt;0,0,N(INDEX('CURVA PREVISION'!$A$1:$KZ$3000,$C52,11+3*MIN(AZ$3,$D$2-1)))))</f>
        <v>0</v>
      </c>
      <c r="BA52" s="131" t="n">
        <f aca="false">IF(OR($C52="",$B$2="",$D$2=0),0,IF(BA$3&lt;0,0,N(INDEX('CURVA PREVISION'!$A$1:$KZ$3000,$C52,11+3*MIN(BA$3,$D$2-1)))))</f>
        <v>0</v>
      </c>
      <c r="BB52" s="131" t="n">
        <f aca="false">IF(OR($C52="",$B$2="",$D$2=0),0,IF(BB$3&lt;0,0,N(INDEX('CURVA PREVISION'!$A$1:$KZ$3000,$C52,11+3*MIN(BB$3,$D$2-1)))))</f>
        <v>0</v>
      </c>
      <c r="BC52" s="131" t="n">
        <f aca="false">IF(OR($C52="",$B$2="",$D$2=0),0,IF(BC$3&lt;0,0,N(INDEX('CURVA PREVISION'!$A$1:$KZ$3000,$C52,11+3*MIN(BC$3,$D$2-1)))))</f>
        <v>0</v>
      </c>
      <c r="BD52" s="131" t="n">
        <f aca="false">IF(OR($C52="",$B$2="",$D$2=0),0,IF(BD$3&lt;0,0,N(INDEX('CURVA PREVISION'!$A$1:$KZ$3000,$C52,11+3*MIN(BD$3,$D$2-1)))))</f>
        <v>0</v>
      </c>
      <c r="BE52" s="131" t="n">
        <f aca="false">IF(OR($C52="",$B$2="",$D$2=0),0,IF(BE$3&lt;0,0,N(INDEX('CURVA PREVISION'!$A$1:$KZ$3000,$C52,11+3*MIN(BE$3,$D$2-1)))))</f>
        <v>0</v>
      </c>
      <c r="BF52" s="131" t="n">
        <f aca="false">IF(OR($C52="",$B$2="",$D$2=0),0,IF(BF$3&lt;0,0,N(INDEX('CURVA PREVISION'!$A$1:$KZ$3000,$C52,11+3*MIN(BF$3,$D$2-1)))))</f>
        <v>0</v>
      </c>
      <c r="BG52" s="131" t="n">
        <f aca="false">IF(OR($C52="",$B$2="",$D$2=0),0,IF(BG$3&lt;0,0,N(INDEX('CURVA PREVISION'!$A$1:$KZ$3000,$C52,11+3*MIN(BG$3,$D$2-1)))))</f>
        <v>0</v>
      </c>
      <c r="BH52" s="131" t="n">
        <f aca="false">IF(OR($C52="",$B$2="",$D$2=0),0,IF(BH$3&lt;0,0,N(INDEX('CURVA PREVISION'!$A$1:$KZ$3000,$C52,11+3*MIN(BH$3,$D$2-1)))))</f>
        <v>0</v>
      </c>
      <c r="BI52" s="131" t="n">
        <f aca="false">IF(OR($C52="",$B$2="",$D$2=0),0,IF(BI$3&lt;0,0,N(INDEX('CURVA PREVISION'!$A$1:$KZ$3000,$C52,11+3*MIN(BI$3,$D$2-1)))))</f>
        <v>0</v>
      </c>
      <c r="BJ52" s="131" t="n">
        <f aca="false">IF(OR($C52="",$B$2="",$D$2=0),0,IF(BJ$3&lt;0,0,N(INDEX('CURVA PREVISION'!$A$1:$KZ$3000,$C52,11+3*MIN(BJ$3,$D$2-1)))))</f>
        <v>0</v>
      </c>
      <c r="BK52" s="131" t="n">
        <f aca="false">IF(OR($C52="",$B$2="",$D$2=0),0,IF(BK$3&lt;0,0,N(INDEX('CURVA PREVISION'!$A$1:$KZ$3000,$C52,11+3*MIN(BK$3,$D$2-1)))))</f>
        <v>0</v>
      </c>
      <c r="BL52" s="131" t="n">
        <f aca="false">IF(OR($C52="",$B$2="",$D$2=0),0,IF(BL$3&lt;0,0,N(INDEX('CURVA PREVISION'!$A$1:$KZ$3000,$C52,11+3*MIN(BL$3,$D$2-1)))))</f>
        <v>0</v>
      </c>
      <c r="BM52" s="131" t="n">
        <f aca="false">IF(OR($C52="",$B$2="",$D$2=0),0,IF(BM$3&lt;0,0,N(INDEX('CURVA PREVISION'!$A$1:$KZ$3000,$C52,11+3*MIN(BM$3,$D$2-1)))))</f>
        <v>0</v>
      </c>
      <c r="BN52" s="131" t="n">
        <f aca="false">IF(OR($C52="",$B$2="",$D$2=0),0,IF(BN$3&lt;0,0,N(INDEX('CURVA PREVISION'!$A$1:$KZ$3000,$C52,11+3*MIN(BN$3,$D$2-1)))))</f>
        <v>0</v>
      </c>
      <c r="BO52" s="131" t="n">
        <f aca="false">IF(OR($C52="",$B$2="",$D$2=0),0,IF(BO$3&lt;0,0,N(INDEX('CURVA PREVISION'!$A$1:$KZ$3000,$C52,11+3*MIN(BO$3,$D$2-1)))))</f>
        <v>0</v>
      </c>
      <c r="BP52" s="131" t="n">
        <f aca="false">IF(OR($C52="",$B$2="",$D$2=0),0,IF(BP$3&lt;0,0,N(INDEX('CURVA PREVISION'!$A$1:$KZ$3000,$C52,11+3*MIN(BP$3,$D$2-1)))))</f>
        <v>0</v>
      </c>
      <c r="BQ52" s="131" t="n">
        <f aca="false">IF(OR($C52="",$B$2="",$D$2=0),0,IF(BQ$3&lt;0,0,N(INDEX('CURVA PREVISION'!$A$1:$KZ$3000,$C52,11+3*MIN(BQ$3,$D$2-1)))))</f>
        <v>0</v>
      </c>
      <c r="BR52" s="131" t="n">
        <f aca="false">IF(OR($C52="",$B$2="",$D$2=0),0,IF(BR$3&lt;0,0,N(INDEX('CURVA PREVISION'!$A$1:$KZ$3000,$C52,11+3*MIN(BR$3,$D$2-1)))))</f>
        <v>0</v>
      </c>
      <c r="BS52" s="131" t="n">
        <f aca="false">IF(OR($C52="",$B$2="",$D$2=0),0,IF(BS$3&lt;0,0,N(INDEX('CURVA PREVISION'!$A$1:$KZ$3000,$C52,11+3*MIN(BS$3,$D$2-1)))))</f>
        <v>0</v>
      </c>
      <c r="BT52" s="131" t="n">
        <f aca="false">IF(OR($C52="",$B$2="",$D$2=0),0,IF(BT$3&lt;0,0,N(INDEX('CURVA PREVISION'!$A$1:$KZ$3000,$C52,11+3*MIN(BT$3,$D$2-1)))))</f>
        <v>0</v>
      </c>
      <c r="BU52" s="131" t="n">
        <f aca="false">IF(OR($C52="",$B$2="",$D$2=0),0,IF(BU$3&lt;0,0,N(INDEX('CURVA PREVISION'!$A$1:$KZ$3000,$C52,11+3*MIN(BU$3,$D$2-1)))))</f>
        <v>0</v>
      </c>
      <c r="BV52" s="131" t="n">
        <f aca="false">IF(OR($C52="",$B$2="",$D$2=0),0,IF(BV$3&lt;0,0,N(INDEX('CURVA PREVISION'!$A$1:$KZ$3000,$C52,11+3*MIN(BV$3,$D$2-1)))))</f>
        <v>0</v>
      </c>
      <c r="BW52" s="131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87</v>
      </c>
      <c r="D53" s="131" t="n">
        <f aca="false">IF(OR($C53="",$B$2="",$D$2=0),0,IF(D$3&lt;0,0,N(INDEX('CURVA PREVISION'!$A$1:$KZ$3000,$C53,11+3*MIN(D$3,$D$2-1)))))</f>
        <v>0</v>
      </c>
      <c r="E53" s="131" t="n">
        <f aca="false">IF(OR($C53="",$B$2="",$D$2=0),0,IF(E$3&lt;0,0,N(INDEX('CURVA PREVISION'!$A$1:$KZ$3000,$C53,11+3*MIN(E$3,$D$2-1)))))</f>
        <v>0</v>
      </c>
      <c r="F53" s="131" t="n">
        <f aca="false">IF(OR($C53="",$B$2="",$D$2=0),0,IF(F$3&lt;0,0,N(INDEX('CURVA PREVISION'!$A$1:$KZ$3000,$C53,11+3*MIN(F$3,$D$2-1)))))</f>
        <v>0</v>
      </c>
      <c r="G53" s="131" t="n">
        <f aca="false">IF(OR($C53="",$B$2="",$D$2=0),0,IF(G$3&lt;0,0,N(INDEX('CURVA PREVISION'!$A$1:$KZ$3000,$C53,11+3*MIN(G$3,$D$2-1)))))</f>
        <v>0</v>
      </c>
      <c r="H53" s="131" t="n">
        <f aca="false">IF(OR($C53="",$B$2="",$D$2=0),0,IF(H$3&lt;0,0,N(INDEX('CURVA PREVISION'!$A$1:$KZ$3000,$C53,11+3*MIN(H$3,$D$2-1)))))</f>
        <v>0</v>
      </c>
      <c r="I53" s="131" t="n">
        <f aca="false">IF(OR($C53="",$B$2="",$D$2=0),0,IF(I$3&lt;0,0,N(INDEX('CURVA PREVISION'!$A$1:$KZ$3000,$C53,11+3*MIN(I$3,$D$2-1)))))</f>
        <v>0</v>
      </c>
      <c r="J53" s="131" t="n">
        <f aca="false">IF(OR($C53="",$B$2="",$D$2=0),0,IF(J$3&lt;0,0,N(INDEX('CURVA PREVISION'!$A$1:$KZ$3000,$C53,11+3*MIN(J$3,$D$2-1)))))</f>
        <v>0</v>
      </c>
      <c r="K53" s="131" t="n">
        <f aca="false">IF(OR($C53="",$B$2="",$D$2=0),0,IF(K$3&lt;0,0,N(INDEX('CURVA PREVISION'!$A$1:$KZ$3000,$C53,11+3*MIN(K$3,$D$2-1)))))</f>
        <v>0</v>
      </c>
      <c r="L53" s="131" t="n">
        <f aca="false">IF(OR($C53="",$B$2="",$D$2=0),0,IF(L$3&lt;0,0,N(INDEX('CURVA PREVISION'!$A$1:$KZ$3000,$C53,11+3*MIN(L$3,$D$2-1)))))</f>
        <v>0</v>
      </c>
      <c r="M53" s="131" t="n">
        <f aca="false">IF(OR($C53="",$B$2="",$D$2=0),0,IF(M$3&lt;0,0,N(INDEX('CURVA PREVISION'!$A$1:$KZ$3000,$C53,11+3*MIN(M$3,$D$2-1)))))</f>
        <v>0</v>
      </c>
      <c r="N53" s="131" t="n">
        <f aca="false">IF(OR($C53="",$B$2="",$D$2=0),0,IF(N$3&lt;0,0,N(INDEX('CURVA PREVISION'!$A$1:$KZ$3000,$C53,11+3*MIN(N$3,$D$2-1)))))</f>
        <v>0</v>
      </c>
      <c r="O53" s="131" t="n">
        <f aca="false">IF(OR($C53="",$B$2="",$D$2=0),0,IF(O$3&lt;0,0,N(INDEX('CURVA PREVISION'!$A$1:$KZ$3000,$C53,11+3*MIN(O$3,$D$2-1)))))</f>
        <v>0</v>
      </c>
      <c r="P53" s="131" t="n">
        <f aca="false">IF(OR($C53="",$B$2="",$D$2=0),0,IF(P$3&lt;0,0,N(INDEX('CURVA PREVISION'!$A$1:$KZ$3000,$C53,11+3*MIN(P$3,$D$2-1)))))</f>
        <v>0</v>
      </c>
      <c r="Q53" s="131" t="n">
        <f aca="false">IF(OR($C53="",$B$2="",$D$2=0),0,IF(Q$3&lt;0,0,N(INDEX('CURVA PREVISION'!$A$1:$KZ$3000,$C53,11+3*MIN(Q$3,$D$2-1)))))</f>
        <v>0</v>
      </c>
      <c r="R53" s="131" t="n">
        <f aca="false">IF(OR($C53="",$B$2="",$D$2=0),0,IF(R$3&lt;0,0,N(INDEX('CURVA PREVISION'!$A$1:$KZ$3000,$C53,11+3*MIN(R$3,$D$2-1)))))</f>
        <v>0</v>
      </c>
      <c r="S53" s="131" t="n">
        <f aca="false">IF(OR($C53="",$B$2="",$D$2=0),0,IF(S$3&lt;0,0,N(INDEX('CURVA PREVISION'!$A$1:$KZ$3000,$C53,11+3*MIN(S$3,$D$2-1)))))</f>
        <v>0</v>
      </c>
      <c r="T53" s="131" t="n">
        <f aca="false">IF(OR($C53="",$B$2="",$D$2=0),0,IF(T$3&lt;0,0,N(INDEX('CURVA PREVISION'!$A$1:$KZ$3000,$C53,11+3*MIN(T$3,$D$2-1)))))</f>
        <v>0</v>
      </c>
      <c r="U53" s="131" t="n">
        <f aca="false">IF(OR($C53="",$B$2="",$D$2=0),0,IF(U$3&lt;0,0,N(INDEX('CURVA PREVISION'!$A$1:$KZ$3000,$C53,11+3*MIN(U$3,$D$2-1)))))</f>
        <v>0</v>
      </c>
      <c r="V53" s="131" t="n">
        <f aca="false">IF(OR($C53="",$B$2="",$D$2=0),0,IF(V$3&lt;0,0,N(INDEX('CURVA PREVISION'!$A$1:$KZ$3000,$C53,11+3*MIN(V$3,$D$2-1)))))</f>
        <v>0</v>
      </c>
      <c r="W53" s="131" t="n">
        <f aca="false">IF(OR($C53="",$B$2="",$D$2=0),0,IF(W$3&lt;0,0,N(INDEX('CURVA PREVISION'!$A$1:$KZ$3000,$C53,11+3*MIN(W$3,$D$2-1)))))</f>
        <v>0</v>
      </c>
      <c r="X53" s="131" t="n">
        <f aca="false">IF(OR($C53="",$B$2="",$D$2=0),0,IF(X$3&lt;0,0,N(INDEX('CURVA PREVISION'!$A$1:$KZ$3000,$C53,11+3*MIN(X$3,$D$2-1)))))</f>
        <v>0</v>
      </c>
      <c r="Y53" s="131" t="n">
        <f aca="false">IF(OR($C53="",$B$2="",$D$2=0),0,IF(Y$3&lt;0,0,N(INDEX('CURVA PREVISION'!$A$1:$KZ$3000,$C53,11+3*MIN(Y$3,$D$2-1)))))</f>
        <v>0</v>
      </c>
      <c r="Z53" s="131" t="n">
        <f aca="false">IF(OR($C53="",$B$2="",$D$2=0),0,IF(Z$3&lt;0,0,N(INDEX('CURVA PREVISION'!$A$1:$KZ$3000,$C53,11+3*MIN(Z$3,$D$2-1)))))</f>
        <v>0</v>
      </c>
      <c r="AA53" s="131" t="n">
        <f aca="false">IF(OR($C53="",$B$2="",$D$2=0),0,IF(AA$3&lt;0,0,N(INDEX('CURVA PREVISION'!$A$1:$KZ$3000,$C53,11+3*MIN(AA$3,$D$2-1)))))</f>
        <v>0</v>
      </c>
      <c r="AB53" s="131" t="n">
        <f aca="false">IF(OR($C53="",$B$2="",$D$2=0),0,IF(AB$3&lt;0,0,N(INDEX('CURVA PREVISION'!$A$1:$KZ$3000,$C53,11+3*MIN(AB$3,$D$2-1)))))</f>
        <v>0</v>
      </c>
      <c r="AC53" s="131" t="n">
        <f aca="false">IF(OR($C53="",$B$2="",$D$2=0),0,IF(AC$3&lt;0,0,N(INDEX('CURVA PREVISION'!$A$1:$KZ$3000,$C53,11+3*MIN(AC$3,$D$2-1)))))</f>
        <v>0</v>
      </c>
      <c r="AD53" s="131" t="n">
        <f aca="false">IF(OR($C53="",$B$2="",$D$2=0),0,IF(AD$3&lt;0,0,N(INDEX('CURVA PREVISION'!$A$1:$KZ$3000,$C53,11+3*MIN(AD$3,$D$2-1)))))</f>
        <v>0</v>
      </c>
      <c r="AE53" s="131" t="n">
        <f aca="false">IF(OR($C53="",$B$2="",$D$2=0),0,IF(AE$3&lt;0,0,N(INDEX('CURVA PREVISION'!$A$1:$KZ$3000,$C53,11+3*MIN(AE$3,$D$2-1)))))</f>
        <v>0</v>
      </c>
      <c r="AF53" s="131" t="n">
        <f aca="false">IF(OR($C53="",$B$2="",$D$2=0),0,IF(AF$3&lt;0,0,N(INDEX('CURVA PREVISION'!$A$1:$KZ$3000,$C53,11+3*MIN(AF$3,$D$2-1)))))</f>
        <v>0</v>
      </c>
      <c r="AG53" s="131" t="n">
        <f aca="false">IF(OR($C53="",$B$2="",$D$2=0),0,IF(AG$3&lt;0,0,N(INDEX('CURVA PREVISION'!$A$1:$KZ$3000,$C53,11+3*MIN(AG$3,$D$2-1)))))</f>
        <v>0</v>
      </c>
      <c r="AH53" s="131" t="n">
        <f aca="false">IF(OR($C53="",$B$2="",$D$2=0),0,IF(AH$3&lt;0,0,N(INDEX('CURVA PREVISION'!$A$1:$KZ$3000,$C53,11+3*MIN(AH$3,$D$2-1)))))</f>
        <v>0</v>
      </c>
      <c r="AI53" s="131" t="n">
        <f aca="false">IF(OR($C53="",$B$2="",$D$2=0),0,IF(AI$3&lt;0,0,N(INDEX('CURVA PREVISION'!$A$1:$KZ$3000,$C53,11+3*MIN(AI$3,$D$2-1)))))</f>
        <v>0</v>
      </c>
      <c r="AJ53" s="131" t="n">
        <f aca="false">IF(OR($C53="",$B$2="",$D$2=0),0,IF(AJ$3&lt;0,0,N(INDEX('CURVA PREVISION'!$A$1:$KZ$3000,$C53,11+3*MIN(AJ$3,$D$2-1)))))</f>
        <v>0</v>
      </c>
      <c r="AK53" s="131" t="n">
        <f aca="false">IF(OR($C53="",$B$2="",$D$2=0),0,IF(AK$3&lt;0,0,N(INDEX('CURVA PREVISION'!$A$1:$KZ$3000,$C53,11+3*MIN(AK$3,$D$2-1)))))</f>
        <v>0</v>
      </c>
      <c r="AL53" s="131" t="n">
        <f aca="false">IF(OR($C53="",$B$2="",$D$2=0),0,IF(AL$3&lt;0,0,N(INDEX('CURVA PREVISION'!$A$1:$KZ$3000,$C53,11+3*MIN(AL$3,$D$2-1)))))</f>
        <v>0</v>
      </c>
      <c r="AM53" s="131" t="n">
        <f aca="false">IF(OR($C53="",$B$2="",$D$2=0),0,IF(AM$3&lt;0,0,N(INDEX('CURVA PREVISION'!$A$1:$KZ$3000,$C53,11+3*MIN(AM$3,$D$2-1)))))</f>
        <v>0</v>
      </c>
      <c r="AN53" s="131" t="n">
        <f aca="false">IF(OR($C53="",$B$2="",$D$2=0),0,IF(AN$3&lt;0,0,N(INDEX('CURVA PREVISION'!$A$1:$KZ$3000,$C53,11+3*MIN(AN$3,$D$2-1)))))</f>
        <v>0</v>
      </c>
      <c r="AO53" s="131" t="n">
        <f aca="false">IF(OR($C53="",$B$2="",$D$2=0),0,IF(AO$3&lt;0,0,N(INDEX('CURVA PREVISION'!$A$1:$KZ$3000,$C53,11+3*MIN(AO$3,$D$2-1)))))</f>
        <v>0</v>
      </c>
      <c r="AP53" s="131" t="n">
        <f aca="false">IF(OR($C53="",$B$2="",$D$2=0),0,IF(AP$3&lt;0,0,N(INDEX('CURVA PREVISION'!$A$1:$KZ$3000,$C53,11+3*MIN(AP$3,$D$2-1)))))</f>
        <v>0</v>
      </c>
      <c r="AQ53" s="131" t="n">
        <f aca="false">IF(OR($C53="",$B$2="",$D$2=0),0,IF(AQ$3&lt;0,0,N(INDEX('CURVA PREVISION'!$A$1:$KZ$3000,$C53,11+3*MIN(AQ$3,$D$2-1)))))</f>
        <v>0</v>
      </c>
      <c r="AR53" s="131" t="n">
        <f aca="false">IF(OR($C53="",$B$2="",$D$2=0),0,IF(AR$3&lt;0,0,N(INDEX('CURVA PREVISION'!$A$1:$KZ$3000,$C53,11+3*MIN(AR$3,$D$2-1)))))</f>
        <v>0</v>
      </c>
      <c r="AS53" s="131" t="n">
        <f aca="false">IF(OR($C53="",$B$2="",$D$2=0),0,IF(AS$3&lt;0,0,N(INDEX('CURVA PREVISION'!$A$1:$KZ$3000,$C53,11+3*MIN(AS$3,$D$2-1)))))</f>
        <v>0</v>
      </c>
      <c r="AT53" s="131" t="n">
        <f aca="false">IF(OR($C53="",$B$2="",$D$2=0),0,IF(AT$3&lt;0,0,N(INDEX('CURVA PREVISION'!$A$1:$KZ$3000,$C53,11+3*MIN(AT$3,$D$2-1)))))</f>
        <v>0</v>
      </c>
      <c r="AU53" s="131" t="n">
        <f aca="false">IF(OR($C53="",$B$2="",$D$2=0),0,IF(AU$3&lt;0,0,N(INDEX('CURVA PREVISION'!$A$1:$KZ$3000,$C53,11+3*MIN(AU$3,$D$2-1)))))</f>
        <v>0</v>
      </c>
      <c r="AV53" s="131" t="n">
        <f aca="false">IF(OR($C53="",$B$2="",$D$2=0),0,IF(AV$3&lt;0,0,N(INDEX('CURVA PREVISION'!$A$1:$KZ$3000,$C53,11+3*MIN(AV$3,$D$2-1)))))</f>
        <v>0</v>
      </c>
      <c r="AW53" s="131" t="n">
        <f aca="false">IF(OR($C53="",$B$2="",$D$2=0),0,IF(AW$3&lt;0,0,N(INDEX('CURVA PREVISION'!$A$1:$KZ$3000,$C53,11+3*MIN(AW$3,$D$2-1)))))</f>
        <v>0</v>
      </c>
      <c r="AX53" s="131" t="n">
        <f aca="false">IF(OR($C53="",$B$2="",$D$2=0),0,IF(AX$3&lt;0,0,N(INDEX('CURVA PREVISION'!$A$1:$KZ$3000,$C53,11+3*MIN(AX$3,$D$2-1)))))</f>
        <v>0</v>
      </c>
      <c r="AY53" s="131" t="n">
        <f aca="false">IF(OR($C53="",$B$2="",$D$2=0),0,IF(AY$3&lt;0,0,N(INDEX('CURVA PREVISION'!$A$1:$KZ$3000,$C53,11+3*MIN(AY$3,$D$2-1)))))</f>
        <v>0</v>
      </c>
      <c r="AZ53" s="131" t="n">
        <f aca="false">IF(OR($C53="",$B$2="",$D$2=0),0,IF(AZ$3&lt;0,0,N(INDEX('CURVA PREVISION'!$A$1:$KZ$3000,$C53,11+3*MIN(AZ$3,$D$2-1)))))</f>
        <v>0</v>
      </c>
      <c r="BA53" s="131" t="n">
        <f aca="false">IF(OR($C53="",$B$2="",$D$2=0),0,IF(BA$3&lt;0,0,N(INDEX('CURVA PREVISION'!$A$1:$KZ$3000,$C53,11+3*MIN(BA$3,$D$2-1)))))</f>
        <v>0</v>
      </c>
      <c r="BB53" s="131" t="n">
        <f aca="false">IF(OR($C53="",$B$2="",$D$2=0),0,IF(BB$3&lt;0,0,N(INDEX('CURVA PREVISION'!$A$1:$KZ$3000,$C53,11+3*MIN(BB$3,$D$2-1)))))</f>
        <v>0</v>
      </c>
      <c r="BC53" s="131" t="n">
        <f aca="false">IF(OR($C53="",$B$2="",$D$2=0),0,IF(BC$3&lt;0,0,N(INDEX('CURVA PREVISION'!$A$1:$KZ$3000,$C53,11+3*MIN(BC$3,$D$2-1)))))</f>
        <v>0</v>
      </c>
      <c r="BD53" s="131" t="n">
        <f aca="false">IF(OR($C53="",$B$2="",$D$2=0),0,IF(BD$3&lt;0,0,N(INDEX('CURVA PREVISION'!$A$1:$KZ$3000,$C53,11+3*MIN(BD$3,$D$2-1)))))</f>
        <v>0</v>
      </c>
      <c r="BE53" s="131" t="n">
        <f aca="false">IF(OR($C53="",$B$2="",$D$2=0),0,IF(BE$3&lt;0,0,N(INDEX('CURVA PREVISION'!$A$1:$KZ$3000,$C53,11+3*MIN(BE$3,$D$2-1)))))</f>
        <v>0</v>
      </c>
      <c r="BF53" s="131" t="n">
        <f aca="false">IF(OR($C53="",$B$2="",$D$2=0),0,IF(BF$3&lt;0,0,N(INDEX('CURVA PREVISION'!$A$1:$KZ$3000,$C53,11+3*MIN(BF$3,$D$2-1)))))</f>
        <v>0</v>
      </c>
      <c r="BG53" s="131" t="n">
        <f aca="false">IF(OR($C53="",$B$2="",$D$2=0),0,IF(BG$3&lt;0,0,N(INDEX('CURVA PREVISION'!$A$1:$KZ$3000,$C53,11+3*MIN(BG$3,$D$2-1)))))</f>
        <v>0</v>
      </c>
      <c r="BH53" s="131" t="n">
        <f aca="false">IF(OR($C53="",$B$2="",$D$2=0),0,IF(BH$3&lt;0,0,N(INDEX('CURVA PREVISION'!$A$1:$KZ$3000,$C53,11+3*MIN(BH$3,$D$2-1)))))</f>
        <v>0</v>
      </c>
      <c r="BI53" s="131" t="n">
        <f aca="false">IF(OR($C53="",$B$2="",$D$2=0),0,IF(BI$3&lt;0,0,N(INDEX('CURVA PREVISION'!$A$1:$KZ$3000,$C53,11+3*MIN(BI$3,$D$2-1)))))</f>
        <v>0</v>
      </c>
      <c r="BJ53" s="131" t="n">
        <f aca="false">IF(OR($C53="",$B$2="",$D$2=0),0,IF(BJ$3&lt;0,0,N(INDEX('CURVA PREVISION'!$A$1:$KZ$3000,$C53,11+3*MIN(BJ$3,$D$2-1)))))</f>
        <v>0</v>
      </c>
      <c r="BK53" s="131" t="n">
        <f aca="false">IF(OR($C53="",$B$2="",$D$2=0),0,IF(BK$3&lt;0,0,N(INDEX('CURVA PREVISION'!$A$1:$KZ$3000,$C53,11+3*MIN(BK$3,$D$2-1)))))</f>
        <v>0</v>
      </c>
      <c r="BL53" s="131" t="n">
        <f aca="false">IF(OR($C53="",$B$2="",$D$2=0),0,IF(BL$3&lt;0,0,N(INDEX('CURVA PREVISION'!$A$1:$KZ$3000,$C53,11+3*MIN(BL$3,$D$2-1)))))</f>
        <v>0</v>
      </c>
      <c r="BM53" s="131" t="n">
        <f aca="false">IF(OR($C53="",$B$2="",$D$2=0),0,IF(BM$3&lt;0,0,N(INDEX('CURVA PREVISION'!$A$1:$KZ$3000,$C53,11+3*MIN(BM$3,$D$2-1)))))</f>
        <v>0</v>
      </c>
      <c r="BN53" s="131" t="n">
        <f aca="false">IF(OR($C53="",$B$2="",$D$2=0),0,IF(BN$3&lt;0,0,N(INDEX('CURVA PREVISION'!$A$1:$KZ$3000,$C53,11+3*MIN(BN$3,$D$2-1)))))</f>
        <v>0</v>
      </c>
      <c r="BO53" s="131" t="n">
        <f aca="false">IF(OR($C53="",$B$2="",$D$2=0),0,IF(BO$3&lt;0,0,N(INDEX('CURVA PREVISION'!$A$1:$KZ$3000,$C53,11+3*MIN(BO$3,$D$2-1)))))</f>
        <v>0</v>
      </c>
      <c r="BP53" s="131" t="n">
        <f aca="false">IF(OR($C53="",$B$2="",$D$2=0),0,IF(BP$3&lt;0,0,N(INDEX('CURVA PREVISION'!$A$1:$KZ$3000,$C53,11+3*MIN(BP$3,$D$2-1)))))</f>
        <v>0</v>
      </c>
      <c r="BQ53" s="131" t="n">
        <f aca="false">IF(OR($C53="",$B$2="",$D$2=0),0,IF(BQ$3&lt;0,0,N(INDEX('CURVA PREVISION'!$A$1:$KZ$3000,$C53,11+3*MIN(BQ$3,$D$2-1)))))</f>
        <v>0</v>
      </c>
      <c r="BR53" s="131" t="n">
        <f aca="false">IF(OR($C53="",$B$2="",$D$2=0),0,IF(BR$3&lt;0,0,N(INDEX('CURVA PREVISION'!$A$1:$KZ$3000,$C53,11+3*MIN(BR$3,$D$2-1)))))</f>
        <v>0</v>
      </c>
      <c r="BS53" s="131" t="n">
        <f aca="false">IF(OR($C53="",$B$2="",$D$2=0),0,IF(BS$3&lt;0,0,N(INDEX('CURVA PREVISION'!$A$1:$KZ$3000,$C53,11+3*MIN(BS$3,$D$2-1)))))</f>
        <v>0</v>
      </c>
      <c r="BT53" s="131" t="n">
        <f aca="false">IF(OR($C53="",$B$2="",$D$2=0),0,IF(BT$3&lt;0,0,N(INDEX('CURVA PREVISION'!$A$1:$KZ$3000,$C53,11+3*MIN(BT$3,$D$2-1)))))</f>
        <v>0</v>
      </c>
      <c r="BU53" s="131" t="n">
        <f aca="false">IF(OR($C53="",$B$2="",$D$2=0),0,IF(BU$3&lt;0,0,N(INDEX('CURVA PREVISION'!$A$1:$KZ$3000,$C53,11+3*MIN(BU$3,$D$2-1)))))</f>
        <v>0</v>
      </c>
      <c r="BV53" s="131" t="n">
        <f aca="false">IF(OR($C53="",$B$2="",$D$2=0),0,IF(BV$3&lt;0,0,N(INDEX('CURVA PREVISION'!$A$1:$KZ$3000,$C53,11+3*MIN(BV$3,$D$2-1)))))</f>
        <v>0</v>
      </c>
      <c r="BW53" s="131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93</v>
      </c>
      <c r="D54" s="131" t="n">
        <f aca="false">IF(OR($C54="",$B$2="",$D$2=0),0,IF(D$3&lt;0,0,N(INDEX('CURVA PREVISION'!$A$1:$KZ$3000,$C54,11+3*MIN(D$3,$D$2-1)))))</f>
        <v>0</v>
      </c>
      <c r="E54" s="131" t="n">
        <f aca="false">IF(OR($C54="",$B$2="",$D$2=0),0,IF(E$3&lt;0,0,N(INDEX('CURVA PREVISION'!$A$1:$KZ$3000,$C54,11+3*MIN(E$3,$D$2-1)))))</f>
        <v>0</v>
      </c>
      <c r="F54" s="131" t="n">
        <f aca="false">IF(OR($C54="",$B$2="",$D$2=0),0,IF(F$3&lt;0,0,N(INDEX('CURVA PREVISION'!$A$1:$KZ$3000,$C54,11+3*MIN(F$3,$D$2-1)))))</f>
        <v>0</v>
      </c>
      <c r="G54" s="131" t="n">
        <f aca="false">IF(OR($C54="",$B$2="",$D$2=0),0,IF(G$3&lt;0,0,N(INDEX('CURVA PREVISION'!$A$1:$KZ$3000,$C54,11+3*MIN(G$3,$D$2-1)))))</f>
        <v>0</v>
      </c>
      <c r="H54" s="131" t="n">
        <f aca="false">IF(OR($C54="",$B$2="",$D$2=0),0,IF(H$3&lt;0,0,N(INDEX('CURVA PREVISION'!$A$1:$KZ$3000,$C54,11+3*MIN(H$3,$D$2-1)))))</f>
        <v>0</v>
      </c>
      <c r="I54" s="131" t="n">
        <f aca="false">IF(OR($C54="",$B$2="",$D$2=0),0,IF(I$3&lt;0,0,N(INDEX('CURVA PREVISION'!$A$1:$KZ$3000,$C54,11+3*MIN(I$3,$D$2-1)))))</f>
        <v>0</v>
      </c>
      <c r="J54" s="131" t="n">
        <f aca="false">IF(OR($C54="",$B$2="",$D$2=0),0,IF(J$3&lt;0,0,N(INDEX('CURVA PREVISION'!$A$1:$KZ$3000,$C54,11+3*MIN(J$3,$D$2-1)))))</f>
        <v>0</v>
      </c>
      <c r="K54" s="131" t="n">
        <f aca="false">IF(OR($C54="",$B$2="",$D$2=0),0,IF(K$3&lt;0,0,N(INDEX('CURVA PREVISION'!$A$1:$KZ$3000,$C54,11+3*MIN(K$3,$D$2-1)))))</f>
        <v>0</v>
      </c>
      <c r="L54" s="131" t="n">
        <f aca="false">IF(OR($C54="",$B$2="",$D$2=0),0,IF(L$3&lt;0,0,N(INDEX('CURVA PREVISION'!$A$1:$KZ$3000,$C54,11+3*MIN(L$3,$D$2-1)))))</f>
        <v>0</v>
      </c>
      <c r="M54" s="131" t="n">
        <f aca="false">IF(OR($C54="",$B$2="",$D$2=0),0,IF(M$3&lt;0,0,N(INDEX('CURVA PREVISION'!$A$1:$KZ$3000,$C54,11+3*MIN(M$3,$D$2-1)))))</f>
        <v>0</v>
      </c>
      <c r="N54" s="131" t="n">
        <f aca="false">IF(OR($C54="",$B$2="",$D$2=0),0,IF(N$3&lt;0,0,N(INDEX('CURVA PREVISION'!$A$1:$KZ$3000,$C54,11+3*MIN(N$3,$D$2-1)))))</f>
        <v>0</v>
      </c>
      <c r="O54" s="131" t="n">
        <f aca="false">IF(OR($C54="",$B$2="",$D$2=0),0,IF(O$3&lt;0,0,N(INDEX('CURVA PREVISION'!$A$1:$KZ$3000,$C54,11+3*MIN(O$3,$D$2-1)))))</f>
        <v>0</v>
      </c>
      <c r="P54" s="131" t="n">
        <f aca="false">IF(OR($C54="",$B$2="",$D$2=0),0,IF(P$3&lt;0,0,N(INDEX('CURVA PREVISION'!$A$1:$KZ$3000,$C54,11+3*MIN(P$3,$D$2-1)))))</f>
        <v>0</v>
      </c>
      <c r="Q54" s="131" t="n">
        <f aca="false">IF(OR($C54="",$B$2="",$D$2=0),0,IF(Q$3&lt;0,0,N(INDEX('CURVA PREVISION'!$A$1:$KZ$3000,$C54,11+3*MIN(Q$3,$D$2-1)))))</f>
        <v>0</v>
      </c>
      <c r="R54" s="131" t="n">
        <f aca="false">IF(OR($C54="",$B$2="",$D$2=0),0,IF(R$3&lt;0,0,N(INDEX('CURVA PREVISION'!$A$1:$KZ$3000,$C54,11+3*MIN(R$3,$D$2-1)))))</f>
        <v>0</v>
      </c>
      <c r="S54" s="131" t="n">
        <f aca="false">IF(OR($C54="",$B$2="",$D$2=0),0,IF(S$3&lt;0,0,N(INDEX('CURVA PREVISION'!$A$1:$KZ$3000,$C54,11+3*MIN(S$3,$D$2-1)))))</f>
        <v>0</v>
      </c>
      <c r="T54" s="131" t="n">
        <f aca="false">IF(OR($C54="",$B$2="",$D$2=0),0,IF(T$3&lt;0,0,N(INDEX('CURVA PREVISION'!$A$1:$KZ$3000,$C54,11+3*MIN(T$3,$D$2-1)))))</f>
        <v>0</v>
      </c>
      <c r="U54" s="131" t="n">
        <f aca="false">IF(OR($C54="",$B$2="",$D$2=0),0,IF(U$3&lt;0,0,N(INDEX('CURVA PREVISION'!$A$1:$KZ$3000,$C54,11+3*MIN(U$3,$D$2-1)))))</f>
        <v>0</v>
      </c>
      <c r="V54" s="131" t="n">
        <f aca="false">IF(OR($C54="",$B$2="",$D$2=0),0,IF(V$3&lt;0,0,N(INDEX('CURVA PREVISION'!$A$1:$KZ$3000,$C54,11+3*MIN(V$3,$D$2-1)))))</f>
        <v>0</v>
      </c>
      <c r="W54" s="131" t="n">
        <f aca="false">IF(OR($C54="",$B$2="",$D$2=0),0,IF(W$3&lt;0,0,N(INDEX('CURVA PREVISION'!$A$1:$KZ$3000,$C54,11+3*MIN(W$3,$D$2-1)))))</f>
        <v>0</v>
      </c>
      <c r="X54" s="131" t="n">
        <f aca="false">IF(OR($C54="",$B$2="",$D$2=0),0,IF(X$3&lt;0,0,N(INDEX('CURVA PREVISION'!$A$1:$KZ$3000,$C54,11+3*MIN(X$3,$D$2-1)))))</f>
        <v>0</v>
      </c>
      <c r="Y54" s="131" t="n">
        <f aca="false">IF(OR($C54="",$B$2="",$D$2=0),0,IF(Y$3&lt;0,0,N(INDEX('CURVA PREVISION'!$A$1:$KZ$3000,$C54,11+3*MIN(Y$3,$D$2-1)))))</f>
        <v>0</v>
      </c>
      <c r="Z54" s="131" t="n">
        <f aca="false">IF(OR($C54="",$B$2="",$D$2=0),0,IF(Z$3&lt;0,0,N(INDEX('CURVA PREVISION'!$A$1:$KZ$3000,$C54,11+3*MIN(Z$3,$D$2-1)))))</f>
        <v>0</v>
      </c>
      <c r="AA54" s="131" t="n">
        <f aca="false">IF(OR($C54="",$B$2="",$D$2=0),0,IF(AA$3&lt;0,0,N(INDEX('CURVA PREVISION'!$A$1:$KZ$3000,$C54,11+3*MIN(AA$3,$D$2-1)))))</f>
        <v>0</v>
      </c>
      <c r="AB54" s="131" t="n">
        <f aca="false">IF(OR($C54="",$B$2="",$D$2=0),0,IF(AB$3&lt;0,0,N(INDEX('CURVA PREVISION'!$A$1:$KZ$3000,$C54,11+3*MIN(AB$3,$D$2-1)))))</f>
        <v>0</v>
      </c>
      <c r="AC54" s="131" t="n">
        <f aca="false">IF(OR($C54="",$B$2="",$D$2=0),0,IF(AC$3&lt;0,0,N(INDEX('CURVA PREVISION'!$A$1:$KZ$3000,$C54,11+3*MIN(AC$3,$D$2-1)))))</f>
        <v>0</v>
      </c>
      <c r="AD54" s="131" t="n">
        <f aca="false">IF(OR($C54="",$B$2="",$D$2=0),0,IF(AD$3&lt;0,0,N(INDEX('CURVA PREVISION'!$A$1:$KZ$3000,$C54,11+3*MIN(AD$3,$D$2-1)))))</f>
        <v>0</v>
      </c>
      <c r="AE54" s="131" t="n">
        <f aca="false">IF(OR($C54="",$B$2="",$D$2=0),0,IF(AE$3&lt;0,0,N(INDEX('CURVA PREVISION'!$A$1:$KZ$3000,$C54,11+3*MIN(AE$3,$D$2-1)))))</f>
        <v>0</v>
      </c>
      <c r="AF54" s="131" t="n">
        <f aca="false">IF(OR($C54="",$B$2="",$D$2=0),0,IF(AF$3&lt;0,0,N(INDEX('CURVA PREVISION'!$A$1:$KZ$3000,$C54,11+3*MIN(AF$3,$D$2-1)))))</f>
        <v>0</v>
      </c>
      <c r="AG54" s="131" t="n">
        <f aca="false">IF(OR($C54="",$B$2="",$D$2=0),0,IF(AG$3&lt;0,0,N(INDEX('CURVA PREVISION'!$A$1:$KZ$3000,$C54,11+3*MIN(AG$3,$D$2-1)))))</f>
        <v>0</v>
      </c>
      <c r="AH54" s="131" t="n">
        <f aca="false">IF(OR($C54="",$B$2="",$D$2=0),0,IF(AH$3&lt;0,0,N(INDEX('CURVA PREVISION'!$A$1:$KZ$3000,$C54,11+3*MIN(AH$3,$D$2-1)))))</f>
        <v>0</v>
      </c>
      <c r="AI54" s="131" t="n">
        <f aca="false">IF(OR($C54="",$B$2="",$D$2=0),0,IF(AI$3&lt;0,0,N(INDEX('CURVA PREVISION'!$A$1:$KZ$3000,$C54,11+3*MIN(AI$3,$D$2-1)))))</f>
        <v>0</v>
      </c>
      <c r="AJ54" s="131" t="n">
        <f aca="false">IF(OR($C54="",$B$2="",$D$2=0),0,IF(AJ$3&lt;0,0,N(INDEX('CURVA PREVISION'!$A$1:$KZ$3000,$C54,11+3*MIN(AJ$3,$D$2-1)))))</f>
        <v>0</v>
      </c>
      <c r="AK54" s="131" t="n">
        <f aca="false">IF(OR($C54="",$B$2="",$D$2=0),0,IF(AK$3&lt;0,0,N(INDEX('CURVA PREVISION'!$A$1:$KZ$3000,$C54,11+3*MIN(AK$3,$D$2-1)))))</f>
        <v>0</v>
      </c>
      <c r="AL54" s="131" t="n">
        <f aca="false">IF(OR($C54="",$B$2="",$D$2=0),0,IF(AL$3&lt;0,0,N(INDEX('CURVA PREVISION'!$A$1:$KZ$3000,$C54,11+3*MIN(AL$3,$D$2-1)))))</f>
        <v>0</v>
      </c>
      <c r="AM54" s="131" t="n">
        <f aca="false">IF(OR($C54="",$B$2="",$D$2=0),0,IF(AM$3&lt;0,0,N(INDEX('CURVA PREVISION'!$A$1:$KZ$3000,$C54,11+3*MIN(AM$3,$D$2-1)))))</f>
        <v>0</v>
      </c>
      <c r="AN54" s="131" t="n">
        <f aca="false">IF(OR($C54="",$B$2="",$D$2=0),0,IF(AN$3&lt;0,0,N(INDEX('CURVA PREVISION'!$A$1:$KZ$3000,$C54,11+3*MIN(AN$3,$D$2-1)))))</f>
        <v>0</v>
      </c>
      <c r="AO54" s="131" t="n">
        <f aca="false">IF(OR($C54="",$B$2="",$D$2=0),0,IF(AO$3&lt;0,0,N(INDEX('CURVA PREVISION'!$A$1:$KZ$3000,$C54,11+3*MIN(AO$3,$D$2-1)))))</f>
        <v>0</v>
      </c>
      <c r="AP54" s="131" t="n">
        <f aca="false">IF(OR($C54="",$B$2="",$D$2=0),0,IF(AP$3&lt;0,0,N(INDEX('CURVA PREVISION'!$A$1:$KZ$3000,$C54,11+3*MIN(AP$3,$D$2-1)))))</f>
        <v>0</v>
      </c>
      <c r="AQ54" s="131" t="n">
        <f aca="false">IF(OR($C54="",$B$2="",$D$2=0),0,IF(AQ$3&lt;0,0,N(INDEX('CURVA PREVISION'!$A$1:$KZ$3000,$C54,11+3*MIN(AQ$3,$D$2-1)))))</f>
        <v>0</v>
      </c>
      <c r="AR54" s="131" t="n">
        <f aca="false">IF(OR($C54="",$B$2="",$D$2=0),0,IF(AR$3&lt;0,0,N(INDEX('CURVA PREVISION'!$A$1:$KZ$3000,$C54,11+3*MIN(AR$3,$D$2-1)))))</f>
        <v>0</v>
      </c>
      <c r="AS54" s="131" t="n">
        <f aca="false">IF(OR($C54="",$B$2="",$D$2=0),0,IF(AS$3&lt;0,0,N(INDEX('CURVA PREVISION'!$A$1:$KZ$3000,$C54,11+3*MIN(AS$3,$D$2-1)))))</f>
        <v>0</v>
      </c>
      <c r="AT54" s="131" t="n">
        <f aca="false">IF(OR($C54="",$B$2="",$D$2=0),0,IF(AT$3&lt;0,0,N(INDEX('CURVA PREVISION'!$A$1:$KZ$3000,$C54,11+3*MIN(AT$3,$D$2-1)))))</f>
        <v>0</v>
      </c>
      <c r="AU54" s="131" t="n">
        <f aca="false">IF(OR($C54="",$B$2="",$D$2=0),0,IF(AU$3&lt;0,0,N(INDEX('CURVA PREVISION'!$A$1:$KZ$3000,$C54,11+3*MIN(AU$3,$D$2-1)))))</f>
        <v>0</v>
      </c>
      <c r="AV54" s="131" t="n">
        <f aca="false">IF(OR($C54="",$B$2="",$D$2=0),0,IF(AV$3&lt;0,0,N(INDEX('CURVA PREVISION'!$A$1:$KZ$3000,$C54,11+3*MIN(AV$3,$D$2-1)))))</f>
        <v>0</v>
      </c>
      <c r="AW54" s="131" t="n">
        <f aca="false">IF(OR($C54="",$B$2="",$D$2=0),0,IF(AW$3&lt;0,0,N(INDEX('CURVA PREVISION'!$A$1:$KZ$3000,$C54,11+3*MIN(AW$3,$D$2-1)))))</f>
        <v>0</v>
      </c>
      <c r="AX54" s="131" t="n">
        <f aca="false">IF(OR($C54="",$B$2="",$D$2=0),0,IF(AX$3&lt;0,0,N(INDEX('CURVA PREVISION'!$A$1:$KZ$3000,$C54,11+3*MIN(AX$3,$D$2-1)))))</f>
        <v>0</v>
      </c>
      <c r="AY54" s="131" t="n">
        <f aca="false">IF(OR($C54="",$B$2="",$D$2=0),0,IF(AY$3&lt;0,0,N(INDEX('CURVA PREVISION'!$A$1:$KZ$3000,$C54,11+3*MIN(AY$3,$D$2-1)))))</f>
        <v>0</v>
      </c>
      <c r="AZ54" s="131" t="n">
        <f aca="false">IF(OR($C54="",$B$2="",$D$2=0),0,IF(AZ$3&lt;0,0,N(INDEX('CURVA PREVISION'!$A$1:$KZ$3000,$C54,11+3*MIN(AZ$3,$D$2-1)))))</f>
        <v>0</v>
      </c>
      <c r="BA54" s="131" t="n">
        <f aca="false">IF(OR($C54="",$B$2="",$D$2=0),0,IF(BA$3&lt;0,0,N(INDEX('CURVA PREVISION'!$A$1:$KZ$3000,$C54,11+3*MIN(BA$3,$D$2-1)))))</f>
        <v>0</v>
      </c>
      <c r="BB54" s="131" t="n">
        <f aca="false">IF(OR($C54="",$B$2="",$D$2=0),0,IF(BB$3&lt;0,0,N(INDEX('CURVA PREVISION'!$A$1:$KZ$3000,$C54,11+3*MIN(BB$3,$D$2-1)))))</f>
        <v>0</v>
      </c>
      <c r="BC54" s="131" t="n">
        <f aca="false">IF(OR($C54="",$B$2="",$D$2=0),0,IF(BC$3&lt;0,0,N(INDEX('CURVA PREVISION'!$A$1:$KZ$3000,$C54,11+3*MIN(BC$3,$D$2-1)))))</f>
        <v>0</v>
      </c>
      <c r="BD54" s="131" t="n">
        <f aca="false">IF(OR($C54="",$B$2="",$D$2=0),0,IF(BD$3&lt;0,0,N(INDEX('CURVA PREVISION'!$A$1:$KZ$3000,$C54,11+3*MIN(BD$3,$D$2-1)))))</f>
        <v>0</v>
      </c>
      <c r="BE54" s="131" t="n">
        <f aca="false">IF(OR($C54="",$B$2="",$D$2=0),0,IF(BE$3&lt;0,0,N(INDEX('CURVA PREVISION'!$A$1:$KZ$3000,$C54,11+3*MIN(BE$3,$D$2-1)))))</f>
        <v>0</v>
      </c>
      <c r="BF54" s="131" t="n">
        <f aca="false">IF(OR($C54="",$B$2="",$D$2=0),0,IF(BF$3&lt;0,0,N(INDEX('CURVA PREVISION'!$A$1:$KZ$3000,$C54,11+3*MIN(BF$3,$D$2-1)))))</f>
        <v>0</v>
      </c>
      <c r="BG54" s="131" t="n">
        <f aca="false">IF(OR($C54="",$B$2="",$D$2=0),0,IF(BG$3&lt;0,0,N(INDEX('CURVA PREVISION'!$A$1:$KZ$3000,$C54,11+3*MIN(BG$3,$D$2-1)))))</f>
        <v>0</v>
      </c>
      <c r="BH54" s="131" t="n">
        <f aca="false">IF(OR($C54="",$B$2="",$D$2=0),0,IF(BH$3&lt;0,0,N(INDEX('CURVA PREVISION'!$A$1:$KZ$3000,$C54,11+3*MIN(BH$3,$D$2-1)))))</f>
        <v>0</v>
      </c>
      <c r="BI54" s="131" t="n">
        <f aca="false">IF(OR($C54="",$B$2="",$D$2=0),0,IF(BI$3&lt;0,0,N(INDEX('CURVA PREVISION'!$A$1:$KZ$3000,$C54,11+3*MIN(BI$3,$D$2-1)))))</f>
        <v>0</v>
      </c>
      <c r="BJ54" s="131" t="n">
        <f aca="false">IF(OR($C54="",$B$2="",$D$2=0),0,IF(BJ$3&lt;0,0,N(INDEX('CURVA PREVISION'!$A$1:$KZ$3000,$C54,11+3*MIN(BJ$3,$D$2-1)))))</f>
        <v>0</v>
      </c>
      <c r="BK54" s="131" t="n">
        <f aca="false">IF(OR($C54="",$B$2="",$D$2=0),0,IF(BK$3&lt;0,0,N(INDEX('CURVA PREVISION'!$A$1:$KZ$3000,$C54,11+3*MIN(BK$3,$D$2-1)))))</f>
        <v>0</v>
      </c>
      <c r="BL54" s="131" t="n">
        <f aca="false">IF(OR($C54="",$B$2="",$D$2=0),0,IF(BL$3&lt;0,0,N(INDEX('CURVA PREVISION'!$A$1:$KZ$3000,$C54,11+3*MIN(BL$3,$D$2-1)))))</f>
        <v>0</v>
      </c>
      <c r="BM54" s="131" t="n">
        <f aca="false">IF(OR($C54="",$B$2="",$D$2=0),0,IF(BM$3&lt;0,0,N(INDEX('CURVA PREVISION'!$A$1:$KZ$3000,$C54,11+3*MIN(BM$3,$D$2-1)))))</f>
        <v>0</v>
      </c>
      <c r="BN54" s="131" t="n">
        <f aca="false">IF(OR($C54="",$B$2="",$D$2=0),0,IF(BN$3&lt;0,0,N(INDEX('CURVA PREVISION'!$A$1:$KZ$3000,$C54,11+3*MIN(BN$3,$D$2-1)))))</f>
        <v>0</v>
      </c>
      <c r="BO54" s="131" t="n">
        <f aca="false">IF(OR($C54="",$B$2="",$D$2=0),0,IF(BO$3&lt;0,0,N(INDEX('CURVA PREVISION'!$A$1:$KZ$3000,$C54,11+3*MIN(BO$3,$D$2-1)))))</f>
        <v>0</v>
      </c>
      <c r="BP54" s="131" t="n">
        <f aca="false">IF(OR($C54="",$B$2="",$D$2=0),0,IF(BP$3&lt;0,0,N(INDEX('CURVA PREVISION'!$A$1:$KZ$3000,$C54,11+3*MIN(BP$3,$D$2-1)))))</f>
        <v>0</v>
      </c>
      <c r="BQ54" s="131" t="n">
        <f aca="false">IF(OR($C54="",$B$2="",$D$2=0),0,IF(BQ$3&lt;0,0,N(INDEX('CURVA PREVISION'!$A$1:$KZ$3000,$C54,11+3*MIN(BQ$3,$D$2-1)))))</f>
        <v>0</v>
      </c>
      <c r="BR54" s="131" t="n">
        <f aca="false">IF(OR($C54="",$B$2="",$D$2=0),0,IF(BR$3&lt;0,0,N(INDEX('CURVA PREVISION'!$A$1:$KZ$3000,$C54,11+3*MIN(BR$3,$D$2-1)))))</f>
        <v>0</v>
      </c>
      <c r="BS54" s="131" t="n">
        <f aca="false">IF(OR($C54="",$B$2="",$D$2=0),0,IF(BS$3&lt;0,0,N(INDEX('CURVA PREVISION'!$A$1:$KZ$3000,$C54,11+3*MIN(BS$3,$D$2-1)))))</f>
        <v>0</v>
      </c>
      <c r="BT54" s="131" t="n">
        <f aca="false">IF(OR($C54="",$B$2="",$D$2=0),0,IF(BT$3&lt;0,0,N(INDEX('CURVA PREVISION'!$A$1:$KZ$3000,$C54,11+3*MIN(BT$3,$D$2-1)))))</f>
        <v>0</v>
      </c>
      <c r="BU54" s="131" t="n">
        <f aca="false">IF(OR($C54="",$B$2="",$D$2=0),0,IF(BU$3&lt;0,0,N(INDEX('CURVA PREVISION'!$A$1:$KZ$3000,$C54,11+3*MIN(BU$3,$D$2-1)))))</f>
        <v>0</v>
      </c>
      <c r="BV54" s="131" t="n">
        <f aca="false">IF(OR($C54="",$B$2="",$D$2=0),0,IF(BV$3&lt;0,0,N(INDEX('CURVA PREVISION'!$A$1:$KZ$3000,$C54,11+3*MIN(BV$3,$D$2-1)))))</f>
        <v>0</v>
      </c>
      <c r="BW54" s="131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98</v>
      </c>
      <c r="D55" s="131" t="n">
        <f aca="false">IF(OR($C55="",$B$2="",$D$2=0),0,IF(D$3&lt;0,0,N(INDEX('CURVA PREVISION'!$A$1:$KZ$3000,$C55,11+3*MIN(D$3,$D$2-1)))))</f>
        <v>0</v>
      </c>
      <c r="E55" s="131" t="n">
        <f aca="false">IF(OR($C55="",$B$2="",$D$2=0),0,IF(E$3&lt;0,0,N(INDEX('CURVA PREVISION'!$A$1:$KZ$3000,$C55,11+3*MIN(E$3,$D$2-1)))))</f>
        <v>0</v>
      </c>
      <c r="F55" s="131" t="n">
        <f aca="false">IF(OR($C55="",$B$2="",$D$2=0),0,IF(F$3&lt;0,0,N(INDEX('CURVA PREVISION'!$A$1:$KZ$3000,$C55,11+3*MIN(F$3,$D$2-1)))))</f>
        <v>0</v>
      </c>
      <c r="G55" s="131" t="n">
        <f aca="false">IF(OR($C55="",$B$2="",$D$2=0),0,IF(G$3&lt;0,0,N(INDEX('CURVA PREVISION'!$A$1:$KZ$3000,$C55,11+3*MIN(G$3,$D$2-1)))))</f>
        <v>0</v>
      </c>
      <c r="H55" s="131" t="n">
        <f aca="false">IF(OR($C55="",$B$2="",$D$2=0),0,IF(H$3&lt;0,0,N(INDEX('CURVA PREVISION'!$A$1:$KZ$3000,$C55,11+3*MIN(H$3,$D$2-1)))))</f>
        <v>0</v>
      </c>
      <c r="I55" s="131" t="n">
        <f aca="false">IF(OR($C55="",$B$2="",$D$2=0),0,IF(I$3&lt;0,0,N(INDEX('CURVA PREVISION'!$A$1:$KZ$3000,$C55,11+3*MIN(I$3,$D$2-1)))))</f>
        <v>0</v>
      </c>
      <c r="J55" s="131" t="n">
        <f aca="false">IF(OR($C55="",$B$2="",$D$2=0),0,IF(J$3&lt;0,0,N(INDEX('CURVA PREVISION'!$A$1:$KZ$3000,$C55,11+3*MIN(J$3,$D$2-1)))))</f>
        <v>0</v>
      </c>
      <c r="K55" s="131" t="n">
        <f aca="false">IF(OR($C55="",$B$2="",$D$2=0),0,IF(K$3&lt;0,0,N(INDEX('CURVA PREVISION'!$A$1:$KZ$3000,$C55,11+3*MIN(K$3,$D$2-1)))))</f>
        <v>0</v>
      </c>
      <c r="L55" s="131" t="n">
        <f aca="false">IF(OR($C55="",$B$2="",$D$2=0),0,IF(L$3&lt;0,0,N(INDEX('CURVA PREVISION'!$A$1:$KZ$3000,$C55,11+3*MIN(L$3,$D$2-1)))))</f>
        <v>0</v>
      </c>
      <c r="M55" s="131" t="n">
        <f aca="false">IF(OR($C55="",$B$2="",$D$2=0),0,IF(M$3&lt;0,0,N(INDEX('CURVA PREVISION'!$A$1:$KZ$3000,$C55,11+3*MIN(M$3,$D$2-1)))))</f>
        <v>0</v>
      </c>
      <c r="N55" s="131" t="n">
        <f aca="false">IF(OR($C55="",$B$2="",$D$2=0),0,IF(N$3&lt;0,0,N(INDEX('CURVA PREVISION'!$A$1:$KZ$3000,$C55,11+3*MIN(N$3,$D$2-1)))))</f>
        <v>0</v>
      </c>
      <c r="O55" s="131" t="n">
        <f aca="false">IF(OR($C55="",$B$2="",$D$2=0),0,IF(O$3&lt;0,0,N(INDEX('CURVA PREVISION'!$A$1:$KZ$3000,$C55,11+3*MIN(O$3,$D$2-1)))))</f>
        <v>0</v>
      </c>
      <c r="P55" s="131" t="n">
        <f aca="false">IF(OR($C55="",$B$2="",$D$2=0),0,IF(P$3&lt;0,0,N(INDEX('CURVA PREVISION'!$A$1:$KZ$3000,$C55,11+3*MIN(P$3,$D$2-1)))))</f>
        <v>0</v>
      </c>
      <c r="Q55" s="131" t="n">
        <f aca="false">IF(OR($C55="",$B$2="",$D$2=0),0,IF(Q$3&lt;0,0,N(INDEX('CURVA PREVISION'!$A$1:$KZ$3000,$C55,11+3*MIN(Q$3,$D$2-1)))))</f>
        <v>0</v>
      </c>
      <c r="R55" s="131" t="n">
        <f aca="false">IF(OR($C55="",$B$2="",$D$2=0),0,IF(R$3&lt;0,0,N(INDEX('CURVA PREVISION'!$A$1:$KZ$3000,$C55,11+3*MIN(R$3,$D$2-1)))))</f>
        <v>0</v>
      </c>
      <c r="S55" s="131" t="n">
        <f aca="false">IF(OR($C55="",$B$2="",$D$2=0),0,IF(S$3&lt;0,0,N(INDEX('CURVA PREVISION'!$A$1:$KZ$3000,$C55,11+3*MIN(S$3,$D$2-1)))))</f>
        <v>0</v>
      </c>
      <c r="T55" s="131" t="n">
        <f aca="false">IF(OR($C55="",$B$2="",$D$2=0),0,IF(T$3&lt;0,0,N(INDEX('CURVA PREVISION'!$A$1:$KZ$3000,$C55,11+3*MIN(T$3,$D$2-1)))))</f>
        <v>0</v>
      </c>
      <c r="U55" s="131" t="n">
        <f aca="false">IF(OR($C55="",$B$2="",$D$2=0),0,IF(U$3&lt;0,0,N(INDEX('CURVA PREVISION'!$A$1:$KZ$3000,$C55,11+3*MIN(U$3,$D$2-1)))))</f>
        <v>0</v>
      </c>
      <c r="V55" s="131" t="n">
        <f aca="false">IF(OR($C55="",$B$2="",$D$2=0),0,IF(V$3&lt;0,0,N(INDEX('CURVA PREVISION'!$A$1:$KZ$3000,$C55,11+3*MIN(V$3,$D$2-1)))))</f>
        <v>0</v>
      </c>
      <c r="W55" s="131" t="n">
        <f aca="false">IF(OR($C55="",$B$2="",$D$2=0),0,IF(W$3&lt;0,0,N(INDEX('CURVA PREVISION'!$A$1:$KZ$3000,$C55,11+3*MIN(W$3,$D$2-1)))))</f>
        <v>0</v>
      </c>
      <c r="X55" s="131" t="n">
        <f aca="false">IF(OR($C55="",$B$2="",$D$2=0),0,IF(X$3&lt;0,0,N(INDEX('CURVA PREVISION'!$A$1:$KZ$3000,$C55,11+3*MIN(X$3,$D$2-1)))))</f>
        <v>0</v>
      </c>
      <c r="Y55" s="131" t="n">
        <f aca="false">IF(OR($C55="",$B$2="",$D$2=0),0,IF(Y$3&lt;0,0,N(INDEX('CURVA PREVISION'!$A$1:$KZ$3000,$C55,11+3*MIN(Y$3,$D$2-1)))))</f>
        <v>0</v>
      </c>
      <c r="Z55" s="131" t="n">
        <f aca="false">IF(OR($C55="",$B$2="",$D$2=0),0,IF(Z$3&lt;0,0,N(INDEX('CURVA PREVISION'!$A$1:$KZ$3000,$C55,11+3*MIN(Z$3,$D$2-1)))))</f>
        <v>0</v>
      </c>
      <c r="AA55" s="131" t="n">
        <f aca="false">IF(OR($C55="",$B$2="",$D$2=0),0,IF(AA$3&lt;0,0,N(INDEX('CURVA PREVISION'!$A$1:$KZ$3000,$C55,11+3*MIN(AA$3,$D$2-1)))))</f>
        <v>0</v>
      </c>
      <c r="AB55" s="131" t="n">
        <f aca="false">IF(OR($C55="",$B$2="",$D$2=0),0,IF(AB$3&lt;0,0,N(INDEX('CURVA PREVISION'!$A$1:$KZ$3000,$C55,11+3*MIN(AB$3,$D$2-1)))))</f>
        <v>0</v>
      </c>
      <c r="AC55" s="131" t="n">
        <f aca="false">IF(OR($C55="",$B$2="",$D$2=0),0,IF(AC$3&lt;0,0,N(INDEX('CURVA PREVISION'!$A$1:$KZ$3000,$C55,11+3*MIN(AC$3,$D$2-1)))))</f>
        <v>0</v>
      </c>
      <c r="AD55" s="131" t="n">
        <f aca="false">IF(OR($C55="",$B$2="",$D$2=0),0,IF(AD$3&lt;0,0,N(INDEX('CURVA PREVISION'!$A$1:$KZ$3000,$C55,11+3*MIN(AD$3,$D$2-1)))))</f>
        <v>0</v>
      </c>
      <c r="AE55" s="131" t="n">
        <f aca="false">IF(OR($C55="",$B$2="",$D$2=0),0,IF(AE$3&lt;0,0,N(INDEX('CURVA PREVISION'!$A$1:$KZ$3000,$C55,11+3*MIN(AE$3,$D$2-1)))))</f>
        <v>0</v>
      </c>
      <c r="AF55" s="131" t="n">
        <f aca="false">IF(OR($C55="",$B$2="",$D$2=0),0,IF(AF$3&lt;0,0,N(INDEX('CURVA PREVISION'!$A$1:$KZ$3000,$C55,11+3*MIN(AF$3,$D$2-1)))))</f>
        <v>0</v>
      </c>
      <c r="AG55" s="131" t="n">
        <f aca="false">IF(OR($C55="",$B$2="",$D$2=0),0,IF(AG$3&lt;0,0,N(INDEX('CURVA PREVISION'!$A$1:$KZ$3000,$C55,11+3*MIN(AG$3,$D$2-1)))))</f>
        <v>0</v>
      </c>
      <c r="AH55" s="131" t="n">
        <f aca="false">IF(OR($C55="",$B$2="",$D$2=0),0,IF(AH$3&lt;0,0,N(INDEX('CURVA PREVISION'!$A$1:$KZ$3000,$C55,11+3*MIN(AH$3,$D$2-1)))))</f>
        <v>0</v>
      </c>
      <c r="AI55" s="131" t="n">
        <f aca="false">IF(OR($C55="",$B$2="",$D$2=0),0,IF(AI$3&lt;0,0,N(INDEX('CURVA PREVISION'!$A$1:$KZ$3000,$C55,11+3*MIN(AI$3,$D$2-1)))))</f>
        <v>0</v>
      </c>
      <c r="AJ55" s="131" t="n">
        <f aca="false">IF(OR($C55="",$B$2="",$D$2=0),0,IF(AJ$3&lt;0,0,N(INDEX('CURVA PREVISION'!$A$1:$KZ$3000,$C55,11+3*MIN(AJ$3,$D$2-1)))))</f>
        <v>0</v>
      </c>
      <c r="AK55" s="131" t="n">
        <f aca="false">IF(OR($C55="",$B$2="",$D$2=0),0,IF(AK$3&lt;0,0,N(INDEX('CURVA PREVISION'!$A$1:$KZ$3000,$C55,11+3*MIN(AK$3,$D$2-1)))))</f>
        <v>0</v>
      </c>
      <c r="AL55" s="131" t="n">
        <f aca="false">IF(OR($C55="",$B$2="",$D$2=0),0,IF(AL$3&lt;0,0,N(INDEX('CURVA PREVISION'!$A$1:$KZ$3000,$C55,11+3*MIN(AL$3,$D$2-1)))))</f>
        <v>0</v>
      </c>
      <c r="AM55" s="131" t="n">
        <f aca="false">IF(OR($C55="",$B$2="",$D$2=0),0,IF(AM$3&lt;0,0,N(INDEX('CURVA PREVISION'!$A$1:$KZ$3000,$C55,11+3*MIN(AM$3,$D$2-1)))))</f>
        <v>0</v>
      </c>
      <c r="AN55" s="131" t="n">
        <f aca="false">IF(OR($C55="",$B$2="",$D$2=0),0,IF(AN$3&lt;0,0,N(INDEX('CURVA PREVISION'!$A$1:$KZ$3000,$C55,11+3*MIN(AN$3,$D$2-1)))))</f>
        <v>0</v>
      </c>
      <c r="AO55" s="131" t="n">
        <f aca="false">IF(OR($C55="",$B$2="",$D$2=0),0,IF(AO$3&lt;0,0,N(INDEX('CURVA PREVISION'!$A$1:$KZ$3000,$C55,11+3*MIN(AO$3,$D$2-1)))))</f>
        <v>0</v>
      </c>
      <c r="AP55" s="131" t="n">
        <f aca="false">IF(OR($C55="",$B$2="",$D$2=0),0,IF(AP$3&lt;0,0,N(INDEX('CURVA PREVISION'!$A$1:$KZ$3000,$C55,11+3*MIN(AP$3,$D$2-1)))))</f>
        <v>0</v>
      </c>
      <c r="AQ55" s="131" t="n">
        <f aca="false">IF(OR($C55="",$B$2="",$D$2=0),0,IF(AQ$3&lt;0,0,N(INDEX('CURVA PREVISION'!$A$1:$KZ$3000,$C55,11+3*MIN(AQ$3,$D$2-1)))))</f>
        <v>0</v>
      </c>
      <c r="AR55" s="131" t="n">
        <f aca="false">IF(OR($C55="",$B$2="",$D$2=0),0,IF(AR$3&lt;0,0,N(INDEX('CURVA PREVISION'!$A$1:$KZ$3000,$C55,11+3*MIN(AR$3,$D$2-1)))))</f>
        <v>0</v>
      </c>
      <c r="AS55" s="131" t="n">
        <f aca="false">IF(OR($C55="",$B$2="",$D$2=0),0,IF(AS$3&lt;0,0,N(INDEX('CURVA PREVISION'!$A$1:$KZ$3000,$C55,11+3*MIN(AS$3,$D$2-1)))))</f>
        <v>0</v>
      </c>
      <c r="AT55" s="131" t="n">
        <f aca="false">IF(OR($C55="",$B$2="",$D$2=0),0,IF(AT$3&lt;0,0,N(INDEX('CURVA PREVISION'!$A$1:$KZ$3000,$C55,11+3*MIN(AT$3,$D$2-1)))))</f>
        <v>0</v>
      </c>
      <c r="AU55" s="131" t="n">
        <f aca="false">IF(OR($C55="",$B$2="",$D$2=0),0,IF(AU$3&lt;0,0,N(INDEX('CURVA PREVISION'!$A$1:$KZ$3000,$C55,11+3*MIN(AU$3,$D$2-1)))))</f>
        <v>0</v>
      </c>
      <c r="AV55" s="131" t="n">
        <f aca="false">IF(OR($C55="",$B$2="",$D$2=0),0,IF(AV$3&lt;0,0,N(INDEX('CURVA PREVISION'!$A$1:$KZ$3000,$C55,11+3*MIN(AV$3,$D$2-1)))))</f>
        <v>0</v>
      </c>
      <c r="AW55" s="131" t="n">
        <f aca="false">IF(OR($C55="",$B$2="",$D$2=0),0,IF(AW$3&lt;0,0,N(INDEX('CURVA PREVISION'!$A$1:$KZ$3000,$C55,11+3*MIN(AW$3,$D$2-1)))))</f>
        <v>0</v>
      </c>
      <c r="AX55" s="131" t="n">
        <f aca="false">IF(OR($C55="",$B$2="",$D$2=0),0,IF(AX$3&lt;0,0,N(INDEX('CURVA PREVISION'!$A$1:$KZ$3000,$C55,11+3*MIN(AX$3,$D$2-1)))))</f>
        <v>0</v>
      </c>
      <c r="AY55" s="131" t="n">
        <f aca="false">IF(OR($C55="",$B$2="",$D$2=0),0,IF(AY$3&lt;0,0,N(INDEX('CURVA PREVISION'!$A$1:$KZ$3000,$C55,11+3*MIN(AY$3,$D$2-1)))))</f>
        <v>0</v>
      </c>
      <c r="AZ55" s="131" t="n">
        <f aca="false">IF(OR($C55="",$B$2="",$D$2=0),0,IF(AZ$3&lt;0,0,N(INDEX('CURVA PREVISION'!$A$1:$KZ$3000,$C55,11+3*MIN(AZ$3,$D$2-1)))))</f>
        <v>0</v>
      </c>
      <c r="BA55" s="131" t="n">
        <f aca="false">IF(OR($C55="",$B$2="",$D$2=0),0,IF(BA$3&lt;0,0,N(INDEX('CURVA PREVISION'!$A$1:$KZ$3000,$C55,11+3*MIN(BA$3,$D$2-1)))))</f>
        <v>0</v>
      </c>
      <c r="BB55" s="131" t="n">
        <f aca="false">IF(OR($C55="",$B$2="",$D$2=0),0,IF(BB$3&lt;0,0,N(INDEX('CURVA PREVISION'!$A$1:$KZ$3000,$C55,11+3*MIN(BB$3,$D$2-1)))))</f>
        <v>0</v>
      </c>
      <c r="BC55" s="131" t="n">
        <f aca="false">IF(OR($C55="",$B$2="",$D$2=0),0,IF(BC$3&lt;0,0,N(INDEX('CURVA PREVISION'!$A$1:$KZ$3000,$C55,11+3*MIN(BC$3,$D$2-1)))))</f>
        <v>0</v>
      </c>
      <c r="BD55" s="131" t="n">
        <f aca="false">IF(OR($C55="",$B$2="",$D$2=0),0,IF(BD$3&lt;0,0,N(INDEX('CURVA PREVISION'!$A$1:$KZ$3000,$C55,11+3*MIN(BD$3,$D$2-1)))))</f>
        <v>0</v>
      </c>
      <c r="BE55" s="131" t="n">
        <f aca="false">IF(OR($C55="",$B$2="",$D$2=0),0,IF(BE$3&lt;0,0,N(INDEX('CURVA PREVISION'!$A$1:$KZ$3000,$C55,11+3*MIN(BE$3,$D$2-1)))))</f>
        <v>0</v>
      </c>
      <c r="BF55" s="131" t="n">
        <f aca="false">IF(OR($C55="",$B$2="",$D$2=0),0,IF(BF$3&lt;0,0,N(INDEX('CURVA PREVISION'!$A$1:$KZ$3000,$C55,11+3*MIN(BF$3,$D$2-1)))))</f>
        <v>0</v>
      </c>
      <c r="BG55" s="131" t="n">
        <f aca="false">IF(OR($C55="",$B$2="",$D$2=0),0,IF(BG$3&lt;0,0,N(INDEX('CURVA PREVISION'!$A$1:$KZ$3000,$C55,11+3*MIN(BG$3,$D$2-1)))))</f>
        <v>0</v>
      </c>
      <c r="BH55" s="131" t="n">
        <f aca="false">IF(OR($C55="",$B$2="",$D$2=0),0,IF(BH$3&lt;0,0,N(INDEX('CURVA PREVISION'!$A$1:$KZ$3000,$C55,11+3*MIN(BH$3,$D$2-1)))))</f>
        <v>0</v>
      </c>
      <c r="BI55" s="131" t="n">
        <f aca="false">IF(OR($C55="",$B$2="",$D$2=0),0,IF(BI$3&lt;0,0,N(INDEX('CURVA PREVISION'!$A$1:$KZ$3000,$C55,11+3*MIN(BI$3,$D$2-1)))))</f>
        <v>0</v>
      </c>
      <c r="BJ55" s="131" t="n">
        <f aca="false">IF(OR($C55="",$B$2="",$D$2=0),0,IF(BJ$3&lt;0,0,N(INDEX('CURVA PREVISION'!$A$1:$KZ$3000,$C55,11+3*MIN(BJ$3,$D$2-1)))))</f>
        <v>0</v>
      </c>
      <c r="BK55" s="131" t="n">
        <f aca="false">IF(OR($C55="",$B$2="",$D$2=0),0,IF(BK$3&lt;0,0,N(INDEX('CURVA PREVISION'!$A$1:$KZ$3000,$C55,11+3*MIN(BK$3,$D$2-1)))))</f>
        <v>0</v>
      </c>
      <c r="BL55" s="131" t="n">
        <f aca="false">IF(OR($C55="",$B$2="",$D$2=0),0,IF(BL$3&lt;0,0,N(INDEX('CURVA PREVISION'!$A$1:$KZ$3000,$C55,11+3*MIN(BL$3,$D$2-1)))))</f>
        <v>0</v>
      </c>
      <c r="BM55" s="131" t="n">
        <f aca="false">IF(OR($C55="",$B$2="",$D$2=0),0,IF(BM$3&lt;0,0,N(INDEX('CURVA PREVISION'!$A$1:$KZ$3000,$C55,11+3*MIN(BM$3,$D$2-1)))))</f>
        <v>0</v>
      </c>
      <c r="BN55" s="131" t="n">
        <f aca="false">IF(OR($C55="",$B$2="",$D$2=0),0,IF(BN$3&lt;0,0,N(INDEX('CURVA PREVISION'!$A$1:$KZ$3000,$C55,11+3*MIN(BN$3,$D$2-1)))))</f>
        <v>0</v>
      </c>
      <c r="BO55" s="131" t="n">
        <f aca="false">IF(OR($C55="",$B$2="",$D$2=0),0,IF(BO$3&lt;0,0,N(INDEX('CURVA PREVISION'!$A$1:$KZ$3000,$C55,11+3*MIN(BO$3,$D$2-1)))))</f>
        <v>0</v>
      </c>
      <c r="BP55" s="131" t="n">
        <f aca="false">IF(OR($C55="",$B$2="",$D$2=0),0,IF(BP$3&lt;0,0,N(INDEX('CURVA PREVISION'!$A$1:$KZ$3000,$C55,11+3*MIN(BP$3,$D$2-1)))))</f>
        <v>0</v>
      </c>
      <c r="BQ55" s="131" t="n">
        <f aca="false">IF(OR($C55="",$B$2="",$D$2=0),0,IF(BQ$3&lt;0,0,N(INDEX('CURVA PREVISION'!$A$1:$KZ$3000,$C55,11+3*MIN(BQ$3,$D$2-1)))))</f>
        <v>0</v>
      </c>
      <c r="BR55" s="131" t="n">
        <f aca="false">IF(OR($C55="",$B$2="",$D$2=0),0,IF(BR$3&lt;0,0,N(INDEX('CURVA PREVISION'!$A$1:$KZ$3000,$C55,11+3*MIN(BR$3,$D$2-1)))))</f>
        <v>0</v>
      </c>
      <c r="BS55" s="131" t="n">
        <f aca="false">IF(OR($C55="",$B$2="",$D$2=0),0,IF(BS$3&lt;0,0,N(INDEX('CURVA PREVISION'!$A$1:$KZ$3000,$C55,11+3*MIN(BS$3,$D$2-1)))))</f>
        <v>0</v>
      </c>
      <c r="BT55" s="131" t="n">
        <f aca="false">IF(OR($C55="",$B$2="",$D$2=0),0,IF(BT$3&lt;0,0,N(INDEX('CURVA PREVISION'!$A$1:$KZ$3000,$C55,11+3*MIN(BT$3,$D$2-1)))))</f>
        <v>0</v>
      </c>
      <c r="BU55" s="131" t="n">
        <f aca="false">IF(OR($C55="",$B$2="",$D$2=0),0,IF(BU$3&lt;0,0,N(INDEX('CURVA PREVISION'!$A$1:$KZ$3000,$C55,11+3*MIN(BU$3,$D$2-1)))))</f>
        <v>0</v>
      </c>
      <c r="BV55" s="131" t="n">
        <f aca="false">IF(OR($C55="",$B$2="",$D$2=0),0,IF(BV$3&lt;0,0,N(INDEX('CURVA PREVISION'!$A$1:$KZ$3000,$C55,11+3*MIN(BV$3,$D$2-1)))))</f>
        <v>0</v>
      </c>
      <c r="BW55" s="131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116</v>
      </c>
      <c r="D56" s="131" t="n">
        <f aca="false">IF(OR($C56="",$B$2="",$D$2=0),0,IF(D$3&lt;0,0,N(INDEX('CURVA PREVISION'!$A$1:$KZ$3000,$C56,11+3*MIN(D$3,$D$2-1)))))</f>
        <v>0</v>
      </c>
      <c r="E56" s="131" t="n">
        <f aca="false">IF(OR($C56="",$B$2="",$D$2=0),0,IF(E$3&lt;0,0,N(INDEX('CURVA PREVISION'!$A$1:$KZ$3000,$C56,11+3*MIN(E$3,$D$2-1)))))</f>
        <v>0</v>
      </c>
      <c r="F56" s="131" t="n">
        <f aca="false">IF(OR($C56="",$B$2="",$D$2=0),0,IF(F$3&lt;0,0,N(INDEX('CURVA PREVISION'!$A$1:$KZ$3000,$C56,11+3*MIN(F$3,$D$2-1)))))</f>
        <v>0</v>
      </c>
      <c r="G56" s="131" t="n">
        <f aca="false">IF(OR($C56="",$B$2="",$D$2=0),0,IF(G$3&lt;0,0,N(INDEX('CURVA PREVISION'!$A$1:$KZ$3000,$C56,11+3*MIN(G$3,$D$2-1)))))</f>
        <v>0</v>
      </c>
      <c r="H56" s="131" t="n">
        <f aca="false">IF(OR($C56="",$B$2="",$D$2=0),0,IF(H$3&lt;0,0,N(INDEX('CURVA PREVISION'!$A$1:$KZ$3000,$C56,11+3*MIN(H$3,$D$2-1)))))</f>
        <v>0</v>
      </c>
      <c r="I56" s="131" t="n">
        <f aca="false">IF(OR($C56="",$B$2="",$D$2=0),0,IF(I$3&lt;0,0,N(INDEX('CURVA PREVISION'!$A$1:$KZ$3000,$C56,11+3*MIN(I$3,$D$2-1)))))</f>
        <v>0</v>
      </c>
      <c r="J56" s="131" t="n">
        <f aca="false">IF(OR($C56="",$B$2="",$D$2=0),0,IF(J$3&lt;0,0,N(INDEX('CURVA PREVISION'!$A$1:$KZ$3000,$C56,11+3*MIN(J$3,$D$2-1)))))</f>
        <v>0</v>
      </c>
      <c r="K56" s="131" t="n">
        <f aca="false">IF(OR($C56="",$B$2="",$D$2=0),0,IF(K$3&lt;0,0,N(INDEX('CURVA PREVISION'!$A$1:$KZ$3000,$C56,11+3*MIN(K$3,$D$2-1)))))</f>
        <v>0</v>
      </c>
      <c r="L56" s="131" t="n">
        <f aca="false">IF(OR($C56="",$B$2="",$D$2=0),0,IF(L$3&lt;0,0,N(INDEX('CURVA PREVISION'!$A$1:$KZ$3000,$C56,11+3*MIN(L$3,$D$2-1)))))</f>
        <v>0</v>
      </c>
      <c r="M56" s="131" t="n">
        <f aca="false">IF(OR($C56="",$B$2="",$D$2=0),0,IF(M$3&lt;0,0,N(INDEX('CURVA PREVISION'!$A$1:$KZ$3000,$C56,11+3*MIN(M$3,$D$2-1)))))</f>
        <v>0</v>
      </c>
      <c r="N56" s="131" t="n">
        <f aca="false">IF(OR($C56="",$B$2="",$D$2=0),0,IF(N$3&lt;0,0,N(INDEX('CURVA PREVISION'!$A$1:$KZ$3000,$C56,11+3*MIN(N$3,$D$2-1)))))</f>
        <v>0</v>
      </c>
      <c r="O56" s="131" t="n">
        <f aca="false">IF(OR($C56="",$B$2="",$D$2=0),0,IF(O$3&lt;0,0,N(INDEX('CURVA PREVISION'!$A$1:$KZ$3000,$C56,11+3*MIN(O$3,$D$2-1)))))</f>
        <v>0</v>
      </c>
      <c r="P56" s="131" t="n">
        <f aca="false">IF(OR($C56="",$B$2="",$D$2=0),0,IF(P$3&lt;0,0,N(INDEX('CURVA PREVISION'!$A$1:$KZ$3000,$C56,11+3*MIN(P$3,$D$2-1)))))</f>
        <v>0</v>
      </c>
      <c r="Q56" s="131" t="n">
        <f aca="false">IF(OR($C56="",$B$2="",$D$2=0),0,IF(Q$3&lt;0,0,N(INDEX('CURVA PREVISION'!$A$1:$KZ$3000,$C56,11+3*MIN(Q$3,$D$2-1)))))</f>
        <v>0</v>
      </c>
      <c r="R56" s="131" t="n">
        <f aca="false">IF(OR($C56="",$B$2="",$D$2=0),0,IF(R$3&lt;0,0,N(INDEX('CURVA PREVISION'!$A$1:$KZ$3000,$C56,11+3*MIN(R$3,$D$2-1)))))</f>
        <v>0</v>
      </c>
      <c r="S56" s="131" t="n">
        <f aca="false">IF(OR($C56="",$B$2="",$D$2=0),0,IF(S$3&lt;0,0,N(INDEX('CURVA PREVISION'!$A$1:$KZ$3000,$C56,11+3*MIN(S$3,$D$2-1)))))</f>
        <v>0</v>
      </c>
      <c r="T56" s="131" t="n">
        <f aca="false">IF(OR($C56="",$B$2="",$D$2=0),0,IF(T$3&lt;0,0,N(INDEX('CURVA PREVISION'!$A$1:$KZ$3000,$C56,11+3*MIN(T$3,$D$2-1)))))</f>
        <v>0</v>
      </c>
      <c r="U56" s="131" t="n">
        <f aca="false">IF(OR($C56="",$B$2="",$D$2=0),0,IF(U$3&lt;0,0,N(INDEX('CURVA PREVISION'!$A$1:$KZ$3000,$C56,11+3*MIN(U$3,$D$2-1)))))</f>
        <v>0</v>
      </c>
      <c r="V56" s="131" t="n">
        <f aca="false">IF(OR($C56="",$B$2="",$D$2=0),0,IF(V$3&lt;0,0,N(INDEX('CURVA PREVISION'!$A$1:$KZ$3000,$C56,11+3*MIN(V$3,$D$2-1)))))</f>
        <v>0</v>
      </c>
      <c r="W56" s="131" t="n">
        <f aca="false">IF(OR($C56="",$B$2="",$D$2=0),0,IF(W$3&lt;0,0,N(INDEX('CURVA PREVISION'!$A$1:$KZ$3000,$C56,11+3*MIN(W$3,$D$2-1)))))</f>
        <v>0</v>
      </c>
      <c r="X56" s="131" t="n">
        <f aca="false">IF(OR($C56="",$B$2="",$D$2=0),0,IF(X$3&lt;0,0,N(INDEX('CURVA PREVISION'!$A$1:$KZ$3000,$C56,11+3*MIN(X$3,$D$2-1)))))</f>
        <v>0</v>
      </c>
      <c r="Y56" s="131" t="n">
        <f aca="false">IF(OR($C56="",$B$2="",$D$2=0),0,IF(Y$3&lt;0,0,N(INDEX('CURVA PREVISION'!$A$1:$KZ$3000,$C56,11+3*MIN(Y$3,$D$2-1)))))</f>
        <v>0</v>
      </c>
      <c r="Z56" s="131" t="n">
        <f aca="false">IF(OR($C56="",$B$2="",$D$2=0),0,IF(Z$3&lt;0,0,N(INDEX('CURVA PREVISION'!$A$1:$KZ$3000,$C56,11+3*MIN(Z$3,$D$2-1)))))</f>
        <v>0</v>
      </c>
      <c r="AA56" s="131" t="n">
        <f aca="false">IF(OR($C56="",$B$2="",$D$2=0),0,IF(AA$3&lt;0,0,N(INDEX('CURVA PREVISION'!$A$1:$KZ$3000,$C56,11+3*MIN(AA$3,$D$2-1)))))</f>
        <v>0</v>
      </c>
      <c r="AB56" s="131" t="n">
        <f aca="false">IF(OR($C56="",$B$2="",$D$2=0),0,IF(AB$3&lt;0,0,N(INDEX('CURVA PREVISION'!$A$1:$KZ$3000,$C56,11+3*MIN(AB$3,$D$2-1)))))</f>
        <v>0</v>
      </c>
      <c r="AC56" s="131" t="n">
        <f aca="false">IF(OR($C56="",$B$2="",$D$2=0),0,IF(AC$3&lt;0,0,N(INDEX('CURVA PREVISION'!$A$1:$KZ$3000,$C56,11+3*MIN(AC$3,$D$2-1)))))</f>
        <v>0</v>
      </c>
      <c r="AD56" s="131" t="n">
        <f aca="false">IF(OR($C56="",$B$2="",$D$2=0),0,IF(AD$3&lt;0,0,N(INDEX('CURVA PREVISION'!$A$1:$KZ$3000,$C56,11+3*MIN(AD$3,$D$2-1)))))</f>
        <v>0</v>
      </c>
      <c r="AE56" s="131" t="n">
        <f aca="false">IF(OR($C56="",$B$2="",$D$2=0),0,IF(AE$3&lt;0,0,N(INDEX('CURVA PREVISION'!$A$1:$KZ$3000,$C56,11+3*MIN(AE$3,$D$2-1)))))</f>
        <v>0</v>
      </c>
      <c r="AF56" s="131" t="n">
        <f aca="false">IF(OR($C56="",$B$2="",$D$2=0),0,IF(AF$3&lt;0,0,N(INDEX('CURVA PREVISION'!$A$1:$KZ$3000,$C56,11+3*MIN(AF$3,$D$2-1)))))</f>
        <v>0</v>
      </c>
      <c r="AG56" s="131" t="n">
        <f aca="false">IF(OR($C56="",$B$2="",$D$2=0),0,IF(AG$3&lt;0,0,N(INDEX('CURVA PREVISION'!$A$1:$KZ$3000,$C56,11+3*MIN(AG$3,$D$2-1)))))</f>
        <v>0</v>
      </c>
      <c r="AH56" s="131" t="n">
        <f aca="false">IF(OR($C56="",$B$2="",$D$2=0),0,IF(AH$3&lt;0,0,N(INDEX('CURVA PREVISION'!$A$1:$KZ$3000,$C56,11+3*MIN(AH$3,$D$2-1)))))</f>
        <v>0</v>
      </c>
      <c r="AI56" s="131" t="n">
        <f aca="false">IF(OR($C56="",$B$2="",$D$2=0),0,IF(AI$3&lt;0,0,N(INDEX('CURVA PREVISION'!$A$1:$KZ$3000,$C56,11+3*MIN(AI$3,$D$2-1)))))</f>
        <v>0</v>
      </c>
      <c r="AJ56" s="131" t="n">
        <f aca="false">IF(OR($C56="",$B$2="",$D$2=0),0,IF(AJ$3&lt;0,0,N(INDEX('CURVA PREVISION'!$A$1:$KZ$3000,$C56,11+3*MIN(AJ$3,$D$2-1)))))</f>
        <v>0</v>
      </c>
      <c r="AK56" s="131" t="n">
        <f aca="false">IF(OR($C56="",$B$2="",$D$2=0),0,IF(AK$3&lt;0,0,N(INDEX('CURVA PREVISION'!$A$1:$KZ$3000,$C56,11+3*MIN(AK$3,$D$2-1)))))</f>
        <v>0</v>
      </c>
      <c r="AL56" s="131" t="n">
        <f aca="false">IF(OR($C56="",$B$2="",$D$2=0),0,IF(AL$3&lt;0,0,N(INDEX('CURVA PREVISION'!$A$1:$KZ$3000,$C56,11+3*MIN(AL$3,$D$2-1)))))</f>
        <v>0</v>
      </c>
      <c r="AM56" s="131" t="n">
        <f aca="false">IF(OR($C56="",$B$2="",$D$2=0),0,IF(AM$3&lt;0,0,N(INDEX('CURVA PREVISION'!$A$1:$KZ$3000,$C56,11+3*MIN(AM$3,$D$2-1)))))</f>
        <v>0</v>
      </c>
      <c r="AN56" s="131" t="n">
        <f aca="false">IF(OR($C56="",$B$2="",$D$2=0),0,IF(AN$3&lt;0,0,N(INDEX('CURVA PREVISION'!$A$1:$KZ$3000,$C56,11+3*MIN(AN$3,$D$2-1)))))</f>
        <v>0</v>
      </c>
      <c r="AO56" s="131" t="n">
        <f aca="false">IF(OR($C56="",$B$2="",$D$2=0),0,IF(AO$3&lt;0,0,N(INDEX('CURVA PREVISION'!$A$1:$KZ$3000,$C56,11+3*MIN(AO$3,$D$2-1)))))</f>
        <v>0</v>
      </c>
      <c r="AP56" s="131" t="n">
        <f aca="false">IF(OR($C56="",$B$2="",$D$2=0),0,IF(AP$3&lt;0,0,N(INDEX('CURVA PREVISION'!$A$1:$KZ$3000,$C56,11+3*MIN(AP$3,$D$2-1)))))</f>
        <v>0</v>
      </c>
      <c r="AQ56" s="131" t="n">
        <f aca="false">IF(OR($C56="",$B$2="",$D$2=0),0,IF(AQ$3&lt;0,0,N(INDEX('CURVA PREVISION'!$A$1:$KZ$3000,$C56,11+3*MIN(AQ$3,$D$2-1)))))</f>
        <v>0</v>
      </c>
      <c r="AR56" s="131" t="n">
        <f aca="false">IF(OR($C56="",$B$2="",$D$2=0),0,IF(AR$3&lt;0,0,N(INDEX('CURVA PREVISION'!$A$1:$KZ$3000,$C56,11+3*MIN(AR$3,$D$2-1)))))</f>
        <v>0</v>
      </c>
      <c r="AS56" s="131" t="n">
        <f aca="false">IF(OR($C56="",$B$2="",$D$2=0),0,IF(AS$3&lt;0,0,N(INDEX('CURVA PREVISION'!$A$1:$KZ$3000,$C56,11+3*MIN(AS$3,$D$2-1)))))</f>
        <v>0</v>
      </c>
      <c r="AT56" s="131" t="n">
        <f aca="false">IF(OR($C56="",$B$2="",$D$2=0),0,IF(AT$3&lt;0,0,N(INDEX('CURVA PREVISION'!$A$1:$KZ$3000,$C56,11+3*MIN(AT$3,$D$2-1)))))</f>
        <v>0</v>
      </c>
      <c r="AU56" s="131" t="n">
        <f aca="false">IF(OR($C56="",$B$2="",$D$2=0),0,IF(AU$3&lt;0,0,N(INDEX('CURVA PREVISION'!$A$1:$KZ$3000,$C56,11+3*MIN(AU$3,$D$2-1)))))</f>
        <v>0</v>
      </c>
      <c r="AV56" s="131" t="n">
        <f aca="false">IF(OR($C56="",$B$2="",$D$2=0),0,IF(AV$3&lt;0,0,N(INDEX('CURVA PREVISION'!$A$1:$KZ$3000,$C56,11+3*MIN(AV$3,$D$2-1)))))</f>
        <v>0</v>
      </c>
      <c r="AW56" s="131" t="n">
        <f aca="false">IF(OR($C56="",$B$2="",$D$2=0),0,IF(AW$3&lt;0,0,N(INDEX('CURVA PREVISION'!$A$1:$KZ$3000,$C56,11+3*MIN(AW$3,$D$2-1)))))</f>
        <v>0</v>
      </c>
      <c r="AX56" s="131" t="n">
        <f aca="false">IF(OR($C56="",$B$2="",$D$2=0),0,IF(AX$3&lt;0,0,N(INDEX('CURVA PREVISION'!$A$1:$KZ$3000,$C56,11+3*MIN(AX$3,$D$2-1)))))</f>
        <v>0</v>
      </c>
      <c r="AY56" s="131" t="n">
        <f aca="false">IF(OR($C56="",$B$2="",$D$2=0),0,IF(AY$3&lt;0,0,N(INDEX('CURVA PREVISION'!$A$1:$KZ$3000,$C56,11+3*MIN(AY$3,$D$2-1)))))</f>
        <v>0</v>
      </c>
      <c r="AZ56" s="131" t="n">
        <f aca="false">IF(OR($C56="",$B$2="",$D$2=0),0,IF(AZ$3&lt;0,0,N(INDEX('CURVA PREVISION'!$A$1:$KZ$3000,$C56,11+3*MIN(AZ$3,$D$2-1)))))</f>
        <v>0</v>
      </c>
      <c r="BA56" s="131" t="n">
        <f aca="false">IF(OR($C56="",$B$2="",$D$2=0),0,IF(BA$3&lt;0,0,N(INDEX('CURVA PREVISION'!$A$1:$KZ$3000,$C56,11+3*MIN(BA$3,$D$2-1)))))</f>
        <v>0</v>
      </c>
      <c r="BB56" s="131" t="n">
        <f aca="false">IF(OR($C56="",$B$2="",$D$2=0),0,IF(BB$3&lt;0,0,N(INDEX('CURVA PREVISION'!$A$1:$KZ$3000,$C56,11+3*MIN(BB$3,$D$2-1)))))</f>
        <v>0</v>
      </c>
      <c r="BC56" s="131" t="n">
        <f aca="false">IF(OR($C56="",$B$2="",$D$2=0),0,IF(BC$3&lt;0,0,N(INDEX('CURVA PREVISION'!$A$1:$KZ$3000,$C56,11+3*MIN(BC$3,$D$2-1)))))</f>
        <v>0</v>
      </c>
      <c r="BD56" s="131" t="n">
        <f aca="false">IF(OR($C56="",$B$2="",$D$2=0),0,IF(BD$3&lt;0,0,N(INDEX('CURVA PREVISION'!$A$1:$KZ$3000,$C56,11+3*MIN(BD$3,$D$2-1)))))</f>
        <v>0</v>
      </c>
      <c r="BE56" s="131" t="n">
        <f aca="false">IF(OR($C56="",$B$2="",$D$2=0),0,IF(BE$3&lt;0,0,N(INDEX('CURVA PREVISION'!$A$1:$KZ$3000,$C56,11+3*MIN(BE$3,$D$2-1)))))</f>
        <v>0</v>
      </c>
      <c r="BF56" s="131" t="n">
        <f aca="false">IF(OR($C56="",$B$2="",$D$2=0),0,IF(BF$3&lt;0,0,N(INDEX('CURVA PREVISION'!$A$1:$KZ$3000,$C56,11+3*MIN(BF$3,$D$2-1)))))</f>
        <v>0</v>
      </c>
      <c r="BG56" s="131" t="n">
        <f aca="false">IF(OR($C56="",$B$2="",$D$2=0),0,IF(BG$3&lt;0,0,N(INDEX('CURVA PREVISION'!$A$1:$KZ$3000,$C56,11+3*MIN(BG$3,$D$2-1)))))</f>
        <v>0</v>
      </c>
      <c r="BH56" s="131" t="n">
        <f aca="false">IF(OR($C56="",$B$2="",$D$2=0),0,IF(BH$3&lt;0,0,N(INDEX('CURVA PREVISION'!$A$1:$KZ$3000,$C56,11+3*MIN(BH$3,$D$2-1)))))</f>
        <v>0</v>
      </c>
      <c r="BI56" s="131" t="n">
        <f aca="false">IF(OR($C56="",$B$2="",$D$2=0),0,IF(BI$3&lt;0,0,N(INDEX('CURVA PREVISION'!$A$1:$KZ$3000,$C56,11+3*MIN(BI$3,$D$2-1)))))</f>
        <v>0</v>
      </c>
      <c r="BJ56" s="131" t="n">
        <f aca="false">IF(OR($C56="",$B$2="",$D$2=0),0,IF(BJ$3&lt;0,0,N(INDEX('CURVA PREVISION'!$A$1:$KZ$3000,$C56,11+3*MIN(BJ$3,$D$2-1)))))</f>
        <v>0</v>
      </c>
      <c r="BK56" s="131" t="n">
        <f aca="false">IF(OR($C56="",$B$2="",$D$2=0),0,IF(BK$3&lt;0,0,N(INDEX('CURVA PREVISION'!$A$1:$KZ$3000,$C56,11+3*MIN(BK$3,$D$2-1)))))</f>
        <v>0</v>
      </c>
      <c r="BL56" s="131" t="n">
        <f aca="false">IF(OR($C56="",$B$2="",$D$2=0),0,IF(BL$3&lt;0,0,N(INDEX('CURVA PREVISION'!$A$1:$KZ$3000,$C56,11+3*MIN(BL$3,$D$2-1)))))</f>
        <v>0</v>
      </c>
      <c r="BM56" s="131" t="n">
        <f aca="false">IF(OR($C56="",$B$2="",$D$2=0),0,IF(BM$3&lt;0,0,N(INDEX('CURVA PREVISION'!$A$1:$KZ$3000,$C56,11+3*MIN(BM$3,$D$2-1)))))</f>
        <v>0</v>
      </c>
      <c r="BN56" s="131" t="n">
        <f aca="false">IF(OR($C56="",$B$2="",$D$2=0),0,IF(BN$3&lt;0,0,N(INDEX('CURVA PREVISION'!$A$1:$KZ$3000,$C56,11+3*MIN(BN$3,$D$2-1)))))</f>
        <v>0</v>
      </c>
      <c r="BO56" s="131" t="n">
        <f aca="false">IF(OR($C56="",$B$2="",$D$2=0),0,IF(BO$3&lt;0,0,N(INDEX('CURVA PREVISION'!$A$1:$KZ$3000,$C56,11+3*MIN(BO$3,$D$2-1)))))</f>
        <v>0</v>
      </c>
      <c r="BP56" s="131" t="n">
        <f aca="false">IF(OR($C56="",$B$2="",$D$2=0),0,IF(BP$3&lt;0,0,N(INDEX('CURVA PREVISION'!$A$1:$KZ$3000,$C56,11+3*MIN(BP$3,$D$2-1)))))</f>
        <v>0</v>
      </c>
      <c r="BQ56" s="131" t="n">
        <f aca="false">IF(OR($C56="",$B$2="",$D$2=0),0,IF(BQ$3&lt;0,0,N(INDEX('CURVA PREVISION'!$A$1:$KZ$3000,$C56,11+3*MIN(BQ$3,$D$2-1)))))</f>
        <v>0</v>
      </c>
      <c r="BR56" s="131" t="n">
        <f aca="false">IF(OR($C56="",$B$2="",$D$2=0),0,IF(BR$3&lt;0,0,N(INDEX('CURVA PREVISION'!$A$1:$KZ$3000,$C56,11+3*MIN(BR$3,$D$2-1)))))</f>
        <v>0</v>
      </c>
      <c r="BS56" s="131" t="n">
        <f aca="false">IF(OR($C56="",$B$2="",$D$2=0),0,IF(BS$3&lt;0,0,N(INDEX('CURVA PREVISION'!$A$1:$KZ$3000,$C56,11+3*MIN(BS$3,$D$2-1)))))</f>
        <v>0</v>
      </c>
      <c r="BT56" s="131" t="n">
        <f aca="false">IF(OR($C56="",$B$2="",$D$2=0),0,IF(BT$3&lt;0,0,N(INDEX('CURVA PREVISION'!$A$1:$KZ$3000,$C56,11+3*MIN(BT$3,$D$2-1)))))</f>
        <v>0</v>
      </c>
      <c r="BU56" s="131" t="n">
        <f aca="false">IF(OR($C56="",$B$2="",$D$2=0),0,IF(BU$3&lt;0,0,N(INDEX('CURVA PREVISION'!$A$1:$KZ$3000,$C56,11+3*MIN(BU$3,$D$2-1)))))</f>
        <v>0</v>
      </c>
      <c r="BV56" s="131" t="n">
        <f aca="false">IF(OR($C56="",$B$2="",$D$2=0),0,IF(BV$3&lt;0,0,N(INDEX('CURVA PREVISION'!$A$1:$KZ$3000,$C56,11+3*MIN(BV$3,$D$2-1)))))</f>
        <v>0</v>
      </c>
      <c r="BW56" s="131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161</v>
      </c>
      <c r="D57" s="131" t="n">
        <f aca="false">IF(OR($C57="",$B$2="",$D$2=0),0,IF(D$3&lt;0,0,N(INDEX('CURVA PREVISION'!$A$1:$KZ$3000,$C57,11+3*MIN(D$3,$D$2-1)))))</f>
        <v>0</v>
      </c>
      <c r="E57" s="131" t="n">
        <f aca="false">IF(OR($C57="",$B$2="",$D$2=0),0,IF(E$3&lt;0,0,N(INDEX('CURVA PREVISION'!$A$1:$KZ$3000,$C57,11+3*MIN(E$3,$D$2-1)))))</f>
        <v>0</v>
      </c>
      <c r="F57" s="131" t="n">
        <f aca="false">IF(OR($C57="",$B$2="",$D$2=0),0,IF(F$3&lt;0,0,N(INDEX('CURVA PREVISION'!$A$1:$KZ$3000,$C57,11+3*MIN(F$3,$D$2-1)))))</f>
        <v>0</v>
      </c>
      <c r="G57" s="131" t="n">
        <f aca="false">IF(OR($C57="",$B$2="",$D$2=0),0,IF(G$3&lt;0,0,N(INDEX('CURVA PREVISION'!$A$1:$KZ$3000,$C57,11+3*MIN(G$3,$D$2-1)))))</f>
        <v>0</v>
      </c>
      <c r="H57" s="131" t="n">
        <f aca="false">IF(OR($C57="",$B$2="",$D$2=0),0,IF(H$3&lt;0,0,N(INDEX('CURVA PREVISION'!$A$1:$KZ$3000,$C57,11+3*MIN(H$3,$D$2-1)))))</f>
        <v>0</v>
      </c>
      <c r="I57" s="131" t="n">
        <f aca="false">IF(OR($C57="",$B$2="",$D$2=0),0,IF(I$3&lt;0,0,N(INDEX('CURVA PREVISION'!$A$1:$KZ$3000,$C57,11+3*MIN(I$3,$D$2-1)))))</f>
        <v>0</v>
      </c>
      <c r="J57" s="131" t="n">
        <f aca="false">IF(OR($C57="",$B$2="",$D$2=0),0,IF(J$3&lt;0,0,N(INDEX('CURVA PREVISION'!$A$1:$KZ$3000,$C57,11+3*MIN(J$3,$D$2-1)))))</f>
        <v>0</v>
      </c>
      <c r="K57" s="131" t="n">
        <f aca="false">IF(OR($C57="",$B$2="",$D$2=0),0,IF(K$3&lt;0,0,N(INDEX('CURVA PREVISION'!$A$1:$KZ$3000,$C57,11+3*MIN(K$3,$D$2-1)))))</f>
        <v>0</v>
      </c>
      <c r="L57" s="131" t="n">
        <f aca="false">IF(OR($C57="",$B$2="",$D$2=0),0,IF(L$3&lt;0,0,N(INDEX('CURVA PREVISION'!$A$1:$KZ$3000,$C57,11+3*MIN(L$3,$D$2-1)))))</f>
        <v>0</v>
      </c>
      <c r="M57" s="131" t="n">
        <f aca="false">IF(OR($C57="",$B$2="",$D$2=0),0,IF(M$3&lt;0,0,N(INDEX('CURVA PREVISION'!$A$1:$KZ$3000,$C57,11+3*MIN(M$3,$D$2-1)))))</f>
        <v>0</v>
      </c>
      <c r="N57" s="131" t="n">
        <f aca="false">IF(OR($C57="",$B$2="",$D$2=0),0,IF(N$3&lt;0,0,N(INDEX('CURVA PREVISION'!$A$1:$KZ$3000,$C57,11+3*MIN(N$3,$D$2-1)))))</f>
        <v>0</v>
      </c>
      <c r="O57" s="131" t="n">
        <f aca="false">IF(OR($C57="",$B$2="",$D$2=0),0,IF(O$3&lt;0,0,N(INDEX('CURVA PREVISION'!$A$1:$KZ$3000,$C57,11+3*MIN(O$3,$D$2-1)))))</f>
        <v>0</v>
      </c>
      <c r="P57" s="131" t="n">
        <f aca="false">IF(OR($C57="",$B$2="",$D$2=0),0,IF(P$3&lt;0,0,N(INDEX('CURVA PREVISION'!$A$1:$KZ$3000,$C57,11+3*MIN(P$3,$D$2-1)))))</f>
        <v>0</v>
      </c>
      <c r="Q57" s="131" t="n">
        <f aca="false">IF(OR($C57="",$B$2="",$D$2=0),0,IF(Q$3&lt;0,0,N(INDEX('CURVA PREVISION'!$A$1:$KZ$3000,$C57,11+3*MIN(Q$3,$D$2-1)))))</f>
        <v>0</v>
      </c>
      <c r="R57" s="131" t="n">
        <f aca="false">IF(OR($C57="",$B$2="",$D$2=0),0,IF(R$3&lt;0,0,N(INDEX('CURVA PREVISION'!$A$1:$KZ$3000,$C57,11+3*MIN(R$3,$D$2-1)))))</f>
        <v>0</v>
      </c>
      <c r="S57" s="131" t="n">
        <f aca="false">IF(OR($C57="",$B$2="",$D$2=0),0,IF(S$3&lt;0,0,N(INDEX('CURVA PREVISION'!$A$1:$KZ$3000,$C57,11+3*MIN(S$3,$D$2-1)))))</f>
        <v>0</v>
      </c>
      <c r="T57" s="131" t="n">
        <f aca="false">IF(OR($C57="",$B$2="",$D$2=0),0,IF(T$3&lt;0,0,N(INDEX('CURVA PREVISION'!$A$1:$KZ$3000,$C57,11+3*MIN(T$3,$D$2-1)))))</f>
        <v>0</v>
      </c>
      <c r="U57" s="131" t="n">
        <f aca="false">IF(OR($C57="",$B$2="",$D$2=0),0,IF(U$3&lt;0,0,N(INDEX('CURVA PREVISION'!$A$1:$KZ$3000,$C57,11+3*MIN(U$3,$D$2-1)))))</f>
        <v>0</v>
      </c>
      <c r="V57" s="131" t="n">
        <f aca="false">IF(OR($C57="",$B$2="",$D$2=0),0,IF(V$3&lt;0,0,N(INDEX('CURVA PREVISION'!$A$1:$KZ$3000,$C57,11+3*MIN(V$3,$D$2-1)))))</f>
        <v>0</v>
      </c>
      <c r="W57" s="131" t="n">
        <f aca="false">IF(OR($C57="",$B$2="",$D$2=0),0,IF(W$3&lt;0,0,N(INDEX('CURVA PREVISION'!$A$1:$KZ$3000,$C57,11+3*MIN(W$3,$D$2-1)))))</f>
        <v>0</v>
      </c>
      <c r="X57" s="131" t="n">
        <f aca="false">IF(OR($C57="",$B$2="",$D$2=0),0,IF(X$3&lt;0,0,N(INDEX('CURVA PREVISION'!$A$1:$KZ$3000,$C57,11+3*MIN(X$3,$D$2-1)))))</f>
        <v>0</v>
      </c>
      <c r="Y57" s="131" t="n">
        <f aca="false">IF(OR($C57="",$B$2="",$D$2=0),0,IF(Y$3&lt;0,0,N(INDEX('CURVA PREVISION'!$A$1:$KZ$3000,$C57,11+3*MIN(Y$3,$D$2-1)))))</f>
        <v>0</v>
      </c>
      <c r="Z57" s="131" t="n">
        <f aca="false">IF(OR($C57="",$B$2="",$D$2=0),0,IF(Z$3&lt;0,0,N(INDEX('CURVA PREVISION'!$A$1:$KZ$3000,$C57,11+3*MIN(Z$3,$D$2-1)))))</f>
        <v>0</v>
      </c>
      <c r="AA57" s="131" t="n">
        <f aca="false">IF(OR($C57="",$B$2="",$D$2=0),0,IF(AA$3&lt;0,0,N(INDEX('CURVA PREVISION'!$A$1:$KZ$3000,$C57,11+3*MIN(AA$3,$D$2-1)))))</f>
        <v>0</v>
      </c>
      <c r="AB57" s="131" t="n">
        <f aca="false">IF(OR($C57="",$B$2="",$D$2=0),0,IF(AB$3&lt;0,0,N(INDEX('CURVA PREVISION'!$A$1:$KZ$3000,$C57,11+3*MIN(AB$3,$D$2-1)))))</f>
        <v>0</v>
      </c>
      <c r="AC57" s="131" t="n">
        <f aca="false">IF(OR($C57="",$B$2="",$D$2=0),0,IF(AC$3&lt;0,0,N(INDEX('CURVA PREVISION'!$A$1:$KZ$3000,$C57,11+3*MIN(AC$3,$D$2-1)))))</f>
        <v>0</v>
      </c>
      <c r="AD57" s="131" t="n">
        <f aca="false">IF(OR($C57="",$B$2="",$D$2=0),0,IF(AD$3&lt;0,0,N(INDEX('CURVA PREVISION'!$A$1:$KZ$3000,$C57,11+3*MIN(AD$3,$D$2-1)))))</f>
        <v>0</v>
      </c>
      <c r="AE57" s="131" t="n">
        <f aca="false">IF(OR($C57="",$B$2="",$D$2=0),0,IF(AE$3&lt;0,0,N(INDEX('CURVA PREVISION'!$A$1:$KZ$3000,$C57,11+3*MIN(AE$3,$D$2-1)))))</f>
        <v>0</v>
      </c>
      <c r="AF57" s="131" t="n">
        <f aca="false">IF(OR($C57="",$B$2="",$D$2=0),0,IF(AF$3&lt;0,0,N(INDEX('CURVA PREVISION'!$A$1:$KZ$3000,$C57,11+3*MIN(AF$3,$D$2-1)))))</f>
        <v>0</v>
      </c>
      <c r="AG57" s="131" t="n">
        <f aca="false">IF(OR($C57="",$B$2="",$D$2=0),0,IF(AG$3&lt;0,0,N(INDEX('CURVA PREVISION'!$A$1:$KZ$3000,$C57,11+3*MIN(AG$3,$D$2-1)))))</f>
        <v>0</v>
      </c>
      <c r="AH57" s="131" t="n">
        <f aca="false">IF(OR($C57="",$B$2="",$D$2=0),0,IF(AH$3&lt;0,0,N(INDEX('CURVA PREVISION'!$A$1:$KZ$3000,$C57,11+3*MIN(AH$3,$D$2-1)))))</f>
        <v>0</v>
      </c>
      <c r="AI57" s="131" t="n">
        <f aca="false">IF(OR($C57="",$B$2="",$D$2=0),0,IF(AI$3&lt;0,0,N(INDEX('CURVA PREVISION'!$A$1:$KZ$3000,$C57,11+3*MIN(AI$3,$D$2-1)))))</f>
        <v>0</v>
      </c>
      <c r="AJ57" s="131" t="n">
        <f aca="false">IF(OR($C57="",$B$2="",$D$2=0),0,IF(AJ$3&lt;0,0,N(INDEX('CURVA PREVISION'!$A$1:$KZ$3000,$C57,11+3*MIN(AJ$3,$D$2-1)))))</f>
        <v>0</v>
      </c>
      <c r="AK57" s="131" t="n">
        <f aca="false">IF(OR($C57="",$B$2="",$D$2=0),0,IF(AK$3&lt;0,0,N(INDEX('CURVA PREVISION'!$A$1:$KZ$3000,$C57,11+3*MIN(AK$3,$D$2-1)))))</f>
        <v>0</v>
      </c>
      <c r="AL57" s="131" t="n">
        <f aca="false">IF(OR($C57="",$B$2="",$D$2=0),0,IF(AL$3&lt;0,0,N(INDEX('CURVA PREVISION'!$A$1:$KZ$3000,$C57,11+3*MIN(AL$3,$D$2-1)))))</f>
        <v>0</v>
      </c>
      <c r="AM57" s="131" t="n">
        <f aca="false">IF(OR($C57="",$B$2="",$D$2=0),0,IF(AM$3&lt;0,0,N(INDEX('CURVA PREVISION'!$A$1:$KZ$3000,$C57,11+3*MIN(AM$3,$D$2-1)))))</f>
        <v>0</v>
      </c>
      <c r="AN57" s="131" t="n">
        <f aca="false">IF(OR($C57="",$B$2="",$D$2=0),0,IF(AN$3&lt;0,0,N(INDEX('CURVA PREVISION'!$A$1:$KZ$3000,$C57,11+3*MIN(AN$3,$D$2-1)))))</f>
        <v>0</v>
      </c>
      <c r="AO57" s="131" t="n">
        <f aca="false">IF(OR($C57="",$B$2="",$D$2=0),0,IF(AO$3&lt;0,0,N(INDEX('CURVA PREVISION'!$A$1:$KZ$3000,$C57,11+3*MIN(AO$3,$D$2-1)))))</f>
        <v>0</v>
      </c>
      <c r="AP57" s="131" t="n">
        <f aca="false">IF(OR($C57="",$B$2="",$D$2=0),0,IF(AP$3&lt;0,0,N(INDEX('CURVA PREVISION'!$A$1:$KZ$3000,$C57,11+3*MIN(AP$3,$D$2-1)))))</f>
        <v>0</v>
      </c>
      <c r="AQ57" s="131" t="n">
        <f aca="false">IF(OR($C57="",$B$2="",$D$2=0),0,IF(AQ$3&lt;0,0,N(INDEX('CURVA PREVISION'!$A$1:$KZ$3000,$C57,11+3*MIN(AQ$3,$D$2-1)))))</f>
        <v>0</v>
      </c>
      <c r="AR57" s="131" t="n">
        <f aca="false">IF(OR($C57="",$B$2="",$D$2=0),0,IF(AR$3&lt;0,0,N(INDEX('CURVA PREVISION'!$A$1:$KZ$3000,$C57,11+3*MIN(AR$3,$D$2-1)))))</f>
        <v>0</v>
      </c>
      <c r="AS57" s="131" t="n">
        <f aca="false">IF(OR($C57="",$B$2="",$D$2=0),0,IF(AS$3&lt;0,0,N(INDEX('CURVA PREVISION'!$A$1:$KZ$3000,$C57,11+3*MIN(AS$3,$D$2-1)))))</f>
        <v>0</v>
      </c>
      <c r="AT57" s="131" t="n">
        <f aca="false">IF(OR($C57="",$B$2="",$D$2=0),0,IF(AT$3&lt;0,0,N(INDEX('CURVA PREVISION'!$A$1:$KZ$3000,$C57,11+3*MIN(AT$3,$D$2-1)))))</f>
        <v>0</v>
      </c>
      <c r="AU57" s="131" t="n">
        <f aca="false">IF(OR($C57="",$B$2="",$D$2=0),0,IF(AU$3&lt;0,0,N(INDEX('CURVA PREVISION'!$A$1:$KZ$3000,$C57,11+3*MIN(AU$3,$D$2-1)))))</f>
        <v>0</v>
      </c>
      <c r="AV57" s="131" t="n">
        <f aca="false">IF(OR($C57="",$B$2="",$D$2=0),0,IF(AV$3&lt;0,0,N(INDEX('CURVA PREVISION'!$A$1:$KZ$3000,$C57,11+3*MIN(AV$3,$D$2-1)))))</f>
        <v>0</v>
      </c>
      <c r="AW57" s="131" t="n">
        <f aca="false">IF(OR($C57="",$B$2="",$D$2=0),0,IF(AW$3&lt;0,0,N(INDEX('CURVA PREVISION'!$A$1:$KZ$3000,$C57,11+3*MIN(AW$3,$D$2-1)))))</f>
        <v>0</v>
      </c>
      <c r="AX57" s="131" t="n">
        <f aca="false">IF(OR($C57="",$B$2="",$D$2=0),0,IF(AX$3&lt;0,0,N(INDEX('CURVA PREVISION'!$A$1:$KZ$3000,$C57,11+3*MIN(AX$3,$D$2-1)))))</f>
        <v>0</v>
      </c>
      <c r="AY57" s="131" t="n">
        <f aca="false">IF(OR($C57="",$B$2="",$D$2=0),0,IF(AY$3&lt;0,0,N(INDEX('CURVA PREVISION'!$A$1:$KZ$3000,$C57,11+3*MIN(AY$3,$D$2-1)))))</f>
        <v>0</v>
      </c>
      <c r="AZ57" s="131" t="n">
        <f aca="false">IF(OR($C57="",$B$2="",$D$2=0),0,IF(AZ$3&lt;0,0,N(INDEX('CURVA PREVISION'!$A$1:$KZ$3000,$C57,11+3*MIN(AZ$3,$D$2-1)))))</f>
        <v>0</v>
      </c>
      <c r="BA57" s="131" t="n">
        <f aca="false">IF(OR($C57="",$B$2="",$D$2=0),0,IF(BA$3&lt;0,0,N(INDEX('CURVA PREVISION'!$A$1:$KZ$3000,$C57,11+3*MIN(BA$3,$D$2-1)))))</f>
        <v>0</v>
      </c>
      <c r="BB57" s="131" t="n">
        <f aca="false">IF(OR($C57="",$B$2="",$D$2=0),0,IF(BB$3&lt;0,0,N(INDEX('CURVA PREVISION'!$A$1:$KZ$3000,$C57,11+3*MIN(BB$3,$D$2-1)))))</f>
        <v>0</v>
      </c>
      <c r="BC57" s="131" t="n">
        <f aca="false">IF(OR($C57="",$B$2="",$D$2=0),0,IF(BC$3&lt;0,0,N(INDEX('CURVA PREVISION'!$A$1:$KZ$3000,$C57,11+3*MIN(BC$3,$D$2-1)))))</f>
        <v>0</v>
      </c>
      <c r="BD57" s="131" t="n">
        <f aca="false">IF(OR($C57="",$B$2="",$D$2=0),0,IF(BD$3&lt;0,0,N(INDEX('CURVA PREVISION'!$A$1:$KZ$3000,$C57,11+3*MIN(BD$3,$D$2-1)))))</f>
        <v>0</v>
      </c>
      <c r="BE57" s="131" t="n">
        <f aca="false">IF(OR($C57="",$B$2="",$D$2=0),0,IF(BE$3&lt;0,0,N(INDEX('CURVA PREVISION'!$A$1:$KZ$3000,$C57,11+3*MIN(BE$3,$D$2-1)))))</f>
        <v>0</v>
      </c>
      <c r="BF57" s="131" t="n">
        <f aca="false">IF(OR($C57="",$B$2="",$D$2=0),0,IF(BF$3&lt;0,0,N(INDEX('CURVA PREVISION'!$A$1:$KZ$3000,$C57,11+3*MIN(BF$3,$D$2-1)))))</f>
        <v>0</v>
      </c>
      <c r="BG57" s="131" t="n">
        <f aca="false">IF(OR($C57="",$B$2="",$D$2=0),0,IF(BG$3&lt;0,0,N(INDEX('CURVA PREVISION'!$A$1:$KZ$3000,$C57,11+3*MIN(BG$3,$D$2-1)))))</f>
        <v>0</v>
      </c>
      <c r="BH57" s="131" t="n">
        <f aca="false">IF(OR($C57="",$B$2="",$D$2=0),0,IF(BH$3&lt;0,0,N(INDEX('CURVA PREVISION'!$A$1:$KZ$3000,$C57,11+3*MIN(BH$3,$D$2-1)))))</f>
        <v>0</v>
      </c>
      <c r="BI57" s="131" t="n">
        <f aca="false">IF(OR($C57="",$B$2="",$D$2=0),0,IF(BI$3&lt;0,0,N(INDEX('CURVA PREVISION'!$A$1:$KZ$3000,$C57,11+3*MIN(BI$3,$D$2-1)))))</f>
        <v>0</v>
      </c>
      <c r="BJ57" s="131" t="n">
        <f aca="false">IF(OR($C57="",$B$2="",$D$2=0),0,IF(BJ$3&lt;0,0,N(INDEX('CURVA PREVISION'!$A$1:$KZ$3000,$C57,11+3*MIN(BJ$3,$D$2-1)))))</f>
        <v>0</v>
      </c>
      <c r="BK57" s="131" t="n">
        <f aca="false">IF(OR($C57="",$B$2="",$D$2=0),0,IF(BK$3&lt;0,0,N(INDEX('CURVA PREVISION'!$A$1:$KZ$3000,$C57,11+3*MIN(BK$3,$D$2-1)))))</f>
        <v>0</v>
      </c>
      <c r="BL57" s="131" t="n">
        <f aca="false">IF(OR($C57="",$B$2="",$D$2=0),0,IF(BL$3&lt;0,0,N(INDEX('CURVA PREVISION'!$A$1:$KZ$3000,$C57,11+3*MIN(BL$3,$D$2-1)))))</f>
        <v>0</v>
      </c>
      <c r="BM57" s="131" t="n">
        <f aca="false">IF(OR($C57="",$B$2="",$D$2=0),0,IF(BM$3&lt;0,0,N(INDEX('CURVA PREVISION'!$A$1:$KZ$3000,$C57,11+3*MIN(BM$3,$D$2-1)))))</f>
        <v>0</v>
      </c>
      <c r="BN57" s="131" t="n">
        <f aca="false">IF(OR($C57="",$B$2="",$D$2=0),0,IF(BN$3&lt;0,0,N(INDEX('CURVA PREVISION'!$A$1:$KZ$3000,$C57,11+3*MIN(BN$3,$D$2-1)))))</f>
        <v>0</v>
      </c>
      <c r="BO57" s="131" t="n">
        <f aca="false">IF(OR($C57="",$B$2="",$D$2=0),0,IF(BO$3&lt;0,0,N(INDEX('CURVA PREVISION'!$A$1:$KZ$3000,$C57,11+3*MIN(BO$3,$D$2-1)))))</f>
        <v>0</v>
      </c>
      <c r="BP57" s="131" t="n">
        <f aca="false">IF(OR($C57="",$B$2="",$D$2=0),0,IF(BP$3&lt;0,0,N(INDEX('CURVA PREVISION'!$A$1:$KZ$3000,$C57,11+3*MIN(BP$3,$D$2-1)))))</f>
        <v>0</v>
      </c>
      <c r="BQ57" s="131" t="n">
        <f aca="false">IF(OR($C57="",$B$2="",$D$2=0),0,IF(BQ$3&lt;0,0,N(INDEX('CURVA PREVISION'!$A$1:$KZ$3000,$C57,11+3*MIN(BQ$3,$D$2-1)))))</f>
        <v>0</v>
      </c>
      <c r="BR57" s="131" t="n">
        <f aca="false">IF(OR($C57="",$B$2="",$D$2=0),0,IF(BR$3&lt;0,0,N(INDEX('CURVA PREVISION'!$A$1:$KZ$3000,$C57,11+3*MIN(BR$3,$D$2-1)))))</f>
        <v>0</v>
      </c>
      <c r="BS57" s="131" t="n">
        <f aca="false">IF(OR($C57="",$B$2="",$D$2=0),0,IF(BS$3&lt;0,0,N(INDEX('CURVA PREVISION'!$A$1:$KZ$3000,$C57,11+3*MIN(BS$3,$D$2-1)))))</f>
        <v>0</v>
      </c>
      <c r="BT57" s="131" t="n">
        <f aca="false">IF(OR($C57="",$B$2="",$D$2=0),0,IF(BT$3&lt;0,0,N(INDEX('CURVA PREVISION'!$A$1:$KZ$3000,$C57,11+3*MIN(BT$3,$D$2-1)))))</f>
        <v>0</v>
      </c>
      <c r="BU57" s="131" t="n">
        <f aca="false">IF(OR($C57="",$B$2="",$D$2=0),0,IF(BU$3&lt;0,0,N(INDEX('CURVA PREVISION'!$A$1:$KZ$3000,$C57,11+3*MIN(BU$3,$D$2-1)))))</f>
        <v>0</v>
      </c>
      <c r="BV57" s="131" t="n">
        <f aca="false">IF(OR($C57="",$B$2="",$D$2=0),0,IF(BV$3&lt;0,0,N(INDEX('CURVA PREVISION'!$A$1:$KZ$3000,$C57,11+3*MIN(BV$3,$D$2-1)))))</f>
        <v>0</v>
      </c>
      <c r="BW57" s="131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264</v>
      </c>
      <c r="D58" s="131" t="n">
        <f aca="false">IF(OR($C58="",$B$2="",$D$2=0),0,IF(D$3&lt;0,0,N(INDEX('CURVA PREVISION'!$A$1:$KZ$3000,$C58,11+3*MIN(D$3,$D$2-1)))))</f>
        <v>0</v>
      </c>
      <c r="E58" s="131" t="n">
        <f aca="false">IF(OR($C58="",$B$2="",$D$2=0),0,IF(E$3&lt;0,0,N(INDEX('CURVA PREVISION'!$A$1:$KZ$3000,$C58,11+3*MIN(E$3,$D$2-1)))))</f>
        <v>0</v>
      </c>
      <c r="F58" s="131" t="n">
        <f aca="false">IF(OR($C58="",$B$2="",$D$2=0),0,IF(F$3&lt;0,0,N(INDEX('CURVA PREVISION'!$A$1:$KZ$3000,$C58,11+3*MIN(F$3,$D$2-1)))))</f>
        <v>0</v>
      </c>
      <c r="G58" s="131" t="n">
        <f aca="false">IF(OR($C58="",$B$2="",$D$2=0),0,IF(G$3&lt;0,0,N(INDEX('CURVA PREVISION'!$A$1:$KZ$3000,$C58,11+3*MIN(G$3,$D$2-1)))))</f>
        <v>0</v>
      </c>
      <c r="H58" s="131" t="n">
        <f aca="false">IF(OR($C58="",$B$2="",$D$2=0),0,IF(H$3&lt;0,0,N(INDEX('CURVA PREVISION'!$A$1:$KZ$3000,$C58,11+3*MIN(H$3,$D$2-1)))))</f>
        <v>0</v>
      </c>
      <c r="I58" s="131" t="n">
        <f aca="false">IF(OR($C58="",$B$2="",$D$2=0),0,IF(I$3&lt;0,0,N(INDEX('CURVA PREVISION'!$A$1:$KZ$3000,$C58,11+3*MIN(I$3,$D$2-1)))))</f>
        <v>100</v>
      </c>
      <c r="J58" s="131" t="n">
        <f aca="false">IF(OR($C58="",$B$2="",$D$2=0),0,IF(J$3&lt;0,0,N(INDEX('CURVA PREVISION'!$A$1:$KZ$3000,$C58,11+3*MIN(J$3,$D$2-1)))))</f>
        <v>100</v>
      </c>
      <c r="K58" s="131" t="n">
        <f aca="false">IF(OR($C58="",$B$2="",$D$2=0),0,IF(K$3&lt;0,0,N(INDEX('CURVA PREVISION'!$A$1:$KZ$3000,$C58,11+3*MIN(K$3,$D$2-1)))))</f>
        <v>100</v>
      </c>
      <c r="L58" s="131" t="n">
        <f aca="false">IF(OR($C58="",$B$2="",$D$2=0),0,IF(L$3&lt;0,0,N(INDEX('CURVA PREVISION'!$A$1:$KZ$3000,$C58,11+3*MIN(L$3,$D$2-1)))))</f>
        <v>100</v>
      </c>
      <c r="M58" s="131" t="n">
        <f aca="false">IF(OR($C58="",$B$2="",$D$2=0),0,IF(M$3&lt;0,0,N(INDEX('CURVA PREVISION'!$A$1:$KZ$3000,$C58,11+3*MIN(M$3,$D$2-1)))))</f>
        <v>100</v>
      </c>
      <c r="N58" s="131" t="n">
        <f aca="false">IF(OR($C58="",$B$2="",$D$2=0),0,IF(N$3&lt;0,0,N(INDEX('CURVA PREVISION'!$A$1:$KZ$3000,$C58,11+3*MIN(N$3,$D$2-1)))))</f>
        <v>100</v>
      </c>
      <c r="O58" s="131" t="n">
        <f aca="false">IF(OR($C58="",$B$2="",$D$2=0),0,IF(O$3&lt;0,0,N(INDEX('CURVA PREVISION'!$A$1:$KZ$3000,$C58,11+3*MIN(O$3,$D$2-1)))))</f>
        <v>100</v>
      </c>
      <c r="P58" s="131" t="n">
        <f aca="false">IF(OR($C58="",$B$2="",$D$2=0),0,IF(P$3&lt;0,0,N(INDEX('CURVA PREVISION'!$A$1:$KZ$3000,$C58,11+3*MIN(P$3,$D$2-1)))))</f>
        <v>100</v>
      </c>
      <c r="Q58" s="131" t="n">
        <f aca="false">IF(OR($C58="",$B$2="",$D$2=0),0,IF(Q$3&lt;0,0,N(INDEX('CURVA PREVISION'!$A$1:$KZ$3000,$C58,11+3*MIN(Q$3,$D$2-1)))))</f>
        <v>100</v>
      </c>
      <c r="R58" s="131" t="n">
        <f aca="false">IF(OR($C58="",$B$2="",$D$2=0),0,IF(R$3&lt;0,0,N(INDEX('CURVA PREVISION'!$A$1:$KZ$3000,$C58,11+3*MIN(R$3,$D$2-1)))))</f>
        <v>100</v>
      </c>
      <c r="S58" s="131" t="n">
        <f aca="false">IF(OR($C58="",$B$2="",$D$2=0),0,IF(S$3&lt;0,0,N(INDEX('CURVA PREVISION'!$A$1:$KZ$3000,$C58,11+3*MIN(S$3,$D$2-1)))))</f>
        <v>100</v>
      </c>
      <c r="T58" s="131" t="n">
        <f aca="false">IF(OR($C58="",$B$2="",$D$2=0),0,IF(T$3&lt;0,0,N(INDEX('CURVA PREVISION'!$A$1:$KZ$3000,$C58,11+3*MIN(T$3,$D$2-1)))))</f>
        <v>100</v>
      </c>
      <c r="U58" s="131" t="n">
        <f aca="false">IF(OR($C58="",$B$2="",$D$2=0),0,IF(U$3&lt;0,0,N(INDEX('CURVA PREVISION'!$A$1:$KZ$3000,$C58,11+3*MIN(U$3,$D$2-1)))))</f>
        <v>100</v>
      </c>
      <c r="V58" s="131" t="n">
        <f aca="false">IF(OR($C58="",$B$2="",$D$2=0),0,IF(V$3&lt;0,0,N(INDEX('CURVA PREVISION'!$A$1:$KZ$3000,$C58,11+3*MIN(V$3,$D$2-1)))))</f>
        <v>100</v>
      </c>
      <c r="W58" s="131" t="n">
        <f aca="false">IF(OR($C58="",$B$2="",$D$2=0),0,IF(W$3&lt;0,0,N(INDEX('CURVA PREVISION'!$A$1:$KZ$3000,$C58,11+3*MIN(W$3,$D$2-1)))))</f>
        <v>100</v>
      </c>
      <c r="X58" s="131" t="n">
        <f aca="false">IF(OR($C58="",$B$2="",$D$2=0),0,IF(X$3&lt;0,0,N(INDEX('CURVA PREVISION'!$A$1:$KZ$3000,$C58,11+3*MIN(X$3,$D$2-1)))))</f>
        <v>100</v>
      </c>
      <c r="Y58" s="131" t="n">
        <f aca="false">IF(OR($C58="",$B$2="",$D$2=0),0,IF(Y$3&lt;0,0,N(INDEX('CURVA PREVISION'!$A$1:$KZ$3000,$C58,11+3*MIN(Y$3,$D$2-1)))))</f>
        <v>100</v>
      </c>
      <c r="Z58" s="131" t="n">
        <f aca="false">IF(OR($C58="",$B$2="",$D$2=0),0,IF(Z$3&lt;0,0,N(INDEX('CURVA PREVISION'!$A$1:$KZ$3000,$C58,11+3*MIN(Z$3,$D$2-1)))))</f>
        <v>100</v>
      </c>
      <c r="AA58" s="131" t="n">
        <f aca="false">IF(OR($C58="",$B$2="",$D$2=0),0,IF(AA$3&lt;0,0,N(INDEX('CURVA PREVISION'!$A$1:$KZ$3000,$C58,11+3*MIN(AA$3,$D$2-1)))))</f>
        <v>100</v>
      </c>
      <c r="AB58" s="131" t="n">
        <f aca="false">IF(OR($C58="",$B$2="",$D$2=0),0,IF(AB$3&lt;0,0,N(INDEX('CURVA PREVISION'!$A$1:$KZ$3000,$C58,11+3*MIN(AB$3,$D$2-1)))))</f>
        <v>100</v>
      </c>
      <c r="AC58" s="131" t="n">
        <f aca="false">IF(OR($C58="",$B$2="",$D$2=0),0,IF(AC$3&lt;0,0,N(INDEX('CURVA PREVISION'!$A$1:$KZ$3000,$C58,11+3*MIN(AC$3,$D$2-1)))))</f>
        <v>100</v>
      </c>
      <c r="AD58" s="131" t="n">
        <f aca="false">IF(OR($C58="",$B$2="",$D$2=0),0,IF(AD$3&lt;0,0,N(INDEX('CURVA PREVISION'!$A$1:$KZ$3000,$C58,11+3*MIN(AD$3,$D$2-1)))))</f>
        <v>100</v>
      </c>
      <c r="AE58" s="131" t="n">
        <f aca="false">IF(OR($C58="",$B$2="",$D$2=0),0,IF(AE$3&lt;0,0,N(INDEX('CURVA PREVISION'!$A$1:$KZ$3000,$C58,11+3*MIN(AE$3,$D$2-1)))))</f>
        <v>100</v>
      </c>
      <c r="AF58" s="131" t="n">
        <f aca="false">IF(OR($C58="",$B$2="",$D$2=0),0,IF(AF$3&lt;0,0,N(INDEX('CURVA PREVISION'!$A$1:$KZ$3000,$C58,11+3*MIN(AF$3,$D$2-1)))))</f>
        <v>100</v>
      </c>
      <c r="AG58" s="131" t="n">
        <f aca="false">IF(OR($C58="",$B$2="",$D$2=0),0,IF(AG$3&lt;0,0,N(INDEX('CURVA PREVISION'!$A$1:$KZ$3000,$C58,11+3*MIN(AG$3,$D$2-1)))))</f>
        <v>100</v>
      </c>
      <c r="AH58" s="131" t="n">
        <f aca="false">IF(OR($C58="",$B$2="",$D$2=0),0,IF(AH$3&lt;0,0,N(INDEX('CURVA PREVISION'!$A$1:$KZ$3000,$C58,11+3*MIN(AH$3,$D$2-1)))))</f>
        <v>100</v>
      </c>
      <c r="AI58" s="131" t="n">
        <f aca="false">IF(OR($C58="",$B$2="",$D$2=0),0,IF(AI$3&lt;0,0,N(INDEX('CURVA PREVISION'!$A$1:$KZ$3000,$C58,11+3*MIN(AI$3,$D$2-1)))))</f>
        <v>100</v>
      </c>
      <c r="AJ58" s="131" t="n">
        <f aca="false">IF(OR($C58="",$B$2="",$D$2=0),0,IF(AJ$3&lt;0,0,N(INDEX('CURVA PREVISION'!$A$1:$KZ$3000,$C58,11+3*MIN(AJ$3,$D$2-1)))))</f>
        <v>100</v>
      </c>
      <c r="AK58" s="131" t="n">
        <f aca="false">IF(OR($C58="",$B$2="",$D$2=0),0,IF(AK$3&lt;0,0,N(INDEX('CURVA PREVISION'!$A$1:$KZ$3000,$C58,11+3*MIN(AK$3,$D$2-1)))))</f>
        <v>100</v>
      </c>
      <c r="AL58" s="131" t="n">
        <f aca="false">IF(OR($C58="",$B$2="",$D$2=0),0,IF(AL$3&lt;0,0,N(INDEX('CURVA PREVISION'!$A$1:$KZ$3000,$C58,11+3*MIN(AL$3,$D$2-1)))))</f>
        <v>100</v>
      </c>
      <c r="AM58" s="131" t="n">
        <f aca="false">IF(OR($C58="",$B$2="",$D$2=0),0,IF(AM$3&lt;0,0,N(INDEX('CURVA PREVISION'!$A$1:$KZ$3000,$C58,11+3*MIN(AM$3,$D$2-1)))))</f>
        <v>100</v>
      </c>
      <c r="AN58" s="131" t="n">
        <f aca="false">IF(OR($C58="",$B$2="",$D$2=0),0,IF(AN$3&lt;0,0,N(INDEX('CURVA PREVISION'!$A$1:$KZ$3000,$C58,11+3*MIN(AN$3,$D$2-1)))))</f>
        <v>100</v>
      </c>
      <c r="AO58" s="131" t="n">
        <f aca="false">IF(OR($C58="",$B$2="",$D$2=0),0,IF(AO$3&lt;0,0,N(INDEX('CURVA PREVISION'!$A$1:$KZ$3000,$C58,11+3*MIN(AO$3,$D$2-1)))))</f>
        <v>100</v>
      </c>
      <c r="AP58" s="131" t="n">
        <f aca="false">IF(OR($C58="",$B$2="",$D$2=0),0,IF(AP$3&lt;0,0,N(INDEX('CURVA PREVISION'!$A$1:$KZ$3000,$C58,11+3*MIN(AP$3,$D$2-1)))))</f>
        <v>100</v>
      </c>
      <c r="AQ58" s="131" t="n">
        <f aca="false">IF(OR($C58="",$B$2="",$D$2=0),0,IF(AQ$3&lt;0,0,N(INDEX('CURVA PREVISION'!$A$1:$KZ$3000,$C58,11+3*MIN(AQ$3,$D$2-1)))))</f>
        <v>100</v>
      </c>
      <c r="AR58" s="131" t="n">
        <f aca="false">IF(OR($C58="",$B$2="",$D$2=0),0,IF(AR$3&lt;0,0,N(INDEX('CURVA PREVISION'!$A$1:$KZ$3000,$C58,11+3*MIN(AR$3,$D$2-1)))))</f>
        <v>100</v>
      </c>
      <c r="AS58" s="131" t="n">
        <f aca="false">IF(OR($C58="",$B$2="",$D$2=0),0,IF(AS$3&lt;0,0,N(INDEX('CURVA PREVISION'!$A$1:$KZ$3000,$C58,11+3*MIN(AS$3,$D$2-1)))))</f>
        <v>100</v>
      </c>
      <c r="AT58" s="131" t="n">
        <f aca="false">IF(OR($C58="",$B$2="",$D$2=0),0,IF(AT$3&lt;0,0,N(INDEX('CURVA PREVISION'!$A$1:$KZ$3000,$C58,11+3*MIN(AT$3,$D$2-1)))))</f>
        <v>100</v>
      </c>
      <c r="AU58" s="131" t="n">
        <f aca="false">IF(OR($C58="",$B$2="",$D$2=0),0,IF(AU$3&lt;0,0,N(INDEX('CURVA PREVISION'!$A$1:$KZ$3000,$C58,11+3*MIN(AU$3,$D$2-1)))))</f>
        <v>100</v>
      </c>
      <c r="AV58" s="131" t="n">
        <f aca="false">IF(OR($C58="",$B$2="",$D$2=0),0,IF(AV$3&lt;0,0,N(INDEX('CURVA PREVISION'!$A$1:$KZ$3000,$C58,11+3*MIN(AV$3,$D$2-1)))))</f>
        <v>100</v>
      </c>
      <c r="AW58" s="131" t="n">
        <f aca="false">IF(OR($C58="",$B$2="",$D$2=0),0,IF(AW$3&lt;0,0,N(INDEX('CURVA PREVISION'!$A$1:$KZ$3000,$C58,11+3*MIN(AW$3,$D$2-1)))))</f>
        <v>100</v>
      </c>
      <c r="AX58" s="131" t="n">
        <f aca="false">IF(OR($C58="",$B$2="",$D$2=0),0,IF(AX$3&lt;0,0,N(INDEX('CURVA PREVISION'!$A$1:$KZ$3000,$C58,11+3*MIN(AX$3,$D$2-1)))))</f>
        <v>100</v>
      </c>
      <c r="AY58" s="131" t="n">
        <f aca="false">IF(OR($C58="",$B$2="",$D$2=0),0,IF(AY$3&lt;0,0,N(INDEX('CURVA PREVISION'!$A$1:$KZ$3000,$C58,11+3*MIN(AY$3,$D$2-1)))))</f>
        <v>100</v>
      </c>
      <c r="AZ58" s="131" t="n">
        <f aca="false">IF(OR($C58="",$B$2="",$D$2=0),0,IF(AZ$3&lt;0,0,N(INDEX('CURVA PREVISION'!$A$1:$KZ$3000,$C58,11+3*MIN(AZ$3,$D$2-1)))))</f>
        <v>100</v>
      </c>
      <c r="BA58" s="131" t="n">
        <f aca="false">IF(OR($C58="",$B$2="",$D$2=0),0,IF(BA$3&lt;0,0,N(INDEX('CURVA PREVISION'!$A$1:$KZ$3000,$C58,11+3*MIN(BA$3,$D$2-1)))))</f>
        <v>100</v>
      </c>
      <c r="BB58" s="131" t="n">
        <f aca="false">IF(OR($C58="",$B$2="",$D$2=0),0,IF(BB$3&lt;0,0,N(INDEX('CURVA PREVISION'!$A$1:$KZ$3000,$C58,11+3*MIN(BB$3,$D$2-1)))))</f>
        <v>100</v>
      </c>
      <c r="BC58" s="131" t="n">
        <f aca="false">IF(OR($C58="",$B$2="",$D$2=0),0,IF(BC$3&lt;0,0,N(INDEX('CURVA PREVISION'!$A$1:$KZ$3000,$C58,11+3*MIN(BC$3,$D$2-1)))))</f>
        <v>100</v>
      </c>
      <c r="BD58" s="131" t="n">
        <f aca="false">IF(OR($C58="",$B$2="",$D$2=0),0,IF(BD$3&lt;0,0,N(INDEX('CURVA PREVISION'!$A$1:$KZ$3000,$C58,11+3*MIN(BD$3,$D$2-1)))))</f>
        <v>100</v>
      </c>
      <c r="BE58" s="131" t="n">
        <f aca="false">IF(OR($C58="",$B$2="",$D$2=0),0,IF(BE$3&lt;0,0,N(INDEX('CURVA PREVISION'!$A$1:$KZ$3000,$C58,11+3*MIN(BE$3,$D$2-1)))))</f>
        <v>100</v>
      </c>
      <c r="BF58" s="131" t="n">
        <f aca="false">IF(OR($C58="",$B$2="",$D$2=0),0,IF(BF$3&lt;0,0,N(INDEX('CURVA PREVISION'!$A$1:$KZ$3000,$C58,11+3*MIN(BF$3,$D$2-1)))))</f>
        <v>100</v>
      </c>
      <c r="BG58" s="131" t="n">
        <f aca="false">IF(OR($C58="",$B$2="",$D$2=0),0,IF(BG$3&lt;0,0,N(INDEX('CURVA PREVISION'!$A$1:$KZ$3000,$C58,11+3*MIN(BG$3,$D$2-1)))))</f>
        <v>100</v>
      </c>
      <c r="BH58" s="131" t="n">
        <f aca="false">IF(OR($C58="",$B$2="",$D$2=0),0,IF(BH$3&lt;0,0,N(INDEX('CURVA PREVISION'!$A$1:$KZ$3000,$C58,11+3*MIN(BH$3,$D$2-1)))))</f>
        <v>100</v>
      </c>
      <c r="BI58" s="131" t="n">
        <f aca="false">IF(OR($C58="",$B$2="",$D$2=0),0,IF(BI$3&lt;0,0,N(INDEX('CURVA PREVISION'!$A$1:$KZ$3000,$C58,11+3*MIN(BI$3,$D$2-1)))))</f>
        <v>100</v>
      </c>
      <c r="BJ58" s="131" t="n">
        <f aca="false">IF(OR($C58="",$B$2="",$D$2=0),0,IF(BJ$3&lt;0,0,N(INDEX('CURVA PREVISION'!$A$1:$KZ$3000,$C58,11+3*MIN(BJ$3,$D$2-1)))))</f>
        <v>100</v>
      </c>
      <c r="BK58" s="131" t="n">
        <f aca="false">IF(OR($C58="",$B$2="",$D$2=0),0,IF(BK$3&lt;0,0,N(INDEX('CURVA PREVISION'!$A$1:$KZ$3000,$C58,11+3*MIN(BK$3,$D$2-1)))))</f>
        <v>100</v>
      </c>
      <c r="BL58" s="131" t="n">
        <f aca="false">IF(OR($C58="",$B$2="",$D$2=0),0,IF(BL$3&lt;0,0,N(INDEX('CURVA PREVISION'!$A$1:$KZ$3000,$C58,11+3*MIN(BL$3,$D$2-1)))))</f>
        <v>100</v>
      </c>
      <c r="BM58" s="131" t="n">
        <f aca="false">IF(OR($C58="",$B$2="",$D$2=0),0,IF(BM$3&lt;0,0,N(INDEX('CURVA PREVISION'!$A$1:$KZ$3000,$C58,11+3*MIN(BM$3,$D$2-1)))))</f>
        <v>100</v>
      </c>
      <c r="BN58" s="131" t="n">
        <f aca="false">IF(OR($C58="",$B$2="",$D$2=0),0,IF(BN$3&lt;0,0,N(INDEX('CURVA PREVISION'!$A$1:$KZ$3000,$C58,11+3*MIN(BN$3,$D$2-1)))))</f>
        <v>100</v>
      </c>
      <c r="BO58" s="131" t="n">
        <f aca="false">IF(OR($C58="",$B$2="",$D$2=0),0,IF(BO$3&lt;0,0,N(INDEX('CURVA PREVISION'!$A$1:$KZ$3000,$C58,11+3*MIN(BO$3,$D$2-1)))))</f>
        <v>100</v>
      </c>
      <c r="BP58" s="131" t="n">
        <f aca="false">IF(OR($C58="",$B$2="",$D$2=0),0,IF(BP$3&lt;0,0,N(INDEX('CURVA PREVISION'!$A$1:$KZ$3000,$C58,11+3*MIN(BP$3,$D$2-1)))))</f>
        <v>100</v>
      </c>
      <c r="BQ58" s="131" t="n">
        <f aca="false">IF(OR($C58="",$B$2="",$D$2=0),0,IF(BQ$3&lt;0,0,N(INDEX('CURVA PREVISION'!$A$1:$KZ$3000,$C58,11+3*MIN(BQ$3,$D$2-1)))))</f>
        <v>100</v>
      </c>
      <c r="BR58" s="131" t="n">
        <f aca="false">IF(OR($C58="",$B$2="",$D$2=0),0,IF(BR$3&lt;0,0,N(INDEX('CURVA PREVISION'!$A$1:$KZ$3000,$C58,11+3*MIN(BR$3,$D$2-1)))))</f>
        <v>100</v>
      </c>
      <c r="BS58" s="131" t="n">
        <f aca="false">IF(OR($C58="",$B$2="",$D$2=0),0,IF(BS$3&lt;0,0,N(INDEX('CURVA PREVISION'!$A$1:$KZ$3000,$C58,11+3*MIN(BS$3,$D$2-1)))))</f>
        <v>100</v>
      </c>
      <c r="BT58" s="131" t="n">
        <f aca="false">IF(OR($C58="",$B$2="",$D$2=0),0,IF(BT$3&lt;0,0,N(INDEX('CURVA PREVISION'!$A$1:$KZ$3000,$C58,11+3*MIN(BT$3,$D$2-1)))))</f>
        <v>100</v>
      </c>
      <c r="BU58" s="131" t="n">
        <f aca="false">IF(OR($C58="",$B$2="",$D$2=0),0,IF(BU$3&lt;0,0,N(INDEX('CURVA PREVISION'!$A$1:$KZ$3000,$C58,11+3*MIN(BU$3,$D$2-1)))))</f>
        <v>100</v>
      </c>
      <c r="BV58" s="131" t="n">
        <f aca="false">IF(OR($C58="",$B$2="",$D$2=0),0,IF(BV$3&lt;0,0,N(INDEX('CURVA PREVISION'!$A$1:$KZ$3000,$C58,11+3*MIN(BV$3,$D$2-1)))))</f>
        <v>100</v>
      </c>
      <c r="BW58" s="131" t="n">
        <f aca="false">IF(OR($C58="",$B$2="",$D$2=0),0,IF(BW$3&lt;0,0,N(INDEX('CURVA PREVISION'!$A$1:$KZ$3000,$C58,11+3*MIN(BW$3,$D$2-1)))))</f>
        <v>100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267</v>
      </c>
      <c r="D59" s="131" t="n">
        <f aca="false">IF(OR($C59="",$B$2="",$D$2=0),0,IF(D$3&lt;0,0,N(INDEX('CURVA PREVISION'!$A$1:$KZ$3000,$C59,11+3*MIN(D$3,$D$2-1)))))</f>
        <v>0</v>
      </c>
      <c r="E59" s="131" t="n">
        <f aca="false">IF(OR($C59="",$B$2="",$D$2=0),0,IF(E$3&lt;0,0,N(INDEX('CURVA PREVISION'!$A$1:$KZ$3000,$C59,11+3*MIN(E$3,$D$2-1)))))</f>
        <v>0</v>
      </c>
      <c r="F59" s="131" t="n">
        <f aca="false">IF(OR($C59="",$B$2="",$D$2=0),0,IF(F$3&lt;0,0,N(INDEX('CURVA PREVISION'!$A$1:$KZ$3000,$C59,11+3*MIN(F$3,$D$2-1)))))</f>
        <v>0</v>
      </c>
      <c r="G59" s="131" t="n">
        <f aca="false">IF(OR($C59="",$B$2="",$D$2=0),0,IF(G$3&lt;0,0,N(INDEX('CURVA PREVISION'!$A$1:$KZ$3000,$C59,11+3*MIN(G$3,$D$2-1)))))</f>
        <v>0</v>
      </c>
      <c r="H59" s="131" t="n">
        <f aca="false">IF(OR($C59="",$B$2="",$D$2=0),0,IF(H$3&lt;0,0,N(INDEX('CURVA PREVISION'!$A$1:$KZ$3000,$C59,11+3*MIN(H$3,$D$2-1)))))</f>
        <v>0</v>
      </c>
      <c r="I59" s="131" t="n">
        <f aca="false">IF(OR($C59="",$B$2="",$D$2=0),0,IF(I$3&lt;0,0,N(INDEX('CURVA PREVISION'!$A$1:$KZ$3000,$C59,11+3*MIN(I$3,$D$2-1)))))</f>
        <v>0</v>
      </c>
      <c r="J59" s="131" t="n">
        <f aca="false">IF(OR($C59="",$B$2="",$D$2=0),0,IF(J$3&lt;0,0,N(INDEX('CURVA PREVISION'!$A$1:$KZ$3000,$C59,11+3*MIN(J$3,$D$2-1)))))</f>
        <v>51.01</v>
      </c>
      <c r="K59" s="131" t="n">
        <f aca="false">IF(OR($C59="",$B$2="",$D$2=0),0,IF(K$3&lt;0,0,N(INDEX('CURVA PREVISION'!$A$1:$KZ$3000,$C59,11+3*MIN(K$3,$D$2-1)))))</f>
        <v>80.48</v>
      </c>
      <c r="L59" s="131" t="n">
        <f aca="false">IF(OR($C59="",$B$2="",$D$2=0),0,IF(L$3&lt;0,0,N(INDEX('CURVA PREVISION'!$A$1:$KZ$3000,$C59,11+3*MIN(L$3,$D$2-1)))))</f>
        <v>88.21</v>
      </c>
      <c r="M59" s="131" t="n">
        <f aca="false">IF(OR($C59="",$B$2="",$D$2=0),0,IF(M$3&lt;0,0,N(INDEX('CURVA PREVISION'!$A$1:$KZ$3000,$C59,11+3*MIN(M$3,$D$2-1)))))</f>
        <v>95.28</v>
      </c>
      <c r="N59" s="131" t="n">
        <f aca="false">IF(OR($C59="",$B$2="",$D$2=0),0,IF(N$3&lt;0,0,N(INDEX('CURVA PREVISION'!$A$1:$KZ$3000,$C59,11+3*MIN(N$3,$D$2-1)))))</f>
        <v>95.28</v>
      </c>
      <c r="O59" s="131" t="n">
        <f aca="false">IF(OR($C59="",$B$2="",$D$2=0),0,IF(O$3&lt;0,0,N(INDEX('CURVA PREVISION'!$A$1:$KZ$3000,$C59,11+3*MIN(O$3,$D$2-1)))))</f>
        <v>99</v>
      </c>
      <c r="P59" s="131" t="n">
        <f aca="false">IF(OR($C59="",$B$2="",$D$2=0),0,IF(P$3&lt;0,0,N(INDEX('CURVA PREVISION'!$A$1:$KZ$3000,$C59,11+3*MIN(P$3,$D$2-1)))))</f>
        <v>99</v>
      </c>
      <c r="Q59" s="131" t="n">
        <f aca="false">IF(OR($C59="",$B$2="",$D$2=0),0,IF(Q$3&lt;0,0,N(INDEX('CURVA PREVISION'!$A$1:$KZ$3000,$C59,11+3*MIN(Q$3,$D$2-1)))))</f>
        <v>100</v>
      </c>
      <c r="R59" s="131" t="n">
        <f aca="false">IF(OR($C59="",$B$2="",$D$2=0),0,IF(R$3&lt;0,0,N(INDEX('CURVA PREVISION'!$A$1:$KZ$3000,$C59,11+3*MIN(R$3,$D$2-1)))))</f>
        <v>100</v>
      </c>
      <c r="S59" s="131" t="n">
        <f aca="false">IF(OR($C59="",$B$2="",$D$2=0),0,IF(S$3&lt;0,0,N(INDEX('CURVA PREVISION'!$A$1:$KZ$3000,$C59,11+3*MIN(S$3,$D$2-1)))))</f>
        <v>100</v>
      </c>
      <c r="T59" s="131" t="n">
        <f aca="false">IF(OR($C59="",$B$2="",$D$2=0),0,IF(T$3&lt;0,0,N(INDEX('CURVA PREVISION'!$A$1:$KZ$3000,$C59,11+3*MIN(T$3,$D$2-1)))))</f>
        <v>100</v>
      </c>
      <c r="U59" s="131" t="n">
        <f aca="false">IF(OR($C59="",$B$2="",$D$2=0),0,IF(U$3&lt;0,0,N(INDEX('CURVA PREVISION'!$A$1:$KZ$3000,$C59,11+3*MIN(U$3,$D$2-1)))))</f>
        <v>100</v>
      </c>
      <c r="V59" s="131" t="n">
        <f aca="false">IF(OR($C59="",$B$2="",$D$2=0),0,IF(V$3&lt;0,0,N(INDEX('CURVA PREVISION'!$A$1:$KZ$3000,$C59,11+3*MIN(V$3,$D$2-1)))))</f>
        <v>100</v>
      </c>
      <c r="W59" s="131" t="n">
        <f aca="false">IF(OR($C59="",$B$2="",$D$2=0),0,IF(W$3&lt;0,0,N(INDEX('CURVA PREVISION'!$A$1:$KZ$3000,$C59,11+3*MIN(W$3,$D$2-1)))))</f>
        <v>100</v>
      </c>
      <c r="X59" s="131" t="n">
        <f aca="false">IF(OR($C59="",$B$2="",$D$2=0),0,IF(X$3&lt;0,0,N(INDEX('CURVA PREVISION'!$A$1:$KZ$3000,$C59,11+3*MIN(X$3,$D$2-1)))))</f>
        <v>100</v>
      </c>
      <c r="Y59" s="131" t="n">
        <f aca="false">IF(OR($C59="",$B$2="",$D$2=0),0,IF(Y$3&lt;0,0,N(INDEX('CURVA PREVISION'!$A$1:$KZ$3000,$C59,11+3*MIN(Y$3,$D$2-1)))))</f>
        <v>100</v>
      </c>
      <c r="Z59" s="131" t="n">
        <f aca="false">IF(OR($C59="",$B$2="",$D$2=0),0,IF(Z$3&lt;0,0,N(INDEX('CURVA PREVISION'!$A$1:$KZ$3000,$C59,11+3*MIN(Z$3,$D$2-1)))))</f>
        <v>100</v>
      </c>
      <c r="AA59" s="131" t="n">
        <f aca="false">IF(OR($C59="",$B$2="",$D$2=0),0,IF(AA$3&lt;0,0,N(INDEX('CURVA PREVISION'!$A$1:$KZ$3000,$C59,11+3*MIN(AA$3,$D$2-1)))))</f>
        <v>100</v>
      </c>
      <c r="AB59" s="131" t="n">
        <f aca="false">IF(OR($C59="",$B$2="",$D$2=0),0,IF(AB$3&lt;0,0,N(INDEX('CURVA PREVISION'!$A$1:$KZ$3000,$C59,11+3*MIN(AB$3,$D$2-1)))))</f>
        <v>100</v>
      </c>
      <c r="AC59" s="131" t="n">
        <f aca="false">IF(OR($C59="",$B$2="",$D$2=0),0,IF(AC$3&lt;0,0,N(INDEX('CURVA PREVISION'!$A$1:$KZ$3000,$C59,11+3*MIN(AC$3,$D$2-1)))))</f>
        <v>100</v>
      </c>
      <c r="AD59" s="131" t="n">
        <f aca="false">IF(OR($C59="",$B$2="",$D$2=0),0,IF(AD$3&lt;0,0,N(INDEX('CURVA PREVISION'!$A$1:$KZ$3000,$C59,11+3*MIN(AD$3,$D$2-1)))))</f>
        <v>100</v>
      </c>
      <c r="AE59" s="131" t="n">
        <f aca="false">IF(OR($C59="",$B$2="",$D$2=0),0,IF(AE$3&lt;0,0,N(INDEX('CURVA PREVISION'!$A$1:$KZ$3000,$C59,11+3*MIN(AE$3,$D$2-1)))))</f>
        <v>100</v>
      </c>
      <c r="AF59" s="131" t="n">
        <f aca="false">IF(OR($C59="",$B$2="",$D$2=0),0,IF(AF$3&lt;0,0,N(INDEX('CURVA PREVISION'!$A$1:$KZ$3000,$C59,11+3*MIN(AF$3,$D$2-1)))))</f>
        <v>100</v>
      </c>
      <c r="AG59" s="131" t="n">
        <f aca="false">IF(OR($C59="",$B$2="",$D$2=0),0,IF(AG$3&lt;0,0,N(INDEX('CURVA PREVISION'!$A$1:$KZ$3000,$C59,11+3*MIN(AG$3,$D$2-1)))))</f>
        <v>100</v>
      </c>
      <c r="AH59" s="131" t="n">
        <f aca="false">IF(OR($C59="",$B$2="",$D$2=0),0,IF(AH$3&lt;0,0,N(INDEX('CURVA PREVISION'!$A$1:$KZ$3000,$C59,11+3*MIN(AH$3,$D$2-1)))))</f>
        <v>100</v>
      </c>
      <c r="AI59" s="131" t="n">
        <f aca="false">IF(OR($C59="",$B$2="",$D$2=0),0,IF(AI$3&lt;0,0,N(INDEX('CURVA PREVISION'!$A$1:$KZ$3000,$C59,11+3*MIN(AI$3,$D$2-1)))))</f>
        <v>100</v>
      </c>
      <c r="AJ59" s="131" t="n">
        <f aca="false">IF(OR($C59="",$B$2="",$D$2=0),0,IF(AJ$3&lt;0,0,N(INDEX('CURVA PREVISION'!$A$1:$KZ$3000,$C59,11+3*MIN(AJ$3,$D$2-1)))))</f>
        <v>100</v>
      </c>
      <c r="AK59" s="131" t="n">
        <f aca="false">IF(OR($C59="",$B$2="",$D$2=0),0,IF(AK$3&lt;0,0,N(INDEX('CURVA PREVISION'!$A$1:$KZ$3000,$C59,11+3*MIN(AK$3,$D$2-1)))))</f>
        <v>100</v>
      </c>
      <c r="AL59" s="131" t="n">
        <f aca="false">IF(OR($C59="",$B$2="",$D$2=0),0,IF(AL$3&lt;0,0,N(INDEX('CURVA PREVISION'!$A$1:$KZ$3000,$C59,11+3*MIN(AL$3,$D$2-1)))))</f>
        <v>100</v>
      </c>
      <c r="AM59" s="131" t="n">
        <f aca="false">IF(OR($C59="",$B$2="",$D$2=0),0,IF(AM$3&lt;0,0,N(INDEX('CURVA PREVISION'!$A$1:$KZ$3000,$C59,11+3*MIN(AM$3,$D$2-1)))))</f>
        <v>100</v>
      </c>
      <c r="AN59" s="131" t="n">
        <f aca="false">IF(OR($C59="",$B$2="",$D$2=0),0,IF(AN$3&lt;0,0,N(INDEX('CURVA PREVISION'!$A$1:$KZ$3000,$C59,11+3*MIN(AN$3,$D$2-1)))))</f>
        <v>100</v>
      </c>
      <c r="AO59" s="131" t="n">
        <f aca="false">IF(OR($C59="",$B$2="",$D$2=0),0,IF(AO$3&lt;0,0,N(INDEX('CURVA PREVISION'!$A$1:$KZ$3000,$C59,11+3*MIN(AO$3,$D$2-1)))))</f>
        <v>100</v>
      </c>
      <c r="AP59" s="131" t="n">
        <f aca="false">IF(OR($C59="",$B$2="",$D$2=0),0,IF(AP$3&lt;0,0,N(INDEX('CURVA PREVISION'!$A$1:$KZ$3000,$C59,11+3*MIN(AP$3,$D$2-1)))))</f>
        <v>100</v>
      </c>
      <c r="AQ59" s="131" t="n">
        <f aca="false">IF(OR($C59="",$B$2="",$D$2=0),0,IF(AQ$3&lt;0,0,N(INDEX('CURVA PREVISION'!$A$1:$KZ$3000,$C59,11+3*MIN(AQ$3,$D$2-1)))))</f>
        <v>100</v>
      </c>
      <c r="AR59" s="131" t="n">
        <f aca="false">IF(OR($C59="",$B$2="",$D$2=0),0,IF(AR$3&lt;0,0,N(INDEX('CURVA PREVISION'!$A$1:$KZ$3000,$C59,11+3*MIN(AR$3,$D$2-1)))))</f>
        <v>100</v>
      </c>
      <c r="AS59" s="131" t="n">
        <f aca="false">IF(OR($C59="",$B$2="",$D$2=0),0,IF(AS$3&lt;0,0,N(INDEX('CURVA PREVISION'!$A$1:$KZ$3000,$C59,11+3*MIN(AS$3,$D$2-1)))))</f>
        <v>100</v>
      </c>
      <c r="AT59" s="131" t="n">
        <f aca="false">IF(OR($C59="",$B$2="",$D$2=0),0,IF(AT$3&lt;0,0,N(INDEX('CURVA PREVISION'!$A$1:$KZ$3000,$C59,11+3*MIN(AT$3,$D$2-1)))))</f>
        <v>100</v>
      </c>
      <c r="AU59" s="131" t="n">
        <f aca="false">IF(OR($C59="",$B$2="",$D$2=0),0,IF(AU$3&lt;0,0,N(INDEX('CURVA PREVISION'!$A$1:$KZ$3000,$C59,11+3*MIN(AU$3,$D$2-1)))))</f>
        <v>100</v>
      </c>
      <c r="AV59" s="131" t="n">
        <f aca="false">IF(OR($C59="",$B$2="",$D$2=0),0,IF(AV$3&lt;0,0,N(INDEX('CURVA PREVISION'!$A$1:$KZ$3000,$C59,11+3*MIN(AV$3,$D$2-1)))))</f>
        <v>100</v>
      </c>
      <c r="AW59" s="131" t="n">
        <f aca="false">IF(OR($C59="",$B$2="",$D$2=0),0,IF(AW$3&lt;0,0,N(INDEX('CURVA PREVISION'!$A$1:$KZ$3000,$C59,11+3*MIN(AW$3,$D$2-1)))))</f>
        <v>100</v>
      </c>
      <c r="AX59" s="131" t="n">
        <f aca="false">IF(OR($C59="",$B$2="",$D$2=0),0,IF(AX$3&lt;0,0,N(INDEX('CURVA PREVISION'!$A$1:$KZ$3000,$C59,11+3*MIN(AX$3,$D$2-1)))))</f>
        <v>100</v>
      </c>
      <c r="AY59" s="131" t="n">
        <f aca="false">IF(OR($C59="",$B$2="",$D$2=0),0,IF(AY$3&lt;0,0,N(INDEX('CURVA PREVISION'!$A$1:$KZ$3000,$C59,11+3*MIN(AY$3,$D$2-1)))))</f>
        <v>100</v>
      </c>
      <c r="AZ59" s="131" t="n">
        <f aca="false">IF(OR($C59="",$B$2="",$D$2=0),0,IF(AZ$3&lt;0,0,N(INDEX('CURVA PREVISION'!$A$1:$KZ$3000,$C59,11+3*MIN(AZ$3,$D$2-1)))))</f>
        <v>100</v>
      </c>
      <c r="BA59" s="131" t="n">
        <f aca="false">IF(OR($C59="",$B$2="",$D$2=0),0,IF(BA$3&lt;0,0,N(INDEX('CURVA PREVISION'!$A$1:$KZ$3000,$C59,11+3*MIN(BA$3,$D$2-1)))))</f>
        <v>100</v>
      </c>
      <c r="BB59" s="131" t="n">
        <f aca="false">IF(OR($C59="",$B$2="",$D$2=0),0,IF(BB$3&lt;0,0,N(INDEX('CURVA PREVISION'!$A$1:$KZ$3000,$C59,11+3*MIN(BB$3,$D$2-1)))))</f>
        <v>100</v>
      </c>
      <c r="BC59" s="131" t="n">
        <f aca="false">IF(OR($C59="",$B$2="",$D$2=0),0,IF(BC$3&lt;0,0,N(INDEX('CURVA PREVISION'!$A$1:$KZ$3000,$C59,11+3*MIN(BC$3,$D$2-1)))))</f>
        <v>100</v>
      </c>
      <c r="BD59" s="131" t="n">
        <f aca="false">IF(OR($C59="",$B$2="",$D$2=0),0,IF(BD$3&lt;0,0,N(INDEX('CURVA PREVISION'!$A$1:$KZ$3000,$C59,11+3*MIN(BD$3,$D$2-1)))))</f>
        <v>100</v>
      </c>
      <c r="BE59" s="131" t="n">
        <f aca="false">IF(OR($C59="",$B$2="",$D$2=0),0,IF(BE$3&lt;0,0,N(INDEX('CURVA PREVISION'!$A$1:$KZ$3000,$C59,11+3*MIN(BE$3,$D$2-1)))))</f>
        <v>100</v>
      </c>
      <c r="BF59" s="131" t="n">
        <f aca="false">IF(OR($C59="",$B$2="",$D$2=0),0,IF(BF$3&lt;0,0,N(INDEX('CURVA PREVISION'!$A$1:$KZ$3000,$C59,11+3*MIN(BF$3,$D$2-1)))))</f>
        <v>100</v>
      </c>
      <c r="BG59" s="131" t="n">
        <f aca="false">IF(OR($C59="",$B$2="",$D$2=0),0,IF(BG$3&lt;0,0,N(INDEX('CURVA PREVISION'!$A$1:$KZ$3000,$C59,11+3*MIN(BG$3,$D$2-1)))))</f>
        <v>100</v>
      </c>
      <c r="BH59" s="131" t="n">
        <f aca="false">IF(OR($C59="",$B$2="",$D$2=0),0,IF(BH$3&lt;0,0,N(INDEX('CURVA PREVISION'!$A$1:$KZ$3000,$C59,11+3*MIN(BH$3,$D$2-1)))))</f>
        <v>100</v>
      </c>
      <c r="BI59" s="131" t="n">
        <f aca="false">IF(OR($C59="",$B$2="",$D$2=0),0,IF(BI$3&lt;0,0,N(INDEX('CURVA PREVISION'!$A$1:$KZ$3000,$C59,11+3*MIN(BI$3,$D$2-1)))))</f>
        <v>100</v>
      </c>
      <c r="BJ59" s="131" t="n">
        <f aca="false">IF(OR($C59="",$B$2="",$D$2=0),0,IF(BJ$3&lt;0,0,N(INDEX('CURVA PREVISION'!$A$1:$KZ$3000,$C59,11+3*MIN(BJ$3,$D$2-1)))))</f>
        <v>100</v>
      </c>
      <c r="BK59" s="131" t="n">
        <f aca="false">IF(OR($C59="",$B$2="",$D$2=0),0,IF(BK$3&lt;0,0,N(INDEX('CURVA PREVISION'!$A$1:$KZ$3000,$C59,11+3*MIN(BK$3,$D$2-1)))))</f>
        <v>100</v>
      </c>
      <c r="BL59" s="131" t="n">
        <f aca="false">IF(OR($C59="",$B$2="",$D$2=0),0,IF(BL$3&lt;0,0,N(INDEX('CURVA PREVISION'!$A$1:$KZ$3000,$C59,11+3*MIN(BL$3,$D$2-1)))))</f>
        <v>100</v>
      </c>
      <c r="BM59" s="131" t="n">
        <f aca="false">IF(OR($C59="",$B$2="",$D$2=0),0,IF(BM$3&lt;0,0,N(INDEX('CURVA PREVISION'!$A$1:$KZ$3000,$C59,11+3*MIN(BM$3,$D$2-1)))))</f>
        <v>100</v>
      </c>
      <c r="BN59" s="131" t="n">
        <f aca="false">IF(OR($C59="",$B$2="",$D$2=0),0,IF(BN$3&lt;0,0,N(INDEX('CURVA PREVISION'!$A$1:$KZ$3000,$C59,11+3*MIN(BN$3,$D$2-1)))))</f>
        <v>100</v>
      </c>
      <c r="BO59" s="131" t="n">
        <f aca="false">IF(OR($C59="",$B$2="",$D$2=0),0,IF(BO$3&lt;0,0,N(INDEX('CURVA PREVISION'!$A$1:$KZ$3000,$C59,11+3*MIN(BO$3,$D$2-1)))))</f>
        <v>100</v>
      </c>
      <c r="BP59" s="131" t="n">
        <f aca="false">IF(OR($C59="",$B$2="",$D$2=0),0,IF(BP$3&lt;0,0,N(INDEX('CURVA PREVISION'!$A$1:$KZ$3000,$C59,11+3*MIN(BP$3,$D$2-1)))))</f>
        <v>100</v>
      </c>
      <c r="BQ59" s="131" t="n">
        <f aca="false">IF(OR($C59="",$B$2="",$D$2=0),0,IF(BQ$3&lt;0,0,N(INDEX('CURVA PREVISION'!$A$1:$KZ$3000,$C59,11+3*MIN(BQ$3,$D$2-1)))))</f>
        <v>100</v>
      </c>
      <c r="BR59" s="131" t="n">
        <f aca="false">IF(OR($C59="",$B$2="",$D$2=0),0,IF(BR$3&lt;0,0,N(INDEX('CURVA PREVISION'!$A$1:$KZ$3000,$C59,11+3*MIN(BR$3,$D$2-1)))))</f>
        <v>100</v>
      </c>
      <c r="BS59" s="131" t="n">
        <f aca="false">IF(OR($C59="",$B$2="",$D$2=0),0,IF(BS$3&lt;0,0,N(INDEX('CURVA PREVISION'!$A$1:$KZ$3000,$C59,11+3*MIN(BS$3,$D$2-1)))))</f>
        <v>100</v>
      </c>
      <c r="BT59" s="131" t="n">
        <f aca="false">IF(OR($C59="",$B$2="",$D$2=0),0,IF(BT$3&lt;0,0,N(INDEX('CURVA PREVISION'!$A$1:$KZ$3000,$C59,11+3*MIN(BT$3,$D$2-1)))))</f>
        <v>100</v>
      </c>
      <c r="BU59" s="131" t="n">
        <f aca="false">IF(OR($C59="",$B$2="",$D$2=0),0,IF(BU$3&lt;0,0,N(INDEX('CURVA PREVISION'!$A$1:$KZ$3000,$C59,11+3*MIN(BU$3,$D$2-1)))))</f>
        <v>100</v>
      </c>
      <c r="BV59" s="131" t="n">
        <f aca="false">IF(OR($C59="",$B$2="",$D$2=0),0,IF(BV$3&lt;0,0,N(INDEX('CURVA PREVISION'!$A$1:$KZ$3000,$C59,11+3*MIN(BV$3,$D$2-1)))))</f>
        <v>100</v>
      </c>
      <c r="BW59" s="131" t="n">
        <f aca="false">IF(OR($C59="",$B$2="",$D$2=0),0,IF(BW$3&lt;0,0,N(INDEX('CURVA PREVISION'!$A$1:$KZ$3000,$C59,11+3*MIN(BW$3,$D$2-1)))))</f>
        <v>100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325</v>
      </c>
      <c r="D60" s="131" t="n">
        <f aca="false">IF(OR($C60="",$B$2="",$D$2=0),0,IF(D$3&lt;0,0,N(INDEX('CURVA PREVISION'!$A$1:$KZ$3000,$C60,11+3*MIN(D$3,$D$2-1)))))</f>
        <v>0</v>
      </c>
      <c r="E60" s="131" t="n">
        <f aca="false">IF(OR($C60="",$B$2="",$D$2=0),0,IF(E$3&lt;0,0,N(INDEX('CURVA PREVISION'!$A$1:$KZ$3000,$C60,11+3*MIN(E$3,$D$2-1)))))</f>
        <v>0</v>
      </c>
      <c r="F60" s="131" t="n">
        <f aca="false">IF(OR($C60="",$B$2="",$D$2=0),0,IF(F$3&lt;0,0,N(INDEX('CURVA PREVISION'!$A$1:$KZ$3000,$C60,11+3*MIN(F$3,$D$2-1)))))</f>
        <v>0</v>
      </c>
      <c r="G60" s="131" t="n">
        <f aca="false">IF(OR($C60="",$B$2="",$D$2=0),0,IF(G$3&lt;0,0,N(INDEX('CURVA PREVISION'!$A$1:$KZ$3000,$C60,11+3*MIN(G$3,$D$2-1)))))</f>
        <v>0</v>
      </c>
      <c r="H60" s="131" t="n">
        <f aca="false">IF(OR($C60="",$B$2="",$D$2=0),0,IF(H$3&lt;0,0,N(INDEX('CURVA PREVISION'!$A$1:$KZ$3000,$C60,11+3*MIN(H$3,$D$2-1)))))</f>
        <v>30.4</v>
      </c>
      <c r="I60" s="131" t="n">
        <f aca="false">IF(OR($C60="",$B$2="",$D$2=0),0,IF(I$3&lt;0,0,N(INDEX('CURVA PREVISION'!$A$1:$KZ$3000,$C60,11+3*MIN(I$3,$D$2-1)))))</f>
        <v>37.6</v>
      </c>
      <c r="J60" s="131" t="n">
        <f aca="false">IF(OR($C60="",$B$2="",$D$2=0),0,IF(J$3&lt;0,0,N(INDEX('CURVA PREVISION'!$A$1:$KZ$3000,$C60,11+3*MIN(J$3,$D$2-1)))))</f>
        <v>62.4</v>
      </c>
      <c r="K60" s="131" t="n">
        <f aca="false">IF(OR($C60="",$B$2="",$D$2=0),0,IF(K$3&lt;0,0,N(INDEX('CURVA PREVISION'!$A$1:$KZ$3000,$C60,11+3*MIN(K$3,$D$2-1)))))</f>
        <v>82</v>
      </c>
      <c r="L60" s="131" t="n">
        <f aca="false">IF(OR($C60="",$B$2="",$D$2=0),0,IF(L$3&lt;0,0,N(INDEX('CURVA PREVISION'!$A$1:$KZ$3000,$C60,11+3*MIN(L$3,$D$2-1)))))</f>
        <v>88</v>
      </c>
      <c r="M60" s="131" t="n">
        <f aca="false">IF(OR($C60="",$B$2="",$D$2=0),0,IF(M$3&lt;0,0,N(INDEX('CURVA PREVISION'!$A$1:$KZ$3000,$C60,11+3*MIN(M$3,$D$2-1)))))</f>
        <v>98.48</v>
      </c>
      <c r="N60" s="131" t="n">
        <f aca="false">IF(OR($C60="",$B$2="",$D$2=0),0,IF(N$3&lt;0,0,N(INDEX('CURVA PREVISION'!$A$1:$KZ$3000,$C60,11+3*MIN(N$3,$D$2-1)))))</f>
        <v>98.66</v>
      </c>
      <c r="O60" s="131" t="n">
        <f aca="false">IF(OR($C60="",$B$2="",$D$2=0),0,IF(O$3&lt;0,0,N(INDEX('CURVA PREVISION'!$A$1:$KZ$3000,$C60,11+3*MIN(O$3,$D$2-1)))))</f>
        <v>98.66</v>
      </c>
      <c r="P60" s="131" t="n">
        <f aca="false">IF(OR($C60="",$B$2="",$D$2=0),0,IF(P$3&lt;0,0,N(INDEX('CURVA PREVISION'!$A$1:$KZ$3000,$C60,11+3*MIN(P$3,$D$2-1)))))</f>
        <v>98.66</v>
      </c>
      <c r="Q60" s="131" t="n">
        <f aca="false">IF(OR($C60="",$B$2="",$D$2=0),0,IF(Q$3&lt;0,0,N(INDEX('CURVA PREVISION'!$A$1:$KZ$3000,$C60,11+3*MIN(Q$3,$D$2-1)))))</f>
        <v>98.66</v>
      </c>
      <c r="R60" s="131" t="n">
        <f aca="false">IF(OR($C60="",$B$2="",$D$2=0),0,IF(R$3&lt;0,0,N(INDEX('CURVA PREVISION'!$A$1:$KZ$3000,$C60,11+3*MIN(R$3,$D$2-1)))))</f>
        <v>98.66</v>
      </c>
      <c r="S60" s="131" t="n">
        <f aca="false">IF(OR($C60="",$B$2="",$D$2=0),0,IF(S$3&lt;0,0,N(INDEX('CURVA PREVISION'!$A$1:$KZ$3000,$C60,11+3*MIN(S$3,$D$2-1)))))</f>
        <v>98.66</v>
      </c>
      <c r="T60" s="131" t="n">
        <f aca="false">IF(OR($C60="",$B$2="",$D$2=0),0,IF(T$3&lt;0,0,N(INDEX('CURVA PREVISION'!$A$1:$KZ$3000,$C60,11+3*MIN(T$3,$D$2-1)))))</f>
        <v>98.66</v>
      </c>
      <c r="U60" s="131" t="n">
        <f aca="false">IF(OR($C60="",$B$2="",$D$2=0),0,IF(U$3&lt;0,0,N(INDEX('CURVA PREVISION'!$A$1:$KZ$3000,$C60,11+3*MIN(U$3,$D$2-1)))))</f>
        <v>98.66</v>
      </c>
      <c r="V60" s="131" t="n">
        <f aca="false">IF(OR($C60="",$B$2="",$D$2=0),0,IF(V$3&lt;0,0,N(INDEX('CURVA PREVISION'!$A$1:$KZ$3000,$C60,11+3*MIN(V$3,$D$2-1)))))</f>
        <v>98.66</v>
      </c>
      <c r="W60" s="131" t="n">
        <f aca="false">IF(OR($C60="",$B$2="",$D$2=0),0,IF(W$3&lt;0,0,N(INDEX('CURVA PREVISION'!$A$1:$KZ$3000,$C60,11+3*MIN(W$3,$D$2-1)))))</f>
        <v>98.66</v>
      </c>
      <c r="X60" s="131" t="n">
        <f aca="false">IF(OR($C60="",$B$2="",$D$2=0),0,IF(X$3&lt;0,0,N(INDEX('CURVA PREVISION'!$A$1:$KZ$3000,$C60,11+3*MIN(X$3,$D$2-1)))))</f>
        <v>100</v>
      </c>
      <c r="Y60" s="131" t="n">
        <f aca="false">IF(OR($C60="",$B$2="",$D$2=0),0,IF(Y$3&lt;0,0,N(INDEX('CURVA PREVISION'!$A$1:$KZ$3000,$C60,11+3*MIN(Y$3,$D$2-1)))))</f>
        <v>100</v>
      </c>
      <c r="Z60" s="131" t="n">
        <f aca="false">IF(OR($C60="",$B$2="",$D$2=0),0,IF(Z$3&lt;0,0,N(INDEX('CURVA PREVISION'!$A$1:$KZ$3000,$C60,11+3*MIN(Z$3,$D$2-1)))))</f>
        <v>100</v>
      </c>
      <c r="AA60" s="131" t="n">
        <f aca="false">IF(OR($C60="",$B$2="",$D$2=0),0,IF(AA$3&lt;0,0,N(INDEX('CURVA PREVISION'!$A$1:$KZ$3000,$C60,11+3*MIN(AA$3,$D$2-1)))))</f>
        <v>100</v>
      </c>
      <c r="AB60" s="131" t="n">
        <f aca="false">IF(OR($C60="",$B$2="",$D$2=0),0,IF(AB$3&lt;0,0,N(INDEX('CURVA PREVISION'!$A$1:$KZ$3000,$C60,11+3*MIN(AB$3,$D$2-1)))))</f>
        <v>100</v>
      </c>
      <c r="AC60" s="131" t="n">
        <f aca="false">IF(OR($C60="",$B$2="",$D$2=0),0,IF(AC$3&lt;0,0,N(INDEX('CURVA PREVISION'!$A$1:$KZ$3000,$C60,11+3*MIN(AC$3,$D$2-1)))))</f>
        <v>100</v>
      </c>
      <c r="AD60" s="131" t="n">
        <f aca="false">IF(OR($C60="",$B$2="",$D$2=0),0,IF(AD$3&lt;0,0,N(INDEX('CURVA PREVISION'!$A$1:$KZ$3000,$C60,11+3*MIN(AD$3,$D$2-1)))))</f>
        <v>100</v>
      </c>
      <c r="AE60" s="131" t="n">
        <f aca="false">IF(OR($C60="",$B$2="",$D$2=0),0,IF(AE$3&lt;0,0,N(INDEX('CURVA PREVISION'!$A$1:$KZ$3000,$C60,11+3*MIN(AE$3,$D$2-1)))))</f>
        <v>100</v>
      </c>
      <c r="AF60" s="131" t="n">
        <f aca="false">IF(OR($C60="",$B$2="",$D$2=0),0,IF(AF$3&lt;0,0,N(INDEX('CURVA PREVISION'!$A$1:$KZ$3000,$C60,11+3*MIN(AF$3,$D$2-1)))))</f>
        <v>100</v>
      </c>
      <c r="AG60" s="131" t="n">
        <f aca="false">IF(OR($C60="",$B$2="",$D$2=0),0,IF(AG$3&lt;0,0,N(INDEX('CURVA PREVISION'!$A$1:$KZ$3000,$C60,11+3*MIN(AG$3,$D$2-1)))))</f>
        <v>100</v>
      </c>
      <c r="AH60" s="131" t="n">
        <f aca="false">IF(OR($C60="",$B$2="",$D$2=0),0,IF(AH$3&lt;0,0,N(INDEX('CURVA PREVISION'!$A$1:$KZ$3000,$C60,11+3*MIN(AH$3,$D$2-1)))))</f>
        <v>100</v>
      </c>
      <c r="AI60" s="131" t="n">
        <f aca="false">IF(OR($C60="",$B$2="",$D$2=0),0,IF(AI$3&lt;0,0,N(INDEX('CURVA PREVISION'!$A$1:$KZ$3000,$C60,11+3*MIN(AI$3,$D$2-1)))))</f>
        <v>100</v>
      </c>
      <c r="AJ60" s="131" t="n">
        <f aca="false">IF(OR($C60="",$B$2="",$D$2=0),0,IF(AJ$3&lt;0,0,N(INDEX('CURVA PREVISION'!$A$1:$KZ$3000,$C60,11+3*MIN(AJ$3,$D$2-1)))))</f>
        <v>100</v>
      </c>
      <c r="AK60" s="131" t="n">
        <f aca="false">IF(OR($C60="",$B$2="",$D$2=0),0,IF(AK$3&lt;0,0,N(INDEX('CURVA PREVISION'!$A$1:$KZ$3000,$C60,11+3*MIN(AK$3,$D$2-1)))))</f>
        <v>100</v>
      </c>
      <c r="AL60" s="131" t="n">
        <f aca="false">IF(OR($C60="",$B$2="",$D$2=0),0,IF(AL$3&lt;0,0,N(INDEX('CURVA PREVISION'!$A$1:$KZ$3000,$C60,11+3*MIN(AL$3,$D$2-1)))))</f>
        <v>100</v>
      </c>
      <c r="AM60" s="131" t="n">
        <f aca="false">IF(OR($C60="",$B$2="",$D$2=0),0,IF(AM$3&lt;0,0,N(INDEX('CURVA PREVISION'!$A$1:$KZ$3000,$C60,11+3*MIN(AM$3,$D$2-1)))))</f>
        <v>100</v>
      </c>
      <c r="AN60" s="131" t="n">
        <f aca="false">IF(OR($C60="",$B$2="",$D$2=0),0,IF(AN$3&lt;0,0,N(INDEX('CURVA PREVISION'!$A$1:$KZ$3000,$C60,11+3*MIN(AN$3,$D$2-1)))))</f>
        <v>100</v>
      </c>
      <c r="AO60" s="131" t="n">
        <f aca="false">IF(OR($C60="",$B$2="",$D$2=0),0,IF(AO$3&lt;0,0,N(INDEX('CURVA PREVISION'!$A$1:$KZ$3000,$C60,11+3*MIN(AO$3,$D$2-1)))))</f>
        <v>100</v>
      </c>
      <c r="AP60" s="131" t="n">
        <f aca="false">IF(OR($C60="",$B$2="",$D$2=0),0,IF(AP$3&lt;0,0,N(INDEX('CURVA PREVISION'!$A$1:$KZ$3000,$C60,11+3*MIN(AP$3,$D$2-1)))))</f>
        <v>100</v>
      </c>
      <c r="AQ60" s="131" t="n">
        <f aca="false">IF(OR($C60="",$B$2="",$D$2=0),0,IF(AQ$3&lt;0,0,N(INDEX('CURVA PREVISION'!$A$1:$KZ$3000,$C60,11+3*MIN(AQ$3,$D$2-1)))))</f>
        <v>100</v>
      </c>
      <c r="AR60" s="131" t="n">
        <f aca="false">IF(OR($C60="",$B$2="",$D$2=0),0,IF(AR$3&lt;0,0,N(INDEX('CURVA PREVISION'!$A$1:$KZ$3000,$C60,11+3*MIN(AR$3,$D$2-1)))))</f>
        <v>100</v>
      </c>
      <c r="AS60" s="131" t="n">
        <f aca="false">IF(OR($C60="",$B$2="",$D$2=0),0,IF(AS$3&lt;0,0,N(INDEX('CURVA PREVISION'!$A$1:$KZ$3000,$C60,11+3*MIN(AS$3,$D$2-1)))))</f>
        <v>100</v>
      </c>
      <c r="AT60" s="131" t="n">
        <f aca="false">IF(OR($C60="",$B$2="",$D$2=0),0,IF(AT$3&lt;0,0,N(INDEX('CURVA PREVISION'!$A$1:$KZ$3000,$C60,11+3*MIN(AT$3,$D$2-1)))))</f>
        <v>100</v>
      </c>
      <c r="AU60" s="131" t="n">
        <f aca="false">IF(OR($C60="",$B$2="",$D$2=0),0,IF(AU$3&lt;0,0,N(INDEX('CURVA PREVISION'!$A$1:$KZ$3000,$C60,11+3*MIN(AU$3,$D$2-1)))))</f>
        <v>100</v>
      </c>
      <c r="AV60" s="131" t="n">
        <f aca="false">IF(OR($C60="",$B$2="",$D$2=0),0,IF(AV$3&lt;0,0,N(INDEX('CURVA PREVISION'!$A$1:$KZ$3000,$C60,11+3*MIN(AV$3,$D$2-1)))))</f>
        <v>100</v>
      </c>
      <c r="AW60" s="131" t="n">
        <f aca="false">IF(OR($C60="",$B$2="",$D$2=0),0,IF(AW$3&lt;0,0,N(INDEX('CURVA PREVISION'!$A$1:$KZ$3000,$C60,11+3*MIN(AW$3,$D$2-1)))))</f>
        <v>100</v>
      </c>
      <c r="AX60" s="131" t="n">
        <f aca="false">IF(OR($C60="",$B$2="",$D$2=0),0,IF(AX$3&lt;0,0,N(INDEX('CURVA PREVISION'!$A$1:$KZ$3000,$C60,11+3*MIN(AX$3,$D$2-1)))))</f>
        <v>100</v>
      </c>
      <c r="AY60" s="131" t="n">
        <f aca="false">IF(OR($C60="",$B$2="",$D$2=0),0,IF(AY$3&lt;0,0,N(INDEX('CURVA PREVISION'!$A$1:$KZ$3000,$C60,11+3*MIN(AY$3,$D$2-1)))))</f>
        <v>100</v>
      </c>
      <c r="AZ60" s="131" t="n">
        <f aca="false">IF(OR($C60="",$B$2="",$D$2=0),0,IF(AZ$3&lt;0,0,N(INDEX('CURVA PREVISION'!$A$1:$KZ$3000,$C60,11+3*MIN(AZ$3,$D$2-1)))))</f>
        <v>100</v>
      </c>
      <c r="BA60" s="131" t="n">
        <f aca="false">IF(OR($C60="",$B$2="",$D$2=0),0,IF(BA$3&lt;0,0,N(INDEX('CURVA PREVISION'!$A$1:$KZ$3000,$C60,11+3*MIN(BA$3,$D$2-1)))))</f>
        <v>100</v>
      </c>
      <c r="BB60" s="131" t="n">
        <f aca="false">IF(OR($C60="",$B$2="",$D$2=0),0,IF(BB$3&lt;0,0,N(INDEX('CURVA PREVISION'!$A$1:$KZ$3000,$C60,11+3*MIN(BB$3,$D$2-1)))))</f>
        <v>100</v>
      </c>
      <c r="BC60" s="131" t="n">
        <f aca="false">IF(OR($C60="",$B$2="",$D$2=0),0,IF(BC$3&lt;0,0,N(INDEX('CURVA PREVISION'!$A$1:$KZ$3000,$C60,11+3*MIN(BC$3,$D$2-1)))))</f>
        <v>100</v>
      </c>
      <c r="BD60" s="131" t="n">
        <f aca="false">IF(OR($C60="",$B$2="",$D$2=0),0,IF(BD$3&lt;0,0,N(INDEX('CURVA PREVISION'!$A$1:$KZ$3000,$C60,11+3*MIN(BD$3,$D$2-1)))))</f>
        <v>100</v>
      </c>
      <c r="BE60" s="131" t="n">
        <f aca="false">IF(OR($C60="",$B$2="",$D$2=0),0,IF(BE$3&lt;0,0,N(INDEX('CURVA PREVISION'!$A$1:$KZ$3000,$C60,11+3*MIN(BE$3,$D$2-1)))))</f>
        <v>100</v>
      </c>
      <c r="BF60" s="131" t="n">
        <f aca="false">IF(OR($C60="",$B$2="",$D$2=0),0,IF(BF$3&lt;0,0,N(INDEX('CURVA PREVISION'!$A$1:$KZ$3000,$C60,11+3*MIN(BF$3,$D$2-1)))))</f>
        <v>100</v>
      </c>
      <c r="BG60" s="131" t="n">
        <f aca="false">IF(OR($C60="",$B$2="",$D$2=0),0,IF(BG$3&lt;0,0,N(INDEX('CURVA PREVISION'!$A$1:$KZ$3000,$C60,11+3*MIN(BG$3,$D$2-1)))))</f>
        <v>100</v>
      </c>
      <c r="BH60" s="131" t="n">
        <f aca="false">IF(OR($C60="",$B$2="",$D$2=0),0,IF(BH$3&lt;0,0,N(INDEX('CURVA PREVISION'!$A$1:$KZ$3000,$C60,11+3*MIN(BH$3,$D$2-1)))))</f>
        <v>100</v>
      </c>
      <c r="BI60" s="131" t="n">
        <f aca="false">IF(OR($C60="",$B$2="",$D$2=0),0,IF(BI$3&lt;0,0,N(INDEX('CURVA PREVISION'!$A$1:$KZ$3000,$C60,11+3*MIN(BI$3,$D$2-1)))))</f>
        <v>100</v>
      </c>
      <c r="BJ60" s="131" t="n">
        <f aca="false">IF(OR($C60="",$B$2="",$D$2=0),0,IF(BJ$3&lt;0,0,N(INDEX('CURVA PREVISION'!$A$1:$KZ$3000,$C60,11+3*MIN(BJ$3,$D$2-1)))))</f>
        <v>100</v>
      </c>
      <c r="BK60" s="131" t="n">
        <f aca="false">IF(OR($C60="",$B$2="",$D$2=0),0,IF(BK$3&lt;0,0,N(INDEX('CURVA PREVISION'!$A$1:$KZ$3000,$C60,11+3*MIN(BK$3,$D$2-1)))))</f>
        <v>100</v>
      </c>
      <c r="BL60" s="131" t="n">
        <f aca="false">IF(OR($C60="",$B$2="",$D$2=0),0,IF(BL$3&lt;0,0,N(INDEX('CURVA PREVISION'!$A$1:$KZ$3000,$C60,11+3*MIN(BL$3,$D$2-1)))))</f>
        <v>100</v>
      </c>
      <c r="BM60" s="131" t="n">
        <f aca="false">IF(OR($C60="",$B$2="",$D$2=0),0,IF(BM$3&lt;0,0,N(INDEX('CURVA PREVISION'!$A$1:$KZ$3000,$C60,11+3*MIN(BM$3,$D$2-1)))))</f>
        <v>100</v>
      </c>
      <c r="BN60" s="131" t="n">
        <f aca="false">IF(OR($C60="",$B$2="",$D$2=0),0,IF(BN$3&lt;0,0,N(INDEX('CURVA PREVISION'!$A$1:$KZ$3000,$C60,11+3*MIN(BN$3,$D$2-1)))))</f>
        <v>100</v>
      </c>
      <c r="BO60" s="131" t="n">
        <f aca="false">IF(OR($C60="",$B$2="",$D$2=0),0,IF(BO$3&lt;0,0,N(INDEX('CURVA PREVISION'!$A$1:$KZ$3000,$C60,11+3*MIN(BO$3,$D$2-1)))))</f>
        <v>100</v>
      </c>
      <c r="BP60" s="131" t="n">
        <f aca="false">IF(OR($C60="",$B$2="",$D$2=0),0,IF(BP$3&lt;0,0,N(INDEX('CURVA PREVISION'!$A$1:$KZ$3000,$C60,11+3*MIN(BP$3,$D$2-1)))))</f>
        <v>100</v>
      </c>
      <c r="BQ60" s="131" t="n">
        <f aca="false">IF(OR($C60="",$B$2="",$D$2=0),0,IF(BQ$3&lt;0,0,N(INDEX('CURVA PREVISION'!$A$1:$KZ$3000,$C60,11+3*MIN(BQ$3,$D$2-1)))))</f>
        <v>100</v>
      </c>
      <c r="BR60" s="131" t="n">
        <f aca="false">IF(OR($C60="",$B$2="",$D$2=0),0,IF(BR$3&lt;0,0,N(INDEX('CURVA PREVISION'!$A$1:$KZ$3000,$C60,11+3*MIN(BR$3,$D$2-1)))))</f>
        <v>100</v>
      </c>
      <c r="BS60" s="131" t="n">
        <f aca="false">IF(OR($C60="",$B$2="",$D$2=0),0,IF(BS$3&lt;0,0,N(INDEX('CURVA PREVISION'!$A$1:$KZ$3000,$C60,11+3*MIN(BS$3,$D$2-1)))))</f>
        <v>100</v>
      </c>
      <c r="BT60" s="131" t="n">
        <f aca="false">IF(OR($C60="",$B$2="",$D$2=0),0,IF(BT$3&lt;0,0,N(INDEX('CURVA PREVISION'!$A$1:$KZ$3000,$C60,11+3*MIN(BT$3,$D$2-1)))))</f>
        <v>100</v>
      </c>
      <c r="BU60" s="131" t="n">
        <f aca="false">IF(OR($C60="",$B$2="",$D$2=0),0,IF(BU$3&lt;0,0,N(INDEX('CURVA PREVISION'!$A$1:$KZ$3000,$C60,11+3*MIN(BU$3,$D$2-1)))))</f>
        <v>100</v>
      </c>
      <c r="BV60" s="131" t="n">
        <f aca="false">IF(OR($C60="",$B$2="",$D$2=0),0,IF(BV$3&lt;0,0,N(INDEX('CURVA PREVISION'!$A$1:$KZ$3000,$C60,11+3*MIN(BV$3,$D$2-1)))))</f>
        <v>100</v>
      </c>
      <c r="BW60" s="131" t="n">
        <f aca="false">IF(OR($C60="",$B$2="",$D$2=0),0,IF(BW$3&lt;0,0,N(INDEX('CURVA PREVISION'!$A$1:$KZ$3000,$C60,11+3*MIN(BW$3,$D$2-1)))))</f>
        <v>100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332</v>
      </c>
      <c r="D61" s="131" t="n">
        <f aca="false">IF(OR($C61="",$B$2="",$D$2=0),0,IF(D$3&lt;0,0,N(INDEX('CURVA PREVISION'!$A$1:$KZ$3000,$C61,11+3*MIN(D$3,$D$2-1)))))</f>
        <v>0</v>
      </c>
      <c r="E61" s="131" t="n">
        <f aca="false">IF(OR($C61="",$B$2="",$D$2=0),0,IF(E$3&lt;0,0,N(INDEX('CURVA PREVISION'!$A$1:$KZ$3000,$C61,11+3*MIN(E$3,$D$2-1)))))</f>
        <v>0</v>
      </c>
      <c r="F61" s="131" t="n">
        <f aca="false">IF(OR($C61="",$B$2="",$D$2=0),0,IF(F$3&lt;0,0,N(INDEX('CURVA PREVISION'!$A$1:$KZ$3000,$C61,11+3*MIN(F$3,$D$2-1)))))</f>
        <v>0</v>
      </c>
      <c r="G61" s="131" t="n">
        <f aca="false">IF(OR($C61="",$B$2="",$D$2=0),0,IF(G$3&lt;0,0,N(INDEX('CURVA PREVISION'!$A$1:$KZ$3000,$C61,11+3*MIN(G$3,$D$2-1)))))</f>
        <v>0</v>
      </c>
      <c r="H61" s="131" t="n">
        <f aca="false">IF(OR($C61="",$B$2="",$D$2=0),0,IF(H$3&lt;0,0,N(INDEX('CURVA PREVISION'!$A$1:$KZ$3000,$C61,11+3*MIN(H$3,$D$2-1)))))</f>
        <v>0</v>
      </c>
      <c r="I61" s="131" t="n">
        <f aca="false">IF(OR($C61="",$B$2="",$D$2=0),0,IF(I$3&lt;0,0,N(INDEX('CURVA PREVISION'!$A$1:$KZ$3000,$C61,11+3*MIN(I$3,$D$2-1)))))</f>
        <v>12.22</v>
      </c>
      <c r="J61" s="131" t="n">
        <f aca="false">IF(OR($C61="",$B$2="",$D$2=0),0,IF(J$3&lt;0,0,N(INDEX('CURVA PREVISION'!$A$1:$KZ$3000,$C61,11+3*MIN(J$3,$D$2-1)))))</f>
        <v>23.8</v>
      </c>
      <c r="K61" s="131" t="n">
        <f aca="false">IF(OR($C61="",$B$2="",$D$2=0),0,IF(K$3&lt;0,0,N(INDEX('CURVA PREVISION'!$A$1:$KZ$3000,$C61,11+3*MIN(K$3,$D$2-1)))))</f>
        <v>40.83</v>
      </c>
      <c r="L61" s="131" t="n">
        <f aca="false">IF(OR($C61="",$B$2="",$D$2=0),0,IF(L$3&lt;0,0,N(INDEX('CURVA PREVISION'!$A$1:$KZ$3000,$C61,11+3*MIN(L$3,$D$2-1)))))</f>
        <v>62.68</v>
      </c>
      <c r="M61" s="131" t="n">
        <f aca="false">IF(OR($C61="",$B$2="",$D$2=0),0,IF(M$3&lt;0,0,N(INDEX('CURVA PREVISION'!$A$1:$KZ$3000,$C61,11+3*MIN(M$3,$D$2-1)))))</f>
        <v>100</v>
      </c>
      <c r="N61" s="131" t="n">
        <f aca="false">IF(OR($C61="",$B$2="",$D$2=0),0,IF(N$3&lt;0,0,N(INDEX('CURVA PREVISION'!$A$1:$KZ$3000,$C61,11+3*MIN(N$3,$D$2-1)))))</f>
        <v>100</v>
      </c>
      <c r="O61" s="131" t="n">
        <f aca="false">IF(OR($C61="",$B$2="",$D$2=0),0,IF(O$3&lt;0,0,N(INDEX('CURVA PREVISION'!$A$1:$KZ$3000,$C61,11+3*MIN(O$3,$D$2-1)))))</f>
        <v>100</v>
      </c>
      <c r="P61" s="131" t="n">
        <f aca="false">IF(OR($C61="",$B$2="",$D$2=0),0,IF(P$3&lt;0,0,N(INDEX('CURVA PREVISION'!$A$1:$KZ$3000,$C61,11+3*MIN(P$3,$D$2-1)))))</f>
        <v>100</v>
      </c>
      <c r="Q61" s="131" t="n">
        <f aca="false">IF(OR($C61="",$B$2="",$D$2=0),0,IF(Q$3&lt;0,0,N(INDEX('CURVA PREVISION'!$A$1:$KZ$3000,$C61,11+3*MIN(Q$3,$D$2-1)))))</f>
        <v>100</v>
      </c>
      <c r="R61" s="131" t="n">
        <f aca="false">IF(OR($C61="",$B$2="",$D$2=0),0,IF(R$3&lt;0,0,N(INDEX('CURVA PREVISION'!$A$1:$KZ$3000,$C61,11+3*MIN(R$3,$D$2-1)))))</f>
        <v>100</v>
      </c>
      <c r="S61" s="131" t="n">
        <f aca="false">IF(OR($C61="",$B$2="",$D$2=0),0,IF(S$3&lt;0,0,N(INDEX('CURVA PREVISION'!$A$1:$KZ$3000,$C61,11+3*MIN(S$3,$D$2-1)))))</f>
        <v>100</v>
      </c>
      <c r="T61" s="131" t="n">
        <f aca="false">IF(OR($C61="",$B$2="",$D$2=0),0,IF(T$3&lt;0,0,N(INDEX('CURVA PREVISION'!$A$1:$KZ$3000,$C61,11+3*MIN(T$3,$D$2-1)))))</f>
        <v>100</v>
      </c>
      <c r="U61" s="131" t="n">
        <f aca="false">IF(OR($C61="",$B$2="",$D$2=0),0,IF(U$3&lt;0,0,N(INDEX('CURVA PREVISION'!$A$1:$KZ$3000,$C61,11+3*MIN(U$3,$D$2-1)))))</f>
        <v>100</v>
      </c>
      <c r="V61" s="131" t="n">
        <f aca="false">IF(OR($C61="",$B$2="",$D$2=0),0,IF(V$3&lt;0,0,N(INDEX('CURVA PREVISION'!$A$1:$KZ$3000,$C61,11+3*MIN(V$3,$D$2-1)))))</f>
        <v>100</v>
      </c>
      <c r="W61" s="131" t="n">
        <f aca="false">IF(OR($C61="",$B$2="",$D$2=0),0,IF(W$3&lt;0,0,N(INDEX('CURVA PREVISION'!$A$1:$KZ$3000,$C61,11+3*MIN(W$3,$D$2-1)))))</f>
        <v>100</v>
      </c>
      <c r="X61" s="131" t="n">
        <f aca="false">IF(OR($C61="",$B$2="",$D$2=0),0,IF(X$3&lt;0,0,N(INDEX('CURVA PREVISION'!$A$1:$KZ$3000,$C61,11+3*MIN(X$3,$D$2-1)))))</f>
        <v>100</v>
      </c>
      <c r="Y61" s="131" t="n">
        <f aca="false">IF(OR($C61="",$B$2="",$D$2=0),0,IF(Y$3&lt;0,0,N(INDEX('CURVA PREVISION'!$A$1:$KZ$3000,$C61,11+3*MIN(Y$3,$D$2-1)))))</f>
        <v>100</v>
      </c>
      <c r="Z61" s="131" t="n">
        <f aca="false">IF(OR($C61="",$B$2="",$D$2=0),0,IF(Z$3&lt;0,0,N(INDEX('CURVA PREVISION'!$A$1:$KZ$3000,$C61,11+3*MIN(Z$3,$D$2-1)))))</f>
        <v>100</v>
      </c>
      <c r="AA61" s="131" t="n">
        <f aca="false">IF(OR($C61="",$B$2="",$D$2=0),0,IF(AA$3&lt;0,0,N(INDEX('CURVA PREVISION'!$A$1:$KZ$3000,$C61,11+3*MIN(AA$3,$D$2-1)))))</f>
        <v>100</v>
      </c>
      <c r="AB61" s="131" t="n">
        <f aca="false">IF(OR($C61="",$B$2="",$D$2=0),0,IF(AB$3&lt;0,0,N(INDEX('CURVA PREVISION'!$A$1:$KZ$3000,$C61,11+3*MIN(AB$3,$D$2-1)))))</f>
        <v>100</v>
      </c>
      <c r="AC61" s="131" t="n">
        <f aca="false">IF(OR($C61="",$B$2="",$D$2=0),0,IF(AC$3&lt;0,0,N(INDEX('CURVA PREVISION'!$A$1:$KZ$3000,$C61,11+3*MIN(AC$3,$D$2-1)))))</f>
        <v>100</v>
      </c>
      <c r="AD61" s="131" t="n">
        <f aca="false">IF(OR($C61="",$B$2="",$D$2=0),0,IF(AD$3&lt;0,0,N(INDEX('CURVA PREVISION'!$A$1:$KZ$3000,$C61,11+3*MIN(AD$3,$D$2-1)))))</f>
        <v>100</v>
      </c>
      <c r="AE61" s="131" t="n">
        <f aca="false">IF(OR($C61="",$B$2="",$D$2=0),0,IF(AE$3&lt;0,0,N(INDEX('CURVA PREVISION'!$A$1:$KZ$3000,$C61,11+3*MIN(AE$3,$D$2-1)))))</f>
        <v>100</v>
      </c>
      <c r="AF61" s="131" t="n">
        <f aca="false">IF(OR($C61="",$B$2="",$D$2=0),0,IF(AF$3&lt;0,0,N(INDEX('CURVA PREVISION'!$A$1:$KZ$3000,$C61,11+3*MIN(AF$3,$D$2-1)))))</f>
        <v>100</v>
      </c>
      <c r="AG61" s="131" t="n">
        <f aca="false">IF(OR($C61="",$B$2="",$D$2=0),0,IF(AG$3&lt;0,0,N(INDEX('CURVA PREVISION'!$A$1:$KZ$3000,$C61,11+3*MIN(AG$3,$D$2-1)))))</f>
        <v>100</v>
      </c>
      <c r="AH61" s="131" t="n">
        <f aca="false">IF(OR($C61="",$B$2="",$D$2=0),0,IF(AH$3&lt;0,0,N(INDEX('CURVA PREVISION'!$A$1:$KZ$3000,$C61,11+3*MIN(AH$3,$D$2-1)))))</f>
        <v>100</v>
      </c>
      <c r="AI61" s="131" t="n">
        <f aca="false">IF(OR($C61="",$B$2="",$D$2=0),0,IF(AI$3&lt;0,0,N(INDEX('CURVA PREVISION'!$A$1:$KZ$3000,$C61,11+3*MIN(AI$3,$D$2-1)))))</f>
        <v>100</v>
      </c>
      <c r="AJ61" s="131" t="n">
        <f aca="false">IF(OR($C61="",$B$2="",$D$2=0),0,IF(AJ$3&lt;0,0,N(INDEX('CURVA PREVISION'!$A$1:$KZ$3000,$C61,11+3*MIN(AJ$3,$D$2-1)))))</f>
        <v>100</v>
      </c>
      <c r="AK61" s="131" t="n">
        <f aca="false">IF(OR($C61="",$B$2="",$D$2=0),0,IF(AK$3&lt;0,0,N(INDEX('CURVA PREVISION'!$A$1:$KZ$3000,$C61,11+3*MIN(AK$3,$D$2-1)))))</f>
        <v>100</v>
      </c>
      <c r="AL61" s="131" t="n">
        <f aca="false">IF(OR($C61="",$B$2="",$D$2=0),0,IF(AL$3&lt;0,0,N(INDEX('CURVA PREVISION'!$A$1:$KZ$3000,$C61,11+3*MIN(AL$3,$D$2-1)))))</f>
        <v>100</v>
      </c>
      <c r="AM61" s="131" t="n">
        <f aca="false">IF(OR($C61="",$B$2="",$D$2=0),0,IF(AM$3&lt;0,0,N(INDEX('CURVA PREVISION'!$A$1:$KZ$3000,$C61,11+3*MIN(AM$3,$D$2-1)))))</f>
        <v>100</v>
      </c>
      <c r="AN61" s="131" t="n">
        <f aca="false">IF(OR($C61="",$B$2="",$D$2=0),0,IF(AN$3&lt;0,0,N(INDEX('CURVA PREVISION'!$A$1:$KZ$3000,$C61,11+3*MIN(AN$3,$D$2-1)))))</f>
        <v>100</v>
      </c>
      <c r="AO61" s="131" t="n">
        <f aca="false">IF(OR($C61="",$B$2="",$D$2=0),0,IF(AO$3&lt;0,0,N(INDEX('CURVA PREVISION'!$A$1:$KZ$3000,$C61,11+3*MIN(AO$3,$D$2-1)))))</f>
        <v>100</v>
      </c>
      <c r="AP61" s="131" t="n">
        <f aca="false">IF(OR($C61="",$B$2="",$D$2=0),0,IF(AP$3&lt;0,0,N(INDEX('CURVA PREVISION'!$A$1:$KZ$3000,$C61,11+3*MIN(AP$3,$D$2-1)))))</f>
        <v>100</v>
      </c>
      <c r="AQ61" s="131" t="n">
        <f aca="false">IF(OR($C61="",$B$2="",$D$2=0),0,IF(AQ$3&lt;0,0,N(INDEX('CURVA PREVISION'!$A$1:$KZ$3000,$C61,11+3*MIN(AQ$3,$D$2-1)))))</f>
        <v>100</v>
      </c>
      <c r="AR61" s="131" t="n">
        <f aca="false">IF(OR($C61="",$B$2="",$D$2=0),0,IF(AR$3&lt;0,0,N(INDEX('CURVA PREVISION'!$A$1:$KZ$3000,$C61,11+3*MIN(AR$3,$D$2-1)))))</f>
        <v>100</v>
      </c>
      <c r="AS61" s="131" t="n">
        <f aca="false">IF(OR($C61="",$B$2="",$D$2=0),0,IF(AS$3&lt;0,0,N(INDEX('CURVA PREVISION'!$A$1:$KZ$3000,$C61,11+3*MIN(AS$3,$D$2-1)))))</f>
        <v>100</v>
      </c>
      <c r="AT61" s="131" t="n">
        <f aca="false">IF(OR($C61="",$B$2="",$D$2=0),0,IF(AT$3&lt;0,0,N(INDEX('CURVA PREVISION'!$A$1:$KZ$3000,$C61,11+3*MIN(AT$3,$D$2-1)))))</f>
        <v>100</v>
      </c>
      <c r="AU61" s="131" t="n">
        <f aca="false">IF(OR($C61="",$B$2="",$D$2=0),0,IF(AU$3&lt;0,0,N(INDEX('CURVA PREVISION'!$A$1:$KZ$3000,$C61,11+3*MIN(AU$3,$D$2-1)))))</f>
        <v>100</v>
      </c>
      <c r="AV61" s="131" t="n">
        <f aca="false">IF(OR($C61="",$B$2="",$D$2=0),0,IF(AV$3&lt;0,0,N(INDEX('CURVA PREVISION'!$A$1:$KZ$3000,$C61,11+3*MIN(AV$3,$D$2-1)))))</f>
        <v>100</v>
      </c>
      <c r="AW61" s="131" t="n">
        <f aca="false">IF(OR($C61="",$B$2="",$D$2=0),0,IF(AW$3&lt;0,0,N(INDEX('CURVA PREVISION'!$A$1:$KZ$3000,$C61,11+3*MIN(AW$3,$D$2-1)))))</f>
        <v>100</v>
      </c>
      <c r="AX61" s="131" t="n">
        <f aca="false">IF(OR($C61="",$B$2="",$D$2=0),0,IF(AX$3&lt;0,0,N(INDEX('CURVA PREVISION'!$A$1:$KZ$3000,$C61,11+3*MIN(AX$3,$D$2-1)))))</f>
        <v>100</v>
      </c>
      <c r="AY61" s="131" t="n">
        <f aca="false">IF(OR($C61="",$B$2="",$D$2=0),0,IF(AY$3&lt;0,0,N(INDEX('CURVA PREVISION'!$A$1:$KZ$3000,$C61,11+3*MIN(AY$3,$D$2-1)))))</f>
        <v>100</v>
      </c>
      <c r="AZ61" s="131" t="n">
        <f aca="false">IF(OR($C61="",$B$2="",$D$2=0),0,IF(AZ$3&lt;0,0,N(INDEX('CURVA PREVISION'!$A$1:$KZ$3000,$C61,11+3*MIN(AZ$3,$D$2-1)))))</f>
        <v>100</v>
      </c>
      <c r="BA61" s="131" t="n">
        <f aca="false">IF(OR($C61="",$B$2="",$D$2=0),0,IF(BA$3&lt;0,0,N(INDEX('CURVA PREVISION'!$A$1:$KZ$3000,$C61,11+3*MIN(BA$3,$D$2-1)))))</f>
        <v>100</v>
      </c>
      <c r="BB61" s="131" t="n">
        <f aca="false">IF(OR($C61="",$B$2="",$D$2=0),0,IF(BB$3&lt;0,0,N(INDEX('CURVA PREVISION'!$A$1:$KZ$3000,$C61,11+3*MIN(BB$3,$D$2-1)))))</f>
        <v>100</v>
      </c>
      <c r="BC61" s="131" t="n">
        <f aca="false">IF(OR($C61="",$B$2="",$D$2=0),0,IF(BC$3&lt;0,0,N(INDEX('CURVA PREVISION'!$A$1:$KZ$3000,$C61,11+3*MIN(BC$3,$D$2-1)))))</f>
        <v>100</v>
      </c>
      <c r="BD61" s="131" t="n">
        <f aca="false">IF(OR($C61="",$B$2="",$D$2=0),0,IF(BD$3&lt;0,0,N(INDEX('CURVA PREVISION'!$A$1:$KZ$3000,$C61,11+3*MIN(BD$3,$D$2-1)))))</f>
        <v>100</v>
      </c>
      <c r="BE61" s="131" t="n">
        <f aca="false">IF(OR($C61="",$B$2="",$D$2=0),0,IF(BE$3&lt;0,0,N(INDEX('CURVA PREVISION'!$A$1:$KZ$3000,$C61,11+3*MIN(BE$3,$D$2-1)))))</f>
        <v>100</v>
      </c>
      <c r="BF61" s="131" t="n">
        <f aca="false">IF(OR($C61="",$B$2="",$D$2=0),0,IF(BF$3&lt;0,0,N(INDEX('CURVA PREVISION'!$A$1:$KZ$3000,$C61,11+3*MIN(BF$3,$D$2-1)))))</f>
        <v>100</v>
      </c>
      <c r="BG61" s="131" t="n">
        <f aca="false">IF(OR($C61="",$B$2="",$D$2=0),0,IF(BG$3&lt;0,0,N(INDEX('CURVA PREVISION'!$A$1:$KZ$3000,$C61,11+3*MIN(BG$3,$D$2-1)))))</f>
        <v>100</v>
      </c>
      <c r="BH61" s="131" t="n">
        <f aca="false">IF(OR($C61="",$B$2="",$D$2=0),0,IF(BH$3&lt;0,0,N(INDEX('CURVA PREVISION'!$A$1:$KZ$3000,$C61,11+3*MIN(BH$3,$D$2-1)))))</f>
        <v>100</v>
      </c>
      <c r="BI61" s="131" t="n">
        <f aca="false">IF(OR($C61="",$B$2="",$D$2=0),0,IF(BI$3&lt;0,0,N(INDEX('CURVA PREVISION'!$A$1:$KZ$3000,$C61,11+3*MIN(BI$3,$D$2-1)))))</f>
        <v>100</v>
      </c>
      <c r="BJ61" s="131" t="n">
        <f aca="false">IF(OR($C61="",$B$2="",$D$2=0),0,IF(BJ$3&lt;0,0,N(INDEX('CURVA PREVISION'!$A$1:$KZ$3000,$C61,11+3*MIN(BJ$3,$D$2-1)))))</f>
        <v>100</v>
      </c>
      <c r="BK61" s="131" t="n">
        <f aca="false">IF(OR($C61="",$B$2="",$D$2=0),0,IF(BK$3&lt;0,0,N(INDEX('CURVA PREVISION'!$A$1:$KZ$3000,$C61,11+3*MIN(BK$3,$D$2-1)))))</f>
        <v>100</v>
      </c>
      <c r="BL61" s="131" t="n">
        <f aca="false">IF(OR($C61="",$B$2="",$D$2=0),0,IF(BL$3&lt;0,0,N(INDEX('CURVA PREVISION'!$A$1:$KZ$3000,$C61,11+3*MIN(BL$3,$D$2-1)))))</f>
        <v>100</v>
      </c>
      <c r="BM61" s="131" t="n">
        <f aca="false">IF(OR($C61="",$B$2="",$D$2=0),0,IF(BM$3&lt;0,0,N(INDEX('CURVA PREVISION'!$A$1:$KZ$3000,$C61,11+3*MIN(BM$3,$D$2-1)))))</f>
        <v>100</v>
      </c>
      <c r="BN61" s="131" t="n">
        <f aca="false">IF(OR($C61="",$B$2="",$D$2=0),0,IF(BN$3&lt;0,0,N(INDEX('CURVA PREVISION'!$A$1:$KZ$3000,$C61,11+3*MIN(BN$3,$D$2-1)))))</f>
        <v>100</v>
      </c>
      <c r="BO61" s="131" t="n">
        <f aca="false">IF(OR($C61="",$B$2="",$D$2=0),0,IF(BO$3&lt;0,0,N(INDEX('CURVA PREVISION'!$A$1:$KZ$3000,$C61,11+3*MIN(BO$3,$D$2-1)))))</f>
        <v>100</v>
      </c>
      <c r="BP61" s="131" t="n">
        <f aca="false">IF(OR($C61="",$B$2="",$D$2=0),0,IF(BP$3&lt;0,0,N(INDEX('CURVA PREVISION'!$A$1:$KZ$3000,$C61,11+3*MIN(BP$3,$D$2-1)))))</f>
        <v>100</v>
      </c>
      <c r="BQ61" s="131" t="n">
        <f aca="false">IF(OR($C61="",$B$2="",$D$2=0),0,IF(BQ$3&lt;0,0,N(INDEX('CURVA PREVISION'!$A$1:$KZ$3000,$C61,11+3*MIN(BQ$3,$D$2-1)))))</f>
        <v>100</v>
      </c>
      <c r="BR61" s="131" t="n">
        <f aca="false">IF(OR($C61="",$B$2="",$D$2=0),0,IF(BR$3&lt;0,0,N(INDEX('CURVA PREVISION'!$A$1:$KZ$3000,$C61,11+3*MIN(BR$3,$D$2-1)))))</f>
        <v>100</v>
      </c>
      <c r="BS61" s="131" t="n">
        <f aca="false">IF(OR($C61="",$B$2="",$D$2=0),0,IF(BS$3&lt;0,0,N(INDEX('CURVA PREVISION'!$A$1:$KZ$3000,$C61,11+3*MIN(BS$3,$D$2-1)))))</f>
        <v>100</v>
      </c>
      <c r="BT61" s="131" t="n">
        <f aca="false">IF(OR($C61="",$B$2="",$D$2=0),0,IF(BT$3&lt;0,0,N(INDEX('CURVA PREVISION'!$A$1:$KZ$3000,$C61,11+3*MIN(BT$3,$D$2-1)))))</f>
        <v>100</v>
      </c>
      <c r="BU61" s="131" t="n">
        <f aca="false">IF(OR($C61="",$B$2="",$D$2=0),0,IF(BU$3&lt;0,0,N(INDEX('CURVA PREVISION'!$A$1:$KZ$3000,$C61,11+3*MIN(BU$3,$D$2-1)))))</f>
        <v>100</v>
      </c>
      <c r="BV61" s="131" t="n">
        <f aca="false">IF(OR($C61="",$B$2="",$D$2=0),0,IF(BV$3&lt;0,0,N(INDEX('CURVA PREVISION'!$A$1:$KZ$3000,$C61,11+3*MIN(BV$3,$D$2-1)))))</f>
        <v>100</v>
      </c>
      <c r="BW61" s="131" t="n">
        <f aca="false">IF(OR($C61="",$B$2="",$D$2=0),0,IF(BW$3&lt;0,0,N(INDEX('CURVA PREVISION'!$A$1:$KZ$3000,$C61,11+3*MIN(BW$3,$D$2-1)))))</f>
        <v>100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386</v>
      </c>
      <c r="D62" s="131" t="n">
        <f aca="false">IF(OR($C62="",$B$2="",$D$2=0),0,IF(D$3&lt;0,0,N(INDEX('CURVA PREVISION'!$A$1:$KZ$3000,$C62,11+3*MIN(D$3,$D$2-1)))))</f>
        <v>0</v>
      </c>
      <c r="E62" s="131" t="n">
        <f aca="false">IF(OR($C62="",$B$2="",$D$2=0),0,IF(E$3&lt;0,0,N(INDEX('CURVA PREVISION'!$A$1:$KZ$3000,$C62,11+3*MIN(E$3,$D$2-1)))))</f>
        <v>0</v>
      </c>
      <c r="F62" s="131" t="n">
        <f aca="false">IF(OR($C62="",$B$2="",$D$2=0),0,IF(F$3&lt;0,0,N(INDEX('CURVA PREVISION'!$A$1:$KZ$3000,$C62,11+3*MIN(F$3,$D$2-1)))))</f>
        <v>0</v>
      </c>
      <c r="G62" s="131" t="n">
        <f aca="false">IF(OR($C62="",$B$2="",$D$2=0),0,IF(G$3&lt;0,0,N(INDEX('CURVA PREVISION'!$A$1:$KZ$3000,$C62,11+3*MIN(G$3,$D$2-1)))))</f>
        <v>0</v>
      </c>
      <c r="H62" s="131" t="n">
        <f aca="false">IF(OR($C62="",$B$2="",$D$2=0),0,IF(H$3&lt;0,0,N(INDEX('CURVA PREVISION'!$A$1:$KZ$3000,$C62,11+3*MIN(H$3,$D$2-1)))))</f>
        <v>0</v>
      </c>
      <c r="I62" s="131" t="n">
        <f aca="false">IF(OR($C62="",$B$2="",$D$2=0),0,IF(I$3&lt;0,0,N(INDEX('CURVA PREVISION'!$A$1:$KZ$3000,$C62,11+3*MIN(I$3,$D$2-1)))))</f>
        <v>0</v>
      </c>
      <c r="J62" s="131" t="n">
        <f aca="false">IF(OR($C62="",$B$2="",$D$2=0),0,IF(J$3&lt;0,0,N(INDEX('CURVA PREVISION'!$A$1:$KZ$3000,$C62,11+3*MIN(J$3,$D$2-1)))))</f>
        <v>1.54</v>
      </c>
      <c r="K62" s="131" t="n">
        <f aca="false">IF(OR($C62="",$B$2="",$D$2=0),0,IF(K$3&lt;0,0,N(INDEX('CURVA PREVISION'!$A$1:$KZ$3000,$C62,11+3*MIN(K$3,$D$2-1)))))</f>
        <v>6.41</v>
      </c>
      <c r="L62" s="131" t="n">
        <f aca="false">IF(OR($C62="",$B$2="",$D$2=0),0,IF(L$3&lt;0,0,N(INDEX('CURVA PREVISION'!$A$1:$KZ$3000,$C62,11+3*MIN(L$3,$D$2-1)))))</f>
        <v>10.59</v>
      </c>
      <c r="M62" s="131" t="n">
        <f aca="false">IF(OR($C62="",$B$2="",$D$2=0),0,IF(M$3&lt;0,0,N(INDEX('CURVA PREVISION'!$A$1:$KZ$3000,$C62,11+3*MIN(M$3,$D$2-1)))))</f>
        <v>25.99</v>
      </c>
      <c r="N62" s="131" t="n">
        <f aca="false">IF(OR($C62="",$B$2="",$D$2=0),0,IF(N$3&lt;0,0,N(INDEX('CURVA PREVISION'!$A$1:$KZ$3000,$C62,11+3*MIN(N$3,$D$2-1)))))</f>
        <v>66.77</v>
      </c>
      <c r="O62" s="131" t="n">
        <f aca="false">IF(OR($C62="",$B$2="",$D$2=0),0,IF(O$3&lt;0,0,N(INDEX('CURVA PREVISION'!$A$1:$KZ$3000,$C62,11+3*MIN(O$3,$D$2-1)))))</f>
        <v>80.58</v>
      </c>
      <c r="P62" s="131" t="n">
        <f aca="false">IF(OR($C62="",$B$2="",$D$2=0),0,IF(P$3&lt;0,0,N(INDEX('CURVA PREVISION'!$A$1:$KZ$3000,$C62,11+3*MIN(P$3,$D$2-1)))))</f>
        <v>80.58</v>
      </c>
      <c r="Q62" s="131" t="n">
        <f aca="false">IF(OR($C62="",$B$2="",$D$2=0),0,IF(Q$3&lt;0,0,N(INDEX('CURVA PREVISION'!$A$1:$KZ$3000,$C62,11+3*MIN(Q$3,$D$2-1)))))</f>
        <v>80.58</v>
      </c>
      <c r="R62" s="131" t="n">
        <f aca="false">IF(OR($C62="",$B$2="",$D$2=0),0,IF(R$3&lt;0,0,N(INDEX('CURVA PREVISION'!$A$1:$KZ$3000,$C62,11+3*MIN(R$3,$D$2-1)))))</f>
        <v>80.58</v>
      </c>
      <c r="S62" s="131" t="n">
        <f aca="false">IF(OR($C62="",$B$2="",$D$2=0),0,IF(S$3&lt;0,0,N(INDEX('CURVA PREVISION'!$A$1:$KZ$3000,$C62,11+3*MIN(S$3,$D$2-1)))))</f>
        <v>81.33</v>
      </c>
      <c r="T62" s="131" t="n">
        <f aca="false">IF(OR($C62="",$B$2="",$D$2=0),0,IF(T$3&lt;0,0,N(INDEX('CURVA PREVISION'!$A$1:$KZ$3000,$C62,11+3*MIN(T$3,$D$2-1)))))</f>
        <v>81.33</v>
      </c>
      <c r="U62" s="131" t="n">
        <f aca="false">IF(OR($C62="",$B$2="",$D$2=0),0,IF(U$3&lt;0,0,N(INDEX('CURVA PREVISION'!$A$1:$KZ$3000,$C62,11+3*MIN(U$3,$D$2-1)))))</f>
        <v>81.33</v>
      </c>
      <c r="V62" s="131" t="n">
        <f aca="false">IF(OR($C62="",$B$2="",$D$2=0),0,IF(V$3&lt;0,0,N(INDEX('CURVA PREVISION'!$A$1:$KZ$3000,$C62,11+3*MIN(V$3,$D$2-1)))))</f>
        <v>94.4</v>
      </c>
      <c r="W62" s="131" t="n">
        <f aca="false">IF(OR($C62="",$B$2="",$D$2=0),0,IF(W$3&lt;0,0,N(INDEX('CURVA PREVISION'!$A$1:$KZ$3000,$C62,11+3*MIN(W$3,$D$2-1)))))</f>
        <v>97.95</v>
      </c>
      <c r="X62" s="131" t="n">
        <f aca="false">IF(OR($C62="",$B$2="",$D$2=0),0,IF(X$3&lt;0,0,N(INDEX('CURVA PREVISION'!$A$1:$KZ$3000,$C62,11+3*MIN(X$3,$D$2-1)))))</f>
        <v>98.94</v>
      </c>
      <c r="Y62" s="131" t="n">
        <f aca="false">IF(OR($C62="",$B$2="",$D$2=0),0,IF(Y$3&lt;0,0,N(INDEX('CURVA PREVISION'!$A$1:$KZ$3000,$C62,11+3*MIN(Y$3,$D$2-1)))))</f>
        <v>98.94</v>
      </c>
      <c r="Z62" s="131" t="n">
        <f aca="false">IF(OR($C62="",$B$2="",$D$2=0),0,IF(Z$3&lt;0,0,N(INDEX('CURVA PREVISION'!$A$1:$KZ$3000,$C62,11+3*MIN(Z$3,$D$2-1)))))</f>
        <v>98.94</v>
      </c>
      <c r="AA62" s="131" t="n">
        <f aca="false">IF(OR($C62="",$B$2="",$D$2=0),0,IF(AA$3&lt;0,0,N(INDEX('CURVA PREVISION'!$A$1:$KZ$3000,$C62,11+3*MIN(AA$3,$D$2-1)))))</f>
        <v>98.94</v>
      </c>
      <c r="AB62" s="131" t="n">
        <f aca="false">IF(OR($C62="",$B$2="",$D$2=0),0,IF(AB$3&lt;0,0,N(INDEX('CURVA PREVISION'!$A$1:$KZ$3000,$C62,11+3*MIN(AB$3,$D$2-1)))))</f>
        <v>98.94</v>
      </c>
      <c r="AC62" s="131" t="n">
        <f aca="false">IF(OR($C62="",$B$2="",$D$2=0),0,IF(AC$3&lt;0,0,N(INDEX('CURVA PREVISION'!$A$1:$KZ$3000,$C62,11+3*MIN(AC$3,$D$2-1)))))</f>
        <v>98.94</v>
      </c>
      <c r="AD62" s="131" t="n">
        <f aca="false">IF(OR($C62="",$B$2="",$D$2=0),0,IF(AD$3&lt;0,0,N(INDEX('CURVA PREVISION'!$A$1:$KZ$3000,$C62,11+3*MIN(AD$3,$D$2-1)))))</f>
        <v>98.94</v>
      </c>
      <c r="AE62" s="131" t="n">
        <f aca="false">IF(OR($C62="",$B$2="",$D$2=0),0,IF(AE$3&lt;0,0,N(INDEX('CURVA PREVISION'!$A$1:$KZ$3000,$C62,11+3*MIN(AE$3,$D$2-1)))))</f>
        <v>98.94</v>
      </c>
      <c r="AF62" s="131" t="n">
        <f aca="false">IF(OR($C62="",$B$2="",$D$2=0),0,IF(AF$3&lt;0,0,N(INDEX('CURVA PREVISION'!$A$1:$KZ$3000,$C62,11+3*MIN(AF$3,$D$2-1)))))</f>
        <v>98.94</v>
      </c>
      <c r="AG62" s="131" t="n">
        <f aca="false">IF(OR($C62="",$B$2="",$D$2=0),0,IF(AG$3&lt;0,0,N(INDEX('CURVA PREVISION'!$A$1:$KZ$3000,$C62,11+3*MIN(AG$3,$D$2-1)))))</f>
        <v>98.94</v>
      </c>
      <c r="AH62" s="131" t="n">
        <f aca="false">IF(OR($C62="",$B$2="",$D$2=0),0,IF(AH$3&lt;0,0,N(INDEX('CURVA PREVISION'!$A$1:$KZ$3000,$C62,11+3*MIN(AH$3,$D$2-1)))))</f>
        <v>98.94</v>
      </c>
      <c r="AI62" s="131" t="n">
        <f aca="false">IF(OR($C62="",$B$2="",$D$2=0),0,IF(AI$3&lt;0,0,N(INDEX('CURVA PREVISION'!$A$1:$KZ$3000,$C62,11+3*MIN(AI$3,$D$2-1)))))</f>
        <v>98.94</v>
      </c>
      <c r="AJ62" s="131" t="n">
        <f aca="false">IF(OR($C62="",$B$2="",$D$2=0),0,IF(AJ$3&lt;0,0,N(INDEX('CURVA PREVISION'!$A$1:$KZ$3000,$C62,11+3*MIN(AJ$3,$D$2-1)))))</f>
        <v>98.94</v>
      </c>
      <c r="AK62" s="131" t="n">
        <f aca="false">IF(OR($C62="",$B$2="",$D$2=0),0,IF(AK$3&lt;0,0,N(INDEX('CURVA PREVISION'!$A$1:$KZ$3000,$C62,11+3*MIN(AK$3,$D$2-1)))))</f>
        <v>98.94</v>
      </c>
      <c r="AL62" s="131" t="n">
        <f aca="false">IF(OR($C62="",$B$2="",$D$2=0),0,IF(AL$3&lt;0,0,N(INDEX('CURVA PREVISION'!$A$1:$KZ$3000,$C62,11+3*MIN(AL$3,$D$2-1)))))</f>
        <v>98.94</v>
      </c>
      <c r="AM62" s="131" t="n">
        <f aca="false">IF(OR($C62="",$B$2="",$D$2=0),0,IF(AM$3&lt;0,0,N(INDEX('CURVA PREVISION'!$A$1:$KZ$3000,$C62,11+3*MIN(AM$3,$D$2-1)))))</f>
        <v>98.94</v>
      </c>
      <c r="AN62" s="131" t="n">
        <f aca="false">IF(OR($C62="",$B$2="",$D$2=0),0,IF(AN$3&lt;0,0,N(INDEX('CURVA PREVISION'!$A$1:$KZ$3000,$C62,11+3*MIN(AN$3,$D$2-1)))))</f>
        <v>98.94</v>
      </c>
      <c r="AO62" s="131" t="n">
        <f aca="false">IF(OR($C62="",$B$2="",$D$2=0),0,IF(AO$3&lt;0,0,N(INDEX('CURVA PREVISION'!$A$1:$KZ$3000,$C62,11+3*MIN(AO$3,$D$2-1)))))</f>
        <v>98.94</v>
      </c>
      <c r="AP62" s="131" t="n">
        <f aca="false">IF(OR($C62="",$B$2="",$D$2=0),0,IF(AP$3&lt;0,0,N(INDEX('CURVA PREVISION'!$A$1:$KZ$3000,$C62,11+3*MIN(AP$3,$D$2-1)))))</f>
        <v>98.94</v>
      </c>
      <c r="AQ62" s="131" t="n">
        <f aca="false">IF(OR($C62="",$B$2="",$D$2=0),0,IF(AQ$3&lt;0,0,N(INDEX('CURVA PREVISION'!$A$1:$KZ$3000,$C62,11+3*MIN(AQ$3,$D$2-1)))))</f>
        <v>98.94</v>
      </c>
      <c r="AR62" s="131" t="n">
        <f aca="false">IF(OR($C62="",$B$2="",$D$2=0),0,IF(AR$3&lt;0,0,N(INDEX('CURVA PREVISION'!$A$1:$KZ$3000,$C62,11+3*MIN(AR$3,$D$2-1)))))</f>
        <v>98.94</v>
      </c>
      <c r="AS62" s="131" t="n">
        <f aca="false">IF(OR($C62="",$B$2="",$D$2=0),0,IF(AS$3&lt;0,0,N(INDEX('CURVA PREVISION'!$A$1:$KZ$3000,$C62,11+3*MIN(AS$3,$D$2-1)))))</f>
        <v>98.94</v>
      </c>
      <c r="AT62" s="131" t="n">
        <f aca="false">IF(OR($C62="",$B$2="",$D$2=0),0,IF(AT$3&lt;0,0,N(INDEX('CURVA PREVISION'!$A$1:$KZ$3000,$C62,11+3*MIN(AT$3,$D$2-1)))))</f>
        <v>98.94</v>
      </c>
      <c r="AU62" s="131" t="n">
        <f aca="false">IF(OR($C62="",$B$2="",$D$2=0),0,IF(AU$3&lt;0,0,N(INDEX('CURVA PREVISION'!$A$1:$KZ$3000,$C62,11+3*MIN(AU$3,$D$2-1)))))</f>
        <v>98.94</v>
      </c>
      <c r="AV62" s="131" t="n">
        <f aca="false">IF(OR($C62="",$B$2="",$D$2=0),0,IF(AV$3&lt;0,0,N(INDEX('CURVA PREVISION'!$A$1:$KZ$3000,$C62,11+3*MIN(AV$3,$D$2-1)))))</f>
        <v>98.94</v>
      </c>
      <c r="AW62" s="131" t="n">
        <f aca="false">IF(OR($C62="",$B$2="",$D$2=0),0,IF(AW$3&lt;0,0,N(INDEX('CURVA PREVISION'!$A$1:$KZ$3000,$C62,11+3*MIN(AW$3,$D$2-1)))))</f>
        <v>98.94</v>
      </c>
      <c r="AX62" s="131" t="n">
        <f aca="false">IF(OR($C62="",$B$2="",$D$2=0),0,IF(AX$3&lt;0,0,N(INDEX('CURVA PREVISION'!$A$1:$KZ$3000,$C62,11+3*MIN(AX$3,$D$2-1)))))</f>
        <v>98.94</v>
      </c>
      <c r="AY62" s="131" t="n">
        <f aca="false">IF(OR($C62="",$B$2="",$D$2=0),0,IF(AY$3&lt;0,0,N(INDEX('CURVA PREVISION'!$A$1:$KZ$3000,$C62,11+3*MIN(AY$3,$D$2-1)))))</f>
        <v>98.94</v>
      </c>
      <c r="AZ62" s="131" t="n">
        <f aca="false">IF(OR($C62="",$B$2="",$D$2=0),0,IF(AZ$3&lt;0,0,N(INDEX('CURVA PREVISION'!$A$1:$KZ$3000,$C62,11+3*MIN(AZ$3,$D$2-1)))))</f>
        <v>98.94</v>
      </c>
      <c r="BA62" s="131" t="n">
        <f aca="false">IF(OR($C62="",$B$2="",$D$2=0),0,IF(BA$3&lt;0,0,N(INDEX('CURVA PREVISION'!$A$1:$KZ$3000,$C62,11+3*MIN(BA$3,$D$2-1)))))</f>
        <v>98.94</v>
      </c>
      <c r="BB62" s="131" t="n">
        <f aca="false">IF(OR($C62="",$B$2="",$D$2=0),0,IF(BB$3&lt;0,0,N(INDEX('CURVA PREVISION'!$A$1:$KZ$3000,$C62,11+3*MIN(BB$3,$D$2-1)))))</f>
        <v>98.94</v>
      </c>
      <c r="BC62" s="131" t="n">
        <f aca="false">IF(OR($C62="",$B$2="",$D$2=0),0,IF(BC$3&lt;0,0,N(INDEX('CURVA PREVISION'!$A$1:$KZ$3000,$C62,11+3*MIN(BC$3,$D$2-1)))))</f>
        <v>98.94</v>
      </c>
      <c r="BD62" s="131" t="n">
        <f aca="false">IF(OR($C62="",$B$2="",$D$2=0),0,IF(BD$3&lt;0,0,N(INDEX('CURVA PREVISION'!$A$1:$KZ$3000,$C62,11+3*MIN(BD$3,$D$2-1)))))</f>
        <v>98.94</v>
      </c>
      <c r="BE62" s="131" t="n">
        <f aca="false">IF(OR($C62="",$B$2="",$D$2=0),0,IF(BE$3&lt;0,0,N(INDEX('CURVA PREVISION'!$A$1:$KZ$3000,$C62,11+3*MIN(BE$3,$D$2-1)))))</f>
        <v>98.94</v>
      </c>
      <c r="BF62" s="131" t="n">
        <f aca="false">IF(OR($C62="",$B$2="",$D$2=0),0,IF(BF$3&lt;0,0,N(INDEX('CURVA PREVISION'!$A$1:$KZ$3000,$C62,11+3*MIN(BF$3,$D$2-1)))))</f>
        <v>98.94</v>
      </c>
      <c r="BG62" s="131" t="n">
        <f aca="false">IF(OR($C62="",$B$2="",$D$2=0),0,IF(BG$3&lt;0,0,N(INDEX('CURVA PREVISION'!$A$1:$KZ$3000,$C62,11+3*MIN(BG$3,$D$2-1)))))</f>
        <v>98.94</v>
      </c>
      <c r="BH62" s="131" t="n">
        <f aca="false">IF(OR($C62="",$B$2="",$D$2=0),0,IF(BH$3&lt;0,0,N(INDEX('CURVA PREVISION'!$A$1:$KZ$3000,$C62,11+3*MIN(BH$3,$D$2-1)))))</f>
        <v>98.94</v>
      </c>
      <c r="BI62" s="131" t="n">
        <f aca="false">IF(OR($C62="",$B$2="",$D$2=0),0,IF(BI$3&lt;0,0,N(INDEX('CURVA PREVISION'!$A$1:$KZ$3000,$C62,11+3*MIN(BI$3,$D$2-1)))))</f>
        <v>98.94</v>
      </c>
      <c r="BJ62" s="131" t="n">
        <f aca="false">IF(OR($C62="",$B$2="",$D$2=0),0,IF(BJ$3&lt;0,0,N(INDEX('CURVA PREVISION'!$A$1:$KZ$3000,$C62,11+3*MIN(BJ$3,$D$2-1)))))</f>
        <v>98.94</v>
      </c>
      <c r="BK62" s="131" t="n">
        <f aca="false">IF(OR($C62="",$B$2="",$D$2=0),0,IF(BK$3&lt;0,0,N(INDEX('CURVA PREVISION'!$A$1:$KZ$3000,$C62,11+3*MIN(BK$3,$D$2-1)))))</f>
        <v>98.94</v>
      </c>
      <c r="BL62" s="131" t="n">
        <f aca="false">IF(OR($C62="",$B$2="",$D$2=0),0,IF(BL$3&lt;0,0,N(INDEX('CURVA PREVISION'!$A$1:$KZ$3000,$C62,11+3*MIN(BL$3,$D$2-1)))))</f>
        <v>98.94</v>
      </c>
      <c r="BM62" s="131" t="n">
        <f aca="false">IF(OR($C62="",$B$2="",$D$2=0),0,IF(BM$3&lt;0,0,N(INDEX('CURVA PREVISION'!$A$1:$KZ$3000,$C62,11+3*MIN(BM$3,$D$2-1)))))</f>
        <v>98.94</v>
      </c>
      <c r="BN62" s="131" t="n">
        <f aca="false">IF(OR($C62="",$B$2="",$D$2=0),0,IF(BN$3&lt;0,0,N(INDEX('CURVA PREVISION'!$A$1:$KZ$3000,$C62,11+3*MIN(BN$3,$D$2-1)))))</f>
        <v>98.94</v>
      </c>
      <c r="BO62" s="131" t="n">
        <f aca="false">IF(OR($C62="",$B$2="",$D$2=0),0,IF(BO$3&lt;0,0,N(INDEX('CURVA PREVISION'!$A$1:$KZ$3000,$C62,11+3*MIN(BO$3,$D$2-1)))))</f>
        <v>98.94</v>
      </c>
      <c r="BP62" s="131" t="n">
        <f aca="false">IF(OR($C62="",$B$2="",$D$2=0),0,IF(BP$3&lt;0,0,N(INDEX('CURVA PREVISION'!$A$1:$KZ$3000,$C62,11+3*MIN(BP$3,$D$2-1)))))</f>
        <v>98.94</v>
      </c>
      <c r="BQ62" s="131" t="n">
        <f aca="false">IF(OR($C62="",$B$2="",$D$2=0),0,IF(BQ$3&lt;0,0,N(INDEX('CURVA PREVISION'!$A$1:$KZ$3000,$C62,11+3*MIN(BQ$3,$D$2-1)))))</f>
        <v>98.94</v>
      </c>
      <c r="BR62" s="131" t="n">
        <f aca="false">IF(OR($C62="",$B$2="",$D$2=0),0,IF(BR$3&lt;0,0,N(INDEX('CURVA PREVISION'!$A$1:$KZ$3000,$C62,11+3*MIN(BR$3,$D$2-1)))))</f>
        <v>98.94</v>
      </c>
      <c r="BS62" s="131" t="n">
        <f aca="false">IF(OR($C62="",$B$2="",$D$2=0),0,IF(BS$3&lt;0,0,N(INDEX('CURVA PREVISION'!$A$1:$KZ$3000,$C62,11+3*MIN(BS$3,$D$2-1)))))</f>
        <v>98.94</v>
      </c>
      <c r="BT62" s="131" t="n">
        <f aca="false">IF(OR($C62="",$B$2="",$D$2=0),0,IF(BT$3&lt;0,0,N(INDEX('CURVA PREVISION'!$A$1:$KZ$3000,$C62,11+3*MIN(BT$3,$D$2-1)))))</f>
        <v>98.94</v>
      </c>
      <c r="BU62" s="131" t="n">
        <f aca="false">IF(OR($C62="",$B$2="",$D$2=0),0,IF(BU$3&lt;0,0,N(INDEX('CURVA PREVISION'!$A$1:$KZ$3000,$C62,11+3*MIN(BU$3,$D$2-1)))))</f>
        <v>98.94</v>
      </c>
      <c r="BV62" s="131" t="n">
        <f aca="false">IF(OR($C62="",$B$2="",$D$2=0),0,IF(BV$3&lt;0,0,N(INDEX('CURVA PREVISION'!$A$1:$KZ$3000,$C62,11+3*MIN(BV$3,$D$2-1)))))</f>
        <v>98.94</v>
      </c>
      <c r="BW62" s="131" t="n">
        <f aca="false">IF(OR($C62="",$B$2="",$D$2=0),0,IF(BW$3&lt;0,0,N(INDEX('CURVA PREVISION'!$A$1:$KZ$3000,$C62,11+3*MIN(BW$3,$D$2-1)))))</f>
        <v>98.94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408</v>
      </c>
      <c r="D63" s="131" t="n">
        <f aca="false">IF(OR($C63="",$B$2="",$D$2=0),0,IF(D$3&lt;0,0,N(INDEX('CURVA PREVISION'!$A$1:$KZ$3000,$C63,11+3*MIN(D$3,$D$2-1)))))</f>
        <v>0</v>
      </c>
      <c r="E63" s="131" t="n">
        <f aca="false">IF(OR($C63="",$B$2="",$D$2=0),0,IF(E$3&lt;0,0,N(INDEX('CURVA PREVISION'!$A$1:$KZ$3000,$C63,11+3*MIN(E$3,$D$2-1)))))</f>
        <v>0</v>
      </c>
      <c r="F63" s="131" t="n">
        <f aca="false">IF(OR($C63="",$B$2="",$D$2=0),0,IF(F$3&lt;0,0,N(INDEX('CURVA PREVISION'!$A$1:$KZ$3000,$C63,11+3*MIN(F$3,$D$2-1)))))</f>
        <v>0</v>
      </c>
      <c r="G63" s="131" t="n">
        <f aca="false">IF(OR($C63="",$B$2="",$D$2=0),0,IF(G$3&lt;0,0,N(INDEX('CURVA PREVISION'!$A$1:$KZ$3000,$C63,11+3*MIN(G$3,$D$2-1)))))</f>
        <v>0</v>
      </c>
      <c r="H63" s="131" t="n">
        <f aca="false">IF(OR($C63="",$B$2="",$D$2=0),0,IF(H$3&lt;0,0,N(INDEX('CURVA PREVISION'!$A$1:$KZ$3000,$C63,11+3*MIN(H$3,$D$2-1)))))</f>
        <v>0</v>
      </c>
      <c r="I63" s="131" t="n">
        <f aca="false">IF(OR($C63="",$B$2="",$D$2=0),0,IF(I$3&lt;0,0,N(INDEX('CURVA PREVISION'!$A$1:$KZ$3000,$C63,11+3*MIN(I$3,$D$2-1)))))</f>
        <v>0</v>
      </c>
      <c r="J63" s="131" t="n">
        <f aca="false">IF(OR($C63="",$B$2="",$D$2=0),0,IF(J$3&lt;0,0,N(INDEX('CURVA PREVISION'!$A$1:$KZ$3000,$C63,11+3*MIN(J$3,$D$2-1)))))</f>
        <v>0</v>
      </c>
      <c r="K63" s="131" t="n">
        <f aca="false">IF(OR($C63="",$B$2="",$D$2=0),0,IF(K$3&lt;0,0,N(INDEX('CURVA PREVISION'!$A$1:$KZ$3000,$C63,11+3*MIN(K$3,$D$2-1)))))</f>
        <v>0.71</v>
      </c>
      <c r="L63" s="131" t="n">
        <f aca="false">IF(OR($C63="",$B$2="",$D$2=0),0,IF(L$3&lt;0,0,N(INDEX('CURVA PREVISION'!$A$1:$KZ$3000,$C63,11+3*MIN(L$3,$D$2-1)))))</f>
        <v>1.87</v>
      </c>
      <c r="M63" s="131" t="n">
        <f aca="false">IF(OR($C63="",$B$2="",$D$2=0),0,IF(M$3&lt;0,0,N(INDEX('CURVA PREVISION'!$A$1:$KZ$3000,$C63,11+3*MIN(M$3,$D$2-1)))))</f>
        <v>4.98</v>
      </c>
      <c r="N63" s="131" t="n">
        <f aca="false">IF(OR($C63="",$B$2="",$D$2=0),0,IF(N$3&lt;0,0,N(INDEX('CURVA PREVISION'!$A$1:$KZ$3000,$C63,11+3*MIN(N$3,$D$2-1)))))</f>
        <v>7.68</v>
      </c>
      <c r="O63" s="131" t="n">
        <f aca="false">IF(OR($C63="",$B$2="",$D$2=0),0,IF(O$3&lt;0,0,N(INDEX('CURVA PREVISION'!$A$1:$KZ$3000,$C63,11+3*MIN(O$3,$D$2-1)))))</f>
        <v>10.87</v>
      </c>
      <c r="P63" s="131" t="n">
        <f aca="false">IF(OR($C63="",$B$2="",$D$2=0),0,IF(P$3&lt;0,0,N(INDEX('CURVA PREVISION'!$A$1:$KZ$3000,$C63,11+3*MIN(P$3,$D$2-1)))))</f>
        <v>14.15</v>
      </c>
      <c r="Q63" s="131" t="n">
        <f aca="false">IF(OR($C63="",$B$2="",$D$2=0),0,IF(Q$3&lt;0,0,N(INDEX('CURVA PREVISION'!$A$1:$KZ$3000,$C63,11+3*MIN(Q$3,$D$2-1)))))</f>
        <v>19.43</v>
      </c>
      <c r="R63" s="131" t="n">
        <f aca="false">IF(OR($C63="",$B$2="",$D$2=0),0,IF(R$3&lt;0,0,N(INDEX('CURVA PREVISION'!$A$1:$KZ$3000,$C63,11+3*MIN(R$3,$D$2-1)))))</f>
        <v>24.66</v>
      </c>
      <c r="S63" s="131" t="n">
        <f aca="false">IF(OR($C63="",$B$2="",$D$2=0),0,IF(S$3&lt;0,0,N(INDEX('CURVA PREVISION'!$A$1:$KZ$3000,$C63,11+3*MIN(S$3,$D$2-1)))))</f>
        <v>29.79</v>
      </c>
      <c r="T63" s="131" t="n">
        <f aca="false">IF(OR($C63="",$B$2="",$D$2=0),0,IF(T$3&lt;0,0,N(INDEX('CURVA PREVISION'!$A$1:$KZ$3000,$C63,11+3*MIN(T$3,$D$2-1)))))</f>
        <v>35.91</v>
      </c>
      <c r="U63" s="131" t="n">
        <f aca="false">IF(OR($C63="",$B$2="",$D$2=0),0,IF(U$3&lt;0,0,N(INDEX('CURVA PREVISION'!$A$1:$KZ$3000,$C63,11+3*MIN(U$3,$D$2-1)))))</f>
        <v>41.3</v>
      </c>
      <c r="V63" s="131" t="n">
        <f aca="false">IF(OR($C63="",$B$2="",$D$2=0),0,IF(V$3&lt;0,0,N(INDEX('CURVA PREVISION'!$A$1:$KZ$3000,$C63,11+3*MIN(V$3,$D$2-1)))))</f>
        <v>46.28</v>
      </c>
      <c r="W63" s="131" t="n">
        <f aca="false">IF(OR($C63="",$B$2="",$D$2=0),0,IF(W$3&lt;0,0,N(INDEX('CURVA PREVISION'!$A$1:$KZ$3000,$C63,11+3*MIN(W$3,$D$2-1)))))</f>
        <v>51.32</v>
      </c>
      <c r="X63" s="131" t="n">
        <f aca="false">IF(OR($C63="",$B$2="",$D$2=0),0,IF(X$3&lt;0,0,N(INDEX('CURVA PREVISION'!$A$1:$KZ$3000,$C63,11+3*MIN(X$3,$D$2-1)))))</f>
        <v>53.39</v>
      </c>
      <c r="Y63" s="131" t="n">
        <f aca="false">IF(OR($C63="",$B$2="",$D$2=0),0,IF(Y$3&lt;0,0,N(INDEX('CURVA PREVISION'!$A$1:$KZ$3000,$C63,11+3*MIN(Y$3,$D$2-1)))))</f>
        <v>53.39</v>
      </c>
      <c r="Z63" s="131" t="n">
        <f aca="false">IF(OR($C63="",$B$2="",$D$2=0),0,IF(Z$3&lt;0,0,N(INDEX('CURVA PREVISION'!$A$1:$KZ$3000,$C63,11+3*MIN(Z$3,$D$2-1)))))</f>
        <v>53.39</v>
      </c>
      <c r="AA63" s="131" t="n">
        <f aca="false">IF(OR($C63="",$B$2="",$D$2=0),0,IF(AA$3&lt;0,0,N(INDEX('CURVA PREVISION'!$A$1:$KZ$3000,$C63,11+3*MIN(AA$3,$D$2-1)))))</f>
        <v>53.39</v>
      </c>
      <c r="AB63" s="131" t="n">
        <f aca="false">IF(OR($C63="",$B$2="",$D$2=0),0,IF(AB$3&lt;0,0,N(INDEX('CURVA PREVISION'!$A$1:$KZ$3000,$C63,11+3*MIN(AB$3,$D$2-1)))))</f>
        <v>53.39</v>
      </c>
      <c r="AC63" s="131" t="n">
        <f aca="false">IF(OR($C63="",$B$2="",$D$2=0),0,IF(AC$3&lt;0,0,N(INDEX('CURVA PREVISION'!$A$1:$KZ$3000,$C63,11+3*MIN(AC$3,$D$2-1)))))</f>
        <v>53.39</v>
      </c>
      <c r="AD63" s="131" t="n">
        <f aca="false">IF(OR($C63="",$B$2="",$D$2=0),0,IF(AD$3&lt;0,0,N(INDEX('CURVA PREVISION'!$A$1:$KZ$3000,$C63,11+3*MIN(AD$3,$D$2-1)))))</f>
        <v>53.39</v>
      </c>
      <c r="AE63" s="131" t="n">
        <f aca="false">IF(OR($C63="",$B$2="",$D$2=0),0,IF(AE$3&lt;0,0,N(INDEX('CURVA PREVISION'!$A$1:$KZ$3000,$C63,11+3*MIN(AE$3,$D$2-1)))))</f>
        <v>53.39</v>
      </c>
      <c r="AF63" s="131" t="n">
        <f aca="false">IF(OR($C63="",$B$2="",$D$2=0),0,IF(AF$3&lt;0,0,N(INDEX('CURVA PREVISION'!$A$1:$KZ$3000,$C63,11+3*MIN(AF$3,$D$2-1)))))</f>
        <v>53.39</v>
      </c>
      <c r="AG63" s="131" t="n">
        <f aca="false">IF(OR($C63="",$B$2="",$D$2=0),0,IF(AG$3&lt;0,0,N(INDEX('CURVA PREVISION'!$A$1:$KZ$3000,$C63,11+3*MIN(AG$3,$D$2-1)))))</f>
        <v>53.39</v>
      </c>
      <c r="AH63" s="131" t="n">
        <f aca="false">IF(OR($C63="",$B$2="",$D$2=0),0,IF(AH$3&lt;0,0,N(INDEX('CURVA PREVISION'!$A$1:$KZ$3000,$C63,11+3*MIN(AH$3,$D$2-1)))))</f>
        <v>53.39</v>
      </c>
      <c r="AI63" s="131" t="n">
        <f aca="false">IF(OR($C63="",$B$2="",$D$2=0),0,IF(AI$3&lt;0,0,N(INDEX('CURVA PREVISION'!$A$1:$KZ$3000,$C63,11+3*MIN(AI$3,$D$2-1)))))</f>
        <v>53.39</v>
      </c>
      <c r="AJ63" s="131" t="n">
        <f aca="false">IF(OR($C63="",$B$2="",$D$2=0),0,IF(AJ$3&lt;0,0,N(INDEX('CURVA PREVISION'!$A$1:$KZ$3000,$C63,11+3*MIN(AJ$3,$D$2-1)))))</f>
        <v>53.39</v>
      </c>
      <c r="AK63" s="131" t="n">
        <f aca="false">IF(OR($C63="",$B$2="",$D$2=0),0,IF(AK$3&lt;0,0,N(INDEX('CURVA PREVISION'!$A$1:$KZ$3000,$C63,11+3*MIN(AK$3,$D$2-1)))))</f>
        <v>53.39</v>
      </c>
      <c r="AL63" s="131" t="n">
        <f aca="false">IF(OR($C63="",$B$2="",$D$2=0),0,IF(AL$3&lt;0,0,N(INDEX('CURVA PREVISION'!$A$1:$KZ$3000,$C63,11+3*MIN(AL$3,$D$2-1)))))</f>
        <v>53.39</v>
      </c>
      <c r="AM63" s="131" t="n">
        <f aca="false">IF(OR($C63="",$B$2="",$D$2=0),0,IF(AM$3&lt;0,0,N(INDEX('CURVA PREVISION'!$A$1:$KZ$3000,$C63,11+3*MIN(AM$3,$D$2-1)))))</f>
        <v>53.39</v>
      </c>
      <c r="AN63" s="131" t="n">
        <f aca="false">IF(OR($C63="",$B$2="",$D$2=0),0,IF(AN$3&lt;0,0,N(INDEX('CURVA PREVISION'!$A$1:$KZ$3000,$C63,11+3*MIN(AN$3,$D$2-1)))))</f>
        <v>53.39</v>
      </c>
      <c r="AO63" s="131" t="n">
        <f aca="false">IF(OR($C63="",$B$2="",$D$2=0),0,IF(AO$3&lt;0,0,N(INDEX('CURVA PREVISION'!$A$1:$KZ$3000,$C63,11+3*MIN(AO$3,$D$2-1)))))</f>
        <v>53.39</v>
      </c>
      <c r="AP63" s="131" t="n">
        <f aca="false">IF(OR($C63="",$B$2="",$D$2=0),0,IF(AP$3&lt;0,0,N(INDEX('CURVA PREVISION'!$A$1:$KZ$3000,$C63,11+3*MIN(AP$3,$D$2-1)))))</f>
        <v>53.39</v>
      </c>
      <c r="AQ63" s="131" t="n">
        <f aca="false">IF(OR($C63="",$B$2="",$D$2=0),0,IF(AQ$3&lt;0,0,N(INDEX('CURVA PREVISION'!$A$1:$KZ$3000,$C63,11+3*MIN(AQ$3,$D$2-1)))))</f>
        <v>53.39</v>
      </c>
      <c r="AR63" s="131" t="n">
        <f aca="false">IF(OR($C63="",$B$2="",$D$2=0),0,IF(AR$3&lt;0,0,N(INDEX('CURVA PREVISION'!$A$1:$KZ$3000,$C63,11+3*MIN(AR$3,$D$2-1)))))</f>
        <v>53.39</v>
      </c>
      <c r="AS63" s="131" t="n">
        <f aca="false">IF(OR($C63="",$B$2="",$D$2=0),0,IF(AS$3&lt;0,0,N(INDEX('CURVA PREVISION'!$A$1:$KZ$3000,$C63,11+3*MIN(AS$3,$D$2-1)))))</f>
        <v>53.39</v>
      </c>
      <c r="AT63" s="131" t="n">
        <f aca="false">IF(OR($C63="",$B$2="",$D$2=0),0,IF(AT$3&lt;0,0,N(INDEX('CURVA PREVISION'!$A$1:$KZ$3000,$C63,11+3*MIN(AT$3,$D$2-1)))))</f>
        <v>53.39</v>
      </c>
      <c r="AU63" s="131" t="n">
        <f aca="false">IF(OR($C63="",$B$2="",$D$2=0),0,IF(AU$3&lt;0,0,N(INDEX('CURVA PREVISION'!$A$1:$KZ$3000,$C63,11+3*MIN(AU$3,$D$2-1)))))</f>
        <v>53.39</v>
      </c>
      <c r="AV63" s="131" t="n">
        <f aca="false">IF(OR($C63="",$B$2="",$D$2=0),0,IF(AV$3&lt;0,0,N(INDEX('CURVA PREVISION'!$A$1:$KZ$3000,$C63,11+3*MIN(AV$3,$D$2-1)))))</f>
        <v>53.39</v>
      </c>
      <c r="AW63" s="131" t="n">
        <f aca="false">IF(OR($C63="",$B$2="",$D$2=0),0,IF(AW$3&lt;0,0,N(INDEX('CURVA PREVISION'!$A$1:$KZ$3000,$C63,11+3*MIN(AW$3,$D$2-1)))))</f>
        <v>53.39</v>
      </c>
      <c r="AX63" s="131" t="n">
        <f aca="false">IF(OR($C63="",$B$2="",$D$2=0),0,IF(AX$3&lt;0,0,N(INDEX('CURVA PREVISION'!$A$1:$KZ$3000,$C63,11+3*MIN(AX$3,$D$2-1)))))</f>
        <v>53.39</v>
      </c>
      <c r="AY63" s="131" t="n">
        <f aca="false">IF(OR($C63="",$B$2="",$D$2=0),0,IF(AY$3&lt;0,0,N(INDEX('CURVA PREVISION'!$A$1:$KZ$3000,$C63,11+3*MIN(AY$3,$D$2-1)))))</f>
        <v>53.39</v>
      </c>
      <c r="AZ63" s="131" t="n">
        <f aca="false">IF(OR($C63="",$B$2="",$D$2=0),0,IF(AZ$3&lt;0,0,N(INDEX('CURVA PREVISION'!$A$1:$KZ$3000,$C63,11+3*MIN(AZ$3,$D$2-1)))))</f>
        <v>53.39</v>
      </c>
      <c r="BA63" s="131" t="n">
        <f aca="false">IF(OR($C63="",$B$2="",$D$2=0),0,IF(BA$3&lt;0,0,N(INDEX('CURVA PREVISION'!$A$1:$KZ$3000,$C63,11+3*MIN(BA$3,$D$2-1)))))</f>
        <v>53.39</v>
      </c>
      <c r="BB63" s="131" t="n">
        <f aca="false">IF(OR($C63="",$B$2="",$D$2=0),0,IF(BB$3&lt;0,0,N(INDEX('CURVA PREVISION'!$A$1:$KZ$3000,$C63,11+3*MIN(BB$3,$D$2-1)))))</f>
        <v>53.39</v>
      </c>
      <c r="BC63" s="131" t="n">
        <f aca="false">IF(OR($C63="",$B$2="",$D$2=0),0,IF(BC$3&lt;0,0,N(INDEX('CURVA PREVISION'!$A$1:$KZ$3000,$C63,11+3*MIN(BC$3,$D$2-1)))))</f>
        <v>53.39</v>
      </c>
      <c r="BD63" s="131" t="n">
        <f aca="false">IF(OR($C63="",$B$2="",$D$2=0),0,IF(BD$3&lt;0,0,N(INDEX('CURVA PREVISION'!$A$1:$KZ$3000,$C63,11+3*MIN(BD$3,$D$2-1)))))</f>
        <v>53.39</v>
      </c>
      <c r="BE63" s="131" t="n">
        <f aca="false">IF(OR($C63="",$B$2="",$D$2=0),0,IF(BE$3&lt;0,0,N(INDEX('CURVA PREVISION'!$A$1:$KZ$3000,$C63,11+3*MIN(BE$3,$D$2-1)))))</f>
        <v>53.39</v>
      </c>
      <c r="BF63" s="131" t="n">
        <f aca="false">IF(OR($C63="",$B$2="",$D$2=0),0,IF(BF$3&lt;0,0,N(INDEX('CURVA PREVISION'!$A$1:$KZ$3000,$C63,11+3*MIN(BF$3,$D$2-1)))))</f>
        <v>53.39</v>
      </c>
      <c r="BG63" s="131" t="n">
        <f aca="false">IF(OR($C63="",$B$2="",$D$2=0),0,IF(BG$3&lt;0,0,N(INDEX('CURVA PREVISION'!$A$1:$KZ$3000,$C63,11+3*MIN(BG$3,$D$2-1)))))</f>
        <v>53.39</v>
      </c>
      <c r="BH63" s="131" t="n">
        <f aca="false">IF(OR($C63="",$B$2="",$D$2=0),0,IF(BH$3&lt;0,0,N(INDEX('CURVA PREVISION'!$A$1:$KZ$3000,$C63,11+3*MIN(BH$3,$D$2-1)))))</f>
        <v>53.39</v>
      </c>
      <c r="BI63" s="131" t="n">
        <f aca="false">IF(OR($C63="",$B$2="",$D$2=0),0,IF(BI$3&lt;0,0,N(INDEX('CURVA PREVISION'!$A$1:$KZ$3000,$C63,11+3*MIN(BI$3,$D$2-1)))))</f>
        <v>53.39</v>
      </c>
      <c r="BJ63" s="131" t="n">
        <f aca="false">IF(OR($C63="",$B$2="",$D$2=0),0,IF(BJ$3&lt;0,0,N(INDEX('CURVA PREVISION'!$A$1:$KZ$3000,$C63,11+3*MIN(BJ$3,$D$2-1)))))</f>
        <v>53.39</v>
      </c>
      <c r="BK63" s="131" t="n">
        <f aca="false">IF(OR($C63="",$B$2="",$D$2=0),0,IF(BK$3&lt;0,0,N(INDEX('CURVA PREVISION'!$A$1:$KZ$3000,$C63,11+3*MIN(BK$3,$D$2-1)))))</f>
        <v>53.39</v>
      </c>
      <c r="BL63" s="131" t="n">
        <f aca="false">IF(OR($C63="",$B$2="",$D$2=0),0,IF(BL$3&lt;0,0,N(INDEX('CURVA PREVISION'!$A$1:$KZ$3000,$C63,11+3*MIN(BL$3,$D$2-1)))))</f>
        <v>53.39</v>
      </c>
      <c r="BM63" s="131" t="n">
        <f aca="false">IF(OR($C63="",$B$2="",$D$2=0),0,IF(BM$3&lt;0,0,N(INDEX('CURVA PREVISION'!$A$1:$KZ$3000,$C63,11+3*MIN(BM$3,$D$2-1)))))</f>
        <v>53.39</v>
      </c>
      <c r="BN63" s="131" t="n">
        <f aca="false">IF(OR($C63="",$B$2="",$D$2=0),0,IF(BN$3&lt;0,0,N(INDEX('CURVA PREVISION'!$A$1:$KZ$3000,$C63,11+3*MIN(BN$3,$D$2-1)))))</f>
        <v>53.39</v>
      </c>
      <c r="BO63" s="131" t="n">
        <f aca="false">IF(OR($C63="",$B$2="",$D$2=0),0,IF(BO$3&lt;0,0,N(INDEX('CURVA PREVISION'!$A$1:$KZ$3000,$C63,11+3*MIN(BO$3,$D$2-1)))))</f>
        <v>53.39</v>
      </c>
      <c r="BP63" s="131" t="n">
        <f aca="false">IF(OR($C63="",$B$2="",$D$2=0),0,IF(BP$3&lt;0,0,N(INDEX('CURVA PREVISION'!$A$1:$KZ$3000,$C63,11+3*MIN(BP$3,$D$2-1)))))</f>
        <v>53.39</v>
      </c>
      <c r="BQ63" s="131" t="n">
        <f aca="false">IF(OR($C63="",$B$2="",$D$2=0),0,IF(BQ$3&lt;0,0,N(INDEX('CURVA PREVISION'!$A$1:$KZ$3000,$C63,11+3*MIN(BQ$3,$D$2-1)))))</f>
        <v>53.39</v>
      </c>
      <c r="BR63" s="131" t="n">
        <f aca="false">IF(OR($C63="",$B$2="",$D$2=0),0,IF(BR$3&lt;0,0,N(INDEX('CURVA PREVISION'!$A$1:$KZ$3000,$C63,11+3*MIN(BR$3,$D$2-1)))))</f>
        <v>53.39</v>
      </c>
      <c r="BS63" s="131" t="n">
        <f aca="false">IF(OR($C63="",$B$2="",$D$2=0),0,IF(BS$3&lt;0,0,N(INDEX('CURVA PREVISION'!$A$1:$KZ$3000,$C63,11+3*MIN(BS$3,$D$2-1)))))</f>
        <v>53.39</v>
      </c>
      <c r="BT63" s="131" t="n">
        <f aca="false">IF(OR($C63="",$B$2="",$D$2=0),0,IF(BT$3&lt;0,0,N(INDEX('CURVA PREVISION'!$A$1:$KZ$3000,$C63,11+3*MIN(BT$3,$D$2-1)))))</f>
        <v>53.39</v>
      </c>
      <c r="BU63" s="131" t="n">
        <f aca="false">IF(OR($C63="",$B$2="",$D$2=0),0,IF(BU$3&lt;0,0,N(INDEX('CURVA PREVISION'!$A$1:$KZ$3000,$C63,11+3*MIN(BU$3,$D$2-1)))))</f>
        <v>53.39</v>
      </c>
      <c r="BV63" s="131" t="n">
        <f aca="false">IF(OR($C63="",$B$2="",$D$2=0),0,IF(BV$3&lt;0,0,N(INDEX('CURVA PREVISION'!$A$1:$KZ$3000,$C63,11+3*MIN(BV$3,$D$2-1)))))</f>
        <v>53.39</v>
      </c>
      <c r="BW63" s="131" t="n">
        <f aca="false">IF(OR($C63="",$B$2="",$D$2=0),0,IF(BW$3&lt;0,0,N(INDEX('CURVA PREVISION'!$A$1:$KZ$3000,$C63,11+3*MIN(BW$3,$D$2-1)))))</f>
        <v>53.39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18</v>
      </c>
      <c r="B64" s="47" t="str">
        <f aca="false">B22</f>
        <v>ALVENARIA</v>
      </c>
      <c r="C64" s="64" t="n">
        <f aca="false">IFERROR(MATCH(A64,'CURVA PREVISION'!$B$1:$B$3000,0),"")</f>
        <v>429</v>
      </c>
      <c r="D64" s="131" t="n">
        <f aca="false">IF(OR($C64="",$B$2="",$D$2=0),0,IF(D$3&lt;0,0,N(INDEX('CURVA PREVISION'!$A$1:$KZ$3000,$C64,11+3*MIN(D$3,$D$2-1)))))</f>
        <v>0</v>
      </c>
      <c r="E64" s="131" t="n">
        <f aca="false">IF(OR($C64="",$B$2="",$D$2=0),0,IF(E$3&lt;0,0,N(INDEX('CURVA PREVISION'!$A$1:$KZ$3000,$C64,11+3*MIN(E$3,$D$2-1)))))</f>
        <v>0</v>
      </c>
      <c r="F64" s="131" t="n">
        <f aca="false">IF(OR($C64="",$B$2="",$D$2=0),0,IF(F$3&lt;0,0,N(INDEX('CURVA PREVISION'!$A$1:$KZ$3000,$C64,11+3*MIN(F$3,$D$2-1)))))</f>
        <v>0</v>
      </c>
      <c r="G64" s="131" t="n">
        <f aca="false">IF(OR($C64="",$B$2="",$D$2=0),0,IF(G$3&lt;0,0,N(INDEX('CURVA PREVISION'!$A$1:$KZ$3000,$C64,11+3*MIN(G$3,$D$2-1)))))</f>
        <v>0</v>
      </c>
      <c r="H64" s="131" t="n">
        <f aca="false">IF(OR($C64="",$B$2="",$D$2=0),0,IF(H$3&lt;0,0,N(INDEX('CURVA PREVISION'!$A$1:$KZ$3000,$C64,11+3*MIN(H$3,$D$2-1)))))</f>
        <v>0</v>
      </c>
      <c r="I64" s="131" t="n">
        <f aca="false">IF(OR($C64="",$B$2="",$D$2=0),0,IF(I$3&lt;0,0,N(INDEX('CURVA PREVISION'!$A$1:$KZ$3000,$C64,11+3*MIN(I$3,$D$2-1)))))</f>
        <v>0</v>
      </c>
      <c r="J64" s="131" t="n">
        <f aca="false">IF(OR($C64="",$B$2="",$D$2=0),0,IF(J$3&lt;0,0,N(INDEX('CURVA PREVISION'!$A$1:$KZ$3000,$C64,11+3*MIN(J$3,$D$2-1)))))</f>
        <v>0</v>
      </c>
      <c r="K64" s="131" t="n">
        <f aca="false">IF(OR($C64="",$B$2="",$D$2=0),0,IF(K$3&lt;0,0,N(INDEX('CURVA PREVISION'!$A$1:$KZ$3000,$C64,11+3*MIN(K$3,$D$2-1)))))</f>
        <v>0</v>
      </c>
      <c r="L64" s="131" t="n">
        <f aca="false">IF(OR($C64="",$B$2="",$D$2=0),0,IF(L$3&lt;0,0,N(INDEX('CURVA PREVISION'!$A$1:$KZ$3000,$C64,11+3*MIN(L$3,$D$2-1)))))</f>
        <v>0</v>
      </c>
      <c r="M64" s="131" t="n">
        <f aca="false">IF(OR($C64="",$B$2="",$D$2=0),0,IF(M$3&lt;0,0,N(INDEX('CURVA PREVISION'!$A$1:$KZ$3000,$C64,11+3*MIN(M$3,$D$2-1)))))</f>
        <v>0</v>
      </c>
      <c r="N64" s="131" t="n">
        <f aca="false">IF(OR($C64="",$B$2="",$D$2=0),0,IF(N$3&lt;0,0,N(INDEX('CURVA PREVISION'!$A$1:$KZ$3000,$C64,11+3*MIN(N$3,$D$2-1)))))</f>
        <v>0</v>
      </c>
      <c r="O64" s="131" t="n">
        <f aca="false">IF(OR($C64="",$B$2="",$D$2=0),0,IF(O$3&lt;0,0,N(INDEX('CURVA PREVISION'!$A$1:$KZ$3000,$C64,11+3*MIN(O$3,$D$2-1)))))</f>
        <v>0</v>
      </c>
      <c r="P64" s="131" t="n">
        <f aca="false">IF(OR($C64="",$B$2="",$D$2=0),0,IF(P$3&lt;0,0,N(INDEX('CURVA PREVISION'!$A$1:$KZ$3000,$C64,11+3*MIN(P$3,$D$2-1)))))</f>
        <v>0</v>
      </c>
      <c r="Q64" s="131" t="n">
        <f aca="false">IF(OR($C64="",$B$2="",$D$2=0),0,IF(Q$3&lt;0,0,N(INDEX('CURVA PREVISION'!$A$1:$KZ$3000,$C64,11+3*MIN(Q$3,$D$2-1)))))</f>
        <v>0</v>
      </c>
      <c r="R64" s="131" t="n">
        <f aca="false">IF(OR($C64="",$B$2="",$D$2=0),0,IF(R$3&lt;0,0,N(INDEX('CURVA PREVISION'!$A$1:$KZ$3000,$C64,11+3*MIN(R$3,$D$2-1)))))</f>
        <v>0</v>
      </c>
      <c r="S64" s="131" t="n">
        <f aca="false">IF(OR($C64="",$B$2="",$D$2=0),0,IF(S$3&lt;0,0,N(INDEX('CURVA PREVISION'!$A$1:$KZ$3000,$C64,11+3*MIN(S$3,$D$2-1)))))</f>
        <v>0</v>
      </c>
      <c r="T64" s="131" t="n">
        <f aca="false">IF(OR($C64="",$B$2="",$D$2=0),0,IF(T$3&lt;0,0,N(INDEX('CURVA PREVISION'!$A$1:$KZ$3000,$C64,11+3*MIN(T$3,$D$2-1)))))</f>
        <v>0.21</v>
      </c>
      <c r="U64" s="131" t="n">
        <f aca="false">IF(OR($C64="",$B$2="",$D$2=0),0,IF(U$3&lt;0,0,N(INDEX('CURVA PREVISION'!$A$1:$KZ$3000,$C64,11+3*MIN(U$3,$D$2-1)))))</f>
        <v>0.75</v>
      </c>
      <c r="V64" s="131" t="n">
        <f aca="false">IF(OR($C64="",$B$2="",$D$2=0),0,IF(V$3&lt;0,0,N(INDEX('CURVA PREVISION'!$A$1:$KZ$3000,$C64,11+3*MIN(V$3,$D$2-1)))))</f>
        <v>4.96</v>
      </c>
      <c r="W64" s="131" t="n">
        <f aca="false">IF(OR($C64="",$B$2="",$D$2=0),0,IF(W$3&lt;0,0,N(INDEX('CURVA PREVISION'!$A$1:$KZ$3000,$C64,11+3*MIN(W$3,$D$2-1)))))</f>
        <v>6.01</v>
      </c>
      <c r="X64" s="131" t="n">
        <f aca="false">IF(OR($C64="",$B$2="",$D$2=0),0,IF(X$3&lt;0,0,N(INDEX('CURVA PREVISION'!$A$1:$KZ$3000,$C64,11+3*MIN(X$3,$D$2-1)))))</f>
        <v>6.29</v>
      </c>
      <c r="Y64" s="131" t="n">
        <f aca="false">IF(OR($C64="",$B$2="",$D$2=0),0,IF(Y$3&lt;0,0,N(INDEX('CURVA PREVISION'!$A$1:$KZ$3000,$C64,11+3*MIN(Y$3,$D$2-1)))))</f>
        <v>6.29</v>
      </c>
      <c r="Z64" s="131" t="n">
        <f aca="false">IF(OR($C64="",$B$2="",$D$2=0),0,IF(Z$3&lt;0,0,N(INDEX('CURVA PREVISION'!$A$1:$KZ$3000,$C64,11+3*MIN(Z$3,$D$2-1)))))</f>
        <v>6.29</v>
      </c>
      <c r="AA64" s="131" t="n">
        <f aca="false">IF(OR($C64="",$B$2="",$D$2=0),0,IF(AA$3&lt;0,0,N(INDEX('CURVA PREVISION'!$A$1:$KZ$3000,$C64,11+3*MIN(AA$3,$D$2-1)))))</f>
        <v>6.29</v>
      </c>
      <c r="AB64" s="131" t="n">
        <f aca="false">IF(OR($C64="",$B$2="",$D$2=0),0,IF(AB$3&lt;0,0,N(INDEX('CURVA PREVISION'!$A$1:$KZ$3000,$C64,11+3*MIN(AB$3,$D$2-1)))))</f>
        <v>6.29</v>
      </c>
      <c r="AC64" s="131" t="n">
        <f aca="false">IF(OR($C64="",$B$2="",$D$2=0),0,IF(AC$3&lt;0,0,N(INDEX('CURVA PREVISION'!$A$1:$KZ$3000,$C64,11+3*MIN(AC$3,$D$2-1)))))</f>
        <v>6.29</v>
      </c>
      <c r="AD64" s="131" t="n">
        <f aca="false">IF(OR($C64="",$B$2="",$D$2=0),0,IF(AD$3&lt;0,0,N(INDEX('CURVA PREVISION'!$A$1:$KZ$3000,$C64,11+3*MIN(AD$3,$D$2-1)))))</f>
        <v>6.29</v>
      </c>
      <c r="AE64" s="131" t="n">
        <f aca="false">IF(OR($C64="",$B$2="",$D$2=0),0,IF(AE$3&lt;0,0,N(INDEX('CURVA PREVISION'!$A$1:$KZ$3000,$C64,11+3*MIN(AE$3,$D$2-1)))))</f>
        <v>6.29</v>
      </c>
      <c r="AF64" s="131" t="n">
        <f aca="false">IF(OR($C64="",$B$2="",$D$2=0),0,IF(AF$3&lt;0,0,N(INDEX('CURVA PREVISION'!$A$1:$KZ$3000,$C64,11+3*MIN(AF$3,$D$2-1)))))</f>
        <v>6.29</v>
      </c>
      <c r="AG64" s="131" t="n">
        <f aca="false">IF(OR($C64="",$B$2="",$D$2=0),0,IF(AG$3&lt;0,0,N(INDEX('CURVA PREVISION'!$A$1:$KZ$3000,$C64,11+3*MIN(AG$3,$D$2-1)))))</f>
        <v>6.29</v>
      </c>
      <c r="AH64" s="131" t="n">
        <f aca="false">IF(OR($C64="",$B$2="",$D$2=0),0,IF(AH$3&lt;0,0,N(INDEX('CURVA PREVISION'!$A$1:$KZ$3000,$C64,11+3*MIN(AH$3,$D$2-1)))))</f>
        <v>6.29</v>
      </c>
      <c r="AI64" s="131" t="n">
        <f aca="false">IF(OR($C64="",$B$2="",$D$2=0),0,IF(AI$3&lt;0,0,N(INDEX('CURVA PREVISION'!$A$1:$KZ$3000,$C64,11+3*MIN(AI$3,$D$2-1)))))</f>
        <v>6.29</v>
      </c>
      <c r="AJ64" s="131" t="n">
        <f aca="false">IF(OR($C64="",$B$2="",$D$2=0),0,IF(AJ$3&lt;0,0,N(INDEX('CURVA PREVISION'!$A$1:$KZ$3000,$C64,11+3*MIN(AJ$3,$D$2-1)))))</f>
        <v>6.29</v>
      </c>
      <c r="AK64" s="131" t="n">
        <f aca="false">IF(OR($C64="",$B$2="",$D$2=0),0,IF(AK$3&lt;0,0,N(INDEX('CURVA PREVISION'!$A$1:$KZ$3000,$C64,11+3*MIN(AK$3,$D$2-1)))))</f>
        <v>6.29</v>
      </c>
      <c r="AL64" s="131" t="n">
        <f aca="false">IF(OR($C64="",$B$2="",$D$2=0),0,IF(AL$3&lt;0,0,N(INDEX('CURVA PREVISION'!$A$1:$KZ$3000,$C64,11+3*MIN(AL$3,$D$2-1)))))</f>
        <v>6.29</v>
      </c>
      <c r="AM64" s="131" t="n">
        <f aca="false">IF(OR($C64="",$B$2="",$D$2=0),0,IF(AM$3&lt;0,0,N(INDEX('CURVA PREVISION'!$A$1:$KZ$3000,$C64,11+3*MIN(AM$3,$D$2-1)))))</f>
        <v>6.29</v>
      </c>
      <c r="AN64" s="131" t="n">
        <f aca="false">IF(OR($C64="",$B$2="",$D$2=0),0,IF(AN$3&lt;0,0,N(INDEX('CURVA PREVISION'!$A$1:$KZ$3000,$C64,11+3*MIN(AN$3,$D$2-1)))))</f>
        <v>6.29</v>
      </c>
      <c r="AO64" s="131" t="n">
        <f aca="false">IF(OR($C64="",$B$2="",$D$2=0),0,IF(AO$3&lt;0,0,N(INDEX('CURVA PREVISION'!$A$1:$KZ$3000,$C64,11+3*MIN(AO$3,$D$2-1)))))</f>
        <v>6.29</v>
      </c>
      <c r="AP64" s="131" t="n">
        <f aca="false">IF(OR($C64="",$B$2="",$D$2=0),0,IF(AP$3&lt;0,0,N(INDEX('CURVA PREVISION'!$A$1:$KZ$3000,$C64,11+3*MIN(AP$3,$D$2-1)))))</f>
        <v>6.29</v>
      </c>
      <c r="AQ64" s="131" t="n">
        <f aca="false">IF(OR($C64="",$B$2="",$D$2=0),0,IF(AQ$3&lt;0,0,N(INDEX('CURVA PREVISION'!$A$1:$KZ$3000,$C64,11+3*MIN(AQ$3,$D$2-1)))))</f>
        <v>6.29</v>
      </c>
      <c r="AR64" s="131" t="n">
        <f aca="false">IF(OR($C64="",$B$2="",$D$2=0),0,IF(AR$3&lt;0,0,N(INDEX('CURVA PREVISION'!$A$1:$KZ$3000,$C64,11+3*MIN(AR$3,$D$2-1)))))</f>
        <v>6.29</v>
      </c>
      <c r="AS64" s="131" t="n">
        <f aca="false">IF(OR($C64="",$B$2="",$D$2=0),0,IF(AS$3&lt;0,0,N(INDEX('CURVA PREVISION'!$A$1:$KZ$3000,$C64,11+3*MIN(AS$3,$D$2-1)))))</f>
        <v>6.29</v>
      </c>
      <c r="AT64" s="131" t="n">
        <f aca="false">IF(OR($C64="",$B$2="",$D$2=0),0,IF(AT$3&lt;0,0,N(INDEX('CURVA PREVISION'!$A$1:$KZ$3000,$C64,11+3*MIN(AT$3,$D$2-1)))))</f>
        <v>6.29</v>
      </c>
      <c r="AU64" s="131" t="n">
        <f aca="false">IF(OR($C64="",$B$2="",$D$2=0),0,IF(AU$3&lt;0,0,N(INDEX('CURVA PREVISION'!$A$1:$KZ$3000,$C64,11+3*MIN(AU$3,$D$2-1)))))</f>
        <v>6.29</v>
      </c>
      <c r="AV64" s="131" t="n">
        <f aca="false">IF(OR($C64="",$B$2="",$D$2=0),0,IF(AV$3&lt;0,0,N(INDEX('CURVA PREVISION'!$A$1:$KZ$3000,$C64,11+3*MIN(AV$3,$D$2-1)))))</f>
        <v>6.29</v>
      </c>
      <c r="AW64" s="131" t="n">
        <f aca="false">IF(OR($C64="",$B$2="",$D$2=0),0,IF(AW$3&lt;0,0,N(INDEX('CURVA PREVISION'!$A$1:$KZ$3000,$C64,11+3*MIN(AW$3,$D$2-1)))))</f>
        <v>6.29</v>
      </c>
      <c r="AX64" s="131" t="n">
        <f aca="false">IF(OR($C64="",$B$2="",$D$2=0),0,IF(AX$3&lt;0,0,N(INDEX('CURVA PREVISION'!$A$1:$KZ$3000,$C64,11+3*MIN(AX$3,$D$2-1)))))</f>
        <v>6.29</v>
      </c>
      <c r="AY64" s="131" t="n">
        <f aca="false">IF(OR($C64="",$B$2="",$D$2=0),0,IF(AY$3&lt;0,0,N(INDEX('CURVA PREVISION'!$A$1:$KZ$3000,$C64,11+3*MIN(AY$3,$D$2-1)))))</f>
        <v>6.29</v>
      </c>
      <c r="AZ64" s="131" t="n">
        <f aca="false">IF(OR($C64="",$B$2="",$D$2=0),0,IF(AZ$3&lt;0,0,N(INDEX('CURVA PREVISION'!$A$1:$KZ$3000,$C64,11+3*MIN(AZ$3,$D$2-1)))))</f>
        <v>6.29</v>
      </c>
      <c r="BA64" s="131" t="n">
        <f aca="false">IF(OR($C64="",$B$2="",$D$2=0),0,IF(BA$3&lt;0,0,N(INDEX('CURVA PREVISION'!$A$1:$KZ$3000,$C64,11+3*MIN(BA$3,$D$2-1)))))</f>
        <v>6.29</v>
      </c>
      <c r="BB64" s="131" t="n">
        <f aca="false">IF(OR($C64="",$B$2="",$D$2=0),0,IF(BB$3&lt;0,0,N(INDEX('CURVA PREVISION'!$A$1:$KZ$3000,$C64,11+3*MIN(BB$3,$D$2-1)))))</f>
        <v>6.29</v>
      </c>
      <c r="BC64" s="131" t="n">
        <f aca="false">IF(OR($C64="",$B$2="",$D$2=0),0,IF(BC$3&lt;0,0,N(INDEX('CURVA PREVISION'!$A$1:$KZ$3000,$C64,11+3*MIN(BC$3,$D$2-1)))))</f>
        <v>6.29</v>
      </c>
      <c r="BD64" s="131" t="n">
        <f aca="false">IF(OR($C64="",$B$2="",$D$2=0),0,IF(BD$3&lt;0,0,N(INDEX('CURVA PREVISION'!$A$1:$KZ$3000,$C64,11+3*MIN(BD$3,$D$2-1)))))</f>
        <v>6.29</v>
      </c>
      <c r="BE64" s="131" t="n">
        <f aca="false">IF(OR($C64="",$B$2="",$D$2=0),0,IF(BE$3&lt;0,0,N(INDEX('CURVA PREVISION'!$A$1:$KZ$3000,$C64,11+3*MIN(BE$3,$D$2-1)))))</f>
        <v>6.29</v>
      </c>
      <c r="BF64" s="131" t="n">
        <f aca="false">IF(OR($C64="",$B$2="",$D$2=0),0,IF(BF$3&lt;0,0,N(INDEX('CURVA PREVISION'!$A$1:$KZ$3000,$C64,11+3*MIN(BF$3,$D$2-1)))))</f>
        <v>6.29</v>
      </c>
      <c r="BG64" s="131" t="n">
        <f aca="false">IF(OR($C64="",$B$2="",$D$2=0),0,IF(BG$3&lt;0,0,N(INDEX('CURVA PREVISION'!$A$1:$KZ$3000,$C64,11+3*MIN(BG$3,$D$2-1)))))</f>
        <v>6.29</v>
      </c>
      <c r="BH64" s="131" t="n">
        <f aca="false">IF(OR($C64="",$B$2="",$D$2=0),0,IF(BH$3&lt;0,0,N(INDEX('CURVA PREVISION'!$A$1:$KZ$3000,$C64,11+3*MIN(BH$3,$D$2-1)))))</f>
        <v>6.29</v>
      </c>
      <c r="BI64" s="131" t="n">
        <f aca="false">IF(OR($C64="",$B$2="",$D$2=0),0,IF(BI$3&lt;0,0,N(INDEX('CURVA PREVISION'!$A$1:$KZ$3000,$C64,11+3*MIN(BI$3,$D$2-1)))))</f>
        <v>6.29</v>
      </c>
      <c r="BJ64" s="131" t="n">
        <f aca="false">IF(OR($C64="",$B$2="",$D$2=0),0,IF(BJ$3&lt;0,0,N(INDEX('CURVA PREVISION'!$A$1:$KZ$3000,$C64,11+3*MIN(BJ$3,$D$2-1)))))</f>
        <v>6.29</v>
      </c>
      <c r="BK64" s="131" t="n">
        <f aca="false">IF(OR($C64="",$B$2="",$D$2=0),0,IF(BK$3&lt;0,0,N(INDEX('CURVA PREVISION'!$A$1:$KZ$3000,$C64,11+3*MIN(BK$3,$D$2-1)))))</f>
        <v>6.29</v>
      </c>
      <c r="BL64" s="131" t="n">
        <f aca="false">IF(OR($C64="",$B$2="",$D$2=0),0,IF(BL$3&lt;0,0,N(INDEX('CURVA PREVISION'!$A$1:$KZ$3000,$C64,11+3*MIN(BL$3,$D$2-1)))))</f>
        <v>6.29</v>
      </c>
      <c r="BM64" s="131" t="n">
        <f aca="false">IF(OR($C64="",$B$2="",$D$2=0),0,IF(BM$3&lt;0,0,N(INDEX('CURVA PREVISION'!$A$1:$KZ$3000,$C64,11+3*MIN(BM$3,$D$2-1)))))</f>
        <v>6.29</v>
      </c>
      <c r="BN64" s="131" t="n">
        <f aca="false">IF(OR($C64="",$B$2="",$D$2=0),0,IF(BN$3&lt;0,0,N(INDEX('CURVA PREVISION'!$A$1:$KZ$3000,$C64,11+3*MIN(BN$3,$D$2-1)))))</f>
        <v>6.29</v>
      </c>
      <c r="BO64" s="131" t="n">
        <f aca="false">IF(OR($C64="",$B$2="",$D$2=0),0,IF(BO$3&lt;0,0,N(INDEX('CURVA PREVISION'!$A$1:$KZ$3000,$C64,11+3*MIN(BO$3,$D$2-1)))))</f>
        <v>6.29</v>
      </c>
      <c r="BP64" s="131" t="n">
        <f aca="false">IF(OR($C64="",$B$2="",$D$2=0),0,IF(BP$3&lt;0,0,N(INDEX('CURVA PREVISION'!$A$1:$KZ$3000,$C64,11+3*MIN(BP$3,$D$2-1)))))</f>
        <v>6.29</v>
      </c>
      <c r="BQ64" s="131" t="n">
        <f aca="false">IF(OR($C64="",$B$2="",$D$2=0),0,IF(BQ$3&lt;0,0,N(INDEX('CURVA PREVISION'!$A$1:$KZ$3000,$C64,11+3*MIN(BQ$3,$D$2-1)))))</f>
        <v>6.29</v>
      </c>
      <c r="BR64" s="131" t="n">
        <f aca="false">IF(OR($C64="",$B$2="",$D$2=0),0,IF(BR$3&lt;0,0,N(INDEX('CURVA PREVISION'!$A$1:$KZ$3000,$C64,11+3*MIN(BR$3,$D$2-1)))))</f>
        <v>6.29</v>
      </c>
      <c r="BS64" s="131" t="n">
        <f aca="false">IF(OR($C64="",$B$2="",$D$2=0),0,IF(BS$3&lt;0,0,N(INDEX('CURVA PREVISION'!$A$1:$KZ$3000,$C64,11+3*MIN(BS$3,$D$2-1)))))</f>
        <v>6.29</v>
      </c>
      <c r="BT64" s="131" t="n">
        <f aca="false">IF(OR($C64="",$B$2="",$D$2=0),0,IF(BT$3&lt;0,0,N(INDEX('CURVA PREVISION'!$A$1:$KZ$3000,$C64,11+3*MIN(BT$3,$D$2-1)))))</f>
        <v>6.29</v>
      </c>
      <c r="BU64" s="131" t="n">
        <f aca="false">IF(OR($C64="",$B$2="",$D$2=0),0,IF(BU$3&lt;0,0,N(INDEX('CURVA PREVISION'!$A$1:$KZ$3000,$C64,11+3*MIN(BU$3,$D$2-1)))))</f>
        <v>6.29</v>
      </c>
      <c r="BV64" s="131" t="n">
        <f aca="false">IF(OR($C64="",$B$2="",$D$2=0),0,IF(BV$3&lt;0,0,N(INDEX('CURVA PREVISION'!$A$1:$KZ$3000,$C64,11+3*MIN(BV$3,$D$2-1)))))</f>
        <v>6.29</v>
      </c>
      <c r="BW64" s="131" t="n">
        <f aca="false">IF(OR($C64="",$B$2="",$D$2=0),0,IF(BW$3&lt;0,0,N(INDEX('CURVA PREVISION'!$A$1:$KZ$3000,$C64,11+3*MIN(BW$3,$D$2-1)))))</f>
        <v>6.29</v>
      </c>
    </row>
    <row r="65" customFormat="false" ht="15" hidden="false" customHeight="false" outlineLevel="0" collapsed="false">
      <c r="A65" s="57" t="str">
        <f aca="false">IF('VALOR POR PL'!Q29="",'VALOR POR PL'!C29,'VALOR POR PL'!Q29)</f>
        <v>19</v>
      </c>
      <c r="B65" s="47" t="str">
        <f aca="false">B23</f>
        <v>IMPERMEABILIZAÇÃO</v>
      </c>
      <c r="C65" s="64" t="n">
        <f aca="false">IFERROR(MATCH(A65,'CURVA PREVISION'!$B$1:$B$3000,0),"")</f>
        <v>454</v>
      </c>
      <c r="D65" s="131" t="n">
        <f aca="false">IF(OR($C65="",$B$2="",$D$2=0),0,IF(D$3&lt;0,0,N(INDEX('CURVA PREVISION'!$A$1:$KZ$3000,$C65,11+3*MIN(D$3,$D$2-1)))))</f>
        <v>0</v>
      </c>
      <c r="E65" s="131" t="n">
        <f aca="false">IF(OR($C65="",$B$2="",$D$2=0),0,IF(E$3&lt;0,0,N(INDEX('CURVA PREVISION'!$A$1:$KZ$3000,$C65,11+3*MIN(E$3,$D$2-1)))))</f>
        <v>0</v>
      </c>
      <c r="F65" s="131" t="n">
        <f aca="false">IF(OR($C65="",$B$2="",$D$2=0),0,IF(F$3&lt;0,0,N(INDEX('CURVA PREVISION'!$A$1:$KZ$3000,$C65,11+3*MIN(F$3,$D$2-1)))))</f>
        <v>0</v>
      </c>
      <c r="G65" s="131" t="n">
        <f aca="false">IF(OR($C65="",$B$2="",$D$2=0),0,IF(G$3&lt;0,0,N(INDEX('CURVA PREVISION'!$A$1:$KZ$3000,$C65,11+3*MIN(G$3,$D$2-1)))))</f>
        <v>0</v>
      </c>
      <c r="H65" s="131" t="n">
        <f aca="false">IF(OR($C65="",$B$2="",$D$2=0),0,IF(H$3&lt;0,0,N(INDEX('CURVA PREVISION'!$A$1:$KZ$3000,$C65,11+3*MIN(H$3,$D$2-1)))))</f>
        <v>0</v>
      </c>
      <c r="I65" s="131" t="n">
        <f aca="false">IF(OR($C65="",$B$2="",$D$2=0),0,IF(I$3&lt;0,0,N(INDEX('CURVA PREVISION'!$A$1:$KZ$3000,$C65,11+3*MIN(I$3,$D$2-1)))))</f>
        <v>0</v>
      </c>
      <c r="J65" s="131" t="n">
        <f aca="false">IF(OR($C65="",$B$2="",$D$2=0),0,IF(J$3&lt;0,0,N(INDEX('CURVA PREVISION'!$A$1:$KZ$3000,$C65,11+3*MIN(J$3,$D$2-1)))))</f>
        <v>0</v>
      </c>
      <c r="K65" s="131" t="n">
        <f aca="false">IF(OR($C65="",$B$2="",$D$2=0),0,IF(K$3&lt;0,0,N(INDEX('CURVA PREVISION'!$A$1:$KZ$3000,$C65,11+3*MIN(K$3,$D$2-1)))))</f>
        <v>0</v>
      </c>
      <c r="L65" s="131" t="n">
        <f aca="false">IF(OR($C65="",$B$2="",$D$2=0),0,IF(L$3&lt;0,0,N(INDEX('CURVA PREVISION'!$A$1:$KZ$3000,$C65,11+3*MIN(L$3,$D$2-1)))))</f>
        <v>0</v>
      </c>
      <c r="M65" s="131" t="n">
        <f aca="false">IF(OR($C65="",$B$2="",$D$2=0),0,IF(M$3&lt;0,0,N(INDEX('CURVA PREVISION'!$A$1:$KZ$3000,$C65,11+3*MIN(M$3,$D$2-1)))))</f>
        <v>0</v>
      </c>
      <c r="N65" s="131" t="n">
        <f aca="false">IF(OR($C65="",$B$2="",$D$2=0),0,IF(N$3&lt;0,0,N(INDEX('CURVA PREVISION'!$A$1:$KZ$3000,$C65,11+3*MIN(N$3,$D$2-1)))))</f>
        <v>0</v>
      </c>
      <c r="O65" s="131" t="n">
        <f aca="false">IF(OR($C65="",$B$2="",$D$2=0),0,IF(O$3&lt;0,0,N(INDEX('CURVA PREVISION'!$A$1:$KZ$3000,$C65,11+3*MIN(O$3,$D$2-1)))))</f>
        <v>0</v>
      </c>
      <c r="P65" s="131" t="n">
        <f aca="false">IF(OR($C65="",$B$2="",$D$2=0),0,IF(P$3&lt;0,0,N(INDEX('CURVA PREVISION'!$A$1:$KZ$3000,$C65,11+3*MIN(P$3,$D$2-1)))))</f>
        <v>0</v>
      </c>
      <c r="Q65" s="131" t="n">
        <f aca="false">IF(OR($C65="",$B$2="",$D$2=0),0,IF(Q$3&lt;0,0,N(INDEX('CURVA PREVISION'!$A$1:$KZ$3000,$C65,11+3*MIN(Q$3,$D$2-1)))))</f>
        <v>0</v>
      </c>
      <c r="R65" s="131" t="n">
        <f aca="false">IF(OR($C65="",$B$2="",$D$2=0),0,IF(R$3&lt;0,0,N(INDEX('CURVA PREVISION'!$A$1:$KZ$3000,$C65,11+3*MIN(R$3,$D$2-1)))))</f>
        <v>0</v>
      </c>
      <c r="S65" s="131" t="n">
        <f aca="false">IF(OR($C65="",$B$2="",$D$2=0),0,IF(S$3&lt;0,0,N(INDEX('CURVA PREVISION'!$A$1:$KZ$3000,$C65,11+3*MIN(S$3,$D$2-1)))))</f>
        <v>0</v>
      </c>
      <c r="T65" s="131" t="n">
        <f aca="false">IF(OR($C65="",$B$2="",$D$2=0),0,IF(T$3&lt;0,0,N(INDEX('CURVA PREVISION'!$A$1:$KZ$3000,$C65,11+3*MIN(T$3,$D$2-1)))))</f>
        <v>0</v>
      </c>
      <c r="U65" s="131" t="n">
        <f aca="false">IF(OR($C65="",$B$2="",$D$2=0),0,IF(U$3&lt;0,0,N(INDEX('CURVA PREVISION'!$A$1:$KZ$3000,$C65,11+3*MIN(U$3,$D$2-1)))))</f>
        <v>0</v>
      </c>
      <c r="V65" s="131" t="n">
        <f aca="false">IF(OR($C65="",$B$2="",$D$2=0),0,IF(V$3&lt;0,0,N(INDEX('CURVA PREVISION'!$A$1:$KZ$3000,$C65,11+3*MIN(V$3,$D$2-1)))))</f>
        <v>0</v>
      </c>
      <c r="W65" s="131" t="n">
        <f aca="false">IF(OR($C65="",$B$2="",$D$2=0),0,IF(W$3&lt;0,0,N(INDEX('CURVA PREVISION'!$A$1:$KZ$3000,$C65,11+3*MIN(W$3,$D$2-1)))))</f>
        <v>0</v>
      </c>
      <c r="X65" s="131" t="n">
        <f aca="false">IF(OR($C65="",$B$2="",$D$2=0),0,IF(X$3&lt;0,0,N(INDEX('CURVA PREVISION'!$A$1:$KZ$3000,$C65,11+3*MIN(X$3,$D$2-1)))))</f>
        <v>0</v>
      </c>
      <c r="Y65" s="131" t="n">
        <f aca="false">IF(OR($C65="",$B$2="",$D$2=0),0,IF(Y$3&lt;0,0,N(INDEX('CURVA PREVISION'!$A$1:$KZ$3000,$C65,11+3*MIN(Y$3,$D$2-1)))))</f>
        <v>0</v>
      </c>
      <c r="Z65" s="131" t="n">
        <f aca="false">IF(OR($C65="",$B$2="",$D$2=0),0,IF(Z$3&lt;0,0,N(INDEX('CURVA PREVISION'!$A$1:$KZ$3000,$C65,11+3*MIN(Z$3,$D$2-1)))))</f>
        <v>0</v>
      </c>
      <c r="AA65" s="131" t="n">
        <f aca="false">IF(OR($C65="",$B$2="",$D$2=0),0,IF(AA$3&lt;0,0,N(INDEX('CURVA PREVISION'!$A$1:$KZ$3000,$C65,11+3*MIN(AA$3,$D$2-1)))))</f>
        <v>0</v>
      </c>
      <c r="AB65" s="131" t="n">
        <f aca="false">IF(OR($C65="",$B$2="",$D$2=0),0,IF(AB$3&lt;0,0,N(INDEX('CURVA PREVISION'!$A$1:$KZ$3000,$C65,11+3*MIN(AB$3,$D$2-1)))))</f>
        <v>0</v>
      </c>
      <c r="AC65" s="131" t="n">
        <f aca="false">IF(OR($C65="",$B$2="",$D$2=0),0,IF(AC$3&lt;0,0,N(INDEX('CURVA PREVISION'!$A$1:$KZ$3000,$C65,11+3*MIN(AC$3,$D$2-1)))))</f>
        <v>0</v>
      </c>
      <c r="AD65" s="131" t="n">
        <f aca="false">IF(OR($C65="",$B$2="",$D$2=0),0,IF(AD$3&lt;0,0,N(INDEX('CURVA PREVISION'!$A$1:$KZ$3000,$C65,11+3*MIN(AD$3,$D$2-1)))))</f>
        <v>0</v>
      </c>
      <c r="AE65" s="131" t="n">
        <f aca="false">IF(OR($C65="",$B$2="",$D$2=0),0,IF(AE$3&lt;0,0,N(INDEX('CURVA PREVISION'!$A$1:$KZ$3000,$C65,11+3*MIN(AE$3,$D$2-1)))))</f>
        <v>0</v>
      </c>
      <c r="AF65" s="131" t="n">
        <f aca="false">IF(OR($C65="",$B$2="",$D$2=0),0,IF(AF$3&lt;0,0,N(INDEX('CURVA PREVISION'!$A$1:$KZ$3000,$C65,11+3*MIN(AF$3,$D$2-1)))))</f>
        <v>0</v>
      </c>
      <c r="AG65" s="131" t="n">
        <f aca="false">IF(OR($C65="",$B$2="",$D$2=0),0,IF(AG$3&lt;0,0,N(INDEX('CURVA PREVISION'!$A$1:$KZ$3000,$C65,11+3*MIN(AG$3,$D$2-1)))))</f>
        <v>0</v>
      </c>
      <c r="AH65" s="131" t="n">
        <f aca="false">IF(OR($C65="",$B$2="",$D$2=0),0,IF(AH$3&lt;0,0,N(INDEX('CURVA PREVISION'!$A$1:$KZ$3000,$C65,11+3*MIN(AH$3,$D$2-1)))))</f>
        <v>0</v>
      </c>
      <c r="AI65" s="131" t="n">
        <f aca="false">IF(OR($C65="",$B$2="",$D$2=0),0,IF(AI$3&lt;0,0,N(INDEX('CURVA PREVISION'!$A$1:$KZ$3000,$C65,11+3*MIN(AI$3,$D$2-1)))))</f>
        <v>0</v>
      </c>
      <c r="AJ65" s="131" t="n">
        <f aca="false">IF(OR($C65="",$B$2="",$D$2=0),0,IF(AJ$3&lt;0,0,N(INDEX('CURVA PREVISION'!$A$1:$KZ$3000,$C65,11+3*MIN(AJ$3,$D$2-1)))))</f>
        <v>0</v>
      </c>
      <c r="AK65" s="131" t="n">
        <f aca="false">IF(OR($C65="",$B$2="",$D$2=0),0,IF(AK$3&lt;0,0,N(INDEX('CURVA PREVISION'!$A$1:$KZ$3000,$C65,11+3*MIN(AK$3,$D$2-1)))))</f>
        <v>0</v>
      </c>
      <c r="AL65" s="131" t="n">
        <f aca="false">IF(OR($C65="",$B$2="",$D$2=0),0,IF(AL$3&lt;0,0,N(INDEX('CURVA PREVISION'!$A$1:$KZ$3000,$C65,11+3*MIN(AL$3,$D$2-1)))))</f>
        <v>0</v>
      </c>
      <c r="AM65" s="131" t="n">
        <f aca="false">IF(OR($C65="",$B$2="",$D$2=0),0,IF(AM$3&lt;0,0,N(INDEX('CURVA PREVISION'!$A$1:$KZ$3000,$C65,11+3*MIN(AM$3,$D$2-1)))))</f>
        <v>0</v>
      </c>
      <c r="AN65" s="131" t="n">
        <f aca="false">IF(OR($C65="",$B$2="",$D$2=0),0,IF(AN$3&lt;0,0,N(INDEX('CURVA PREVISION'!$A$1:$KZ$3000,$C65,11+3*MIN(AN$3,$D$2-1)))))</f>
        <v>0</v>
      </c>
      <c r="AO65" s="131" t="n">
        <f aca="false">IF(OR($C65="",$B$2="",$D$2=0),0,IF(AO$3&lt;0,0,N(INDEX('CURVA PREVISION'!$A$1:$KZ$3000,$C65,11+3*MIN(AO$3,$D$2-1)))))</f>
        <v>0</v>
      </c>
      <c r="AP65" s="131" t="n">
        <f aca="false">IF(OR($C65="",$B$2="",$D$2=0),0,IF(AP$3&lt;0,0,N(INDEX('CURVA PREVISION'!$A$1:$KZ$3000,$C65,11+3*MIN(AP$3,$D$2-1)))))</f>
        <v>0</v>
      </c>
      <c r="AQ65" s="131" t="n">
        <f aca="false">IF(OR($C65="",$B$2="",$D$2=0),0,IF(AQ$3&lt;0,0,N(INDEX('CURVA PREVISION'!$A$1:$KZ$3000,$C65,11+3*MIN(AQ$3,$D$2-1)))))</f>
        <v>0</v>
      </c>
      <c r="AR65" s="131" t="n">
        <f aca="false">IF(OR($C65="",$B$2="",$D$2=0),0,IF(AR$3&lt;0,0,N(INDEX('CURVA PREVISION'!$A$1:$KZ$3000,$C65,11+3*MIN(AR$3,$D$2-1)))))</f>
        <v>0</v>
      </c>
      <c r="AS65" s="131" t="n">
        <f aca="false">IF(OR($C65="",$B$2="",$D$2=0),0,IF(AS$3&lt;0,0,N(INDEX('CURVA PREVISION'!$A$1:$KZ$3000,$C65,11+3*MIN(AS$3,$D$2-1)))))</f>
        <v>0</v>
      </c>
      <c r="AT65" s="131" t="n">
        <f aca="false">IF(OR($C65="",$B$2="",$D$2=0),0,IF(AT$3&lt;0,0,N(INDEX('CURVA PREVISION'!$A$1:$KZ$3000,$C65,11+3*MIN(AT$3,$D$2-1)))))</f>
        <v>0</v>
      </c>
      <c r="AU65" s="131" t="n">
        <f aca="false">IF(OR($C65="",$B$2="",$D$2=0),0,IF(AU$3&lt;0,0,N(INDEX('CURVA PREVISION'!$A$1:$KZ$3000,$C65,11+3*MIN(AU$3,$D$2-1)))))</f>
        <v>0</v>
      </c>
      <c r="AV65" s="131" t="n">
        <f aca="false">IF(OR($C65="",$B$2="",$D$2=0),0,IF(AV$3&lt;0,0,N(INDEX('CURVA PREVISION'!$A$1:$KZ$3000,$C65,11+3*MIN(AV$3,$D$2-1)))))</f>
        <v>0</v>
      </c>
      <c r="AW65" s="131" t="n">
        <f aca="false">IF(OR($C65="",$B$2="",$D$2=0),0,IF(AW$3&lt;0,0,N(INDEX('CURVA PREVISION'!$A$1:$KZ$3000,$C65,11+3*MIN(AW$3,$D$2-1)))))</f>
        <v>0</v>
      </c>
      <c r="AX65" s="131" t="n">
        <f aca="false">IF(OR($C65="",$B$2="",$D$2=0),0,IF(AX$3&lt;0,0,N(INDEX('CURVA PREVISION'!$A$1:$KZ$3000,$C65,11+3*MIN(AX$3,$D$2-1)))))</f>
        <v>0</v>
      </c>
      <c r="AY65" s="131" t="n">
        <f aca="false">IF(OR($C65="",$B$2="",$D$2=0),0,IF(AY$3&lt;0,0,N(INDEX('CURVA PREVISION'!$A$1:$KZ$3000,$C65,11+3*MIN(AY$3,$D$2-1)))))</f>
        <v>0</v>
      </c>
      <c r="AZ65" s="131" t="n">
        <f aca="false">IF(OR($C65="",$B$2="",$D$2=0),0,IF(AZ$3&lt;0,0,N(INDEX('CURVA PREVISION'!$A$1:$KZ$3000,$C65,11+3*MIN(AZ$3,$D$2-1)))))</f>
        <v>0</v>
      </c>
      <c r="BA65" s="131" t="n">
        <f aca="false">IF(OR($C65="",$B$2="",$D$2=0),0,IF(BA$3&lt;0,0,N(INDEX('CURVA PREVISION'!$A$1:$KZ$3000,$C65,11+3*MIN(BA$3,$D$2-1)))))</f>
        <v>0</v>
      </c>
      <c r="BB65" s="131" t="n">
        <f aca="false">IF(OR($C65="",$B$2="",$D$2=0),0,IF(BB$3&lt;0,0,N(INDEX('CURVA PREVISION'!$A$1:$KZ$3000,$C65,11+3*MIN(BB$3,$D$2-1)))))</f>
        <v>0</v>
      </c>
      <c r="BC65" s="131" t="n">
        <f aca="false">IF(OR($C65="",$B$2="",$D$2=0),0,IF(BC$3&lt;0,0,N(INDEX('CURVA PREVISION'!$A$1:$KZ$3000,$C65,11+3*MIN(BC$3,$D$2-1)))))</f>
        <v>0</v>
      </c>
      <c r="BD65" s="131" t="n">
        <f aca="false">IF(OR($C65="",$B$2="",$D$2=0),0,IF(BD$3&lt;0,0,N(INDEX('CURVA PREVISION'!$A$1:$KZ$3000,$C65,11+3*MIN(BD$3,$D$2-1)))))</f>
        <v>0</v>
      </c>
      <c r="BE65" s="131" t="n">
        <f aca="false">IF(OR($C65="",$B$2="",$D$2=0),0,IF(BE$3&lt;0,0,N(INDEX('CURVA PREVISION'!$A$1:$KZ$3000,$C65,11+3*MIN(BE$3,$D$2-1)))))</f>
        <v>0</v>
      </c>
      <c r="BF65" s="131" t="n">
        <f aca="false">IF(OR($C65="",$B$2="",$D$2=0),0,IF(BF$3&lt;0,0,N(INDEX('CURVA PREVISION'!$A$1:$KZ$3000,$C65,11+3*MIN(BF$3,$D$2-1)))))</f>
        <v>0</v>
      </c>
      <c r="BG65" s="131" t="n">
        <f aca="false">IF(OR($C65="",$B$2="",$D$2=0),0,IF(BG$3&lt;0,0,N(INDEX('CURVA PREVISION'!$A$1:$KZ$3000,$C65,11+3*MIN(BG$3,$D$2-1)))))</f>
        <v>0</v>
      </c>
      <c r="BH65" s="131" t="n">
        <f aca="false">IF(OR($C65="",$B$2="",$D$2=0),0,IF(BH$3&lt;0,0,N(INDEX('CURVA PREVISION'!$A$1:$KZ$3000,$C65,11+3*MIN(BH$3,$D$2-1)))))</f>
        <v>0</v>
      </c>
      <c r="BI65" s="131" t="n">
        <f aca="false">IF(OR($C65="",$B$2="",$D$2=0),0,IF(BI$3&lt;0,0,N(INDEX('CURVA PREVISION'!$A$1:$KZ$3000,$C65,11+3*MIN(BI$3,$D$2-1)))))</f>
        <v>0</v>
      </c>
      <c r="BJ65" s="131" t="n">
        <f aca="false">IF(OR($C65="",$B$2="",$D$2=0),0,IF(BJ$3&lt;0,0,N(INDEX('CURVA PREVISION'!$A$1:$KZ$3000,$C65,11+3*MIN(BJ$3,$D$2-1)))))</f>
        <v>0</v>
      </c>
      <c r="BK65" s="131" t="n">
        <f aca="false">IF(OR($C65="",$B$2="",$D$2=0),0,IF(BK$3&lt;0,0,N(INDEX('CURVA PREVISION'!$A$1:$KZ$3000,$C65,11+3*MIN(BK$3,$D$2-1)))))</f>
        <v>0</v>
      </c>
      <c r="BL65" s="131" t="n">
        <f aca="false">IF(OR($C65="",$B$2="",$D$2=0),0,IF(BL$3&lt;0,0,N(INDEX('CURVA PREVISION'!$A$1:$KZ$3000,$C65,11+3*MIN(BL$3,$D$2-1)))))</f>
        <v>0</v>
      </c>
      <c r="BM65" s="131" t="n">
        <f aca="false">IF(OR($C65="",$B$2="",$D$2=0),0,IF(BM$3&lt;0,0,N(INDEX('CURVA PREVISION'!$A$1:$KZ$3000,$C65,11+3*MIN(BM$3,$D$2-1)))))</f>
        <v>0</v>
      </c>
      <c r="BN65" s="131" t="n">
        <f aca="false">IF(OR($C65="",$B$2="",$D$2=0),0,IF(BN$3&lt;0,0,N(INDEX('CURVA PREVISION'!$A$1:$KZ$3000,$C65,11+3*MIN(BN$3,$D$2-1)))))</f>
        <v>0</v>
      </c>
      <c r="BO65" s="131" t="n">
        <f aca="false">IF(OR($C65="",$B$2="",$D$2=0),0,IF(BO$3&lt;0,0,N(INDEX('CURVA PREVISION'!$A$1:$KZ$3000,$C65,11+3*MIN(BO$3,$D$2-1)))))</f>
        <v>0</v>
      </c>
      <c r="BP65" s="131" t="n">
        <f aca="false">IF(OR($C65="",$B$2="",$D$2=0),0,IF(BP$3&lt;0,0,N(INDEX('CURVA PREVISION'!$A$1:$KZ$3000,$C65,11+3*MIN(BP$3,$D$2-1)))))</f>
        <v>0</v>
      </c>
      <c r="BQ65" s="131" t="n">
        <f aca="false">IF(OR($C65="",$B$2="",$D$2=0),0,IF(BQ$3&lt;0,0,N(INDEX('CURVA PREVISION'!$A$1:$KZ$3000,$C65,11+3*MIN(BQ$3,$D$2-1)))))</f>
        <v>0</v>
      </c>
      <c r="BR65" s="131" t="n">
        <f aca="false">IF(OR($C65="",$B$2="",$D$2=0),0,IF(BR$3&lt;0,0,N(INDEX('CURVA PREVISION'!$A$1:$KZ$3000,$C65,11+3*MIN(BR$3,$D$2-1)))))</f>
        <v>0</v>
      </c>
      <c r="BS65" s="131" t="n">
        <f aca="false">IF(OR($C65="",$B$2="",$D$2=0),0,IF(BS$3&lt;0,0,N(INDEX('CURVA PREVISION'!$A$1:$KZ$3000,$C65,11+3*MIN(BS$3,$D$2-1)))))</f>
        <v>0</v>
      </c>
      <c r="BT65" s="131" t="n">
        <f aca="false">IF(OR($C65="",$B$2="",$D$2=0),0,IF(BT$3&lt;0,0,N(INDEX('CURVA PREVISION'!$A$1:$KZ$3000,$C65,11+3*MIN(BT$3,$D$2-1)))))</f>
        <v>0</v>
      </c>
      <c r="BU65" s="131" t="n">
        <f aca="false">IF(OR($C65="",$B$2="",$D$2=0),0,IF(BU$3&lt;0,0,N(INDEX('CURVA PREVISION'!$A$1:$KZ$3000,$C65,11+3*MIN(BU$3,$D$2-1)))))</f>
        <v>0</v>
      </c>
      <c r="BV65" s="131" t="n">
        <f aca="false">IF(OR($C65="",$B$2="",$D$2=0),0,IF(BV$3&lt;0,0,N(INDEX('CURVA PREVISION'!$A$1:$KZ$3000,$C65,11+3*MIN(BV$3,$D$2-1)))))</f>
        <v>0</v>
      </c>
      <c r="BW65" s="131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20</v>
      </c>
      <c r="B66" s="47" t="str">
        <f aca="false">B24</f>
        <v>INSTALAÇÕES ELÉTRICAS</v>
      </c>
      <c r="C66" s="64" t="n">
        <f aca="false">IFERROR(MATCH(A66,'CURVA PREVISION'!$B$1:$B$3000,0),"")</f>
        <v>523</v>
      </c>
      <c r="D66" s="131" t="n">
        <f aca="false">IF(OR($C66="",$B$2="",$D$2=0),0,IF(D$3&lt;0,0,N(INDEX('CURVA PREVISION'!$A$1:$KZ$3000,$C66,11+3*MIN(D$3,$D$2-1)))))</f>
        <v>0</v>
      </c>
      <c r="E66" s="131" t="n">
        <f aca="false">IF(OR($C66="",$B$2="",$D$2=0),0,IF(E$3&lt;0,0,N(INDEX('CURVA PREVISION'!$A$1:$KZ$3000,$C66,11+3*MIN(E$3,$D$2-1)))))</f>
        <v>0</v>
      </c>
      <c r="F66" s="131" t="n">
        <f aca="false">IF(OR($C66="",$B$2="",$D$2=0),0,IF(F$3&lt;0,0,N(INDEX('CURVA PREVISION'!$A$1:$KZ$3000,$C66,11+3*MIN(F$3,$D$2-1)))))</f>
        <v>0</v>
      </c>
      <c r="G66" s="131" t="n">
        <f aca="false">IF(OR($C66="",$B$2="",$D$2=0),0,IF(G$3&lt;0,0,N(INDEX('CURVA PREVISION'!$A$1:$KZ$3000,$C66,11+3*MIN(G$3,$D$2-1)))))</f>
        <v>0</v>
      </c>
      <c r="H66" s="131" t="n">
        <f aca="false">IF(OR($C66="",$B$2="",$D$2=0),0,IF(H$3&lt;0,0,N(INDEX('CURVA PREVISION'!$A$1:$KZ$3000,$C66,11+3*MIN(H$3,$D$2-1)))))</f>
        <v>0</v>
      </c>
      <c r="I66" s="131" t="n">
        <f aca="false">IF(OR($C66="",$B$2="",$D$2=0),0,IF(I$3&lt;0,0,N(INDEX('CURVA PREVISION'!$A$1:$KZ$3000,$C66,11+3*MIN(I$3,$D$2-1)))))</f>
        <v>0</v>
      </c>
      <c r="J66" s="131" t="n">
        <f aca="false">IF(OR($C66="",$B$2="",$D$2=0),0,IF(J$3&lt;0,0,N(INDEX('CURVA PREVISION'!$A$1:$KZ$3000,$C66,11+3*MIN(J$3,$D$2-1)))))</f>
        <v>0</v>
      </c>
      <c r="K66" s="131" t="n">
        <f aca="false">IF(OR($C66="",$B$2="",$D$2=0),0,IF(K$3&lt;0,0,N(INDEX('CURVA PREVISION'!$A$1:$KZ$3000,$C66,11+3*MIN(K$3,$D$2-1)))))</f>
        <v>0</v>
      </c>
      <c r="L66" s="131" t="n">
        <f aca="false">IF(OR($C66="",$B$2="",$D$2=0),0,IF(L$3&lt;0,0,N(INDEX('CURVA PREVISION'!$A$1:$KZ$3000,$C66,11+3*MIN(L$3,$D$2-1)))))</f>
        <v>0</v>
      </c>
      <c r="M66" s="131" t="n">
        <f aca="false">IF(OR($C66="",$B$2="",$D$2=0),0,IF(M$3&lt;0,0,N(INDEX('CURVA PREVISION'!$A$1:$KZ$3000,$C66,11+3*MIN(M$3,$D$2-1)))))</f>
        <v>0</v>
      </c>
      <c r="N66" s="131" t="n">
        <f aca="false">IF(OR($C66="",$B$2="",$D$2=0),0,IF(N$3&lt;0,0,N(INDEX('CURVA PREVISION'!$A$1:$KZ$3000,$C66,11+3*MIN(N$3,$D$2-1)))))</f>
        <v>0</v>
      </c>
      <c r="O66" s="131" t="n">
        <f aca="false">IF(OR($C66="",$B$2="",$D$2=0),0,IF(O$3&lt;0,0,N(INDEX('CURVA PREVISION'!$A$1:$KZ$3000,$C66,11+3*MIN(O$3,$D$2-1)))))</f>
        <v>0</v>
      </c>
      <c r="P66" s="131" t="n">
        <f aca="false">IF(OR($C66="",$B$2="",$D$2=0),0,IF(P$3&lt;0,0,N(INDEX('CURVA PREVISION'!$A$1:$KZ$3000,$C66,11+3*MIN(P$3,$D$2-1)))))</f>
        <v>0</v>
      </c>
      <c r="Q66" s="131" t="n">
        <f aca="false">IF(OR($C66="",$B$2="",$D$2=0),0,IF(Q$3&lt;0,0,N(INDEX('CURVA PREVISION'!$A$1:$KZ$3000,$C66,11+3*MIN(Q$3,$D$2-1)))))</f>
        <v>0</v>
      </c>
      <c r="R66" s="131" t="n">
        <f aca="false">IF(OR($C66="",$B$2="",$D$2=0),0,IF(R$3&lt;0,0,N(INDEX('CURVA PREVISION'!$A$1:$KZ$3000,$C66,11+3*MIN(R$3,$D$2-1)))))</f>
        <v>0</v>
      </c>
      <c r="S66" s="131" t="n">
        <f aca="false">IF(OR($C66="",$B$2="",$D$2=0),0,IF(S$3&lt;0,0,N(INDEX('CURVA PREVISION'!$A$1:$KZ$3000,$C66,11+3*MIN(S$3,$D$2-1)))))</f>
        <v>0</v>
      </c>
      <c r="T66" s="131" t="n">
        <f aca="false">IF(OR($C66="",$B$2="",$D$2=0),0,IF(T$3&lt;0,0,N(INDEX('CURVA PREVISION'!$A$1:$KZ$3000,$C66,11+3*MIN(T$3,$D$2-1)))))</f>
        <v>0</v>
      </c>
      <c r="U66" s="131" t="n">
        <f aca="false">IF(OR($C66="",$B$2="",$D$2=0),0,IF(U$3&lt;0,0,N(INDEX('CURVA PREVISION'!$A$1:$KZ$3000,$C66,11+3*MIN(U$3,$D$2-1)))))</f>
        <v>0</v>
      </c>
      <c r="V66" s="131" t="n">
        <f aca="false">IF(OR($C66="",$B$2="",$D$2=0),0,IF(V$3&lt;0,0,N(INDEX('CURVA PREVISION'!$A$1:$KZ$3000,$C66,11+3*MIN(V$3,$D$2-1)))))</f>
        <v>0</v>
      </c>
      <c r="W66" s="131" t="n">
        <f aca="false">IF(OR($C66="",$B$2="",$D$2=0),0,IF(W$3&lt;0,0,N(INDEX('CURVA PREVISION'!$A$1:$KZ$3000,$C66,11+3*MIN(W$3,$D$2-1)))))</f>
        <v>0</v>
      </c>
      <c r="X66" s="131" t="n">
        <f aca="false">IF(OR($C66="",$B$2="",$D$2=0),0,IF(X$3&lt;0,0,N(INDEX('CURVA PREVISION'!$A$1:$KZ$3000,$C66,11+3*MIN(X$3,$D$2-1)))))</f>
        <v>0</v>
      </c>
      <c r="Y66" s="131" t="n">
        <f aca="false">IF(OR($C66="",$B$2="",$D$2=0),0,IF(Y$3&lt;0,0,N(INDEX('CURVA PREVISION'!$A$1:$KZ$3000,$C66,11+3*MIN(Y$3,$D$2-1)))))</f>
        <v>0</v>
      </c>
      <c r="Z66" s="131" t="n">
        <f aca="false">IF(OR($C66="",$B$2="",$D$2=0),0,IF(Z$3&lt;0,0,N(INDEX('CURVA PREVISION'!$A$1:$KZ$3000,$C66,11+3*MIN(Z$3,$D$2-1)))))</f>
        <v>0</v>
      </c>
      <c r="AA66" s="131" t="n">
        <f aca="false">IF(OR($C66="",$B$2="",$D$2=0),0,IF(AA$3&lt;0,0,N(INDEX('CURVA PREVISION'!$A$1:$KZ$3000,$C66,11+3*MIN(AA$3,$D$2-1)))))</f>
        <v>0</v>
      </c>
      <c r="AB66" s="131" t="n">
        <f aca="false">IF(OR($C66="",$B$2="",$D$2=0),0,IF(AB$3&lt;0,0,N(INDEX('CURVA PREVISION'!$A$1:$KZ$3000,$C66,11+3*MIN(AB$3,$D$2-1)))))</f>
        <v>0</v>
      </c>
      <c r="AC66" s="131" t="n">
        <f aca="false">IF(OR($C66="",$B$2="",$D$2=0),0,IF(AC$3&lt;0,0,N(INDEX('CURVA PREVISION'!$A$1:$KZ$3000,$C66,11+3*MIN(AC$3,$D$2-1)))))</f>
        <v>0</v>
      </c>
      <c r="AD66" s="131" t="n">
        <f aca="false">IF(OR($C66="",$B$2="",$D$2=0),0,IF(AD$3&lt;0,0,N(INDEX('CURVA PREVISION'!$A$1:$KZ$3000,$C66,11+3*MIN(AD$3,$D$2-1)))))</f>
        <v>0</v>
      </c>
      <c r="AE66" s="131" t="n">
        <f aca="false">IF(OR($C66="",$B$2="",$D$2=0),0,IF(AE$3&lt;0,0,N(INDEX('CURVA PREVISION'!$A$1:$KZ$3000,$C66,11+3*MIN(AE$3,$D$2-1)))))</f>
        <v>0</v>
      </c>
      <c r="AF66" s="131" t="n">
        <f aca="false">IF(OR($C66="",$B$2="",$D$2=0),0,IF(AF$3&lt;0,0,N(INDEX('CURVA PREVISION'!$A$1:$KZ$3000,$C66,11+3*MIN(AF$3,$D$2-1)))))</f>
        <v>0</v>
      </c>
      <c r="AG66" s="131" t="n">
        <f aca="false">IF(OR($C66="",$B$2="",$D$2=0),0,IF(AG$3&lt;0,0,N(INDEX('CURVA PREVISION'!$A$1:$KZ$3000,$C66,11+3*MIN(AG$3,$D$2-1)))))</f>
        <v>0</v>
      </c>
      <c r="AH66" s="131" t="n">
        <f aca="false">IF(OR($C66="",$B$2="",$D$2=0),0,IF(AH$3&lt;0,0,N(INDEX('CURVA PREVISION'!$A$1:$KZ$3000,$C66,11+3*MIN(AH$3,$D$2-1)))))</f>
        <v>0</v>
      </c>
      <c r="AI66" s="131" t="n">
        <f aca="false">IF(OR($C66="",$B$2="",$D$2=0),0,IF(AI$3&lt;0,0,N(INDEX('CURVA PREVISION'!$A$1:$KZ$3000,$C66,11+3*MIN(AI$3,$D$2-1)))))</f>
        <v>0</v>
      </c>
      <c r="AJ66" s="131" t="n">
        <f aca="false">IF(OR($C66="",$B$2="",$D$2=0),0,IF(AJ$3&lt;0,0,N(INDEX('CURVA PREVISION'!$A$1:$KZ$3000,$C66,11+3*MIN(AJ$3,$D$2-1)))))</f>
        <v>0</v>
      </c>
      <c r="AK66" s="131" t="n">
        <f aca="false">IF(OR($C66="",$B$2="",$D$2=0),0,IF(AK$3&lt;0,0,N(INDEX('CURVA PREVISION'!$A$1:$KZ$3000,$C66,11+3*MIN(AK$3,$D$2-1)))))</f>
        <v>0</v>
      </c>
      <c r="AL66" s="131" t="n">
        <f aca="false">IF(OR($C66="",$B$2="",$D$2=0),0,IF(AL$3&lt;0,0,N(INDEX('CURVA PREVISION'!$A$1:$KZ$3000,$C66,11+3*MIN(AL$3,$D$2-1)))))</f>
        <v>0</v>
      </c>
      <c r="AM66" s="131" t="n">
        <f aca="false">IF(OR($C66="",$B$2="",$D$2=0),0,IF(AM$3&lt;0,0,N(INDEX('CURVA PREVISION'!$A$1:$KZ$3000,$C66,11+3*MIN(AM$3,$D$2-1)))))</f>
        <v>0</v>
      </c>
      <c r="AN66" s="131" t="n">
        <f aca="false">IF(OR($C66="",$B$2="",$D$2=0),0,IF(AN$3&lt;0,0,N(INDEX('CURVA PREVISION'!$A$1:$KZ$3000,$C66,11+3*MIN(AN$3,$D$2-1)))))</f>
        <v>0</v>
      </c>
      <c r="AO66" s="131" t="n">
        <f aca="false">IF(OR($C66="",$B$2="",$D$2=0),0,IF(AO$3&lt;0,0,N(INDEX('CURVA PREVISION'!$A$1:$KZ$3000,$C66,11+3*MIN(AO$3,$D$2-1)))))</f>
        <v>0</v>
      </c>
      <c r="AP66" s="131" t="n">
        <f aca="false">IF(OR($C66="",$B$2="",$D$2=0),0,IF(AP$3&lt;0,0,N(INDEX('CURVA PREVISION'!$A$1:$KZ$3000,$C66,11+3*MIN(AP$3,$D$2-1)))))</f>
        <v>0</v>
      </c>
      <c r="AQ66" s="131" t="n">
        <f aca="false">IF(OR($C66="",$B$2="",$D$2=0),0,IF(AQ$3&lt;0,0,N(INDEX('CURVA PREVISION'!$A$1:$KZ$3000,$C66,11+3*MIN(AQ$3,$D$2-1)))))</f>
        <v>0</v>
      </c>
      <c r="AR66" s="131" t="n">
        <f aca="false">IF(OR($C66="",$B$2="",$D$2=0),0,IF(AR$3&lt;0,0,N(INDEX('CURVA PREVISION'!$A$1:$KZ$3000,$C66,11+3*MIN(AR$3,$D$2-1)))))</f>
        <v>0</v>
      </c>
      <c r="AS66" s="131" t="n">
        <f aca="false">IF(OR($C66="",$B$2="",$D$2=0),0,IF(AS$3&lt;0,0,N(INDEX('CURVA PREVISION'!$A$1:$KZ$3000,$C66,11+3*MIN(AS$3,$D$2-1)))))</f>
        <v>0</v>
      </c>
      <c r="AT66" s="131" t="n">
        <f aca="false">IF(OR($C66="",$B$2="",$D$2=0),0,IF(AT$3&lt;0,0,N(INDEX('CURVA PREVISION'!$A$1:$KZ$3000,$C66,11+3*MIN(AT$3,$D$2-1)))))</f>
        <v>0</v>
      </c>
      <c r="AU66" s="131" t="n">
        <f aca="false">IF(OR($C66="",$B$2="",$D$2=0),0,IF(AU$3&lt;0,0,N(INDEX('CURVA PREVISION'!$A$1:$KZ$3000,$C66,11+3*MIN(AU$3,$D$2-1)))))</f>
        <v>0</v>
      </c>
      <c r="AV66" s="131" t="n">
        <f aca="false">IF(OR($C66="",$B$2="",$D$2=0),0,IF(AV$3&lt;0,0,N(INDEX('CURVA PREVISION'!$A$1:$KZ$3000,$C66,11+3*MIN(AV$3,$D$2-1)))))</f>
        <v>0</v>
      </c>
      <c r="AW66" s="131" t="n">
        <f aca="false">IF(OR($C66="",$B$2="",$D$2=0),0,IF(AW$3&lt;0,0,N(INDEX('CURVA PREVISION'!$A$1:$KZ$3000,$C66,11+3*MIN(AW$3,$D$2-1)))))</f>
        <v>0</v>
      </c>
      <c r="AX66" s="131" t="n">
        <f aca="false">IF(OR($C66="",$B$2="",$D$2=0),0,IF(AX$3&lt;0,0,N(INDEX('CURVA PREVISION'!$A$1:$KZ$3000,$C66,11+3*MIN(AX$3,$D$2-1)))))</f>
        <v>0</v>
      </c>
      <c r="AY66" s="131" t="n">
        <f aca="false">IF(OR($C66="",$B$2="",$D$2=0),0,IF(AY$3&lt;0,0,N(INDEX('CURVA PREVISION'!$A$1:$KZ$3000,$C66,11+3*MIN(AY$3,$D$2-1)))))</f>
        <v>0</v>
      </c>
      <c r="AZ66" s="131" t="n">
        <f aca="false">IF(OR($C66="",$B$2="",$D$2=0),0,IF(AZ$3&lt;0,0,N(INDEX('CURVA PREVISION'!$A$1:$KZ$3000,$C66,11+3*MIN(AZ$3,$D$2-1)))))</f>
        <v>0</v>
      </c>
      <c r="BA66" s="131" t="n">
        <f aca="false">IF(OR($C66="",$B$2="",$D$2=0),0,IF(BA$3&lt;0,0,N(INDEX('CURVA PREVISION'!$A$1:$KZ$3000,$C66,11+3*MIN(BA$3,$D$2-1)))))</f>
        <v>0</v>
      </c>
      <c r="BB66" s="131" t="n">
        <f aca="false">IF(OR($C66="",$B$2="",$D$2=0),0,IF(BB$3&lt;0,0,N(INDEX('CURVA PREVISION'!$A$1:$KZ$3000,$C66,11+3*MIN(BB$3,$D$2-1)))))</f>
        <v>0</v>
      </c>
      <c r="BC66" s="131" t="n">
        <f aca="false">IF(OR($C66="",$B$2="",$D$2=0),0,IF(BC$3&lt;0,0,N(INDEX('CURVA PREVISION'!$A$1:$KZ$3000,$C66,11+3*MIN(BC$3,$D$2-1)))))</f>
        <v>0</v>
      </c>
      <c r="BD66" s="131" t="n">
        <f aca="false">IF(OR($C66="",$B$2="",$D$2=0),0,IF(BD$3&lt;0,0,N(INDEX('CURVA PREVISION'!$A$1:$KZ$3000,$C66,11+3*MIN(BD$3,$D$2-1)))))</f>
        <v>0</v>
      </c>
      <c r="BE66" s="131" t="n">
        <f aca="false">IF(OR($C66="",$B$2="",$D$2=0),0,IF(BE$3&lt;0,0,N(INDEX('CURVA PREVISION'!$A$1:$KZ$3000,$C66,11+3*MIN(BE$3,$D$2-1)))))</f>
        <v>0</v>
      </c>
      <c r="BF66" s="131" t="n">
        <f aca="false">IF(OR($C66="",$B$2="",$D$2=0),0,IF(BF$3&lt;0,0,N(INDEX('CURVA PREVISION'!$A$1:$KZ$3000,$C66,11+3*MIN(BF$3,$D$2-1)))))</f>
        <v>0</v>
      </c>
      <c r="BG66" s="131" t="n">
        <f aca="false">IF(OR($C66="",$B$2="",$D$2=0),0,IF(BG$3&lt;0,0,N(INDEX('CURVA PREVISION'!$A$1:$KZ$3000,$C66,11+3*MIN(BG$3,$D$2-1)))))</f>
        <v>0</v>
      </c>
      <c r="BH66" s="131" t="n">
        <f aca="false">IF(OR($C66="",$B$2="",$D$2=0),0,IF(BH$3&lt;0,0,N(INDEX('CURVA PREVISION'!$A$1:$KZ$3000,$C66,11+3*MIN(BH$3,$D$2-1)))))</f>
        <v>0</v>
      </c>
      <c r="BI66" s="131" t="n">
        <f aca="false">IF(OR($C66="",$B$2="",$D$2=0),0,IF(BI$3&lt;0,0,N(INDEX('CURVA PREVISION'!$A$1:$KZ$3000,$C66,11+3*MIN(BI$3,$D$2-1)))))</f>
        <v>0</v>
      </c>
      <c r="BJ66" s="131" t="n">
        <f aca="false">IF(OR($C66="",$B$2="",$D$2=0),0,IF(BJ$3&lt;0,0,N(INDEX('CURVA PREVISION'!$A$1:$KZ$3000,$C66,11+3*MIN(BJ$3,$D$2-1)))))</f>
        <v>0</v>
      </c>
      <c r="BK66" s="131" t="n">
        <f aca="false">IF(OR($C66="",$B$2="",$D$2=0),0,IF(BK$3&lt;0,0,N(INDEX('CURVA PREVISION'!$A$1:$KZ$3000,$C66,11+3*MIN(BK$3,$D$2-1)))))</f>
        <v>0</v>
      </c>
      <c r="BL66" s="131" t="n">
        <f aca="false">IF(OR($C66="",$B$2="",$D$2=0),0,IF(BL$3&lt;0,0,N(INDEX('CURVA PREVISION'!$A$1:$KZ$3000,$C66,11+3*MIN(BL$3,$D$2-1)))))</f>
        <v>0</v>
      </c>
      <c r="BM66" s="131" t="n">
        <f aca="false">IF(OR($C66="",$B$2="",$D$2=0),0,IF(BM$3&lt;0,0,N(INDEX('CURVA PREVISION'!$A$1:$KZ$3000,$C66,11+3*MIN(BM$3,$D$2-1)))))</f>
        <v>0</v>
      </c>
      <c r="BN66" s="131" t="n">
        <f aca="false">IF(OR($C66="",$B$2="",$D$2=0),0,IF(BN$3&lt;0,0,N(INDEX('CURVA PREVISION'!$A$1:$KZ$3000,$C66,11+3*MIN(BN$3,$D$2-1)))))</f>
        <v>0</v>
      </c>
      <c r="BO66" s="131" t="n">
        <f aca="false">IF(OR($C66="",$B$2="",$D$2=0),0,IF(BO$3&lt;0,0,N(INDEX('CURVA PREVISION'!$A$1:$KZ$3000,$C66,11+3*MIN(BO$3,$D$2-1)))))</f>
        <v>0</v>
      </c>
      <c r="BP66" s="131" t="n">
        <f aca="false">IF(OR($C66="",$B$2="",$D$2=0),0,IF(BP$3&lt;0,0,N(INDEX('CURVA PREVISION'!$A$1:$KZ$3000,$C66,11+3*MIN(BP$3,$D$2-1)))))</f>
        <v>0</v>
      </c>
      <c r="BQ66" s="131" t="n">
        <f aca="false">IF(OR($C66="",$B$2="",$D$2=0),0,IF(BQ$3&lt;0,0,N(INDEX('CURVA PREVISION'!$A$1:$KZ$3000,$C66,11+3*MIN(BQ$3,$D$2-1)))))</f>
        <v>0</v>
      </c>
      <c r="BR66" s="131" t="n">
        <f aca="false">IF(OR($C66="",$B$2="",$D$2=0),0,IF(BR$3&lt;0,0,N(INDEX('CURVA PREVISION'!$A$1:$KZ$3000,$C66,11+3*MIN(BR$3,$D$2-1)))))</f>
        <v>0</v>
      </c>
      <c r="BS66" s="131" t="n">
        <f aca="false">IF(OR($C66="",$B$2="",$D$2=0),0,IF(BS$3&lt;0,0,N(INDEX('CURVA PREVISION'!$A$1:$KZ$3000,$C66,11+3*MIN(BS$3,$D$2-1)))))</f>
        <v>0</v>
      </c>
      <c r="BT66" s="131" t="n">
        <f aca="false">IF(OR($C66="",$B$2="",$D$2=0),0,IF(BT$3&lt;0,0,N(INDEX('CURVA PREVISION'!$A$1:$KZ$3000,$C66,11+3*MIN(BT$3,$D$2-1)))))</f>
        <v>0</v>
      </c>
      <c r="BU66" s="131" t="n">
        <f aca="false">IF(OR($C66="",$B$2="",$D$2=0),0,IF(BU$3&lt;0,0,N(INDEX('CURVA PREVISION'!$A$1:$KZ$3000,$C66,11+3*MIN(BU$3,$D$2-1)))))</f>
        <v>0</v>
      </c>
      <c r="BV66" s="131" t="n">
        <f aca="false">IF(OR($C66="",$B$2="",$D$2=0),0,IF(BV$3&lt;0,0,N(INDEX('CURVA PREVISION'!$A$1:$KZ$3000,$C66,11+3*MIN(BV$3,$D$2-1)))))</f>
        <v>0</v>
      </c>
      <c r="BW66" s="131" t="n">
        <f aca="false">IF(OR($C66="",$B$2="",$D$2=0),0,IF(BW$3&lt;0,0,N(INDEX('CURVA PREVISION'!$A$1:$KZ$3000,$C66,11+3*MIN(BW$3,$D$2-1)))))</f>
        <v>0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21</v>
      </c>
      <c r="B67" s="47" t="str">
        <f aca="false">B25</f>
        <v>INSTALAÇÕES HIDROSANITÁRIAS</v>
      </c>
      <c r="C67" s="64" t="n">
        <f aca="false">IFERROR(MATCH(A67,'CURVA PREVISION'!$B$1:$B$3000,0),"")</f>
        <v>546</v>
      </c>
      <c r="D67" s="131" t="n">
        <f aca="false">IF(OR($C67="",$B$2="",$D$2=0),0,IF(D$3&lt;0,0,N(INDEX('CURVA PREVISION'!$A$1:$KZ$3000,$C67,11+3*MIN(D$3,$D$2-1)))))</f>
        <v>0</v>
      </c>
      <c r="E67" s="131" t="n">
        <f aca="false">IF(OR($C67="",$B$2="",$D$2=0),0,IF(E$3&lt;0,0,N(INDEX('CURVA PREVISION'!$A$1:$KZ$3000,$C67,11+3*MIN(E$3,$D$2-1)))))</f>
        <v>0</v>
      </c>
      <c r="F67" s="131" t="n">
        <f aca="false">IF(OR($C67="",$B$2="",$D$2=0),0,IF(F$3&lt;0,0,N(INDEX('CURVA PREVISION'!$A$1:$KZ$3000,$C67,11+3*MIN(F$3,$D$2-1)))))</f>
        <v>0</v>
      </c>
      <c r="G67" s="131" t="n">
        <f aca="false">IF(OR($C67="",$B$2="",$D$2=0),0,IF(G$3&lt;0,0,N(INDEX('CURVA PREVISION'!$A$1:$KZ$3000,$C67,11+3*MIN(G$3,$D$2-1)))))</f>
        <v>0</v>
      </c>
      <c r="H67" s="131" t="n">
        <f aca="false">IF(OR($C67="",$B$2="",$D$2=0),0,IF(H$3&lt;0,0,N(INDEX('CURVA PREVISION'!$A$1:$KZ$3000,$C67,11+3*MIN(H$3,$D$2-1)))))</f>
        <v>0</v>
      </c>
      <c r="I67" s="131" t="n">
        <f aca="false">IF(OR($C67="",$B$2="",$D$2=0),0,IF(I$3&lt;0,0,N(INDEX('CURVA PREVISION'!$A$1:$KZ$3000,$C67,11+3*MIN(I$3,$D$2-1)))))</f>
        <v>0</v>
      </c>
      <c r="J67" s="131" t="n">
        <f aca="false">IF(OR($C67="",$B$2="",$D$2=0),0,IF(J$3&lt;0,0,N(INDEX('CURVA PREVISION'!$A$1:$KZ$3000,$C67,11+3*MIN(J$3,$D$2-1)))))</f>
        <v>0</v>
      </c>
      <c r="K67" s="131" t="n">
        <f aca="false">IF(OR($C67="",$B$2="",$D$2=0),0,IF(K$3&lt;0,0,N(INDEX('CURVA PREVISION'!$A$1:$KZ$3000,$C67,11+3*MIN(K$3,$D$2-1)))))</f>
        <v>0</v>
      </c>
      <c r="L67" s="131" t="n">
        <f aca="false">IF(OR($C67="",$B$2="",$D$2=0),0,IF(L$3&lt;0,0,N(INDEX('CURVA PREVISION'!$A$1:$KZ$3000,$C67,11+3*MIN(L$3,$D$2-1)))))</f>
        <v>0</v>
      </c>
      <c r="M67" s="131" t="n">
        <f aca="false">IF(OR($C67="",$B$2="",$D$2=0),0,IF(M$3&lt;0,0,N(INDEX('CURVA PREVISION'!$A$1:$KZ$3000,$C67,11+3*MIN(M$3,$D$2-1)))))</f>
        <v>0</v>
      </c>
      <c r="N67" s="131" t="n">
        <f aca="false">IF(OR($C67="",$B$2="",$D$2=0),0,IF(N$3&lt;0,0,N(INDEX('CURVA PREVISION'!$A$1:$KZ$3000,$C67,11+3*MIN(N$3,$D$2-1)))))</f>
        <v>0</v>
      </c>
      <c r="O67" s="131" t="n">
        <f aca="false">IF(OR($C67="",$B$2="",$D$2=0),0,IF(O$3&lt;0,0,N(INDEX('CURVA PREVISION'!$A$1:$KZ$3000,$C67,11+3*MIN(O$3,$D$2-1)))))</f>
        <v>0</v>
      </c>
      <c r="P67" s="131" t="n">
        <f aca="false">IF(OR($C67="",$B$2="",$D$2=0),0,IF(P$3&lt;0,0,N(INDEX('CURVA PREVISION'!$A$1:$KZ$3000,$C67,11+3*MIN(P$3,$D$2-1)))))</f>
        <v>0</v>
      </c>
      <c r="Q67" s="131" t="n">
        <f aca="false">IF(OR($C67="",$B$2="",$D$2=0),0,IF(Q$3&lt;0,0,N(INDEX('CURVA PREVISION'!$A$1:$KZ$3000,$C67,11+3*MIN(Q$3,$D$2-1)))))</f>
        <v>0</v>
      </c>
      <c r="R67" s="131" t="n">
        <f aca="false">IF(OR($C67="",$B$2="",$D$2=0),0,IF(R$3&lt;0,0,N(INDEX('CURVA PREVISION'!$A$1:$KZ$3000,$C67,11+3*MIN(R$3,$D$2-1)))))</f>
        <v>0</v>
      </c>
      <c r="S67" s="131" t="n">
        <f aca="false">IF(OR($C67="",$B$2="",$D$2=0),0,IF(S$3&lt;0,0,N(INDEX('CURVA PREVISION'!$A$1:$KZ$3000,$C67,11+3*MIN(S$3,$D$2-1)))))</f>
        <v>0</v>
      </c>
      <c r="T67" s="131" t="n">
        <f aca="false">IF(OR($C67="",$B$2="",$D$2=0),0,IF(T$3&lt;0,0,N(INDEX('CURVA PREVISION'!$A$1:$KZ$3000,$C67,11+3*MIN(T$3,$D$2-1)))))</f>
        <v>0</v>
      </c>
      <c r="U67" s="131" t="n">
        <f aca="false">IF(OR($C67="",$B$2="",$D$2=0),0,IF(U$3&lt;0,0,N(INDEX('CURVA PREVISION'!$A$1:$KZ$3000,$C67,11+3*MIN(U$3,$D$2-1)))))</f>
        <v>0</v>
      </c>
      <c r="V67" s="131" t="n">
        <f aca="false">IF(OR($C67="",$B$2="",$D$2=0),0,IF(V$3&lt;0,0,N(INDEX('CURVA PREVISION'!$A$1:$KZ$3000,$C67,11+3*MIN(V$3,$D$2-1)))))</f>
        <v>0</v>
      </c>
      <c r="W67" s="131" t="n">
        <f aca="false">IF(OR($C67="",$B$2="",$D$2=0),0,IF(W$3&lt;0,0,N(INDEX('CURVA PREVISION'!$A$1:$KZ$3000,$C67,11+3*MIN(W$3,$D$2-1)))))</f>
        <v>0.4</v>
      </c>
      <c r="X67" s="131" t="n">
        <f aca="false">IF(OR($C67="",$B$2="",$D$2=0),0,IF(X$3&lt;0,0,N(INDEX('CURVA PREVISION'!$A$1:$KZ$3000,$C67,11+3*MIN(X$3,$D$2-1)))))</f>
        <v>0.4</v>
      </c>
      <c r="Y67" s="131" t="n">
        <f aca="false">IF(OR($C67="",$B$2="",$D$2=0),0,IF(Y$3&lt;0,0,N(INDEX('CURVA PREVISION'!$A$1:$KZ$3000,$C67,11+3*MIN(Y$3,$D$2-1)))))</f>
        <v>0.4</v>
      </c>
      <c r="Z67" s="131" t="n">
        <f aca="false">IF(OR($C67="",$B$2="",$D$2=0),0,IF(Z$3&lt;0,0,N(INDEX('CURVA PREVISION'!$A$1:$KZ$3000,$C67,11+3*MIN(Z$3,$D$2-1)))))</f>
        <v>0.4</v>
      </c>
      <c r="AA67" s="131" t="n">
        <f aca="false">IF(OR($C67="",$B$2="",$D$2=0),0,IF(AA$3&lt;0,0,N(INDEX('CURVA PREVISION'!$A$1:$KZ$3000,$C67,11+3*MIN(AA$3,$D$2-1)))))</f>
        <v>0.4</v>
      </c>
      <c r="AB67" s="131" t="n">
        <f aca="false">IF(OR($C67="",$B$2="",$D$2=0),0,IF(AB$3&lt;0,0,N(INDEX('CURVA PREVISION'!$A$1:$KZ$3000,$C67,11+3*MIN(AB$3,$D$2-1)))))</f>
        <v>0.4</v>
      </c>
      <c r="AC67" s="131" t="n">
        <f aca="false">IF(OR($C67="",$B$2="",$D$2=0),0,IF(AC$3&lt;0,0,N(INDEX('CURVA PREVISION'!$A$1:$KZ$3000,$C67,11+3*MIN(AC$3,$D$2-1)))))</f>
        <v>0.4</v>
      </c>
      <c r="AD67" s="131" t="n">
        <f aca="false">IF(OR($C67="",$B$2="",$D$2=0),0,IF(AD$3&lt;0,0,N(INDEX('CURVA PREVISION'!$A$1:$KZ$3000,$C67,11+3*MIN(AD$3,$D$2-1)))))</f>
        <v>0.4</v>
      </c>
      <c r="AE67" s="131" t="n">
        <f aca="false">IF(OR($C67="",$B$2="",$D$2=0),0,IF(AE$3&lt;0,0,N(INDEX('CURVA PREVISION'!$A$1:$KZ$3000,$C67,11+3*MIN(AE$3,$D$2-1)))))</f>
        <v>0.4</v>
      </c>
      <c r="AF67" s="131" t="n">
        <f aca="false">IF(OR($C67="",$B$2="",$D$2=0),0,IF(AF$3&lt;0,0,N(INDEX('CURVA PREVISION'!$A$1:$KZ$3000,$C67,11+3*MIN(AF$3,$D$2-1)))))</f>
        <v>0.4</v>
      </c>
      <c r="AG67" s="131" t="n">
        <f aca="false">IF(OR($C67="",$B$2="",$D$2=0),0,IF(AG$3&lt;0,0,N(INDEX('CURVA PREVISION'!$A$1:$KZ$3000,$C67,11+3*MIN(AG$3,$D$2-1)))))</f>
        <v>0.4</v>
      </c>
      <c r="AH67" s="131" t="n">
        <f aca="false">IF(OR($C67="",$B$2="",$D$2=0),0,IF(AH$3&lt;0,0,N(INDEX('CURVA PREVISION'!$A$1:$KZ$3000,$C67,11+3*MIN(AH$3,$D$2-1)))))</f>
        <v>0.4</v>
      </c>
      <c r="AI67" s="131" t="n">
        <f aca="false">IF(OR($C67="",$B$2="",$D$2=0),0,IF(AI$3&lt;0,0,N(INDEX('CURVA PREVISION'!$A$1:$KZ$3000,$C67,11+3*MIN(AI$3,$D$2-1)))))</f>
        <v>0.4</v>
      </c>
      <c r="AJ67" s="131" t="n">
        <f aca="false">IF(OR($C67="",$B$2="",$D$2=0),0,IF(AJ$3&lt;0,0,N(INDEX('CURVA PREVISION'!$A$1:$KZ$3000,$C67,11+3*MIN(AJ$3,$D$2-1)))))</f>
        <v>0.4</v>
      </c>
      <c r="AK67" s="131" t="n">
        <f aca="false">IF(OR($C67="",$B$2="",$D$2=0),0,IF(AK$3&lt;0,0,N(INDEX('CURVA PREVISION'!$A$1:$KZ$3000,$C67,11+3*MIN(AK$3,$D$2-1)))))</f>
        <v>0.4</v>
      </c>
      <c r="AL67" s="131" t="n">
        <f aca="false">IF(OR($C67="",$B$2="",$D$2=0),0,IF(AL$3&lt;0,0,N(INDEX('CURVA PREVISION'!$A$1:$KZ$3000,$C67,11+3*MIN(AL$3,$D$2-1)))))</f>
        <v>0.4</v>
      </c>
      <c r="AM67" s="131" t="n">
        <f aca="false">IF(OR($C67="",$B$2="",$D$2=0),0,IF(AM$3&lt;0,0,N(INDEX('CURVA PREVISION'!$A$1:$KZ$3000,$C67,11+3*MIN(AM$3,$D$2-1)))))</f>
        <v>0.4</v>
      </c>
      <c r="AN67" s="131" t="n">
        <f aca="false">IF(OR($C67="",$B$2="",$D$2=0),0,IF(AN$3&lt;0,0,N(INDEX('CURVA PREVISION'!$A$1:$KZ$3000,$C67,11+3*MIN(AN$3,$D$2-1)))))</f>
        <v>0.4</v>
      </c>
      <c r="AO67" s="131" t="n">
        <f aca="false">IF(OR($C67="",$B$2="",$D$2=0),0,IF(AO$3&lt;0,0,N(INDEX('CURVA PREVISION'!$A$1:$KZ$3000,$C67,11+3*MIN(AO$3,$D$2-1)))))</f>
        <v>0.4</v>
      </c>
      <c r="AP67" s="131" t="n">
        <f aca="false">IF(OR($C67="",$B$2="",$D$2=0),0,IF(AP$3&lt;0,0,N(INDEX('CURVA PREVISION'!$A$1:$KZ$3000,$C67,11+3*MIN(AP$3,$D$2-1)))))</f>
        <v>0.4</v>
      </c>
      <c r="AQ67" s="131" t="n">
        <f aca="false">IF(OR($C67="",$B$2="",$D$2=0),0,IF(AQ$3&lt;0,0,N(INDEX('CURVA PREVISION'!$A$1:$KZ$3000,$C67,11+3*MIN(AQ$3,$D$2-1)))))</f>
        <v>0.4</v>
      </c>
      <c r="AR67" s="131" t="n">
        <f aca="false">IF(OR($C67="",$B$2="",$D$2=0),0,IF(AR$3&lt;0,0,N(INDEX('CURVA PREVISION'!$A$1:$KZ$3000,$C67,11+3*MIN(AR$3,$D$2-1)))))</f>
        <v>0.4</v>
      </c>
      <c r="AS67" s="131" t="n">
        <f aca="false">IF(OR($C67="",$B$2="",$D$2=0),0,IF(AS$3&lt;0,0,N(INDEX('CURVA PREVISION'!$A$1:$KZ$3000,$C67,11+3*MIN(AS$3,$D$2-1)))))</f>
        <v>0.4</v>
      </c>
      <c r="AT67" s="131" t="n">
        <f aca="false">IF(OR($C67="",$B$2="",$D$2=0),0,IF(AT$3&lt;0,0,N(INDEX('CURVA PREVISION'!$A$1:$KZ$3000,$C67,11+3*MIN(AT$3,$D$2-1)))))</f>
        <v>0.4</v>
      </c>
      <c r="AU67" s="131" t="n">
        <f aca="false">IF(OR($C67="",$B$2="",$D$2=0),0,IF(AU$3&lt;0,0,N(INDEX('CURVA PREVISION'!$A$1:$KZ$3000,$C67,11+3*MIN(AU$3,$D$2-1)))))</f>
        <v>0.4</v>
      </c>
      <c r="AV67" s="131" t="n">
        <f aca="false">IF(OR($C67="",$B$2="",$D$2=0),0,IF(AV$3&lt;0,0,N(INDEX('CURVA PREVISION'!$A$1:$KZ$3000,$C67,11+3*MIN(AV$3,$D$2-1)))))</f>
        <v>0.4</v>
      </c>
      <c r="AW67" s="131" t="n">
        <f aca="false">IF(OR($C67="",$B$2="",$D$2=0),0,IF(AW$3&lt;0,0,N(INDEX('CURVA PREVISION'!$A$1:$KZ$3000,$C67,11+3*MIN(AW$3,$D$2-1)))))</f>
        <v>0.4</v>
      </c>
      <c r="AX67" s="131" t="n">
        <f aca="false">IF(OR($C67="",$B$2="",$D$2=0),0,IF(AX$3&lt;0,0,N(INDEX('CURVA PREVISION'!$A$1:$KZ$3000,$C67,11+3*MIN(AX$3,$D$2-1)))))</f>
        <v>0.4</v>
      </c>
      <c r="AY67" s="131" t="n">
        <f aca="false">IF(OR($C67="",$B$2="",$D$2=0),0,IF(AY$3&lt;0,0,N(INDEX('CURVA PREVISION'!$A$1:$KZ$3000,$C67,11+3*MIN(AY$3,$D$2-1)))))</f>
        <v>0.4</v>
      </c>
      <c r="AZ67" s="131" t="n">
        <f aca="false">IF(OR($C67="",$B$2="",$D$2=0),0,IF(AZ$3&lt;0,0,N(INDEX('CURVA PREVISION'!$A$1:$KZ$3000,$C67,11+3*MIN(AZ$3,$D$2-1)))))</f>
        <v>0.4</v>
      </c>
      <c r="BA67" s="131" t="n">
        <f aca="false">IF(OR($C67="",$B$2="",$D$2=0),0,IF(BA$3&lt;0,0,N(INDEX('CURVA PREVISION'!$A$1:$KZ$3000,$C67,11+3*MIN(BA$3,$D$2-1)))))</f>
        <v>0.4</v>
      </c>
      <c r="BB67" s="131" t="n">
        <f aca="false">IF(OR($C67="",$B$2="",$D$2=0),0,IF(BB$3&lt;0,0,N(INDEX('CURVA PREVISION'!$A$1:$KZ$3000,$C67,11+3*MIN(BB$3,$D$2-1)))))</f>
        <v>0.4</v>
      </c>
      <c r="BC67" s="131" t="n">
        <f aca="false">IF(OR($C67="",$B$2="",$D$2=0),0,IF(BC$3&lt;0,0,N(INDEX('CURVA PREVISION'!$A$1:$KZ$3000,$C67,11+3*MIN(BC$3,$D$2-1)))))</f>
        <v>0.4</v>
      </c>
      <c r="BD67" s="131" t="n">
        <f aca="false">IF(OR($C67="",$B$2="",$D$2=0),0,IF(BD$3&lt;0,0,N(INDEX('CURVA PREVISION'!$A$1:$KZ$3000,$C67,11+3*MIN(BD$3,$D$2-1)))))</f>
        <v>0.4</v>
      </c>
      <c r="BE67" s="131" t="n">
        <f aca="false">IF(OR($C67="",$B$2="",$D$2=0),0,IF(BE$3&lt;0,0,N(INDEX('CURVA PREVISION'!$A$1:$KZ$3000,$C67,11+3*MIN(BE$3,$D$2-1)))))</f>
        <v>0.4</v>
      </c>
      <c r="BF67" s="131" t="n">
        <f aca="false">IF(OR($C67="",$B$2="",$D$2=0),0,IF(BF$3&lt;0,0,N(INDEX('CURVA PREVISION'!$A$1:$KZ$3000,$C67,11+3*MIN(BF$3,$D$2-1)))))</f>
        <v>0.4</v>
      </c>
      <c r="BG67" s="131" t="n">
        <f aca="false">IF(OR($C67="",$B$2="",$D$2=0),0,IF(BG$3&lt;0,0,N(INDEX('CURVA PREVISION'!$A$1:$KZ$3000,$C67,11+3*MIN(BG$3,$D$2-1)))))</f>
        <v>0.4</v>
      </c>
      <c r="BH67" s="131" t="n">
        <f aca="false">IF(OR($C67="",$B$2="",$D$2=0),0,IF(BH$3&lt;0,0,N(INDEX('CURVA PREVISION'!$A$1:$KZ$3000,$C67,11+3*MIN(BH$3,$D$2-1)))))</f>
        <v>0.4</v>
      </c>
      <c r="BI67" s="131" t="n">
        <f aca="false">IF(OR($C67="",$B$2="",$D$2=0),0,IF(BI$3&lt;0,0,N(INDEX('CURVA PREVISION'!$A$1:$KZ$3000,$C67,11+3*MIN(BI$3,$D$2-1)))))</f>
        <v>0.4</v>
      </c>
      <c r="BJ67" s="131" t="n">
        <f aca="false">IF(OR($C67="",$B$2="",$D$2=0),0,IF(BJ$3&lt;0,0,N(INDEX('CURVA PREVISION'!$A$1:$KZ$3000,$C67,11+3*MIN(BJ$3,$D$2-1)))))</f>
        <v>0.4</v>
      </c>
      <c r="BK67" s="131" t="n">
        <f aca="false">IF(OR($C67="",$B$2="",$D$2=0),0,IF(BK$3&lt;0,0,N(INDEX('CURVA PREVISION'!$A$1:$KZ$3000,$C67,11+3*MIN(BK$3,$D$2-1)))))</f>
        <v>0.4</v>
      </c>
      <c r="BL67" s="131" t="n">
        <f aca="false">IF(OR($C67="",$B$2="",$D$2=0),0,IF(BL$3&lt;0,0,N(INDEX('CURVA PREVISION'!$A$1:$KZ$3000,$C67,11+3*MIN(BL$3,$D$2-1)))))</f>
        <v>0.4</v>
      </c>
      <c r="BM67" s="131" t="n">
        <f aca="false">IF(OR($C67="",$B$2="",$D$2=0),0,IF(BM$3&lt;0,0,N(INDEX('CURVA PREVISION'!$A$1:$KZ$3000,$C67,11+3*MIN(BM$3,$D$2-1)))))</f>
        <v>0.4</v>
      </c>
      <c r="BN67" s="131" t="n">
        <f aca="false">IF(OR($C67="",$B$2="",$D$2=0),0,IF(BN$3&lt;0,0,N(INDEX('CURVA PREVISION'!$A$1:$KZ$3000,$C67,11+3*MIN(BN$3,$D$2-1)))))</f>
        <v>0.4</v>
      </c>
      <c r="BO67" s="131" t="n">
        <f aca="false">IF(OR($C67="",$B$2="",$D$2=0),0,IF(BO$3&lt;0,0,N(INDEX('CURVA PREVISION'!$A$1:$KZ$3000,$C67,11+3*MIN(BO$3,$D$2-1)))))</f>
        <v>0.4</v>
      </c>
      <c r="BP67" s="131" t="n">
        <f aca="false">IF(OR($C67="",$B$2="",$D$2=0),0,IF(BP$3&lt;0,0,N(INDEX('CURVA PREVISION'!$A$1:$KZ$3000,$C67,11+3*MIN(BP$3,$D$2-1)))))</f>
        <v>0.4</v>
      </c>
      <c r="BQ67" s="131" t="n">
        <f aca="false">IF(OR($C67="",$B$2="",$D$2=0),0,IF(BQ$3&lt;0,0,N(INDEX('CURVA PREVISION'!$A$1:$KZ$3000,$C67,11+3*MIN(BQ$3,$D$2-1)))))</f>
        <v>0.4</v>
      </c>
      <c r="BR67" s="131" t="n">
        <f aca="false">IF(OR($C67="",$B$2="",$D$2=0),0,IF(BR$3&lt;0,0,N(INDEX('CURVA PREVISION'!$A$1:$KZ$3000,$C67,11+3*MIN(BR$3,$D$2-1)))))</f>
        <v>0.4</v>
      </c>
      <c r="BS67" s="131" t="n">
        <f aca="false">IF(OR($C67="",$B$2="",$D$2=0),0,IF(BS$3&lt;0,0,N(INDEX('CURVA PREVISION'!$A$1:$KZ$3000,$C67,11+3*MIN(BS$3,$D$2-1)))))</f>
        <v>0.4</v>
      </c>
      <c r="BT67" s="131" t="n">
        <f aca="false">IF(OR($C67="",$B$2="",$D$2=0),0,IF(BT$3&lt;0,0,N(INDEX('CURVA PREVISION'!$A$1:$KZ$3000,$C67,11+3*MIN(BT$3,$D$2-1)))))</f>
        <v>0.4</v>
      </c>
      <c r="BU67" s="131" t="n">
        <f aca="false">IF(OR($C67="",$B$2="",$D$2=0),0,IF(BU$3&lt;0,0,N(INDEX('CURVA PREVISION'!$A$1:$KZ$3000,$C67,11+3*MIN(BU$3,$D$2-1)))))</f>
        <v>0.4</v>
      </c>
      <c r="BV67" s="131" t="n">
        <f aca="false">IF(OR($C67="",$B$2="",$D$2=0),0,IF(BV$3&lt;0,0,N(INDEX('CURVA PREVISION'!$A$1:$KZ$3000,$C67,11+3*MIN(BV$3,$D$2-1)))))</f>
        <v>0.4</v>
      </c>
      <c r="BW67" s="131" t="n">
        <f aca="false">IF(OR($C67="",$B$2="",$D$2=0),0,IF(BW$3&lt;0,0,N(INDEX('CURVA PREVISION'!$A$1:$KZ$3000,$C67,11+3*MIN(BW$3,$D$2-1)))))</f>
        <v>0.4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22</v>
      </c>
      <c r="B68" s="47" t="str">
        <f aca="false">B26</f>
        <v>INSTALAÇÕES COMBATE INCÊNDIO</v>
      </c>
      <c r="C68" s="64" t="n">
        <f aca="false">IFERROR(MATCH(A68,'CURVA PREVISION'!$B$1:$B$3000,0),"")</f>
        <v>572</v>
      </c>
      <c r="D68" s="131" t="n">
        <f aca="false">IF(OR($C68="",$B$2="",$D$2=0),0,IF(D$3&lt;0,0,N(INDEX('CURVA PREVISION'!$A$1:$KZ$3000,$C68,11+3*MIN(D$3,$D$2-1)))))</f>
        <v>0</v>
      </c>
      <c r="E68" s="131" t="n">
        <f aca="false">IF(OR($C68="",$B$2="",$D$2=0),0,IF(E$3&lt;0,0,N(INDEX('CURVA PREVISION'!$A$1:$KZ$3000,$C68,11+3*MIN(E$3,$D$2-1)))))</f>
        <v>0</v>
      </c>
      <c r="F68" s="131" t="n">
        <f aca="false">IF(OR($C68="",$B$2="",$D$2=0),0,IF(F$3&lt;0,0,N(INDEX('CURVA PREVISION'!$A$1:$KZ$3000,$C68,11+3*MIN(F$3,$D$2-1)))))</f>
        <v>0</v>
      </c>
      <c r="G68" s="131" t="n">
        <f aca="false">IF(OR($C68="",$B$2="",$D$2=0),0,IF(G$3&lt;0,0,N(INDEX('CURVA PREVISION'!$A$1:$KZ$3000,$C68,11+3*MIN(G$3,$D$2-1)))))</f>
        <v>0</v>
      </c>
      <c r="H68" s="131" t="n">
        <f aca="false">IF(OR($C68="",$B$2="",$D$2=0),0,IF(H$3&lt;0,0,N(INDEX('CURVA PREVISION'!$A$1:$KZ$3000,$C68,11+3*MIN(H$3,$D$2-1)))))</f>
        <v>0</v>
      </c>
      <c r="I68" s="131" t="n">
        <f aca="false">IF(OR($C68="",$B$2="",$D$2=0),0,IF(I$3&lt;0,0,N(INDEX('CURVA PREVISION'!$A$1:$KZ$3000,$C68,11+3*MIN(I$3,$D$2-1)))))</f>
        <v>0</v>
      </c>
      <c r="J68" s="131" t="n">
        <f aca="false">IF(OR($C68="",$B$2="",$D$2=0),0,IF(J$3&lt;0,0,N(INDEX('CURVA PREVISION'!$A$1:$KZ$3000,$C68,11+3*MIN(J$3,$D$2-1)))))</f>
        <v>0</v>
      </c>
      <c r="K68" s="131" t="n">
        <f aca="false">IF(OR($C68="",$B$2="",$D$2=0),0,IF(K$3&lt;0,0,N(INDEX('CURVA PREVISION'!$A$1:$KZ$3000,$C68,11+3*MIN(K$3,$D$2-1)))))</f>
        <v>0</v>
      </c>
      <c r="L68" s="131" t="n">
        <f aca="false">IF(OR($C68="",$B$2="",$D$2=0),0,IF(L$3&lt;0,0,N(INDEX('CURVA PREVISION'!$A$1:$KZ$3000,$C68,11+3*MIN(L$3,$D$2-1)))))</f>
        <v>0</v>
      </c>
      <c r="M68" s="131" t="n">
        <f aca="false">IF(OR($C68="",$B$2="",$D$2=0),0,IF(M$3&lt;0,0,N(INDEX('CURVA PREVISION'!$A$1:$KZ$3000,$C68,11+3*MIN(M$3,$D$2-1)))))</f>
        <v>0</v>
      </c>
      <c r="N68" s="131" t="n">
        <f aca="false">IF(OR($C68="",$B$2="",$D$2=0),0,IF(N$3&lt;0,0,N(INDEX('CURVA PREVISION'!$A$1:$KZ$3000,$C68,11+3*MIN(N$3,$D$2-1)))))</f>
        <v>0</v>
      </c>
      <c r="O68" s="131" t="n">
        <f aca="false">IF(OR($C68="",$B$2="",$D$2=0),0,IF(O$3&lt;0,0,N(INDEX('CURVA PREVISION'!$A$1:$KZ$3000,$C68,11+3*MIN(O$3,$D$2-1)))))</f>
        <v>0</v>
      </c>
      <c r="P68" s="131" t="n">
        <f aca="false">IF(OR($C68="",$B$2="",$D$2=0),0,IF(P$3&lt;0,0,N(INDEX('CURVA PREVISION'!$A$1:$KZ$3000,$C68,11+3*MIN(P$3,$D$2-1)))))</f>
        <v>0</v>
      </c>
      <c r="Q68" s="131" t="n">
        <f aca="false">IF(OR($C68="",$B$2="",$D$2=0),0,IF(Q$3&lt;0,0,N(INDEX('CURVA PREVISION'!$A$1:$KZ$3000,$C68,11+3*MIN(Q$3,$D$2-1)))))</f>
        <v>0</v>
      </c>
      <c r="R68" s="131" t="n">
        <f aca="false">IF(OR($C68="",$B$2="",$D$2=0),0,IF(R$3&lt;0,0,N(INDEX('CURVA PREVISION'!$A$1:$KZ$3000,$C68,11+3*MIN(R$3,$D$2-1)))))</f>
        <v>0</v>
      </c>
      <c r="S68" s="131" t="n">
        <f aca="false">IF(OR($C68="",$B$2="",$D$2=0),0,IF(S$3&lt;0,0,N(INDEX('CURVA PREVISION'!$A$1:$KZ$3000,$C68,11+3*MIN(S$3,$D$2-1)))))</f>
        <v>0</v>
      </c>
      <c r="T68" s="131" t="n">
        <f aca="false">IF(OR($C68="",$B$2="",$D$2=0),0,IF(T$3&lt;0,0,N(INDEX('CURVA PREVISION'!$A$1:$KZ$3000,$C68,11+3*MIN(T$3,$D$2-1)))))</f>
        <v>0</v>
      </c>
      <c r="U68" s="131" t="n">
        <f aca="false">IF(OR($C68="",$B$2="",$D$2=0),0,IF(U$3&lt;0,0,N(INDEX('CURVA PREVISION'!$A$1:$KZ$3000,$C68,11+3*MIN(U$3,$D$2-1)))))</f>
        <v>0</v>
      </c>
      <c r="V68" s="131" t="n">
        <f aca="false">IF(OR($C68="",$B$2="",$D$2=0),0,IF(V$3&lt;0,0,N(INDEX('CURVA PREVISION'!$A$1:$KZ$3000,$C68,11+3*MIN(V$3,$D$2-1)))))</f>
        <v>0</v>
      </c>
      <c r="W68" s="131" t="n">
        <f aca="false">IF(OR($C68="",$B$2="",$D$2=0),0,IF(W$3&lt;0,0,N(INDEX('CURVA PREVISION'!$A$1:$KZ$3000,$C68,11+3*MIN(W$3,$D$2-1)))))</f>
        <v>0</v>
      </c>
      <c r="X68" s="131" t="n">
        <f aca="false">IF(OR($C68="",$B$2="",$D$2=0),0,IF(X$3&lt;0,0,N(INDEX('CURVA PREVISION'!$A$1:$KZ$3000,$C68,11+3*MIN(X$3,$D$2-1)))))</f>
        <v>0</v>
      </c>
      <c r="Y68" s="131" t="n">
        <f aca="false">IF(OR($C68="",$B$2="",$D$2=0),0,IF(Y$3&lt;0,0,N(INDEX('CURVA PREVISION'!$A$1:$KZ$3000,$C68,11+3*MIN(Y$3,$D$2-1)))))</f>
        <v>0</v>
      </c>
      <c r="Z68" s="131" t="n">
        <f aca="false">IF(OR($C68="",$B$2="",$D$2=0),0,IF(Z$3&lt;0,0,N(INDEX('CURVA PREVISION'!$A$1:$KZ$3000,$C68,11+3*MIN(Z$3,$D$2-1)))))</f>
        <v>0</v>
      </c>
      <c r="AA68" s="131" t="n">
        <f aca="false">IF(OR($C68="",$B$2="",$D$2=0),0,IF(AA$3&lt;0,0,N(INDEX('CURVA PREVISION'!$A$1:$KZ$3000,$C68,11+3*MIN(AA$3,$D$2-1)))))</f>
        <v>0</v>
      </c>
      <c r="AB68" s="131" t="n">
        <f aca="false">IF(OR($C68="",$B$2="",$D$2=0),0,IF(AB$3&lt;0,0,N(INDEX('CURVA PREVISION'!$A$1:$KZ$3000,$C68,11+3*MIN(AB$3,$D$2-1)))))</f>
        <v>0</v>
      </c>
      <c r="AC68" s="131" t="n">
        <f aca="false">IF(OR($C68="",$B$2="",$D$2=0),0,IF(AC$3&lt;0,0,N(INDEX('CURVA PREVISION'!$A$1:$KZ$3000,$C68,11+3*MIN(AC$3,$D$2-1)))))</f>
        <v>0</v>
      </c>
      <c r="AD68" s="131" t="n">
        <f aca="false">IF(OR($C68="",$B$2="",$D$2=0),0,IF(AD$3&lt;0,0,N(INDEX('CURVA PREVISION'!$A$1:$KZ$3000,$C68,11+3*MIN(AD$3,$D$2-1)))))</f>
        <v>0</v>
      </c>
      <c r="AE68" s="131" t="n">
        <f aca="false">IF(OR($C68="",$B$2="",$D$2=0),0,IF(AE$3&lt;0,0,N(INDEX('CURVA PREVISION'!$A$1:$KZ$3000,$C68,11+3*MIN(AE$3,$D$2-1)))))</f>
        <v>0</v>
      </c>
      <c r="AF68" s="131" t="n">
        <f aca="false">IF(OR($C68="",$B$2="",$D$2=0),0,IF(AF$3&lt;0,0,N(INDEX('CURVA PREVISION'!$A$1:$KZ$3000,$C68,11+3*MIN(AF$3,$D$2-1)))))</f>
        <v>0</v>
      </c>
      <c r="AG68" s="131" t="n">
        <f aca="false">IF(OR($C68="",$B$2="",$D$2=0),0,IF(AG$3&lt;0,0,N(INDEX('CURVA PREVISION'!$A$1:$KZ$3000,$C68,11+3*MIN(AG$3,$D$2-1)))))</f>
        <v>0</v>
      </c>
      <c r="AH68" s="131" t="n">
        <f aca="false">IF(OR($C68="",$B$2="",$D$2=0),0,IF(AH$3&lt;0,0,N(INDEX('CURVA PREVISION'!$A$1:$KZ$3000,$C68,11+3*MIN(AH$3,$D$2-1)))))</f>
        <v>0</v>
      </c>
      <c r="AI68" s="131" t="n">
        <f aca="false">IF(OR($C68="",$B$2="",$D$2=0),0,IF(AI$3&lt;0,0,N(INDEX('CURVA PREVISION'!$A$1:$KZ$3000,$C68,11+3*MIN(AI$3,$D$2-1)))))</f>
        <v>0</v>
      </c>
      <c r="AJ68" s="131" t="n">
        <f aca="false">IF(OR($C68="",$B$2="",$D$2=0),0,IF(AJ$3&lt;0,0,N(INDEX('CURVA PREVISION'!$A$1:$KZ$3000,$C68,11+3*MIN(AJ$3,$D$2-1)))))</f>
        <v>0</v>
      </c>
      <c r="AK68" s="131" t="n">
        <f aca="false">IF(OR($C68="",$B$2="",$D$2=0),0,IF(AK$3&lt;0,0,N(INDEX('CURVA PREVISION'!$A$1:$KZ$3000,$C68,11+3*MIN(AK$3,$D$2-1)))))</f>
        <v>0</v>
      </c>
      <c r="AL68" s="131" t="n">
        <f aca="false">IF(OR($C68="",$B$2="",$D$2=0),0,IF(AL$3&lt;0,0,N(INDEX('CURVA PREVISION'!$A$1:$KZ$3000,$C68,11+3*MIN(AL$3,$D$2-1)))))</f>
        <v>0</v>
      </c>
      <c r="AM68" s="131" t="n">
        <f aca="false">IF(OR($C68="",$B$2="",$D$2=0),0,IF(AM$3&lt;0,0,N(INDEX('CURVA PREVISION'!$A$1:$KZ$3000,$C68,11+3*MIN(AM$3,$D$2-1)))))</f>
        <v>0</v>
      </c>
      <c r="AN68" s="131" t="n">
        <f aca="false">IF(OR($C68="",$B$2="",$D$2=0),0,IF(AN$3&lt;0,0,N(INDEX('CURVA PREVISION'!$A$1:$KZ$3000,$C68,11+3*MIN(AN$3,$D$2-1)))))</f>
        <v>0</v>
      </c>
      <c r="AO68" s="131" t="n">
        <f aca="false">IF(OR($C68="",$B$2="",$D$2=0),0,IF(AO$3&lt;0,0,N(INDEX('CURVA PREVISION'!$A$1:$KZ$3000,$C68,11+3*MIN(AO$3,$D$2-1)))))</f>
        <v>0</v>
      </c>
      <c r="AP68" s="131" t="n">
        <f aca="false">IF(OR($C68="",$B$2="",$D$2=0),0,IF(AP$3&lt;0,0,N(INDEX('CURVA PREVISION'!$A$1:$KZ$3000,$C68,11+3*MIN(AP$3,$D$2-1)))))</f>
        <v>0</v>
      </c>
      <c r="AQ68" s="131" t="n">
        <f aca="false">IF(OR($C68="",$B$2="",$D$2=0),0,IF(AQ$3&lt;0,0,N(INDEX('CURVA PREVISION'!$A$1:$KZ$3000,$C68,11+3*MIN(AQ$3,$D$2-1)))))</f>
        <v>0</v>
      </c>
      <c r="AR68" s="131" t="n">
        <f aca="false">IF(OR($C68="",$B$2="",$D$2=0),0,IF(AR$3&lt;0,0,N(INDEX('CURVA PREVISION'!$A$1:$KZ$3000,$C68,11+3*MIN(AR$3,$D$2-1)))))</f>
        <v>0</v>
      </c>
      <c r="AS68" s="131" t="n">
        <f aca="false">IF(OR($C68="",$B$2="",$D$2=0),0,IF(AS$3&lt;0,0,N(INDEX('CURVA PREVISION'!$A$1:$KZ$3000,$C68,11+3*MIN(AS$3,$D$2-1)))))</f>
        <v>0</v>
      </c>
      <c r="AT68" s="131" t="n">
        <f aca="false">IF(OR($C68="",$B$2="",$D$2=0),0,IF(AT$3&lt;0,0,N(INDEX('CURVA PREVISION'!$A$1:$KZ$3000,$C68,11+3*MIN(AT$3,$D$2-1)))))</f>
        <v>0</v>
      </c>
      <c r="AU68" s="131" t="n">
        <f aca="false">IF(OR($C68="",$B$2="",$D$2=0),0,IF(AU$3&lt;0,0,N(INDEX('CURVA PREVISION'!$A$1:$KZ$3000,$C68,11+3*MIN(AU$3,$D$2-1)))))</f>
        <v>0</v>
      </c>
      <c r="AV68" s="131" t="n">
        <f aca="false">IF(OR($C68="",$B$2="",$D$2=0),0,IF(AV$3&lt;0,0,N(INDEX('CURVA PREVISION'!$A$1:$KZ$3000,$C68,11+3*MIN(AV$3,$D$2-1)))))</f>
        <v>0</v>
      </c>
      <c r="AW68" s="131" t="n">
        <f aca="false">IF(OR($C68="",$B$2="",$D$2=0),0,IF(AW$3&lt;0,0,N(INDEX('CURVA PREVISION'!$A$1:$KZ$3000,$C68,11+3*MIN(AW$3,$D$2-1)))))</f>
        <v>0</v>
      </c>
      <c r="AX68" s="131" t="n">
        <f aca="false">IF(OR($C68="",$B$2="",$D$2=0),0,IF(AX$3&lt;0,0,N(INDEX('CURVA PREVISION'!$A$1:$KZ$3000,$C68,11+3*MIN(AX$3,$D$2-1)))))</f>
        <v>0</v>
      </c>
      <c r="AY68" s="131" t="n">
        <f aca="false">IF(OR($C68="",$B$2="",$D$2=0),0,IF(AY$3&lt;0,0,N(INDEX('CURVA PREVISION'!$A$1:$KZ$3000,$C68,11+3*MIN(AY$3,$D$2-1)))))</f>
        <v>0</v>
      </c>
      <c r="AZ68" s="131" t="n">
        <f aca="false">IF(OR($C68="",$B$2="",$D$2=0),0,IF(AZ$3&lt;0,0,N(INDEX('CURVA PREVISION'!$A$1:$KZ$3000,$C68,11+3*MIN(AZ$3,$D$2-1)))))</f>
        <v>0</v>
      </c>
      <c r="BA68" s="131" t="n">
        <f aca="false">IF(OR($C68="",$B$2="",$D$2=0),0,IF(BA$3&lt;0,0,N(INDEX('CURVA PREVISION'!$A$1:$KZ$3000,$C68,11+3*MIN(BA$3,$D$2-1)))))</f>
        <v>0</v>
      </c>
      <c r="BB68" s="131" t="n">
        <f aca="false">IF(OR($C68="",$B$2="",$D$2=0),0,IF(BB$3&lt;0,0,N(INDEX('CURVA PREVISION'!$A$1:$KZ$3000,$C68,11+3*MIN(BB$3,$D$2-1)))))</f>
        <v>0</v>
      </c>
      <c r="BC68" s="131" t="n">
        <f aca="false">IF(OR($C68="",$B$2="",$D$2=0),0,IF(BC$3&lt;0,0,N(INDEX('CURVA PREVISION'!$A$1:$KZ$3000,$C68,11+3*MIN(BC$3,$D$2-1)))))</f>
        <v>0</v>
      </c>
      <c r="BD68" s="131" t="n">
        <f aca="false">IF(OR($C68="",$B$2="",$D$2=0),0,IF(BD$3&lt;0,0,N(INDEX('CURVA PREVISION'!$A$1:$KZ$3000,$C68,11+3*MIN(BD$3,$D$2-1)))))</f>
        <v>0</v>
      </c>
      <c r="BE68" s="131" t="n">
        <f aca="false">IF(OR($C68="",$B$2="",$D$2=0),0,IF(BE$3&lt;0,0,N(INDEX('CURVA PREVISION'!$A$1:$KZ$3000,$C68,11+3*MIN(BE$3,$D$2-1)))))</f>
        <v>0</v>
      </c>
      <c r="BF68" s="131" t="n">
        <f aca="false">IF(OR($C68="",$B$2="",$D$2=0),0,IF(BF$3&lt;0,0,N(INDEX('CURVA PREVISION'!$A$1:$KZ$3000,$C68,11+3*MIN(BF$3,$D$2-1)))))</f>
        <v>0</v>
      </c>
      <c r="BG68" s="131" t="n">
        <f aca="false">IF(OR($C68="",$B$2="",$D$2=0),0,IF(BG$3&lt;0,0,N(INDEX('CURVA PREVISION'!$A$1:$KZ$3000,$C68,11+3*MIN(BG$3,$D$2-1)))))</f>
        <v>0</v>
      </c>
      <c r="BH68" s="131" t="n">
        <f aca="false">IF(OR($C68="",$B$2="",$D$2=0),0,IF(BH$3&lt;0,0,N(INDEX('CURVA PREVISION'!$A$1:$KZ$3000,$C68,11+3*MIN(BH$3,$D$2-1)))))</f>
        <v>0</v>
      </c>
      <c r="BI68" s="131" t="n">
        <f aca="false">IF(OR($C68="",$B$2="",$D$2=0),0,IF(BI$3&lt;0,0,N(INDEX('CURVA PREVISION'!$A$1:$KZ$3000,$C68,11+3*MIN(BI$3,$D$2-1)))))</f>
        <v>0</v>
      </c>
      <c r="BJ68" s="131" t="n">
        <f aca="false">IF(OR($C68="",$B$2="",$D$2=0),0,IF(BJ$3&lt;0,0,N(INDEX('CURVA PREVISION'!$A$1:$KZ$3000,$C68,11+3*MIN(BJ$3,$D$2-1)))))</f>
        <v>0</v>
      </c>
      <c r="BK68" s="131" t="n">
        <f aca="false">IF(OR($C68="",$B$2="",$D$2=0),0,IF(BK$3&lt;0,0,N(INDEX('CURVA PREVISION'!$A$1:$KZ$3000,$C68,11+3*MIN(BK$3,$D$2-1)))))</f>
        <v>0</v>
      </c>
      <c r="BL68" s="131" t="n">
        <f aca="false">IF(OR($C68="",$B$2="",$D$2=0),0,IF(BL$3&lt;0,0,N(INDEX('CURVA PREVISION'!$A$1:$KZ$3000,$C68,11+3*MIN(BL$3,$D$2-1)))))</f>
        <v>0</v>
      </c>
      <c r="BM68" s="131" t="n">
        <f aca="false">IF(OR($C68="",$B$2="",$D$2=0),0,IF(BM$3&lt;0,0,N(INDEX('CURVA PREVISION'!$A$1:$KZ$3000,$C68,11+3*MIN(BM$3,$D$2-1)))))</f>
        <v>0</v>
      </c>
      <c r="BN68" s="131" t="n">
        <f aca="false">IF(OR($C68="",$B$2="",$D$2=0),0,IF(BN$3&lt;0,0,N(INDEX('CURVA PREVISION'!$A$1:$KZ$3000,$C68,11+3*MIN(BN$3,$D$2-1)))))</f>
        <v>0</v>
      </c>
      <c r="BO68" s="131" t="n">
        <f aca="false">IF(OR($C68="",$B$2="",$D$2=0),0,IF(BO$3&lt;0,0,N(INDEX('CURVA PREVISION'!$A$1:$KZ$3000,$C68,11+3*MIN(BO$3,$D$2-1)))))</f>
        <v>0</v>
      </c>
      <c r="BP68" s="131" t="n">
        <f aca="false">IF(OR($C68="",$B$2="",$D$2=0),0,IF(BP$3&lt;0,0,N(INDEX('CURVA PREVISION'!$A$1:$KZ$3000,$C68,11+3*MIN(BP$3,$D$2-1)))))</f>
        <v>0</v>
      </c>
      <c r="BQ68" s="131" t="n">
        <f aca="false">IF(OR($C68="",$B$2="",$D$2=0),0,IF(BQ$3&lt;0,0,N(INDEX('CURVA PREVISION'!$A$1:$KZ$3000,$C68,11+3*MIN(BQ$3,$D$2-1)))))</f>
        <v>0</v>
      </c>
      <c r="BR68" s="131" t="n">
        <f aca="false">IF(OR($C68="",$B$2="",$D$2=0),0,IF(BR$3&lt;0,0,N(INDEX('CURVA PREVISION'!$A$1:$KZ$3000,$C68,11+3*MIN(BR$3,$D$2-1)))))</f>
        <v>0</v>
      </c>
      <c r="BS68" s="131" t="n">
        <f aca="false">IF(OR($C68="",$B$2="",$D$2=0),0,IF(BS$3&lt;0,0,N(INDEX('CURVA PREVISION'!$A$1:$KZ$3000,$C68,11+3*MIN(BS$3,$D$2-1)))))</f>
        <v>0</v>
      </c>
      <c r="BT68" s="131" t="n">
        <f aca="false">IF(OR($C68="",$B$2="",$D$2=0),0,IF(BT$3&lt;0,0,N(INDEX('CURVA PREVISION'!$A$1:$KZ$3000,$C68,11+3*MIN(BT$3,$D$2-1)))))</f>
        <v>0</v>
      </c>
      <c r="BU68" s="131" t="n">
        <f aca="false">IF(OR($C68="",$B$2="",$D$2=0),0,IF(BU$3&lt;0,0,N(INDEX('CURVA PREVISION'!$A$1:$KZ$3000,$C68,11+3*MIN(BU$3,$D$2-1)))))</f>
        <v>0</v>
      </c>
      <c r="BV68" s="131" t="n">
        <f aca="false">IF(OR($C68="",$B$2="",$D$2=0),0,IF(BV$3&lt;0,0,N(INDEX('CURVA PREVISION'!$A$1:$KZ$3000,$C68,11+3*MIN(BV$3,$D$2-1)))))</f>
        <v>0</v>
      </c>
      <c r="BW68" s="131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23</v>
      </c>
      <c r="B69" s="47" t="str">
        <f aca="false">B27</f>
        <v>INSTALAÇÕES ESPECIAIS</v>
      </c>
      <c r="C69" s="64" t="n">
        <f aca="false">IFERROR(MATCH(A69,'CURVA PREVISION'!$B$1:$B$3000,0),"")</f>
        <v>579</v>
      </c>
      <c r="D69" s="131" t="n">
        <f aca="false">IF(OR($C69="",$B$2="",$D$2=0),0,IF(D$3&lt;0,0,N(INDEX('CURVA PREVISION'!$A$1:$KZ$3000,$C69,11+3*MIN(D$3,$D$2-1)))))</f>
        <v>0</v>
      </c>
      <c r="E69" s="131" t="n">
        <f aca="false">IF(OR($C69="",$B$2="",$D$2=0),0,IF(E$3&lt;0,0,N(INDEX('CURVA PREVISION'!$A$1:$KZ$3000,$C69,11+3*MIN(E$3,$D$2-1)))))</f>
        <v>0</v>
      </c>
      <c r="F69" s="131" t="n">
        <f aca="false">IF(OR($C69="",$B$2="",$D$2=0),0,IF(F$3&lt;0,0,N(INDEX('CURVA PREVISION'!$A$1:$KZ$3000,$C69,11+3*MIN(F$3,$D$2-1)))))</f>
        <v>0</v>
      </c>
      <c r="G69" s="131" t="n">
        <f aca="false">IF(OR($C69="",$B$2="",$D$2=0),0,IF(G$3&lt;0,0,N(INDEX('CURVA PREVISION'!$A$1:$KZ$3000,$C69,11+3*MIN(G$3,$D$2-1)))))</f>
        <v>0</v>
      </c>
      <c r="H69" s="131" t="n">
        <f aca="false">IF(OR($C69="",$B$2="",$D$2=0),0,IF(H$3&lt;0,0,N(INDEX('CURVA PREVISION'!$A$1:$KZ$3000,$C69,11+3*MIN(H$3,$D$2-1)))))</f>
        <v>0</v>
      </c>
      <c r="I69" s="131" t="n">
        <f aca="false">IF(OR($C69="",$B$2="",$D$2=0),0,IF(I$3&lt;0,0,N(INDEX('CURVA PREVISION'!$A$1:$KZ$3000,$C69,11+3*MIN(I$3,$D$2-1)))))</f>
        <v>0</v>
      </c>
      <c r="J69" s="131" t="n">
        <f aca="false">IF(OR($C69="",$B$2="",$D$2=0),0,IF(J$3&lt;0,0,N(INDEX('CURVA PREVISION'!$A$1:$KZ$3000,$C69,11+3*MIN(J$3,$D$2-1)))))</f>
        <v>0</v>
      </c>
      <c r="K69" s="131" t="n">
        <f aca="false">IF(OR($C69="",$B$2="",$D$2=0),0,IF(K$3&lt;0,0,N(INDEX('CURVA PREVISION'!$A$1:$KZ$3000,$C69,11+3*MIN(K$3,$D$2-1)))))</f>
        <v>0</v>
      </c>
      <c r="L69" s="131" t="n">
        <f aca="false">IF(OR($C69="",$B$2="",$D$2=0),0,IF(L$3&lt;0,0,N(INDEX('CURVA PREVISION'!$A$1:$KZ$3000,$C69,11+3*MIN(L$3,$D$2-1)))))</f>
        <v>0</v>
      </c>
      <c r="M69" s="131" t="n">
        <f aca="false">IF(OR($C69="",$B$2="",$D$2=0),0,IF(M$3&lt;0,0,N(INDEX('CURVA PREVISION'!$A$1:$KZ$3000,$C69,11+3*MIN(M$3,$D$2-1)))))</f>
        <v>0</v>
      </c>
      <c r="N69" s="131" t="n">
        <f aca="false">IF(OR($C69="",$B$2="",$D$2=0),0,IF(N$3&lt;0,0,N(INDEX('CURVA PREVISION'!$A$1:$KZ$3000,$C69,11+3*MIN(N$3,$D$2-1)))))</f>
        <v>0</v>
      </c>
      <c r="O69" s="131" t="n">
        <f aca="false">IF(OR($C69="",$B$2="",$D$2=0),0,IF(O$3&lt;0,0,N(INDEX('CURVA PREVISION'!$A$1:$KZ$3000,$C69,11+3*MIN(O$3,$D$2-1)))))</f>
        <v>0</v>
      </c>
      <c r="P69" s="131" t="n">
        <f aca="false">IF(OR($C69="",$B$2="",$D$2=0),0,IF(P$3&lt;0,0,N(INDEX('CURVA PREVISION'!$A$1:$KZ$3000,$C69,11+3*MIN(P$3,$D$2-1)))))</f>
        <v>0</v>
      </c>
      <c r="Q69" s="131" t="n">
        <f aca="false">IF(OR($C69="",$B$2="",$D$2=0),0,IF(Q$3&lt;0,0,N(INDEX('CURVA PREVISION'!$A$1:$KZ$3000,$C69,11+3*MIN(Q$3,$D$2-1)))))</f>
        <v>0</v>
      </c>
      <c r="R69" s="131" t="n">
        <f aca="false">IF(OR($C69="",$B$2="",$D$2=0),0,IF(R$3&lt;0,0,N(INDEX('CURVA PREVISION'!$A$1:$KZ$3000,$C69,11+3*MIN(R$3,$D$2-1)))))</f>
        <v>0</v>
      </c>
      <c r="S69" s="131" t="n">
        <f aca="false">IF(OR($C69="",$B$2="",$D$2=0),0,IF(S$3&lt;0,0,N(INDEX('CURVA PREVISION'!$A$1:$KZ$3000,$C69,11+3*MIN(S$3,$D$2-1)))))</f>
        <v>0</v>
      </c>
      <c r="T69" s="131" t="n">
        <f aca="false">IF(OR($C69="",$B$2="",$D$2=0),0,IF(T$3&lt;0,0,N(INDEX('CURVA PREVISION'!$A$1:$KZ$3000,$C69,11+3*MIN(T$3,$D$2-1)))))</f>
        <v>0</v>
      </c>
      <c r="U69" s="131" t="n">
        <f aca="false">IF(OR($C69="",$B$2="",$D$2=0),0,IF(U$3&lt;0,0,N(INDEX('CURVA PREVISION'!$A$1:$KZ$3000,$C69,11+3*MIN(U$3,$D$2-1)))))</f>
        <v>0</v>
      </c>
      <c r="V69" s="131" t="n">
        <f aca="false">IF(OR($C69="",$B$2="",$D$2=0),0,IF(V$3&lt;0,0,N(INDEX('CURVA PREVISION'!$A$1:$KZ$3000,$C69,11+3*MIN(V$3,$D$2-1)))))</f>
        <v>0</v>
      </c>
      <c r="W69" s="131" t="n">
        <f aca="false">IF(OR($C69="",$B$2="",$D$2=0),0,IF(W$3&lt;0,0,N(INDEX('CURVA PREVISION'!$A$1:$KZ$3000,$C69,11+3*MIN(W$3,$D$2-1)))))</f>
        <v>0</v>
      </c>
      <c r="X69" s="131" t="n">
        <f aca="false">IF(OR($C69="",$B$2="",$D$2=0),0,IF(X$3&lt;0,0,N(INDEX('CURVA PREVISION'!$A$1:$KZ$3000,$C69,11+3*MIN(X$3,$D$2-1)))))</f>
        <v>0</v>
      </c>
      <c r="Y69" s="131" t="n">
        <f aca="false">IF(OR($C69="",$B$2="",$D$2=0),0,IF(Y$3&lt;0,0,N(INDEX('CURVA PREVISION'!$A$1:$KZ$3000,$C69,11+3*MIN(Y$3,$D$2-1)))))</f>
        <v>0</v>
      </c>
      <c r="Z69" s="131" t="n">
        <f aca="false">IF(OR($C69="",$B$2="",$D$2=0),0,IF(Z$3&lt;0,0,N(INDEX('CURVA PREVISION'!$A$1:$KZ$3000,$C69,11+3*MIN(Z$3,$D$2-1)))))</f>
        <v>0</v>
      </c>
      <c r="AA69" s="131" t="n">
        <f aca="false">IF(OR($C69="",$B$2="",$D$2=0),0,IF(AA$3&lt;0,0,N(INDEX('CURVA PREVISION'!$A$1:$KZ$3000,$C69,11+3*MIN(AA$3,$D$2-1)))))</f>
        <v>0</v>
      </c>
      <c r="AB69" s="131" t="n">
        <f aca="false">IF(OR($C69="",$B$2="",$D$2=0),0,IF(AB$3&lt;0,0,N(INDEX('CURVA PREVISION'!$A$1:$KZ$3000,$C69,11+3*MIN(AB$3,$D$2-1)))))</f>
        <v>0</v>
      </c>
      <c r="AC69" s="131" t="n">
        <f aca="false">IF(OR($C69="",$B$2="",$D$2=0),0,IF(AC$3&lt;0,0,N(INDEX('CURVA PREVISION'!$A$1:$KZ$3000,$C69,11+3*MIN(AC$3,$D$2-1)))))</f>
        <v>0</v>
      </c>
      <c r="AD69" s="131" t="n">
        <f aca="false">IF(OR($C69="",$B$2="",$D$2=0),0,IF(AD$3&lt;0,0,N(INDEX('CURVA PREVISION'!$A$1:$KZ$3000,$C69,11+3*MIN(AD$3,$D$2-1)))))</f>
        <v>0</v>
      </c>
      <c r="AE69" s="131" t="n">
        <f aca="false">IF(OR($C69="",$B$2="",$D$2=0),0,IF(AE$3&lt;0,0,N(INDEX('CURVA PREVISION'!$A$1:$KZ$3000,$C69,11+3*MIN(AE$3,$D$2-1)))))</f>
        <v>0</v>
      </c>
      <c r="AF69" s="131" t="n">
        <f aca="false">IF(OR($C69="",$B$2="",$D$2=0),0,IF(AF$3&lt;0,0,N(INDEX('CURVA PREVISION'!$A$1:$KZ$3000,$C69,11+3*MIN(AF$3,$D$2-1)))))</f>
        <v>0</v>
      </c>
      <c r="AG69" s="131" t="n">
        <f aca="false">IF(OR($C69="",$B$2="",$D$2=0),0,IF(AG$3&lt;0,0,N(INDEX('CURVA PREVISION'!$A$1:$KZ$3000,$C69,11+3*MIN(AG$3,$D$2-1)))))</f>
        <v>0</v>
      </c>
      <c r="AH69" s="131" t="n">
        <f aca="false">IF(OR($C69="",$B$2="",$D$2=0),0,IF(AH$3&lt;0,0,N(INDEX('CURVA PREVISION'!$A$1:$KZ$3000,$C69,11+3*MIN(AH$3,$D$2-1)))))</f>
        <v>0</v>
      </c>
      <c r="AI69" s="131" t="n">
        <f aca="false">IF(OR($C69="",$B$2="",$D$2=0),0,IF(AI$3&lt;0,0,N(INDEX('CURVA PREVISION'!$A$1:$KZ$3000,$C69,11+3*MIN(AI$3,$D$2-1)))))</f>
        <v>0</v>
      </c>
      <c r="AJ69" s="131" t="n">
        <f aca="false">IF(OR($C69="",$B$2="",$D$2=0),0,IF(AJ$3&lt;0,0,N(INDEX('CURVA PREVISION'!$A$1:$KZ$3000,$C69,11+3*MIN(AJ$3,$D$2-1)))))</f>
        <v>0</v>
      </c>
      <c r="AK69" s="131" t="n">
        <f aca="false">IF(OR($C69="",$B$2="",$D$2=0),0,IF(AK$3&lt;0,0,N(INDEX('CURVA PREVISION'!$A$1:$KZ$3000,$C69,11+3*MIN(AK$3,$D$2-1)))))</f>
        <v>0</v>
      </c>
      <c r="AL69" s="131" t="n">
        <f aca="false">IF(OR($C69="",$B$2="",$D$2=0),0,IF(AL$3&lt;0,0,N(INDEX('CURVA PREVISION'!$A$1:$KZ$3000,$C69,11+3*MIN(AL$3,$D$2-1)))))</f>
        <v>0</v>
      </c>
      <c r="AM69" s="131" t="n">
        <f aca="false">IF(OR($C69="",$B$2="",$D$2=0),0,IF(AM$3&lt;0,0,N(INDEX('CURVA PREVISION'!$A$1:$KZ$3000,$C69,11+3*MIN(AM$3,$D$2-1)))))</f>
        <v>0</v>
      </c>
      <c r="AN69" s="131" t="n">
        <f aca="false">IF(OR($C69="",$B$2="",$D$2=0),0,IF(AN$3&lt;0,0,N(INDEX('CURVA PREVISION'!$A$1:$KZ$3000,$C69,11+3*MIN(AN$3,$D$2-1)))))</f>
        <v>0</v>
      </c>
      <c r="AO69" s="131" t="n">
        <f aca="false">IF(OR($C69="",$B$2="",$D$2=0),0,IF(AO$3&lt;0,0,N(INDEX('CURVA PREVISION'!$A$1:$KZ$3000,$C69,11+3*MIN(AO$3,$D$2-1)))))</f>
        <v>0</v>
      </c>
      <c r="AP69" s="131" t="n">
        <f aca="false">IF(OR($C69="",$B$2="",$D$2=0),0,IF(AP$3&lt;0,0,N(INDEX('CURVA PREVISION'!$A$1:$KZ$3000,$C69,11+3*MIN(AP$3,$D$2-1)))))</f>
        <v>0</v>
      </c>
      <c r="AQ69" s="131" t="n">
        <f aca="false">IF(OR($C69="",$B$2="",$D$2=0),0,IF(AQ$3&lt;0,0,N(INDEX('CURVA PREVISION'!$A$1:$KZ$3000,$C69,11+3*MIN(AQ$3,$D$2-1)))))</f>
        <v>0</v>
      </c>
      <c r="AR69" s="131" t="n">
        <f aca="false">IF(OR($C69="",$B$2="",$D$2=0),0,IF(AR$3&lt;0,0,N(INDEX('CURVA PREVISION'!$A$1:$KZ$3000,$C69,11+3*MIN(AR$3,$D$2-1)))))</f>
        <v>0</v>
      </c>
      <c r="AS69" s="131" t="n">
        <f aca="false">IF(OR($C69="",$B$2="",$D$2=0),0,IF(AS$3&lt;0,0,N(INDEX('CURVA PREVISION'!$A$1:$KZ$3000,$C69,11+3*MIN(AS$3,$D$2-1)))))</f>
        <v>0</v>
      </c>
      <c r="AT69" s="131" t="n">
        <f aca="false">IF(OR($C69="",$B$2="",$D$2=0),0,IF(AT$3&lt;0,0,N(INDEX('CURVA PREVISION'!$A$1:$KZ$3000,$C69,11+3*MIN(AT$3,$D$2-1)))))</f>
        <v>0</v>
      </c>
      <c r="AU69" s="131" t="n">
        <f aca="false">IF(OR($C69="",$B$2="",$D$2=0),0,IF(AU$3&lt;0,0,N(INDEX('CURVA PREVISION'!$A$1:$KZ$3000,$C69,11+3*MIN(AU$3,$D$2-1)))))</f>
        <v>0</v>
      </c>
      <c r="AV69" s="131" t="n">
        <f aca="false">IF(OR($C69="",$B$2="",$D$2=0),0,IF(AV$3&lt;0,0,N(INDEX('CURVA PREVISION'!$A$1:$KZ$3000,$C69,11+3*MIN(AV$3,$D$2-1)))))</f>
        <v>0</v>
      </c>
      <c r="AW69" s="131" t="n">
        <f aca="false">IF(OR($C69="",$B$2="",$D$2=0),0,IF(AW$3&lt;0,0,N(INDEX('CURVA PREVISION'!$A$1:$KZ$3000,$C69,11+3*MIN(AW$3,$D$2-1)))))</f>
        <v>0</v>
      </c>
      <c r="AX69" s="131" t="n">
        <f aca="false">IF(OR($C69="",$B$2="",$D$2=0),0,IF(AX$3&lt;0,0,N(INDEX('CURVA PREVISION'!$A$1:$KZ$3000,$C69,11+3*MIN(AX$3,$D$2-1)))))</f>
        <v>0</v>
      </c>
      <c r="AY69" s="131" t="n">
        <f aca="false">IF(OR($C69="",$B$2="",$D$2=0),0,IF(AY$3&lt;0,0,N(INDEX('CURVA PREVISION'!$A$1:$KZ$3000,$C69,11+3*MIN(AY$3,$D$2-1)))))</f>
        <v>0</v>
      </c>
      <c r="AZ69" s="131" t="n">
        <f aca="false">IF(OR($C69="",$B$2="",$D$2=0),0,IF(AZ$3&lt;0,0,N(INDEX('CURVA PREVISION'!$A$1:$KZ$3000,$C69,11+3*MIN(AZ$3,$D$2-1)))))</f>
        <v>0</v>
      </c>
      <c r="BA69" s="131" t="n">
        <f aca="false">IF(OR($C69="",$B$2="",$D$2=0),0,IF(BA$3&lt;0,0,N(INDEX('CURVA PREVISION'!$A$1:$KZ$3000,$C69,11+3*MIN(BA$3,$D$2-1)))))</f>
        <v>0</v>
      </c>
      <c r="BB69" s="131" t="n">
        <f aca="false">IF(OR($C69="",$B$2="",$D$2=0),0,IF(BB$3&lt;0,0,N(INDEX('CURVA PREVISION'!$A$1:$KZ$3000,$C69,11+3*MIN(BB$3,$D$2-1)))))</f>
        <v>0</v>
      </c>
      <c r="BC69" s="131" t="n">
        <f aca="false">IF(OR($C69="",$B$2="",$D$2=0),0,IF(BC$3&lt;0,0,N(INDEX('CURVA PREVISION'!$A$1:$KZ$3000,$C69,11+3*MIN(BC$3,$D$2-1)))))</f>
        <v>0</v>
      </c>
      <c r="BD69" s="131" t="n">
        <f aca="false">IF(OR($C69="",$B$2="",$D$2=0),0,IF(BD$3&lt;0,0,N(INDEX('CURVA PREVISION'!$A$1:$KZ$3000,$C69,11+3*MIN(BD$3,$D$2-1)))))</f>
        <v>0</v>
      </c>
      <c r="BE69" s="131" t="n">
        <f aca="false">IF(OR($C69="",$B$2="",$D$2=0),0,IF(BE$3&lt;0,0,N(INDEX('CURVA PREVISION'!$A$1:$KZ$3000,$C69,11+3*MIN(BE$3,$D$2-1)))))</f>
        <v>0</v>
      </c>
      <c r="BF69" s="131" t="n">
        <f aca="false">IF(OR($C69="",$B$2="",$D$2=0),0,IF(BF$3&lt;0,0,N(INDEX('CURVA PREVISION'!$A$1:$KZ$3000,$C69,11+3*MIN(BF$3,$D$2-1)))))</f>
        <v>0</v>
      </c>
      <c r="BG69" s="131" t="n">
        <f aca="false">IF(OR($C69="",$B$2="",$D$2=0),0,IF(BG$3&lt;0,0,N(INDEX('CURVA PREVISION'!$A$1:$KZ$3000,$C69,11+3*MIN(BG$3,$D$2-1)))))</f>
        <v>0</v>
      </c>
      <c r="BH69" s="131" t="n">
        <f aca="false">IF(OR($C69="",$B$2="",$D$2=0),0,IF(BH$3&lt;0,0,N(INDEX('CURVA PREVISION'!$A$1:$KZ$3000,$C69,11+3*MIN(BH$3,$D$2-1)))))</f>
        <v>0</v>
      </c>
      <c r="BI69" s="131" t="n">
        <f aca="false">IF(OR($C69="",$B$2="",$D$2=0),0,IF(BI$3&lt;0,0,N(INDEX('CURVA PREVISION'!$A$1:$KZ$3000,$C69,11+3*MIN(BI$3,$D$2-1)))))</f>
        <v>0</v>
      </c>
      <c r="BJ69" s="131" t="n">
        <f aca="false">IF(OR($C69="",$B$2="",$D$2=0),0,IF(BJ$3&lt;0,0,N(INDEX('CURVA PREVISION'!$A$1:$KZ$3000,$C69,11+3*MIN(BJ$3,$D$2-1)))))</f>
        <v>0</v>
      </c>
      <c r="BK69" s="131" t="n">
        <f aca="false">IF(OR($C69="",$B$2="",$D$2=0),0,IF(BK$3&lt;0,0,N(INDEX('CURVA PREVISION'!$A$1:$KZ$3000,$C69,11+3*MIN(BK$3,$D$2-1)))))</f>
        <v>0</v>
      </c>
      <c r="BL69" s="131" t="n">
        <f aca="false">IF(OR($C69="",$B$2="",$D$2=0),0,IF(BL$3&lt;0,0,N(INDEX('CURVA PREVISION'!$A$1:$KZ$3000,$C69,11+3*MIN(BL$3,$D$2-1)))))</f>
        <v>0</v>
      </c>
      <c r="BM69" s="131" t="n">
        <f aca="false">IF(OR($C69="",$B$2="",$D$2=0),0,IF(BM$3&lt;0,0,N(INDEX('CURVA PREVISION'!$A$1:$KZ$3000,$C69,11+3*MIN(BM$3,$D$2-1)))))</f>
        <v>0</v>
      </c>
      <c r="BN69" s="131" t="n">
        <f aca="false">IF(OR($C69="",$B$2="",$D$2=0),0,IF(BN$3&lt;0,0,N(INDEX('CURVA PREVISION'!$A$1:$KZ$3000,$C69,11+3*MIN(BN$3,$D$2-1)))))</f>
        <v>0</v>
      </c>
      <c r="BO69" s="131" t="n">
        <f aca="false">IF(OR($C69="",$B$2="",$D$2=0),0,IF(BO$3&lt;0,0,N(INDEX('CURVA PREVISION'!$A$1:$KZ$3000,$C69,11+3*MIN(BO$3,$D$2-1)))))</f>
        <v>0</v>
      </c>
      <c r="BP69" s="131" t="n">
        <f aca="false">IF(OR($C69="",$B$2="",$D$2=0),0,IF(BP$3&lt;0,0,N(INDEX('CURVA PREVISION'!$A$1:$KZ$3000,$C69,11+3*MIN(BP$3,$D$2-1)))))</f>
        <v>0</v>
      </c>
      <c r="BQ69" s="131" t="n">
        <f aca="false">IF(OR($C69="",$B$2="",$D$2=0),0,IF(BQ$3&lt;0,0,N(INDEX('CURVA PREVISION'!$A$1:$KZ$3000,$C69,11+3*MIN(BQ$3,$D$2-1)))))</f>
        <v>0</v>
      </c>
      <c r="BR69" s="131" t="n">
        <f aca="false">IF(OR($C69="",$B$2="",$D$2=0),0,IF(BR$3&lt;0,0,N(INDEX('CURVA PREVISION'!$A$1:$KZ$3000,$C69,11+3*MIN(BR$3,$D$2-1)))))</f>
        <v>0</v>
      </c>
      <c r="BS69" s="131" t="n">
        <f aca="false">IF(OR($C69="",$B$2="",$D$2=0),0,IF(BS$3&lt;0,0,N(INDEX('CURVA PREVISION'!$A$1:$KZ$3000,$C69,11+3*MIN(BS$3,$D$2-1)))))</f>
        <v>0</v>
      </c>
      <c r="BT69" s="131" t="n">
        <f aca="false">IF(OR($C69="",$B$2="",$D$2=0),0,IF(BT$3&lt;0,0,N(INDEX('CURVA PREVISION'!$A$1:$KZ$3000,$C69,11+3*MIN(BT$3,$D$2-1)))))</f>
        <v>0</v>
      </c>
      <c r="BU69" s="131" t="n">
        <f aca="false">IF(OR($C69="",$B$2="",$D$2=0),0,IF(BU$3&lt;0,0,N(INDEX('CURVA PREVISION'!$A$1:$KZ$3000,$C69,11+3*MIN(BU$3,$D$2-1)))))</f>
        <v>0</v>
      </c>
      <c r="BV69" s="131" t="n">
        <f aca="false">IF(OR($C69="",$B$2="",$D$2=0),0,IF(BV$3&lt;0,0,N(INDEX('CURVA PREVISION'!$A$1:$KZ$3000,$C69,11+3*MIN(BV$3,$D$2-1)))))</f>
        <v>0</v>
      </c>
      <c r="BW69" s="131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24</v>
      </c>
      <c r="B70" s="47" t="str">
        <f aca="false">B28</f>
        <v>ELEVADORES</v>
      </c>
      <c r="C70" s="64" t="n">
        <f aca="false">IFERROR(MATCH(A70,'CURVA PREVISION'!$B$1:$B$3000,0),"")</f>
        <v>621</v>
      </c>
      <c r="D70" s="131" t="n">
        <f aca="false">IF(OR($C70="",$B$2="",$D$2=0),0,IF(D$3&lt;0,0,N(INDEX('CURVA PREVISION'!$A$1:$KZ$3000,$C70,11+3*MIN(D$3,$D$2-1)))))</f>
        <v>0</v>
      </c>
      <c r="E70" s="131" t="n">
        <f aca="false">IF(OR($C70="",$B$2="",$D$2=0),0,IF(E$3&lt;0,0,N(INDEX('CURVA PREVISION'!$A$1:$KZ$3000,$C70,11+3*MIN(E$3,$D$2-1)))))</f>
        <v>0</v>
      </c>
      <c r="F70" s="131" t="n">
        <f aca="false">IF(OR($C70="",$B$2="",$D$2=0),0,IF(F$3&lt;0,0,N(INDEX('CURVA PREVISION'!$A$1:$KZ$3000,$C70,11+3*MIN(F$3,$D$2-1)))))</f>
        <v>0</v>
      </c>
      <c r="G70" s="131" t="n">
        <f aca="false">IF(OR($C70="",$B$2="",$D$2=0),0,IF(G$3&lt;0,0,N(INDEX('CURVA PREVISION'!$A$1:$KZ$3000,$C70,11+3*MIN(G$3,$D$2-1)))))</f>
        <v>0</v>
      </c>
      <c r="H70" s="131" t="n">
        <f aca="false">IF(OR($C70="",$B$2="",$D$2=0),0,IF(H$3&lt;0,0,N(INDEX('CURVA PREVISION'!$A$1:$KZ$3000,$C70,11+3*MIN(H$3,$D$2-1)))))</f>
        <v>0</v>
      </c>
      <c r="I70" s="131" t="n">
        <f aca="false">IF(OR($C70="",$B$2="",$D$2=0),0,IF(I$3&lt;0,0,N(INDEX('CURVA PREVISION'!$A$1:$KZ$3000,$C70,11+3*MIN(I$3,$D$2-1)))))</f>
        <v>0</v>
      </c>
      <c r="J70" s="131" t="n">
        <f aca="false">IF(OR($C70="",$B$2="",$D$2=0),0,IF(J$3&lt;0,0,N(INDEX('CURVA PREVISION'!$A$1:$KZ$3000,$C70,11+3*MIN(J$3,$D$2-1)))))</f>
        <v>0</v>
      </c>
      <c r="K70" s="131" t="n">
        <f aca="false">IF(OR($C70="",$B$2="",$D$2=0),0,IF(K$3&lt;0,0,N(INDEX('CURVA PREVISION'!$A$1:$KZ$3000,$C70,11+3*MIN(K$3,$D$2-1)))))</f>
        <v>0</v>
      </c>
      <c r="L70" s="131" t="n">
        <f aca="false">IF(OR($C70="",$B$2="",$D$2=0),0,IF(L$3&lt;0,0,N(INDEX('CURVA PREVISION'!$A$1:$KZ$3000,$C70,11+3*MIN(L$3,$D$2-1)))))</f>
        <v>0</v>
      </c>
      <c r="M70" s="131" t="n">
        <f aca="false">IF(OR($C70="",$B$2="",$D$2=0),0,IF(M$3&lt;0,0,N(INDEX('CURVA PREVISION'!$A$1:$KZ$3000,$C70,11+3*MIN(M$3,$D$2-1)))))</f>
        <v>0</v>
      </c>
      <c r="N70" s="131" t="n">
        <f aca="false">IF(OR($C70="",$B$2="",$D$2=0),0,IF(N$3&lt;0,0,N(INDEX('CURVA PREVISION'!$A$1:$KZ$3000,$C70,11+3*MIN(N$3,$D$2-1)))))</f>
        <v>0</v>
      </c>
      <c r="O70" s="131" t="n">
        <f aca="false">IF(OR($C70="",$B$2="",$D$2=0),0,IF(O$3&lt;0,0,N(INDEX('CURVA PREVISION'!$A$1:$KZ$3000,$C70,11+3*MIN(O$3,$D$2-1)))))</f>
        <v>0</v>
      </c>
      <c r="P70" s="131" t="n">
        <f aca="false">IF(OR($C70="",$B$2="",$D$2=0),0,IF(P$3&lt;0,0,N(INDEX('CURVA PREVISION'!$A$1:$KZ$3000,$C70,11+3*MIN(P$3,$D$2-1)))))</f>
        <v>0</v>
      </c>
      <c r="Q70" s="131" t="n">
        <f aca="false">IF(OR($C70="",$B$2="",$D$2=0),0,IF(Q$3&lt;0,0,N(INDEX('CURVA PREVISION'!$A$1:$KZ$3000,$C70,11+3*MIN(Q$3,$D$2-1)))))</f>
        <v>0</v>
      </c>
      <c r="R70" s="131" t="n">
        <f aca="false">IF(OR($C70="",$B$2="",$D$2=0),0,IF(R$3&lt;0,0,N(INDEX('CURVA PREVISION'!$A$1:$KZ$3000,$C70,11+3*MIN(R$3,$D$2-1)))))</f>
        <v>0</v>
      </c>
      <c r="S70" s="131" t="n">
        <f aca="false">IF(OR($C70="",$B$2="",$D$2=0),0,IF(S$3&lt;0,0,N(INDEX('CURVA PREVISION'!$A$1:$KZ$3000,$C70,11+3*MIN(S$3,$D$2-1)))))</f>
        <v>0</v>
      </c>
      <c r="T70" s="131" t="n">
        <f aca="false">IF(OR($C70="",$B$2="",$D$2=0),0,IF(T$3&lt;0,0,N(INDEX('CURVA PREVISION'!$A$1:$KZ$3000,$C70,11+3*MIN(T$3,$D$2-1)))))</f>
        <v>0</v>
      </c>
      <c r="U70" s="131" t="n">
        <f aca="false">IF(OR($C70="",$B$2="",$D$2=0),0,IF(U$3&lt;0,0,N(INDEX('CURVA PREVISION'!$A$1:$KZ$3000,$C70,11+3*MIN(U$3,$D$2-1)))))</f>
        <v>0</v>
      </c>
      <c r="V70" s="131" t="n">
        <f aca="false">IF(OR($C70="",$B$2="",$D$2=0),0,IF(V$3&lt;0,0,N(INDEX('CURVA PREVISION'!$A$1:$KZ$3000,$C70,11+3*MIN(V$3,$D$2-1)))))</f>
        <v>0</v>
      </c>
      <c r="W70" s="131" t="n">
        <f aca="false">IF(OR($C70="",$B$2="",$D$2=0),0,IF(W$3&lt;0,0,N(INDEX('CURVA PREVISION'!$A$1:$KZ$3000,$C70,11+3*MIN(W$3,$D$2-1)))))</f>
        <v>0</v>
      </c>
      <c r="X70" s="131" t="n">
        <f aca="false">IF(OR($C70="",$B$2="",$D$2=0),0,IF(X$3&lt;0,0,N(INDEX('CURVA PREVISION'!$A$1:$KZ$3000,$C70,11+3*MIN(X$3,$D$2-1)))))</f>
        <v>0</v>
      </c>
      <c r="Y70" s="131" t="n">
        <f aca="false">IF(OR($C70="",$B$2="",$D$2=0),0,IF(Y$3&lt;0,0,N(INDEX('CURVA PREVISION'!$A$1:$KZ$3000,$C70,11+3*MIN(Y$3,$D$2-1)))))</f>
        <v>0</v>
      </c>
      <c r="Z70" s="131" t="n">
        <f aca="false">IF(OR($C70="",$B$2="",$D$2=0),0,IF(Z$3&lt;0,0,N(INDEX('CURVA PREVISION'!$A$1:$KZ$3000,$C70,11+3*MIN(Z$3,$D$2-1)))))</f>
        <v>0</v>
      </c>
      <c r="AA70" s="131" t="n">
        <f aca="false">IF(OR($C70="",$B$2="",$D$2=0),0,IF(AA$3&lt;0,0,N(INDEX('CURVA PREVISION'!$A$1:$KZ$3000,$C70,11+3*MIN(AA$3,$D$2-1)))))</f>
        <v>0</v>
      </c>
      <c r="AB70" s="131" t="n">
        <f aca="false">IF(OR($C70="",$B$2="",$D$2=0),0,IF(AB$3&lt;0,0,N(INDEX('CURVA PREVISION'!$A$1:$KZ$3000,$C70,11+3*MIN(AB$3,$D$2-1)))))</f>
        <v>0</v>
      </c>
      <c r="AC70" s="131" t="n">
        <f aca="false">IF(OR($C70="",$B$2="",$D$2=0),0,IF(AC$3&lt;0,0,N(INDEX('CURVA PREVISION'!$A$1:$KZ$3000,$C70,11+3*MIN(AC$3,$D$2-1)))))</f>
        <v>0</v>
      </c>
      <c r="AD70" s="131" t="n">
        <f aca="false">IF(OR($C70="",$B$2="",$D$2=0),0,IF(AD$3&lt;0,0,N(INDEX('CURVA PREVISION'!$A$1:$KZ$3000,$C70,11+3*MIN(AD$3,$D$2-1)))))</f>
        <v>0</v>
      </c>
      <c r="AE70" s="131" t="n">
        <f aca="false">IF(OR($C70="",$B$2="",$D$2=0),0,IF(AE$3&lt;0,0,N(INDEX('CURVA PREVISION'!$A$1:$KZ$3000,$C70,11+3*MIN(AE$3,$D$2-1)))))</f>
        <v>0</v>
      </c>
      <c r="AF70" s="131" t="n">
        <f aca="false">IF(OR($C70="",$B$2="",$D$2=0),0,IF(AF$3&lt;0,0,N(INDEX('CURVA PREVISION'!$A$1:$KZ$3000,$C70,11+3*MIN(AF$3,$D$2-1)))))</f>
        <v>0</v>
      </c>
      <c r="AG70" s="131" t="n">
        <f aca="false">IF(OR($C70="",$B$2="",$D$2=0),0,IF(AG$3&lt;0,0,N(INDEX('CURVA PREVISION'!$A$1:$KZ$3000,$C70,11+3*MIN(AG$3,$D$2-1)))))</f>
        <v>0</v>
      </c>
      <c r="AH70" s="131" t="n">
        <f aca="false">IF(OR($C70="",$B$2="",$D$2=0),0,IF(AH$3&lt;0,0,N(INDEX('CURVA PREVISION'!$A$1:$KZ$3000,$C70,11+3*MIN(AH$3,$D$2-1)))))</f>
        <v>0</v>
      </c>
      <c r="AI70" s="131" t="n">
        <f aca="false">IF(OR($C70="",$B$2="",$D$2=0),0,IF(AI$3&lt;0,0,N(INDEX('CURVA PREVISION'!$A$1:$KZ$3000,$C70,11+3*MIN(AI$3,$D$2-1)))))</f>
        <v>0</v>
      </c>
      <c r="AJ70" s="131" t="n">
        <f aca="false">IF(OR($C70="",$B$2="",$D$2=0),0,IF(AJ$3&lt;0,0,N(INDEX('CURVA PREVISION'!$A$1:$KZ$3000,$C70,11+3*MIN(AJ$3,$D$2-1)))))</f>
        <v>0</v>
      </c>
      <c r="AK70" s="131" t="n">
        <f aca="false">IF(OR($C70="",$B$2="",$D$2=0),0,IF(AK$3&lt;0,0,N(INDEX('CURVA PREVISION'!$A$1:$KZ$3000,$C70,11+3*MIN(AK$3,$D$2-1)))))</f>
        <v>0</v>
      </c>
      <c r="AL70" s="131" t="n">
        <f aca="false">IF(OR($C70="",$B$2="",$D$2=0),0,IF(AL$3&lt;0,0,N(INDEX('CURVA PREVISION'!$A$1:$KZ$3000,$C70,11+3*MIN(AL$3,$D$2-1)))))</f>
        <v>0</v>
      </c>
      <c r="AM70" s="131" t="n">
        <f aca="false">IF(OR($C70="",$B$2="",$D$2=0),0,IF(AM$3&lt;0,0,N(INDEX('CURVA PREVISION'!$A$1:$KZ$3000,$C70,11+3*MIN(AM$3,$D$2-1)))))</f>
        <v>0</v>
      </c>
      <c r="AN70" s="131" t="n">
        <f aca="false">IF(OR($C70="",$B$2="",$D$2=0),0,IF(AN$3&lt;0,0,N(INDEX('CURVA PREVISION'!$A$1:$KZ$3000,$C70,11+3*MIN(AN$3,$D$2-1)))))</f>
        <v>0</v>
      </c>
      <c r="AO70" s="131" t="n">
        <f aca="false">IF(OR($C70="",$B$2="",$D$2=0),0,IF(AO$3&lt;0,0,N(INDEX('CURVA PREVISION'!$A$1:$KZ$3000,$C70,11+3*MIN(AO$3,$D$2-1)))))</f>
        <v>0</v>
      </c>
      <c r="AP70" s="131" t="n">
        <f aca="false">IF(OR($C70="",$B$2="",$D$2=0),0,IF(AP$3&lt;0,0,N(INDEX('CURVA PREVISION'!$A$1:$KZ$3000,$C70,11+3*MIN(AP$3,$D$2-1)))))</f>
        <v>0</v>
      </c>
      <c r="AQ70" s="131" t="n">
        <f aca="false">IF(OR($C70="",$B$2="",$D$2=0),0,IF(AQ$3&lt;0,0,N(INDEX('CURVA PREVISION'!$A$1:$KZ$3000,$C70,11+3*MIN(AQ$3,$D$2-1)))))</f>
        <v>0</v>
      </c>
      <c r="AR70" s="131" t="n">
        <f aca="false">IF(OR($C70="",$B$2="",$D$2=0),0,IF(AR$3&lt;0,0,N(INDEX('CURVA PREVISION'!$A$1:$KZ$3000,$C70,11+3*MIN(AR$3,$D$2-1)))))</f>
        <v>0</v>
      </c>
      <c r="AS70" s="131" t="n">
        <f aca="false">IF(OR($C70="",$B$2="",$D$2=0),0,IF(AS$3&lt;0,0,N(INDEX('CURVA PREVISION'!$A$1:$KZ$3000,$C70,11+3*MIN(AS$3,$D$2-1)))))</f>
        <v>0</v>
      </c>
      <c r="AT70" s="131" t="n">
        <f aca="false">IF(OR($C70="",$B$2="",$D$2=0),0,IF(AT$3&lt;0,0,N(INDEX('CURVA PREVISION'!$A$1:$KZ$3000,$C70,11+3*MIN(AT$3,$D$2-1)))))</f>
        <v>0</v>
      </c>
      <c r="AU70" s="131" t="n">
        <f aca="false">IF(OR($C70="",$B$2="",$D$2=0),0,IF(AU$3&lt;0,0,N(INDEX('CURVA PREVISION'!$A$1:$KZ$3000,$C70,11+3*MIN(AU$3,$D$2-1)))))</f>
        <v>0</v>
      </c>
      <c r="AV70" s="131" t="n">
        <f aca="false">IF(OR($C70="",$B$2="",$D$2=0),0,IF(AV$3&lt;0,0,N(INDEX('CURVA PREVISION'!$A$1:$KZ$3000,$C70,11+3*MIN(AV$3,$D$2-1)))))</f>
        <v>0</v>
      </c>
      <c r="AW70" s="131" t="n">
        <f aca="false">IF(OR($C70="",$B$2="",$D$2=0),0,IF(AW$3&lt;0,0,N(INDEX('CURVA PREVISION'!$A$1:$KZ$3000,$C70,11+3*MIN(AW$3,$D$2-1)))))</f>
        <v>0</v>
      </c>
      <c r="AX70" s="131" t="n">
        <f aca="false">IF(OR($C70="",$B$2="",$D$2=0),0,IF(AX$3&lt;0,0,N(INDEX('CURVA PREVISION'!$A$1:$KZ$3000,$C70,11+3*MIN(AX$3,$D$2-1)))))</f>
        <v>0</v>
      </c>
      <c r="AY70" s="131" t="n">
        <f aca="false">IF(OR($C70="",$B$2="",$D$2=0),0,IF(AY$3&lt;0,0,N(INDEX('CURVA PREVISION'!$A$1:$KZ$3000,$C70,11+3*MIN(AY$3,$D$2-1)))))</f>
        <v>0</v>
      </c>
      <c r="AZ70" s="131" t="n">
        <f aca="false">IF(OR($C70="",$B$2="",$D$2=0),0,IF(AZ$3&lt;0,0,N(INDEX('CURVA PREVISION'!$A$1:$KZ$3000,$C70,11+3*MIN(AZ$3,$D$2-1)))))</f>
        <v>0</v>
      </c>
      <c r="BA70" s="131" t="n">
        <f aca="false">IF(OR($C70="",$B$2="",$D$2=0),0,IF(BA$3&lt;0,0,N(INDEX('CURVA PREVISION'!$A$1:$KZ$3000,$C70,11+3*MIN(BA$3,$D$2-1)))))</f>
        <v>0</v>
      </c>
      <c r="BB70" s="131" t="n">
        <f aca="false">IF(OR($C70="",$B$2="",$D$2=0),0,IF(BB$3&lt;0,0,N(INDEX('CURVA PREVISION'!$A$1:$KZ$3000,$C70,11+3*MIN(BB$3,$D$2-1)))))</f>
        <v>0</v>
      </c>
      <c r="BC70" s="131" t="n">
        <f aca="false">IF(OR($C70="",$B$2="",$D$2=0),0,IF(BC$3&lt;0,0,N(INDEX('CURVA PREVISION'!$A$1:$KZ$3000,$C70,11+3*MIN(BC$3,$D$2-1)))))</f>
        <v>0</v>
      </c>
      <c r="BD70" s="131" t="n">
        <f aca="false">IF(OR($C70="",$B$2="",$D$2=0),0,IF(BD$3&lt;0,0,N(INDEX('CURVA PREVISION'!$A$1:$KZ$3000,$C70,11+3*MIN(BD$3,$D$2-1)))))</f>
        <v>0</v>
      </c>
      <c r="BE70" s="131" t="n">
        <f aca="false">IF(OR($C70="",$B$2="",$D$2=0),0,IF(BE$3&lt;0,0,N(INDEX('CURVA PREVISION'!$A$1:$KZ$3000,$C70,11+3*MIN(BE$3,$D$2-1)))))</f>
        <v>0</v>
      </c>
      <c r="BF70" s="131" t="n">
        <f aca="false">IF(OR($C70="",$B$2="",$D$2=0),0,IF(BF$3&lt;0,0,N(INDEX('CURVA PREVISION'!$A$1:$KZ$3000,$C70,11+3*MIN(BF$3,$D$2-1)))))</f>
        <v>0</v>
      </c>
      <c r="BG70" s="131" t="n">
        <f aca="false">IF(OR($C70="",$B$2="",$D$2=0),0,IF(BG$3&lt;0,0,N(INDEX('CURVA PREVISION'!$A$1:$KZ$3000,$C70,11+3*MIN(BG$3,$D$2-1)))))</f>
        <v>0</v>
      </c>
      <c r="BH70" s="131" t="n">
        <f aca="false">IF(OR($C70="",$B$2="",$D$2=0),0,IF(BH$3&lt;0,0,N(INDEX('CURVA PREVISION'!$A$1:$KZ$3000,$C70,11+3*MIN(BH$3,$D$2-1)))))</f>
        <v>0</v>
      </c>
      <c r="BI70" s="131" t="n">
        <f aca="false">IF(OR($C70="",$B$2="",$D$2=0),0,IF(BI$3&lt;0,0,N(INDEX('CURVA PREVISION'!$A$1:$KZ$3000,$C70,11+3*MIN(BI$3,$D$2-1)))))</f>
        <v>0</v>
      </c>
      <c r="BJ70" s="131" t="n">
        <f aca="false">IF(OR($C70="",$B$2="",$D$2=0),0,IF(BJ$3&lt;0,0,N(INDEX('CURVA PREVISION'!$A$1:$KZ$3000,$C70,11+3*MIN(BJ$3,$D$2-1)))))</f>
        <v>0</v>
      </c>
      <c r="BK70" s="131" t="n">
        <f aca="false">IF(OR($C70="",$B$2="",$D$2=0),0,IF(BK$3&lt;0,0,N(INDEX('CURVA PREVISION'!$A$1:$KZ$3000,$C70,11+3*MIN(BK$3,$D$2-1)))))</f>
        <v>0</v>
      </c>
      <c r="BL70" s="131" t="n">
        <f aca="false">IF(OR($C70="",$B$2="",$D$2=0),0,IF(BL$3&lt;0,0,N(INDEX('CURVA PREVISION'!$A$1:$KZ$3000,$C70,11+3*MIN(BL$3,$D$2-1)))))</f>
        <v>0</v>
      </c>
      <c r="BM70" s="131" t="n">
        <f aca="false">IF(OR($C70="",$B$2="",$D$2=0),0,IF(BM$3&lt;0,0,N(INDEX('CURVA PREVISION'!$A$1:$KZ$3000,$C70,11+3*MIN(BM$3,$D$2-1)))))</f>
        <v>0</v>
      </c>
      <c r="BN70" s="131" t="n">
        <f aca="false">IF(OR($C70="",$B$2="",$D$2=0),0,IF(BN$3&lt;0,0,N(INDEX('CURVA PREVISION'!$A$1:$KZ$3000,$C70,11+3*MIN(BN$3,$D$2-1)))))</f>
        <v>0</v>
      </c>
      <c r="BO70" s="131" t="n">
        <f aca="false">IF(OR($C70="",$B$2="",$D$2=0),0,IF(BO$3&lt;0,0,N(INDEX('CURVA PREVISION'!$A$1:$KZ$3000,$C70,11+3*MIN(BO$3,$D$2-1)))))</f>
        <v>0</v>
      </c>
      <c r="BP70" s="131" t="n">
        <f aca="false">IF(OR($C70="",$B$2="",$D$2=0),0,IF(BP$3&lt;0,0,N(INDEX('CURVA PREVISION'!$A$1:$KZ$3000,$C70,11+3*MIN(BP$3,$D$2-1)))))</f>
        <v>0</v>
      </c>
      <c r="BQ70" s="131" t="n">
        <f aca="false">IF(OR($C70="",$B$2="",$D$2=0),0,IF(BQ$3&lt;0,0,N(INDEX('CURVA PREVISION'!$A$1:$KZ$3000,$C70,11+3*MIN(BQ$3,$D$2-1)))))</f>
        <v>0</v>
      </c>
      <c r="BR70" s="131" t="n">
        <f aca="false">IF(OR($C70="",$B$2="",$D$2=0),0,IF(BR$3&lt;0,0,N(INDEX('CURVA PREVISION'!$A$1:$KZ$3000,$C70,11+3*MIN(BR$3,$D$2-1)))))</f>
        <v>0</v>
      </c>
      <c r="BS70" s="131" t="n">
        <f aca="false">IF(OR($C70="",$B$2="",$D$2=0),0,IF(BS$3&lt;0,0,N(INDEX('CURVA PREVISION'!$A$1:$KZ$3000,$C70,11+3*MIN(BS$3,$D$2-1)))))</f>
        <v>0</v>
      </c>
      <c r="BT70" s="131" t="n">
        <f aca="false">IF(OR($C70="",$B$2="",$D$2=0),0,IF(BT$3&lt;0,0,N(INDEX('CURVA PREVISION'!$A$1:$KZ$3000,$C70,11+3*MIN(BT$3,$D$2-1)))))</f>
        <v>0</v>
      </c>
      <c r="BU70" s="131" t="n">
        <f aca="false">IF(OR($C70="",$B$2="",$D$2=0),0,IF(BU$3&lt;0,0,N(INDEX('CURVA PREVISION'!$A$1:$KZ$3000,$C70,11+3*MIN(BU$3,$D$2-1)))))</f>
        <v>0</v>
      </c>
      <c r="BV70" s="131" t="n">
        <f aca="false">IF(OR($C70="",$B$2="",$D$2=0),0,IF(BV$3&lt;0,0,N(INDEX('CURVA PREVISION'!$A$1:$KZ$3000,$C70,11+3*MIN(BV$3,$D$2-1)))))</f>
        <v>0</v>
      </c>
      <c r="BW70" s="131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25</v>
      </c>
      <c r="B71" s="47" t="str">
        <f aca="false">B29</f>
        <v>ESQUADRIAS</v>
      </c>
      <c r="C71" s="64" t="n">
        <f aca="false">IFERROR(MATCH(A71,'CURVA PREVISION'!$B$1:$B$3000,0),"")</f>
        <v>631</v>
      </c>
      <c r="D71" s="131" t="n">
        <f aca="false">IF(OR($C71="",$B$2="",$D$2=0),0,IF(D$3&lt;0,0,N(INDEX('CURVA PREVISION'!$A$1:$KZ$3000,$C71,11+3*MIN(D$3,$D$2-1)))))</f>
        <v>0</v>
      </c>
      <c r="E71" s="131" t="n">
        <f aca="false">IF(OR($C71="",$B$2="",$D$2=0),0,IF(E$3&lt;0,0,N(INDEX('CURVA PREVISION'!$A$1:$KZ$3000,$C71,11+3*MIN(E$3,$D$2-1)))))</f>
        <v>0</v>
      </c>
      <c r="F71" s="131" t="n">
        <f aca="false">IF(OR($C71="",$B$2="",$D$2=0),0,IF(F$3&lt;0,0,N(INDEX('CURVA PREVISION'!$A$1:$KZ$3000,$C71,11+3*MIN(F$3,$D$2-1)))))</f>
        <v>0</v>
      </c>
      <c r="G71" s="131" t="n">
        <f aca="false">IF(OR($C71="",$B$2="",$D$2=0),0,IF(G$3&lt;0,0,N(INDEX('CURVA PREVISION'!$A$1:$KZ$3000,$C71,11+3*MIN(G$3,$D$2-1)))))</f>
        <v>0</v>
      </c>
      <c r="H71" s="131" t="n">
        <f aca="false">IF(OR($C71="",$B$2="",$D$2=0),0,IF(H$3&lt;0,0,N(INDEX('CURVA PREVISION'!$A$1:$KZ$3000,$C71,11+3*MIN(H$3,$D$2-1)))))</f>
        <v>0</v>
      </c>
      <c r="I71" s="131" t="n">
        <f aca="false">IF(OR($C71="",$B$2="",$D$2=0),0,IF(I$3&lt;0,0,N(INDEX('CURVA PREVISION'!$A$1:$KZ$3000,$C71,11+3*MIN(I$3,$D$2-1)))))</f>
        <v>0</v>
      </c>
      <c r="J71" s="131" t="n">
        <f aca="false">IF(OR($C71="",$B$2="",$D$2=0),0,IF(J$3&lt;0,0,N(INDEX('CURVA PREVISION'!$A$1:$KZ$3000,$C71,11+3*MIN(J$3,$D$2-1)))))</f>
        <v>0</v>
      </c>
      <c r="K71" s="131" t="n">
        <f aca="false">IF(OR($C71="",$B$2="",$D$2=0),0,IF(K$3&lt;0,0,N(INDEX('CURVA PREVISION'!$A$1:$KZ$3000,$C71,11+3*MIN(K$3,$D$2-1)))))</f>
        <v>0</v>
      </c>
      <c r="L71" s="131" t="n">
        <f aca="false">IF(OR($C71="",$B$2="",$D$2=0),0,IF(L$3&lt;0,0,N(INDEX('CURVA PREVISION'!$A$1:$KZ$3000,$C71,11+3*MIN(L$3,$D$2-1)))))</f>
        <v>0</v>
      </c>
      <c r="M71" s="131" t="n">
        <f aca="false">IF(OR($C71="",$B$2="",$D$2=0),0,IF(M$3&lt;0,0,N(INDEX('CURVA PREVISION'!$A$1:$KZ$3000,$C71,11+3*MIN(M$3,$D$2-1)))))</f>
        <v>0</v>
      </c>
      <c r="N71" s="131" t="n">
        <f aca="false">IF(OR($C71="",$B$2="",$D$2=0),0,IF(N$3&lt;0,0,N(INDEX('CURVA PREVISION'!$A$1:$KZ$3000,$C71,11+3*MIN(N$3,$D$2-1)))))</f>
        <v>0</v>
      </c>
      <c r="O71" s="131" t="n">
        <f aca="false">IF(OR($C71="",$B$2="",$D$2=0),0,IF(O$3&lt;0,0,N(INDEX('CURVA PREVISION'!$A$1:$KZ$3000,$C71,11+3*MIN(O$3,$D$2-1)))))</f>
        <v>0</v>
      </c>
      <c r="P71" s="131" t="n">
        <f aca="false">IF(OR($C71="",$B$2="",$D$2=0),0,IF(P$3&lt;0,0,N(INDEX('CURVA PREVISION'!$A$1:$KZ$3000,$C71,11+3*MIN(P$3,$D$2-1)))))</f>
        <v>0</v>
      </c>
      <c r="Q71" s="131" t="n">
        <f aca="false">IF(OR($C71="",$B$2="",$D$2=0),0,IF(Q$3&lt;0,0,N(INDEX('CURVA PREVISION'!$A$1:$KZ$3000,$C71,11+3*MIN(Q$3,$D$2-1)))))</f>
        <v>0</v>
      </c>
      <c r="R71" s="131" t="n">
        <f aca="false">IF(OR($C71="",$B$2="",$D$2=0),0,IF(R$3&lt;0,0,N(INDEX('CURVA PREVISION'!$A$1:$KZ$3000,$C71,11+3*MIN(R$3,$D$2-1)))))</f>
        <v>0</v>
      </c>
      <c r="S71" s="131" t="n">
        <f aca="false">IF(OR($C71="",$B$2="",$D$2=0),0,IF(S$3&lt;0,0,N(INDEX('CURVA PREVISION'!$A$1:$KZ$3000,$C71,11+3*MIN(S$3,$D$2-1)))))</f>
        <v>0</v>
      </c>
      <c r="T71" s="131" t="n">
        <f aca="false">IF(OR($C71="",$B$2="",$D$2=0),0,IF(T$3&lt;0,0,N(INDEX('CURVA PREVISION'!$A$1:$KZ$3000,$C71,11+3*MIN(T$3,$D$2-1)))))</f>
        <v>0</v>
      </c>
      <c r="U71" s="131" t="n">
        <f aca="false">IF(OR($C71="",$B$2="",$D$2=0),0,IF(U$3&lt;0,0,N(INDEX('CURVA PREVISION'!$A$1:$KZ$3000,$C71,11+3*MIN(U$3,$D$2-1)))))</f>
        <v>0</v>
      </c>
      <c r="V71" s="131" t="n">
        <f aca="false">IF(OR($C71="",$B$2="",$D$2=0),0,IF(V$3&lt;0,0,N(INDEX('CURVA PREVISION'!$A$1:$KZ$3000,$C71,11+3*MIN(V$3,$D$2-1)))))</f>
        <v>0</v>
      </c>
      <c r="W71" s="131" t="n">
        <f aca="false">IF(OR($C71="",$B$2="",$D$2=0),0,IF(W$3&lt;0,0,N(INDEX('CURVA PREVISION'!$A$1:$KZ$3000,$C71,11+3*MIN(W$3,$D$2-1)))))</f>
        <v>0</v>
      </c>
      <c r="X71" s="131" t="n">
        <f aca="false">IF(OR($C71="",$B$2="",$D$2=0),0,IF(X$3&lt;0,0,N(INDEX('CURVA PREVISION'!$A$1:$KZ$3000,$C71,11+3*MIN(X$3,$D$2-1)))))</f>
        <v>0</v>
      </c>
      <c r="Y71" s="131" t="n">
        <f aca="false">IF(OR($C71="",$B$2="",$D$2=0),0,IF(Y$3&lt;0,0,N(INDEX('CURVA PREVISION'!$A$1:$KZ$3000,$C71,11+3*MIN(Y$3,$D$2-1)))))</f>
        <v>0</v>
      </c>
      <c r="Z71" s="131" t="n">
        <f aca="false">IF(OR($C71="",$B$2="",$D$2=0),0,IF(Z$3&lt;0,0,N(INDEX('CURVA PREVISION'!$A$1:$KZ$3000,$C71,11+3*MIN(Z$3,$D$2-1)))))</f>
        <v>0</v>
      </c>
      <c r="AA71" s="131" t="n">
        <f aca="false">IF(OR($C71="",$B$2="",$D$2=0),0,IF(AA$3&lt;0,0,N(INDEX('CURVA PREVISION'!$A$1:$KZ$3000,$C71,11+3*MIN(AA$3,$D$2-1)))))</f>
        <v>0</v>
      </c>
      <c r="AB71" s="131" t="n">
        <f aca="false">IF(OR($C71="",$B$2="",$D$2=0),0,IF(AB$3&lt;0,0,N(INDEX('CURVA PREVISION'!$A$1:$KZ$3000,$C71,11+3*MIN(AB$3,$D$2-1)))))</f>
        <v>0</v>
      </c>
      <c r="AC71" s="131" t="n">
        <f aca="false">IF(OR($C71="",$B$2="",$D$2=0),0,IF(AC$3&lt;0,0,N(INDEX('CURVA PREVISION'!$A$1:$KZ$3000,$C71,11+3*MIN(AC$3,$D$2-1)))))</f>
        <v>0</v>
      </c>
      <c r="AD71" s="131" t="n">
        <f aca="false">IF(OR($C71="",$B$2="",$D$2=0),0,IF(AD$3&lt;0,0,N(INDEX('CURVA PREVISION'!$A$1:$KZ$3000,$C71,11+3*MIN(AD$3,$D$2-1)))))</f>
        <v>0</v>
      </c>
      <c r="AE71" s="131" t="n">
        <f aca="false">IF(OR($C71="",$B$2="",$D$2=0),0,IF(AE$3&lt;0,0,N(INDEX('CURVA PREVISION'!$A$1:$KZ$3000,$C71,11+3*MIN(AE$3,$D$2-1)))))</f>
        <v>0</v>
      </c>
      <c r="AF71" s="131" t="n">
        <f aca="false">IF(OR($C71="",$B$2="",$D$2=0),0,IF(AF$3&lt;0,0,N(INDEX('CURVA PREVISION'!$A$1:$KZ$3000,$C71,11+3*MIN(AF$3,$D$2-1)))))</f>
        <v>0</v>
      </c>
      <c r="AG71" s="131" t="n">
        <f aca="false">IF(OR($C71="",$B$2="",$D$2=0),0,IF(AG$3&lt;0,0,N(INDEX('CURVA PREVISION'!$A$1:$KZ$3000,$C71,11+3*MIN(AG$3,$D$2-1)))))</f>
        <v>0</v>
      </c>
      <c r="AH71" s="131" t="n">
        <f aca="false">IF(OR($C71="",$B$2="",$D$2=0),0,IF(AH$3&lt;0,0,N(INDEX('CURVA PREVISION'!$A$1:$KZ$3000,$C71,11+3*MIN(AH$3,$D$2-1)))))</f>
        <v>0</v>
      </c>
      <c r="AI71" s="131" t="n">
        <f aca="false">IF(OR($C71="",$B$2="",$D$2=0),0,IF(AI$3&lt;0,0,N(INDEX('CURVA PREVISION'!$A$1:$KZ$3000,$C71,11+3*MIN(AI$3,$D$2-1)))))</f>
        <v>0</v>
      </c>
      <c r="AJ71" s="131" t="n">
        <f aca="false">IF(OR($C71="",$B$2="",$D$2=0),0,IF(AJ$3&lt;0,0,N(INDEX('CURVA PREVISION'!$A$1:$KZ$3000,$C71,11+3*MIN(AJ$3,$D$2-1)))))</f>
        <v>0</v>
      </c>
      <c r="AK71" s="131" t="n">
        <f aca="false">IF(OR($C71="",$B$2="",$D$2=0),0,IF(AK$3&lt;0,0,N(INDEX('CURVA PREVISION'!$A$1:$KZ$3000,$C71,11+3*MIN(AK$3,$D$2-1)))))</f>
        <v>0</v>
      </c>
      <c r="AL71" s="131" t="n">
        <f aca="false">IF(OR($C71="",$B$2="",$D$2=0),0,IF(AL$3&lt;0,0,N(INDEX('CURVA PREVISION'!$A$1:$KZ$3000,$C71,11+3*MIN(AL$3,$D$2-1)))))</f>
        <v>0</v>
      </c>
      <c r="AM71" s="131" t="n">
        <f aca="false">IF(OR($C71="",$B$2="",$D$2=0),0,IF(AM$3&lt;0,0,N(INDEX('CURVA PREVISION'!$A$1:$KZ$3000,$C71,11+3*MIN(AM$3,$D$2-1)))))</f>
        <v>0</v>
      </c>
      <c r="AN71" s="131" t="n">
        <f aca="false">IF(OR($C71="",$B$2="",$D$2=0),0,IF(AN$3&lt;0,0,N(INDEX('CURVA PREVISION'!$A$1:$KZ$3000,$C71,11+3*MIN(AN$3,$D$2-1)))))</f>
        <v>0</v>
      </c>
      <c r="AO71" s="131" t="n">
        <f aca="false">IF(OR($C71="",$B$2="",$D$2=0),0,IF(AO$3&lt;0,0,N(INDEX('CURVA PREVISION'!$A$1:$KZ$3000,$C71,11+3*MIN(AO$3,$D$2-1)))))</f>
        <v>0</v>
      </c>
      <c r="AP71" s="131" t="n">
        <f aca="false">IF(OR($C71="",$B$2="",$D$2=0),0,IF(AP$3&lt;0,0,N(INDEX('CURVA PREVISION'!$A$1:$KZ$3000,$C71,11+3*MIN(AP$3,$D$2-1)))))</f>
        <v>0</v>
      </c>
      <c r="AQ71" s="131" t="n">
        <f aca="false">IF(OR($C71="",$B$2="",$D$2=0),0,IF(AQ$3&lt;0,0,N(INDEX('CURVA PREVISION'!$A$1:$KZ$3000,$C71,11+3*MIN(AQ$3,$D$2-1)))))</f>
        <v>0</v>
      </c>
      <c r="AR71" s="131" t="n">
        <f aca="false">IF(OR($C71="",$B$2="",$D$2=0),0,IF(AR$3&lt;0,0,N(INDEX('CURVA PREVISION'!$A$1:$KZ$3000,$C71,11+3*MIN(AR$3,$D$2-1)))))</f>
        <v>0</v>
      </c>
      <c r="AS71" s="131" t="n">
        <f aca="false">IF(OR($C71="",$B$2="",$D$2=0),0,IF(AS$3&lt;0,0,N(INDEX('CURVA PREVISION'!$A$1:$KZ$3000,$C71,11+3*MIN(AS$3,$D$2-1)))))</f>
        <v>0</v>
      </c>
      <c r="AT71" s="131" t="n">
        <f aca="false">IF(OR($C71="",$B$2="",$D$2=0),0,IF(AT$3&lt;0,0,N(INDEX('CURVA PREVISION'!$A$1:$KZ$3000,$C71,11+3*MIN(AT$3,$D$2-1)))))</f>
        <v>0</v>
      </c>
      <c r="AU71" s="131" t="n">
        <f aca="false">IF(OR($C71="",$B$2="",$D$2=0),0,IF(AU$3&lt;0,0,N(INDEX('CURVA PREVISION'!$A$1:$KZ$3000,$C71,11+3*MIN(AU$3,$D$2-1)))))</f>
        <v>0</v>
      </c>
      <c r="AV71" s="131" t="n">
        <f aca="false">IF(OR($C71="",$B$2="",$D$2=0),0,IF(AV$3&lt;0,0,N(INDEX('CURVA PREVISION'!$A$1:$KZ$3000,$C71,11+3*MIN(AV$3,$D$2-1)))))</f>
        <v>0</v>
      </c>
      <c r="AW71" s="131" t="n">
        <f aca="false">IF(OR($C71="",$B$2="",$D$2=0),0,IF(AW$3&lt;0,0,N(INDEX('CURVA PREVISION'!$A$1:$KZ$3000,$C71,11+3*MIN(AW$3,$D$2-1)))))</f>
        <v>0</v>
      </c>
      <c r="AX71" s="131" t="n">
        <f aca="false">IF(OR($C71="",$B$2="",$D$2=0),0,IF(AX$3&lt;0,0,N(INDEX('CURVA PREVISION'!$A$1:$KZ$3000,$C71,11+3*MIN(AX$3,$D$2-1)))))</f>
        <v>0</v>
      </c>
      <c r="AY71" s="131" t="n">
        <f aca="false">IF(OR($C71="",$B$2="",$D$2=0),0,IF(AY$3&lt;0,0,N(INDEX('CURVA PREVISION'!$A$1:$KZ$3000,$C71,11+3*MIN(AY$3,$D$2-1)))))</f>
        <v>0</v>
      </c>
      <c r="AZ71" s="131" t="n">
        <f aca="false">IF(OR($C71="",$B$2="",$D$2=0),0,IF(AZ$3&lt;0,0,N(INDEX('CURVA PREVISION'!$A$1:$KZ$3000,$C71,11+3*MIN(AZ$3,$D$2-1)))))</f>
        <v>0</v>
      </c>
      <c r="BA71" s="131" t="n">
        <f aca="false">IF(OR($C71="",$B$2="",$D$2=0),0,IF(BA$3&lt;0,0,N(INDEX('CURVA PREVISION'!$A$1:$KZ$3000,$C71,11+3*MIN(BA$3,$D$2-1)))))</f>
        <v>0</v>
      </c>
      <c r="BB71" s="131" t="n">
        <f aca="false">IF(OR($C71="",$B$2="",$D$2=0),0,IF(BB$3&lt;0,0,N(INDEX('CURVA PREVISION'!$A$1:$KZ$3000,$C71,11+3*MIN(BB$3,$D$2-1)))))</f>
        <v>0</v>
      </c>
      <c r="BC71" s="131" t="n">
        <f aca="false">IF(OR($C71="",$B$2="",$D$2=0),0,IF(BC$3&lt;0,0,N(INDEX('CURVA PREVISION'!$A$1:$KZ$3000,$C71,11+3*MIN(BC$3,$D$2-1)))))</f>
        <v>0</v>
      </c>
      <c r="BD71" s="131" t="n">
        <f aca="false">IF(OR($C71="",$B$2="",$D$2=0),0,IF(BD$3&lt;0,0,N(INDEX('CURVA PREVISION'!$A$1:$KZ$3000,$C71,11+3*MIN(BD$3,$D$2-1)))))</f>
        <v>0</v>
      </c>
      <c r="BE71" s="131" t="n">
        <f aca="false">IF(OR($C71="",$B$2="",$D$2=0),0,IF(BE$3&lt;0,0,N(INDEX('CURVA PREVISION'!$A$1:$KZ$3000,$C71,11+3*MIN(BE$3,$D$2-1)))))</f>
        <v>0</v>
      </c>
      <c r="BF71" s="131" t="n">
        <f aca="false">IF(OR($C71="",$B$2="",$D$2=0),0,IF(BF$3&lt;0,0,N(INDEX('CURVA PREVISION'!$A$1:$KZ$3000,$C71,11+3*MIN(BF$3,$D$2-1)))))</f>
        <v>0</v>
      </c>
      <c r="BG71" s="131" t="n">
        <f aca="false">IF(OR($C71="",$B$2="",$D$2=0),0,IF(BG$3&lt;0,0,N(INDEX('CURVA PREVISION'!$A$1:$KZ$3000,$C71,11+3*MIN(BG$3,$D$2-1)))))</f>
        <v>0</v>
      </c>
      <c r="BH71" s="131" t="n">
        <f aca="false">IF(OR($C71="",$B$2="",$D$2=0),0,IF(BH$3&lt;0,0,N(INDEX('CURVA PREVISION'!$A$1:$KZ$3000,$C71,11+3*MIN(BH$3,$D$2-1)))))</f>
        <v>0</v>
      </c>
      <c r="BI71" s="131" t="n">
        <f aca="false">IF(OR($C71="",$B$2="",$D$2=0),0,IF(BI$3&lt;0,0,N(INDEX('CURVA PREVISION'!$A$1:$KZ$3000,$C71,11+3*MIN(BI$3,$D$2-1)))))</f>
        <v>0</v>
      </c>
      <c r="BJ71" s="131" t="n">
        <f aca="false">IF(OR($C71="",$B$2="",$D$2=0),0,IF(BJ$3&lt;0,0,N(INDEX('CURVA PREVISION'!$A$1:$KZ$3000,$C71,11+3*MIN(BJ$3,$D$2-1)))))</f>
        <v>0</v>
      </c>
      <c r="BK71" s="131" t="n">
        <f aca="false">IF(OR($C71="",$B$2="",$D$2=0),0,IF(BK$3&lt;0,0,N(INDEX('CURVA PREVISION'!$A$1:$KZ$3000,$C71,11+3*MIN(BK$3,$D$2-1)))))</f>
        <v>0</v>
      </c>
      <c r="BL71" s="131" t="n">
        <f aca="false">IF(OR($C71="",$B$2="",$D$2=0),0,IF(BL$3&lt;0,0,N(INDEX('CURVA PREVISION'!$A$1:$KZ$3000,$C71,11+3*MIN(BL$3,$D$2-1)))))</f>
        <v>0</v>
      </c>
      <c r="BM71" s="131" t="n">
        <f aca="false">IF(OR($C71="",$B$2="",$D$2=0),0,IF(BM$3&lt;0,0,N(INDEX('CURVA PREVISION'!$A$1:$KZ$3000,$C71,11+3*MIN(BM$3,$D$2-1)))))</f>
        <v>0</v>
      </c>
      <c r="BN71" s="131" t="n">
        <f aca="false">IF(OR($C71="",$B$2="",$D$2=0),0,IF(BN$3&lt;0,0,N(INDEX('CURVA PREVISION'!$A$1:$KZ$3000,$C71,11+3*MIN(BN$3,$D$2-1)))))</f>
        <v>0</v>
      </c>
      <c r="BO71" s="131" t="n">
        <f aca="false">IF(OR($C71="",$B$2="",$D$2=0),0,IF(BO$3&lt;0,0,N(INDEX('CURVA PREVISION'!$A$1:$KZ$3000,$C71,11+3*MIN(BO$3,$D$2-1)))))</f>
        <v>0</v>
      </c>
      <c r="BP71" s="131" t="n">
        <f aca="false">IF(OR($C71="",$B$2="",$D$2=0),0,IF(BP$3&lt;0,0,N(INDEX('CURVA PREVISION'!$A$1:$KZ$3000,$C71,11+3*MIN(BP$3,$D$2-1)))))</f>
        <v>0</v>
      </c>
      <c r="BQ71" s="131" t="n">
        <f aca="false">IF(OR($C71="",$B$2="",$D$2=0),0,IF(BQ$3&lt;0,0,N(INDEX('CURVA PREVISION'!$A$1:$KZ$3000,$C71,11+3*MIN(BQ$3,$D$2-1)))))</f>
        <v>0</v>
      </c>
      <c r="BR71" s="131" t="n">
        <f aca="false">IF(OR($C71="",$B$2="",$D$2=0),0,IF(BR$3&lt;0,0,N(INDEX('CURVA PREVISION'!$A$1:$KZ$3000,$C71,11+3*MIN(BR$3,$D$2-1)))))</f>
        <v>0</v>
      </c>
      <c r="BS71" s="131" t="n">
        <f aca="false">IF(OR($C71="",$B$2="",$D$2=0),0,IF(BS$3&lt;0,0,N(INDEX('CURVA PREVISION'!$A$1:$KZ$3000,$C71,11+3*MIN(BS$3,$D$2-1)))))</f>
        <v>0</v>
      </c>
      <c r="BT71" s="131" t="n">
        <f aca="false">IF(OR($C71="",$B$2="",$D$2=0),0,IF(BT$3&lt;0,0,N(INDEX('CURVA PREVISION'!$A$1:$KZ$3000,$C71,11+3*MIN(BT$3,$D$2-1)))))</f>
        <v>0</v>
      </c>
      <c r="BU71" s="131" t="n">
        <f aca="false">IF(OR($C71="",$B$2="",$D$2=0),0,IF(BU$3&lt;0,0,N(INDEX('CURVA PREVISION'!$A$1:$KZ$3000,$C71,11+3*MIN(BU$3,$D$2-1)))))</f>
        <v>0</v>
      </c>
      <c r="BV71" s="131" t="n">
        <f aca="false">IF(OR($C71="",$B$2="",$D$2=0),0,IF(BV$3&lt;0,0,N(INDEX('CURVA PREVISION'!$A$1:$KZ$3000,$C71,11+3*MIN(BV$3,$D$2-1)))))</f>
        <v>0</v>
      </c>
      <c r="BW71" s="131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26</v>
      </c>
      <c r="B72" s="47" t="str">
        <f aca="false">B30</f>
        <v>SERRALHERIA</v>
      </c>
      <c r="C72" s="64" t="n">
        <f aca="false">IFERROR(MATCH(A72,'CURVA PREVISION'!$B$1:$B$3000,0),"")</f>
        <v>745</v>
      </c>
      <c r="D72" s="131" t="n">
        <f aca="false">IF(OR($C72="",$B$2="",$D$2=0),0,IF(D$3&lt;0,0,N(INDEX('CURVA PREVISION'!$A$1:$KZ$3000,$C72,11+3*MIN(D$3,$D$2-1)))))</f>
        <v>0</v>
      </c>
      <c r="E72" s="131" t="n">
        <f aca="false">IF(OR($C72="",$B$2="",$D$2=0),0,IF(E$3&lt;0,0,N(INDEX('CURVA PREVISION'!$A$1:$KZ$3000,$C72,11+3*MIN(E$3,$D$2-1)))))</f>
        <v>0</v>
      </c>
      <c r="F72" s="131" t="n">
        <f aca="false">IF(OR($C72="",$B$2="",$D$2=0),0,IF(F$3&lt;0,0,N(INDEX('CURVA PREVISION'!$A$1:$KZ$3000,$C72,11+3*MIN(F$3,$D$2-1)))))</f>
        <v>0</v>
      </c>
      <c r="G72" s="131" t="n">
        <f aca="false">IF(OR($C72="",$B$2="",$D$2=0),0,IF(G$3&lt;0,0,N(INDEX('CURVA PREVISION'!$A$1:$KZ$3000,$C72,11+3*MIN(G$3,$D$2-1)))))</f>
        <v>0</v>
      </c>
      <c r="H72" s="131" t="n">
        <f aca="false">IF(OR($C72="",$B$2="",$D$2=0),0,IF(H$3&lt;0,0,N(INDEX('CURVA PREVISION'!$A$1:$KZ$3000,$C72,11+3*MIN(H$3,$D$2-1)))))</f>
        <v>0</v>
      </c>
      <c r="I72" s="131" t="n">
        <f aca="false">IF(OR($C72="",$B$2="",$D$2=0),0,IF(I$3&lt;0,0,N(INDEX('CURVA PREVISION'!$A$1:$KZ$3000,$C72,11+3*MIN(I$3,$D$2-1)))))</f>
        <v>0</v>
      </c>
      <c r="J72" s="131" t="n">
        <f aca="false">IF(OR($C72="",$B$2="",$D$2=0),0,IF(J$3&lt;0,0,N(INDEX('CURVA PREVISION'!$A$1:$KZ$3000,$C72,11+3*MIN(J$3,$D$2-1)))))</f>
        <v>0</v>
      </c>
      <c r="K72" s="131" t="n">
        <f aca="false">IF(OR($C72="",$B$2="",$D$2=0),0,IF(K$3&lt;0,0,N(INDEX('CURVA PREVISION'!$A$1:$KZ$3000,$C72,11+3*MIN(K$3,$D$2-1)))))</f>
        <v>0</v>
      </c>
      <c r="L72" s="131" t="n">
        <f aca="false">IF(OR($C72="",$B$2="",$D$2=0),0,IF(L$3&lt;0,0,N(INDEX('CURVA PREVISION'!$A$1:$KZ$3000,$C72,11+3*MIN(L$3,$D$2-1)))))</f>
        <v>0</v>
      </c>
      <c r="M72" s="131" t="n">
        <f aca="false">IF(OR($C72="",$B$2="",$D$2=0),0,IF(M$3&lt;0,0,N(INDEX('CURVA PREVISION'!$A$1:$KZ$3000,$C72,11+3*MIN(M$3,$D$2-1)))))</f>
        <v>0</v>
      </c>
      <c r="N72" s="131" t="n">
        <f aca="false">IF(OR($C72="",$B$2="",$D$2=0),0,IF(N$3&lt;0,0,N(INDEX('CURVA PREVISION'!$A$1:$KZ$3000,$C72,11+3*MIN(N$3,$D$2-1)))))</f>
        <v>0</v>
      </c>
      <c r="O72" s="131" t="n">
        <f aca="false">IF(OR($C72="",$B$2="",$D$2=0),0,IF(O$3&lt;0,0,N(INDEX('CURVA PREVISION'!$A$1:$KZ$3000,$C72,11+3*MIN(O$3,$D$2-1)))))</f>
        <v>0</v>
      </c>
      <c r="P72" s="131" t="n">
        <f aca="false">IF(OR($C72="",$B$2="",$D$2=0),0,IF(P$3&lt;0,0,N(INDEX('CURVA PREVISION'!$A$1:$KZ$3000,$C72,11+3*MIN(P$3,$D$2-1)))))</f>
        <v>0</v>
      </c>
      <c r="Q72" s="131" t="n">
        <f aca="false">IF(OR($C72="",$B$2="",$D$2=0),0,IF(Q$3&lt;0,0,N(INDEX('CURVA PREVISION'!$A$1:$KZ$3000,$C72,11+3*MIN(Q$3,$D$2-1)))))</f>
        <v>0</v>
      </c>
      <c r="R72" s="131" t="n">
        <f aca="false">IF(OR($C72="",$B$2="",$D$2=0),0,IF(R$3&lt;0,0,N(INDEX('CURVA PREVISION'!$A$1:$KZ$3000,$C72,11+3*MIN(R$3,$D$2-1)))))</f>
        <v>0</v>
      </c>
      <c r="S72" s="131" t="n">
        <f aca="false">IF(OR($C72="",$B$2="",$D$2=0),0,IF(S$3&lt;0,0,N(INDEX('CURVA PREVISION'!$A$1:$KZ$3000,$C72,11+3*MIN(S$3,$D$2-1)))))</f>
        <v>0</v>
      </c>
      <c r="T72" s="131" t="n">
        <f aca="false">IF(OR($C72="",$B$2="",$D$2=0),0,IF(T$3&lt;0,0,N(INDEX('CURVA PREVISION'!$A$1:$KZ$3000,$C72,11+3*MIN(T$3,$D$2-1)))))</f>
        <v>0</v>
      </c>
      <c r="U72" s="131" t="n">
        <f aca="false">IF(OR($C72="",$B$2="",$D$2=0),0,IF(U$3&lt;0,0,N(INDEX('CURVA PREVISION'!$A$1:$KZ$3000,$C72,11+3*MIN(U$3,$D$2-1)))))</f>
        <v>0</v>
      </c>
      <c r="V72" s="131" t="n">
        <f aca="false">IF(OR($C72="",$B$2="",$D$2=0),0,IF(V$3&lt;0,0,N(INDEX('CURVA PREVISION'!$A$1:$KZ$3000,$C72,11+3*MIN(V$3,$D$2-1)))))</f>
        <v>0</v>
      </c>
      <c r="W72" s="131" t="n">
        <f aca="false">IF(OR($C72="",$B$2="",$D$2=0),0,IF(W$3&lt;0,0,N(INDEX('CURVA PREVISION'!$A$1:$KZ$3000,$C72,11+3*MIN(W$3,$D$2-1)))))</f>
        <v>0</v>
      </c>
      <c r="X72" s="131" t="n">
        <f aca="false">IF(OR($C72="",$B$2="",$D$2=0),0,IF(X$3&lt;0,0,N(INDEX('CURVA PREVISION'!$A$1:$KZ$3000,$C72,11+3*MIN(X$3,$D$2-1)))))</f>
        <v>0</v>
      </c>
      <c r="Y72" s="131" t="n">
        <f aca="false">IF(OR($C72="",$B$2="",$D$2=0),0,IF(Y$3&lt;0,0,N(INDEX('CURVA PREVISION'!$A$1:$KZ$3000,$C72,11+3*MIN(Y$3,$D$2-1)))))</f>
        <v>0</v>
      </c>
      <c r="Z72" s="131" t="n">
        <f aca="false">IF(OR($C72="",$B$2="",$D$2=0),0,IF(Z$3&lt;0,0,N(INDEX('CURVA PREVISION'!$A$1:$KZ$3000,$C72,11+3*MIN(Z$3,$D$2-1)))))</f>
        <v>0</v>
      </c>
      <c r="AA72" s="131" t="n">
        <f aca="false">IF(OR($C72="",$B$2="",$D$2=0),0,IF(AA$3&lt;0,0,N(INDEX('CURVA PREVISION'!$A$1:$KZ$3000,$C72,11+3*MIN(AA$3,$D$2-1)))))</f>
        <v>0</v>
      </c>
      <c r="AB72" s="131" t="n">
        <f aca="false">IF(OR($C72="",$B$2="",$D$2=0),0,IF(AB$3&lt;0,0,N(INDEX('CURVA PREVISION'!$A$1:$KZ$3000,$C72,11+3*MIN(AB$3,$D$2-1)))))</f>
        <v>0</v>
      </c>
      <c r="AC72" s="131" t="n">
        <f aca="false">IF(OR($C72="",$B$2="",$D$2=0),0,IF(AC$3&lt;0,0,N(INDEX('CURVA PREVISION'!$A$1:$KZ$3000,$C72,11+3*MIN(AC$3,$D$2-1)))))</f>
        <v>0</v>
      </c>
      <c r="AD72" s="131" t="n">
        <f aca="false">IF(OR($C72="",$B$2="",$D$2=0),0,IF(AD$3&lt;0,0,N(INDEX('CURVA PREVISION'!$A$1:$KZ$3000,$C72,11+3*MIN(AD$3,$D$2-1)))))</f>
        <v>0</v>
      </c>
      <c r="AE72" s="131" t="n">
        <f aca="false">IF(OR($C72="",$B$2="",$D$2=0),0,IF(AE$3&lt;0,0,N(INDEX('CURVA PREVISION'!$A$1:$KZ$3000,$C72,11+3*MIN(AE$3,$D$2-1)))))</f>
        <v>0</v>
      </c>
      <c r="AF72" s="131" t="n">
        <f aca="false">IF(OR($C72="",$B$2="",$D$2=0),0,IF(AF$3&lt;0,0,N(INDEX('CURVA PREVISION'!$A$1:$KZ$3000,$C72,11+3*MIN(AF$3,$D$2-1)))))</f>
        <v>0</v>
      </c>
      <c r="AG72" s="131" t="n">
        <f aca="false">IF(OR($C72="",$B$2="",$D$2=0),0,IF(AG$3&lt;0,0,N(INDEX('CURVA PREVISION'!$A$1:$KZ$3000,$C72,11+3*MIN(AG$3,$D$2-1)))))</f>
        <v>0</v>
      </c>
      <c r="AH72" s="131" t="n">
        <f aca="false">IF(OR($C72="",$B$2="",$D$2=0),0,IF(AH$3&lt;0,0,N(INDEX('CURVA PREVISION'!$A$1:$KZ$3000,$C72,11+3*MIN(AH$3,$D$2-1)))))</f>
        <v>0</v>
      </c>
      <c r="AI72" s="131" t="n">
        <f aca="false">IF(OR($C72="",$B$2="",$D$2=0),0,IF(AI$3&lt;0,0,N(INDEX('CURVA PREVISION'!$A$1:$KZ$3000,$C72,11+3*MIN(AI$3,$D$2-1)))))</f>
        <v>0</v>
      </c>
      <c r="AJ72" s="131" t="n">
        <f aca="false">IF(OR($C72="",$B$2="",$D$2=0),0,IF(AJ$3&lt;0,0,N(INDEX('CURVA PREVISION'!$A$1:$KZ$3000,$C72,11+3*MIN(AJ$3,$D$2-1)))))</f>
        <v>0</v>
      </c>
      <c r="AK72" s="131" t="n">
        <f aca="false">IF(OR($C72="",$B$2="",$D$2=0),0,IF(AK$3&lt;0,0,N(INDEX('CURVA PREVISION'!$A$1:$KZ$3000,$C72,11+3*MIN(AK$3,$D$2-1)))))</f>
        <v>0</v>
      </c>
      <c r="AL72" s="131" t="n">
        <f aca="false">IF(OR($C72="",$B$2="",$D$2=0),0,IF(AL$3&lt;0,0,N(INDEX('CURVA PREVISION'!$A$1:$KZ$3000,$C72,11+3*MIN(AL$3,$D$2-1)))))</f>
        <v>0</v>
      </c>
      <c r="AM72" s="131" t="n">
        <f aca="false">IF(OR($C72="",$B$2="",$D$2=0),0,IF(AM$3&lt;0,0,N(INDEX('CURVA PREVISION'!$A$1:$KZ$3000,$C72,11+3*MIN(AM$3,$D$2-1)))))</f>
        <v>0</v>
      </c>
      <c r="AN72" s="131" t="n">
        <f aca="false">IF(OR($C72="",$B$2="",$D$2=0),0,IF(AN$3&lt;0,0,N(INDEX('CURVA PREVISION'!$A$1:$KZ$3000,$C72,11+3*MIN(AN$3,$D$2-1)))))</f>
        <v>0</v>
      </c>
      <c r="AO72" s="131" t="n">
        <f aca="false">IF(OR($C72="",$B$2="",$D$2=0),0,IF(AO$3&lt;0,0,N(INDEX('CURVA PREVISION'!$A$1:$KZ$3000,$C72,11+3*MIN(AO$3,$D$2-1)))))</f>
        <v>0</v>
      </c>
      <c r="AP72" s="131" t="n">
        <f aca="false">IF(OR($C72="",$B$2="",$D$2=0),0,IF(AP$3&lt;0,0,N(INDEX('CURVA PREVISION'!$A$1:$KZ$3000,$C72,11+3*MIN(AP$3,$D$2-1)))))</f>
        <v>0</v>
      </c>
      <c r="AQ72" s="131" t="n">
        <f aca="false">IF(OR($C72="",$B$2="",$D$2=0),0,IF(AQ$3&lt;0,0,N(INDEX('CURVA PREVISION'!$A$1:$KZ$3000,$C72,11+3*MIN(AQ$3,$D$2-1)))))</f>
        <v>0</v>
      </c>
      <c r="AR72" s="131" t="n">
        <f aca="false">IF(OR($C72="",$B$2="",$D$2=0),0,IF(AR$3&lt;0,0,N(INDEX('CURVA PREVISION'!$A$1:$KZ$3000,$C72,11+3*MIN(AR$3,$D$2-1)))))</f>
        <v>0</v>
      </c>
      <c r="AS72" s="131" t="n">
        <f aca="false">IF(OR($C72="",$B$2="",$D$2=0),0,IF(AS$3&lt;0,0,N(INDEX('CURVA PREVISION'!$A$1:$KZ$3000,$C72,11+3*MIN(AS$3,$D$2-1)))))</f>
        <v>0</v>
      </c>
      <c r="AT72" s="131" t="n">
        <f aca="false">IF(OR($C72="",$B$2="",$D$2=0),0,IF(AT$3&lt;0,0,N(INDEX('CURVA PREVISION'!$A$1:$KZ$3000,$C72,11+3*MIN(AT$3,$D$2-1)))))</f>
        <v>0</v>
      </c>
      <c r="AU72" s="131" t="n">
        <f aca="false">IF(OR($C72="",$B$2="",$D$2=0),0,IF(AU$3&lt;0,0,N(INDEX('CURVA PREVISION'!$A$1:$KZ$3000,$C72,11+3*MIN(AU$3,$D$2-1)))))</f>
        <v>0</v>
      </c>
      <c r="AV72" s="131" t="n">
        <f aca="false">IF(OR($C72="",$B$2="",$D$2=0),0,IF(AV$3&lt;0,0,N(INDEX('CURVA PREVISION'!$A$1:$KZ$3000,$C72,11+3*MIN(AV$3,$D$2-1)))))</f>
        <v>0</v>
      </c>
      <c r="AW72" s="131" t="n">
        <f aca="false">IF(OR($C72="",$B$2="",$D$2=0),0,IF(AW$3&lt;0,0,N(INDEX('CURVA PREVISION'!$A$1:$KZ$3000,$C72,11+3*MIN(AW$3,$D$2-1)))))</f>
        <v>0</v>
      </c>
      <c r="AX72" s="131" t="n">
        <f aca="false">IF(OR($C72="",$B$2="",$D$2=0),0,IF(AX$3&lt;0,0,N(INDEX('CURVA PREVISION'!$A$1:$KZ$3000,$C72,11+3*MIN(AX$3,$D$2-1)))))</f>
        <v>0</v>
      </c>
      <c r="AY72" s="131" t="n">
        <f aca="false">IF(OR($C72="",$B$2="",$D$2=0),0,IF(AY$3&lt;0,0,N(INDEX('CURVA PREVISION'!$A$1:$KZ$3000,$C72,11+3*MIN(AY$3,$D$2-1)))))</f>
        <v>0</v>
      </c>
      <c r="AZ72" s="131" t="n">
        <f aca="false">IF(OR($C72="",$B$2="",$D$2=0),0,IF(AZ$3&lt;0,0,N(INDEX('CURVA PREVISION'!$A$1:$KZ$3000,$C72,11+3*MIN(AZ$3,$D$2-1)))))</f>
        <v>0</v>
      </c>
      <c r="BA72" s="131" t="n">
        <f aca="false">IF(OR($C72="",$B$2="",$D$2=0),0,IF(BA$3&lt;0,0,N(INDEX('CURVA PREVISION'!$A$1:$KZ$3000,$C72,11+3*MIN(BA$3,$D$2-1)))))</f>
        <v>0</v>
      </c>
      <c r="BB72" s="131" t="n">
        <f aca="false">IF(OR($C72="",$B$2="",$D$2=0),0,IF(BB$3&lt;0,0,N(INDEX('CURVA PREVISION'!$A$1:$KZ$3000,$C72,11+3*MIN(BB$3,$D$2-1)))))</f>
        <v>0</v>
      </c>
      <c r="BC72" s="131" t="n">
        <f aca="false">IF(OR($C72="",$B$2="",$D$2=0),0,IF(BC$3&lt;0,0,N(INDEX('CURVA PREVISION'!$A$1:$KZ$3000,$C72,11+3*MIN(BC$3,$D$2-1)))))</f>
        <v>0</v>
      </c>
      <c r="BD72" s="131" t="n">
        <f aca="false">IF(OR($C72="",$B$2="",$D$2=0),0,IF(BD$3&lt;0,0,N(INDEX('CURVA PREVISION'!$A$1:$KZ$3000,$C72,11+3*MIN(BD$3,$D$2-1)))))</f>
        <v>0</v>
      </c>
      <c r="BE72" s="131" t="n">
        <f aca="false">IF(OR($C72="",$B$2="",$D$2=0),0,IF(BE$3&lt;0,0,N(INDEX('CURVA PREVISION'!$A$1:$KZ$3000,$C72,11+3*MIN(BE$3,$D$2-1)))))</f>
        <v>0</v>
      </c>
      <c r="BF72" s="131" t="n">
        <f aca="false">IF(OR($C72="",$B$2="",$D$2=0),0,IF(BF$3&lt;0,0,N(INDEX('CURVA PREVISION'!$A$1:$KZ$3000,$C72,11+3*MIN(BF$3,$D$2-1)))))</f>
        <v>0</v>
      </c>
      <c r="BG72" s="131" t="n">
        <f aca="false">IF(OR($C72="",$B$2="",$D$2=0),0,IF(BG$3&lt;0,0,N(INDEX('CURVA PREVISION'!$A$1:$KZ$3000,$C72,11+3*MIN(BG$3,$D$2-1)))))</f>
        <v>0</v>
      </c>
      <c r="BH72" s="131" t="n">
        <f aca="false">IF(OR($C72="",$B$2="",$D$2=0),0,IF(BH$3&lt;0,0,N(INDEX('CURVA PREVISION'!$A$1:$KZ$3000,$C72,11+3*MIN(BH$3,$D$2-1)))))</f>
        <v>0</v>
      </c>
      <c r="BI72" s="131" t="n">
        <f aca="false">IF(OR($C72="",$B$2="",$D$2=0),0,IF(BI$3&lt;0,0,N(INDEX('CURVA PREVISION'!$A$1:$KZ$3000,$C72,11+3*MIN(BI$3,$D$2-1)))))</f>
        <v>0</v>
      </c>
      <c r="BJ72" s="131" t="n">
        <f aca="false">IF(OR($C72="",$B$2="",$D$2=0),0,IF(BJ$3&lt;0,0,N(INDEX('CURVA PREVISION'!$A$1:$KZ$3000,$C72,11+3*MIN(BJ$3,$D$2-1)))))</f>
        <v>0</v>
      </c>
      <c r="BK72" s="131" t="n">
        <f aca="false">IF(OR($C72="",$B$2="",$D$2=0),0,IF(BK$3&lt;0,0,N(INDEX('CURVA PREVISION'!$A$1:$KZ$3000,$C72,11+3*MIN(BK$3,$D$2-1)))))</f>
        <v>0</v>
      </c>
      <c r="BL72" s="131" t="n">
        <f aca="false">IF(OR($C72="",$B$2="",$D$2=0),0,IF(BL$3&lt;0,0,N(INDEX('CURVA PREVISION'!$A$1:$KZ$3000,$C72,11+3*MIN(BL$3,$D$2-1)))))</f>
        <v>0</v>
      </c>
      <c r="BM72" s="131" t="n">
        <f aca="false">IF(OR($C72="",$B$2="",$D$2=0),0,IF(BM$3&lt;0,0,N(INDEX('CURVA PREVISION'!$A$1:$KZ$3000,$C72,11+3*MIN(BM$3,$D$2-1)))))</f>
        <v>0</v>
      </c>
      <c r="BN72" s="131" t="n">
        <f aca="false">IF(OR($C72="",$B$2="",$D$2=0),0,IF(BN$3&lt;0,0,N(INDEX('CURVA PREVISION'!$A$1:$KZ$3000,$C72,11+3*MIN(BN$3,$D$2-1)))))</f>
        <v>0</v>
      </c>
      <c r="BO72" s="131" t="n">
        <f aca="false">IF(OR($C72="",$B$2="",$D$2=0),0,IF(BO$3&lt;0,0,N(INDEX('CURVA PREVISION'!$A$1:$KZ$3000,$C72,11+3*MIN(BO$3,$D$2-1)))))</f>
        <v>0</v>
      </c>
      <c r="BP72" s="131" t="n">
        <f aca="false">IF(OR($C72="",$B$2="",$D$2=0),0,IF(BP$3&lt;0,0,N(INDEX('CURVA PREVISION'!$A$1:$KZ$3000,$C72,11+3*MIN(BP$3,$D$2-1)))))</f>
        <v>0</v>
      </c>
      <c r="BQ72" s="131" t="n">
        <f aca="false">IF(OR($C72="",$B$2="",$D$2=0),0,IF(BQ$3&lt;0,0,N(INDEX('CURVA PREVISION'!$A$1:$KZ$3000,$C72,11+3*MIN(BQ$3,$D$2-1)))))</f>
        <v>0</v>
      </c>
      <c r="BR72" s="131" t="n">
        <f aca="false">IF(OR($C72="",$B$2="",$D$2=0),0,IF(BR$3&lt;0,0,N(INDEX('CURVA PREVISION'!$A$1:$KZ$3000,$C72,11+3*MIN(BR$3,$D$2-1)))))</f>
        <v>0</v>
      </c>
      <c r="BS72" s="131" t="n">
        <f aca="false">IF(OR($C72="",$B$2="",$D$2=0),0,IF(BS$3&lt;0,0,N(INDEX('CURVA PREVISION'!$A$1:$KZ$3000,$C72,11+3*MIN(BS$3,$D$2-1)))))</f>
        <v>0</v>
      </c>
      <c r="BT72" s="131" t="n">
        <f aca="false">IF(OR($C72="",$B$2="",$D$2=0),0,IF(BT$3&lt;0,0,N(INDEX('CURVA PREVISION'!$A$1:$KZ$3000,$C72,11+3*MIN(BT$3,$D$2-1)))))</f>
        <v>0</v>
      </c>
      <c r="BU72" s="131" t="n">
        <f aca="false">IF(OR($C72="",$B$2="",$D$2=0),0,IF(BU$3&lt;0,0,N(INDEX('CURVA PREVISION'!$A$1:$KZ$3000,$C72,11+3*MIN(BU$3,$D$2-1)))))</f>
        <v>0</v>
      </c>
      <c r="BV72" s="131" t="n">
        <f aca="false">IF(OR($C72="",$B$2="",$D$2=0),0,IF(BV$3&lt;0,0,N(INDEX('CURVA PREVISION'!$A$1:$KZ$3000,$C72,11+3*MIN(BV$3,$D$2-1)))))</f>
        <v>0</v>
      </c>
      <c r="BW72" s="131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27</v>
      </c>
      <c r="B73" s="47" t="str">
        <f aca="false">B31</f>
        <v>MARCENARIA</v>
      </c>
      <c r="C73" s="64" t="n">
        <f aca="false">IFERROR(MATCH(A73,'CURVA PREVISION'!$B$1:$B$3000,0),"")</f>
        <v>765</v>
      </c>
      <c r="D73" s="131" t="n">
        <f aca="false">IF(OR($C73="",$B$2="",$D$2=0),0,IF(D$3&lt;0,0,N(INDEX('CURVA PREVISION'!$A$1:$KZ$3000,$C73,11+3*MIN(D$3,$D$2-1)))))</f>
        <v>0</v>
      </c>
      <c r="E73" s="131" t="n">
        <f aca="false">IF(OR($C73="",$B$2="",$D$2=0),0,IF(E$3&lt;0,0,N(INDEX('CURVA PREVISION'!$A$1:$KZ$3000,$C73,11+3*MIN(E$3,$D$2-1)))))</f>
        <v>0</v>
      </c>
      <c r="F73" s="131" t="n">
        <f aca="false">IF(OR($C73="",$B$2="",$D$2=0),0,IF(F$3&lt;0,0,N(INDEX('CURVA PREVISION'!$A$1:$KZ$3000,$C73,11+3*MIN(F$3,$D$2-1)))))</f>
        <v>0</v>
      </c>
      <c r="G73" s="131" t="n">
        <f aca="false">IF(OR($C73="",$B$2="",$D$2=0),0,IF(G$3&lt;0,0,N(INDEX('CURVA PREVISION'!$A$1:$KZ$3000,$C73,11+3*MIN(G$3,$D$2-1)))))</f>
        <v>0</v>
      </c>
      <c r="H73" s="131" t="n">
        <f aca="false">IF(OR($C73="",$B$2="",$D$2=0),0,IF(H$3&lt;0,0,N(INDEX('CURVA PREVISION'!$A$1:$KZ$3000,$C73,11+3*MIN(H$3,$D$2-1)))))</f>
        <v>0</v>
      </c>
      <c r="I73" s="131" t="n">
        <f aca="false">IF(OR($C73="",$B$2="",$D$2=0),0,IF(I$3&lt;0,0,N(INDEX('CURVA PREVISION'!$A$1:$KZ$3000,$C73,11+3*MIN(I$3,$D$2-1)))))</f>
        <v>0</v>
      </c>
      <c r="J73" s="131" t="n">
        <f aca="false">IF(OR($C73="",$B$2="",$D$2=0),0,IF(J$3&lt;0,0,N(INDEX('CURVA PREVISION'!$A$1:$KZ$3000,$C73,11+3*MIN(J$3,$D$2-1)))))</f>
        <v>0</v>
      </c>
      <c r="K73" s="131" t="n">
        <f aca="false">IF(OR($C73="",$B$2="",$D$2=0),0,IF(K$3&lt;0,0,N(INDEX('CURVA PREVISION'!$A$1:$KZ$3000,$C73,11+3*MIN(K$3,$D$2-1)))))</f>
        <v>0</v>
      </c>
      <c r="L73" s="131" t="n">
        <f aca="false">IF(OR($C73="",$B$2="",$D$2=0),0,IF(L$3&lt;0,0,N(INDEX('CURVA PREVISION'!$A$1:$KZ$3000,$C73,11+3*MIN(L$3,$D$2-1)))))</f>
        <v>0</v>
      </c>
      <c r="M73" s="131" t="n">
        <f aca="false">IF(OR($C73="",$B$2="",$D$2=0),0,IF(M$3&lt;0,0,N(INDEX('CURVA PREVISION'!$A$1:$KZ$3000,$C73,11+3*MIN(M$3,$D$2-1)))))</f>
        <v>0</v>
      </c>
      <c r="N73" s="131" t="n">
        <f aca="false">IF(OR($C73="",$B$2="",$D$2=0),0,IF(N$3&lt;0,0,N(INDEX('CURVA PREVISION'!$A$1:$KZ$3000,$C73,11+3*MIN(N$3,$D$2-1)))))</f>
        <v>0</v>
      </c>
      <c r="O73" s="131" t="n">
        <f aca="false">IF(OR($C73="",$B$2="",$D$2=0),0,IF(O$3&lt;0,0,N(INDEX('CURVA PREVISION'!$A$1:$KZ$3000,$C73,11+3*MIN(O$3,$D$2-1)))))</f>
        <v>0</v>
      </c>
      <c r="P73" s="131" t="n">
        <f aca="false">IF(OR($C73="",$B$2="",$D$2=0),0,IF(P$3&lt;0,0,N(INDEX('CURVA PREVISION'!$A$1:$KZ$3000,$C73,11+3*MIN(P$3,$D$2-1)))))</f>
        <v>0</v>
      </c>
      <c r="Q73" s="131" t="n">
        <f aca="false">IF(OR($C73="",$B$2="",$D$2=0),0,IF(Q$3&lt;0,0,N(INDEX('CURVA PREVISION'!$A$1:$KZ$3000,$C73,11+3*MIN(Q$3,$D$2-1)))))</f>
        <v>0</v>
      </c>
      <c r="R73" s="131" t="n">
        <f aca="false">IF(OR($C73="",$B$2="",$D$2=0),0,IF(R$3&lt;0,0,N(INDEX('CURVA PREVISION'!$A$1:$KZ$3000,$C73,11+3*MIN(R$3,$D$2-1)))))</f>
        <v>0</v>
      </c>
      <c r="S73" s="131" t="n">
        <f aca="false">IF(OR($C73="",$B$2="",$D$2=0),0,IF(S$3&lt;0,0,N(INDEX('CURVA PREVISION'!$A$1:$KZ$3000,$C73,11+3*MIN(S$3,$D$2-1)))))</f>
        <v>0</v>
      </c>
      <c r="T73" s="131" t="n">
        <f aca="false">IF(OR($C73="",$B$2="",$D$2=0),0,IF(T$3&lt;0,0,N(INDEX('CURVA PREVISION'!$A$1:$KZ$3000,$C73,11+3*MIN(T$3,$D$2-1)))))</f>
        <v>0</v>
      </c>
      <c r="U73" s="131" t="n">
        <f aca="false">IF(OR($C73="",$B$2="",$D$2=0),0,IF(U$3&lt;0,0,N(INDEX('CURVA PREVISION'!$A$1:$KZ$3000,$C73,11+3*MIN(U$3,$D$2-1)))))</f>
        <v>0</v>
      </c>
      <c r="V73" s="131" t="n">
        <f aca="false">IF(OR($C73="",$B$2="",$D$2=0),0,IF(V$3&lt;0,0,N(INDEX('CURVA PREVISION'!$A$1:$KZ$3000,$C73,11+3*MIN(V$3,$D$2-1)))))</f>
        <v>0</v>
      </c>
      <c r="W73" s="131" t="n">
        <f aca="false">IF(OR($C73="",$B$2="",$D$2=0),0,IF(W$3&lt;0,0,N(INDEX('CURVA PREVISION'!$A$1:$KZ$3000,$C73,11+3*MIN(W$3,$D$2-1)))))</f>
        <v>0</v>
      </c>
      <c r="X73" s="131" t="n">
        <f aca="false">IF(OR($C73="",$B$2="",$D$2=0),0,IF(X$3&lt;0,0,N(INDEX('CURVA PREVISION'!$A$1:$KZ$3000,$C73,11+3*MIN(X$3,$D$2-1)))))</f>
        <v>0</v>
      </c>
      <c r="Y73" s="131" t="n">
        <f aca="false">IF(OR($C73="",$B$2="",$D$2=0),0,IF(Y$3&lt;0,0,N(INDEX('CURVA PREVISION'!$A$1:$KZ$3000,$C73,11+3*MIN(Y$3,$D$2-1)))))</f>
        <v>0</v>
      </c>
      <c r="Z73" s="131" t="n">
        <f aca="false">IF(OR($C73="",$B$2="",$D$2=0),0,IF(Z$3&lt;0,0,N(INDEX('CURVA PREVISION'!$A$1:$KZ$3000,$C73,11+3*MIN(Z$3,$D$2-1)))))</f>
        <v>0</v>
      </c>
      <c r="AA73" s="131" t="n">
        <f aca="false">IF(OR($C73="",$B$2="",$D$2=0),0,IF(AA$3&lt;0,0,N(INDEX('CURVA PREVISION'!$A$1:$KZ$3000,$C73,11+3*MIN(AA$3,$D$2-1)))))</f>
        <v>0</v>
      </c>
      <c r="AB73" s="131" t="n">
        <f aca="false">IF(OR($C73="",$B$2="",$D$2=0),0,IF(AB$3&lt;0,0,N(INDEX('CURVA PREVISION'!$A$1:$KZ$3000,$C73,11+3*MIN(AB$3,$D$2-1)))))</f>
        <v>0</v>
      </c>
      <c r="AC73" s="131" t="n">
        <f aca="false">IF(OR($C73="",$B$2="",$D$2=0),0,IF(AC$3&lt;0,0,N(INDEX('CURVA PREVISION'!$A$1:$KZ$3000,$C73,11+3*MIN(AC$3,$D$2-1)))))</f>
        <v>0</v>
      </c>
      <c r="AD73" s="131" t="n">
        <f aca="false">IF(OR($C73="",$B$2="",$D$2=0),0,IF(AD$3&lt;0,0,N(INDEX('CURVA PREVISION'!$A$1:$KZ$3000,$C73,11+3*MIN(AD$3,$D$2-1)))))</f>
        <v>0</v>
      </c>
      <c r="AE73" s="131" t="n">
        <f aca="false">IF(OR($C73="",$B$2="",$D$2=0),0,IF(AE$3&lt;0,0,N(INDEX('CURVA PREVISION'!$A$1:$KZ$3000,$C73,11+3*MIN(AE$3,$D$2-1)))))</f>
        <v>0</v>
      </c>
      <c r="AF73" s="131" t="n">
        <f aca="false">IF(OR($C73="",$B$2="",$D$2=0),0,IF(AF$3&lt;0,0,N(INDEX('CURVA PREVISION'!$A$1:$KZ$3000,$C73,11+3*MIN(AF$3,$D$2-1)))))</f>
        <v>0</v>
      </c>
      <c r="AG73" s="131" t="n">
        <f aca="false">IF(OR($C73="",$B$2="",$D$2=0),0,IF(AG$3&lt;0,0,N(INDEX('CURVA PREVISION'!$A$1:$KZ$3000,$C73,11+3*MIN(AG$3,$D$2-1)))))</f>
        <v>0</v>
      </c>
      <c r="AH73" s="131" t="n">
        <f aca="false">IF(OR($C73="",$B$2="",$D$2=0),0,IF(AH$3&lt;0,0,N(INDEX('CURVA PREVISION'!$A$1:$KZ$3000,$C73,11+3*MIN(AH$3,$D$2-1)))))</f>
        <v>0</v>
      </c>
      <c r="AI73" s="131" t="n">
        <f aca="false">IF(OR($C73="",$B$2="",$D$2=0),0,IF(AI$3&lt;0,0,N(INDEX('CURVA PREVISION'!$A$1:$KZ$3000,$C73,11+3*MIN(AI$3,$D$2-1)))))</f>
        <v>0</v>
      </c>
      <c r="AJ73" s="131" t="n">
        <f aca="false">IF(OR($C73="",$B$2="",$D$2=0),0,IF(AJ$3&lt;0,0,N(INDEX('CURVA PREVISION'!$A$1:$KZ$3000,$C73,11+3*MIN(AJ$3,$D$2-1)))))</f>
        <v>0</v>
      </c>
      <c r="AK73" s="131" t="n">
        <f aca="false">IF(OR($C73="",$B$2="",$D$2=0),0,IF(AK$3&lt;0,0,N(INDEX('CURVA PREVISION'!$A$1:$KZ$3000,$C73,11+3*MIN(AK$3,$D$2-1)))))</f>
        <v>0</v>
      </c>
      <c r="AL73" s="131" t="n">
        <f aca="false">IF(OR($C73="",$B$2="",$D$2=0),0,IF(AL$3&lt;0,0,N(INDEX('CURVA PREVISION'!$A$1:$KZ$3000,$C73,11+3*MIN(AL$3,$D$2-1)))))</f>
        <v>0</v>
      </c>
      <c r="AM73" s="131" t="n">
        <f aca="false">IF(OR($C73="",$B$2="",$D$2=0),0,IF(AM$3&lt;0,0,N(INDEX('CURVA PREVISION'!$A$1:$KZ$3000,$C73,11+3*MIN(AM$3,$D$2-1)))))</f>
        <v>0</v>
      </c>
      <c r="AN73" s="131" t="n">
        <f aca="false">IF(OR($C73="",$B$2="",$D$2=0),0,IF(AN$3&lt;0,0,N(INDEX('CURVA PREVISION'!$A$1:$KZ$3000,$C73,11+3*MIN(AN$3,$D$2-1)))))</f>
        <v>0</v>
      </c>
      <c r="AO73" s="131" t="n">
        <f aca="false">IF(OR($C73="",$B$2="",$D$2=0),0,IF(AO$3&lt;0,0,N(INDEX('CURVA PREVISION'!$A$1:$KZ$3000,$C73,11+3*MIN(AO$3,$D$2-1)))))</f>
        <v>0</v>
      </c>
      <c r="AP73" s="131" t="n">
        <f aca="false">IF(OR($C73="",$B$2="",$D$2=0),0,IF(AP$3&lt;0,0,N(INDEX('CURVA PREVISION'!$A$1:$KZ$3000,$C73,11+3*MIN(AP$3,$D$2-1)))))</f>
        <v>0</v>
      </c>
      <c r="AQ73" s="131" t="n">
        <f aca="false">IF(OR($C73="",$B$2="",$D$2=0),0,IF(AQ$3&lt;0,0,N(INDEX('CURVA PREVISION'!$A$1:$KZ$3000,$C73,11+3*MIN(AQ$3,$D$2-1)))))</f>
        <v>0</v>
      </c>
      <c r="AR73" s="131" t="n">
        <f aca="false">IF(OR($C73="",$B$2="",$D$2=0),0,IF(AR$3&lt;0,0,N(INDEX('CURVA PREVISION'!$A$1:$KZ$3000,$C73,11+3*MIN(AR$3,$D$2-1)))))</f>
        <v>0</v>
      </c>
      <c r="AS73" s="131" t="n">
        <f aca="false">IF(OR($C73="",$B$2="",$D$2=0),0,IF(AS$3&lt;0,0,N(INDEX('CURVA PREVISION'!$A$1:$KZ$3000,$C73,11+3*MIN(AS$3,$D$2-1)))))</f>
        <v>0</v>
      </c>
      <c r="AT73" s="131" t="n">
        <f aca="false">IF(OR($C73="",$B$2="",$D$2=0),0,IF(AT$3&lt;0,0,N(INDEX('CURVA PREVISION'!$A$1:$KZ$3000,$C73,11+3*MIN(AT$3,$D$2-1)))))</f>
        <v>0</v>
      </c>
      <c r="AU73" s="131" t="n">
        <f aca="false">IF(OR($C73="",$B$2="",$D$2=0),0,IF(AU$3&lt;0,0,N(INDEX('CURVA PREVISION'!$A$1:$KZ$3000,$C73,11+3*MIN(AU$3,$D$2-1)))))</f>
        <v>0</v>
      </c>
      <c r="AV73" s="131" t="n">
        <f aca="false">IF(OR($C73="",$B$2="",$D$2=0),0,IF(AV$3&lt;0,0,N(INDEX('CURVA PREVISION'!$A$1:$KZ$3000,$C73,11+3*MIN(AV$3,$D$2-1)))))</f>
        <v>0</v>
      </c>
      <c r="AW73" s="131" t="n">
        <f aca="false">IF(OR($C73="",$B$2="",$D$2=0),0,IF(AW$3&lt;0,0,N(INDEX('CURVA PREVISION'!$A$1:$KZ$3000,$C73,11+3*MIN(AW$3,$D$2-1)))))</f>
        <v>0</v>
      </c>
      <c r="AX73" s="131" t="n">
        <f aca="false">IF(OR($C73="",$B$2="",$D$2=0),0,IF(AX$3&lt;0,0,N(INDEX('CURVA PREVISION'!$A$1:$KZ$3000,$C73,11+3*MIN(AX$3,$D$2-1)))))</f>
        <v>0</v>
      </c>
      <c r="AY73" s="131" t="n">
        <f aca="false">IF(OR($C73="",$B$2="",$D$2=0),0,IF(AY$3&lt;0,0,N(INDEX('CURVA PREVISION'!$A$1:$KZ$3000,$C73,11+3*MIN(AY$3,$D$2-1)))))</f>
        <v>0</v>
      </c>
      <c r="AZ73" s="131" t="n">
        <f aca="false">IF(OR($C73="",$B$2="",$D$2=0),0,IF(AZ$3&lt;0,0,N(INDEX('CURVA PREVISION'!$A$1:$KZ$3000,$C73,11+3*MIN(AZ$3,$D$2-1)))))</f>
        <v>0</v>
      </c>
      <c r="BA73" s="131" t="n">
        <f aca="false">IF(OR($C73="",$B$2="",$D$2=0),0,IF(BA$3&lt;0,0,N(INDEX('CURVA PREVISION'!$A$1:$KZ$3000,$C73,11+3*MIN(BA$3,$D$2-1)))))</f>
        <v>0</v>
      </c>
      <c r="BB73" s="131" t="n">
        <f aca="false">IF(OR($C73="",$B$2="",$D$2=0),0,IF(BB$3&lt;0,0,N(INDEX('CURVA PREVISION'!$A$1:$KZ$3000,$C73,11+3*MIN(BB$3,$D$2-1)))))</f>
        <v>0</v>
      </c>
      <c r="BC73" s="131" t="n">
        <f aca="false">IF(OR($C73="",$B$2="",$D$2=0),0,IF(BC$3&lt;0,0,N(INDEX('CURVA PREVISION'!$A$1:$KZ$3000,$C73,11+3*MIN(BC$3,$D$2-1)))))</f>
        <v>0</v>
      </c>
      <c r="BD73" s="131" t="n">
        <f aca="false">IF(OR($C73="",$B$2="",$D$2=0),0,IF(BD$3&lt;0,0,N(INDEX('CURVA PREVISION'!$A$1:$KZ$3000,$C73,11+3*MIN(BD$3,$D$2-1)))))</f>
        <v>0</v>
      </c>
      <c r="BE73" s="131" t="n">
        <f aca="false">IF(OR($C73="",$B$2="",$D$2=0),0,IF(BE$3&lt;0,0,N(INDEX('CURVA PREVISION'!$A$1:$KZ$3000,$C73,11+3*MIN(BE$3,$D$2-1)))))</f>
        <v>0</v>
      </c>
      <c r="BF73" s="131" t="n">
        <f aca="false">IF(OR($C73="",$B$2="",$D$2=0),0,IF(BF$3&lt;0,0,N(INDEX('CURVA PREVISION'!$A$1:$KZ$3000,$C73,11+3*MIN(BF$3,$D$2-1)))))</f>
        <v>0</v>
      </c>
      <c r="BG73" s="131" t="n">
        <f aca="false">IF(OR($C73="",$B$2="",$D$2=0),0,IF(BG$3&lt;0,0,N(INDEX('CURVA PREVISION'!$A$1:$KZ$3000,$C73,11+3*MIN(BG$3,$D$2-1)))))</f>
        <v>0</v>
      </c>
      <c r="BH73" s="131" t="n">
        <f aca="false">IF(OR($C73="",$B$2="",$D$2=0),0,IF(BH$3&lt;0,0,N(INDEX('CURVA PREVISION'!$A$1:$KZ$3000,$C73,11+3*MIN(BH$3,$D$2-1)))))</f>
        <v>0</v>
      </c>
      <c r="BI73" s="131" t="n">
        <f aca="false">IF(OR($C73="",$B$2="",$D$2=0),0,IF(BI$3&lt;0,0,N(INDEX('CURVA PREVISION'!$A$1:$KZ$3000,$C73,11+3*MIN(BI$3,$D$2-1)))))</f>
        <v>0</v>
      </c>
      <c r="BJ73" s="131" t="n">
        <f aca="false">IF(OR($C73="",$B$2="",$D$2=0),0,IF(BJ$3&lt;0,0,N(INDEX('CURVA PREVISION'!$A$1:$KZ$3000,$C73,11+3*MIN(BJ$3,$D$2-1)))))</f>
        <v>0</v>
      </c>
      <c r="BK73" s="131" t="n">
        <f aca="false">IF(OR($C73="",$B$2="",$D$2=0),0,IF(BK$3&lt;0,0,N(INDEX('CURVA PREVISION'!$A$1:$KZ$3000,$C73,11+3*MIN(BK$3,$D$2-1)))))</f>
        <v>0</v>
      </c>
      <c r="BL73" s="131" t="n">
        <f aca="false">IF(OR($C73="",$B$2="",$D$2=0),0,IF(BL$3&lt;0,0,N(INDEX('CURVA PREVISION'!$A$1:$KZ$3000,$C73,11+3*MIN(BL$3,$D$2-1)))))</f>
        <v>0</v>
      </c>
      <c r="BM73" s="131" t="n">
        <f aca="false">IF(OR($C73="",$B$2="",$D$2=0),0,IF(BM$3&lt;0,0,N(INDEX('CURVA PREVISION'!$A$1:$KZ$3000,$C73,11+3*MIN(BM$3,$D$2-1)))))</f>
        <v>0</v>
      </c>
      <c r="BN73" s="131" t="n">
        <f aca="false">IF(OR($C73="",$B$2="",$D$2=0),0,IF(BN$3&lt;0,0,N(INDEX('CURVA PREVISION'!$A$1:$KZ$3000,$C73,11+3*MIN(BN$3,$D$2-1)))))</f>
        <v>0</v>
      </c>
      <c r="BO73" s="131" t="n">
        <f aca="false">IF(OR($C73="",$B$2="",$D$2=0),0,IF(BO$3&lt;0,0,N(INDEX('CURVA PREVISION'!$A$1:$KZ$3000,$C73,11+3*MIN(BO$3,$D$2-1)))))</f>
        <v>0</v>
      </c>
      <c r="BP73" s="131" t="n">
        <f aca="false">IF(OR($C73="",$B$2="",$D$2=0),0,IF(BP$3&lt;0,0,N(INDEX('CURVA PREVISION'!$A$1:$KZ$3000,$C73,11+3*MIN(BP$3,$D$2-1)))))</f>
        <v>0</v>
      </c>
      <c r="BQ73" s="131" t="n">
        <f aca="false">IF(OR($C73="",$B$2="",$D$2=0),0,IF(BQ$3&lt;0,0,N(INDEX('CURVA PREVISION'!$A$1:$KZ$3000,$C73,11+3*MIN(BQ$3,$D$2-1)))))</f>
        <v>0</v>
      </c>
      <c r="BR73" s="131" t="n">
        <f aca="false">IF(OR($C73="",$B$2="",$D$2=0),0,IF(BR$3&lt;0,0,N(INDEX('CURVA PREVISION'!$A$1:$KZ$3000,$C73,11+3*MIN(BR$3,$D$2-1)))))</f>
        <v>0</v>
      </c>
      <c r="BS73" s="131" t="n">
        <f aca="false">IF(OR($C73="",$B$2="",$D$2=0),0,IF(BS$3&lt;0,0,N(INDEX('CURVA PREVISION'!$A$1:$KZ$3000,$C73,11+3*MIN(BS$3,$D$2-1)))))</f>
        <v>0</v>
      </c>
      <c r="BT73" s="131" t="n">
        <f aca="false">IF(OR($C73="",$B$2="",$D$2=0),0,IF(BT$3&lt;0,0,N(INDEX('CURVA PREVISION'!$A$1:$KZ$3000,$C73,11+3*MIN(BT$3,$D$2-1)))))</f>
        <v>0</v>
      </c>
      <c r="BU73" s="131" t="n">
        <f aca="false">IF(OR($C73="",$B$2="",$D$2=0),0,IF(BU$3&lt;0,0,N(INDEX('CURVA PREVISION'!$A$1:$KZ$3000,$C73,11+3*MIN(BU$3,$D$2-1)))))</f>
        <v>0</v>
      </c>
      <c r="BV73" s="131" t="n">
        <f aca="false">IF(OR($C73="",$B$2="",$D$2=0),0,IF(BV$3&lt;0,0,N(INDEX('CURVA PREVISION'!$A$1:$KZ$3000,$C73,11+3*MIN(BV$3,$D$2-1)))))</f>
        <v>0</v>
      </c>
      <c r="BW73" s="131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28</v>
      </c>
      <c r="B74" s="47" t="str">
        <f aca="false">B32</f>
        <v>REVESTIMENTOS DE MASSA EM PISOS</v>
      </c>
      <c r="C74" s="64" t="n">
        <f aca="false">IFERROR(MATCH(A74,'CURVA PREVISION'!$B$1:$B$3000,0),"")</f>
        <v>794</v>
      </c>
      <c r="D74" s="131" t="n">
        <f aca="false">IF(OR($C74="",$B$2="",$D$2=0),0,IF(D$3&lt;0,0,N(INDEX('CURVA PREVISION'!$A$1:$KZ$3000,$C74,11+3*MIN(D$3,$D$2-1)))))</f>
        <v>0</v>
      </c>
      <c r="E74" s="131" t="n">
        <f aca="false">IF(OR($C74="",$B$2="",$D$2=0),0,IF(E$3&lt;0,0,N(INDEX('CURVA PREVISION'!$A$1:$KZ$3000,$C74,11+3*MIN(E$3,$D$2-1)))))</f>
        <v>0</v>
      </c>
      <c r="F74" s="131" t="n">
        <f aca="false">IF(OR($C74="",$B$2="",$D$2=0),0,IF(F$3&lt;0,0,N(INDEX('CURVA PREVISION'!$A$1:$KZ$3000,$C74,11+3*MIN(F$3,$D$2-1)))))</f>
        <v>0</v>
      </c>
      <c r="G74" s="131" t="n">
        <f aca="false">IF(OR($C74="",$B$2="",$D$2=0),0,IF(G$3&lt;0,0,N(INDEX('CURVA PREVISION'!$A$1:$KZ$3000,$C74,11+3*MIN(G$3,$D$2-1)))))</f>
        <v>0</v>
      </c>
      <c r="H74" s="131" t="n">
        <f aca="false">IF(OR($C74="",$B$2="",$D$2=0),0,IF(H$3&lt;0,0,N(INDEX('CURVA PREVISION'!$A$1:$KZ$3000,$C74,11+3*MIN(H$3,$D$2-1)))))</f>
        <v>0</v>
      </c>
      <c r="I74" s="131" t="n">
        <f aca="false">IF(OR($C74="",$B$2="",$D$2=0),0,IF(I$3&lt;0,0,N(INDEX('CURVA PREVISION'!$A$1:$KZ$3000,$C74,11+3*MIN(I$3,$D$2-1)))))</f>
        <v>0</v>
      </c>
      <c r="J74" s="131" t="n">
        <f aca="false">IF(OR($C74="",$B$2="",$D$2=0),0,IF(J$3&lt;0,0,N(INDEX('CURVA PREVISION'!$A$1:$KZ$3000,$C74,11+3*MIN(J$3,$D$2-1)))))</f>
        <v>0</v>
      </c>
      <c r="K74" s="131" t="n">
        <f aca="false">IF(OR($C74="",$B$2="",$D$2=0),0,IF(K$3&lt;0,0,N(INDEX('CURVA PREVISION'!$A$1:$KZ$3000,$C74,11+3*MIN(K$3,$D$2-1)))))</f>
        <v>0</v>
      </c>
      <c r="L74" s="131" t="n">
        <f aca="false">IF(OR($C74="",$B$2="",$D$2=0),0,IF(L$3&lt;0,0,N(INDEX('CURVA PREVISION'!$A$1:$KZ$3000,$C74,11+3*MIN(L$3,$D$2-1)))))</f>
        <v>0</v>
      </c>
      <c r="M74" s="131" t="n">
        <f aca="false">IF(OR($C74="",$B$2="",$D$2=0),0,IF(M$3&lt;0,0,N(INDEX('CURVA PREVISION'!$A$1:$KZ$3000,$C74,11+3*MIN(M$3,$D$2-1)))))</f>
        <v>0</v>
      </c>
      <c r="N74" s="131" t="n">
        <f aca="false">IF(OR($C74="",$B$2="",$D$2=0),0,IF(N$3&lt;0,0,N(INDEX('CURVA PREVISION'!$A$1:$KZ$3000,$C74,11+3*MIN(N$3,$D$2-1)))))</f>
        <v>0</v>
      </c>
      <c r="O74" s="131" t="n">
        <f aca="false">IF(OR($C74="",$B$2="",$D$2=0),0,IF(O$3&lt;0,0,N(INDEX('CURVA PREVISION'!$A$1:$KZ$3000,$C74,11+3*MIN(O$3,$D$2-1)))))</f>
        <v>0</v>
      </c>
      <c r="P74" s="131" t="n">
        <f aca="false">IF(OR($C74="",$B$2="",$D$2=0),0,IF(P$3&lt;0,0,N(INDEX('CURVA PREVISION'!$A$1:$KZ$3000,$C74,11+3*MIN(P$3,$D$2-1)))))</f>
        <v>0</v>
      </c>
      <c r="Q74" s="131" t="n">
        <f aca="false">IF(OR($C74="",$B$2="",$D$2=0),0,IF(Q$3&lt;0,0,N(INDEX('CURVA PREVISION'!$A$1:$KZ$3000,$C74,11+3*MIN(Q$3,$D$2-1)))))</f>
        <v>0</v>
      </c>
      <c r="R74" s="131" t="n">
        <f aca="false">IF(OR($C74="",$B$2="",$D$2=0),0,IF(R$3&lt;0,0,N(INDEX('CURVA PREVISION'!$A$1:$KZ$3000,$C74,11+3*MIN(R$3,$D$2-1)))))</f>
        <v>0</v>
      </c>
      <c r="S74" s="131" t="n">
        <f aca="false">IF(OR($C74="",$B$2="",$D$2=0),0,IF(S$3&lt;0,0,N(INDEX('CURVA PREVISION'!$A$1:$KZ$3000,$C74,11+3*MIN(S$3,$D$2-1)))))</f>
        <v>0</v>
      </c>
      <c r="T74" s="131" t="n">
        <f aca="false">IF(OR($C74="",$B$2="",$D$2=0),0,IF(T$3&lt;0,0,N(INDEX('CURVA PREVISION'!$A$1:$KZ$3000,$C74,11+3*MIN(T$3,$D$2-1)))))</f>
        <v>0</v>
      </c>
      <c r="U74" s="131" t="n">
        <f aca="false">IF(OR($C74="",$B$2="",$D$2=0),0,IF(U$3&lt;0,0,N(INDEX('CURVA PREVISION'!$A$1:$KZ$3000,$C74,11+3*MIN(U$3,$D$2-1)))))</f>
        <v>0</v>
      </c>
      <c r="V74" s="131" t="n">
        <f aca="false">IF(OR($C74="",$B$2="",$D$2=0),0,IF(V$3&lt;0,0,N(INDEX('CURVA PREVISION'!$A$1:$KZ$3000,$C74,11+3*MIN(V$3,$D$2-1)))))</f>
        <v>0</v>
      </c>
      <c r="W74" s="131" t="n">
        <f aca="false">IF(OR($C74="",$B$2="",$D$2=0),0,IF(W$3&lt;0,0,N(INDEX('CURVA PREVISION'!$A$1:$KZ$3000,$C74,11+3*MIN(W$3,$D$2-1)))))</f>
        <v>0.15</v>
      </c>
      <c r="X74" s="131" t="n">
        <f aca="false">IF(OR($C74="",$B$2="",$D$2=0),0,IF(X$3&lt;0,0,N(INDEX('CURVA PREVISION'!$A$1:$KZ$3000,$C74,11+3*MIN(X$3,$D$2-1)))))</f>
        <v>0.15</v>
      </c>
      <c r="Y74" s="131" t="n">
        <f aca="false">IF(OR($C74="",$B$2="",$D$2=0),0,IF(Y$3&lt;0,0,N(INDEX('CURVA PREVISION'!$A$1:$KZ$3000,$C74,11+3*MIN(Y$3,$D$2-1)))))</f>
        <v>0.15</v>
      </c>
      <c r="Z74" s="131" t="n">
        <f aca="false">IF(OR($C74="",$B$2="",$D$2=0),0,IF(Z$3&lt;0,0,N(INDEX('CURVA PREVISION'!$A$1:$KZ$3000,$C74,11+3*MIN(Z$3,$D$2-1)))))</f>
        <v>0.15</v>
      </c>
      <c r="AA74" s="131" t="n">
        <f aca="false">IF(OR($C74="",$B$2="",$D$2=0),0,IF(AA$3&lt;0,0,N(INDEX('CURVA PREVISION'!$A$1:$KZ$3000,$C74,11+3*MIN(AA$3,$D$2-1)))))</f>
        <v>0.15</v>
      </c>
      <c r="AB74" s="131" t="n">
        <f aca="false">IF(OR($C74="",$B$2="",$D$2=0),0,IF(AB$3&lt;0,0,N(INDEX('CURVA PREVISION'!$A$1:$KZ$3000,$C74,11+3*MIN(AB$3,$D$2-1)))))</f>
        <v>0.15</v>
      </c>
      <c r="AC74" s="131" t="n">
        <f aca="false">IF(OR($C74="",$B$2="",$D$2=0),0,IF(AC$3&lt;0,0,N(INDEX('CURVA PREVISION'!$A$1:$KZ$3000,$C74,11+3*MIN(AC$3,$D$2-1)))))</f>
        <v>0.15</v>
      </c>
      <c r="AD74" s="131" t="n">
        <f aca="false">IF(OR($C74="",$B$2="",$D$2=0),0,IF(AD$3&lt;0,0,N(INDEX('CURVA PREVISION'!$A$1:$KZ$3000,$C74,11+3*MIN(AD$3,$D$2-1)))))</f>
        <v>0.15</v>
      </c>
      <c r="AE74" s="131" t="n">
        <f aca="false">IF(OR($C74="",$B$2="",$D$2=0),0,IF(AE$3&lt;0,0,N(INDEX('CURVA PREVISION'!$A$1:$KZ$3000,$C74,11+3*MIN(AE$3,$D$2-1)))))</f>
        <v>0.15</v>
      </c>
      <c r="AF74" s="131" t="n">
        <f aca="false">IF(OR($C74="",$B$2="",$D$2=0),0,IF(AF$3&lt;0,0,N(INDEX('CURVA PREVISION'!$A$1:$KZ$3000,$C74,11+3*MIN(AF$3,$D$2-1)))))</f>
        <v>0.15</v>
      </c>
      <c r="AG74" s="131" t="n">
        <f aca="false">IF(OR($C74="",$B$2="",$D$2=0),0,IF(AG$3&lt;0,0,N(INDEX('CURVA PREVISION'!$A$1:$KZ$3000,$C74,11+3*MIN(AG$3,$D$2-1)))))</f>
        <v>0.15</v>
      </c>
      <c r="AH74" s="131" t="n">
        <f aca="false">IF(OR($C74="",$B$2="",$D$2=0),0,IF(AH$3&lt;0,0,N(INDEX('CURVA PREVISION'!$A$1:$KZ$3000,$C74,11+3*MIN(AH$3,$D$2-1)))))</f>
        <v>0.15</v>
      </c>
      <c r="AI74" s="131" t="n">
        <f aca="false">IF(OR($C74="",$B$2="",$D$2=0),0,IF(AI$3&lt;0,0,N(INDEX('CURVA PREVISION'!$A$1:$KZ$3000,$C74,11+3*MIN(AI$3,$D$2-1)))))</f>
        <v>0.15</v>
      </c>
      <c r="AJ74" s="131" t="n">
        <f aca="false">IF(OR($C74="",$B$2="",$D$2=0),0,IF(AJ$3&lt;0,0,N(INDEX('CURVA PREVISION'!$A$1:$KZ$3000,$C74,11+3*MIN(AJ$3,$D$2-1)))))</f>
        <v>0.15</v>
      </c>
      <c r="AK74" s="131" t="n">
        <f aca="false">IF(OR($C74="",$B$2="",$D$2=0),0,IF(AK$3&lt;0,0,N(INDEX('CURVA PREVISION'!$A$1:$KZ$3000,$C74,11+3*MIN(AK$3,$D$2-1)))))</f>
        <v>0.15</v>
      </c>
      <c r="AL74" s="131" t="n">
        <f aca="false">IF(OR($C74="",$B$2="",$D$2=0),0,IF(AL$3&lt;0,0,N(INDEX('CURVA PREVISION'!$A$1:$KZ$3000,$C74,11+3*MIN(AL$3,$D$2-1)))))</f>
        <v>0.15</v>
      </c>
      <c r="AM74" s="131" t="n">
        <f aca="false">IF(OR($C74="",$B$2="",$D$2=0),0,IF(AM$3&lt;0,0,N(INDEX('CURVA PREVISION'!$A$1:$KZ$3000,$C74,11+3*MIN(AM$3,$D$2-1)))))</f>
        <v>0.15</v>
      </c>
      <c r="AN74" s="131" t="n">
        <f aca="false">IF(OR($C74="",$B$2="",$D$2=0),0,IF(AN$3&lt;0,0,N(INDEX('CURVA PREVISION'!$A$1:$KZ$3000,$C74,11+3*MIN(AN$3,$D$2-1)))))</f>
        <v>0.15</v>
      </c>
      <c r="AO74" s="131" t="n">
        <f aca="false">IF(OR($C74="",$B$2="",$D$2=0),0,IF(AO$3&lt;0,0,N(INDEX('CURVA PREVISION'!$A$1:$KZ$3000,$C74,11+3*MIN(AO$3,$D$2-1)))))</f>
        <v>0.15</v>
      </c>
      <c r="AP74" s="131" t="n">
        <f aca="false">IF(OR($C74="",$B$2="",$D$2=0),0,IF(AP$3&lt;0,0,N(INDEX('CURVA PREVISION'!$A$1:$KZ$3000,$C74,11+3*MIN(AP$3,$D$2-1)))))</f>
        <v>0.15</v>
      </c>
      <c r="AQ74" s="131" t="n">
        <f aca="false">IF(OR($C74="",$B$2="",$D$2=0),0,IF(AQ$3&lt;0,0,N(INDEX('CURVA PREVISION'!$A$1:$KZ$3000,$C74,11+3*MIN(AQ$3,$D$2-1)))))</f>
        <v>0.15</v>
      </c>
      <c r="AR74" s="131" t="n">
        <f aca="false">IF(OR($C74="",$B$2="",$D$2=0),0,IF(AR$3&lt;0,0,N(INDEX('CURVA PREVISION'!$A$1:$KZ$3000,$C74,11+3*MIN(AR$3,$D$2-1)))))</f>
        <v>0.15</v>
      </c>
      <c r="AS74" s="131" t="n">
        <f aca="false">IF(OR($C74="",$B$2="",$D$2=0),0,IF(AS$3&lt;0,0,N(INDEX('CURVA PREVISION'!$A$1:$KZ$3000,$C74,11+3*MIN(AS$3,$D$2-1)))))</f>
        <v>0.15</v>
      </c>
      <c r="AT74" s="131" t="n">
        <f aca="false">IF(OR($C74="",$B$2="",$D$2=0),0,IF(AT$3&lt;0,0,N(INDEX('CURVA PREVISION'!$A$1:$KZ$3000,$C74,11+3*MIN(AT$3,$D$2-1)))))</f>
        <v>0.15</v>
      </c>
      <c r="AU74" s="131" t="n">
        <f aca="false">IF(OR($C74="",$B$2="",$D$2=0),0,IF(AU$3&lt;0,0,N(INDEX('CURVA PREVISION'!$A$1:$KZ$3000,$C74,11+3*MIN(AU$3,$D$2-1)))))</f>
        <v>0.15</v>
      </c>
      <c r="AV74" s="131" t="n">
        <f aca="false">IF(OR($C74="",$B$2="",$D$2=0),0,IF(AV$3&lt;0,0,N(INDEX('CURVA PREVISION'!$A$1:$KZ$3000,$C74,11+3*MIN(AV$3,$D$2-1)))))</f>
        <v>0.15</v>
      </c>
      <c r="AW74" s="131" t="n">
        <f aca="false">IF(OR($C74="",$B$2="",$D$2=0),0,IF(AW$3&lt;0,0,N(INDEX('CURVA PREVISION'!$A$1:$KZ$3000,$C74,11+3*MIN(AW$3,$D$2-1)))))</f>
        <v>0.15</v>
      </c>
      <c r="AX74" s="131" t="n">
        <f aca="false">IF(OR($C74="",$B$2="",$D$2=0),0,IF(AX$3&lt;0,0,N(INDEX('CURVA PREVISION'!$A$1:$KZ$3000,$C74,11+3*MIN(AX$3,$D$2-1)))))</f>
        <v>0.15</v>
      </c>
      <c r="AY74" s="131" t="n">
        <f aca="false">IF(OR($C74="",$B$2="",$D$2=0),0,IF(AY$3&lt;0,0,N(INDEX('CURVA PREVISION'!$A$1:$KZ$3000,$C74,11+3*MIN(AY$3,$D$2-1)))))</f>
        <v>0.15</v>
      </c>
      <c r="AZ74" s="131" t="n">
        <f aca="false">IF(OR($C74="",$B$2="",$D$2=0),0,IF(AZ$3&lt;0,0,N(INDEX('CURVA PREVISION'!$A$1:$KZ$3000,$C74,11+3*MIN(AZ$3,$D$2-1)))))</f>
        <v>0.15</v>
      </c>
      <c r="BA74" s="131" t="n">
        <f aca="false">IF(OR($C74="",$B$2="",$D$2=0),0,IF(BA$3&lt;0,0,N(INDEX('CURVA PREVISION'!$A$1:$KZ$3000,$C74,11+3*MIN(BA$3,$D$2-1)))))</f>
        <v>0.15</v>
      </c>
      <c r="BB74" s="131" t="n">
        <f aca="false">IF(OR($C74="",$B$2="",$D$2=0),0,IF(BB$3&lt;0,0,N(INDEX('CURVA PREVISION'!$A$1:$KZ$3000,$C74,11+3*MIN(BB$3,$D$2-1)))))</f>
        <v>0.15</v>
      </c>
      <c r="BC74" s="131" t="n">
        <f aca="false">IF(OR($C74="",$B$2="",$D$2=0),0,IF(BC$3&lt;0,0,N(INDEX('CURVA PREVISION'!$A$1:$KZ$3000,$C74,11+3*MIN(BC$3,$D$2-1)))))</f>
        <v>0.15</v>
      </c>
      <c r="BD74" s="131" t="n">
        <f aca="false">IF(OR($C74="",$B$2="",$D$2=0),0,IF(BD$3&lt;0,0,N(INDEX('CURVA PREVISION'!$A$1:$KZ$3000,$C74,11+3*MIN(BD$3,$D$2-1)))))</f>
        <v>0.15</v>
      </c>
      <c r="BE74" s="131" t="n">
        <f aca="false">IF(OR($C74="",$B$2="",$D$2=0),0,IF(BE$3&lt;0,0,N(INDEX('CURVA PREVISION'!$A$1:$KZ$3000,$C74,11+3*MIN(BE$3,$D$2-1)))))</f>
        <v>0.15</v>
      </c>
      <c r="BF74" s="131" t="n">
        <f aca="false">IF(OR($C74="",$B$2="",$D$2=0),0,IF(BF$3&lt;0,0,N(INDEX('CURVA PREVISION'!$A$1:$KZ$3000,$C74,11+3*MIN(BF$3,$D$2-1)))))</f>
        <v>0.15</v>
      </c>
      <c r="BG74" s="131" t="n">
        <f aca="false">IF(OR($C74="",$B$2="",$D$2=0),0,IF(BG$3&lt;0,0,N(INDEX('CURVA PREVISION'!$A$1:$KZ$3000,$C74,11+3*MIN(BG$3,$D$2-1)))))</f>
        <v>0.15</v>
      </c>
      <c r="BH74" s="131" t="n">
        <f aca="false">IF(OR($C74="",$B$2="",$D$2=0),0,IF(BH$3&lt;0,0,N(INDEX('CURVA PREVISION'!$A$1:$KZ$3000,$C74,11+3*MIN(BH$3,$D$2-1)))))</f>
        <v>0.15</v>
      </c>
      <c r="BI74" s="131" t="n">
        <f aca="false">IF(OR($C74="",$B$2="",$D$2=0),0,IF(BI$3&lt;0,0,N(INDEX('CURVA PREVISION'!$A$1:$KZ$3000,$C74,11+3*MIN(BI$3,$D$2-1)))))</f>
        <v>0.15</v>
      </c>
      <c r="BJ74" s="131" t="n">
        <f aca="false">IF(OR($C74="",$B$2="",$D$2=0),0,IF(BJ$3&lt;0,0,N(INDEX('CURVA PREVISION'!$A$1:$KZ$3000,$C74,11+3*MIN(BJ$3,$D$2-1)))))</f>
        <v>0.15</v>
      </c>
      <c r="BK74" s="131" t="n">
        <f aca="false">IF(OR($C74="",$B$2="",$D$2=0),0,IF(BK$3&lt;0,0,N(INDEX('CURVA PREVISION'!$A$1:$KZ$3000,$C74,11+3*MIN(BK$3,$D$2-1)))))</f>
        <v>0.15</v>
      </c>
      <c r="BL74" s="131" t="n">
        <f aca="false">IF(OR($C74="",$B$2="",$D$2=0),0,IF(BL$3&lt;0,0,N(INDEX('CURVA PREVISION'!$A$1:$KZ$3000,$C74,11+3*MIN(BL$3,$D$2-1)))))</f>
        <v>0.15</v>
      </c>
      <c r="BM74" s="131" t="n">
        <f aca="false">IF(OR($C74="",$B$2="",$D$2=0),0,IF(BM$3&lt;0,0,N(INDEX('CURVA PREVISION'!$A$1:$KZ$3000,$C74,11+3*MIN(BM$3,$D$2-1)))))</f>
        <v>0.15</v>
      </c>
      <c r="BN74" s="131" t="n">
        <f aca="false">IF(OR($C74="",$B$2="",$D$2=0),0,IF(BN$3&lt;0,0,N(INDEX('CURVA PREVISION'!$A$1:$KZ$3000,$C74,11+3*MIN(BN$3,$D$2-1)))))</f>
        <v>0.15</v>
      </c>
      <c r="BO74" s="131" t="n">
        <f aca="false">IF(OR($C74="",$B$2="",$D$2=0),0,IF(BO$3&lt;0,0,N(INDEX('CURVA PREVISION'!$A$1:$KZ$3000,$C74,11+3*MIN(BO$3,$D$2-1)))))</f>
        <v>0.15</v>
      </c>
      <c r="BP74" s="131" t="n">
        <f aca="false">IF(OR($C74="",$B$2="",$D$2=0),0,IF(BP$3&lt;0,0,N(INDEX('CURVA PREVISION'!$A$1:$KZ$3000,$C74,11+3*MIN(BP$3,$D$2-1)))))</f>
        <v>0.15</v>
      </c>
      <c r="BQ74" s="131" t="n">
        <f aca="false">IF(OR($C74="",$B$2="",$D$2=0),0,IF(BQ$3&lt;0,0,N(INDEX('CURVA PREVISION'!$A$1:$KZ$3000,$C74,11+3*MIN(BQ$3,$D$2-1)))))</f>
        <v>0.15</v>
      </c>
      <c r="BR74" s="131" t="n">
        <f aca="false">IF(OR($C74="",$B$2="",$D$2=0),0,IF(BR$3&lt;0,0,N(INDEX('CURVA PREVISION'!$A$1:$KZ$3000,$C74,11+3*MIN(BR$3,$D$2-1)))))</f>
        <v>0.15</v>
      </c>
      <c r="BS74" s="131" t="n">
        <f aca="false">IF(OR($C74="",$B$2="",$D$2=0),0,IF(BS$3&lt;0,0,N(INDEX('CURVA PREVISION'!$A$1:$KZ$3000,$C74,11+3*MIN(BS$3,$D$2-1)))))</f>
        <v>0.15</v>
      </c>
      <c r="BT74" s="131" t="n">
        <f aca="false">IF(OR($C74="",$B$2="",$D$2=0),0,IF(BT$3&lt;0,0,N(INDEX('CURVA PREVISION'!$A$1:$KZ$3000,$C74,11+3*MIN(BT$3,$D$2-1)))))</f>
        <v>0.15</v>
      </c>
      <c r="BU74" s="131" t="n">
        <f aca="false">IF(OR($C74="",$B$2="",$D$2=0),0,IF(BU$3&lt;0,0,N(INDEX('CURVA PREVISION'!$A$1:$KZ$3000,$C74,11+3*MIN(BU$3,$D$2-1)))))</f>
        <v>0.15</v>
      </c>
      <c r="BV74" s="131" t="n">
        <f aca="false">IF(OR($C74="",$B$2="",$D$2=0),0,IF(BV$3&lt;0,0,N(INDEX('CURVA PREVISION'!$A$1:$KZ$3000,$C74,11+3*MIN(BV$3,$D$2-1)))))</f>
        <v>0.15</v>
      </c>
      <c r="BW74" s="131" t="n">
        <f aca="false">IF(OR($C74="",$B$2="",$D$2=0),0,IF(BW$3&lt;0,0,N(INDEX('CURVA PREVISION'!$A$1:$KZ$3000,$C74,11+3*MIN(BW$3,$D$2-1)))))</f>
        <v>0.15</v>
      </c>
    </row>
    <row r="75" customFormat="false" ht="15" hidden="false" customHeight="false" outlineLevel="0" collapsed="false">
      <c r="A75" s="57" t="str">
        <f aca="false">IF('VALOR POR PL'!Q39="",'VALOR POR PL'!C39,'VALOR POR PL'!Q39)</f>
        <v>29</v>
      </c>
      <c r="B75" s="47" t="str">
        <f aca="false">B33</f>
        <v>REVESTIMENTOS DE MASSA EM PAREDES</v>
      </c>
      <c r="C75" s="64" t="n">
        <f aca="false">IFERROR(MATCH(A75,'CURVA PREVISION'!$B$1:$B$3000,0),"")</f>
        <v>803</v>
      </c>
      <c r="D75" s="131" t="n">
        <f aca="false">IF(OR($C75="",$B$2="",$D$2=0),0,IF(D$3&lt;0,0,N(INDEX('CURVA PREVISION'!$A$1:$KZ$3000,$C75,11+3*MIN(D$3,$D$2-1)))))</f>
        <v>0</v>
      </c>
      <c r="E75" s="131" t="n">
        <f aca="false">IF(OR($C75="",$B$2="",$D$2=0),0,IF(E$3&lt;0,0,N(INDEX('CURVA PREVISION'!$A$1:$KZ$3000,$C75,11+3*MIN(E$3,$D$2-1)))))</f>
        <v>0</v>
      </c>
      <c r="F75" s="131" t="n">
        <f aca="false">IF(OR($C75="",$B$2="",$D$2=0),0,IF(F$3&lt;0,0,N(INDEX('CURVA PREVISION'!$A$1:$KZ$3000,$C75,11+3*MIN(F$3,$D$2-1)))))</f>
        <v>0</v>
      </c>
      <c r="G75" s="131" t="n">
        <f aca="false">IF(OR($C75="",$B$2="",$D$2=0),0,IF(G$3&lt;0,0,N(INDEX('CURVA PREVISION'!$A$1:$KZ$3000,$C75,11+3*MIN(G$3,$D$2-1)))))</f>
        <v>0</v>
      </c>
      <c r="H75" s="131" t="n">
        <f aca="false">IF(OR($C75="",$B$2="",$D$2=0),0,IF(H$3&lt;0,0,N(INDEX('CURVA PREVISION'!$A$1:$KZ$3000,$C75,11+3*MIN(H$3,$D$2-1)))))</f>
        <v>0</v>
      </c>
      <c r="I75" s="131" t="n">
        <f aca="false">IF(OR($C75="",$B$2="",$D$2=0),0,IF(I$3&lt;0,0,N(INDEX('CURVA PREVISION'!$A$1:$KZ$3000,$C75,11+3*MIN(I$3,$D$2-1)))))</f>
        <v>0</v>
      </c>
      <c r="J75" s="131" t="n">
        <f aca="false">IF(OR($C75="",$B$2="",$D$2=0),0,IF(J$3&lt;0,0,N(INDEX('CURVA PREVISION'!$A$1:$KZ$3000,$C75,11+3*MIN(J$3,$D$2-1)))))</f>
        <v>0</v>
      </c>
      <c r="K75" s="131" t="n">
        <f aca="false">IF(OR($C75="",$B$2="",$D$2=0),0,IF(K$3&lt;0,0,N(INDEX('CURVA PREVISION'!$A$1:$KZ$3000,$C75,11+3*MIN(K$3,$D$2-1)))))</f>
        <v>0</v>
      </c>
      <c r="L75" s="131" t="n">
        <f aca="false">IF(OR($C75="",$B$2="",$D$2=0),0,IF(L$3&lt;0,0,N(INDEX('CURVA PREVISION'!$A$1:$KZ$3000,$C75,11+3*MIN(L$3,$D$2-1)))))</f>
        <v>0</v>
      </c>
      <c r="M75" s="131" t="n">
        <f aca="false">IF(OR($C75="",$B$2="",$D$2=0),0,IF(M$3&lt;0,0,N(INDEX('CURVA PREVISION'!$A$1:$KZ$3000,$C75,11+3*MIN(M$3,$D$2-1)))))</f>
        <v>0</v>
      </c>
      <c r="N75" s="131" t="n">
        <f aca="false">IF(OR($C75="",$B$2="",$D$2=0),0,IF(N$3&lt;0,0,N(INDEX('CURVA PREVISION'!$A$1:$KZ$3000,$C75,11+3*MIN(N$3,$D$2-1)))))</f>
        <v>0</v>
      </c>
      <c r="O75" s="131" t="n">
        <f aca="false">IF(OR($C75="",$B$2="",$D$2=0),0,IF(O$3&lt;0,0,N(INDEX('CURVA PREVISION'!$A$1:$KZ$3000,$C75,11+3*MIN(O$3,$D$2-1)))))</f>
        <v>0</v>
      </c>
      <c r="P75" s="131" t="n">
        <f aca="false">IF(OR($C75="",$B$2="",$D$2=0),0,IF(P$3&lt;0,0,N(INDEX('CURVA PREVISION'!$A$1:$KZ$3000,$C75,11+3*MIN(P$3,$D$2-1)))))</f>
        <v>0</v>
      </c>
      <c r="Q75" s="131" t="n">
        <f aca="false">IF(OR($C75="",$B$2="",$D$2=0),0,IF(Q$3&lt;0,0,N(INDEX('CURVA PREVISION'!$A$1:$KZ$3000,$C75,11+3*MIN(Q$3,$D$2-1)))))</f>
        <v>0</v>
      </c>
      <c r="R75" s="131" t="n">
        <f aca="false">IF(OR($C75="",$B$2="",$D$2=0),0,IF(R$3&lt;0,0,N(INDEX('CURVA PREVISION'!$A$1:$KZ$3000,$C75,11+3*MIN(R$3,$D$2-1)))))</f>
        <v>0</v>
      </c>
      <c r="S75" s="131" t="n">
        <f aca="false">IF(OR($C75="",$B$2="",$D$2=0),0,IF(S$3&lt;0,0,N(INDEX('CURVA PREVISION'!$A$1:$KZ$3000,$C75,11+3*MIN(S$3,$D$2-1)))))</f>
        <v>0</v>
      </c>
      <c r="T75" s="131" t="n">
        <f aca="false">IF(OR($C75="",$B$2="",$D$2=0),0,IF(T$3&lt;0,0,N(INDEX('CURVA PREVISION'!$A$1:$KZ$3000,$C75,11+3*MIN(T$3,$D$2-1)))))</f>
        <v>0</v>
      </c>
      <c r="U75" s="131" t="n">
        <f aca="false">IF(OR($C75="",$B$2="",$D$2=0),0,IF(U$3&lt;0,0,N(INDEX('CURVA PREVISION'!$A$1:$KZ$3000,$C75,11+3*MIN(U$3,$D$2-1)))))</f>
        <v>0</v>
      </c>
      <c r="V75" s="131" t="n">
        <f aca="false">IF(OR($C75="",$B$2="",$D$2=0),0,IF(V$3&lt;0,0,N(INDEX('CURVA PREVISION'!$A$1:$KZ$3000,$C75,11+3*MIN(V$3,$D$2-1)))))</f>
        <v>0</v>
      </c>
      <c r="W75" s="131" t="n">
        <f aca="false">IF(OR($C75="",$B$2="",$D$2=0),0,IF(W$3&lt;0,0,N(INDEX('CURVA PREVISION'!$A$1:$KZ$3000,$C75,11+3*MIN(W$3,$D$2-1)))))</f>
        <v>5.8</v>
      </c>
      <c r="X75" s="131" t="n">
        <f aca="false">IF(OR($C75="",$B$2="",$D$2=0),0,IF(X$3&lt;0,0,N(INDEX('CURVA PREVISION'!$A$1:$KZ$3000,$C75,11+3*MIN(X$3,$D$2-1)))))</f>
        <v>5.81</v>
      </c>
      <c r="Y75" s="131" t="n">
        <f aca="false">IF(OR($C75="",$B$2="",$D$2=0),0,IF(Y$3&lt;0,0,N(INDEX('CURVA PREVISION'!$A$1:$KZ$3000,$C75,11+3*MIN(Y$3,$D$2-1)))))</f>
        <v>5.81</v>
      </c>
      <c r="Z75" s="131" t="n">
        <f aca="false">IF(OR($C75="",$B$2="",$D$2=0),0,IF(Z$3&lt;0,0,N(INDEX('CURVA PREVISION'!$A$1:$KZ$3000,$C75,11+3*MIN(Z$3,$D$2-1)))))</f>
        <v>5.81</v>
      </c>
      <c r="AA75" s="131" t="n">
        <f aca="false">IF(OR($C75="",$B$2="",$D$2=0),0,IF(AA$3&lt;0,0,N(INDEX('CURVA PREVISION'!$A$1:$KZ$3000,$C75,11+3*MIN(AA$3,$D$2-1)))))</f>
        <v>5.81</v>
      </c>
      <c r="AB75" s="131" t="n">
        <f aca="false">IF(OR($C75="",$B$2="",$D$2=0),0,IF(AB$3&lt;0,0,N(INDEX('CURVA PREVISION'!$A$1:$KZ$3000,$C75,11+3*MIN(AB$3,$D$2-1)))))</f>
        <v>5.81</v>
      </c>
      <c r="AC75" s="131" t="n">
        <f aca="false">IF(OR($C75="",$B$2="",$D$2=0),0,IF(AC$3&lt;0,0,N(INDEX('CURVA PREVISION'!$A$1:$KZ$3000,$C75,11+3*MIN(AC$3,$D$2-1)))))</f>
        <v>5.81</v>
      </c>
      <c r="AD75" s="131" t="n">
        <f aca="false">IF(OR($C75="",$B$2="",$D$2=0),0,IF(AD$3&lt;0,0,N(INDEX('CURVA PREVISION'!$A$1:$KZ$3000,$C75,11+3*MIN(AD$3,$D$2-1)))))</f>
        <v>5.81</v>
      </c>
      <c r="AE75" s="131" t="n">
        <f aca="false">IF(OR($C75="",$B$2="",$D$2=0),0,IF(AE$3&lt;0,0,N(INDEX('CURVA PREVISION'!$A$1:$KZ$3000,$C75,11+3*MIN(AE$3,$D$2-1)))))</f>
        <v>5.81</v>
      </c>
      <c r="AF75" s="131" t="n">
        <f aca="false">IF(OR($C75="",$B$2="",$D$2=0),0,IF(AF$3&lt;0,0,N(INDEX('CURVA PREVISION'!$A$1:$KZ$3000,$C75,11+3*MIN(AF$3,$D$2-1)))))</f>
        <v>5.81</v>
      </c>
      <c r="AG75" s="131" t="n">
        <f aca="false">IF(OR($C75="",$B$2="",$D$2=0),0,IF(AG$3&lt;0,0,N(INDEX('CURVA PREVISION'!$A$1:$KZ$3000,$C75,11+3*MIN(AG$3,$D$2-1)))))</f>
        <v>5.81</v>
      </c>
      <c r="AH75" s="131" t="n">
        <f aca="false">IF(OR($C75="",$B$2="",$D$2=0),0,IF(AH$3&lt;0,0,N(INDEX('CURVA PREVISION'!$A$1:$KZ$3000,$C75,11+3*MIN(AH$3,$D$2-1)))))</f>
        <v>5.81</v>
      </c>
      <c r="AI75" s="131" t="n">
        <f aca="false">IF(OR($C75="",$B$2="",$D$2=0),0,IF(AI$3&lt;0,0,N(INDEX('CURVA PREVISION'!$A$1:$KZ$3000,$C75,11+3*MIN(AI$3,$D$2-1)))))</f>
        <v>5.81</v>
      </c>
      <c r="AJ75" s="131" t="n">
        <f aca="false">IF(OR($C75="",$B$2="",$D$2=0),0,IF(AJ$3&lt;0,0,N(INDEX('CURVA PREVISION'!$A$1:$KZ$3000,$C75,11+3*MIN(AJ$3,$D$2-1)))))</f>
        <v>5.81</v>
      </c>
      <c r="AK75" s="131" t="n">
        <f aca="false">IF(OR($C75="",$B$2="",$D$2=0),0,IF(AK$3&lt;0,0,N(INDEX('CURVA PREVISION'!$A$1:$KZ$3000,$C75,11+3*MIN(AK$3,$D$2-1)))))</f>
        <v>5.81</v>
      </c>
      <c r="AL75" s="131" t="n">
        <f aca="false">IF(OR($C75="",$B$2="",$D$2=0),0,IF(AL$3&lt;0,0,N(INDEX('CURVA PREVISION'!$A$1:$KZ$3000,$C75,11+3*MIN(AL$3,$D$2-1)))))</f>
        <v>5.81</v>
      </c>
      <c r="AM75" s="131" t="n">
        <f aca="false">IF(OR($C75="",$B$2="",$D$2=0),0,IF(AM$3&lt;0,0,N(INDEX('CURVA PREVISION'!$A$1:$KZ$3000,$C75,11+3*MIN(AM$3,$D$2-1)))))</f>
        <v>5.81</v>
      </c>
      <c r="AN75" s="131" t="n">
        <f aca="false">IF(OR($C75="",$B$2="",$D$2=0),0,IF(AN$3&lt;0,0,N(INDEX('CURVA PREVISION'!$A$1:$KZ$3000,$C75,11+3*MIN(AN$3,$D$2-1)))))</f>
        <v>5.81</v>
      </c>
      <c r="AO75" s="131" t="n">
        <f aca="false">IF(OR($C75="",$B$2="",$D$2=0),0,IF(AO$3&lt;0,0,N(INDEX('CURVA PREVISION'!$A$1:$KZ$3000,$C75,11+3*MIN(AO$3,$D$2-1)))))</f>
        <v>5.81</v>
      </c>
      <c r="AP75" s="131" t="n">
        <f aca="false">IF(OR($C75="",$B$2="",$D$2=0),0,IF(AP$3&lt;0,0,N(INDEX('CURVA PREVISION'!$A$1:$KZ$3000,$C75,11+3*MIN(AP$3,$D$2-1)))))</f>
        <v>5.81</v>
      </c>
      <c r="AQ75" s="131" t="n">
        <f aca="false">IF(OR($C75="",$B$2="",$D$2=0),0,IF(AQ$3&lt;0,0,N(INDEX('CURVA PREVISION'!$A$1:$KZ$3000,$C75,11+3*MIN(AQ$3,$D$2-1)))))</f>
        <v>5.81</v>
      </c>
      <c r="AR75" s="131" t="n">
        <f aca="false">IF(OR($C75="",$B$2="",$D$2=0),0,IF(AR$3&lt;0,0,N(INDEX('CURVA PREVISION'!$A$1:$KZ$3000,$C75,11+3*MIN(AR$3,$D$2-1)))))</f>
        <v>5.81</v>
      </c>
      <c r="AS75" s="131" t="n">
        <f aca="false">IF(OR($C75="",$B$2="",$D$2=0),0,IF(AS$3&lt;0,0,N(INDEX('CURVA PREVISION'!$A$1:$KZ$3000,$C75,11+3*MIN(AS$3,$D$2-1)))))</f>
        <v>5.81</v>
      </c>
      <c r="AT75" s="131" t="n">
        <f aca="false">IF(OR($C75="",$B$2="",$D$2=0),0,IF(AT$3&lt;0,0,N(INDEX('CURVA PREVISION'!$A$1:$KZ$3000,$C75,11+3*MIN(AT$3,$D$2-1)))))</f>
        <v>5.81</v>
      </c>
      <c r="AU75" s="131" t="n">
        <f aca="false">IF(OR($C75="",$B$2="",$D$2=0),0,IF(AU$3&lt;0,0,N(INDEX('CURVA PREVISION'!$A$1:$KZ$3000,$C75,11+3*MIN(AU$3,$D$2-1)))))</f>
        <v>5.81</v>
      </c>
      <c r="AV75" s="131" t="n">
        <f aca="false">IF(OR($C75="",$B$2="",$D$2=0),0,IF(AV$3&lt;0,0,N(INDEX('CURVA PREVISION'!$A$1:$KZ$3000,$C75,11+3*MIN(AV$3,$D$2-1)))))</f>
        <v>5.81</v>
      </c>
      <c r="AW75" s="131" t="n">
        <f aca="false">IF(OR($C75="",$B$2="",$D$2=0),0,IF(AW$3&lt;0,0,N(INDEX('CURVA PREVISION'!$A$1:$KZ$3000,$C75,11+3*MIN(AW$3,$D$2-1)))))</f>
        <v>5.81</v>
      </c>
      <c r="AX75" s="131" t="n">
        <f aca="false">IF(OR($C75="",$B$2="",$D$2=0),0,IF(AX$3&lt;0,0,N(INDEX('CURVA PREVISION'!$A$1:$KZ$3000,$C75,11+3*MIN(AX$3,$D$2-1)))))</f>
        <v>5.81</v>
      </c>
      <c r="AY75" s="131" t="n">
        <f aca="false">IF(OR($C75="",$B$2="",$D$2=0),0,IF(AY$3&lt;0,0,N(INDEX('CURVA PREVISION'!$A$1:$KZ$3000,$C75,11+3*MIN(AY$3,$D$2-1)))))</f>
        <v>5.81</v>
      </c>
      <c r="AZ75" s="131" t="n">
        <f aca="false">IF(OR($C75="",$B$2="",$D$2=0),0,IF(AZ$3&lt;0,0,N(INDEX('CURVA PREVISION'!$A$1:$KZ$3000,$C75,11+3*MIN(AZ$3,$D$2-1)))))</f>
        <v>5.81</v>
      </c>
      <c r="BA75" s="131" t="n">
        <f aca="false">IF(OR($C75="",$B$2="",$D$2=0),0,IF(BA$3&lt;0,0,N(INDEX('CURVA PREVISION'!$A$1:$KZ$3000,$C75,11+3*MIN(BA$3,$D$2-1)))))</f>
        <v>5.81</v>
      </c>
      <c r="BB75" s="131" t="n">
        <f aca="false">IF(OR($C75="",$B$2="",$D$2=0),0,IF(BB$3&lt;0,0,N(INDEX('CURVA PREVISION'!$A$1:$KZ$3000,$C75,11+3*MIN(BB$3,$D$2-1)))))</f>
        <v>5.81</v>
      </c>
      <c r="BC75" s="131" t="n">
        <f aca="false">IF(OR($C75="",$B$2="",$D$2=0),0,IF(BC$3&lt;0,0,N(INDEX('CURVA PREVISION'!$A$1:$KZ$3000,$C75,11+3*MIN(BC$3,$D$2-1)))))</f>
        <v>5.81</v>
      </c>
      <c r="BD75" s="131" t="n">
        <f aca="false">IF(OR($C75="",$B$2="",$D$2=0),0,IF(BD$3&lt;0,0,N(INDEX('CURVA PREVISION'!$A$1:$KZ$3000,$C75,11+3*MIN(BD$3,$D$2-1)))))</f>
        <v>5.81</v>
      </c>
      <c r="BE75" s="131" t="n">
        <f aca="false">IF(OR($C75="",$B$2="",$D$2=0),0,IF(BE$3&lt;0,0,N(INDEX('CURVA PREVISION'!$A$1:$KZ$3000,$C75,11+3*MIN(BE$3,$D$2-1)))))</f>
        <v>5.81</v>
      </c>
      <c r="BF75" s="131" t="n">
        <f aca="false">IF(OR($C75="",$B$2="",$D$2=0),0,IF(BF$3&lt;0,0,N(INDEX('CURVA PREVISION'!$A$1:$KZ$3000,$C75,11+3*MIN(BF$3,$D$2-1)))))</f>
        <v>5.81</v>
      </c>
      <c r="BG75" s="131" t="n">
        <f aca="false">IF(OR($C75="",$B$2="",$D$2=0),0,IF(BG$3&lt;0,0,N(INDEX('CURVA PREVISION'!$A$1:$KZ$3000,$C75,11+3*MIN(BG$3,$D$2-1)))))</f>
        <v>5.81</v>
      </c>
      <c r="BH75" s="131" t="n">
        <f aca="false">IF(OR($C75="",$B$2="",$D$2=0),0,IF(BH$3&lt;0,0,N(INDEX('CURVA PREVISION'!$A$1:$KZ$3000,$C75,11+3*MIN(BH$3,$D$2-1)))))</f>
        <v>5.81</v>
      </c>
      <c r="BI75" s="131" t="n">
        <f aca="false">IF(OR($C75="",$B$2="",$D$2=0),0,IF(BI$3&lt;0,0,N(INDEX('CURVA PREVISION'!$A$1:$KZ$3000,$C75,11+3*MIN(BI$3,$D$2-1)))))</f>
        <v>5.81</v>
      </c>
      <c r="BJ75" s="131" t="n">
        <f aca="false">IF(OR($C75="",$B$2="",$D$2=0),0,IF(BJ$3&lt;0,0,N(INDEX('CURVA PREVISION'!$A$1:$KZ$3000,$C75,11+3*MIN(BJ$3,$D$2-1)))))</f>
        <v>5.81</v>
      </c>
      <c r="BK75" s="131" t="n">
        <f aca="false">IF(OR($C75="",$B$2="",$D$2=0),0,IF(BK$3&lt;0,0,N(INDEX('CURVA PREVISION'!$A$1:$KZ$3000,$C75,11+3*MIN(BK$3,$D$2-1)))))</f>
        <v>5.81</v>
      </c>
      <c r="BL75" s="131" t="n">
        <f aca="false">IF(OR($C75="",$B$2="",$D$2=0),0,IF(BL$3&lt;0,0,N(INDEX('CURVA PREVISION'!$A$1:$KZ$3000,$C75,11+3*MIN(BL$3,$D$2-1)))))</f>
        <v>5.81</v>
      </c>
      <c r="BM75" s="131" t="n">
        <f aca="false">IF(OR($C75="",$B$2="",$D$2=0),0,IF(BM$3&lt;0,0,N(INDEX('CURVA PREVISION'!$A$1:$KZ$3000,$C75,11+3*MIN(BM$3,$D$2-1)))))</f>
        <v>5.81</v>
      </c>
      <c r="BN75" s="131" t="n">
        <f aca="false">IF(OR($C75="",$B$2="",$D$2=0),0,IF(BN$3&lt;0,0,N(INDEX('CURVA PREVISION'!$A$1:$KZ$3000,$C75,11+3*MIN(BN$3,$D$2-1)))))</f>
        <v>5.81</v>
      </c>
      <c r="BO75" s="131" t="n">
        <f aca="false">IF(OR($C75="",$B$2="",$D$2=0),0,IF(BO$3&lt;0,0,N(INDEX('CURVA PREVISION'!$A$1:$KZ$3000,$C75,11+3*MIN(BO$3,$D$2-1)))))</f>
        <v>5.81</v>
      </c>
      <c r="BP75" s="131" t="n">
        <f aca="false">IF(OR($C75="",$B$2="",$D$2=0),0,IF(BP$3&lt;0,0,N(INDEX('CURVA PREVISION'!$A$1:$KZ$3000,$C75,11+3*MIN(BP$3,$D$2-1)))))</f>
        <v>5.81</v>
      </c>
      <c r="BQ75" s="131" t="n">
        <f aca="false">IF(OR($C75="",$B$2="",$D$2=0),0,IF(BQ$3&lt;0,0,N(INDEX('CURVA PREVISION'!$A$1:$KZ$3000,$C75,11+3*MIN(BQ$3,$D$2-1)))))</f>
        <v>5.81</v>
      </c>
      <c r="BR75" s="131" t="n">
        <f aca="false">IF(OR($C75="",$B$2="",$D$2=0),0,IF(BR$3&lt;0,0,N(INDEX('CURVA PREVISION'!$A$1:$KZ$3000,$C75,11+3*MIN(BR$3,$D$2-1)))))</f>
        <v>5.81</v>
      </c>
      <c r="BS75" s="131" t="n">
        <f aca="false">IF(OR($C75="",$B$2="",$D$2=0),0,IF(BS$3&lt;0,0,N(INDEX('CURVA PREVISION'!$A$1:$KZ$3000,$C75,11+3*MIN(BS$3,$D$2-1)))))</f>
        <v>5.81</v>
      </c>
      <c r="BT75" s="131" t="n">
        <f aca="false">IF(OR($C75="",$B$2="",$D$2=0),0,IF(BT$3&lt;0,0,N(INDEX('CURVA PREVISION'!$A$1:$KZ$3000,$C75,11+3*MIN(BT$3,$D$2-1)))))</f>
        <v>5.81</v>
      </c>
      <c r="BU75" s="131" t="n">
        <f aca="false">IF(OR($C75="",$B$2="",$D$2=0),0,IF(BU$3&lt;0,0,N(INDEX('CURVA PREVISION'!$A$1:$KZ$3000,$C75,11+3*MIN(BU$3,$D$2-1)))))</f>
        <v>5.81</v>
      </c>
      <c r="BV75" s="131" t="n">
        <f aca="false">IF(OR($C75="",$B$2="",$D$2=0),0,IF(BV$3&lt;0,0,N(INDEX('CURVA PREVISION'!$A$1:$KZ$3000,$C75,11+3*MIN(BV$3,$D$2-1)))))</f>
        <v>5.81</v>
      </c>
      <c r="BW75" s="131" t="n">
        <f aca="false">IF(OR($C75="",$B$2="",$D$2=0),0,IF(BW$3&lt;0,0,N(INDEX('CURVA PREVISION'!$A$1:$KZ$3000,$C75,11+3*MIN(BW$3,$D$2-1)))))</f>
        <v>5.81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30</v>
      </c>
      <c r="B76" s="47" t="str">
        <f aca="false">B34</f>
        <v>REVESTIMENTOS DE ACABAMENTO</v>
      </c>
      <c r="C76" s="64" t="n">
        <f aca="false">IFERROR(MATCH(A76,'CURVA PREVISION'!$B$1:$B$3000,0),"")</f>
        <v>811</v>
      </c>
      <c r="D76" s="131" t="n">
        <f aca="false">IF(OR($C76="",$B$2="",$D$2=0),0,IF(D$3&lt;0,0,N(INDEX('CURVA PREVISION'!$A$1:$KZ$3000,$C76,11+3*MIN(D$3,$D$2-1)))))</f>
        <v>0</v>
      </c>
      <c r="E76" s="131" t="n">
        <f aca="false">IF(OR($C76="",$B$2="",$D$2=0),0,IF(E$3&lt;0,0,N(INDEX('CURVA PREVISION'!$A$1:$KZ$3000,$C76,11+3*MIN(E$3,$D$2-1)))))</f>
        <v>0</v>
      </c>
      <c r="F76" s="131" t="n">
        <f aca="false">IF(OR($C76="",$B$2="",$D$2=0),0,IF(F$3&lt;0,0,N(INDEX('CURVA PREVISION'!$A$1:$KZ$3000,$C76,11+3*MIN(F$3,$D$2-1)))))</f>
        <v>0</v>
      </c>
      <c r="G76" s="131" t="n">
        <f aca="false">IF(OR($C76="",$B$2="",$D$2=0),0,IF(G$3&lt;0,0,N(INDEX('CURVA PREVISION'!$A$1:$KZ$3000,$C76,11+3*MIN(G$3,$D$2-1)))))</f>
        <v>0</v>
      </c>
      <c r="H76" s="131" t="n">
        <f aca="false">IF(OR($C76="",$B$2="",$D$2=0),0,IF(H$3&lt;0,0,N(INDEX('CURVA PREVISION'!$A$1:$KZ$3000,$C76,11+3*MIN(H$3,$D$2-1)))))</f>
        <v>0</v>
      </c>
      <c r="I76" s="131" t="n">
        <f aca="false">IF(OR($C76="",$B$2="",$D$2=0),0,IF(I$3&lt;0,0,N(INDEX('CURVA PREVISION'!$A$1:$KZ$3000,$C76,11+3*MIN(I$3,$D$2-1)))))</f>
        <v>0</v>
      </c>
      <c r="J76" s="131" t="n">
        <f aca="false">IF(OR($C76="",$B$2="",$D$2=0),0,IF(J$3&lt;0,0,N(INDEX('CURVA PREVISION'!$A$1:$KZ$3000,$C76,11+3*MIN(J$3,$D$2-1)))))</f>
        <v>0</v>
      </c>
      <c r="K76" s="131" t="n">
        <f aca="false">IF(OR($C76="",$B$2="",$D$2=0),0,IF(K$3&lt;0,0,N(INDEX('CURVA PREVISION'!$A$1:$KZ$3000,$C76,11+3*MIN(K$3,$D$2-1)))))</f>
        <v>0</v>
      </c>
      <c r="L76" s="131" t="n">
        <f aca="false">IF(OR($C76="",$B$2="",$D$2=0),0,IF(L$3&lt;0,0,N(INDEX('CURVA PREVISION'!$A$1:$KZ$3000,$C76,11+3*MIN(L$3,$D$2-1)))))</f>
        <v>0</v>
      </c>
      <c r="M76" s="131" t="n">
        <f aca="false">IF(OR($C76="",$B$2="",$D$2=0),0,IF(M$3&lt;0,0,N(INDEX('CURVA PREVISION'!$A$1:$KZ$3000,$C76,11+3*MIN(M$3,$D$2-1)))))</f>
        <v>0</v>
      </c>
      <c r="N76" s="131" t="n">
        <f aca="false">IF(OR($C76="",$B$2="",$D$2=0),0,IF(N$3&lt;0,0,N(INDEX('CURVA PREVISION'!$A$1:$KZ$3000,$C76,11+3*MIN(N$3,$D$2-1)))))</f>
        <v>0</v>
      </c>
      <c r="O76" s="131" t="n">
        <f aca="false">IF(OR($C76="",$B$2="",$D$2=0),0,IF(O$3&lt;0,0,N(INDEX('CURVA PREVISION'!$A$1:$KZ$3000,$C76,11+3*MIN(O$3,$D$2-1)))))</f>
        <v>0</v>
      </c>
      <c r="P76" s="131" t="n">
        <f aca="false">IF(OR($C76="",$B$2="",$D$2=0),0,IF(P$3&lt;0,0,N(INDEX('CURVA PREVISION'!$A$1:$KZ$3000,$C76,11+3*MIN(P$3,$D$2-1)))))</f>
        <v>0</v>
      </c>
      <c r="Q76" s="131" t="n">
        <f aca="false">IF(OR($C76="",$B$2="",$D$2=0),0,IF(Q$3&lt;0,0,N(INDEX('CURVA PREVISION'!$A$1:$KZ$3000,$C76,11+3*MIN(Q$3,$D$2-1)))))</f>
        <v>0</v>
      </c>
      <c r="R76" s="131" t="n">
        <f aca="false">IF(OR($C76="",$B$2="",$D$2=0),0,IF(R$3&lt;0,0,N(INDEX('CURVA PREVISION'!$A$1:$KZ$3000,$C76,11+3*MIN(R$3,$D$2-1)))))</f>
        <v>0</v>
      </c>
      <c r="S76" s="131" t="n">
        <f aca="false">IF(OR($C76="",$B$2="",$D$2=0),0,IF(S$3&lt;0,0,N(INDEX('CURVA PREVISION'!$A$1:$KZ$3000,$C76,11+3*MIN(S$3,$D$2-1)))))</f>
        <v>0</v>
      </c>
      <c r="T76" s="131" t="n">
        <f aca="false">IF(OR($C76="",$B$2="",$D$2=0),0,IF(T$3&lt;0,0,N(INDEX('CURVA PREVISION'!$A$1:$KZ$3000,$C76,11+3*MIN(T$3,$D$2-1)))))</f>
        <v>0</v>
      </c>
      <c r="U76" s="131" t="n">
        <f aca="false">IF(OR($C76="",$B$2="",$D$2=0),0,IF(U$3&lt;0,0,N(INDEX('CURVA PREVISION'!$A$1:$KZ$3000,$C76,11+3*MIN(U$3,$D$2-1)))))</f>
        <v>0</v>
      </c>
      <c r="V76" s="131" t="n">
        <f aca="false">IF(OR($C76="",$B$2="",$D$2=0),0,IF(V$3&lt;0,0,N(INDEX('CURVA PREVISION'!$A$1:$KZ$3000,$C76,11+3*MIN(V$3,$D$2-1)))))</f>
        <v>0</v>
      </c>
      <c r="W76" s="131" t="n">
        <f aca="false">IF(OR($C76="",$B$2="",$D$2=0),0,IF(W$3&lt;0,0,N(INDEX('CURVA PREVISION'!$A$1:$KZ$3000,$C76,11+3*MIN(W$3,$D$2-1)))))</f>
        <v>0</v>
      </c>
      <c r="X76" s="131" t="n">
        <f aca="false">IF(OR($C76="",$B$2="",$D$2=0),0,IF(X$3&lt;0,0,N(INDEX('CURVA PREVISION'!$A$1:$KZ$3000,$C76,11+3*MIN(X$3,$D$2-1)))))</f>
        <v>0</v>
      </c>
      <c r="Y76" s="131" t="n">
        <f aca="false">IF(OR($C76="",$B$2="",$D$2=0),0,IF(Y$3&lt;0,0,N(INDEX('CURVA PREVISION'!$A$1:$KZ$3000,$C76,11+3*MIN(Y$3,$D$2-1)))))</f>
        <v>0</v>
      </c>
      <c r="Z76" s="131" t="n">
        <f aca="false">IF(OR($C76="",$B$2="",$D$2=0),0,IF(Z$3&lt;0,0,N(INDEX('CURVA PREVISION'!$A$1:$KZ$3000,$C76,11+3*MIN(Z$3,$D$2-1)))))</f>
        <v>0</v>
      </c>
      <c r="AA76" s="131" t="n">
        <f aca="false">IF(OR($C76="",$B$2="",$D$2=0),0,IF(AA$3&lt;0,0,N(INDEX('CURVA PREVISION'!$A$1:$KZ$3000,$C76,11+3*MIN(AA$3,$D$2-1)))))</f>
        <v>0</v>
      </c>
      <c r="AB76" s="131" t="n">
        <f aca="false">IF(OR($C76="",$B$2="",$D$2=0),0,IF(AB$3&lt;0,0,N(INDEX('CURVA PREVISION'!$A$1:$KZ$3000,$C76,11+3*MIN(AB$3,$D$2-1)))))</f>
        <v>0</v>
      </c>
      <c r="AC76" s="131" t="n">
        <f aca="false">IF(OR($C76="",$B$2="",$D$2=0),0,IF(AC$3&lt;0,0,N(INDEX('CURVA PREVISION'!$A$1:$KZ$3000,$C76,11+3*MIN(AC$3,$D$2-1)))))</f>
        <v>0</v>
      </c>
      <c r="AD76" s="131" t="n">
        <f aca="false">IF(OR($C76="",$B$2="",$D$2=0),0,IF(AD$3&lt;0,0,N(INDEX('CURVA PREVISION'!$A$1:$KZ$3000,$C76,11+3*MIN(AD$3,$D$2-1)))))</f>
        <v>0</v>
      </c>
      <c r="AE76" s="131" t="n">
        <f aca="false">IF(OR($C76="",$B$2="",$D$2=0),0,IF(AE$3&lt;0,0,N(INDEX('CURVA PREVISION'!$A$1:$KZ$3000,$C76,11+3*MIN(AE$3,$D$2-1)))))</f>
        <v>0</v>
      </c>
      <c r="AF76" s="131" t="n">
        <f aca="false">IF(OR($C76="",$B$2="",$D$2=0),0,IF(AF$3&lt;0,0,N(INDEX('CURVA PREVISION'!$A$1:$KZ$3000,$C76,11+3*MIN(AF$3,$D$2-1)))))</f>
        <v>0</v>
      </c>
      <c r="AG76" s="131" t="n">
        <f aca="false">IF(OR($C76="",$B$2="",$D$2=0),0,IF(AG$3&lt;0,0,N(INDEX('CURVA PREVISION'!$A$1:$KZ$3000,$C76,11+3*MIN(AG$3,$D$2-1)))))</f>
        <v>0</v>
      </c>
      <c r="AH76" s="131" t="n">
        <f aca="false">IF(OR($C76="",$B$2="",$D$2=0),0,IF(AH$3&lt;0,0,N(INDEX('CURVA PREVISION'!$A$1:$KZ$3000,$C76,11+3*MIN(AH$3,$D$2-1)))))</f>
        <v>0</v>
      </c>
      <c r="AI76" s="131" t="n">
        <f aca="false">IF(OR($C76="",$B$2="",$D$2=0),0,IF(AI$3&lt;0,0,N(INDEX('CURVA PREVISION'!$A$1:$KZ$3000,$C76,11+3*MIN(AI$3,$D$2-1)))))</f>
        <v>0</v>
      </c>
      <c r="AJ76" s="131" t="n">
        <f aca="false">IF(OR($C76="",$B$2="",$D$2=0),0,IF(AJ$3&lt;0,0,N(INDEX('CURVA PREVISION'!$A$1:$KZ$3000,$C76,11+3*MIN(AJ$3,$D$2-1)))))</f>
        <v>0</v>
      </c>
      <c r="AK76" s="131" t="n">
        <f aca="false">IF(OR($C76="",$B$2="",$D$2=0),0,IF(AK$3&lt;0,0,N(INDEX('CURVA PREVISION'!$A$1:$KZ$3000,$C76,11+3*MIN(AK$3,$D$2-1)))))</f>
        <v>0</v>
      </c>
      <c r="AL76" s="131" t="n">
        <f aca="false">IF(OR($C76="",$B$2="",$D$2=0),0,IF(AL$3&lt;0,0,N(INDEX('CURVA PREVISION'!$A$1:$KZ$3000,$C76,11+3*MIN(AL$3,$D$2-1)))))</f>
        <v>0</v>
      </c>
      <c r="AM76" s="131" t="n">
        <f aca="false">IF(OR($C76="",$B$2="",$D$2=0),0,IF(AM$3&lt;0,0,N(INDEX('CURVA PREVISION'!$A$1:$KZ$3000,$C76,11+3*MIN(AM$3,$D$2-1)))))</f>
        <v>0</v>
      </c>
      <c r="AN76" s="131" t="n">
        <f aca="false">IF(OR($C76="",$B$2="",$D$2=0),0,IF(AN$3&lt;0,0,N(INDEX('CURVA PREVISION'!$A$1:$KZ$3000,$C76,11+3*MIN(AN$3,$D$2-1)))))</f>
        <v>0</v>
      </c>
      <c r="AO76" s="131" t="n">
        <f aca="false">IF(OR($C76="",$B$2="",$D$2=0),0,IF(AO$3&lt;0,0,N(INDEX('CURVA PREVISION'!$A$1:$KZ$3000,$C76,11+3*MIN(AO$3,$D$2-1)))))</f>
        <v>0</v>
      </c>
      <c r="AP76" s="131" t="n">
        <f aca="false">IF(OR($C76="",$B$2="",$D$2=0),0,IF(AP$3&lt;0,0,N(INDEX('CURVA PREVISION'!$A$1:$KZ$3000,$C76,11+3*MIN(AP$3,$D$2-1)))))</f>
        <v>0</v>
      </c>
      <c r="AQ76" s="131" t="n">
        <f aca="false">IF(OR($C76="",$B$2="",$D$2=0),0,IF(AQ$3&lt;0,0,N(INDEX('CURVA PREVISION'!$A$1:$KZ$3000,$C76,11+3*MIN(AQ$3,$D$2-1)))))</f>
        <v>0</v>
      </c>
      <c r="AR76" s="131" t="n">
        <f aca="false">IF(OR($C76="",$B$2="",$D$2=0),0,IF(AR$3&lt;0,0,N(INDEX('CURVA PREVISION'!$A$1:$KZ$3000,$C76,11+3*MIN(AR$3,$D$2-1)))))</f>
        <v>0</v>
      </c>
      <c r="AS76" s="131" t="n">
        <f aca="false">IF(OR($C76="",$B$2="",$D$2=0),0,IF(AS$3&lt;0,0,N(INDEX('CURVA PREVISION'!$A$1:$KZ$3000,$C76,11+3*MIN(AS$3,$D$2-1)))))</f>
        <v>0</v>
      </c>
      <c r="AT76" s="131" t="n">
        <f aca="false">IF(OR($C76="",$B$2="",$D$2=0),0,IF(AT$3&lt;0,0,N(INDEX('CURVA PREVISION'!$A$1:$KZ$3000,$C76,11+3*MIN(AT$3,$D$2-1)))))</f>
        <v>0</v>
      </c>
      <c r="AU76" s="131" t="n">
        <f aca="false">IF(OR($C76="",$B$2="",$D$2=0),0,IF(AU$3&lt;0,0,N(INDEX('CURVA PREVISION'!$A$1:$KZ$3000,$C76,11+3*MIN(AU$3,$D$2-1)))))</f>
        <v>0</v>
      </c>
      <c r="AV76" s="131" t="n">
        <f aca="false">IF(OR($C76="",$B$2="",$D$2=0),0,IF(AV$3&lt;0,0,N(INDEX('CURVA PREVISION'!$A$1:$KZ$3000,$C76,11+3*MIN(AV$3,$D$2-1)))))</f>
        <v>0</v>
      </c>
      <c r="AW76" s="131" t="n">
        <f aca="false">IF(OR($C76="",$B$2="",$D$2=0),0,IF(AW$3&lt;0,0,N(INDEX('CURVA PREVISION'!$A$1:$KZ$3000,$C76,11+3*MIN(AW$3,$D$2-1)))))</f>
        <v>0</v>
      </c>
      <c r="AX76" s="131" t="n">
        <f aca="false">IF(OR($C76="",$B$2="",$D$2=0),0,IF(AX$3&lt;0,0,N(INDEX('CURVA PREVISION'!$A$1:$KZ$3000,$C76,11+3*MIN(AX$3,$D$2-1)))))</f>
        <v>0</v>
      </c>
      <c r="AY76" s="131" t="n">
        <f aca="false">IF(OR($C76="",$B$2="",$D$2=0),0,IF(AY$3&lt;0,0,N(INDEX('CURVA PREVISION'!$A$1:$KZ$3000,$C76,11+3*MIN(AY$3,$D$2-1)))))</f>
        <v>0</v>
      </c>
      <c r="AZ76" s="131" t="n">
        <f aca="false">IF(OR($C76="",$B$2="",$D$2=0),0,IF(AZ$3&lt;0,0,N(INDEX('CURVA PREVISION'!$A$1:$KZ$3000,$C76,11+3*MIN(AZ$3,$D$2-1)))))</f>
        <v>0</v>
      </c>
      <c r="BA76" s="131" t="n">
        <f aca="false">IF(OR($C76="",$B$2="",$D$2=0),0,IF(BA$3&lt;0,0,N(INDEX('CURVA PREVISION'!$A$1:$KZ$3000,$C76,11+3*MIN(BA$3,$D$2-1)))))</f>
        <v>0</v>
      </c>
      <c r="BB76" s="131" t="n">
        <f aca="false">IF(OR($C76="",$B$2="",$D$2=0),0,IF(BB$3&lt;0,0,N(INDEX('CURVA PREVISION'!$A$1:$KZ$3000,$C76,11+3*MIN(BB$3,$D$2-1)))))</f>
        <v>0</v>
      </c>
      <c r="BC76" s="131" t="n">
        <f aca="false">IF(OR($C76="",$B$2="",$D$2=0),0,IF(BC$3&lt;0,0,N(INDEX('CURVA PREVISION'!$A$1:$KZ$3000,$C76,11+3*MIN(BC$3,$D$2-1)))))</f>
        <v>0</v>
      </c>
      <c r="BD76" s="131" t="n">
        <f aca="false">IF(OR($C76="",$B$2="",$D$2=0),0,IF(BD$3&lt;0,0,N(INDEX('CURVA PREVISION'!$A$1:$KZ$3000,$C76,11+3*MIN(BD$3,$D$2-1)))))</f>
        <v>0</v>
      </c>
      <c r="BE76" s="131" t="n">
        <f aca="false">IF(OR($C76="",$B$2="",$D$2=0),0,IF(BE$3&lt;0,0,N(INDEX('CURVA PREVISION'!$A$1:$KZ$3000,$C76,11+3*MIN(BE$3,$D$2-1)))))</f>
        <v>0</v>
      </c>
      <c r="BF76" s="131" t="n">
        <f aca="false">IF(OR($C76="",$B$2="",$D$2=0),0,IF(BF$3&lt;0,0,N(INDEX('CURVA PREVISION'!$A$1:$KZ$3000,$C76,11+3*MIN(BF$3,$D$2-1)))))</f>
        <v>0</v>
      </c>
      <c r="BG76" s="131" t="n">
        <f aca="false">IF(OR($C76="",$B$2="",$D$2=0),0,IF(BG$3&lt;0,0,N(INDEX('CURVA PREVISION'!$A$1:$KZ$3000,$C76,11+3*MIN(BG$3,$D$2-1)))))</f>
        <v>0</v>
      </c>
      <c r="BH76" s="131" t="n">
        <f aca="false">IF(OR($C76="",$B$2="",$D$2=0),0,IF(BH$3&lt;0,0,N(INDEX('CURVA PREVISION'!$A$1:$KZ$3000,$C76,11+3*MIN(BH$3,$D$2-1)))))</f>
        <v>0</v>
      </c>
      <c r="BI76" s="131" t="n">
        <f aca="false">IF(OR($C76="",$B$2="",$D$2=0),0,IF(BI$3&lt;0,0,N(INDEX('CURVA PREVISION'!$A$1:$KZ$3000,$C76,11+3*MIN(BI$3,$D$2-1)))))</f>
        <v>0</v>
      </c>
      <c r="BJ76" s="131" t="n">
        <f aca="false">IF(OR($C76="",$B$2="",$D$2=0),0,IF(BJ$3&lt;0,0,N(INDEX('CURVA PREVISION'!$A$1:$KZ$3000,$C76,11+3*MIN(BJ$3,$D$2-1)))))</f>
        <v>0</v>
      </c>
      <c r="BK76" s="131" t="n">
        <f aca="false">IF(OR($C76="",$B$2="",$D$2=0),0,IF(BK$3&lt;0,0,N(INDEX('CURVA PREVISION'!$A$1:$KZ$3000,$C76,11+3*MIN(BK$3,$D$2-1)))))</f>
        <v>0</v>
      </c>
      <c r="BL76" s="131" t="n">
        <f aca="false">IF(OR($C76="",$B$2="",$D$2=0),0,IF(BL$3&lt;0,0,N(INDEX('CURVA PREVISION'!$A$1:$KZ$3000,$C76,11+3*MIN(BL$3,$D$2-1)))))</f>
        <v>0</v>
      </c>
      <c r="BM76" s="131" t="n">
        <f aca="false">IF(OR($C76="",$B$2="",$D$2=0),0,IF(BM$3&lt;0,0,N(INDEX('CURVA PREVISION'!$A$1:$KZ$3000,$C76,11+3*MIN(BM$3,$D$2-1)))))</f>
        <v>0</v>
      </c>
      <c r="BN76" s="131" t="n">
        <f aca="false">IF(OR($C76="",$B$2="",$D$2=0),0,IF(BN$3&lt;0,0,N(INDEX('CURVA PREVISION'!$A$1:$KZ$3000,$C76,11+3*MIN(BN$3,$D$2-1)))))</f>
        <v>0</v>
      </c>
      <c r="BO76" s="131" t="n">
        <f aca="false">IF(OR($C76="",$B$2="",$D$2=0),0,IF(BO$3&lt;0,0,N(INDEX('CURVA PREVISION'!$A$1:$KZ$3000,$C76,11+3*MIN(BO$3,$D$2-1)))))</f>
        <v>0</v>
      </c>
      <c r="BP76" s="131" t="n">
        <f aca="false">IF(OR($C76="",$B$2="",$D$2=0),0,IF(BP$3&lt;0,0,N(INDEX('CURVA PREVISION'!$A$1:$KZ$3000,$C76,11+3*MIN(BP$3,$D$2-1)))))</f>
        <v>0</v>
      </c>
      <c r="BQ76" s="131" t="n">
        <f aca="false">IF(OR($C76="",$B$2="",$D$2=0),0,IF(BQ$3&lt;0,0,N(INDEX('CURVA PREVISION'!$A$1:$KZ$3000,$C76,11+3*MIN(BQ$3,$D$2-1)))))</f>
        <v>0</v>
      </c>
      <c r="BR76" s="131" t="n">
        <f aca="false">IF(OR($C76="",$B$2="",$D$2=0),0,IF(BR$3&lt;0,0,N(INDEX('CURVA PREVISION'!$A$1:$KZ$3000,$C76,11+3*MIN(BR$3,$D$2-1)))))</f>
        <v>0</v>
      </c>
      <c r="BS76" s="131" t="n">
        <f aca="false">IF(OR($C76="",$B$2="",$D$2=0),0,IF(BS$3&lt;0,0,N(INDEX('CURVA PREVISION'!$A$1:$KZ$3000,$C76,11+3*MIN(BS$3,$D$2-1)))))</f>
        <v>0</v>
      </c>
      <c r="BT76" s="131" t="n">
        <f aca="false">IF(OR($C76="",$B$2="",$D$2=0),0,IF(BT$3&lt;0,0,N(INDEX('CURVA PREVISION'!$A$1:$KZ$3000,$C76,11+3*MIN(BT$3,$D$2-1)))))</f>
        <v>0</v>
      </c>
      <c r="BU76" s="131" t="n">
        <f aca="false">IF(OR($C76="",$B$2="",$D$2=0),0,IF(BU$3&lt;0,0,N(INDEX('CURVA PREVISION'!$A$1:$KZ$3000,$C76,11+3*MIN(BU$3,$D$2-1)))))</f>
        <v>0</v>
      </c>
      <c r="BV76" s="131" t="n">
        <f aca="false">IF(OR($C76="",$B$2="",$D$2=0),0,IF(BV$3&lt;0,0,N(INDEX('CURVA PREVISION'!$A$1:$KZ$3000,$C76,11+3*MIN(BV$3,$D$2-1)))))</f>
        <v>0</v>
      </c>
      <c r="BW76" s="131" t="n">
        <f aca="false">IF(OR($C76="",$B$2="",$D$2=0),0,IF(BW$3&lt;0,0,N(INDEX('CURVA PREVISION'!$A$1:$KZ$3000,$C76,11+3*MIN(BW$3,$D$2-1)))))</f>
        <v>0</v>
      </c>
    </row>
    <row r="77" customFormat="false" ht="15" hidden="false" customHeight="false" outlineLevel="0" collapsed="false">
      <c r="A77" s="57" t="str">
        <f aca="false">IF('VALOR POR PL'!Q41="",'VALOR POR PL'!C41,'VALOR POR PL'!Q41)</f>
        <v>31</v>
      </c>
      <c r="B77" s="47" t="str">
        <f aca="false">B35</f>
        <v>PAVIMENTAÇÃO</v>
      </c>
      <c r="C77" s="64" t="n">
        <f aca="false">IFERROR(MATCH(A77,'CURVA PREVISION'!$B$1:$B$3000,0),"")</f>
        <v>934</v>
      </c>
      <c r="D77" s="131" t="n">
        <f aca="false">IF(OR($C77="",$B$2="",$D$2=0),0,IF(D$3&lt;0,0,N(INDEX('CURVA PREVISION'!$A$1:$KZ$3000,$C77,11+3*MIN(D$3,$D$2-1)))))</f>
        <v>0</v>
      </c>
      <c r="E77" s="131" t="n">
        <f aca="false">IF(OR($C77="",$B$2="",$D$2=0),0,IF(E$3&lt;0,0,N(INDEX('CURVA PREVISION'!$A$1:$KZ$3000,$C77,11+3*MIN(E$3,$D$2-1)))))</f>
        <v>0</v>
      </c>
      <c r="F77" s="131" t="n">
        <f aca="false">IF(OR($C77="",$B$2="",$D$2=0),0,IF(F$3&lt;0,0,N(INDEX('CURVA PREVISION'!$A$1:$KZ$3000,$C77,11+3*MIN(F$3,$D$2-1)))))</f>
        <v>0</v>
      </c>
      <c r="G77" s="131" t="n">
        <f aca="false">IF(OR($C77="",$B$2="",$D$2=0),0,IF(G$3&lt;0,0,N(INDEX('CURVA PREVISION'!$A$1:$KZ$3000,$C77,11+3*MIN(G$3,$D$2-1)))))</f>
        <v>0</v>
      </c>
      <c r="H77" s="131" t="n">
        <f aca="false">IF(OR($C77="",$B$2="",$D$2=0),0,IF(H$3&lt;0,0,N(INDEX('CURVA PREVISION'!$A$1:$KZ$3000,$C77,11+3*MIN(H$3,$D$2-1)))))</f>
        <v>0</v>
      </c>
      <c r="I77" s="131" t="n">
        <f aca="false">IF(OR($C77="",$B$2="",$D$2=0),0,IF(I$3&lt;0,0,N(INDEX('CURVA PREVISION'!$A$1:$KZ$3000,$C77,11+3*MIN(I$3,$D$2-1)))))</f>
        <v>0</v>
      </c>
      <c r="J77" s="131" t="n">
        <f aca="false">IF(OR($C77="",$B$2="",$D$2=0),0,IF(J$3&lt;0,0,N(INDEX('CURVA PREVISION'!$A$1:$KZ$3000,$C77,11+3*MIN(J$3,$D$2-1)))))</f>
        <v>0</v>
      </c>
      <c r="K77" s="131" t="n">
        <f aca="false">IF(OR($C77="",$B$2="",$D$2=0),0,IF(K$3&lt;0,0,N(INDEX('CURVA PREVISION'!$A$1:$KZ$3000,$C77,11+3*MIN(K$3,$D$2-1)))))</f>
        <v>0</v>
      </c>
      <c r="L77" s="131" t="n">
        <f aca="false">IF(OR($C77="",$B$2="",$D$2=0),0,IF(L$3&lt;0,0,N(INDEX('CURVA PREVISION'!$A$1:$KZ$3000,$C77,11+3*MIN(L$3,$D$2-1)))))</f>
        <v>0</v>
      </c>
      <c r="M77" s="131" t="n">
        <f aca="false">IF(OR($C77="",$B$2="",$D$2=0),0,IF(M$3&lt;0,0,N(INDEX('CURVA PREVISION'!$A$1:$KZ$3000,$C77,11+3*MIN(M$3,$D$2-1)))))</f>
        <v>0</v>
      </c>
      <c r="N77" s="131" t="n">
        <f aca="false">IF(OR($C77="",$B$2="",$D$2=0),0,IF(N$3&lt;0,0,N(INDEX('CURVA PREVISION'!$A$1:$KZ$3000,$C77,11+3*MIN(N$3,$D$2-1)))))</f>
        <v>0</v>
      </c>
      <c r="O77" s="131" t="n">
        <f aca="false">IF(OR($C77="",$B$2="",$D$2=0),0,IF(O$3&lt;0,0,N(INDEX('CURVA PREVISION'!$A$1:$KZ$3000,$C77,11+3*MIN(O$3,$D$2-1)))))</f>
        <v>0</v>
      </c>
      <c r="P77" s="131" t="n">
        <f aca="false">IF(OR($C77="",$B$2="",$D$2=0),0,IF(P$3&lt;0,0,N(INDEX('CURVA PREVISION'!$A$1:$KZ$3000,$C77,11+3*MIN(P$3,$D$2-1)))))</f>
        <v>0</v>
      </c>
      <c r="Q77" s="131" t="n">
        <f aca="false">IF(OR($C77="",$B$2="",$D$2=0),0,IF(Q$3&lt;0,0,N(INDEX('CURVA PREVISION'!$A$1:$KZ$3000,$C77,11+3*MIN(Q$3,$D$2-1)))))</f>
        <v>0</v>
      </c>
      <c r="R77" s="131" t="n">
        <f aca="false">IF(OR($C77="",$B$2="",$D$2=0),0,IF(R$3&lt;0,0,N(INDEX('CURVA PREVISION'!$A$1:$KZ$3000,$C77,11+3*MIN(R$3,$D$2-1)))))</f>
        <v>0</v>
      </c>
      <c r="S77" s="131" t="n">
        <f aca="false">IF(OR($C77="",$B$2="",$D$2=0),0,IF(S$3&lt;0,0,N(INDEX('CURVA PREVISION'!$A$1:$KZ$3000,$C77,11+3*MIN(S$3,$D$2-1)))))</f>
        <v>0</v>
      </c>
      <c r="T77" s="131" t="n">
        <f aca="false">IF(OR($C77="",$B$2="",$D$2=0),0,IF(T$3&lt;0,0,N(INDEX('CURVA PREVISION'!$A$1:$KZ$3000,$C77,11+3*MIN(T$3,$D$2-1)))))</f>
        <v>0</v>
      </c>
      <c r="U77" s="131" t="n">
        <f aca="false">IF(OR($C77="",$B$2="",$D$2=0),0,IF(U$3&lt;0,0,N(INDEX('CURVA PREVISION'!$A$1:$KZ$3000,$C77,11+3*MIN(U$3,$D$2-1)))))</f>
        <v>0</v>
      </c>
      <c r="V77" s="131" t="n">
        <f aca="false">IF(OR($C77="",$B$2="",$D$2=0),0,IF(V$3&lt;0,0,N(INDEX('CURVA PREVISION'!$A$1:$KZ$3000,$C77,11+3*MIN(V$3,$D$2-1)))))</f>
        <v>0</v>
      </c>
      <c r="W77" s="131" t="n">
        <f aca="false">IF(OR($C77="",$B$2="",$D$2=0),0,IF(W$3&lt;0,0,N(INDEX('CURVA PREVISION'!$A$1:$KZ$3000,$C77,11+3*MIN(W$3,$D$2-1)))))</f>
        <v>0</v>
      </c>
      <c r="X77" s="131" t="n">
        <f aca="false">IF(OR($C77="",$B$2="",$D$2=0),0,IF(X$3&lt;0,0,N(INDEX('CURVA PREVISION'!$A$1:$KZ$3000,$C77,11+3*MIN(X$3,$D$2-1)))))</f>
        <v>0</v>
      </c>
      <c r="Y77" s="131" t="n">
        <f aca="false">IF(OR($C77="",$B$2="",$D$2=0),0,IF(Y$3&lt;0,0,N(INDEX('CURVA PREVISION'!$A$1:$KZ$3000,$C77,11+3*MIN(Y$3,$D$2-1)))))</f>
        <v>0</v>
      </c>
      <c r="Z77" s="131" t="n">
        <f aca="false">IF(OR($C77="",$B$2="",$D$2=0),0,IF(Z$3&lt;0,0,N(INDEX('CURVA PREVISION'!$A$1:$KZ$3000,$C77,11+3*MIN(Z$3,$D$2-1)))))</f>
        <v>0</v>
      </c>
      <c r="AA77" s="131" t="n">
        <f aca="false">IF(OR($C77="",$B$2="",$D$2=0),0,IF(AA$3&lt;0,0,N(INDEX('CURVA PREVISION'!$A$1:$KZ$3000,$C77,11+3*MIN(AA$3,$D$2-1)))))</f>
        <v>0</v>
      </c>
      <c r="AB77" s="131" t="n">
        <f aca="false">IF(OR($C77="",$B$2="",$D$2=0),0,IF(AB$3&lt;0,0,N(INDEX('CURVA PREVISION'!$A$1:$KZ$3000,$C77,11+3*MIN(AB$3,$D$2-1)))))</f>
        <v>0</v>
      </c>
      <c r="AC77" s="131" t="n">
        <f aca="false">IF(OR($C77="",$B$2="",$D$2=0),0,IF(AC$3&lt;0,0,N(INDEX('CURVA PREVISION'!$A$1:$KZ$3000,$C77,11+3*MIN(AC$3,$D$2-1)))))</f>
        <v>0</v>
      </c>
      <c r="AD77" s="131" t="n">
        <f aca="false">IF(OR($C77="",$B$2="",$D$2=0),0,IF(AD$3&lt;0,0,N(INDEX('CURVA PREVISION'!$A$1:$KZ$3000,$C77,11+3*MIN(AD$3,$D$2-1)))))</f>
        <v>0</v>
      </c>
      <c r="AE77" s="131" t="n">
        <f aca="false">IF(OR($C77="",$B$2="",$D$2=0),0,IF(AE$3&lt;0,0,N(INDEX('CURVA PREVISION'!$A$1:$KZ$3000,$C77,11+3*MIN(AE$3,$D$2-1)))))</f>
        <v>0</v>
      </c>
      <c r="AF77" s="131" t="n">
        <f aca="false">IF(OR($C77="",$B$2="",$D$2=0),0,IF(AF$3&lt;0,0,N(INDEX('CURVA PREVISION'!$A$1:$KZ$3000,$C77,11+3*MIN(AF$3,$D$2-1)))))</f>
        <v>0</v>
      </c>
      <c r="AG77" s="131" t="n">
        <f aca="false">IF(OR($C77="",$B$2="",$D$2=0),0,IF(AG$3&lt;0,0,N(INDEX('CURVA PREVISION'!$A$1:$KZ$3000,$C77,11+3*MIN(AG$3,$D$2-1)))))</f>
        <v>0</v>
      </c>
      <c r="AH77" s="131" t="n">
        <f aca="false">IF(OR($C77="",$B$2="",$D$2=0),0,IF(AH$3&lt;0,0,N(INDEX('CURVA PREVISION'!$A$1:$KZ$3000,$C77,11+3*MIN(AH$3,$D$2-1)))))</f>
        <v>0</v>
      </c>
      <c r="AI77" s="131" t="n">
        <f aca="false">IF(OR($C77="",$B$2="",$D$2=0),0,IF(AI$3&lt;0,0,N(INDEX('CURVA PREVISION'!$A$1:$KZ$3000,$C77,11+3*MIN(AI$3,$D$2-1)))))</f>
        <v>0</v>
      </c>
      <c r="AJ77" s="131" t="n">
        <f aca="false">IF(OR($C77="",$B$2="",$D$2=0),0,IF(AJ$3&lt;0,0,N(INDEX('CURVA PREVISION'!$A$1:$KZ$3000,$C77,11+3*MIN(AJ$3,$D$2-1)))))</f>
        <v>0</v>
      </c>
      <c r="AK77" s="131" t="n">
        <f aca="false">IF(OR($C77="",$B$2="",$D$2=0),0,IF(AK$3&lt;0,0,N(INDEX('CURVA PREVISION'!$A$1:$KZ$3000,$C77,11+3*MIN(AK$3,$D$2-1)))))</f>
        <v>0</v>
      </c>
      <c r="AL77" s="131" t="n">
        <f aca="false">IF(OR($C77="",$B$2="",$D$2=0),0,IF(AL$3&lt;0,0,N(INDEX('CURVA PREVISION'!$A$1:$KZ$3000,$C77,11+3*MIN(AL$3,$D$2-1)))))</f>
        <v>0</v>
      </c>
      <c r="AM77" s="131" t="n">
        <f aca="false">IF(OR($C77="",$B$2="",$D$2=0),0,IF(AM$3&lt;0,0,N(INDEX('CURVA PREVISION'!$A$1:$KZ$3000,$C77,11+3*MIN(AM$3,$D$2-1)))))</f>
        <v>0</v>
      </c>
      <c r="AN77" s="131" t="n">
        <f aca="false">IF(OR($C77="",$B$2="",$D$2=0),0,IF(AN$3&lt;0,0,N(INDEX('CURVA PREVISION'!$A$1:$KZ$3000,$C77,11+3*MIN(AN$3,$D$2-1)))))</f>
        <v>0</v>
      </c>
      <c r="AO77" s="131" t="n">
        <f aca="false">IF(OR($C77="",$B$2="",$D$2=0),0,IF(AO$3&lt;0,0,N(INDEX('CURVA PREVISION'!$A$1:$KZ$3000,$C77,11+3*MIN(AO$3,$D$2-1)))))</f>
        <v>0</v>
      </c>
      <c r="AP77" s="131" t="n">
        <f aca="false">IF(OR($C77="",$B$2="",$D$2=0),0,IF(AP$3&lt;0,0,N(INDEX('CURVA PREVISION'!$A$1:$KZ$3000,$C77,11+3*MIN(AP$3,$D$2-1)))))</f>
        <v>0</v>
      </c>
      <c r="AQ77" s="131" t="n">
        <f aca="false">IF(OR($C77="",$B$2="",$D$2=0),0,IF(AQ$3&lt;0,0,N(INDEX('CURVA PREVISION'!$A$1:$KZ$3000,$C77,11+3*MIN(AQ$3,$D$2-1)))))</f>
        <v>0</v>
      </c>
      <c r="AR77" s="131" t="n">
        <f aca="false">IF(OR($C77="",$B$2="",$D$2=0),0,IF(AR$3&lt;0,0,N(INDEX('CURVA PREVISION'!$A$1:$KZ$3000,$C77,11+3*MIN(AR$3,$D$2-1)))))</f>
        <v>0</v>
      </c>
      <c r="AS77" s="131" t="n">
        <f aca="false">IF(OR($C77="",$B$2="",$D$2=0),0,IF(AS$3&lt;0,0,N(INDEX('CURVA PREVISION'!$A$1:$KZ$3000,$C77,11+3*MIN(AS$3,$D$2-1)))))</f>
        <v>0</v>
      </c>
      <c r="AT77" s="131" t="n">
        <f aca="false">IF(OR($C77="",$B$2="",$D$2=0),0,IF(AT$3&lt;0,0,N(INDEX('CURVA PREVISION'!$A$1:$KZ$3000,$C77,11+3*MIN(AT$3,$D$2-1)))))</f>
        <v>0</v>
      </c>
      <c r="AU77" s="131" t="n">
        <f aca="false">IF(OR($C77="",$B$2="",$D$2=0),0,IF(AU$3&lt;0,0,N(INDEX('CURVA PREVISION'!$A$1:$KZ$3000,$C77,11+3*MIN(AU$3,$D$2-1)))))</f>
        <v>0</v>
      </c>
      <c r="AV77" s="131" t="n">
        <f aca="false">IF(OR($C77="",$B$2="",$D$2=0),0,IF(AV$3&lt;0,0,N(INDEX('CURVA PREVISION'!$A$1:$KZ$3000,$C77,11+3*MIN(AV$3,$D$2-1)))))</f>
        <v>0</v>
      </c>
      <c r="AW77" s="131" t="n">
        <f aca="false">IF(OR($C77="",$B$2="",$D$2=0),0,IF(AW$3&lt;0,0,N(INDEX('CURVA PREVISION'!$A$1:$KZ$3000,$C77,11+3*MIN(AW$3,$D$2-1)))))</f>
        <v>0</v>
      </c>
      <c r="AX77" s="131" t="n">
        <f aca="false">IF(OR($C77="",$B$2="",$D$2=0),0,IF(AX$3&lt;0,0,N(INDEX('CURVA PREVISION'!$A$1:$KZ$3000,$C77,11+3*MIN(AX$3,$D$2-1)))))</f>
        <v>0</v>
      </c>
      <c r="AY77" s="131" t="n">
        <f aca="false">IF(OR($C77="",$B$2="",$D$2=0),0,IF(AY$3&lt;0,0,N(INDEX('CURVA PREVISION'!$A$1:$KZ$3000,$C77,11+3*MIN(AY$3,$D$2-1)))))</f>
        <v>0</v>
      </c>
      <c r="AZ77" s="131" t="n">
        <f aca="false">IF(OR($C77="",$B$2="",$D$2=0),0,IF(AZ$3&lt;0,0,N(INDEX('CURVA PREVISION'!$A$1:$KZ$3000,$C77,11+3*MIN(AZ$3,$D$2-1)))))</f>
        <v>0</v>
      </c>
      <c r="BA77" s="131" t="n">
        <f aca="false">IF(OR($C77="",$B$2="",$D$2=0),0,IF(BA$3&lt;0,0,N(INDEX('CURVA PREVISION'!$A$1:$KZ$3000,$C77,11+3*MIN(BA$3,$D$2-1)))))</f>
        <v>0</v>
      </c>
      <c r="BB77" s="131" t="n">
        <f aca="false">IF(OR($C77="",$B$2="",$D$2=0),0,IF(BB$3&lt;0,0,N(INDEX('CURVA PREVISION'!$A$1:$KZ$3000,$C77,11+3*MIN(BB$3,$D$2-1)))))</f>
        <v>0</v>
      </c>
      <c r="BC77" s="131" t="n">
        <f aca="false">IF(OR($C77="",$B$2="",$D$2=0),0,IF(BC$3&lt;0,0,N(INDEX('CURVA PREVISION'!$A$1:$KZ$3000,$C77,11+3*MIN(BC$3,$D$2-1)))))</f>
        <v>0</v>
      </c>
      <c r="BD77" s="131" t="n">
        <f aca="false">IF(OR($C77="",$B$2="",$D$2=0),0,IF(BD$3&lt;0,0,N(INDEX('CURVA PREVISION'!$A$1:$KZ$3000,$C77,11+3*MIN(BD$3,$D$2-1)))))</f>
        <v>0</v>
      </c>
      <c r="BE77" s="131" t="n">
        <f aca="false">IF(OR($C77="",$B$2="",$D$2=0),0,IF(BE$3&lt;0,0,N(INDEX('CURVA PREVISION'!$A$1:$KZ$3000,$C77,11+3*MIN(BE$3,$D$2-1)))))</f>
        <v>0</v>
      </c>
      <c r="BF77" s="131" t="n">
        <f aca="false">IF(OR($C77="",$B$2="",$D$2=0),0,IF(BF$3&lt;0,0,N(INDEX('CURVA PREVISION'!$A$1:$KZ$3000,$C77,11+3*MIN(BF$3,$D$2-1)))))</f>
        <v>0</v>
      </c>
      <c r="BG77" s="131" t="n">
        <f aca="false">IF(OR($C77="",$B$2="",$D$2=0),0,IF(BG$3&lt;0,0,N(INDEX('CURVA PREVISION'!$A$1:$KZ$3000,$C77,11+3*MIN(BG$3,$D$2-1)))))</f>
        <v>0</v>
      </c>
      <c r="BH77" s="131" t="n">
        <f aca="false">IF(OR($C77="",$B$2="",$D$2=0),0,IF(BH$3&lt;0,0,N(INDEX('CURVA PREVISION'!$A$1:$KZ$3000,$C77,11+3*MIN(BH$3,$D$2-1)))))</f>
        <v>0</v>
      </c>
      <c r="BI77" s="131" t="n">
        <f aca="false">IF(OR($C77="",$B$2="",$D$2=0),0,IF(BI$3&lt;0,0,N(INDEX('CURVA PREVISION'!$A$1:$KZ$3000,$C77,11+3*MIN(BI$3,$D$2-1)))))</f>
        <v>0</v>
      </c>
      <c r="BJ77" s="131" t="n">
        <f aca="false">IF(OR($C77="",$B$2="",$D$2=0),0,IF(BJ$3&lt;0,0,N(INDEX('CURVA PREVISION'!$A$1:$KZ$3000,$C77,11+3*MIN(BJ$3,$D$2-1)))))</f>
        <v>0</v>
      </c>
      <c r="BK77" s="131" t="n">
        <f aca="false">IF(OR($C77="",$B$2="",$D$2=0),0,IF(BK$3&lt;0,0,N(INDEX('CURVA PREVISION'!$A$1:$KZ$3000,$C77,11+3*MIN(BK$3,$D$2-1)))))</f>
        <v>0</v>
      </c>
      <c r="BL77" s="131" t="n">
        <f aca="false">IF(OR($C77="",$B$2="",$D$2=0),0,IF(BL$3&lt;0,0,N(INDEX('CURVA PREVISION'!$A$1:$KZ$3000,$C77,11+3*MIN(BL$3,$D$2-1)))))</f>
        <v>0</v>
      </c>
      <c r="BM77" s="131" t="n">
        <f aca="false">IF(OR($C77="",$B$2="",$D$2=0),0,IF(BM$3&lt;0,0,N(INDEX('CURVA PREVISION'!$A$1:$KZ$3000,$C77,11+3*MIN(BM$3,$D$2-1)))))</f>
        <v>0</v>
      </c>
      <c r="BN77" s="131" t="n">
        <f aca="false">IF(OR($C77="",$B$2="",$D$2=0),0,IF(BN$3&lt;0,0,N(INDEX('CURVA PREVISION'!$A$1:$KZ$3000,$C77,11+3*MIN(BN$3,$D$2-1)))))</f>
        <v>0</v>
      </c>
      <c r="BO77" s="131" t="n">
        <f aca="false">IF(OR($C77="",$B$2="",$D$2=0),0,IF(BO$3&lt;0,0,N(INDEX('CURVA PREVISION'!$A$1:$KZ$3000,$C77,11+3*MIN(BO$3,$D$2-1)))))</f>
        <v>0</v>
      </c>
      <c r="BP77" s="131" t="n">
        <f aca="false">IF(OR($C77="",$B$2="",$D$2=0),0,IF(BP$3&lt;0,0,N(INDEX('CURVA PREVISION'!$A$1:$KZ$3000,$C77,11+3*MIN(BP$3,$D$2-1)))))</f>
        <v>0</v>
      </c>
      <c r="BQ77" s="131" t="n">
        <f aca="false">IF(OR($C77="",$B$2="",$D$2=0),0,IF(BQ$3&lt;0,0,N(INDEX('CURVA PREVISION'!$A$1:$KZ$3000,$C77,11+3*MIN(BQ$3,$D$2-1)))))</f>
        <v>0</v>
      </c>
      <c r="BR77" s="131" t="n">
        <f aca="false">IF(OR($C77="",$B$2="",$D$2=0),0,IF(BR$3&lt;0,0,N(INDEX('CURVA PREVISION'!$A$1:$KZ$3000,$C77,11+3*MIN(BR$3,$D$2-1)))))</f>
        <v>0</v>
      </c>
      <c r="BS77" s="131" t="n">
        <f aca="false">IF(OR($C77="",$B$2="",$D$2=0),0,IF(BS$3&lt;0,0,N(INDEX('CURVA PREVISION'!$A$1:$KZ$3000,$C77,11+3*MIN(BS$3,$D$2-1)))))</f>
        <v>0</v>
      </c>
      <c r="BT77" s="131" t="n">
        <f aca="false">IF(OR($C77="",$B$2="",$D$2=0),0,IF(BT$3&lt;0,0,N(INDEX('CURVA PREVISION'!$A$1:$KZ$3000,$C77,11+3*MIN(BT$3,$D$2-1)))))</f>
        <v>0</v>
      </c>
      <c r="BU77" s="131" t="n">
        <f aca="false">IF(OR($C77="",$B$2="",$D$2=0),0,IF(BU$3&lt;0,0,N(INDEX('CURVA PREVISION'!$A$1:$KZ$3000,$C77,11+3*MIN(BU$3,$D$2-1)))))</f>
        <v>0</v>
      </c>
      <c r="BV77" s="131" t="n">
        <f aca="false">IF(OR($C77="",$B$2="",$D$2=0),0,IF(BV$3&lt;0,0,N(INDEX('CURVA PREVISION'!$A$1:$KZ$3000,$C77,11+3*MIN(BV$3,$D$2-1)))))</f>
        <v>0</v>
      </c>
      <c r="BW77" s="131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- FACHADA</v>
      </c>
      <c r="C78" s="64" t="n">
        <f aca="false">IFERROR(MATCH(A78,'CURVA PREVISION'!$B$1:$B$3000,0),"")</f>
        <v>945</v>
      </c>
      <c r="D78" s="131" t="n">
        <f aca="false">IF(OR($C78="",$B$2="",$D$2=0),0,IF(D$3&lt;0,0,N(INDEX('CURVA PREVISION'!$A$1:$KZ$3000,$C78,11+3*MIN(D$3,$D$2-1)))))</f>
        <v>0</v>
      </c>
      <c r="E78" s="131" t="n">
        <f aca="false">IF(OR($C78="",$B$2="",$D$2=0),0,IF(E$3&lt;0,0,N(INDEX('CURVA PREVISION'!$A$1:$KZ$3000,$C78,11+3*MIN(E$3,$D$2-1)))))</f>
        <v>0</v>
      </c>
      <c r="F78" s="131" t="n">
        <f aca="false">IF(OR($C78="",$B$2="",$D$2=0),0,IF(F$3&lt;0,0,N(INDEX('CURVA PREVISION'!$A$1:$KZ$3000,$C78,11+3*MIN(F$3,$D$2-1)))))</f>
        <v>0</v>
      </c>
      <c r="G78" s="131" t="n">
        <f aca="false">IF(OR($C78="",$B$2="",$D$2=0),0,IF(G$3&lt;0,0,N(INDEX('CURVA PREVISION'!$A$1:$KZ$3000,$C78,11+3*MIN(G$3,$D$2-1)))))</f>
        <v>0</v>
      </c>
      <c r="H78" s="131" t="n">
        <f aca="false">IF(OR($C78="",$B$2="",$D$2=0),0,IF(H$3&lt;0,0,N(INDEX('CURVA PREVISION'!$A$1:$KZ$3000,$C78,11+3*MIN(H$3,$D$2-1)))))</f>
        <v>0</v>
      </c>
      <c r="I78" s="131" t="n">
        <f aca="false">IF(OR($C78="",$B$2="",$D$2=0),0,IF(I$3&lt;0,0,N(INDEX('CURVA PREVISION'!$A$1:$KZ$3000,$C78,11+3*MIN(I$3,$D$2-1)))))</f>
        <v>0</v>
      </c>
      <c r="J78" s="131" t="n">
        <f aca="false">IF(OR($C78="",$B$2="",$D$2=0),0,IF(J$3&lt;0,0,N(INDEX('CURVA PREVISION'!$A$1:$KZ$3000,$C78,11+3*MIN(J$3,$D$2-1)))))</f>
        <v>0.24</v>
      </c>
      <c r="K78" s="131" t="n">
        <f aca="false">IF(OR($C78="",$B$2="",$D$2=0),0,IF(K$3&lt;0,0,N(INDEX('CURVA PREVISION'!$A$1:$KZ$3000,$C78,11+3*MIN(K$3,$D$2-1)))))</f>
        <v>0.35</v>
      </c>
      <c r="L78" s="131" t="n">
        <f aca="false">IF(OR($C78="",$B$2="",$D$2=0),0,IF(L$3&lt;0,0,N(INDEX('CURVA PREVISION'!$A$1:$KZ$3000,$C78,11+3*MIN(L$3,$D$2-1)))))</f>
        <v>0.44</v>
      </c>
      <c r="M78" s="131" t="n">
        <f aca="false">IF(OR($C78="",$B$2="",$D$2=0),0,IF(M$3&lt;0,0,N(INDEX('CURVA PREVISION'!$A$1:$KZ$3000,$C78,11+3*MIN(M$3,$D$2-1)))))</f>
        <v>0.5</v>
      </c>
      <c r="N78" s="131" t="n">
        <f aca="false">IF(OR($C78="",$B$2="",$D$2=0),0,IF(N$3&lt;0,0,N(INDEX('CURVA PREVISION'!$A$1:$KZ$3000,$C78,11+3*MIN(N$3,$D$2-1)))))</f>
        <v>0.5</v>
      </c>
      <c r="O78" s="131" t="n">
        <f aca="false">IF(OR($C78="",$B$2="",$D$2=0),0,IF(O$3&lt;0,0,N(INDEX('CURVA PREVISION'!$A$1:$KZ$3000,$C78,11+3*MIN(O$3,$D$2-1)))))</f>
        <v>0.5</v>
      </c>
      <c r="P78" s="131" t="n">
        <f aca="false">IF(OR($C78="",$B$2="",$D$2=0),0,IF(P$3&lt;0,0,N(INDEX('CURVA PREVISION'!$A$1:$KZ$3000,$C78,11+3*MIN(P$3,$D$2-1)))))</f>
        <v>0.5</v>
      </c>
      <c r="Q78" s="131" t="n">
        <f aca="false">IF(OR($C78="",$B$2="",$D$2=0),0,IF(Q$3&lt;0,0,N(INDEX('CURVA PREVISION'!$A$1:$KZ$3000,$C78,11+3*MIN(Q$3,$D$2-1)))))</f>
        <v>0.5</v>
      </c>
      <c r="R78" s="131" t="n">
        <f aca="false">IF(OR($C78="",$B$2="",$D$2=0),0,IF(R$3&lt;0,0,N(INDEX('CURVA PREVISION'!$A$1:$KZ$3000,$C78,11+3*MIN(R$3,$D$2-1)))))</f>
        <v>0.5</v>
      </c>
      <c r="S78" s="131" t="n">
        <f aca="false">IF(OR($C78="",$B$2="",$D$2=0),0,IF(S$3&lt;0,0,N(INDEX('CURVA PREVISION'!$A$1:$KZ$3000,$C78,11+3*MIN(S$3,$D$2-1)))))</f>
        <v>0.5</v>
      </c>
      <c r="T78" s="131" t="n">
        <f aca="false">IF(OR($C78="",$B$2="",$D$2=0),0,IF(T$3&lt;0,0,N(INDEX('CURVA PREVISION'!$A$1:$KZ$3000,$C78,11+3*MIN(T$3,$D$2-1)))))</f>
        <v>0.78</v>
      </c>
      <c r="U78" s="131" t="n">
        <f aca="false">IF(OR($C78="",$B$2="",$D$2=0),0,IF(U$3&lt;0,0,N(INDEX('CURVA PREVISION'!$A$1:$KZ$3000,$C78,11+3*MIN(U$3,$D$2-1)))))</f>
        <v>1.28</v>
      </c>
      <c r="V78" s="131" t="n">
        <f aca="false">IF(OR($C78="",$B$2="",$D$2=0),0,IF(V$3&lt;0,0,N(INDEX('CURVA PREVISION'!$A$1:$KZ$3000,$C78,11+3*MIN(V$3,$D$2-1)))))</f>
        <v>2.07</v>
      </c>
      <c r="W78" s="131" t="n">
        <f aca="false">IF(OR($C78="",$B$2="",$D$2=0),0,IF(W$3&lt;0,0,N(INDEX('CURVA PREVISION'!$A$1:$KZ$3000,$C78,11+3*MIN(W$3,$D$2-1)))))</f>
        <v>2.79</v>
      </c>
      <c r="X78" s="131" t="n">
        <f aca="false">IF(OR($C78="",$B$2="",$D$2=0),0,IF(X$3&lt;0,0,N(INDEX('CURVA PREVISION'!$A$1:$KZ$3000,$C78,11+3*MIN(X$3,$D$2-1)))))</f>
        <v>3.02</v>
      </c>
      <c r="Y78" s="131" t="n">
        <f aca="false">IF(OR($C78="",$B$2="",$D$2=0),0,IF(Y$3&lt;0,0,N(INDEX('CURVA PREVISION'!$A$1:$KZ$3000,$C78,11+3*MIN(Y$3,$D$2-1)))))</f>
        <v>3.02</v>
      </c>
      <c r="Z78" s="131" t="n">
        <f aca="false">IF(OR($C78="",$B$2="",$D$2=0),0,IF(Z$3&lt;0,0,N(INDEX('CURVA PREVISION'!$A$1:$KZ$3000,$C78,11+3*MIN(Z$3,$D$2-1)))))</f>
        <v>3.02</v>
      </c>
      <c r="AA78" s="131" t="n">
        <f aca="false">IF(OR($C78="",$B$2="",$D$2=0),0,IF(AA$3&lt;0,0,N(INDEX('CURVA PREVISION'!$A$1:$KZ$3000,$C78,11+3*MIN(AA$3,$D$2-1)))))</f>
        <v>3.02</v>
      </c>
      <c r="AB78" s="131" t="n">
        <f aca="false">IF(OR($C78="",$B$2="",$D$2=0),0,IF(AB$3&lt;0,0,N(INDEX('CURVA PREVISION'!$A$1:$KZ$3000,$C78,11+3*MIN(AB$3,$D$2-1)))))</f>
        <v>3.02</v>
      </c>
      <c r="AC78" s="131" t="n">
        <f aca="false">IF(OR($C78="",$B$2="",$D$2=0),0,IF(AC$3&lt;0,0,N(INDEX('CURVA PREVISION'!$A$1:$KZ$3000,$C78,11+3*MIN(AC$3,$D$2-1)))))</f>
        <v>3.02</v>
      </c>
      <c r="AD78" s="131" t="n">
        <f aca="false">IF(OR($C78="",$B$2="",$D$2=0),0,IF(AD$3&lt;0,0,N(INDEX('CURVA PREVISION'!$A$1:$KZ$3000,$C78,11+3*MIN(AD$3,$D$2-1)))))</f>
        <v>3.02</v>
      </c>
      <c r="AE78" s="131" t="n">
        <f aca="false">IF(OR($C78="",$B$2="",$D$2=0),0,IF(AE$3&lt;0,0,N(INDEX('CURVA PREVISION'!$A$1:$KZ$3000,$C78,11+3*MIN(AE$3,$D$2-1)))))</f>
        <v>3.02</v>
      </c>
      <c r="AF78" s="131" t="n">
        <f aca="false">IF(OR($C78="",$B$2="",$D$2=0),0,IF(AF$3&lt;0,0,N(INDEX('CURVA PREVISION'!$A$1:$KZ$3000,$C78,11+3*MIN(AF$3,$D$2-1)))))</f>
        <v>3.02</v>
      </c>
      <c r="AG78" s="131" t="n">
        <f aca="false">IF(OR($C78="",$B$2="",$D$2=0),0,IF(AG$3&lt;0,0,N(INDEX('CURVA PREVISION'!$A$1:$KZ$3000,$C78,11+3*MIN(AG$3,$D$2-1)))))</f>
        <v>3.02</v>
      </c>
      <c r="AH78" s="131" t="n">
        <f aca="false">IF(OR($C78="",$B$2="",$D$2=0),0,IF(AH$3&lt;0,0,N(INDEX('CURVA PREVISION'!$A$1:$KZ$3000,$C78,11+3*MIN(AH$3,$D$2-1)))))</f>
        <v>3.02</v>
      </c>
      <c r="AI78" s="131" t="n">
        <f aca="false">IF(OR($C78="",$B$2="",$D$2=0),0,IF(AI$3&lt;0,0,N(INDEX('CURVA PREVISION'!$A$1:$KZ$3000,$C78,11+3*MIN(AI$3,$D$2-1)))))</f>
        <v>3.02</v>
      </c>
      <c r="AJ78" s="131" t="n">
        <f aca="false">IF(OR($C78="",$B$2="",$D$2=0),0,IF(AJ$3&lt;0,0,N(INDEX('CURVA PREVISION'!$A$1:$KZ$3000,$C78,11+3*MIN(AJ$3,$D$2-1)))))</f>
        <v>3.02</v>
      </c>
      <c r="AK78" s="131" t="n">
        <f aca="false">IF(OR($C78="",$B$2="",$D$2=0),0,IF(AK$3&lt;0,0,N(INDEX('CURVA PREVISION'!$A$1:$KZ$3000,$C78,11+3*MIN(AK$3,$D$2-1)))))</f>
        <v>3.02</v>
      </c>
      <c r="AL78" s="131" t="n">
        <f aca="false">IF(OR($C78="",$B$2="",$D$2=0),0,IF(AL$3&lt;0,0,N(INDEX('CURVA PREVISION'!$A$1:$KZ$3000,$C78,11+3*MIN(AL$3,$D$2-1)))))</f>
        <v>3.02</v>
      </c>
      <c r="AM78" s="131" t="n">
        <f aca="false">IF(OR($C78="",$B$2="",$D$2=0),0,IF(AM$3&lt;0,0,N(INDEX('CURVA PREVISION'!$A$1:$KZ$3000,$C78,11+3*MIN(AM$3,$D$2-1)))))</f>
        <v>3.02</v>
      </c>
      <c r="AN78" s="131" t="n">
        <f aca="false">IF(OR($C78="",$B$2="",$D$2=0),0,IF(AN$3&lt;0,0,N(INDEX('CURVA PREVISION'!$A$1:$KZ$3000,$C78,11+3*MIN(AN$3,$D$2-1)))))</f>
        <v>3.02</v>
      </c>
      <c r="AO78" s="131" t="n">
        <f aca="false">IF(OR($C78="",$B$2="",$D$2=0),0,IF(AO$3&lt;0,0,N(INDEX('CURVA PREVISION'!$A$1:$KZ$3000,$C78,11+3*MIN(AO$3,$D$2-1)))))</f>
        <v>3.02</v>
      </c>
      <c r="AP78" s="131" t="n">
        <f aca="false">IF(OR($C78="",$B$2="",$D$2=0),0,IF(AP$3&lt;0,0,N(INDEX('CURVA PREVISION'!$A$1:$KZ$3000,$C78,11+3*MIN(AP$3,$D$2-1)))))</f>
        <v>3.02</v>
      </c>
      <c r="AQ78" s="131" t="n">
        <f aca="false">IF(OR($C78="",$B$2="",$D$2=0),0,IF(AQ$3&lt;0,0,N(INDEX('CURVA PREVISION'!$A$1:$KZ$3000,$C78,11+3*MIN(AQ$3,$D$2-1)))))</f>
        <v>3.02</v>
      </c>
      <c r="AR78" s="131" t="n">
        <f aca="false">IF(OR($C78="",$B$2="",$D$2=0),0,IF(AR$3&lt;0,0,N(INDEX('CURVA PREVISION'!$A$1:$KZ$3000,$C78,11+3*MIN(AR$3,$D$2-1)))))</f>
        <v>3.02</v>
      </c>
      <c r="AS78" s="131" t="n">
        <f aca="false">IF(OR($C78="",$B$2="",$D$2=0),0,IF(AS$3&lt;0,0,N(INDEX('CURVA PREVISION'!$A$1:$KZ$3000,$C78,11+3*MIN(AS$3,$D$2-1)))))</f>
        <v>3.02</v>
      </c>
      <c r="AT78" s="131" t="n">
        <f aca="false">IF(OR($C78="",$B$2="",$D$2=0),0,IF(AT$3&lt;0,0,N(INDEX('CURVA PREVISION'!$A$1:$KZ$3000,$C78,11+3*MIN(AT$3,$D$2-1)))))</f>
        <v>3.02</v>
      </c>
      <c r="AU78" s="131" t="n">
        <f aca="false">IF(OR($C78="",$B$2="",$D$2=0),0,IF(AU$3&lt;0,0,N(INDEX('CURVA PREVISION'!$A$1:$KZ$3000,$C78,11+3*MIN(AU$3,$D$2-1)))))</f>
        <v>3.02</v>
      </c>
      <c r="AV78" s="131" t="n">
        <f aca="false">IF(OR($C78="",$B$2="",$D$2=0),0,IF(AV$3&lt;0,0,N(INDEX('CURVA PREVISION'!$A$1:$KZ$3000,$C78,11+3*MIN(AV$3,$D$2-1)))))</f>
        <v>3.02</v>
      </c>
      <c r="AW78" s="131" t="n">
        <f aca="false">IF(OR($C78="",$B$2="",$D$2=0),0,IF(AW$3&lt;0,0,N(INDEX('CURVA PREVISION'!$A$1:$KZ$3000,$C78,11+3*MIN(AW$3,$D$2-1)))))</f>
        <v>3.02</v>
      </c>
      <c r="AX78" s="131" t="n">
        <f aca="false">IF(OR($C78="",$B$2="",$D$2=0),0,IF(AX$3&lt;0,0,N(INDEX('CURVA PREVISION'!$A$1:$KZ$3000,$C78,11+3*MIN(AX$3,$D$2-1)))))</f>
        <v>3.02</v>
      </c>
      <c r="AY78" s="131" t="n">
        <f aca="false">IF(OR($C78="",$B$2="",$D$2=0),0,IF(AY$3&lt;0,0,N(INDEX('CURVA PREVISION'!$A$1:$KZ$3000,$C78,11+3*MIN(AY$3,$D$2-1)))))</f>
        <v>3.02</v>
      </c>
      <c r="AZ78" s="131" t="n">
        <f aca="false">IF(OR($C78="",$B$2="",$D$2=0),0,IF(AZ$3&lt;0,0,N(INDEX('CURVA PREVISION'!$A$1:$KZ$3000,$C78,11+3*MIN(AZ$3,$D$2-1)))))</f>
        <v>3.02</v>
      </c>
      <c r="BA78" s="131" t="n">
        <f aca="false">IF(OR($C78="",$B$2="",$D$2=0),0,IF(BA$3&lt;0,0,N(INDEX('CURVA PREVISION'!$A$1:$KZ$3000,$C78,11+3*MIN(BA$3,$D$2-1)))))</f>
        <v>3.02</v>
      </c>
      <c r="BB78" s="131" t="n">
        <f aca="false">IF(OR($C78="",$B$2="",$D$2=0),0,IF(BB$3&lt;0,0,N(INDEX('CURVA PREVISION'!$A$1:$KZ$3000,$C78,11+3*MIN(BB$3,$D$2-1)))))</f>
        <v>3.02</v>
      </c>
      <c r="BC78" s="131" t="n">
        <f aca="false">IF(OR($C78="",$B$2="",$D$2=0),0,IF(BC$3&lt;0,0,N(INDEX('CURVA PREVISION'!$A$1:$KZ$3000,$C78,11+3*MIN(BC$3,$D$2-1)))))</f>
        <v>3.02</v>
      </c>
      <c r="BD78" s="131" t="n">
        <f aca="false">IF(OR($C78="",$B$2="",$D$2=0),0,IF(BD$3&lt;0,0,N(INDEX('CURVA PREVISION'!$A$1:$KZ$3000,$C78,11+3*MIN(BD$3,$D$2-1)))))</f>
        <v>3.02</v>
      </c>
      <c r="BE78" s="131" t="n">
        <f aca="false">IF(OR($C78="",$B$2="",$D$2=0),0,IF(BE$3&lt;0,0,N(INDEX('CURVA PREVISION'!$A$1:$KZ$3000,$C78,11+3*MIN(BE$3,$D$2-1)))))</f>
        <v>3.02</v>
      </c>
      <c r="BF78" s="131" t="n">
        <f aca="false">IF(OR($C78="",$B$2="",$D$2=0),0,IF(BF$3&lt;0,0,N(INDEX('CURVA PREVISION'!$A$1:$KZ$3000,$C78,11+3*MIN(BF$3,$D$2-1)))))</f>
        <v>3.02</v>
      </c>
      <c r="BG78" s="131" t="n">
        <f aca="false">IF(OR($C78="",$B$2="",$D$2=0),0,IF(BG$3&lt;0,0,N(INDEX('CURVA PREVISION'!$A$1:$KZ$3000,$C78,11+3*MIN(BG$3,$D$2-1)))))</f>
        <v>3.02</v>
      </c>
      <c r="BH78" s="131" t="n">
        <f aca="false">IF(OR($C78="",$B$2="",$D$2=0),0,IF(BH$3&lt;0,0,N(INDEX('CURVA PREVISION'!$A$1:$KZ$3000,$C78,11+3*MIN(BH$3,$D$2-1)))))</f>
        <v>3.02</v>
      </c>
      <c r="BI78" s="131" t="n">
        <f aca="false">IF(OR($C78="",$B$2="",$D$2=0),0,IF(BI$3&lt;0,0,N(INDEX('CURVA PREVISION'!$A$1:$KZ$3000,$C78,11+3*MIN(BI$3,$D$2-1)))))</f>
        <v>3.02</v>
      </c>
      <c r="BJ78" s="131" t="n">
        <f aca="false">IF(OR($C78="",$B$2="",$D$2=0),0,IF(BJ$3&lt;0,0,N(INDEX('CURVA PREVISION'!$A$1:$KZ$3000,$C78,11+3*MIN(BJ$3,$D$2-1)))))</f>
        <v>3.02</v>
      </c>
      <c r="BK78" s="131" t="n">
        <f aca="false">IF(OR($C78="",$B$2="",$D$2=0),0,IF(BK$3&lt;0,0,N(INDEX('CURVA PREVISION'!$A$1:$KZ$3000,$C78,11+3*MIN(BK$3,$D$2-1)))))</f>
        <v>3.02</v>
      </c>
      <c r="BL78" s="131" t="n">
        <f aca="false">IF(OR($C78="",$B$2="",$D$2=0),0,IF(BL$3&lt;0,0,N(INDEX('CURVA PREVISION'!$A$1:$KZ$3000,$C78,11+3*MIN(BL$3,$D$2-1)))))</f>
        <v>3.02</v>
      </c>
      <c r="BM78" s="131" t="n">
        <f aca="false">IF(OR($C78="",$B$2="",$D$2=0),0,IF(BM$3&lt;0,0,N(INDEX('CURVA PREVISION'!$A$1:$KZ$3000,$C78,11+3*MIN(BM$3,$D$2-1)))))</f>
        <v>3.02</v>
      </c>
      <c r="BN78" s="131" t="n">
        <f aca="false">IF(OR($C78="",$B$2="",$D$2=0),0,IF(BN$3&lt;0,0,N(INDEX('CURVA PREVISION'!$A$1:$KZ$3000,$C78,11+3*MIN(BN$3,$D$2-1)))))</f>
        <v>3.02</v>
      </c>
      <c r="BO78" s="131" t="n">
        <f aca="false">IF(OR($C78="",$B$2="",$D$2=0),0,IF(BO$3&lt;0,0,N(INDEX('CURVA PREVISION'!$A$1:$KZ$3000,$C78,11+3*MIN(BO$3,$D$2-1)))))</f>
        <v>3.02</v>
      </c>
      <c r="BP78" s="131" t="n">
        <f aca="false">IF(OR($C78="",$B$2="",$D$2=0),0,IF(BP$3&lt;0,0,N(INDEX('CURVA PREVISION'!$A$1:$KZ$3000,$C78,11+3*MIN(BP$3,$D$2-1)))))</f>
        <v>3.02</v>
      </c>
      <c r="BQ78" s="131" t="n">
        <f aca="false">IF(OR($C78="",$B$2="",$D$2=0),0,IF(BQ$3&lt;0,0,N(INDEX('CURVA PREVISION'!$A$1:$KZ$3000,$C78,11+3*MIN(BQ$3,$D$2-1)))))</f>
        <v>3.02</v>
      </c>
      <c r="BR78" s="131" t="n">
        <f aca="false">IF(OR($C78="",$B$2="",$D$2=0),0,IF(BR$3&lt;0,0,N(INDEX('CURVA PREVISION'!$A$1:$KZ$3000,$C78,11+3*MIN(BR$3,$D$2-1)))))</f>
        <v>3.02</v>
      </c>
      <c r="BS78" s="131" t="n">
        <f aca="false">IF(OR($C78="",$B$2="",$D$2=0),0,IF(BS$3&lt;0,0,N(INDEX('CURVA PREVISION'!$A$1:$KZ$3000,$C78,11+3*MIN(BS$3,$D$2-1)))))</f>
        <v>3.02</v>
      </c>
      <c r="BT78" s="131" t="n">
        <f aca="false">IF(OR($C78="",$B$2="",$D$2=0),0,IF(BT$3&lt;0,0,N(INDEX('CURVA PREVISION'!$A$1:$KZ$3000,$C78,11+3*MIN(BT$3,$D$2-1)))))</f>
        <v>3.02</v>
      </c>
      <c r="BU78" s="131" t="n">
        <f aca="false">IF(OR($C78="",$B$2="",$D$2=0),0,IF(BU$3&lt;0,0,N(INDEX('CURVA PREVISION'!$A$1:$KZ$3000,$C78,11+3*MIN(BU$3,$D$2-1)))))</f>
        <v>3.02</v>
      </c>
      <c r="BV78" s="131" t="n">
        <f aca="false">IF(OR($C78="",$B$2="",$D$2=0),0,IF(BV$3&lt;0,0,N(INDEX('CURVA PREVISION'!$A$1:$KZ$3000,$C78,11+3*MIN(BV$3,$D$2-1)))))</f>
        <v>3.02</v>
      </c>
      <c r="BW78" s="131" t="n">
        <f aca="false">IF(OR($C78="",$B$2="",$D$2=0),0,IF(BW$3&lt;0,0,N(INDEX('CURVA PREVISION'!$A$1:$KZ$3000,$C78,11+3*MIN(BW$3,$D$2-1)))))</f>
        <v>3.02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997</v>
      </c>
      <c r="D79" s="131" t="n">
        <f aca="false">IF(OR($C79="",$B$2="",$D$2=0),0,IF(D$3&lt;0,0,N(INDEX('CURVA PREVISION'!$A$1:$KZ$3000,$C79,11+3*MIN(D$3,$D$2-1)))))</f>
        <v>0</v>
      </c>
      <c r="E79" s="131" t="n">
        <f aca="false">IF(OR($C79="",$B$2="",$D$2=0),0,IF(E$3&lt;0,0,N(INDEX('CURVA PREVISION'!$A$1:$KZ$3000,$C79,11+3*MIN(E$3,$D$2-1)))))</f>
        <v>0</v>
      </c>
      <c r="F79" s="131" t="n">
        <f aca="false">IF(OR($C79="",$B$2="",$D$2=0),0,IF(F$3&lt;0,0,N(INDEX('CURVA PREVISION'!$A$1:$KZ$3000,$C79,11+3*MIN(F$3,$D$2-1)))))</f>
        <v>0</v>
      </c>
      <c r="G79" s="131" t="n">
        <f aca="false">IF(OR($C79="",$B$2="",$D$2=0),0,IF(G$3&lt;0,0,N(INDEX('CURVA PREVISION'!$A$1:$KZ$3000,$C79,11+3*MIN(G$3,$D$2-1)))))</f>
        <v>0</v>
      </c>
      <c r="H79" s="131" t="n">
        <f aca="false">IF(OR($C79="",$B$2="",$D$2=0),0,IF(H$3&lt;0,0,N(INDEX('CURVA PREVISION'!$A$1:$KZ$3000,$C79,11+3*MIN(H$3,$D$2-1)))))</f>
        <v>0</v>
      </c>
      <c r="I79" s="131" t="n">
        <f aca="false">IF(OR($C79="",$B$2="",$D$2=0),0,IF(I$3&lt;0,0,N(INDEX('CURVA PREVISION'!$A$1:$KZ$3000,$C79,11+3*MIN(I$3,$D$2-1)))))</f>
        <v>0</v>
      </c>
      <c r="J79" s="131" t="n">
        <f aca="false">IF(OR($C79="",$B$2="",$D$2=0),0,IF(J$3&lt;0,0,N(INDEX('CURVA PREVISION'!$A$1:$KZ$3000,$C79,11+3*MIN(J$3,$D$2-1)))))</f>
        <v>0</v>
      </c>
      <c r="K79" s="131" t="n">
        <f aca="false">IF(OR($C79="",$B$2="",$D$2=0),0,IF(K$3&lt;0,0,N(INDEX('CURVA PREVISION'!$A$1:$KZ$3000,$C79,11+3*MIN(K$3,$D$2-1)))))</f>
        <v>0</v>
      </c>
      <c r="L79" s="131" t="n">
        <f aca="false">IF(OR($C79="",$B$2="",$D$2=0),0,IF(L$3&lt;0,0,N(INDEX('CURVA PREVISION'!$A$1:$KZ$3000,$C79,11+3*MIN(L$3,$D$2-1)))))</f>
        <v>0</v>
      </c>
      <c r="M79" s="131" t="n">
        <f aca="false">IF(OR($C79="",$B$2="",$D$2=0),0,IF(M$3&lt;0,0,N(INDEX('CURVA PREVISION'!$A$1:$KZ$3000,$C79,11+3*MIN(M$3,$D$2-1)))))</f>
        <v>0</v>
      </c>
      <c r="N79" s="131" t="n">
        <f aca="false">IF(OR($C79="",$B$2="",$D$2=0),0,IF(N$3&lt;0,0,N(INDEX('CURVA PREVISION'!$A$1:$KZ$3000,$C79,11+3*MIN(N$3,$D$2-1)))))</f>
        <v>0</v>
      </c>
      <c r="O79" s="131" t="n">
        <f aca="false">IF(OR($C79="",$B$2="",$D$2=0),0,IF(O$3&lt;0,0,N(INDEX('CURVA PREVISION'!$A$1:$KZ$3000,$C79,11+3*MIN(O$3,$D$2-1)))))</f>
        <v>0</v>
      </c>
      <c r="P79" s="131" t="n">
        <f aca="false">IF(OR($C79="",$B$2="",$D$2=0),0,IF(P$3&lt;0,0,N(INDEX('CURVA PREVISION'!$A$1:$KZ$3000,$C79,11+3*MIN(P$3,$D$2-1)))))</f>
        <v>0</v>
      </c>
      <c r="Q79" s="131" t="n">
        <f aca="false">IF(OR($C79="",$B$2="",$D$2=0),0,IF(Q$3&lt;0,0,N(INDEX('CURVA PREVISION'!$A$1:$KZ$3000,$C79,11+3*MIN(Q$3,$D$2-1)))))</f>
        <v>0</v>
      </c>
      <c r="R79" s="131" t="n">
        <f aca="false">IF(OR($C79="",$B$2="",$D$2=0),0,IF(R$3&lt;0,0,N(INDEX('CURVA PREVISION'!$A$1:$KZ$3000,$C79,11+3*MIN(R$3,$D$2-1)))))</f>
        <v>0</v>
      </c>
      <c r="S79" s="131" t="n">
        <f aca="false">IF(OR($C79="",$B$2="",$D$2=0),0,IF(S$3&lt;0,0,N(INDEX('CURVA PREVISION'!$A$1:$KZ$3000,$C79,11+3*MIN(S$3,$D$2-1)))))</f>
        <v>0</v>
      </c>
      <c r="T79" s="131" t="n">
        <f aca="false">IF(OR($C79="",$B$2="",$D$2=0),0,IF(T$3&lt;0,0,N(INDEX('CURVA PREVISION'!$A$1:$KZ$3000,$C79,11+3*MIN(T$3,$D$2-1)))))</f>
        <v>0</v>
      </c>
      <c r="U79" s="131" t="n">
        <f aca="false">IF(OR($C79="",$B$2="",$D$2=0),0,IF(U$3&lt;0,0,N(INDEX('CURVA PREVISION'!$A$1:$KZ$3000,$C79,11+3*MIN(U$3,$D$2-1)))))</f>
        <v>0</v>
      </c>
      <c r="V79" s="131" t="n">
        <f aca="false">IF(OR($C79="",$B$2="",$D$2=0),0,IF(V$3&lt;0,0,N(INDEX('CURVA PREVISION'!$A$1:$KZ$3000,$C79,11+3*MIN(V$3,$D$2-1)))))</f>
        <v>0</v>
      </c>
      <c r="W79" s="131" t="n">
        <f aca="false">IF(OR($C79="",$B$2="",$D$2=0),0,IF(W$3&lt;0,0,N(INDEX('CURVA PREVISION'!$A$1:$KZ$3000,$C79,11+3*MIN(W$3,$D$2-1)))))</f>
        <v>0</v>
      </c>
      <c r="X79" s="131" t="n">
        <f aca="false">IF(OR($C79="",$B$2="",$D$2=0),0,IF(X$3&lt;0,0,N(INDEX('CURVA PREVISION'!$A$1:$KZ$3000,$C79,11+3*MIN(X$3,$D$2-1)))))</f>
        <v>0</v>
      </c>
      <c r="Y79" s="131" t="n">
        <f aca="false">IF(OR($C79="",$B$2="",$D$2=0),0,IF(Y$3&lt;0,0,N(INDEX('CURVA PREVISION'!$A$1:$KZ$3000,$C79,11+3*MIN(Y$3,$D$2-1)))))</f>
        <v>0</v>
      </c>
      <c r="Z79" s="131" t="n">
        <f aca="false">IF(OR($C79="",$B$2="",$D$2=0),0,IF(Z$3&lt;0,0,N(INDEX('CURVA PREVISION'!$A$1:$KZ$3000,$C79,11+3*MIN(Z$3,$D$2-1)))))</f>
        <v>0</v>
      </c>
      <c r="AA79" s="131" t="n">
        <f aca="false">IF(OR($C79="",$B$2="",$D$2=0),0,IF(AA$3&lt;0,0,N(INDEX('CURVA PREVISION'!$A$1:$KZ$3000,$C79,11+3*MIN(AA$3,$D$2-1)))))</f>
        <v>0</v>
      </c>
      <c r="AB79" s="131" t="n">
        <f aca="false">IF(OR($C79="",$B$2="",$D$2=0),0,IF(AB$3&lt;0,0,N(INDEX('CURVA PREVISION'!$A$1:$KZ$3000,$C79,11+3*MIN(AB$3,$D$2-1)))))</f>
        <v>0</v>
      </c>
      <c r="AC79" s="131" t="n">
        <f aca="false">IF(OR($C79="",$B$2="",$D$2=0),0,IF(AC$3&lt;0,0,N(INDEX('CURVA PREVISION'!$A$1:$KZ$3000,$C79,11+3*MIN(AC$3,$D$2-1)))))</f>
        <v>0</v>
      </c>
      <c r="AD79" s="131" t="n">
        <f aca="false">IF(OR($C79="",$B$2="",$D$2=0),0,IF(AD$3&lt;0,0,N(INDEX('CURVA PREVISION'!$A$1:$KZ$3000,$C79,11+3*MIN(AD$3,$D$2-1)))))</f>
        <v>0</v>
      </c>
      <c r="AE79" s="131" t="n">
        <f aca="false">IF(OR($C79="",$B$2="",$D$2=0),0,IF(AE$3&lt;0,0,N(INDEX('CURVA PREVISION'!$A$1:$KZ$3000,$C79,11+3*MIN(AE$3,$D$2-1)))))</f>
        <v>0</v>
      </c>
      <c r="AF79" s="131" t="n">
        <f aca="false">IF(OR($C79="",$B$2="",$D$2=0),0,IF(AF$3&lt;0,0,N(INDEX('CURVA PREVISION'!$A$1:$KZ$3000,$C79,11+3*MIN(AF$3,$D$2-1)))))</f>
        <v>0</v>
      </c>
      <c r="AG79" s="131" t="n">
        <f aca="false">IF(OR($C79="",$B$2="",$D$2=0),0,IF(AG$3&lt;0,0,N(INDEX('CURVA PREVISION'!$A$1:$KZ$3000,$C79,11+3*MIN(AG$3,$D$2-1)))))</f>
        <v>0</v>
      </c>
      <c r="AH79" s="131" t="n">
        <f aca="false">IF(OR($C79="",$B$2="",$D$2=0),0,IF(AH$3&lt;0,0,N(INDEX('CURVA PREVISION'!$A$1:$KZ$3000,$C79,11+3*MIN(AH$3,$D$2-1)))))</f>
        <v>0</v>
      </c>
      <c r="AI79" s="131" t="n">
        <f aca="false">IF(OR($C79="",$B$2="",$D$2=0),0,IF(AI$3&lt;0,0,N(INDEX('CURVA PREVISION'!$A$1:$KZ$3000,$C79,11+3*MIN(AI$3,$D$2-1)))))</f>
        <v>0</v>
      </c>
      <c r="AJ79" s="131" t="n">
        <f aca="false">IF(OR($C79="",$B$2="",$D$2=0),0,IF(AJ$3&lt;0,0,N(INDEX('CURVA PREVISION'!$A$1:$KZ$3000,$C79,11+3*MIN(AJ$3,$D$2-1)))))</f>
        <v>0</v>
      </c>
      <c r="AK79" s="131" t="n">
        <f aca="false">IF(OR($C79="",$B$2="",$D$2=0),0,IF(AK$3&lt;0,0,N(INDEX('CURVA PREVISION'!$A$1:$KZ$3000,$C79,11+3*MIN(AK$3,$D$2-1)))))</f>
        <v>0</v>
      </c>
      <c r="AL79" s="131" t="n">
        <f aca="false">IF(OR($C79="",$B$2="",$D$2=0),0,IF(AL$3&lt;0,0,N(INDEX('CURVA PREVISION'!$A$1:$KZ$3000,$C79,11+3*MIN(AL$3,$D$2-1)))))</f>
        <v>0</v>
      </c>
      <c r="AM79" s="131" t="n">
        <f aca="false">IF(OR($C79="",$B$2="",$D$2=0),0,IF(AM$3&lt;0,0,N(INDEX('CURVA PREVISION'!$A$1:$KZ$3000,$C79,11+3*MIN(AM$3,$D$2-1)))))</f>
        <v>0</v>
      </c>
      <c r="AN79" s="131" t="n">
        <f aca="false">IF(OR($C79="",$B$2="",$D$2=0),0,IF(AN$3&lt;0,0,N(INDEX('CURVA PREVISION'!$A$1:$KZ$3000,$C79,11+3*MIN(AN$3,$D$2-1)))))</f>
        <v>0</v>
      </c>
      <c r="AO79" s="131" t="n">
        <f aca="false">IF(OR($C79="",$B$2="",$D$2=0),0,IF(AO$3&lt;0,0,N(INDEX('CURVA PREVISION'!$A$1:$KZ$3000,$C79,11+3*MIN(AO$3,$D$2-1)))))</f>
        <v>0</v>
      </c>
      <c r="AP79" s="131" t="n">
        <f aca="false">IF(OR($C79="",$B$2="",$D$2=0),0,IF(AP$3&lt;0,0,N(INDEX('CURVA PREVISION'!$A$1:$KZ$3000,$C79,11+3*MIN(AP$3,$D$2-1)))))</f>
        <v>0</v>
      </c>
      <c r="AQ79" s="131" t="n">
        <f aca="false">IF(OR($C79="",$B$2="",$D$2=0),0,IF(AQ$3&lt;0,0,N(INDEX('CURVA PREVISION'!$A$1:$KZ$3000,$C79,11+3*MIN(AQ$3,$D$2-1)))))</f>
        <v>0</v>
      </c>
      <c r="AR79" s="131" t="n">
        <f aca="false">IF(OR($C79="",$B$2="",$D$2=0),0,IF(AR$3&lt;0,0,N(INDEX('CURVA PREVISION'!$A$1:$KZ$3000,$C79,11+3*MIN(AR$3,$D$2-1)))))</f>
        <v>0</v>
      </c>
      <c r="AS79" s="131" t="n">
        <f aca="false">IF(OR($C79="",$B$2="",$D$2=0),0,IF(AS$3&lt;0,0,N(INDEX('CURVA PREVISION'!$A$1:$KZ$3000,$C79,11+3*MIN(AS$3,$D$2-1)))))</f>
        <v>0</v>
      </c>
      <c r="AT79" s="131" t="n">
        <f aca="false">IF(OR($C79="",$B$2="",$D$2=0),0,IF(AT$3&lt;0,0,N(INDEX('CURVA PREVISION'!$A$1:$KZ$3000,$C79,11+3*MIN(AT$3,$D$2-1)))))</f>
        <v>0</v>
      </c>
      <c r="AU79" s="131" t="n">
        <f aca="false">IF(OR($C79="",$B$2="",$D$2=0),0,IF(AU$3&lt;0,0,N(INDEX('CURVA PREVISION'!$A$1:$KZ$3000,$C79,11+3*MIN(AU$3,$D$2-1)))))</f>
        <v>0</v>
      </c>
      <c r="AV79" s="131" t="n">
        <f aca="false">IF(OR($C79="",$B$2="",$D$2=0),0,IF(AV$3&lt;0,0,N(INDEX('CURVA PREVISION'!$A$1:$KZ$3000,$C79,11+3*MIN(AV$3,$D$2-1)))))</f>
        <v>0</v>
      </c>
      <c r="AW79" s="131" t="n">
        <f aca="false">IF(OR($C79="",$B$2="",$D$2=0),0,IF(AW$3&lt;0,0,N(INDEX('CURVA PREVISION'!$A$1:$KZ$3000,$C79,11+3*MIN(AW$3,$D$2-1)))))</f>
        <v>0</v>
      </c>
      <c r="AX79" s="131" t="n">
        <f aca="false">IF(OR($C79="",$B$2="",$D$2=0),0,IF(AX$3&lt;0,0,N(INDEX('CURVA PREVISION'!$A$1:$KZ$3000,$C79,11+3*MIN(AX$3,$D$2-1)))))</f>
        <v>0</v>
      </c>
      <c r="AY79" s="131" t="n">
        <f aca="false">IF(OR($C79="",$B$2="",$D$2=0),0,IF(AY$3&lt;0,0,N(INDEX('CURVA PREVISION'!$A$1:$KZ$3000,$C79,11+3*MIN(AY$3,$D$2-1)))))</f>
        <v>0</v>
      </c>
      <c r="AZ79" s="131" t="n">
        <f aca="false">IF(OR($C79="",$B$2="",$D$2=0),0,IF(AZ$3&lt;0,0,N(INDEX('CURVA PREVISION'!$A$1:$KZ$3000,$C79,11+3*MIN(AZ$3,$D$2-1)))))</f>
        <v>0</v>
      </c>
      <c r="BA79" s="131" t="n">
        <f aca="false">IF(OR($C79="",$B$2="",$D$2=0),0,IF(BA$3&lt;0,0,N(INDEX('CURVA PREVISION'!$A$1:$KZ$3000,$C79,11+3*MIN(BA$3,$D$2-1)))))</f>
        <v>0</v>
      </c>
      <c r="BB79" s="131" t="n">
        <f aca="false">IF(OR($C79="",$B$2="",$D$2=0),0,IF(BB$3&lt;0,0,N(INDEX('CURVA PREVISION'!$A$1:$KZ$3000,$C79,11+3*MIN(BB$3,$D$2-1)))))</f>
        <v>0</v>
      </c>
      <c r="BC79" s="131" t="n">
        <f aca="false">IF(OR($C79="",$B$2="",$D$2=0),0,IF(BC$3&lt;0,0,N(INDEX('CURVA PREVISION'!$A$1:$KZ$3000,$C79,11+3*MIN(BC$3,$D$2-1)))))</f>
        <v>0</v>
      </c>
      <c r="BD79" s="131" t="n">
        <f aca="false">IF(OR($C79="",$B$2="",$D$2=0),0,IF(BD$3&lt;0,0,N(INDEX('CURVA PREVISION'!$A$1:$KZ$3000,$C79,11+3*MIN(BD$3,$D$2-1)))))</f>
        <v>0</v>
      </c>
      <c r="BE79" s="131" t="n">
        <f aca="false">IF(OR($C79="",$B$2="",$D$2=0),0,IF(BE$3&lt;0,0,N(INDEX('CURVA PREVISION'!$A$1:$KZ$3000,$C79,11+3*MIN(BE$3,$D$2-1)))))</f>
        <v>0</v>
      </c>
      <c r="BF79" s="131" t="n">
        <f aca="false">IF(OR($C79="",$B$2="",$D$2=0),0,IF(BF$3&lt;0,0,N(INDEX('CURVA PREVISION'!$A$1:$KZ$3000,$C79,11+3*MIN(BF$3,$D$2-1)))))</f>
        <v>0</v>
      </c>
      <c r="BG79" s="131" t="n">
        <f aca="false">IF(OR($C79="",$B$2="",$D$2=0),0,IF(BG$3&lt;0,0,N(INDEX('CURVA PREVISION'!$A$1:$KZ$3000,$C79,11+3*MIN(BG$3,$D$2-1)))))</f>
        <v>0</v>
      </c>
      <c r="BH79" s="131" t="n">
        <f aca="false">IF(OR($C79="",$B$2="",$D$2=0),0,IF(BH$3&lt;0,0,N(INDEX('CURVA PREVISION'!$A$1:$KZ$3000,$C79,11+3*MIN(BH$3,$D$2-1)))))</f>
        <v>0</v>
      </c>
      <c r="BI79" s="131" t="n">
        <f aca="false">IF(OR($C79="",$B$2="",$D$2=0),0,IF(BI$3&lt;0,0,N(INDEX('CURVA PREVISION'!$A$1:$KZ$3000,$C79,11+3*MIN(BI$3,$D$2-1)))))</f>
        <v>0</v>
      </c>
      <c r="BJ79" s="131" t="n">
        <f aca="false">IF(OR($C79="",$B$2="",$D$2=0),0,IF(BJ$3&lt;0,0,N(INDEX('CURVA PREVISION'!$A$1:$KZ$3000,$C79,11+3*MIN(BJ$3,$D$2-1)))))</f>
        <v>0</v>
      </c>
      <c r="BK79" s="131" t="n">
        <f aca="false">IF(OR($C79="",$B$2="",$D$2=0),0,IF(BK$3&lt;0,0,N(INDEX('CURVA PREVISION'!$A$1:$KZ$3000,$C79,11+3*MIN(BK$3,$D$2-1)))))</f>
        <v>0</v>
      </c>
      <c r="BL79" s="131" t="n">
        <f aca="false">IF(OR($C79="",$B$2="",$D$2=0),0,IF(BL$3&lt;0,0,N(INDEX('CURVA PREVISION'!$A$1:$KZ$3000,$C79,11+3*MIN(BL$3,$D$2-1)))))</f>
        <v>0</v>
      </c>
      <c r="BM79" s="131" t="n">
        <f aca="false">IF(OR($C79="",$B$2="",$D$2=0),0,IF(BM$3&lt;0,0,N(INDEX('CURVA PREVISION'!$A$1:$KZ$3000,$C79,11+3*MIN(BM$3,$D$2-1)))))</f>
        <v>0</v>
      </c>
      <c r="BN79" s="131" t="n">
        <f aca="false">IF(OR($C79="",$B$2="",$D$2=0),0,IF(BN$3&lt;0,0,N(INDEX('CURVA PREVISION'!$A$1:$KZ$3000,$C79,11+3*MIN(BN$3,$D$2-1)))))</f>
        <v>0</v>
      </c>
      <c r="BO79" s="131" t="n">
        <f aca="false">IF(OR($C79="",$B$2="",$D$2=0),0,IF(BO$3&lt;0,0,N(INDEX('CURVA PREVISION'!$A$1:$KZ$3000,$C79,11+3*MIN(BO$3,$D$2-1)))))</f>
        <v>0</v>
      </c>
      <c r="BP79" s="131" t="n">
        <f aca="false">IF(OR($C79="",$B$2="",$D$2=0),0,IF(BP$3&lt;0,0,N(INDEX('CURVA PREVISION'!$A$1:$KZ$3000,$C79,11+3*MIN(BP$3,$D$2-1)))))</f>
        <v>0</v>
      </c>
      <c r="BQ79" s="131" t="n">
        <f aca="false">IF(OR($C79="",$B$2="",$D$2=0),0,IF(BQ$3&lt;0,0,N(INDEX('CURVA PREVISION'!$A$1:$KZ$3000,$C79,11+3*MIN(BQ$3,$D$2-1)))))</f>
        <v>0</v>
      </c>
      <c r="BR79" s="131" t="n">
        <f aca="false">IF(OR($C79="",$B$2="",$D$2=0),0,IF(BR$3&lt;0,0,N(INDEX('CURVA PREVISION'!$A$1:$KZ$3000,$C79,11+3*MIN(BR$3,$D$2-1)))))</f>
        <v>0</v>
      </c>
      <c r="BS79" s="131" t="n">
        <f aca="false">IF(OR($C79="",$B$2="",$D$2=0),0,IF(BS$3&lt;0,0,N(INDEX('CURVA PREVISION'!$A$1:$KZ$3000,$C79,11+3*MIN(BS$3,$D$2-1)))))</f>
        <v>0</v>
      </c>
      <c r="BT79" s="131" t="n">
        <f aca="false">IF(OR($C79="",$B$2="",$D$2=0),0,IF(BT$3&lt;0,0,N(INDEX('CURVA PREVISION'!$A$1:$KZ$3000,$C79,11+3*MIN(BT$3,$D$2-1)))))</f>
        <v>0</v>
      </c>
      <c r="BU79" s="131" t="n">
        <f aca="false">IF(OR($C79="",$B$2="",$D$2=0),0,IF(BU$3&lt;0,0,N(INDEX('CURVA PREVISION'!$A$1:$KZ$3000,$C79,11+3*MIN(BU$3,$D$2-1)))))</f>
        <v>0</v>
      </c>
      <c r="BV79" s="131" t="n">
        <f aca="false">IF(OR($C79="",$B$2="",$D$2=0),0,IF(BV$3&lt;0,0,N(INDEX('CURVA PREVISION'!$A$1:$KZ$3000,$C79,11+3*MIN(BV$3,$D$2-1)))))</f>
        <v>0</v>
      </c>
      <c r="BW79" s="131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1008</v>
      </c>
      <c r="D80" s="131" t="n">
        <f aca="false">IF(OR($C80="",$B$2="",$D$2=0),0,IF(D$3&lt;0,0,N(INDEX('CURVA PREVISION'!$A$1:$KZ$3000,$C80,11+3*MIN(D$3,$D$2-1)))))</f>
        <v>0</v>
      </c>
      <c r="E80" s="131" t="n">
        <f aca="false">IF(OR($C80="",$B$2="",$D$2=0),0,IF(E$3&lt;0,0,N(INDEX('CURVA PREVISION'!$A$1:$KZ$3000,$C80,11+3*MIN(E$3,$D$2-1)))))</f>
        <v>0</v>
      </c>
      <c r="F80" s="131" t="n">
        <f aca="false">IF(OR($C80="",$B$2="",$D$2=0),0,IF(F$3&lt;0,0,N(INDEX('CURVA PREVISION'!$A$1:$KZ$3000,$C80,11+3*MIN(F$3,$D$2-1)))))</f>
        <v>0</v>
      </c>
      <c r="G80" s="131" t="n">
        <f aca="false">IF(OR($C80="",$B$2="",$D$2=0),0,IF(G$3&lt;0,0,N(INDEX('CURVA PREVISION'!$A$1:$KZ$3000,$C80,11+3*MIN(G$3,$D$2-1)))))</f>
        <v>0</v>
      </c>
      <c r="H80" s="131" t="n">
        <f aca="false">IF(OR($C80="",$B$2="",$D$2=0),0,IF(H$3&lt;0,0,N(INDEX('CURVA PREVISION'!$A$1:$KZ$3000,$C80,11+3*MIN(H$3,$D$2-1)))))</f>
        <v>0</v>
      </c>
      <c r="I80" s="131" t="n">
        <f aca="false">IF(OR($C80="",$B$2="",$D$2=0),0,IF(I$3&lt;0,0,N(INDEX('CURVA PREVISION'!$A$1:$KZ$3000,$C80,11+3*MIN(I$3,$D$2-1)))))</f>
        <v>0</v>
      </c>
      <c r="J80" s="131" t="n">
        <f aca="false">IF(OR($C80="",$B$2="",$D$2=0),0,IF(J$3&lt;0,0,N(INDEX('CURVA PREVISION'!$A$1:$KZ$3000,$C80,11+3*MIN(J$3,$D$2-1)))))</f>
        <v>0</v>
      </c>
      <c r="K80" s="131" t="n">
        <f aca="false">IF(OR($C80="",$B$2="",$D$2=0),0,IF(K$3&lt;0,0,N(INDEX('CURVA PREVISION'!$A$1:$KZ$3000,$C80,11+3*MIN(K$3,$D$2-1)))))</f>
        <v>0</v>
      </c>
      <c r="L80" s="131" t="n">
        <f aca="false">IF(OR($C80="",$B$2="",$D$2=0),0,IF(L$3&lt;0,0,N(INDEX('CURVA PREVISION'!$A$1:$KZ$3000,$C80,11+3*MIN(L$3,$D$2-1)))))</f>
        <v>0</v>
      </c>
      <c r="M80" s="131" t="n">
        <f aca="false">IF(OR($C80="",$B$2="",$D$2=0),0,IF(M$3&lt;0,0,N(INDEX('CURVA PREVISION'!$A$1:$KZ$3000,$C80,11+3*MIN(M$3,$D$2-1)))))</f>
        <v>0</v>
      </c>
      <c r="N80" s="131" t="n">
        <f aca="false">IF(OR($C80="",$B$2="",$D$2=0),0,IF(N$3&lt;0,0,N(INDEX('CURVA PREVISION'!$A$1:$KZ$3000,$C80,11+3*MIN(N$3,$D$2-1)))))</f>
        <v>0</v>
      </c>
      <c r="O80" s="131" t="n">
        <f aca="false">IF(OR($C80="",$B$2="",$D$2=0),0,IF(O$3&lt;0,0,N(INDEX('CURVA PREVISION'!$A$1:$KZ$3000,$C80,11+3*MIN(O$3,$D$2-1)))))</f>
        <v>0</v>
      </c>
      <c r="P80" s="131" t="n">
        <f aca="false">IF(OR($C80="",$B$2="",$D$2=0),0,IF(P$3&lt;0,0,N(INDEX('CURVA PREVISION'!$A$1:$KZ$3000,$C80,11+3*MIN(P$3,$D$2-1)))))</f>
        <v>0</v>
      </c>
      <c r="Q80" s="131" t="n">
        <f aca="false">IF(OR($C80="",$B$2="",$D$2=0),0,IF(Q$3&lt;0,0,N(INDEX('CURVA PREVISION'!$A$1:$KZ$3000,$C80,11+3*MIN(Q$3,$D$2-1)))))</f>
        <v>0</v>
      </c>
      <c r="R80" s="131" t="n">
        <f aca="false">IF(OR($C80="",$B$2="",$D$2=0),0,IF(R$3&lt;0,0,N(INDEX('CURVA PREVISION'!$A$1:$KZ$3000,$C80,11+3*MIN(R$3,$D$2-1)))))</f>
        <v>0</v>
      </c>
      <c r="S80" s="131" t="n">
        <f aca="false">IF(OR($C80="",$B$2="",$D$2=0),0,IF(S$3&lt;0,0,N(INDEX('CURVA PREVISION'!$A$1:$KZ$3000,$C80,11+3*MIN(S$3,$D$2-1)))))</f>
        <v>0</v>
      </c>
      <c r="T80" s="131" t="n">
        <f aca="false">IF(OR($C80="",$B$2="",$D$2=0),0,IF(T$3&lt;0,0,N(INDEX('CURVA PREVISION'!$A$1:$KZ$3000,$C80,11+3*MIN(T$3,$D$2-1)))))</f>
        <v>0</v>
      </c>
      <c r="U80" s="131" t="n">
        <f aca="false">IF(OR($C80="",$B$2="",$D$2=0),0,IF(U$3&lt;0,0,N(INDEX('CURVA PREVISION'!$A$1:$KZ$3000,$C80,11+3*MIN(U$3,$D$2-1)))))</f>
        <v>0</v>
      </c>
      <c r="V80" s="131" t="n">
        <f aca="false">IF(OR($C80="",$B$2="",$D$2=0),0,IF(V$3&lt;0,0,N(INDEX('CURVA PREVISION'!$A$1:$KZ$3000,$C80,11+3*MIN(V$3,$D$2-1)))))</f>
        <v>0</v>
      </c>
      <c r="W80" s="131" t="n">
        <f aca="false">IF(OR($C80="",$B$2="",$D$2=0),0,IF(W$3&lt;0,0,N(INDEX('CURVA PREVISION'!$A$1:$KZ$3000,$C80,11+3*MIN(W$3,$D$2-1)))))</f>
        <v>0</v>
      </c>
      <c r="X80" s="131" t="n">
        <f aca="false">IF(OR($C80="",$B$2="",$D$2=0),0,IF(X$3&lt;0,0,N(INDEX('CURVA PREVISION'!$A$1:$KZ$3000,$C80,11+3*MIN(X$3,$D$2-1)))))</f>
        <v>0</v>
      </c>
      <c r="Y80" s="131" t="n">
        <f aca="false">IF(OR($C80="",$B$2="",$D$2=0),0,IF(Y$3&lt;0,0,N(INDEX('CURVA PREVISION'!$A$1:$KZ$3000,$C80,11+3*MIN(Y$3,$D$2-1)))))</f>
        <v>0</v>
      </c>
      <c r="Z80" s="131" t="n">
        <f aca="false">IF(OR($C80="",$B$2="",$D$2=0),0,IF(Z$3&lt;0,0,N(INDEX('CURVA PREVISION'!$A$1:$KZ$3000,$C80,11+3*MIN(Z$3,$D$2-1)))))</f>
        <v>0</v>
      </c>
      <c r="AA80" s="131" t="n">
        <f aca="false">IF(OR($C80="",$B$2="",$D$2=0),0,IF(AA$3&lt;0,0,N(INDEX('CURVA PREVISION'!$A$1:$KZ$3000,$C80,11+3*MIN(AA$3,$D$2-1)))))</f>
        <v>0</v>
      </c>
      <c r="AB80" s="131" t="n">
        <f aca="false">IF(OR($C80="",$B$2="",$D$2=0),0,IF(AB$3&lt;0,0,N(INDEX('CURVA PREVISION'!$A$1:$KZ$3000,$C80,11+3*MIN(AB$3,$D$2-1)))))</f>
        <v>0</v>
      </c>
      <c r="AC80" s="131" t="n">
        <f aca="false">IF(OR($C80="",$B$2="",$D$2=0),0,IF(AC$3&lt;0,0,N(INDEX('CURVA PREVISION'!$A$1:$KZ$3000,$C80,11+3*MIN(AC$3,$D$2-1)))))</f>
        <v>0</v>
      </c>
      <c r="AD80" s="131" t="n">
        <f aca="false">IF(OR($C80="",$B$2="",$D$2=0),0,IF(AD$3&lt;0,0,N(INDEX('CURVA PREVISION'!$A$1:$KZ$3000,$C80,11+3*MIN(AD$3,$D$2-1)))))</f>
        <v>0</v>
      </c>
      <c r="AE80" s="131" t="n">
        <f aca="false">IF(OR($C80="",$B$2="",$D$2=0),0,IF(AE$3&lt;0,0,N(INDEX('CURVA PREVISION'!$A$1:$KZ$3000,$C80,11+3*MIN(AE$3,$D$2-1)))))</f>
        <v>0</v>
      </c>
      <c r="AF80" s="131" t="n">
        <f aca="false">IF(OR($C80="",$B$2="",$D$2=0),0,IF(AF$3&lt;0,0,N(INDEX('CURVA PREVISION'!$A$1:$KZ$3000,$C80,11+3*MIN(AF$3,$D$2-1)))))</f>
        <v>0</v>
      </c>
      <c r="AG80" s="131" t="n">
        <f aca="false">IF(OR($C80="",$B$2="",$D$2=0),0,IF(AG$3&lt;0,0,N(INDEX('CURVA PREVISION'!$A$1:$KZ$3000,$C80,11+3*MIN(AG$3,$D$2-1)))))</f>
        <v>0</v>
      </c>
      <c r="AH80" s="131" t="n">
        <f aca="false">IF(OR($C80="",$B$2="",$D$2=0),0,IF(AH$3&lt;0,0,N(INDEX('CURVA PREVISION'!$A$1:$KZ$3000,$C80,11+3*MIN(AH$3,$D$2-1)))))</f>
        <v>0</v>
      </c>
      <c r="AI80" s="131" t="n">
        <f aca="false">IF(OR($C80="",$B$2="",$D$2=0),0,IF(AI$3&lt;0,0,N(INDEX('CURVA PREVISION'!$A$1:$KZ$3000,$C80,11+3*MIN(AI$3,$D$2-1)))))</f>
        <v>0</v>
      </c>
      <c r="AJ80" s="131" t="n">
        <f aca="false">IF(OR($C80="",$B$2="",$D$2=0),0,IF(AJ$3&lt;0,0,N(INDEX('CURVA PREVISION'!$A$1:$KZ$3000,$C80,11+3*MIN(AJ$3,$D$2-1)))))</f>
        <v>0</v>
      </c>
      <c r="AK80" s="131" t="n">
        <f aca="false">IF(OR($C80="",$B$2="",$D$2=0),0,IF(AK$3&lt;0,0,N(INDEX('CURVA PREVISION'!$A$1:$KZ$3000,$C80,11+3*MIN(AK$3,$D$2-1)))))</f>
        <v>0</v>
      </c>
      <c r="AL80" s="131" t="n">
        <f aca="false">IF(OR($C80="",$B$2="",$D$2=0),0,IF(AL$3&lt;0,0,N(INDEX('CURVA PREVISION'!$A$1:$KZ$3000,$C80,11+3*MIN(AL$3,$D$2-1)))))</f>
        <v>0</v>
      </c>
      <c r="AM80" s="131" t="n">
        <f aca="false">IF(OR($C80="",$B$2="",$D$2=0),0,IF(AM$3&lt;0,0,N(INDEX('CURVA PREVISION'!$A$1:$KZ$3000,$C80,11+3*MIN(AM$3,$D$2-1)))))</f>
        <v>0</v>
      </c>
      <c r="AN80" s="131" t="n">
        <f aca="false">IF(OR($C80="",$B$2="",$D$2=0),0,IF(AN$3&lt;0,0,N(INDEX('CURVA PREVISION'!$A$1:$KZ$3000,$C80,11+3*MIN(AN$3,$D$2-1)))))</f>
        <v>0</v>
      </c>
      <c r="AO80" s="131" t="n">
        <f aca="false">IF(OR($C80="",$B$2="",$D$2=0),0,IF(AO$3&lt;0,0,N(INDEX('CURVA PREVISION'!$A$1:$KZ$3000,$C80,11+3*MIN(AO$3,$D$2-1)))))</f>
        <v>0</v>
      </c>
      <c r="AP80" s="131" t="n">
        <f aca="false">IF(OR($C80="",$B$2="",$D$2=0),0,IF(AP$3&lt;0,0,N(INDEX('CURVA PREVISION'!$A$1:$KZ$3000,$C80,11+3*MIN(AP$3,$D$2-1)))))</f>
        <v>0</v>
      </c>
      <c r="AQ80" s="131" t="n">
        <f aca="false">IF(OR($C80="",$B$2="",$D$2=0),0,IF(AQ$3&lt;0,0,N(INDEX('CURVA PREVISION'!$A$1:$KZ$3000,$C80,11+3*MIN(AQ$3,$D$2-1)))))</f>
        <v>0</v>
      </c>
      <c r="AR80" s="131" t="n">
        <f aca="false">IF(OR($C80="",$B$2="",$D$2=0),0,IF(AR$3&lt;0,0,N(INDEX('CURVA PREVISION'!$A$1:$KZ$3000,$C80,11+3*MIN(AR$3,$D$2-1)))))</f>
        <v>0</v>
      </c>
      <c r="AS80" s="131" t="n">
        <f aca="false">IF(OR($C80="",$B$2="",$D$2=0),0,IF(AS$3&lt;0,0,N(INDEX('CURVA PREVISION'!$A$1:$KZ$3000,$C80,11+3*MIN(AS$3,$D$2-1)))))</f>
        <v>0</v>
      </c>
      <c r="AT80" s="131" t="n">
        <f aca="false">IF(OR($C80="",$B$2="",$D$2=0),0,IF(AT$3&lt;0,0,N(INDEX('CURVA PREVISION'!$A$1:$KZ$3000,$C80,11+3*MIN(AT$3,$D$2-1)))))</f>
        <v>0</v>
      </c>
      <c r="AU80" s="131" t="n">
        <f aca="false">IF(OR($C80="",$B$2="",$D$2=0),0,IF(AU$3&lt;0,0,N(INDEX('CURVA PREVISION'!$A$1:$KZ$3000,$C80,11+3*MIN(AU$3,$D$2-1)))))</f>
        <v>0</v>
      </c>
      <c r="AV80" s="131" t="n">
        <f aca="false">IF(OR($C80="",$B$2="",$D$2=0),0,IF(AV$3&lt;0,0,N(INDEX('CURVA PREVISION'!$A$1:$KZ$3000,$C80,11+3*MIN(AV$3,$D$2-1)))))</f>
        <v>0</v>
      </c>
      <c r="AW80" s="131" t="n">
        <f aca="false">IF(OR($C80="",$B$2="",$D$2=0),0,IF(AW$3&lt;0,0,N(INDEX('CURVA PREVISION'!$A$1:$KZ$3000,$C80,11+3*MIN(AW$3,$D$2-1)))))</f>
        <v>0</v>
      </c>
      <c r="AX80" s="131" t="n">
        <f aca="false">IF(OR($C80="",$B$2="",$D$2=0),0,IF(AX$3&lt;0,0,N(INDEX('CURVA PREVISION'!$A$1:$KZ$3000,$C80,11+3*MIN(AX$3,$D$2-1)))))</f>
        <v>0</v>
      </c>
      <c r="AY80" s="131" t="n">
        <f aca="false">IF(OR($C80="",$B$2="",$D$2=0),0,IF(AY$3&lt;0,0,N(INDEX('CURVA PREVISION'!$A$1:$KZ$3000,$C80,11+3*MIN(AY$3,$D$2-1)))))</f>
        <v>0</v>
      </c>
      <c r="AZ80" s="131" t="n">
        <f aca="false">IF(OR($C80="",$B$2="",$D$2=0),0,IF(AZ$3&lt;0,0,N(INDEX('CURVA PREVISION'!$A$1:$KZ$3000,$C80,11+3*MIN(AZ$3,$D$2-1)))))</f>
        <v>0</v>
      </c>
      <c r="BA80" s="131" t="n">
        <f aca="false">IF(OR($C80="",$B$2="",$D$2=0),0,IF(BA$3&lt;0,0,N(INDEX('CURVA PREVISION'!$A$1:$KZ$3000,$C80,11+3*MIN(BA$3,$D$2-1)))))</f>
        <v>0</v>
      </c>
      <c r="BB80" s="131" t="n">
        <f aca="false">IF(OR($C80="",$B$2="",$D$2=0),0,IF(BB$3&lt;0,0,N(INDEX('CURVA PREVISION'!$A$1:$KZ$3000,$C80,11+3*MIN(BB$3,$D$2-1)))))</f>
        <v>0</v>
      </c>
      <c r="BC80" s="131" t="n">
        <f aca="false">IF(OR($C80="",$B$2="",$D$2=0),0,IF(BC$3&lt;0,0,N(INDEX('CURVA PREVISION'!$A$1:$KZ$3000,$C80,11+3*MIN(BC$3,$D$2-1)))))</f>
        <v>0</v>
      </c>
      <c r="BD80" s="131" t="n">
        <f aca="false">IF(OR($C80="",$B$2="",$D$2=0),0,IF(BD$3&lt;0,0,N(INDEX('CURVA PREVISION'!$A$1:$KZ$3000,$C80,11+3*MIN(BD$3,$D$2-1)))))</f>
        <v>0</v>
      </c>
      <c r="BE80" s="131" t="n">
        <f aca="false">IF(OR($C80="",$B$2="",$D$2=0),0,IF(BE$3&lt;0,0,N(INDEX('CURVA PREVISION'!$A$1:$KZ$3000,$C80,11+3*MIN(BE$3,$D$2-1)))))</f>
        <v>0</v>
      </c>
      <c r="BF80" s="131" t="n">
        <f aca="false">IF(OR($C80="",$B$2="",$D$2=0),0,IF(BF$3&lt;0,0,N(INDEX('CURVA PREVISION'!$A$1:$KZ$3000,$C80,11+3*MIN(BF$3,$D$2-1)))))</f>
        <v>0</v>
      </c>
      <c r="BG80" s="131" t="n">
        <f aca="false">IF(OR($C80="",$B$2="",$D$2=0),0,IF(BG$3&lt;0,0,N(INDEX('CURVA PREVISION'!$A$1:$KZ$3000,$C80,11+3*MIN(BG$3,$D$2-1)))))</f>
        <v>0</v>
      </c>
      <c r="BH80" s="131" t="n">
        <f aca="false">IF(OR($C80="",$B$2="",$D$2=0),0,IF(BH$3&lt;0,0,N(INDEX('CURVA PREVISION'!$A$1:$KZ$3000,$C80,11+3*MIN(BH$3,$D$2-1)))))</f>
        <v>0</v>
      </c>
      <c r="BI80" s="131" t="n">
        <f aca="false">IF(OR($C80="",$B$2="",$D$2=0),0,IF(BI$3&lt;0,0,N(INDEX('CURVA PREVISION'!$A$1:$KZ$3000,$C80,11+3*MIN(BI$3,$D$2-1)))))</f>
        <v>0</v>
      </c>
      <c r="BJ80" s="131" t="n">
        <f aca="false">IF(OR($C80="",$B$2="",$D$2=0),0,IF(BJ$3&lt;0,0,N(INDEX('CURVA PREVISION'!$A$1:$KZ$3000,$C80,11+3*MIN(BJ$3,$D$2-1)))))</f>
        <v>0</v>
      </c>
      <c r="BK80" s="131" t="n">
        <f aca="false">IF(OR($C80="",$B$2="",$D$2=0),0,IF(BK$3&lt;0,0,N(INDEX('CURVA PREVISION'!$A$1:$KZ$3000,$C80,11+3*MIN(BK$3,$D$2-1)))))</f>
        <v>0</v>
      </c>
      <c r="BL80" s="131" t="n">
        <f aca="false">IF(OR($C80="",$B$2="",$D$2=0),0,IF(BL$3&lt;0,0,N(INDEX('CURVA PREVISION'!$A$1:$KZ$3000,$C80,11+3*MIN(BL$3,$D$2-1)))))</f>
        <v>0</v>
      </c>
      <c r="BM80" s="131" t="n">
        <f aca="false">IF(OR($C80="",$B$2="",$D$2=0),0,IF(BM$3&lt;0,0,N(INDEX('CURVA PREVISION'!$A$1:$KZ$3000,$C80,11+3*MIN(BM$3,$D$2-1)))))</f>
        <v>0</v>
      </c>
      <c r="BN80" s="131" t="n">
        <f aca="false">IF(OR($C80="",$B$2="",$D$2=0),0,IF(BN$3&lt;0,0,N(INDEX('CURVA PREVISION'!$A$1:$KZ$3000,$C80,11+3*MIN(BN$3,$D$2-1)))))</f>
        <v>0</v>
      </c>
      <c r="BO80" s="131" t="n">
        <f aca="false">IF(OR($C80="",$B$2="",$D$2=0),0,IF(BO$3&lt;0,0,N(INDEX('CURVA PREVISION'!$A$1:$KZ$3000,$C80,11+3*MIN(BO$3,$D$2-1)))))</f>
        <v>0</v>
      </c>
      <c r="BP80" s="131" t="n">
        <f aca="false">IF(OR($C80="",$B$2="",$D$2=0),0,IF(BP$3&lt;0,0,N(INDEX('CURVA PREVISION'!$A$1:$KZ$3000,$C80,11+3*MIN(BP$3,$D$2-1)))))</f>
        <v>0</v>
      </c>
      <c r="BQ80" s="131" t="n">
        <f aca="false">IF(OR($C80="",$B$2="",$D$2=0),0,IF(BQ$3&lt;0,0,N(INDEX('CURVA PREVISION'!$A$1:$KZ$3000,$C80,11+3*MIN(BQ$3,$D$2-1)))))</f>
        <v>0</v>
      </c>
      <c r="BR80" s="131" t="n">
        <f aca="false">IF(OR($C80="",$B$2="",$D$2=0),0,IF(BR$3&lt;0,0,N(INDEX('CURVA PREVISION'!$A$1:$KZ$3000,$C80,11+3*MIN(BR$3,$D$2-1)))))</f>
        <v>0</v>
      </c>
      <c r="BS80" s="131" t="n">
        <f aca="false">IF(OR($C80="",$B$2="",$D$2=0),0,IF(BS$3&lt;0,0,N(INDEX('CURVA PREVISION'!$A$1:$KZ$3000,$C80,11+3*MIN(BS$3,$D$2-1)))))</f>
        <v>0</v>
      </c>
      <c r="BT80" s="131" t="n">
        <f aca="false">IF(OR($C80="",$B$2="",$D$2=0),0,IF(BT$3&lt;0,0,N(INDEX('CURVA PREVISION'!$A$1:$KZ$3000,$C80,11+3*MIN(BT$3,$D$2-1)))))</f>
        <v>0</v>
      </c>
      <c r="BU80" s="131" t="n">
        <f aca="false">IF(OR($C80="",$B$2="",$D$2=0),0,IF(BU$3&lt;0,0,N(INDEX('CURVA PREVISION'!$A$1:$KZ$3000,$C80,11+3*MIN(BU$3,$D$2-1)))))</f>
        <v>0</v>
      </c>
      <c r="BV80" s="131" t="n">
        <f aca="false">IF(OR($C80="",$B$2="",$D$2=0),0,IF(BV$3&lt;0,0,N(INDEX('CURVA PREVISION'!$A$1:$KZ$3000,$C80,11+3*MIN(BV$3,$D$2-1)))))</f>
        <v>0</v>
      </c>
      <c r="BW80" s="131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1073</v>
      </c>
      <c r="D81" s="131" t="n">
        <f aca="false">IF(OR($C81="",$B$2="",$D$2=0),0,IF(D$3&lt;0,0,N(INDEX('CURVA PREVISION'!$A$1:$KZ$3000,$C81,11+3*MIN(D$3,$D$2-1)))))</f>
        <v>0</v>
      </c>
      <c r="E81" s="131" t="n">
        <f aca="false">IF(OR($C81="",$B$2="",$D$2=0),0,IF(E$3&lt;0,0,N(INDEX('CURVA PREVISION'!$A$1:$KZ$3000,$C81,11+3*MIN(E$3,$D$2-1)))))</f>
        <v>0</v>
      </c>
      <c r="F81" s="131" t="n">
        <f aca="false">IF(OR($C81="",$B$2="",$D$2=0),0,IF(F$3&lt;0,0,N(INDEX('CURVA PREVISION'!$A$1:$KZ$3000,$C81,11+3*MIN(F$3,$D$2-1)))))</f>
        <v>0</v>
      </c>
      <c r="G81" s="131" t="n">
        <f aca="false">IF(OR($C81="",$B$2="",$D$2=0),0,IF(G$3&lt;0,0,N(INDEX('CURVA PREVISION'!$A$1:$KZ$3000,$C81,11+3*MIN(G$3,$D$2-1)))))</f>
        <v>0</v>
      </c>
      <c r="H81" s="131" t="n">
        <f aca="false">IF(OR($C81="",$B$2="",$D$2=0),0,IF(H$3&lt;0,0,N(INDEX('CURVA PREVISION'!$A$1:$KZ$3000,$C81,11+3*MIN(H$3,$D$2-1)))))</f>
        <v>0</v>
      </c>
      <c r="I81" s="131" t="n">
        <f aca="false">IF(OR($C81="",$B$2="",$D$2=0),0,IF(I$3&lt;0,0,N(INDEX('CURVA PREVISION'!$A$1:$KZ$3000,$C81,11+3*MIN(I$3,$D$2-1)))))</f>
        <v>0</v>
      </c>
      <c r="J81" s="131" t="n">
        <f aca="false">IF(OR($C81="",$B$2="",$D$2=0),0,IF(J$3&lt;0,0,N(INDEX('CURVA PREVISION'!$A$1:$KZ$3000,$C81,11+3*MIN(J$3,$D$2-1)))))</f>
        <v>0</v>
      </c>
      <c r="K81" s="131" t="n">
        <f aca="false">IF(OR($C81="",$B$2="",$D$2=0),0,IF(K$3&lt;0,0,N(INDEX('CURVA PREVISION'!$A$1:$KZ$3000,$C81,11+3*MIN(K$3,$D$2-1)))))</f>
        <v>0</v>
      </c>
      <c r="L81" s="131" t="n">
        <f aca="false">IF(OR($C81="",$B$2="",$D$2=0),0,IF(L$3&lt;0,0,N(INDEX('CURVA PREVISION'!$A$1:$KZ$3000,$C81,11+3*MIN(L$3,$D$2-1)))))</f>
        <v>0</v>
      </c>
      <c r="M81" s="131" t="n">
        <f aca="false">IF(OR($C81="",$B$2="",$D$2=0),0,IF(M$3&lt;0,0,N(INDEX('CURVA PREVISION'!$A$1:$KZ$3000,$C81,11+3*MIN(M$3,$D$2-1)))))</f>
        <v>0</v>
      </c>
      <c r="N81" s="131" t="n">
        <f aca="false">IF(OR($C81="",$B$2="",$D$2=0),0,IF(N$3&lt;0,0,N(INDEX('CURVA PREVISION'!$A$1:$KZ$3000,$C81,11+3*MIN(N$3,$D$2-1)))))</f>
        <v>0</v>
      </c>
      <c r="O81" s="131" t="n">
        <f aca="false">IF(OR($C81="",$B$2="",$D$2=0),0,IF(O$3&lt;0,0,N(INDEX('CURVA PREVISION'!$A$1:$KZ$3000,$C81,11+3*MIN(O$3,$D$2-1)))))</f>
        <v>0</v>
      </c>
      <c r="P81" s="131" t="n">
        <f aca="false">IF(OR($C81="",$B$2="",$D$2=0),0,IF(P$3&lt;0,0,N(INDEX('CURVA PREVISION'!$A$1:$KZ$3000,$C81,11+3*MIN(P$3,$D$2-1)))))</f>
        <v>0</v>
      </c>
      <c r="Q81" s="131" t="n">
        <f aca="false">IF(OR($C81="",$B$2="",$D$2=0),0,IF(Q$3&lt;0,0,N(INDEX('CURVA PREVISION'!$A$1:$KZ$3000,$C81,11+3*MIN(Q$3,$D$2-1)))))</f>
        <v>0</v>
      </c>
      <c r="R81" s="131" t="n">
        <f aca="false">IF(OR($C81="",$B$2="",$D$2=0),0,IF(R$3&lt;0,0,N(INDEX('CURVA PREVISION'!$A$1:$KZ$3000,$C81,11+3*MIN(R$3,$D$2-1)))))</f>
        <v>0</v>
      </c>
      <c r="S81" s="131" t="n">
        <f aca="false">IF(OR($C81="",$B$2="",$D$2=0),0,IF(S$3&lt;0,0,N(INDEX('CURVA PREVISION'!$A$1:$KZ$3000,$C81,11+3*MIN(S$3,$D$2-1)))))</f>
        <v>0</v>
      </c>
      <c r="T81" s="131" t="n">
        <f aca="false">IF(OR($C81="",$B$2="",$D$2=0),0,IF(T$3&lt;0,0,N(INDEX('CURVA PREVISION'!$A$1:$KZ$3000,$C81,11+3*MIN(T$3,$D$2-1)))))</f>
        <v>1.77</v>
      </c>
      <c r="U81" s="131" t="n">
        <f aca="false">IF(OR($C81="",$B$2="",$D$2=0),0,IF(U$3&lt;0,0,N(INDEX('CURVA PREVISION'!$A$1:$KZ$3000,$C81,11+3*MIN(U$3,$D$2-1)))))</f>
        <v>4.5</v>
      </c>
      <c r="V81" s="131" t="n">
        <f aca="false">IF(OR($C81="",$B$2="",$D$2=0),0,IF(V$3&lt;0,0,N(INDEX('CURVA PREVISION'!$A$1:$KZ$3000,$C81,11+3*MIN(V$3,$D$2-1)))))</f>
        <v>5.91</v>
      </c>
      <c r="W81" s="131" t="n">
        <f aca="false">IF(OR($C81="",$B$2="",$D$2=0),0,IF(W$3&lt;0,0,N(INDEX('CURVA PREVISION'!$A$1:$KZ$3000,$C81,11+3*MIN(W$3,$D$2-1)))))</f>
        <v>9.53</v>
      </c>
      <c r="X81" s="131" t="n">
        <f aca="false">IF(OR($C81="",$B$2="",$D$2=0),0,IF(X$3&lt;0,0,N(INDEX('CURVA PREVISION'!$A$1:$KZ$3000,$C81,11+3*MIN(X$3,$D$2-1)))))</f>
        <v>10.98</v>
      </c>
      <c r="Y81" s="131" t="n">
        <f aca="false">IF(OR($C81="",$B$2="",$D$2=0),0,IF(Y$3&lt;0,0,N(INDEX('CURVA PREVISION'!$A$1:$KZ$3000,$C81,11+3*MIN(Y$3,$D$2-1)))))</f>
        <v>10.98</v>
      </c>
      <c r="Z81" s="131" t="n">
        <f aca="false">IF(OR($C81="",$B$2="",$D$2=0),0,IF(Z$3&lt;0,0,N(INDEX('CURVA PREVISION'!$A$1:$KZ$3000,$C81,11+3*MIN(Z$3,$D$2-1)))))</f>
        <v>10.98</v>
      </c>
      <c r="AA81" s="131" t="n">
        <f aca="false">IF(OR($C81="",$B$2="",$D$2=0),0,IF(AA$3&lt;0,0,N(INDEX('CURVA PREVISION'!$A$1:$KZ$3000,$C81,11+3*MIN(AA$3,$D$2-1)))))</f>
        <v>10.98</v>
      </c>
      <c r="AB81" s="131" t="n">
        <f aca="false">IF(OR($C81="",$B$2="",$D$2=0),0,IF(AB$3&lt;0,0,N(INDEX('CURVA PREVISION'!$A$1:$KZ$3000,$C81,11+3*MIN(AB$3,$D$2-1)))))</f>
        <v>10.98</v>
      </c>
      <c r="AC81" s="131" t="n">
        <f aca="false">IF(OR($C81="",$B$2="",$D$2=0),0,IF(AC$3&lt;0,0,N(INDEX('CURVA PREVISION'!$A$1:$KZ$3000,$C81,11+3*MIN(AC$3,$D$2-1)))))</f>
        <v>10.98</v>
      </c>
      <c r="AD81" s="131" t="n">
        <f aca="false">IF(OR($C81="",$B$2="",$D$2=0),0,IF(AD$3&lt;0,0,N(INDEX('CURVA PREVISION'!$A$1:$KZ$3000,$C81,11+3*MIN(AD$3,$D$2-1)))))</f>
        <v>10.98</v>
      </c>
      <c r="AE81" s="131" t="n">
        <f aca="false">IF(OR($C81="",$B$2="",$D$2=0),0,IF(AE$3&lt;0,0,N(INDEX('CURVA PREVISION'!$A$1:$KZ$3000,$C81,11+3*MIN(AE$3,$D$2-1)))))</f>
        <v>10.98</v>
      </c>
      <c r="AF81" s="131" t="n">
        <f aca="false">IF(OR($C81="",$B$2="",$D$2=0),0,IF(AF$3&lt;0,0,N(INDEX('CURVA PREVISION'!$A$1:$KZ$3000,$C81,11+3*MIN(AF$3,$D$2-1)))))</f>
        <v>10.98</v>
      </c>
      <c r="AG81" s="131" t="n">
        <f aca="false">IF(OR($C81="",$B$2="",$D$2=0),0,IF(AG$3&lt;0,0,N(INDEX('CURVA PREVISION'!$A$1:$KZ$3000,$C81,11+3*MIN(AG$3,$D$2-1)))))</f>
        <v>10.98</v>
      </c>
      <c r="AH81" s="131" t="n">
        <f aca="false">IF(OR($C81="",$B$2="",$D$2=0),0,IF(AH$3&lt;0,0,N(INDEX('CURVA PREVISION'!$A$1:$KZ$3000,$C81,11+3*MIN(AH$3,$D$2-1)))))</f>
        <v>10.98</v>
      </c>
      <c r="AI81" s="131" t="n">
        <f aca="false">IF(OR($C81="",$B$2="",$D$2=0),0,IF(AI$3&lt;0,0,N(INDEX('CURVA PREVISION'!$A$1:$KZ$3000,$C81,11+3*MIN(AI$3,$D$2-1)))))</f>
        <v>10.98</v>
      </c>
      <c r="AJ81" s="131" t="n">
        <f aca="false">IF(OR($C81="",$B$2="",$D$2=0),0,IF(AJ$3&lt;0,0,N(INDEX('CURVA PREVISION'!$A$1:$KZ$3000,$C81,11+3*MIN(AJ$3,$D$2-1)))))</f>
        <v>10.98</v>
      </c>
      <c r="AK81" s="131" t="n">
        <f aca="false">IF(OR($C81="",$B$2="",$D$2=0),0,IF(AK$3&lt;0,0,N(INDEX('CURVA PREVISION'!$A$1:$KZ$3000,$C81,11+3*MIN(AK$3,$D$2-1)))))</f>
        <v>10.98</v>
      </c>
      <c r="AL81" s="131" t="n">
        <f aca="false">IF(OR($C81="",$B$2="",$D$2=0),0,IF(AL$3&lt;0,0,N(INDEX('CURVA PREVISION'!$A$1:$KZ$3000,$C81,11+3*MIN(AL$3,$D$2-1)))))</f>
        <v>10.98</v>
      </c>
      <c r="AM81" s="131" t="n">
        <f aca="false">IF(OR($C81="",$B$2="",$D$2=0),0,IF(AM$3&lt;0,0,N(INDEX('CURVA PREVISION'!$A$1:$KZ$3000,$C81,11+3*MIN(AM$3,$D$2-1)))))</f>
        <v>10.98</v>
      </c>
      <c r="AN81" s="131" t="n">
        <f aca="false">IF(OR($C81="",$B$2="",$D$2=0),0,IF(AN$3&lt;0,0,N(INDEX('CURVA PREVISION'!$A$1:$KZ$3000,$C81,11+3*MIN(AN$3,$D$2-1)))))</f>
        <v>10.98</v>
      </c>
      <c r="AO81" s="131" t="n">
        <f aca="false">IF(OR($C81="",$B$2="",$D$2=0),0,IF(AO$3&lt;0,0,N(INDEX('CURVA PREVISION'!$A$1:$KZ$3000,$C81,11+3*MIN(AO$3,$D$2-1)))))</f>
        <v>10.98</v>
      </c>
      <c r="AP81" s="131" t="n">
        <f aca="false">IF(OR($C81="",$B$2="",$D$2=0),0,IF(AP$3&lt;0,0,N(INDEX('CURVA PREVISION'!$A$1:$KZ$3000,$C81,11+3*MIN(AP$3,$D$2-1)))))</f>
        <v>10.98</v>
      </c>
      <c r="AQ81" s="131" t="n">
        <f aca="false">IF(OR($C81="",$B$2="",$D$2=0),0,IF(AQ$3&lt;0,0,N(INDEX('CURVA PREVISION'!$A$1:$KZ$3000,$C81,11+3*MIN(AQ$3,$D$2-1)))))</f>
        <v>10.98</v>
      </c>
      <c r="AR81" s="131" t="n">
        <f aca="false">IF(OR($C81="",$B$2="",$D$2=0),0,IF(AR$3&lt;0,0,N(INDEX('CURVA PREVISION'!$A$1:$KZ$3000,$C81,11+3*MIN(AR$3,$D$2-1)))))</f>
        <v>10.98</v>
      </c>
      <c r="AS81" s="131" t="n">
        <f aca="false">IF(OR($C81="",$B$2="",$D$2=0),0,IF(AS$3&lt;0,0,N(INDEX('CURVA PREVISION'!$A$1:$KZ$3000,$C81,11+3*MIN(AS$3,$D$2-1)))))</f>
        <v>10.98</v>
      </c>
      <c r="AT81" s="131" t="n">
        <f aca="false">IF(OR($C81="",$B$2="",$D$2=0),0,IF(AT$3&lt;0,0,N(INDEX('CURVA PREVISION'!$A$1:$KZ$3000,$C81,11+3*MIN(AT$3,$D$2-1)))))</f>
        <v>10.98</v>
      </c>
      <c r="AU81" s="131" t="n">
        <f aca="false">IF(OR($C81="",$B$2="",$D$2=0),0,IF(AU$3&lt;0,0,N(INDEX('CURVA PREVISION'!$A$1:$KZ$3000,$C81,11+3*MIN(AU$3,$D$2-1)))))</f>
        <v>10.98</v>
      </c>
      <c r="AV81" s="131" t="n">
        <f aca="false">IF(OR($C81="",$B$2="",$D$2=0),0,IF(AV$3&lt;0,0,N(INDEX('CURVA PREVISION'!$A$1:$KZ$3000,$C81,11+3*MIN(AV$3,$D$2-1)))))</f>
        <v>10.98</v>
      </c>
      <c r="AW81" s="131" t="n">
        <f aca="false">IF(OR($C81="",$B$2="",$D$2=0),0,IF(AW$3&lt;0,0,N(INDEX('CURVA PREVISION'!$A$1:$KZ$3000,$C81,11+3*MIN(AW$3,$D$2-1)))))</f>
        <v>10.98</v>
      </c>
      <c r="AX81" s="131" t="n">
        <f aca="false">IF(OR($C81="",$B$2="",$D$2=0),0,IF(AX$3&lt;0,0,N(INDEX('CURVA PREVISION'!$A$1:$KZ$3000,$C81,11+3*MIN(AX$3,$D$2-1)))))</f>
        <v>10.98</v>
      </c>
      <c r="AY81" s="131" t="n">
        <f aca="false">IF(OR($C81="",$B$2="",$D$2=0),0,IF(AY$3&lt;0,0,N(INDEX('CURVA PREVISION'!$A$1:$KZ$3000,$C81,11+3*MIN(AY$3,$D$2-1)))))</f>
        <v>10.98</v>
      </c>
      <c r="AZ81" s="131" t="n">
        <f aca="false">IF(OR($C81="",$B$2="",$D$2=0),0,IF(AZ$3&lt;0,0,N(INDEX('CURVA PREVISION'!$A$1:$KZ$3000,$C81,11+3*MIN(AZ$3,$D$2-1)))))</f>
        <v>10.98</v>
      </c>
      <c r="BA81" s="131" t="n">
        <f aca="false">IF(OR($C81="",$B$2="",$D$2=0),0,IF(BA$3&lt;0,0,N(INDEX('CURVA PREVISION'!$A$1:$KZ$3000,$C81,11+3*MIN(BA$3,$D$2-1)))))</f>
        <v>10.98</v>
      </c>
      <c r="BB81" s="131" t="n">
        <f aca="false">IF(OR($C81="",$B$2="",$D$2=0),0,IF(BB$3&lt;0,0,N(INDEX('CURVA PREVISION'!$A$1:$KZ$3000,$C81,11+3*MIN(BB$3,$D$2-1)))))</f>
        <v>10.98</v>
      </c>
      <c r="BC81" s="131" t="n">
        <f aca="false">IF(OR($C81="",$B$2="",$D$2=0),0,IF(BC$3&lt;0,0,N(INDEX('CURVA PREVISION'!$A$1:$KZ$3000,$C81,11+3*MIN(BC$3,$D$2-1)))))</f>
        <v>10.98</v>
      </c>
      <c r="BD81" s="131" t="n">
        <f aca="false">IF(OR($C81="",$B$2="",$D$2=0),0,IF(BD$3&lt;0,0,N(INDEX('CURVA PREVISION'!$A$1:$KZ$3000,$C81,11+3*MIN(BD$3,$D$2-1)))))</f>
        <v>10.98</v>
      </c>
      <c r="BE81" s="131" t="n">
        <f aca="false">IF(OR($C81="",$B$2="",$D$2=0),0,IF(BE$3&lt;0,0,N(INDEX('CURVA PREVISION'!$A$1:$KZ$3000,$C81,11+3*MIN(BE$3,$D$2-1)))))</f>
        <v>10.98</v>
      </c>
      <c r="BF81" s="131" t="n">
        <f aca="false">IF(OR($C81="",$B$2="",$D$2=0),0,IF(BF$3&lt;0,0,N(INDEX('CURVA PREVISION'!$A$1:$KZ$3000,$C81,11+3*MIN(BF$3,$D$2-1)))))</f>
        <v>10.98</v>
      </c>
      <c r="BG81" s="131" t="n">
        <f aca="false">IF(OR($C81="",$B$2="",$D$2=0),0,IF(BG$3&lt;0,0,N(INDEX('CURVA PREVISION'!$A$1:$KZ$3000,$C81,11+3*MIN(BG$3,$D$2-1)))))</f>
        <v>10.98</v>
      </c>
      <c r="BH81" s="131" t="n">
        <f aca="false">IF(OR($C81="",$B$2="",$D$2=0),0,IF(BH$3&lt;0,0,N(INDEX('CURVA PREVISION'!$A$1:$KZ$3000,$C81,11+3*MIN(BH$3,$D$2-1)))))</f>
        <v>10.98</v>
      </c>
      <c r="BI81" s="131" t="n">
        <f aca="false">IF(OR($C81="",$B$2="",$D$2=0),0,IF(BI$3&lt;0,0,N(INDEX('CURVA PREVISION'!$A$1:$KZ$3000,$C81,11+3*MIN(BI$3,$D$2-1)))))</f>
        <v>10.98</v>
      </c>
      <c r="BJ81" s="131" t="n">
        <f aca="false">IF(OR($C81="",$B$2="",$D$2=0),0,IF(BJ$3&lt;0,0,N(INDEX('CURVA PREVISION'!$A$1:$KZ$3000,$C81,11+3*MIN(BJ$3,$D$2-1)))))</f>
        <v>10.98</v>
      </c>
      <c r="BK81" s="131" t="n">
        <f aca="false">IF(OR($C81="",$B$2="",$D$2=0),0,IF(BK$3&lt;0,0,N(INDEX('CURVA PREVISION'!$A$1:$KZ$3000,$C81,11+3*MIN(BK$3,$D$2-1)))))</f>
        <v>10.98</v>
      </c>
      <c r="BL81" s="131" t="n">
        <f aca="false">IF(OR($C81="",$B$2="",$D$2=0),0,IF(BL$3&lt;0,0,N(INDEX('CURVA PREVISION'!$A$1:$KZ$3000,$C81,11+3*MIN(BL$3,$D$2-1)))))</f>
        <v>10.98</v>
      </c>
      <c r="BM81" s="131" t="n">
        <f aca="false">IF(OR($C81="",$B$2="",$D$2=0),0,IF(BM$3&lt;0,0,N(INDEX('CURVA PREVISION'!$A$1:$KZ$3000,$C81,11+3*MIN(BM$3,$D$2-1)))))</f>
        <v>10.98</v>
      </c>
      <c r="BN81" s="131" t="n">
        <f aca="false">IF(OR($C81="",$B$2="",$D$2=0),0,IF(BN$3&lt;0,0,N(INDEX('CURVA PREVISION'!$A$1:$KZ$3000,$C81,11+3*MIN(BN$3,$D$2-1)))))</f>
        <v>10.98</v>
      </c>
      <c r="BO81" s="131" t="n">
        <f aca="false">IF(OR($C81="",$B$2="",$D$2=0),0,IF(BO$3&lt;0,0,N(INDEX('CURVA PREVISION'!$A$1:$KZ$3000,$C81,11+3*MIN(BO$3,$D$2-1)))))</f>
        <v>10.98</v>
      </c>
      <c r="BP81" s="131" t="n">
        <f aca="false">IF(OR($C81="",$B$2="",$D$2=0),0,IF(BP$3&lt;0,0,N(INDEX('CURVA PREVISION'!$A$1:$KZ$3000,$C81,11+3*MIN(BP$3,$D$2-1)))))</f>
        <v>10.98</v>
      </c>
      <c r="BQ81" s="131" t="n">
        <f aca="false">IF(OR($C81="",$B$2="",$D$2=0),0,IF(BQ$3&lt;0,0,N(INDEX('CURVA PREVISION'!$A$1:$KZ$3000,$C81,11+3*MIN(BQ$3,$D$2-1)))))</f>
        <v>10.98</v>
      </c>
      <c r="BR81" s="131" t="n">
        <f aca="false">IF(OR($C81="",$B$2="",$D$2=0),0,IF(BR$3&lt;0,0,N(INDEX('CURVA PREVISION'!$A$1:$KZ$3000,$C81,11+3*MIN(BR$3,$D$2-1)))))</f>
        <v>10.98</v>
      </c>
      <c r="BS81" s="131" t="n">
        <f aca="false">IF(OR($C81="",$B$2="",$D$2=0),0,IF(BS$3&lt;0,0,N(INDEX('CURVA PREVISION'!$A$1:$KZ$3000,$C81,11+3*MIN(BS$3,$D$2-1)))))</f>
        <v>10.98</v>
      </c>
      <c r="BT81" s="131" t="n">
        <f aca="false">IF(OR($C81="",$B$2="",$D$2=0),0,IF(BT$3&lt;0,0,N(INDEX('CURVA PREVISION'!$A$1:$KZ$3000,$C81,11+3*MIN(BT$3,$D$2-1)))))</f>
        <v>10.98</v>
      </c>
      <c r="BU81" s="131" t="n">
        <f aca="false">IF(OR($C81="",$B$2="",$D$2=0),0,IF(BU$3&lt;0,0,N(INDEX('CURVA PREVISION'!$A$1:$KZ$3000,$C81,11+3*MIN(BU$3,$D$2-1)))))</f>
        <v>10.98</v>
      </c>
      <c r="BV81" s="131" t="n">
        <f aca="false">IF(OR($C81="",$B$2="",$D$2=0),0,IF(BV$3&lt;0,0,N(INDEX('CURVA PREVISION'!$A$1:$KZ$3000,$C81,11+3*MIN(BV$3,$D$2-1)))))</f>
        <v>10.98</v>
      </c>
      <c r="BW81" s="131" t="n">
        <f aca="false">IF(OR($C81="",$B$2="",$D$2=0),0,IF(BW$3&lt;0,0,N(INDEX('CURVA PREVISION'!$A$1:$KZ$3000,$C81,11+3*MIN(BW$3,$D$2-1)))))</f>
        <v>10.98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PAISAGISMO</v>
      </c>
      <c r="C82" s="64" t="n">
        <f aca="false">IFERROR(MATCH(A82,'CURVA PREVISION'!$B$1:$B$3000,0),"")</f>
        <v>1105</v>
      </c>
      <c r="D82" s="131" t="n">
        <f aca="false">IF(OR($C82="",$B$2="",$D$2=0),0,IF(D$3&lt;0,0,N(INDEX('CURVA PREVISION'!$A$1:$KZ$3000,$C82,11+3*MIN(D$3,$D$2-1)))))</f>
        <v>0</v>
      </c>
      <c r="E82" s="131" t="n">
        <f aca="false">IF(OR($C82="",$B$2="",$D$2=0),0,IF(E$3&lt;0,0,N(INDEX('CURVA PREVISION'!$A$1:$KZ$3000,$C82,11+3*MIN(E$3,$D$2-1)))))</f>
        <v>0</v>
      </c>
      <c r="F82" s="131" t="n">
        <f aca="false">IF(OR($C82="",$B$2="",$D$2=0),0,IF(F$3&lt;0,0,N(INDEX('CURVA PREVISION'!$A$1:$KZ$3000,$C82,11+3*MIN(F$3,$D$2-1)))))</f>
        <v>0</v>
      </c>
      <c r="G82" s="131" t="n">
        <f aca="false">IF(OR($C82="",$B$2="",$D$2=0),0,IF(G$3&lt;0,0,N(INDEX('CURVA PREVISION'!$A$1:$KZ$3000,$C82,11+3*MIN(G$3,$D$2-1)))))</f>
        <v>0</v>
      </c>
      <c r="H82" s="131" t="n">
        <f aca="false">IF(OR($C82="",$B$2="",$D$2=0),0,IF(H$3&lt;0,0,N(INDEX('CURVA PREVISION'!$A$1:$KZ$3000,$C82,11+3*MIN(H$3,$D$2-1)))))</f>
        <v>0</v>
      </c>
      <c r="I82" s="131" t="n">
        <f aca="false">IF(OR($C82="",$B$2="",$D$2=0),0,IF(I$3&lt;0,0,N(INDEX('CURVA PREVISION'!$A$1:$KZ$3000,$C82,11+3*MIN(I$3,$D$2-1)))))</f>
        <v>0</v>
      </c>
      <c r="J82" s="131" t="n">
        <f aca="false">IF(OR($C82="",$B$2="",$D$2=0),0,IF(J$3&lt;0,0,N(INDEX('CURVA PREVISION'!$A$1:$KZ$3000,$C82,11+3*MIN(J$3,$D$2-1)))))</f>
        <v>0</v>
      </c>
      <c r="K82" s="131" t="n">
        <f aca="false">IF(OR($C82="",$B$2="",$D$2=0),0,IF(K$3&lt;0,0,N(INDEX('CURVA PREVISION'!$A$1:$KZ$3000,$C82,11+3*MIN(K$3,$D$2-1)))))</f>
        <v>0</v>
      </c>
      <c r="L82" s="131" t="n">
        <f aca="false">IF(OR($C82="",$B$2="",$D$2=0),0,IF(L$3&lt;0,0,N(INDEX('CURVA PREVISION'!$A$1:$KZ$3000,$C82,11+3*MIN(L$3,$D$2-1)))))</f>
        <v>0</v>
      </c>
      <c r="M82" s="131" t="n">
        <f aca="false">IF(OR($C82="",$B$2="",$D$2=0),0,IF(M$3&lt;0,0,N(INDEX('CURVA PREVISION'!$A$1:$KZ$3000,$C82,11+3*MIN(M$3,$D$2-1)))))</f>
        <v>0</v>
      </c>
      <c r="N82" s="131" t="n">
        <f aca="false">IF(OR($C82="",$B$2="",$D$2=0),0,IF(N$3&lt;0,0,N(INDEX('CURVA PREVISION'!$A$1:$KZ$3000,$C82,11+3*MIN(N$3,$D$2-1)))))</f>
        <v>0</v>
      </c>
      <c r="O82" s="131" t="n">
        <f aca="false">IF(OR($C82="",$B$2="",$D$2=0),0,IF(O$3&lt;0,0,N(INDEX('CURVA PREVISION'!$A$1:$KZ$3000,$C82,11+3*MIN(O$3,$D$2-1)))))</f>
        <v>0</v>
      </c>
      <c r="P82" s="131" t="n">
        <f aca="false">IF(OR($C82="",$B$2="",$D$2=0),0,IF(P$3&lt;0,0,N(INDEX('CURVA PREVISION'!$A$1:$KZ$3000,$C82,11+3*MIN(P$3,$D$2-1)))))</f>
        <v>0</v>
      </c>
      <c r="Q82" s="131" t="n">
        <f aca="false">IF(OR($C82="",$B$2="",$D$2=0),0,IF(Q$3&lt;0,0,N(INDEX('CURVA PREVISION'!$A$1:$KZ$3000,$C82,11+3*MIN(Q$3,$D$2-1)))))</f>
        <v>0</v>
      </c>
      <c r="R82" s="131" t="n">
        <f aca="false">IF(OR($C82="",$B$2="",$D$2=0),0,IF(R$3&lt;0,0,N(INDEX('CURVA PREVISION'!$A$1:$KZ$3000,$C82,11+3*MIN(R$3,$D$2-1)))))</f>
        <v>0</v>
      </c>
      <c r="S82" s="131" t="n">
        <f aca="false">IF(OR($C82="",$B$2="",$D$2=0),0,IF(S$3&lt;0,0,N(INDEX('CURVA PREVISION'!$A$1:$KZ$3000,$C82,11+3*MIN(S$3,$D$2-1)))))</f>
        <v>0</v>
      </c>
      <c r="T82" s="131" t="n">
        <f aca="false">IF(OR($C82="",$B$2="",$D$2=0),0,IF(T$3&lt;0,0,N(INDEX('CURVA PREVISION'!$A$1:$KZ$3000,$C82,11+3*MIN(T$3,$D$2-1)))))</f>
        <v>0</v>
      </c>
      <c r="U82" s="131" t="n">
        <f aca="false">IF(OR($C82="",$B$2="",$D$2=0),0,IF(U$3&lt;0,0,N(INDEX('CURVA PREVISION'!$A$1:$KZ$3000,$C82,11+3*MIN(U$3,$D$2-1)))))</f>
        <v>0</v>
      </c>
      <c r="V82" s="131" t="n">
        <f aca="false">IF(OR($C82="",$B$2="",$D$2=0),0,IF(V$3&lt;0,0,N(INDEX('CURVA PREVISION'!$A$1:$KZ$3000,$C82,11+3*MIN(V$3,$D$2-1)))))</f>
        <v>0</v>
      </c>
      <c r="W82" s="131" t="n">
        <f aca="false">IF(OR($C82="",$B$2="",$D$2=0),0,IF(W$3&lt;0,0,N(INDEX('CURVA PREVISION'!$A$1:$KZ$3000,$C82,11+3*MIN(W$3,$D$2-1)))))</f>
        <v>0</v>
      </c>
      <c r="X82" s="131" t="n">
        <f aca="false">IF(OR($C82="",$B$2="",$D$2=0),0,IF(X$3&lt;0,0,N(INDEX('CURVA PREVISION'!$A$1:$KZ$3000,$C82,11+3*MIN(X$3,$D$2-1)))))</f>
        <v>0</v>
      </c>
      <c r="Y82" s="131" t="n">
        <f aca="false">IF(OR($C82="",$B$2="",$D$2=0),0,IF(Y$3&lt;0,0,N(INDEX('CURVA PREVISION'!$A$1:$KZ$3000,$C82,11+3*MIN(Y$3,$D$2-1)))))</f>
        <v>0</v>
      </c>
      <c r="Z82" s="131" t="n">
        <f aca="false">IF(OR($C82="",$B$2="",$D$2=0),0,IF(Z$3&lt;0,0,N(INDEX('CURVA PREVISION'!$A$1:$KZ$3000,$C82,11+3*MIN(Z$3,$D$2-1)))))</f>
        <v>0</v>
      </c>
      <c r="AA82" s="131" t="n">
        <f aca="false">IF(OR($C82="",$B$2="",$D$2=0),0,IF(AA$3&lt;0,0,N(INDEX('CURVA PREVISION'!$A$1:$KZ$3000,$C82,11+3*MIN(AA$3,$D$2-1)))))</f>
        <v>0</v>
      </c>
      <c r="AB82" s="131" t="n">
        <f aca="false">IF(OR($C82="",$B$2="",$D$2=0),0,IF(AB$3&lt;0,0,N(INDEX('CURVA PREVISION'!$A$1:$KZ$3000,$C82,11+3*MIN(AB$3,$D$2-1)))))</f>
        <v>0</v>
      </c>
      <c r="AC82" s="131" t="n">
        <f aca="false">IF(OR($C82="",$B$2="",$D$2=0),0,IF(AC$3&lt;0,0,N(INDEX('CURVA PREVISION'!$A$1:$KZ$3000,$C82,11+3*MIN(AC$3,$D$2-1)))))</f>
        <v>0</v>
      </c>
      <c r="AD82" s="131" t="n">
        <f aca="false">IF(OR($C82="",$B$2="",$D$2=0),0,IF(AD$3&lt;0,0,N(INDEX('CURVA PREVISION'!$A$1:$KZ$3000,$C82,11+3*MIN(AD$3,$D$2-1)))))</f>
        <v>0</v>
      </c>
      <c r="AE82" s="131" t="n">
        <f aca="false">IF(OR($C82="",$B$2="",$D$2=0),0,IF(AE$3&lt;0,0,N(INDEX('CURVA PREVISION'!$A$1:$KZ$3000,$C82,11+3*MIN(AE$3,$D$2-1)))))</f>
        <v>0</v>
      </c>
      <c r="AF82" s="131" t="n">
        <f aca="false">IF(OR($C82="",$B$2="",$D$2=0),0,IF(AF$3&lt;0,0,N(INDEX('CURVA PREVISION'!$A$1:$KZ$3000,$C82,11+3*MIN(AF$3,$D$2-1)))))</f>
        <v>0</v>
      </c>
      <c r="AG82" s="131" t="n">
        <f aca="false">IF(OR($C82="",$B$2="",$D$2=0),0,IF(AG$3&lt;0,0,N(INDEX('CURVA PREVISION'!$A$1:$KZ$3000,$C82,11+3*MIN(AG$3,$D$2-1)))))</f>
        <v>0</v>
      </c>
      <c r="AH82" s="131" t="n">
        <f aca="false">IF(OR($C82="",$B$2="",$D$2=0),0,IF(AH$3&lt;0,0,N(INDEX('CURVA PREVISION'!$A$1:$KZ$3000,$C82,11+3*MIN(AH$3,$D$2-1)))))</f>
        <v>0</v>
      </c>
      <c r="AI82" s="131" t="n">
        <f aca="false">IF(OR($C82="",$B$2="",$D$2=0),0,IF(AI$3&lt;0,0,N(INDEX('CURVA PREVISION'!$A$1:$KZ$3000,$C82,11+3*MIN(AI$3,$D$2-1)))))</f>
        <v>0</v>
      </c>
      <c r="AJ82" s="131" t="n">
        <f aca="false">IF(OR($C82="",$B$2="",$D$2=0),0,IF(AJ$3&lt;0,0,N(INDEX('CURVA PREVISION'!$A$1:$KZ$3000,$C82,11+3*MIN(AJ$3,$D$2-1)))))</f>
        <v>0</v>
      </c>
      <c r="AK82" s="131" t="n">
        <f aca="false">IF(OR($C82="",$B$2="",$D$2=0),0,IF(AK$3&lt;0,0,N(INDEX('CURVA PREVISION'!$A$1:$KZ$3000,$C82,11+3*MIN(AK$3,$D$2-1)))))</f>
        <v>0</v>
      </c>
      <c r="AL82" s="131" t="n">
        <f aca="false">IF(OR($C82="",$B$2="",$D$2=0),0,IF(AL$3&lt;0,0,N(INDEX('CURVA PREVISION'!$A$1:$KZ$3000,$C82,11+3*MIN(AL$3,$D$2-1)))))</f>
        <v>0</v>
      </c>
      <c r="AM82" s="131" t="n">
        <f aca="false">IF(OR($C82="",$B$2="",$D$2=0),0,IF(AM$3&lt;0,0,N(INDEX('CURVA PREVISION'!$A$1:$KZ$3000,$C82,11+3*MIN(AM$3,$D$2-1)))))</f>
        <v>0</v>
      </c>
      <c r="AN82" s="131" t="n">
        <f aca="false">IF(OR($C82="",$B$2="",$D$2=0),0,IF(AN$3&lt;0,0,N(INDEX('CURVA PREVISION'!$A$1:$KZ$3000,$C82,11+3*MIN(AN$3,$D$2-1)))))</f>
        <v>0</v>
      </c>
      <c r="AO82" s="131" t="n">
        <f aca="false">IF(OR($C82="",$B$2="",$D$2=0),0,IF(AO$3&lt;0,0,N(INDEX('CURVA PREVISION'!$A$1:$KZ$3000,$C82,11+3*MIN(AO$3,$D$2-1)))))</f>
        <v>0</v>
      </c>
      <c r="AP82" s="131" t="n">
        <f aca="false">IF(OR($C82="",$B$2="",$D$2=0),0,IF(AP$3&lt;0,0,N(INDEX('CURVA PREVISION'!$A$1:$KZ$3000,$C82,11+3*MIN(AP$3,$D$2-1)))))</f>
        <v>0</v>
      </c>
      <c r="AQ82" s="131" t="n">
        <f aca="false">IF(OR($C82="",$B$2="",$D$2=0),0,IF(AQ$3&lt;0,0,N(INDEX('CURVA PREVISION'!$A$1:$KZ$3000,$C82,11+3*MIN(AQ$3,$D$2-1)))))</f>
        <v>0</v>
      </c>
      <c r="AR82" s="131" t="n">
        <f aca="false">IF(OR($C82="",$B$2="",$D$2=0),0,IF(AR$3&lt;0,0,N(INDEX('CURVA PREVISION'!$A$1:$KZ$3000,$C82,11+3*MIN(AR$3,$D$2-1)))))</f>
        <v>0</v>
      </c>
      <c r="AS82" s="131" t="n">
        <f aca="false">IF(OR($C82="",$B$2="",$D$2=0),0,IF(AS$3&lt;0,0,N(INDEX('CURVA PREVISION'!$A$1:$KZ$3000,$C82,11+3*MIN(AS$3,$D$2-1)))))</f>
        <v>0</v>
      </c>
      <c r="AT82" s="131" t="n">
        <f aca="false">IF(OR($C82="",$B$2="",$D$2=0),0,IF(AT$3&lt;0,0,N(INDEX('CURVA PREVISION'!$A$1:$KZ$3000,$C82,11+3*MIN(AT$3,$D$2-1)))))</f>
        <v>0</v>
      </c>
      <c r="AU82" s="131" t="n">
        <f aca="false">IF(OR($C82="",$B$2="",$D$2=0),0,IF(AU$3&lt;0,0,N(INDEX('CURVA PREVISION'!$A$1:$KZ$3000,$C82,11+3*MIN(AU$3,$D$2-1)))))</f>
        <v>0</v>
      </c>
      <c r="AV82" s="131" t="n">
        <f aca="false">IF(OR($C82="",$B$2="",$D$2=0),0,IF(AV$3&lt;0,0,N(INDEX('CURVA PREVISION'!$A$1:$KZ$3000,$C82,11+3*MIN(AV$3,$D$2-1)))))</f>
        <v>0</v>
      </c>
      <c r="AW82" s="131" t="n">
        <f aca="false">IF(OR($C82="",$B$2="",$D$2=0),0,IF(AW$3&lt;0,0,N(INDEX('CURVA PREVISION'!$A$1:$KZ$3000,$C82,11+3*MIN(AW$3,$D$2-1)))))</f>
        <v>0</v>
      </c>
      <c r="AX82" s="131" t="n">
        <f aca="false">IF(OR($C82="",$B$2="",$D$2=0),0,IF(AX$3&lt;0,0,N(INDEX('CURVA PREVISION'!$A$1:$KZ$3000,$C82,11+3*MIN(AX$3,$D$2-1)))))</f>
        <v>0</v>
      </c>
      <c r="AY82" s="131" t="n">
        <f aca="false">IF(OR($C82="",$B$2="",$D$2=0),0,IF(AY$3&lt;0,0,N(INDEX('CURVA PREVISION'!$A$1:$KZ$3000,$C82,11+3*MIN(AY$3,$D$2-1)))))</f>
        <v>0</v>
      </c>
      <c r="AZ82" s="131" t="n">
        <f aca="false">IF(OR($C82="",$B$2="",$D$2=0),0,IF(AZ$3&lt;0,0,N(INDEX('CURVA PREVISION'!$A$1:$KZ$3000,$C82,11+3*MIN(AZ$3,$D$2-1)))))</f>
        <v>0</v>
      </c>
      <c r="BA82" s="131" t="n">
        <f aca="false">IF(OR($C82="",$B$2="",$D$2=0),0,IF(BA$3&lt;0,0,N(INDEX('CURVA PREVISION'!$A$1:$KZ$3000,$C82,11+3*MIN(BA$3,$D$2-1)))))</f>
        <v>0</v>
      </c>
      <c r="BB82" s="131" t="n">
        <f aca="false">IF(OR($C82="",$B$2="",$D$2=0),0,IF(BB$3&lt;0,0,N(INDEX('CURVA PREVISION'!$A$1:$KZ$3000,$C82,11+3*MIN(BB$3,$D$2-1)))))</f>
        <v>0</v>
      </c>
      <c r="BC82" s="131" t="n">
        <f aca="false">IF(OR($C82="",$B$2="",$D$2=0),0,IF(BC$3&lt;0,0,N(INDEX('CURVA PREVISION'!$A$1:$KZ$3000,$C82,11+3*MIN(BC$3,$D$2-1)))))</f>
        <v>0</v>
      </c>
      <c r="BD82" s="131" t="n">
        <f aca="false">IF(OR($C82="",$B$2="",$D$2=0),0,IF(BD$3&lt;0,0,N(INDEX('CURVA PREVISION'!$A$1:$KZ$3000,$C82,11+3*MIN(BD$3,$D$2-1)))))</f>
        <v>0</v>
      </c>
      <c r="BE82" s="131" t="n">
        <f aca="false">IF(OR($C82="",$B$2="",$D$2=0),0,IF(BE$3&lt;0,0,N(INDEX('CURVA PREVISION'!$A$1:$KZ$3000,$C82,11+3*MIN(BE$3,$D$2-1)))))</f>
        <v>0</v>
      </c>
      <c r="BF82" s="131" t="n">
        <f aca="false">IF(OR($C82="",$B$2="",$D$2=0),0,IF(BF$3&lt;0,0,N(INDEX('CURVA PREVISION'!$A$1:$KZ$3000,$C82,11+3*MIN(BF$3,$D$2-1)))))</f>
        <v>0</v>
      </c>
      <c r="BG82" s="131" t="n">
        <f aca="false">IF(OR($C82="",$B$2="",$D$2=0),0,IF(BG$3&lt;0,0,N(INDEX('CURVA PREVISION'!$A$1:$KZ$3000,$C82,11+3*MIN(BG$3,$D$2-1)))))</f>
        <v>0</v>
      </c>
      <c r="BH82" s="131" t="n">
        <f aca="false">IF(OR($C82="",$B$2="",$D$2=0),0,IF(BH$3&lt;0,0,N(INDEX('CURVA PREVISION'!$A$1:$KZ$3000,$C82,11+3*MIN(BH$3,$D$2-1)))))</f>
        <v>0</v>
      </c>
      <c r="BI82" s="131" t="n">
        <f aca="false">IF(OR($C82="",$B$2="",$D$2=0),0,IF(BI$3&lt;0,0,N(INDEX('CURVA PREVISION'!$A$1:$KZ$3000,$C82,11+3*MIN(BI$3,$D$2-1)))))</f>
        <v>0</v>
      </c>
      <c r="BJ82" s="131" t="n">
        <f aca="false">IF(OR($C82="",$B$2="",$D$2=0),0,IF(BJ$3&lt;0,0,N(INDEX('CURVA PREVISION'!$A$1:$KZ$3000,$C82,11+3*MIN(BJ$3,$D$2-1)))))</f>
        <v>0</v>
      </c>
      <c r="BK82" s="131" t="n">
        <f aca="false">IF(OR($C82="",$B$2="",$D$2=0),0,IF(BK$3&lt;0,0,N(INDEX('CURVA PREVISION'!$A$1:$KZ$3000,$C82,11+3*MIN(BK$3,$D$2-1)))))</f>
        <v>0</v>
      </c>
      <c r="BL82" s="131" t="n">
        <f aca="false">IF(OR($C82="",$B$2="",$D$2=0),0,IF(BL$3&lt;0,0,N(INDEX('CURVA PREVISION'!$A$1:$KZ$3000,$C82,11+3*MIN(BL$3,$D$2-1)))))</f>
        <v>0</v>
      </c>
      <c r="BM82" s="131" t="n">
        <f aca="false">IF(OR($C82="",$B$2="",$D$2=0),0,IF(BM$3&lt;0,0,N(INDEX('CURVA PREVISION'!$A$1:$KZ$3000,$C82,11+3*MIN(BM$3,$D$2-1)))))</f>
        <v>0</v>
      </c>
      <c r="BN82" s="131" t="n">
        <f aca="false">IF(OR($C82="",$B$2="",$D$2=0),0,IF(BN$3&lt;0,0,N(INDEX('CURVA PREVISION'!$A$1:$KZ$3000,$C82,11+3*MIN(BN$3,$D$2-1)))))</f>
        <v>0</v>
      </c>
      <c r="BO82" s="131" t="n">
        <f aca="false">IF(OR($C82="",$B$2="",$D$2=0),0,IF(BO$3&lt;0,0,N(INDEX('CURVA PREVISION'!$A$1:$KZ$3000,$C82,11+3*MIN(BO$3,$D$2-1)))))</f>
        <v>0</v>
      </c>
      <c r="BP82" s="131" t="n">
        <f aca="false">IF(OR($C82="",$B$2="",$D$2=0),0,IF(BP$3&lt;0,0,N(INDEX('CURVA PREVISION'!$A$1:$KZ$3000,$C82,11+3*MIN(BP$3,$D$2-1)))))</f>
        <v>0</v>
      </c>
      <c r="BQ82" s="131" t="n">
        <f aca="false">IF(OR($C82="",$B$2="",$D$2=0),0,IF(BQ$3&lt;0,0,N(INDEX('CURVA PREVISION'!$A$1:$KZ$3000,$C82,11+3*MIN(BQ$3,$D$2-1)))))</f>
        <v>0</v>
      </c>
      <c r="BR82" s="131" t="n">
        <f aca="false">IF(OR($C82="",$B$2="",$D$2=0),0,IF(BR$3&lt;0,0,N(INDEX('CURVA PREVISION'!$A$1:$KZ$3000,$C82,11+3*MIN(BR$3,$D$2-1)))))</f>
        <v>0</v>
      </c>
      <c r="BS82" s="131" t="n">
        <f aca="false">IF(OR($C82="",$B$2="",$D$2=0),0,IF(BS$3&lt;0,0,N(INDEX('CURVA PREVISION'!$A$1:$KZ$3000,$C82,11+3*MIN(BS$3,$D$2-1)))))</f>
        <v>0</v>
      </c>
      <c r="BT82" s="131" t="n">
        <f aca="false">IF(OR($C82="",$B$2="",$D$2=0),0,IF(BT$3&lt;0,0,N(INDEX('CURVA PREVISION'!$A$1:$KZ$3000,$C82,11+3*MIN(BT$3,$D$2-1)))))</f>
        <v>0</v>
      </c>
      <c r="BU82" s="131" t="n">
        <f aca="false">IF(OR($C82="",$B$2="",$D$2=0),0,IF(BU$3&lt;0,0,N(INDEX('CURVA PREVISION'!$A$1:$KZ$3000,$C82,11+3*MIN(BU$3,$D$2-1)))))</f>
        <v>0</v>
      </c>
      <c r="BV82" s="131" t="n">
        <f aca="false">IF(OR($C82="",$B$2="",$D$2=0),0,IF(BV$3&lt;0,0,N(INDEX('CURVA PREVISION'!$A$1:$KZ$3000,$C82,11+3*MIN(BV$3,$D$2-1)))))</f>
        <v>0</v>
      </c>
      <c r="BW82" s="131" t="n">
        <f aca="false">IF(OR($C82="",$B$2="",$D$2=0),0,IF(BW$3&lt;0,0,N(INDEX('CURVA PREVISION'!$A$1:$KZ$3000,$C82,11+3*MIN(BW$3,$D$2-1)))))</f>
        <v>0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1112</v>
      </c>
      <c r="D83" s="131" t="n">
        <f aca="false">IF(OR($C83="",$B$2="",$D$2=0),0,IF(D$3&lt;0,0,N(INDEX('CURVA PREVISION'!$A$1:$KZ$3000,$C83,11+3*MIN(D$3,$D$2-1)))))</f>
        <v>0</v>
      </c>
      <c r="E83" s="131" t="n">
        <f aca="false">IF(OR($C83="",$B$2="",$D$2=0),0,IF(E$3&lt;0,0,N(INDEX('CURVA PREVISION'!$A$1:$KZ$3000,$C83,11+3*MIN(E$3,$D$2-1)))))</f>
        <v>0</v>
      </c>
      <c r="F83" s="131" t="n">
        <f aca="false">IF(OR($C83="",$B$2="",$D$2=0),0,IF(F$3&lt;0,0,N(INDEX('CURVA PREVISION'!$A$1:$KZ$3000,$C83,11+3*MIN(F$3,$D$2-1)))))</f>
        <v>0</v>
      </c>
      <c r="G83" s="131" t="n">
        <f aca="false">IF(OR($C83="",$B$2="",$D$2=0),0,IF(G$3&lt;0,0,N(INDEX('CURVA PREVISION'!$A$1:$KZ$3000,$C83,11+3*MIN(G$3,$D$2-1)))))</f>
        <v>0</v>
      </c>
      <c r="H83" s="131" t="n">
        <f aca="false">IF(OR($C83="",$B$2="",$D$2=0),0,IF(H$3&lt;0,0,N(INDEX('CURVA PREVISION'!$A$1:$KZ$3000,$C83,11+3*MIN(H$3,$D$2-1)))))</f>
        <v>0</v>
      </c>
      <c r="I83" s="131" t="n">
        <f aca="false">IF(OR($C83="",$B$2="",$D$2=0),0,IF(I$3&lt;0,0,N(INDEX('CURVA PREVISION'!$A$1:$KZ$3000,$C83,11+3*MIN(I$3,$D$2-1)))))</f>
        <v>0</v>
      </c>
      <c r="J83" s="131" t="n">
        <f aca="false">IF(OR($C83="",$B$2="",$D$2=0),0,IF(J$3&lt;0,0,N(INDEX('CURVA PREVISION'!$A$1:$KZ$3000,$C83,11+3*MIN(J$3,$D$2-1)))))</f>
        <v>0</v>
      </c>
      <c r="K83" s="131" t="n">
        <f aca="false">IF(OR($C83="",$B$2="",$D$2=0),0,IF(K$3&lt;0,0,N(INDEX('CURVA PREVISION'!$A$1:$KZ$3000,$C83,11+3*MIN(K$3,$D$2-1)))))</f>
        <v>0</v>
      </c>
      <c r="L83" s="131" t="n">
        <f aca="false">IF(OR($C83="",$B$2="",$D$2=0),0,IF(L$3&lt;0,0,N(INDEX('CURVA PREVISION'!$A$1:$KZ$3000,$C83,11+3*MIN(L$3,$D$2-1)))))</f>
        <v>0</v>
      </c>
      <c r="M83" s="131" t="n">
        <f aca="false">IF(OR($C83="",$B$2="",$D$2=0),0,IF(M$3&lt;0,0,N(INDEX('CURVA PREVISION'!$A$1:$KZ$3000,$C83,11+3*MIN(M$3,$D$2-1)))))</f>
        <v>0</v>
      </c>
      <c r="N83" s="131" t="n">
        <f aca="false">IF(OR($C83="",$B$2="",$D$2=0),0,IF(N$3&lt;0,0,N(INDEX('CURVA PREVISION'!$A$1:$KZ$3000,$C83,11+3*MIN(N$3,$D$2-1)))))</f>
        <v>0</v>
      </c>
      <c r="O83" s="131" t="n">
        <f aca="false">IF(OR($C83="",$B$2="",$D$2=0),0,IF(O$3&lt;0,0,N(INDEX('CURVA PREVISION'!$A$1:$KZ$3000,$C83,11+3*MIN(O$3,$D$2-1)))))</f>
        <v>0</v>
      </c>
      <c r="P83" s="131" t="n">
        <f aca="false">IF(OR($C83="",$B$2="",$D$2=0),0,IF(P$3&lt;0,0,N(INDEX('CURVA PREVISION'!$A$1:$KZ$3000,$C83,11+3*MIN(P$3,$D$2-1)))))</f>
        <v>0</v>
      </c>
      <c r="Q83" s="131" t="n">
        <f aca="false">IF(OR($C83="",$B$2="",$D$2=0),0,IF(Q$3&lt;0,0,N(INDEX('CURVA PREVISION'!$A$1:$KZ$3000,$C83,11+3*MIN(Q$3,$D$2-1)))))</f>
        <v>0</v>
      </c>
      <c r="R83" s="131" t="n">
        <f aca="false">IF(OR($C83="",$B$2="",$D$2=0),0,IF(R$3&lt;0,0,N(INDEX('CURVA PREVISION'!$A$1:$KZ$3000,$C83,11+3*MIN(R$3,$D$2-1)))))</f>
        <v>0</v>
      </c>
      <c r="S83" s="131" t="n">
        <f aca="false">IF(OR($C83="",$B$2="",$D$2=0),0,IF(S$3&lt;0,0,N(INDEX('CURVA PREVISION'!$A$1:$KZ$3000,$C83,11+3*MIN(S$3,$D$2-1)))))</f>
        <v>0</v>
      </c>
      <c r="T83" s="131" t="n">
        <f aca="false">IF(OR($C83="",$B$2="",$D$2=0),0,IF(T$3&lt;0,0,N(INDEX('CURVA PREVISION'!$A$1:$KZ$3000,$C83,11+3*MIN(T$3,$D$2-1)))))</f>
        <v>0</v>
      </c>
      <c r="U83" s="131" t="n">
        <f aca="false">IF(OR($C83="",$B$2="",$D$2=0),0,IF(U$3&lt;0,0,N(INDEX('CURVA PREVISION'!$A$1:$KZ$3000,$C83,11+3*MIN(U$3,$D$2-1)))))</f>
        <v>0</v>
      </c>
      <c r="V83" s="131" t="n">
        <f aca="false">IF(OR($C83="",$B$2="",$D$2=0),0,IF(V$3&lt;0,0,N(INDEX('CURVA PREVISION'!$A$1:$KZ$3000,$C83,11+3*MIN(V$3,$D$2-1)))))</f>
        <v>0</v>
      </c>
      <c r="W83" s="131" t="n">
        <f aca="false">IF(OR($C83="",$B$2="",$D$2=0),0,IF(W$3&lt;0,0,N(INDEX('CURVA PREVISION'!$A$1:$KZ$3000,$C83,11+3*MIN(W$3,$D$2-1)))))</f>
        <v>0</v>
      </c>
      <c r="X83" s="131" t="n">
        <f aca="false">IF(OR($C83="",$B$2="",$D$2=0),0,IF(X$3&lt;0,0,N(INDEX('CURVA PREVISION'!$A$1:$KZ$3000,$C83,11+3*MIN(X$3,$D$2-1)))))</f>
        <v>0</v>
      </c>
      <c r="Y83" s="131" t="n">
        <f aca="false">IF(OR($C83="",$B$2="",$D$2=0),0,IF(Y$3&lt;0,0,N(INDEX('CURVA PREVISION'!$A$1:$KZ$3000,$C83,11+3*MIN(Y$3,$D$2-1)))))</f>
        <v>0</v>
      </c>
      <c r="Z83" s="131" t="n">
        <f aca="false">IF(OR($C83="",$B$2="",$D$2=0),0,IF(Z$3&lt;0,0,N(INDEX('CURVA PREVISION'!$A$1:$KZ$3000,$C83,11+3*MIN(Z$3,$D$2-1)))))</f>
        <v>0</v>
      </c>
      <c r="AA83" s="131" t="n">
        <f aca="false">IF(OR($C83="",$B$2="",$D$2=0),0,IF(AA$3&lt;0,0,N(INDEX('CURVA PREVISION'!$A$1:$KZ$3000,$C83,11+3*MIN(AA$3,$D$2-1)))))</f>
        <v>0</v>
      </c>
      <c r="AB83" s="131" t="n">
        <f aca="false">IF(OR($C83="",$B$2="",$D$2=0),0,IF(AB$3&lt;0,0,N(INDEX('CURVA PREVISION'!$A$1:$KZ$3000,$C83,11+3*MIN(AB$3,$D$2-1)))))</f>
        <v>0</v>
      </c>
      <c r="AC83" s="131" t="n">
        <f aca="false">IF(OR($C83="",$B$2="",$D$2=0),0,IF(AC$3&lt;0,0,N(INDEX('CURVA PREVISION'!$A$1:$KZ$3000,$C83,11+3*MIN(AC$3,$D$2-1)))))</f>
        <v>0</v>
      </c>
      <c r="AD83" s="131" t="n">
        <f aca="false">IF(OR($C83="",$B$2="",$D$2=0),0,IF(AD$3&lt;0,0,N(INDEX('CURVA PREVISION'!$A$1:$KZ$3000,$C83,11+3*MIN(AD$3,$D$2-1)))))</f>
        <v>0</v>
      </c>
      <c r="AE83" s="131" t="n">
        <f aca="false">IF(OR($C83="",$B$2="",$D$2=0),0,IF(AE$3&lt;0,0,N(INDEX('CURVA PREVISION'!$A$1:$KZ$3000,$C83,11+3*MIN(AE$3,$D$2-1)))))</f>
        <v>0</v>
      </c>
      <c r="AF83" s="131" t="n">
        <f aca="false">IF(OR($C83="",$B$2="",$D$2=0),0,IF(AF$3&lt;0,0,N(INDEX('CURVA PREVISION'!$A$1:$KZ$3000,$C83,11+3*MIN(AF$3,$D$2-1)))))</f>
        <v>0</v>
      </c>
      <c r="AG83" s="131" t="n">
        <f aca="false">IF(OR($C83="",$B$2="",$D$2=0),0,IF(AG$3&lt;0,0,N(INDEX('CURVA PREVISION'!$A$1:$KZ$3000,$C83,11+3*MIN(AG$3,$D$2-1)))))</f>
        <v>0</v>
      </c>
      <c r="AH83" s="131" t="n">
        <f aca="false">IF(OR($C83="",$B$2="",$D$2=0),0,IF(AH$3&lt;0,0,N(INDEX('CURVA PREVISION'!$A$1:$KZ$3000,$C83,11+3*MIN(AH$3,$D$2-1)))))</f>
        <v>0</v>
      </c>
      <c r="AI83" s="131" t="n">
        <f aca="false">IF(OR($C83="",$B$2="",$D$2=0),0,IF(AI$3&lt;0,0,N(INDEX('CURVA PREVISION'!$A$1:$KZ$3000,$C83,11+3*MIN(AI$3,$D$2-1)))))</f>
        <v>0</v>
      </c>
      <c r="AJ83" s="131" t="n">
        <f aca="false">IF(OR($C83="",$B$2="",$D$2=0),0,IF(AJ$3&lt;0,0,N(INDEX('CURVA PREVISION'!$A$1:$KZ$3000,$C83,11+3*MIN(AJ$3,$D$2-1)))))</f>
        <v>0</v>
      </c>
      <c r="AK83" s="131" t="n">
        <f aca="false">IF(OR($C83="",$B$2="",$D$2=0),0,IF(AK$3&lt;0,0,N(INDEX('CURVA PREVISION'!$A$1:$KZ$3000,$C83,11+3*MIN(AK$3,$D$2-1)))))</f>
        <v>0</v>
      </c>
      <c r="AL83" s="131" t="n">
        <f aca="false">IF(OR($C83="",$B$2="",$D$2=0),0,IF(AL$3&lt;0,0,N(INDEX('CURVA PREVISION'!$A$1:$KZ$3000,$C83,11+3*MIN(AL$3,$D$2-1)))))</f>
        <v>0</v>
      </c>
      <c r="AM83" s="131" t="n">
        <f aca="false">IF(OR($C83="",$B$2="",$D$2=0),0,IF(AM$3&lt;0,0,N(INDEX('CURVA PREVISION'!$A$1:$KZ$3000,$C83,11+3*MIN(AM$3,$D$2-1)))))</f>
        <v>0</v>
      </c>
      <c r="AN83" s="131" t="n">
        <f aca="false">IF(OR($C83="",$B$2="",$D$2=0),0,IF(AN$3&lt;0,0,N(INDEX('CURVA PREVISION'!$A$1:$KZ$3000,$C83,11+3*MIN(AN$3,$D$2-1)))))</f>
        <v>0</v>
      </c>
      <c r="AO83" s="131" t="n">
        <f aca="false">IF(OR($C83="",$B$2="",$D$2=0),0,IF(AO$3&lt;0,0,N(INDEX('CURVA PREVISION'!$A$1:$KZ$3000,$C83,11+3*MIN(AO$3,$D$2-1)))))</f>
        <v>0</v>
      </c>
      <c r="AP83" s="131" t="n">
        <f aca="false">IF(OR($C83="",$B$2="",$D$2=0),0,IF(AP$3&lt;0,0,N(INDEX('CURVA PREVISION'!$A$1:$KZ$3000,$C83,11+3*MIN(AP$3,$D$2-1)))))</f>
        <v>0</v>
      </c>
      <c r="AQ83" s="131" t="n">
        <f aca="false">IF(OR($C83="",$B$2="",$D$2=0),0,IF(AQ$3&lt;0,0,N(INDEX('CURVA PREVISION'!$A$1:$KZ$3000,$C83,11+3*MIN(AQ$3,$D$2-1)))))</f>
        <v>0</v>
      </c>
      <c r="AR83" s="131" t="n">
        <f aca="false">IF(OR($C83="",$B$2="",$D$2=0),0,IF(AR$3&lt;0,0,N(INDEX('CURVA PREVISION'!$A$1:$KZ$3000,$C83,11+3*MIN(AR$3,$D$2-1)))))</f>
        <v>0</v>
      </c>
      <c r="AS83" s="131" t="n">
        <f aca="false">IF(OR($C83="",$B$2="",$D$2=0),0,IF(AS$3&lt;0,0,N(INDEX('CURVA PREVISION'!$A$1:$KZ$3000,$C83,11+3*MIN(AS$3,$D$2-1)))))</f>
        <v>0</v>
      </c>
      <c r="AT83" s="131" t="n">
        <f aca="false">IF(OR($C83="",$B$2="",$D$2=0),0,IF(AT$3&lt;0,0,N(INDEX('CURVA PREVISION'!$A$1:$KZ$3000,$C83,11+3*MIN(AT$3,$D$2-1)))))</f>
        <v>0</v>
      </c>
      <c r="AU83" s="131" t="n">
        <f aca="false">IF(OR($C83="",$B$2="",$D$2=0),0,IF(AU$3&lt;0,0,N(INDEX('CURVA PREVISION'!$A$1:$KZ$3000,$C83,11+3*MIN(AU$3,$D$2-1)))))</f>
        <v>0</v>
      </c>
      <c r="AV83" s="131" t="n">
        <f aca="false">IF(OR($C83="",$B$2="",$D$2=0),0,IF(AV$3&lt;0,0,N(INDEX('CURVA PREVISION'!$A$1:$KZ$3000,$C83,11+3*MIN(AV$3,$D$2-1)))))</f>
        <v>0</v>
      </c>
      <c r="AW83" s="131" t="n">
        <f aca="false">IF(OR($C83="",$B$2="",$D$2=0),0,IF(AW$3&lt;0,0,N(INDEX('CURVA PREVISION'!$A$1:$KZ$3000,$C83,11+3*MIN(AW$3,$D$2-1)))))</f>
        <v>0</v>
      </c>
      <c r="AX83" s="131" t="n">
        <f aca="false">IF(OR($C83="",$B$2="",$D$2=0),0,IF(AX$3&lt;0,0,N(INDEX('CURVA PREVISION'!$A$1:$KZ$3000,$C83,11+3*MIN(AX$3,$D$2-1)))))</f>
        <v>0</v>
      </c>
      <c r="AY83" s="131" t="n">
        <f aca="false">IF(OR($C83="",$B$2="",$D$2=0),0,IF(AY$3&lt;0,0,N(INDEX('CURVA PREVISION'!$A$1:$KZ$3000,$C83,11+3*MIN(AY$3,$D$2-1)))))</f>
        <v>0</v>
      </c>
      <c r="AZ83" s="131" t="n">
        <f aca="false">IF(OR($C83="",$B$2="",$D$2=0),0,IF(AZ$3&lt;0,0,N(INDEX('CURVA PREVISION'!$A$1:$KZ$3000,$C83,11+3*MIN(AZ$3,$D$2-1)))))</f>
        <v>0</v>
      </c>
      <c r="BA83" s="131" t="n">
        <f aca="false">IF(OR($C83="",$B$2="",$D$2=0),0,IF(BA$3&lt;0,0,N(INDEX('CURVA PREVISION'!$A$1:$KZ$3000,$C83,11+3*MIN(BA$3,$D$2-1)))))</f>
        <v>0</v>
      </c>
      <c r="BB83" s="131" t="n">
        <f aca="false">IF(OR($C83="",$B$2="",$D$2=0),0,IF(BB$3&lt;0,0,N(INDEX('CURVA PREVISION'!$A$1:$KZ$3000,$C83,11+3*MIN(BB$3,$D$2-1)))))</f>
        <v>0</v>
      </c>
      <c r="BC83" s="131" t="n">
        <f aca="false">IF(OR($C83="",$B$2="",$D$2=0),0,IF(BC$3&lt;0,0,N(INDEX('CURVA PREVISION'!$A$1:$KZ$3000,$C83,11+3*MIN(BC$3,$D$2-1)))))</f>
        <v>0</v>
      </c>
      <c r="BD83" s="131" t="n">
        <f aca="false">IF(OR($C83="",$B$2="",$D$2=0),0,IF(BD$3&lt;0,0,N(INDEX('CURVA PREVISION'!$A$1:$KZ$3000,$C83,11+3*MIN(BD$3,$D$2-1)))))</f>
        <v>0</v>
      </c>
      <c r="BE83" s="131" t="n">
        <f aca="false">IF(OR($C83="",$B$2="",$D$2=0),0,IF(BE$3&lt;0,0,N(INDEX('CURVA PREVISION'!$A$1:$KZ$3000,$C83,11+3*MIN(BE$3,$D$2-1)))))</f>
        <v>0</v>
      </c>
      <c r="BF83" s="131" t="n">
        <f aca="false">IF(OR($C83="",$B$2="",$D$2=0),0,IF(BF$3&lt;0,0,N(INDEX('CURVA PREVISION'!$A$1:$KZ$3000,$C83,11+3*MIN(BF$3,$D$2-1)))))</f>
        <v>0</v>
      </c>
      <c r="BG83" s="131" t="n">
        <f aca="false">IF(OR($C83="",$B$2="",$D$2=0),0,IF(BG$3&lt;0,0,N(INDEX('CURVA PREVISION'!$A$1:$KZ$3000,$C83,11+3*MIN(BG$3,$D$2-1)))))</f>
        <v>0</v>
      </c>
      <c r="BH83" s="131" t="n">
        <f aca="false">IF(OR($C83="",$B$2="",$D$2=0),0,IF(BH$3&lt;0,0,N(INDEX('CURVA PREVISION'!$A$1:$KZ$3000,$C83,11+3*MIN(BH$3,$D$2-1)))))</f>
        <v>0</v>
      </c>
      <c r="BI83" s="131" t="n">
        <f aca="false">IF(OR($C83="",$B$2="",$D$2=0),0,IF(BI$3&lt;0,0,N(INDEX('CURVA PREVISION'!$A$1:$KZ$3000,$C83,11+3*MIN(BI$3,$D$2-1)))))</f>
        <v>0</v>
      </c>
      <c r="BJ83" s="131" t="n">
        <f aca="false">IF(OR($C83="",$B$2="",$D$2=0),0,IF(BJ$3&lt;0,0,N(INDEX('CURVA PREVISION'!$A$1:$KZ$3000,$C83,11+3*MIN(BJ$3,$D$2-1)))))</f>
        <v>0</v>
      </c>
      <c r="BK83" s="131" t="n">
        <f aca="false">IF(OR($C83="",$B$2="",$D$2=0),0,IF(BK$3&lt;0,0,N(INDEX('CURVA PREVISION'!$A$1:$KZ$3000,$C83,11+3*MIN(BK$3,$D$2-1)))))</f>
        <v>0</v>
      </c>
      <c r="BL83" s="131" t="n">
        <f aca="false">IF(OR($C83="",$B$2="",$D$2=0),0,IF(BL$3&lt;0,0,N(INDEX('CURVA PREVISION'!$A$1:$KZ$3000,$C83,11+3*MIN(BL$3,$D$2-1)))))</f>
        <v>0</v>
      </c>
      <c r="BM83" s="131" t="n">
        <f aca="false">IF(OR($C83="",$B$2="",$D$2=0),0,IF(BM$3&lt;0,0,N(INDEX('CURVA PREVISION'!$A$1:$KZ$3000,$C83,11+3*MIN(BM$3,$D$2-1)))))</f>
        <v>0</v>
      </c>
      <c r="BN83" s="131" t="n">
        <f aca="false">IF(OR($C83="",$B$2="",$D$2=0),0,IF(BN$3&lt;0,0,N(INDEX('CURVA PREVISION'!$A$1:$KZ$3000,$C83,11+3*MIN(BN$3,$D$2-1)))))</f>
        <v>0</v>
      </c>
      <c r="BO83" s="131" t="n">
        <f aca="false">IF(OR($C83="",$B$2="",$D$2=0),0,IF(BO$3&lt;0,0,N(INDEX('CURVA PREVISION'!$A$1:$KZ$3000,$C83,11+3*MIN(BO$3,$D$2-1)))))</f>
        <v>0</v>
      </c>
      <c r="BP83" s="131" t="n">
        <f aca="false">IF(OR($C83="",$B$2="",$D$2=0),0,IF(BP$3&lt;0,0,N(INDEX('CURVA PREVISION'!$A$1:$KZ$3000,$C83,11+3*MIN(BP$3,$D$2-1)))))</f>
        <v>0</v>
      </c>
      <c r="BQ83" s="131" t="n">
        <f aca="false">IF(OR($C83="",$B$2="",$D$2=0),0,IF(BQ$3&lt;0,0,N(INDEX('CURVA PREVISION'!$A$1:$KZ$3000,$C83,11+3*MIN(BQ$3,$D$2-1)))))</f>
        <v>0</v>
      </c>
      <c r="BR83" s="131" t="n">
        <f aca="false">IF(OR($C83="",$B$2="",$D$2=0),0,IF(BR$3&lt;0,0,N(INDEX('CURVA PREVISION'!$A$1:$KZ$3000,$C83,11+3*MIN(BR$3,$D$2-1)))))</f>
        <v>0</v>
      </c>
      <c r="BS83" s="131" t="n">
        <f aca="false">IF(OR($C83="",$B$2="",$D$2=0),0,IF(BS$3&lt;0,0,N(INDEX('CURVA PREVISION'!$A$1:$KZ$3000,$C83,11+3*MIN(BS$3,$D$2-1)))))</f>
        <v>0</v>
      </c>
      <c r="BT83" s="131" t="n">
        <f aca="false">IF(OR($C83="",$B$2="",$D$2=0),0,IF(BT$3&lt;0,0,N(INDEX('CURVA PREVISION'!$A$1:$KZ$3000,$C83,11+3*MIN(BT$3,$D$2-1)))))</f>
        <v>0</v>
      </c>
      <c r="BU83" s="131" t="n">
        <f aca="false">IF(OR($C83="",$B$2="",$D$2=0),0,IF(BU$3&lt;0,0,N(INDEX('CURVA PREVISION'!$A$1:$KZ$3000,$C83,11+3*MIN(BU$3,$D$2-1)))))</f>
        <v>0</v>
      </c>
      <c r="BV83" s="131" t="n">
        <f aca="false">IF(OR($C83="",$B$2="",$D$2=0),0,IF(BV$3&lt;0,0,N(INDEX('CURVA PREVISION'!$A$1:$KZ$3000,$C83,11+3*MIN(BV$3,$D$2-1)))))</f>
        <v>0</v>
      </c>
      <c r="BW83" s="131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n">
        <f aca="false">IFERROR(MATCH(A84,'CURVA PREVISION'!$B$1:$B$3000,0),"")</f>
        <v>4</v>
      </c>
      <c r="D84" s="131" t="n">
        <f aca="false">IF(OR($C84="",$B$2="",$D$2=0),0,IF(D$3&lt;0,0,N(INDEX('CURVA PREVISION'!$A$1:$KZ$3000,$C84,11+3*MIN(D$3,$D$2-1)))))</f>
        <v>0</v>
      </c>
      <c r="E84" s="131" t="n">
        <f aca="false">IF(OR($C84="",$B$2="",$D$2=0),0,IF(E$3&lt;0,0,N(INDEX('CURVA PREVISION'!$A$1:$KZ$3000,$C84,11+3*MIN(E$3,$D$2-1)))))</f>
        <v>0</v>
      </c>
      <c r="F84" s="131" t="n">
        <f aca="false">IF(OR($C84="",$B$2="",$D$2=0),0,IF(F$3&lt;0,0,N(INDEX('CURVA PREVISION'!$A$1:$KZ$3000,$C84,11+3*MIN(F$3,$D$2-1)))))</f>
        <v>0</v>
      </c>
      <c r="G84" s="131" t="n">
        <f aca="false">IF(OR($C84="",$B$2="",$D$2=0),0,IF(G$3&lt;0,0,N(INDEX('CURVA PREVISION'!$A$1:$KZ$3000,$C84,11+3*MIN(G$3,$D$2-1)))))</f>
        <v>0</v>
      </c>
      <c r="H84" s="131" t="n">
        <f aca="false">IF(OR($C84="",$B$2="",$D$2=0),0,IF(H$3&lt;0,0,N(INDEX('CURVA PREVISION'!$A$1:$KZ$3000,$C84,11+3*MIN(H$3,$D$2-1)))))</f>
        <v>0</v>
      </c>
      <c r="I84" s="131" t="n">
        <f aca="false">IF(OR($C84="",$B$2="",$D$2=0),0,IF(I$3&lt;0,0,N(INDEX('CURVA PREVISION'!$A$1:$KZ$3000,$C84,11+3*MIN(I$3,$D$2-1)))))</f>
        <v>0</v>
      </c>
      <c r="J84" s="131" t="n">
        <f aca="false">IF(OR($C84="",$B$2="",$D$2=0),0,IF(J$3&lt;0,0,N(INDEX('CURVA PREVISION'!$A$1:$KZ$3000,$C84,11+3*MIN(J$3,$D$2-1)))))</f>
        <v>0</v>
      </c>
      <c r="K84" s="131" t="n">
        <f aca="false">IF(OR($C84="",$B$2="",$D$2=0),0,IF(K$3&lt;0,0,N(INDEX('CURVA PREVISION'!$A$1:$KZ$3000,$C84,11+3*MIN(K$3,$D$2-1)))))</f>
        <v>0</v>
      </c>
      <c r="L84" s="131" t="n">
        <f aca="false">IF(OR($C84="",$B$2="",$D$2=0),0,IF(L$3&lt;0,0,N(INDEX('CURVA PREVISION'!$A$1:$KZ$3000,$C84,11+3*MIN(L$3,$D$2-1)))))</f>
        <v>0</v>
      </c>
      <c r="M84" s="131" t="n">
        <f aca="false">IF(OR($C84="",$B$2="",$D$2=0),0,IF(M$3&lt;0,0,N(INDEX('CURVA PREVISION'!$A$1:$KZ$3000,$C84,11+3*MIN(M$3,$D$2-1)))))</f>
        <v>0</v>
      </c>
      <c r="N84" s="131" t="n">
        <f aca="false">IF(OR($C84="",$B$2="",$D$2=0),0,IF(N$3&lt;0,0,N(INDEX('CURVA PREVISION'!$A$1:$KZ$3000,$C84,11+3*MIN(N$3,$D$2-1)))))</f>
        <v>0</v>
      </c>
      <c r="O84" s="131" t="n">
        <f aca="false">IF(OR($C84="",$B$2="",$D$2=0),0,IF(O$3&lt;0,0,N(INDEX('CURVA PREVISION'!$A$1:$KZ$3000,$C84,11+3*MIN(O$3,$D$2-1)))))</f>
        <v>0</v>
      </c>
      <c r="P84" s="131" t="n">
        <f aca="false">IF(OR($C84="",$B$2="",$D$2=0),0,IF(P$3&lt;0,0,N(INDEX('CURVA PREVISION'!$A$1:$KZ$3000,$C84,11+3*MIN(P$3,$D$2-1)))))</f>
        <v>0</v>
      </c>
      <c r="Q84" s="131" t="n">
        <f aca="false">IF(OR($C84="",$B$2="",$D$2=0),0,IF(Q$3&lt;0,0,N(INDEX('CURVA PREVISION'!$A$1:$KZ$3000,$C84,11+3*MIN(Q$3,$D$2-1)))))</f>
        <v>0</v>
      </c>
      <c r="R84" s="131" t="n">
        <f aca="false">IF(OR($C84="",$B$2="",$D$2=0),0,IF(R$3&lt;0,0,N(INDEX('CURVA PREVISION'!$A$1:$KZ$3000,$C84,11+3*MIN(R$3,$D$2-1)))))</f>
        <v>0</v>
      </c>
      <c r="S84" s="131" t="n">
        <f aca="false">IF(OR($C84="",$B$2="",$D$2=0),0,IF(S$3&lt;0,0,N(INDEX('CURVA PREVISION'!$A$1:$KZ$3000,$C84,11+3*MIN(S$3,$D$2-1)))))</f>
        <v>0</v>
      </c>
      <c r="T84" s="131" t="n">
        <f aca="false">IF(OR($C84="",$B$2="",$D$2=0),0,IF(T$3&lt;0,0,N(INDEX('CURVA PREVISION'!$A$1:$KZ$3000,$C84,11+3*MIN(T$3,$D$2-1)))))</f>
        <v>0</v>
      </c>
      <c r="U84" s="131" t="n">
        <f aca="false">IF(OR($C84="",$B$2="",$D$2=0),0,IF(U$3&lt;0,0,N(INDEX('CURVA PREVISION'!$A$1:$KZ$3000,$C84,11+3*MIN(U$3,$D$2-1)))))</f>
        <v>0</v>
      </c>
      <c r="V84" s="131" t="n">
        <f aca="false">IF(OR($C84="",$B$2="",$D$2=0),0,IF(V$3&lt;0,0,N(INDEX('CURVA PREVISION'!$A$1:$KZ$3000,$C84,11+3*MIN(V$3,$D$2-1)))))</f>
        <v>0</v>
      </c>
      <c r="W84" s="131" t="n">
        <f aca="false">IF(OR($C84="",$B$2="",$D$2=0),0,IF(W$3&lt;0,0,N(INDEX('CURVA PREVISION'!$A$1:$KZ$3000,$C84,11+3*MIN(W$3,$D$2-1)))))</f>
        <v>0</v>
      </c>
      <c r="X84" s="131" t="n">
        <f aca="false">IF(OR($C84="",$B$2="",$D$2=0),0,IF(X$3&lt;0,0,N(INDEX('CURVA PREVISION'!$A$1:$KZ$3000,$C84,11+3*MIN(X$3,$D$2-1)))))</f>
        <v>0</v>
      </c>
      <c r="Y84" s="131" t="n">
        <f aca="false">IF(OR($C84="",$B$2="",$D$2=0),0,IF(Y$3&lt;0,0,N(INDEX('CURVA PREVISION'!$A$1:$KZ$3000,$C84,11+3*MIN(Y$3,$D$2-1)))))</f>
        <v>0</v>
      </c>
      <c r="Z84" s="131" t="n">
        <f aca="false">IF(OR($C84="",$B$2="",$D$2=0),0,IF(Z$3&lt;0,0,N(INDEX('CURVA PREVISION'!$A$1:$KZ$3000,$C84,11+3*MIN(Z$3,$D$2-1)))))</f>
        <v>0</v>
      </c>
      <c r="AA84" s="131" t="n">
        <f aca="false">IF(OR($C84="",$B$2="",$D$2=0),0,IF(AA$3&lt;0,0,N(INDEX('CURVA PREVISION'!$A$1:$KZ$3000,$C84,11+3*MIN(AA$3,$D$2-1)))))</f>
        <v>0</v>
      </c>
      <c r="AB84" s="131" t="n">
        <f aca="false">IF(OR($C84="",$B$2="",$D$2=0),0,IF(AB$3&lt;0,0,N(INDEX('CURVA PREVISION'!$A$1:$KZ$3000,$C84,11+3*MIN(AB$3,$D$2-1)))))</f>
        <v>0</v>
      </c>
      <c r="AC84" s="131" t="n">
        <f aca="false">IF(OR($C84="",$B$2="",$D$2=0),0,IF(AC$3&lt;0,0,N(INDEX('CURVA PREVISION'!$A$1:$KZ$3000,$C84,11+3*MIN(AC$3,$D$2-1)))))</f>
        <v>0</v>
      </c>
      <c r="AD84" s="131" t="n">
        <f aca="false">IF(OR($C84="",$B$2="",$D$2=0),0,IF(AD$3&lt;0,0,N(INDEX('CURVA PREVISION'!$A$1:$KZ$3000,$C84,11+3*MIN(AD$3,$D$2-1)))))</f>
        <v>0</v>
      </c>
      <c r="AE84" s="131" t="n">
        <f aca="false">IF(OR($C84="",$B$2="",$D$2=0),0,IF(AE$3&lt;0,0,N(INDEX('CURVA PREVISION'!$A$1:$KZ$3000,$C84,11+3*MIN(AE$3,$D$2-1)))))</f>
        <v>0</v>
      </c>
      <c r="AF84" s="131" t="n">
        <f aca="false">IF(OR($C84="",$B$2="",$D$2=0),0,IF(AF$3&lt;0,0,N(INDEX('CURVA PREVISION'!$A$1:$KZ$3000,$C84,11+3*MIN(AF$3,$D$2-1)))))</f>
        <v>0</v>
      </c>
      <c r="AG84" s="131" t="n">
        <f aca="false">IF(OR($C84="",$B$2="",$D$2=0),0,IF(AG$3&lt;0,0,N(INDEX('CURVA PREVISION'!$A$1:$KZ$3000,$C84,11+3*MIN(AG$3,$D$2-1)))))</f>
        <v>0</v>
      </c>
      <c r="AH84" s="131" t="n">
        <f aca="false">IF(OR($C84="",$B$2="",$D$2=0),0,IF(AH$3&lt;0,0,N(INDEX('CURVA PREVISION'!$A$1:$KZ$3000,$C84,11+3*MIN(AH$3,$D$2-1)))))</f>
        <v>0</v>
      </c>
      <c r="AI84" s="131" t="n">
        <f aca="false">IF(OR($C84="",$B$2="",$D$2=0),0,IF(AI$3&lt;0,0,N(INDEX('CURVA PREVISION'!$A$1:$KZ$3000,$C84,11+3*MIN(AI$3,$D$2-1)))))</f>
        <v>0</v>
      </c>
      <c r="AJ84" s="131" t="n">
        <f aca="false">IF(OR($C84="",$B$2="",$D$2=0),0,IF(AJ$3&lt;0,0,N(INDEX('CURVA PREVISION'!$A$1:$KZ$3000,$C84,11+3*MIN(AJ$3,$D$2-1)))))</f>
        <v>0</v>
      </c>
      <c r="AK84" s="131" t="n">
        <f aca="false">IF(OR($C84="",$B$2="",$D$2=0),0,IF(AK$3&lt;0,0,N(INDEX('CURVA PREVISION'!$A$1:$KZ$3000,$C84,11+3*MIN(AK$3,$D$2-1)))))</f>
        <v>0</v>
      </c>
      <c r="AL84" s="131" t="n">
        <f aca="false">IF(OR($C84="",$B$2="",$D$2=0),0,IF(AL$3&lt;0,0,N(INDEX('CURVA PREVISION'!$A$1:$KZ$3000,$C84,11+3*MIN(AL$3,$D$2-1)))))</f>
        <v>0</v>
      </c>
      <c r="AM84" s="131" t="n">
        <f aca="false">IF(OR($C84="",$B$2="",$D$2=0),0,IF(AM$3&lt;0,0,N(INDEX('CURVA PREVISION'!$A$1:$KZ$3000,$C84,11+3*MIN(AM$3,$D$2-1)))))</f>
        <v>0</v>
      </c>
      <c r="AN84" s="131" t="n">
        <f aca="false">IF(OR($C84="",$B$2="",$D$2=0),0,IF(AN$3&lt;0,0,N(INDEX('CURVA PREVISION'!$A$1:$KZ$3000,$C84,11+3*MIN(AN$3,$D$2-1)))))</f>
        <v>0</v>
      </c>
      <c r="AO84" s="131" t="n">
        <f aca="false">IF(OR($C84="",$B$2="",$D$2=0),0,IF(AO$3&lt;0,0,N(INDEX('CURVA PREVISION'!$A$1:$KZ$3000,$C84,11+3*MIN(AO$3,$D$2-1)))))</f>
        <v>0</v>
      </c>
      <c r="AP84" s="131" t="n">
        <f aca="false">IF(OR($C84="",$B$2="",$D$2=0),0,IF(AP$3&lt;0,0,N(INDEX('CURVA PREVISION'!$A$1:$KZ$3000,$C84,11+3*MIN(AP$3,$D$2-1)))))</f>
        <v>0</v>
      </c>
      <c r="AQ84" s="131" t="n">
        <f aca="false">IF(OR($C84="",$B$2="",$D$2=0),0,IF(AQ$3&lt;0,0,N(INDEX('CURVA PREVISION'!$A$1:$KZ$3000,$C84,11+3*MIN(AQ$3,$D$2-1)))))</f>
        <v>0</v>
      </c>
      <c r="AR84" s="131" t="n">
        <f aca="false">IF(OR($C84="",$B$2="",$D$2=0),0,IF(AR$3&lt;0,0,N(INDEX('CURVA PREVISION'!$A$1:$KZ$3000,$C84,11+3*MIN(AR$3,$D$2-1)))))</f>
        <v>0</v>
      </c>
      <c r="AS84" s="131" t="n">
        <f aca="false">IF(OR($C84="",$B$2="",$D$2=0),0,IF(AS$3&lt;0,0,N(INDEX('CURVA PREVISION'!$A$1:$KZ$3000,$C84,11+3*MIN(AS$3,$D$2-1)))))</f>
        <v>0</v>
      </c>
      <c r="AT84" s="131" t="n">
        <f aca="false">IF(OR($C84="",$B$2="",$D$2=0),0,IF(AT$3&lt;0,0,N(INDEX('CURVA PREVISION'!$A$1:$KZ$3000,$C84,11+3*MIN(AT$3,$D$2-1)))))</f>
        <v>0</v>
      </c>
      <c r="AU84" s="131" t="n">
        <f aca="false">IF(OR($C84="",$B$2="",$D$2=0),0,IF(AU$3&lt;0,0,N(INDEX('CURVA PREVISION'!$A$1:$KZ$3000,$C84,11+3*MIN(AU$3,$D$2-1)))))</f>
        <v>0</v>
      </c>
      <c r="AV84" s="131" t="n">
        <f aca="false">IF(OR($C84="",$B$2="",$D$2=0),0,IF(AV$3&lt;0,0,N(INDEX('CURVA PREVISION'!$A$1:$KZ$3000,$C84,11+3*MIN(AV$3,$D$2-1)))))</f>
        <v>0</v>
      </c>
      <c r="AW84" s="131" t="n">
        <f aca="false">IF(OR($C84="",$B$2="",$D$2=0),0,IF(AW$3&lt;0,0,N(INDEX('CURVA PREVISION'!$A$1:$KZ$3000,$C84,11+3*MIN(AW$3,$D$2-1)))))</f>
        <v>0</v>
      </c>
      <c r="AX84" s="131" t="n">
        <f aca="false">IF(OR($C84="",$B$2="",$D$2=0),0,IF(AX$3&lt;0,0,N(INDEX('CURVA PREVISION'!$A$1:$KZ$3000,$C84,11+3*MIN(AX$3,$D$2-1)))))</f>
        <v>0</v>
      </c>
      <c r="AY84" s="131" t="n">
        <f aca="false">IF(OR($C84="",$B$2="",$D$2=0),0,IF(AY$3&lt;0,0,N(INDEX('CURVA PREVISION'!$A$1:$KZ$3000,$C84,11+3*MIN(AY$3,$D$2-1)))))</f>
        <v>0</v>
      </c>
      <c r="AZ84" s="131" t="n">
        <f aca="false">IF(OR($C84="",$B$2="",$D$2=0),0,IF(AZ$3&lt;0,0,N(INDEX('CURVA PREVISION'!$A$1:$KZ$3000,$C84,11+3*MIN(AZ$3,$D$2-1)))))</f>
        <v>0</v>
      </c>
      <c r="BA84" s="131" t="n">
        <f aca="false">IF(OR($C84="",$B$2="",$D$2=0),0,IF(BA$3&lt;0,0,N(INDEX('CURVA PREVISION'!$A$1:$KZ$3000,$C84,11+3*MIN(BA$3,$D$2-1)))))</f>
        <v>0</v>
      </c>
      <c r="BB84" s="131" t="n">
        <f aca="false">IF(OR($C84="",$B$2="",$D$2=0),0,IF(BB$3&lt;0,0,N(INDEX('CURVA PREVISION'!$A$1:$KZ$3000,$C84,11+3*MIN(BB$3,$D$2-1)))))</f>
        <v>0</v>
      </c>
      <c r="BC84" s="131" t="n">
        <f aca="false">IF(OR($C84="",$B$2="",$D$2=0),0,IF(BC$3&lt;0,0,N(INDEX('CURVA PREVISION'!$A$1:$KZ$3000,$C84,11+3*MIN(BC$3,$D$2-1)))))</f>
        <v>0</v>
      </c>
      <c r="BD84" s="131" t="n">
        <f aca="false">IF(OR($C84="",$B$2="",$D$2=0),0,IF(BD$3&lt;0,0,N(INDEX('CURVA PREVISION'!$A$1:$KZ$3000,$C84,11+3*MIN(BD$3,$D$2-1)))))</f>
        <v>0</v>
      </c>
      <c r="BE84" s="131" t="n">
        <f aca="false">IF(OR($C84="",$B$2="",$D$2=0),0,IF(BE$3&lt;0,0,N(INDEX('CURVA PREVISION'!$A$1:$KZ$3000,$C84,11+3*MIN(BE$3,$D$2-1)))))</f>
        <v>0</v>
      </c>
      <c r="BF84" s="131" t="n">
        <f aca="false">IF(OR($C84="",$B$2="",$D$2=0),0,IF(BF$3&lt;0,0,N(INDEX('CURVA PREVISION'!$A$1:$KZ$3000,$C84,11+3*MIN(BF$3,$D$2-1)))))</f>
        <v>0</v>
      </c>
      <c r="BG84" s="131" t="n">
        <f aca="false">IF(OR($C84="",$B$2="",$D$2=0),0,IF(BG$3&lt;0,0,N(INDEX('CURVA PREVISION'!$A$1:$KZ$3000,$C84,11+3*MIN(BG$3,$D$2-1)))))</f>
        <v>0</v>
      </c>
      <c r="BH84" s="131" t="n">
        <f aca="false">IF(OR($C84="",$B$2="",$D$2=0),0,IF(BH$3&lt;0,0,N(INDEX('CURVA PREVISION'!$A$1:$KZ$3000,$C84,11+3*MIN(BH$3,$D$2-1)))))</f>
        <v>0</v>
      </c>
      <c r="BI84" s="131" t="n">
        <f aca="false">IF(OR($C84="",$B$2="",$D$2=0),0,IF(BI$3&lt;0,0,N(INDEX('CURVA PREVISION'!$A$1:$KZ$3000,$C84,11+3*MIN(BI$3,$D$2-1)))))</f>
        <v>0</v>
      </c>
      <c r="BJ84" s="131" t="n">
        <f aca="false">IF(OR($C84="",$B$2="",$D$2=0),0,IF(BJ$3&lt;0,0,N(INDEX('CURVA PREVISION'!$A$1:$KZ$3000,$C84,11+3*MIN(BJ$3,$D$2-1)))))</f>
        <v>0</v>
      </c>
      <c r="BK84" s="131" t="n">
        <f aca="false">IF(OR($C84="",$B$2="",$D$2=0),0,IF(BK$3&lt;0,0,N(INDEX('CURVA PREVISION'!$A$1:$KZ$3000,$C84,11+3*MIN(BK$3,$D$2-1)))))</f>
        <v>0</v>
      </c>
      <c r="BL84" s="131" t="n">
        <f aca="false">IF(OR($C84="",$B$2="",$D$2=0),0,IF(BL$3&lt;0,0,N(INDEX('CURVA PREVISION'!$A$1:$KZ$3000,$C84,11+3*MIN(BL$3,$D$2-1)))))</f>
        <v>0</v>
      </c>
      <c r="BM84" s="131" t="n">
        <f aca="false">IF(OR($C84="",$B$2="",$D$2=0),0,IF(BM$3&lt;0,0,N(INDEX('CURVA PREVISION'!$A$1:$KZ$3000,$C84,11+3*MIN(BM$3,$D$2-1)))))</f>
        <v>0</v>
      </c>
      <c r="BN84" s="131" t="n">
        <f aca="false">IF(OR($C84="",$B$2="",$D$2=0),0,IF(BN$3&lt;0,0,N(INDEX('CURVA PREVISION'!$A$1:$KZ$3000,$C84,11+3*MIN(BN$3,$D$2-1)))))</f>
        <v>0</v>
      </c>
      <c r="BO84" s="131" t="n">
        <f aca="false">IF(OR($C84="",$B$2="",$D$2=0),0,IF(BO$3&lt;0,0,N(INDEX('CURVA PREVISION'!$A$1:$KZ$3000,$C84,11+3*MIN(BO$3,$D$2-1)))))</f>
        <v>0</v>
      </c>
      <c r="BP84" s="131" t="n">
        <f aca="false">IF(OR($C84="",$B$2="",$D$2=0),0,IF(BP$3&lt;0,0,N(INDEX('CURVA PREVISION'!$A$1:$KZ$3000,$C84,11+3*MIN(BP$3,$D$2-1)))))</f>
        <v>0</v>
      </c>
      <c r="BQ84" s="131" t="n">
        <f aca="false">IF(OR($C84="",$B$2="",$D$2=0),0,IF(BQ$3&lt;0,0,N(INDEX('CURVA PREVISION'!$A$1:$KZ$3000,$C84,11+3*MIN(BQ$3,$D$2-1)))))</f>
        <v>0</v>
      </c>
      <c r="BR84" s="131" t="n">
        <f aca="false">IF(OR($C84="",$B$2="",$D$2=0),0,IF(BR$3&lt;0,0,N(INDEX('CURVA PREVISION'!$A$1:$KZ$3000,$C84,11+3*MIN(BR$3,$D$2-1)))))</f>
        <v>0</v>
      </c>
      <c r="BS84" s="131" t="n">
        <f aca="false">IF(OR($C84="",$B$2="",$D$2=0),0,IF(BS$3&lt;0,0,N(INDEX('CURVA PREVISION'!$A$1:$KZ$3000,$C84,11+3*MIN(BS$3,$D$2-1)))))</f>
        <v>0</v>
      </c>
      <c r="BT84" s="131" t="n">
        <f aca="false">IF(OR($C84="",$B$2="",$D$2=0),0,IF(BT$3&lt;0,0,N(INDEX('CURVA PREVISION'!$A$1:$KZ$3000,$C84,11+3*MIN(BT$3,$D$2-1)))))</f>
        <v>0</v>
      </c>
      <c r="BU84" s="131" t="n">
        <f aca="false">IF(OR($C84="",$B$2="",$D$2=0),0,IF(BU$3&lt;0,0,N(INDEX('CURVA PREVISION'!$A$1:$KZ$3000,$C84,11+3*MIN(BU$3,$D$2-1)))))</f>
        <v>0</v>
      </c>
      <c r="BV84" s="131" t="n">
        <f aca="false">IF(OR($C84="",$B$2="",$D$2=0),0,IF(BV$3&lt;0,0,N(INDEX('CURVA PREVISION'!$A$1:$KZ$3000,$C84,11+3*MIN(BV$3,$D$2-1)))))</f>
        <v>0</v>
      </c>
      <c r="BW84" s="131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9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3842</v>
      </c>
      <c r="CB1" s="132" t="n">
        <f aca="false">IF(CB$4="",0,IFERROR(1/INDEX('"INCC-FGV"'!$B$2:$B$800,MATCH(CB$4,'"INCC-FGV"'!$A$2:$A$800,0)),0))</f>
        <v>0.001019114511783</v>
      </c>
      <c r="CC1" s="132" t="n">
        <f aca="false">IF(CC$4="",0,IFERROR(1/INDEX('"INCC-FGV"'!$B$2:$B$800,MATCH(CC$4,'"INCC-FGV"'!$A$2:$A$800,0)),0))</f>
        <v>0.00100954728870932</v>
      </c>
      <c r="CD1" s="132" t="n">
        <f aca="false">IF(CD$4="",0,IFERROR(1/INDEX('"INCC-FGV"'!$B$2:$B$800,MATCH(CD$4,'"INCC-FGV"'!$A$2:$A$800,0)),0))</f>
        <v>0.000987007039334205</v>
      </c>
      <c r="CE1" s="132" t="n">
        <f aca="false">IF(CE$4="",0,IFERROR(1/INDEX('"INCC-FGV"'!$B$2:$B$800,MATCH(CE$4,'"INCC-FGV"'!$A$2:$A$800,0)),0))</f>
        <v>0.000966347900705821</v>
      </c>
      <c r="CF1" s="132" t="n">
        <f aca="false">IF(CF$4="",0,IFERROR(1/INDEX('"INCC-FGV"'!$B$2:$B$800,MATCH(CF$4,'"INCC-FGV"'!$A$2:$A$800,0)),0))</f>
        <v>0.000958074653176976</v>
      </c>
      <c r="CG1" s="132" t="n">
        <f aca="false">IF(CG$4="",0,IFERROR(1/INDEX('"INCC-FGV"'!$B$2:$B$800,MATCH(CG$4,'"INCC-FGV"'!$A$2:$A$800,0)),0))</f>
        <v>0.000957231838679633</v>
      </c>
      <c r="CH1" s="132" t="n">
        <f aca="false">IF(CH$4="",0,IFERROR(1/INDEX('"INCC-FGV"'!$B$2:$B$800,MATCH(CH$4,'"INCC-FGV"'!$A$2:$A$800,0)),0))</f>
        <v>0.00095637404171321</v>
      </c>
      <c r="CI1" s="132" t="n">
        <f aca="false">IF(CI$4="",0,IFERROR(1/INDEX('"INCC-FGV"'!$B$2:$B$800,MATCH(CI$4,'"INCC-FGV"'!$A$2:$A$800,0)),0))</f>
        <v>0.000955204719475478</v>
      </c>
      <c r="CJ1" s="132" t="n">
        <f aca="false">IF(CJ$4="",0,IFERROR(1/INDEX('"INCC-FGV"'!$B$2:$B$800,MATCH(CJ$4,'"INCC-FGV"'!$A$2:$A$800,0)),0))</f>
        <v>0.000951745548924004</v>
      </c>
      <c r="CK1" s="132" t="n">
        <f aca="false">IF(CK$4="",0,IFERROR(1/INDEX('"INCC-FGV"'!$B$2:$B$800,MATCH(CK$4,'"INCC-FGV"'!$A$2:$A$800,0)),0))</f>
        <v>0.000950902977467403</v>
      </c>
      <c r="CL1" s="132" t="n">
        <f aca="false">IF(CL$4="",0,IFERROR(1/INDEX('"INCC-FGV"'!$B$2:$B$800,MATCH(CL$4,'"INCC-FGV"'!$A$2:$A$800,0)),0))</f>
        <v>0.000946595003114298</v>
      </c>
      <c r="CM1" s="132" t="n">
        <f aca="false">IF(CM$4="",0,IFERROR(1/INDEX('"INCC-FGV"'!$B$2:$B$800,MATCH(CM$4,'"INCC-FGV"'!$A$2:$A$800,0)),0))</f>
        <v>0.000946166888700497</v>
      </c>
      <c r="CN1" s="132" t="n">
        <f aca="false">IF(CN$4="",0,IFERROR(1/INDEX('"INCC-FGV"'!$B$2:$B$800,MATCH(CN$4,'"INCC-FGV"'!$A$2:$A$800,0)),0))</f>
        <v>0.000943292998124734</v>
      </c>
      <c r="CO1" s="132" t="n">
        <f aca="false">IF(CO$4="",0,IFERROR(1/INDEX('"INCC-FGV"'!$B$2:$B$800,MATCH(CO$4,'"INCC-FGV"'!$A$2:$A$800,0)),0))</f>
        <v>0.000941943323270239</v>
      </c>
      <c r="CP1" s="132" t="n">
        <f aca="false">IF(CP$4="",0,IFERROR(1/INDEX('"INCC-FGV"'!$B$2:$B$800,MATCH(CP$4,'"INCC-FGV"'!$A$2:$A$800,0)),0))</f>
        <v>0.000936400607162154</v>
      </c>
      <c r="CQ1" s="132" t="n">
        <f aca="false">IF(CQ$4="",0,IFERROR(1/INDEX('"INCC-FGV"'!$B$2:$B$800,MATCH(CQ$4,'"INCC-FGV"'!$A$2:$A$800,0)),0))</f>
        <v>0.000929765513137587</v>
      </c>
      <c r="CR1" s="132" t="n">
        <f aca="false">IF(CR$4="",0,IFERROR(1/INDEX('"INCC-FGV"'!$B$2:$B$800,MATCH(CR$4,'"INCC-FGV"'!$A$2:$A$800,0)),0))</f>
        <v>0.000928827652313803</v>
      </c>
      <c r="CS1" s="132" t="n">
        <f aca="false">IF(CS$4="",0,IFERROR(1/INDEX('"INCC-FGV"'!$B$2:$B$800,MATCH(CS$4,'"INCC-FGV"'!$A$2:$A$800,0)),0))</f>
        <v>0.000927289384762039</v>
      </c>
      <c r="CT1" s="132" t="n">
        <f aca="false">IF(CT$4="",0,IFERROR(1/INDEX('"INCC-FGV"'!$B$2:$B$800,MATCH(CT$4,'"INCC-FGV"'!$A$2:$A$800,0)),0))</f>
        <v>0.000924125592364505</v>
      </c>
      <c r="CU1" s="132" t="n">
        <f aca="false">IF(CU$4="",0,IFERROR(1/INDEX('"INCC-FGV"'!$B$2:$B$800,MATCH(CU$4,'"INCC-FGV"'!$A$2:$A$800,0)),0))</f>
        <v>0.000921670878702582</v>
      </c>
      <c r="CV1" s="132" t="n">
        <f aca="false">IF(CV$4="",0,IFERROR(1/INDEX('"INCC-FGV"'!$B$2:$B$800,MATCH(CV$4,'"INCC-FGV"'!$A$2:$A$800,0)),0))</f>
        <v>0.000918854152118143</v>
      </c>
      <c r="CW1" s="132" t="n">
        <f aca="false">IF(CW$4="",0,IFERROR(1/INDEX('"INCC-FGV"'!$B$2:$B$800,MATCH(CW$4,'"INCC-FGV"'!$A$2:$A$800,0)),0))</f>
        <v>0.000916380297823597</v>
      </c>
      <c r="CX1" s="132" t="n">
        <f aca="false">IF(CX$4="",0,IFERROR(1/INDEX('"INCC-FGV"'!$B$2:$B$800,MATCH(CX$4,'"INCC-FGV"'!$A$2:$A$800,0)),0))</f>
        <v>0.000915176835043951</v>
      </c>
      <c r="CY1" s="132" t="n">
        <f aca="false">IF(CY$4="",0,IFERROR(1/INDEX('"INCC-FGV"'!$B$2:$B$800,MATCH(CY$4,'"INCC-FGV"'!$A$2:$A$800,0)),0))</f>
        <v>0.000912626923589398</v>
      </c>
      <c r="CZ1" s="132" t="n">
        <f aca="false">IF(CZ$4="",0,IFERROR(1/INDEX('"INCC-FGV"'!$B$2:$B$800,MATCH(CZ$4,'"INCC-FGV"'!$A$2:$A$800,0)),0))</f>
        <v>0.000907944422905985</v>
      </c>
      <c r="DA1" s="132" t="n">
        <f aca="false">IF(DA$4="",0,IFERROR(1/INDEX('"INCC-FGV"'!$B$2:$B$800,MATCH(DA$4,'"INCC-FGV"'!$A$2:$A$800,0)),0))</f>
        <v>0.000900181566621988</v>
      </c>
      <c r="DB1" s="132" t="n">
        <f aca="false">IF(DB$4="",0,IFERROR(1/INDEX('"INCC-FGV"'!$B$2:$B$800,MATCH(DB$4,'"INCC-FGV"'!$A$2:$A$800,0)),0))</f>
        <v>0.000893793231661374</v>
      </c>
      <c r="DC1" s="132" t="n">
        <f aca="false">IF(DC$4="",0,IFERROR(1/INDEX('"INCC-FGV"'!$B$2:$B$800,MATCH(DC$4,'"INCC-FGV"'!$A$2:$A$800,0)),0))</f>
        <v>0.000887377586261975</v>
      </c>
      <c r="DD1" s="132" t="n">
        <f aca="false">IF(DD$4="",0,IFERROR(1/INDEX('"INCC-FGV"'!$B$2:$B$800,MATCH(DD$4,'"INCC-FGV"'!$A$2:$A$800,0)),0))</f>
        <v>0.000881231962283272</v>
      </c>
      <c r="DE1" s="132" t="n">
        <f aca="false">IF(DE$4="",0,IFERROR(1/INDEX('"INCC-FGV"'!$B$2:$B$800,MATCH(DE$4,'"INCC-FGV"'!$A$2:$A$800,0)),0))</f>
        <v>0.000876118584402636</v>
      </c>
      <c r="DF1" s="132" t="n">
        <f aca="false">IF(DF$4="",0,IFERROR(1/INDEX('"INCC-FGV"'!$B$2:$B$800,MATCH(DF$4,'"INCC-FGV"'!$A$2:$A$800,0)),0))</f>
        <v>0.00087019326992525</v>
      </c>
      <c r="DG1" s="132" t="n">
        <f aca="false">IF(DG$4="",0,IFERROR(1/INDEX('"INCC-FGV"'!$B$2:$B$800,MATCH(DG$4,'"INCC-FGV"'!$A$2:$A$800,0)),0))</f>
        <v>0.00086675767622267</v>
      </c>
      <c r="DH1" s="132" t="n">
        <f aca="false">IF(DH$4="",0,IFERROR(1/INDEX('"INCC-FGV"'!$B$2:$B$800,MATCH(DH$4,'"INCC-FGV"'!$A$2:$A$800,0)),0))</f>
        <v>0.000862413931089677</v>
      </c>
      <c r="DI1" s="132" t="n">
        <f aca="false">IF(DI$4="",0,IFERROR(1/INDEX('"INCC-FGV"'!$B$2:$B$800,MATCH(DI$4,'"INCC-FGV"'!$A$2:$A$800,0)),0))</f>
        <v>0.000855347116967008</v>
      </c>
      <c r="DJ1" s="132" t="n">
        <f aca="false">IF(DJ$4="",0,IFERROR(1/INDEX('"INCC-FGV"'!$B$2:$B$800,MATCH(DJ$4,'"INCC-FGV"'!$A$2:$A$800,0)),0))</f>
        <v>0.000851952035100424</v>
      </c>
      <c r="DK1" s="132" t="n">
        <f aca="false">IF(DK$4="",0,IFERROR(1/INDEX('"INCC-FGV"'!$B$2:$B$800,MATCH(DK$4,'"INCC-FGV"'!$A$2:$A$800,0)),0))</f>
        <v>0.000848618364440854</v>
      </c>
      <c r="DL1" s="132" t="n">
        <f aca="false">IF(DL$4="",0,IFERROR(1/INDEX('"INCC-FGV"'!$B$2:$B$800,MATCH(DL$4,'"INCC-FGV"'!$A$2:$A$800,0)),0))</f>
        <v>0.000844265160047346</v>
      </c>
      <c r="DM1" s="132" t="n">
        <f aca="false">IF(DM$4="",0,IFERROR(1/INDEX('"INCC-FGV"'!$B$2:$B$800,MATCH(DM$4,'"INCC-FGV"'!$A$2:$A$800,0)),0))</f>
        <v>0.000839400097538291</v>
      </c>
      <c r="DN1" s="132" t="n">
        <f aca="false">IF(DN$4="",0,IFERROR(1/INDEX('"INCC-FGV"'!$B$2:$B$800,MATCH(DN$4,'"INCC-FGV"'!$A$2:$A$800,0)),0))</f>
        <v>0.000833674445127131</v>
      </c>
      <c r="DO1" s="132" t="n">
        <f aca="false">IF(DO$4="",0,IFERROR(1/INDEX('"INCC-FGV"'!$B$2:$B$800,MATCH(DO$4,'"INCC-FGV"'!$A$2:$A$800,0)),0))</f>
        <v>0.000826124706828995</v>
      </c>
      <c r="DP1" s="132" t="n">
        <f aca="false">IF(DP$4="",0,IFERROR(1/INDEX('"INCC-FGV"'!$B$2:$B$800,MATCH(DP$4,'"INCC-FGV"'!$A$2:$A$800,0)),0))</f>
        <v>0.000821891237488761</v>
      </c>
      <c r="DQ1" s="132" t="n">
        <f aca="false">IF(DQ$4="",0,IFERROR(1/INDEX('"INCC-FGV"'!$B$2:$B$800,MATCH(DQ$4,'"INCC-FGV"'!$A$2:$A$800,0)),0))</f>
        <v>0.000820514840241658</v>
      </c>
      <c r="DR1" s="132" t="n">
        <f aca="false">IF(DR$4="",0,IFERROR(1/INDEX('"INCC-FGV"'!$B$2:$B$800,MATCH(DR$4,'"INCC-FGV"'!$A$2:$A$800,0)),0))</f>
        <v>0.000818092274263799</v>
      </c>
      <c r="DS1" s="132" t="n">
        <f aca="false">IF(DS$4="",0,IFERROR(1/INDEX('"INCC-FGV"'!$B$2:$B$800,MATCH(DS$4,'"INCC-FGV"'!$A$2:$A$800,0)),0))</f>
        <v>0.000815904924230989</v>
      </c>
      <c r="DT1" s="132" t="n">
        <f aca="false">IF(DT$4="",0,IFERROR(1/INDEX('"INCC-FGV"'!$B$2:$B$800,MATCH(DT$4,'"INCC-FGV"'!$A$2:$A$800,0)),0))</f>
        <v>0.000814225496494352</v>
      </c>
      <c r="DU1" s="132" t="n">
        <f aca="false">IF(DU$4="",0,IFERROR(1/INDEX('"INCC-FGV"'!$B$2:$B$800,MATCH(DU$4,'"INCC-FGV"'!$A$2:$A$800,0)),0))</f>
        <v>0.000808383911220045</v>
      </c>
      <c r="DV1" s="132" t="n">
        <f aca="false">IF(DV$4="",0,IFERROR(1/INDEX('"INCC-FGV"'!$B$2:$B$800,MATCH(DV$4,'"INCC-FGV"'!$A$2:$A$800,0)),0))</f>
        <v>0.000806138909019969</v>
      </c>
      <c r="DW1" s="132" t="n">
        <f aca="false">IF(DW$4="",0,IFERROR(1/INDEX('"INCC-FGV"'!$B$2:$B$800,MATCH(DW$4,'"INCC-FGV"'!$A$2:$A$800,0)),0))</f>
        <v>0.000801808237938198</v>
      </c>
      <c r="DX1" s="132" t="n">
        <f aca="false">IF(DX$4="",0,IFERROR(1/INDEX('"INCC-FGV"'!$B$2:$B$800,MATCH(DX$4,'"INCC-FGV"'!$A$2:$A$800,0)),0))</f>
        <v>0.000793870052998765</v>
      </c>
      <c r="DY1" s="132" t="n">
        <f aca="false">IF(DY$4="",0,IFERROR(1/INDEX('"INCC-FGV"'!$B$2:$B$800,MATCH(DY$4,'"INCC-FGV"'!$A$2:$A$800,0)),0))</f>
        <v>0.000786970909620326</v>
      </c>
      <c r="DZ1" s="132" t="n">
        <f aca="false">IF(DZ$4="",0,IFERROR(1/INDEX('"INCC-FGV"'!$B$2:$B$800,MATCH(DZ$4,'"INCC-FGV"'!$A$2:$A$800,0)),0))</f>
        <v>0.0007808589604737</v>
      </c>
      <c r="EA1" s="132" t="n">
        <f aca="false">IF(EA$4="",0,IFERROR(1/INDEX('"INCC-FGV"'!$B$2:$B$800,MATCH(EA$4,'"INCC-FGV"'!$A$2:$A$800,0)),0))</f>
        <v>0.000776137798609316</v>
      </c>
      <c r="EB1" s="132" t="n">
        <f aca="false">IF(EB$4="",0,IFERROR(1/INDEX('"INCC-FGV"'!$B$2:$B$800,MATCH(EB$4,'"INCC-FGV"'!$A$2:$A$800,0)),0))</f>
        <v>0.000771076013444481</v>
      </c>
      <c r="EC1" s="132" t="n">
        <f aca="false">IF(EC$4="",0,IFERROR(1/INDEX('"INCC-FGV"'!$B$2:$B$800,MATCH(EC$4,'"INCC-FGV"'!$A$2:$A$800,0)),0))</f>
        <v>0.000769383462256356</v>
      </c>
      <c r="ED1" s="132" t="n">
        <f aca="false">IF(ED$4="",0,IFERROR(1/INDEX('"INCC-FGV"'!$B$2:$B$800,MATCH(ED$4,'"INCC-FGV"'!$A$2:$A$800,0)),0))</f>
        <v>0</v>
      </c>
      <c r="EE1" s="132" t="n">
        <f aca="false">IF(EE$4="",0,IFERROR(1/INDEX('"INCC-FGV"'!$B$2:$B$800,MATCH(EE$4,'"INCC-FGV"'!$A$2:$A$800,0)),0))</f>
        <v>0</v>
      </c>
      <c r="EF1" s="132" t="n">
        <f aca="false">IF(EF$4="",0,IFERROR(1/INDEX('"INCC-FGV"'!$B$2:$B$800,MATCH(EF$4,'"INCC-FGV"'!$A$2:$A$800,0)),0))</f>
        <v>0</v>
      </c>
      <c r="EG1" s="132" t="n">
        <f aca="false">IF(EG$4="",0,IFERROR(1/INDEX('"INCC-FGV"'!$B$2:$B$800,MATCH(EG$4,'"INCC-FGV"'!$A$2:$A$800,0)),0))</f>
        <v>0</v>
      </c>
      <c r="EH1" s="132" t="n">
        <f aca="false">IF(EH$4="",0,IFERROR(1/INDEX('"INCC-FGV"'!$B$2:$B$800,MATCH(EH$4,'"INCC-FGV"'!$A$2:$A$800,0)),0))</f>
        <v>0</v>
      </c>
      <c r="EI1" s="132" t="n">
        <f aca="false">IF(EI$4="",0,IFERROR(1/INDEX('"INCC-FGV"'!$B$2:$B$800,MATCH(EI$4,'"INCC-FGV"'!$A$2:$A$800,0)),0))</f>
        <v>0</v>
      </c>
      <c r="EJ1" s="132" t="n">
        <f aca="false">IF(EJ$4="",0,IFERROR(1/INDEX('"INCC-FGV"'!$B$2:$B$800,MATCH(EJ$4,'"INCC-FGV"'!$A$2:$A$800,0)),0))</f>
        <v>0</v>
      </c>
      <c r="EK1" s="132" t="n">
        <f aca="false">IF(EK$4="",0,IFERROR(1/INDEX('"INCC-FGV"'!$B$2:$B$800,MATCH(EK$4,'"INCC-FGV"'!$A$2:$A$800,0)),0))</f>
        <v>0</v>
      </c>
      <c r="EL1" s="132" t="n">
        <f aca="false">IF(EL$4="",0,IFERROR(1/INDEX('"INCC-FGV"'!$B$2:$B$800,MATCH(EL$4,'"INCC-FGV"'!$A$2:$A$800,0)),0))</f>
        <v>0</v>
      </c>
      <c r="EM1" s="132" t="n">
        <f aca="false">IF(EM$4="",0,IFERROR(1/INDEX('"INCC-FGV"'!$B$2:$B$800,MATCH(EM$4,'"INCC-FGV"'!$A$2:$A$800,0)),0))</f>
        <v>0</v>
      </c>
      <c r="EN1" s="132" t="n">
        <f aca="false">IF(EN$4="",0,IFERROR(1/INDEX('"INCC-FGV"'!$B$2:$B$800,MATCH(EN$4,'"INCC-FGV"'!$A$2:$A$800,0)),0))</f>
        <v>0</v>
      </c>
      <c r="EO1" s="132" t="n">
        <f aca="false">IF(EO$4="",0,IFERROR(1/INDEX('"INCC-FGV"'!$B$2:$B$800,MATCH(EO$4,'"INCC-FGV"'!$A$2:$A$800,0)),0))</f>
        <v>0</v>
      </c>
      <c r="EP1" s="132" t="n">
        <f aca="false">IF(EP$4="",0,IFERROR(1/INDEX('"INCC-FGV"'!$B$2:$B$800,MATCH(EP$4,'"INCC-FGV"'!$A$2:$A$800,0)),0))</f>
        <v>0</v>
      </c>
      <c r="EQ1" s="132" t="n">
        <f aca="false">IF(EQ$4="",0,IFERROR(1/INDEX('"INCC-FGV"'!$B$2:$B$800,MATCH(EQ$4,'"INCC-FGV"'!$A$2:$A$800,0)),0))</f>
        <v>0</v>
      </c>
      <c r="ER1" s="132" t="n">
        <f aca="false">IF(ER$4="",0,IFERROR(1/INDEX('"INCC-FGV"'!$B$2:$B$800,MATCH(ER$4,'"INCC-FGV"'!$A$2:$A$800,0)),0))</f>
        <v>0</v>
      </c>
      <c r="ES1" s="132" t="n">
        <f aca="false">IF(ES$4="",0,IFERROR(1/INDEX('"INCC-FGV"'!$B$2:$B$800,MATCH(ES$4,'"INCC-FGV"'!$A$2:$A$800,0)),0))</f>
        <v>0</v>
      </c>
      <c r="ET1" s="132" t="n">
        <f aca="false">IF(ET$4="",0,IFERROR(1/INDEX('"INCC-FGV"'!$B$2:$B$800,MATCH(ET$4,'"INCC-FGV"'!$A$2:$A$800,0)),0))</f>
        <v>0</v>
      </c>
      <c r="EU1" s="132" t="n">
        <f aca="false">IF(EU$4="",0,IFERROR(1/INDEX('"INCC-FGV"'!$B$2:$B$800,MATCH(EU$4,'"INCC-FGV"'!$A$2:$A$800,0)),0))</f>
        <v>0</v>
      </c>
      <c r="EV1" s="132" t="n">
        <f aca="false">IF(EV$4="",0,IFERROR(1/INDEX('"INCC-FGV"'!$B$2:$B$800,MATCH(EV$4,'"INCC-FGV"'!$A$2:$A$800,0)),0))</f>
        <v>0</v>
      </c>
      <c r="EW1" s="132" t="n">
        <f aca="false">IF(EW$4="",0,IFERROR(1/INDEX('"INCC-FGV"'!$B$2:$B$800,MATCH(EW$4,'"INCC-FGV"'!$A$2:$A$800,0)),0))</f>
        <v>0</v>
      </c>
      <c r="EX1" s="132" t="n">
        <f aca="false">IF(EX$4="",0,IFERROR(1/INDEX('"INCC-FGV"'!$B$2:$B$800,MATCH(EX$4,'"INCC-FGV"'!$A$2:$A$800,0)),0))</f>
        <v>0</v>
      </c>
      <c r="EY1" s="132" t="n">
        <f aca="false">IF(EY$4="",0,IFERROR(1/INDEX('"INCC-FGV"'!$B$2:$B$800,MATCH(EY$4,'"INCC-FGV"'!$A$2:$A$800,0)),0))</f>
        <v>0</v>
      </c>
      <c r="EZ1" s="132" t="n">
        <f aca="false">IF(EZ$4="",0,IFERROR(1/INDEX('"INCC-FGV"'!$B$2:$B$800,MATCH(EZ$4,'"INCC-FGV"'!$A$2:$A$800,0)),0))</f>
        <v>0</v>
      </c>
      <c r="FA1" s="132" t="n">
        <f aca="false">IF(FA$4="",0,IFERROR(1/INDEX('"INCC-FGV"'!$B$2:$B$800,MATCH(FA$4,'"INCC-FGV"'!$A$2:$A$800,0)),0))</f>
        <v>0</v>
      </c>
      <c r="FB1" s="132" t="n">
        <f aca="false">IF(FB$4="",0,IFERROR(1/INDEX('"INCC-FGV"'!$B$2:$B$800,MATCH(FB$4,'"INCC-FGV"'!$A$2:$A$800,0)),0))</f>
        <v>0</v>
      </c>
      <c r="FC1" s="132" t="n">
        <f aca="false">IF(FC$4="",0,IFERROR(1/INDEX('"INCC-FGV"'!$B$2:$B$800,MATCH(FC$4,'"INCC-FGV"'!$A$2:$A$800,0)),0))</f>
        <v>0</v>
      </c>
      <c r="FD1" s="132" t="n">
        <f aca="false">IF(FD$4="",0,IFERROR(1/INDEX('"INCC-FGV"'!$B$2:$B$800,MATCH(FD$4,'"INCC-FGV"'!$A$2:$A$800,0)),0))</f>
        <v>0</v>
      </c>
      <c r="FE1" s="132" t="n">
        <f aca="false">IF(FE$4="",0,IFERROR(1/INDEX('"INCC-FGV"'!$B$2:$B$800,MATCH(FE$4,'"INCC-FGV"'!$A$2:$A$800,0)),0))</f>
        <v>0</v>
      </c>
      <c r="FF1" s="132" t="n">
        <f aca="false">IF(FF$4="",0,IFERROR(1/INDEX('"INCC-FGV"'!$B$2:$B$800,MATCH(FF$4,'"INCC-FGV"'!$A$2:$A$800,0)),0))</f>
        <v>0</v>
      </c>
      <c r="FG1" s="132" t="n">
        <f aca="false">IF(FG$4="",0,IFERROR(1/INDEX('"INCC-FGV"'!$B$2:$B$800,MATCH(FG$4,'"INCC-FGV"'!$A$2:$A$800,0)),0))</f>
        <v>0</v>
      </c>
      <c r="FH1" s="132" t="n">
        <f aca="false">IF(FH$4="",0,IFERROR(1/INDEX('"INCC-FGV"'!$B$2:$B$800,MATCH(FH$4,'"INCC-FGV"'!$A$2:$A$800,0)),0))</f>
        <v>0</v>
      </c>
      <c r="FI1" s="132" t="n">
        <f aca="false">IF(FI$4="",0,IFERROR(1/INDEX('"INCC-FGV"'!$B$2:$B$800,MATCH(FI$4,'"INCC-FGV"'!$A$2:$A$800,0)),0))</f>
        <v>0</v>
      </c>
      <c r="FJ1" s="132" t="n">
        <f aca="false">IF(FJ$4="",0,IFERROR(1/INDEX('"INCC-FGV"'!$B$2:$B$800,MATCH(FJ$4,'"INCC-FGV"'!$A$2:$A$800,0)),0))</f>
        <v>0</v>
      </c>
      <c r="FK1" s="132" t="n">
        <f aca="false">IF(FK$4="",0,IFERROR(1/INDEX('"INCC-FGV"'!$B$2:$B$800,MATCH(FK$4,'"INCC-FGV"'!$A$2:$A$800,0)),0))</f>
        <v>0</v>
      </c>
      <c r="FL1" s="132" t="n">
        <f aca="false">IF(FL$4="",0,IFERROR(1/INDEX('"INCC-FGV"'!$B$2:$B$800,MATCH(FL$4,'"INCC-FGV"'!$A$2:$A$800,0)),0))</f>
        <v>0</v>
      </c>
      <c r="FM1" s="132" t="n">
        <f aca="false">IF(FM$4="",0,IFERROR(1/INDEX('"INCC-FGV"'!$B$2:$B$800,MATCH(FM$4,'"INCC-FGV"'!$A$2:$A$800,0)),0))</f>
        <v>0</v>
      </c>
      <c r="FN1" s="132" t="n">
        <f aca="false">IF(FN$4="",0,IFERROR(1/INDEX('"INCC-FGV"'!$B$2:$B$800,MATCH(FN$4,'"INCC-FGV"'!$A$2:$A$800,0)),0))</f>
        <v>0</v>
      </c>
      <c r="FO1" s="132" t="n">
        <f aca="false">IF(FO$4="",0,IFERROR(1/INDEX('"INCC-FGV"'!$B$2:$B$800,MATCH(FO$4,'"INCC-FGV"'!$A$2:$A$800,0)),0))</f>
        <v>0</v>
      </c>
      <c r="FP1" s="132" t="n">
        <f aca="false">IF(FP$4="",0,IFERROR(1/INDEX('"INCC-FGV"'!$B$2:$B$800,MATCH(FP$4,'"INCC-FGV"'!$A$2:$A$800,0)),0))</f>
        <v>0</v>
      </c>
      <c r="FQ1" s="132" t="n">
        <f aca="false">IF(FQ$4="",0,IFERROR(1/INDEX('"INCC-FGV"'!$B$2:$B$800,MATCH(FQ$4,'"INCC-FGV"'!$A$2:$A$800,0)),0))</f>
        <v>0</v>
      </c>
      <c r="FR1" s="132" t="n">
        <f aca="false">IF(FR$4="",0,IFERROR(1/INDEX('"INCC-FGV"'!$B$2:$B$800,MATCH(FR$4,'"INCC-FGV"'!$A$2:$A$800,0)),0))</f>
        <v>0</v>
      </c>
      <c r="FS1" s="132" t="n">
        <f aca="false">IF(FS$4="",0,IFERROR(1/INDEX('"INCC-FGV"'!$B$2:$B$800,MATCH(FS$4,'"INCC-FGV"'!$A$2:$A$800,0)),0))</f>
        <v>0</v>
      </c>
      <c r="FT1" s="132" t="n">
        <f aca="false">IF(FT$4="",0,IFERROR(1/INDEX('"INCC-FGV"'!$B$2:$B$800,MATCH(FT$4,'"INCC-FGV"'!$A$2:$A$800,0)),0))</f>
        <v>0</v>
      </c>
      <c r="FU1" s="132" t="n">
        <f aca="false">IF(FU$4="",0,IFERROR(1/INDEX('"INCC-FGV"'!$B$2:$B$800,MATCH(FU$4,'"INCC-FGV"'!$A$2:$A$800,0)),0))</f>
        <v>0</v>
      </c>
      <c r="FV1" s="132" t="n">
        <f aca="false">IF(FV$4="",0,IFERROR(1/INDEX('"INCC-FGV"'!$B$2:$B$800,MATCH(FV$4,'"INCC-FGV"'!$A$2:$A$800,0)),0))</f>
        <v>0</v>
      </c>
      <c r="FW1" s="132" t="n">
        <f aca="false">IF(FW$4="",0,IFERROR(1/INDEX('"INCC-FGV"'!$B$2:$B$800,MATCH(FW$4,'"INCC-FGV"'!$A$2:$A$800,0)),0))</f>
        <v>0</v>
      </c>
      <c r="FX1" s="132" t="n">
        <f aca="false">IF(FX$4="",0,IFERROR(1/INDEX('"INCC-FGV"'!$B$2:$B$800,MATCH(FX$4,'"INCC-FGV"'!$A$2:$A$800,0)),0))</f>
        <v>0</v>
      </c>
      <c r="FY1" s="132" t="n">
        <f aca="false">IF(FY$4="",0,IFERROR(1/INDEX('"INCC-FGV"'!$B$2:$B$800,MATCH(FY$4,'"INCC-FGV"'!$A$2:$A$800,0)),0))</f>
        <v>0</v>
      </c>
      <c r="FZ1" s="132" t="n">
        <f aca="false">IF(FZ$4="",0,IFERROR(1/INDEX('"INCC-FGV"'!$B$2:$B$800,MATCH(FZ$4,'"INCC-FGV"'!$A$2:$A$800,0)),0))</f>
        <v>0</v>
      </c>
      <c r="GA1" s="132" t="n">
        <f aca="false">IF(GA$4="",0,IFERROR(1/INDEX('"INCC-FGV"'!$B$2:$B$800,MATCH(GA$4,'"INCC-FGV"'!$A$2:$A$800,0)),0))</f>
        <v>0</v>
      </c>
      <c r="GB1" s="132" t="n">
        <f aca="false">IF(GB$4="",0,IFERROR(1/INDEX('"INCC-FGV"'!$B$2:$B$800,MATCH(GB$4,'"INCC-FGV"'!$A$2:$A$800,0)),0))</f>
        <v>0</v>
      </c>
      <c r="GC1" s="132" t="n">
        <f aca="false">IF(GC$4="",0,IFERROR(1/INDEX('"INCC-FGV"'!$B$2:$B$800,MATCH(GC$4,'"INCC-FGV"'!$A$2:$A$800,0)),0))</f>
        <v>0</v>
      </c>
      <c r="GD1" s="132" t="n">
        <f aca="false">IF(GD$4="",0,IFERROR(1/INDEX('"INCC-FGV"'!$B$2:$B$800,MATCH(GD$4,'"INCC-FGV"'!$A$2:$A$800,0)),0))</f>
        <v>0</v>
      </c>
      <c r="GE1" s="132" t="n">
        <f aca="false">IF(GE$4="",0,IFERROR(1/INDEX('"INCC-FGV"'!$B$2:$B$800,MATCH(GE$4,'"INCC-FGV"'!$A$2:$A$800,0)),0))</f>
        <v>0</v>
      </c>
      <c r="GF1" s="132" t="n">
        <f aca="false">IF(GF$4="",0,IFERROR(1/INDEX('"INCC-FGV"'!$B$2:$B$800,MATCH(GF$4,'"INCC-FGV"'!$A$2:$A$800,0)),0))</f>
        <v>0</v>
      </c>
      <c r="GG1" s="132" t="n">
        <f aca="false">IF(GG$4="",0,IFERROR(1/INDEX('"INCC-FGV"'!$B$2:$B$800,MATCH(GG$4,'"INCC-FGV"'!$A$2:$A$800,0)),0))</f>
        <v>0</v>
      </c>
      <c r="GH1" s="132" t="n">
        <f aca="false">IF(GH$4="",0,IFERROR(1/INDEX('"INCC-FGV"'!$B$2:$B$800,MATCH(GH$4,'"INCC-FGV"'!$A$2:$A$800,0)),0))</f>
        <v>0</v>
      </c>
      <c r="GI1" s="132" t="n">
        <f aca="false">IF(GI$4="",0,IFERROR(1/INDEX('"INCC-FGV"'!$B$2:$B$800,MATCH(GI$4,'"INCC-FGV"'!$A$2:$A$800,0)),0))</f>
        <v>0</v>
      </c>
      <c r="GJ1" s="132" t="n">
        <f aca="false">IF(GJ$4="",0,IFERROR(1/INDEX('"INCC-FGV"'!$B$2:$B$800,MATCH(GJ$4,'"INCC-FGV"'!$A$2:$A$800,0)),0))</f>
        <v>0</v>
      </c>
      <c r="GK1" s="132" t="n">
        <f aca="false">IF(GK$4="",0,IFERROR(1/INDEX('"INCC-FGV"'!$B$2:$B$800,MATCH(GK$4,'"INCC-FGV"'!$A$2:$A$800,0)),0))</f>
        <v>0</v>
      </c>
      <c r="GL1" s="132" t="n">
        <f aca="false">IF(GL$4="",0,IFERROR(1/INDEX('"INCC-FGV"'!$B$2:$B$800,MATCH(GL$4,'"INCC-FGV"'!$A$2:$A$800,0)),0))</f>
        <v>0</v>
      </c>
      <c r="GM1" s="132" t="n">
        <f aca="false">IF(GM$4="",0,IFERROR(1/INDEX('"INCC-FGV"'!$B$2:$B$800,MATCH(GM$4,'"INCC-FGV"'!$A$2:$A$800,0)),0))</f>
        <v>0</v>
      </c>
      <c r="GN1" s="132" t="n">
        <f aca="false">IF(GN$4="",0,IFERROR(1/INDEX('"INCC-FGV"'!$B$2:$B$800,MATCH(GN$4,'"INCC-FGV"'!$A$2:$A$800,0)),0))</f>
        <v>0</v>
      </c>
      <c r="GO1" s="132" t="n">
        <f aca="false">IF(GO$4="",0,IFERROR(1/INDEX('"INCC-FGV"'!$B$2:$B$800,MATCH(GO$4,'"INCC-FGV"'!$A$2:$A$800,0)),0))</f>
        <v>0</v>
      </c>
      <c r="GP1" s="132" t="n">
        <f aca="false">IF(GP$4="",0,IFERROR(1/INDEX('"INCC-FGV"'!$B$2:$B$800,MATCH(GP$4,'"INCC-FGV"'!$A$2:$A$800,0)),0))</f>
        <v>0</v>
      </c>
      <c r="GQ1" s="132" t="n">
        <f aca="false">IF(GQ$4="",0,IFERROR(1/INDEX('"INCC-FGV"'!$B$2:$B$800,MATCH(GQ$4,'"INCC-FGV"'!$A$2:$A$800,0)),0))</f>
        <v>0</v>
      </c>
      <c r="GR1" s="132" t="n">
        <f aca="false">IF(GR$4="",0,IFERROR(1/INDEX('"INCC-FGV"'!$B$2:$B$800,MATCH(GR$4,'"INCC-FGV"'!$A$2:$A$800,0)),0))</f>
        <v>0</v>
      </c>
      <c r="GS1" s="132" t="n">
        <f aca="false">IF(GS$4="",0,IFERROR(1/INDEX('"INCC-FGV"'!$B$2:$B$800,MATCH(GS$4,'"INCC-FGV"'!$A$2:$A$800,0)),0))</f>
        <v>0</v>
      </c>
      <c r="GT1" s="132" t="n">
        <f aca="false">IF(GT$4="",0,IFERROR(1/INDEX('"INCC-FGV"'!$B$2:$B$800,MATCH(GT$4,'"INCC-FGV"'!$A$2:$A$800,0)),0))</f>
        <v>0</v>
      </c>
      <c r="GU1" s="132" t="n">
        <f aca="false">IF(GU$4="",0,IFERROR(1/INDEX('"INCC-FGV"'!$B$2:$B$800,MATCH(GU$4,'"INCC-FGV"'!$A$2:$A$800,0)),0))</f>
        <v>0</v>
      </c>
      <c r="GV1" s="132" t="n">
        <f aca="false">IF(GV$4="",0,IFERROR(1/INDEX('"INCC-FGV"'!$B$2:$B$800,MATCH(GV$4,'"INCC-FGV"'!$A$2:$A$800,0)),0))</f>
        <v>0</v>
      </c>
      <c r="GW1" s="132" t="n">
        <f aca="false">IF(GW$4="",0,IFERROR(1/INDEX('"INCC-FGV"'!$B$2:$B$800,MATCH(GW$4,'"INCC-FGV"'!$A$2:$A$800,0)),0))</f>
        <v>0</v>
      </c>
      <c r="GX1" s="132" t="n">
        <f aca="false">IF(GX$4="",0,IFERROR(1/INDEX('"INCC-FGV"'!$B$2:$B$800,MATCH(GX$4,'"INCC-FGV"'!$A$2:$A$800,0)),0))</f>
        <v>0</v>
      </c>
      <c r="GY1" s="132" t="n">
        <f aca="false">IF(GY$4="",0,IFERROR(1/INDEX('"INCC-FGV"'!$B$2:$B$800,MATCH(GY$4,'"INCC-FGV"'!$A$2:$A$800,0)),0))</f>
        <v>0</v>
      </c>
      <c r="GZ1" s="132" t="n">
        <f aca="false">IF(GZ$4="",0,IFERROR(1/INDEX('"INCC-FGV"'!$B$2:$B$800,MATCH(GZ$4,'"INCC-FGV"'!$A$2:$A$800,0)),0))</f>
        <v>0</v>
      </c>
      <c r="HA1" s="132" t="n">
        <f aca="false">IF(HA$4="",0,IFERROR(1/INDEX('"INCC-FGV"'!$B$2:$B$800,MATCH(HA$4,'"INCC-FGV"'!$A$2:$A$800,0)),0))</f>
        <v>0</v>
      </c>
      <c r="HB1" s="132" t="n">
        <f aca="false">IF(HB$4="",0,IFERROR(1/INDEX('"INCC-FGV"'!$B$2:$B$800,MATCH(HB$4,'"INCC-FGV"'!$A$2:$A$800,0)),0))</f>
        <v>0</v>
      </c>
      <c r="HC1" s="132" t="n">
        <f aca="false">IF(HC$4="",0,IFERROR(1/INDEX('"INCC-FGV"'!$B$2:$B$800,MATCH(HC$4,'"INCC-FGV"'!$A$2:$A$800,0)),0))</f>
        <v>0</v>
      </c>
      <c r="HD1" s="132" t="n">
        <f aca="false">IF(HD$4="",0,IFERROR(1/INDEX('"INCC-FGV"'!$B$2:$B$800,MATCH(HD$4,'"INCC-FGV"'!$A$2:$A$800,0)),0))</f>
        <v>0</v>
      </c>
      <c r="HE1" s="132" t="n">
        <f aca="false">IF(HE$4="",0,IFERROR(1/INDEX('"INCC-FGV"'!$B$2:$B$800,MATCH(HE$4,'"INCC-FGV"'!$A$2:$A$800,0)),0))</f>
        <v>0</v>
      </c>
      <c r="HF1" s="132" t="n">
        <f aca="false">IF(HF$4="",0,IFERROR(1/INDEX('"INCC-FGV"'!$B$2:$B$800,MATCH(HF$4,'"INCC-FGV"'!$A$2:$A$800,0)),0))</f>
        <v>0</v>
      </c>
      <c r="HG1" s="132" t="n">
        <f aca="false">IF(HG$4="",0,IFERROR(1/INDEX('"INCC-FGV"'!$B$2:$B$800,MATCH(HG$4,'"INCC-FGV"'!$A$2:$A$800,0)),0))</f>
        <v>0</v>
      </c>
      <c r="HH1" s="132" t="n">
        <f aca="false">IF(HH$4="",0,IFERROR(1/INDEX('"INCC-FGV"'!$B$2:$B$800,MATCH(HH$4,'"INCC-FGV"'!$A$2:$A$800,0)),0))</f>
        <v>0</v>
      </c>
      <c r="HI1" s="132" t="n">
        <f aca="false">IF(HI$4="",0,IFERROR(1/INDEX('"INCC-FGV"'!$B$2:$B$800,MATCH(HI$4,'"INCC-FGV"'!$A$2:$A$800,0)),0))</f>
        <v>0</v>
      </c>
      <c r="HJ1" s="132" t="n">
        <f aca="false">IF(HJ$4="",0,IFERROR(1/INDEX('"INCC-FGV"'!$B$2:$B$800,MATCH(HJ$4,'"INCC-FGV"'!$A$2:$A$800,0)),0))</f>
        <v>0</v>
      </c>
      <c r="HK1" s="132" t="n">
        <f aca="false">IF(HK$4="",0,IFERROR(1/INDEX('"INCC-FGV"'!$B$2:$B$800,MATCH(HK$4,'"INCC-FGV"'!$A$2:$A$800,0)),0))</f>
        <v>0</v>
      </c>
      <c r="HL1" s="132" t="n">
        <f aca="false">IF(HL$4="",0,IFERROR(1/INDEX('"INCC-FGV"'!$B$2:$B$800,MATCH(HL$4,'"INCC-FGV"'!$A$2:$A$800,0)),0))</f>
        <v>0</v>
      </c>
      <c r="HM1" s="132" t="n">
        <f aca="false">IF(HM$4="",0,IFERROR(1/INDEX('"INCC-FGV"'!$B$2:$B$800,MATCH(HM$4,'"INCC-FGV"'!$A$2:$A$800,0)),0))</f>
        <v>0</v>
      </c>
      <c r="HN1" s="132" t="n">
        <f aca="false">IF(HN$4="",0,IFERROR(1/INDEX('"INCC-FGV"'!$B$2:$B$800,MATCH(HN$4,'"INCC-FGV"'!$A$2:$A$800,0)),0))</f>
        <v>0</v>
      </c>
      <c r="HO1" s="132" t="n">
        <f aca="false">IF(HO$4="",0,IFERROR(1/INDEX('"INCC-FGV"'!$B$2:$B$800,MATCH(HO$4,'"INCC-FGV"'!$A$2:$A$800,0)),0))</f>
        <v>0</v>
      </c>
      <c r="HP1" s="132" t="n">
        <f aca="false">IF(HP$4="",0,IFERROR(1/INDEX('"INCC-FGV"'!$B$2:$B$800,MATCH(HP$4,'"INCC-FGV"'!$A$2:$A$800,0)),0))</f>
        <v>0</v>
      </c>
      <c r="HQ1" s="132" t="n">
        <f aca="false">IF(HQ$4="",0,IFERROR(1/INDEX('"INCC-FGV"'!$B$2:$B$800,MATCH(HQ$4,'"INCC-FGV"'!$A$2:$A$800,0)),0))</f>
        <v>0</v>
      </c>
      <c r="HR1" s="132" t="n">
        <f aca="false">IF(HR$4="",0,IFERROR(1/INDEX('"INCC-FGV"'!$B$2:$B$800,MATCH(HR$4,'"INCC-FGV"'!$A$2:$A$800,0)),0))</f>
        <v>0</v>
      </c>
      <c r="HS1" s="132" t="n">
        <f aca="false">IF(HS$4="",0,IFERROR(1/INDEX('"INCC-FGV"'!$B$2:$B$800,MATCH(HS$4,'"INCC-FGV"'!$A$2:$A$800,0)),0))</f>
        <v>0</v>
      </c>
      <c r="HT1" s="132" t="n">
        <f aca="false">IF(HT$4="",0,IFERROR(1/INDEX('"INCC-FGV"'!$B$2:$B$800,MATCH(HT$4,'"INCC-FGV"'!$A$2:$A$800,0)),0))</f>
        <v>0</v>
      </c>
      <c r="HU1" s="132" t="n">
        <f aca="false">IF(HU$4="",0,IFERROR(1/INDEX('"INCC-FGV"'!$B$2:$B$800,MATCH(HU$4,'"INCC-FGV"'!$A$2:$A$800,0)),0))</f>
        <v>0</v>
      </c>
      <c r="HV1" s="132" t="n">
        <f aca="false">IF(HV$4="",0,IFERROR(1/INDEX('"INCC-FGV"'!$B$2:$B$800,MATCH(HV$4,'"INCC-FGV"'!$A$2:$A$800,0)),0))</f>
        <v>0</v>
      </c>
      <c r="HW1" s="132" t="n">
        <f aca="false">IF(HW$4="",0,IFERROR(1/INDEX('"INCC-FGV"'!$B$2:$B$800,MATCH(HW$4,'"INCC-FGV"'!$A$2:$A$800,0)),0))</f>
        <v>0</v>
      </c>
      <c r="HX1" s="132" t="n">
        <f aca="false">IF(HX$4="",0,IFERROR(1/INDEX('"INCC-FGV"'!$B$2:$B$800,MATCH(HX$4,'"INCC-FGV"'!$A$2:$A$800,0)),0))</f>
        <v>0</v>
      </c>
      <c r="HY1" s="132" t="n">
        <f aca="false">IF(HY$4="",0,IFERROR(1/INDEX('"INCC-FGV"'!$B$2:$B$800,MATCH(HY$4,'"INCC-FGV"'!$A$2:$A$800,0)),0))</f>
        <v>0</v>
      </c>
      <c r="HZ1" s="132" t="n">
        <f aca="false">IF(HZ$4="",0,IFERROR(1/INDEX('"INCC-FGV"'!$B$2:$B$800,MATCH(HZ$4,'"INCC-FGV"'!$A$2:$A$800,0)),0))</f>
        <v>0</v>
      </c>
      <c r="IA1" s="132" t="n">
        <f aca="false">IF(IA$4="",0,IFERROR(1/INDEX('"INCC-FGV"'!$B$2:$B$800,MATCH(IA$4,'"INCC-FGV"'!$A$2:$A$800,0)),0))</f>
        <v>0</v>
      </c>
      <c r="IB1" s="132" t="n">
        <f aca="false">IF(IB$4="",0,IFERROR(1/INDEX('"INCC-FGV"'!$B$2:$B$800,MATCH(IB$4,'"INCC-FGV"'!$A$2:$A$800,0)),0))</f>
        <v>0</v>
      </c>
      <c r="IC1" s="132" t="n">
        <f aca="false">IF(IC$4="",0,IFERROR(1/INDEX('"INCC-FGV"'!$B$2:$B$800,MATCH(IC$4,'"INCC-FGV"'!$A$2:$A$800,0)),0))</f>
        <v>0</v>
      </c>
      <c r="ID1" s="132" t="n">
        <f aca="false">IF(ID$4="",0,IFERROR(1/INDEX('"INCC-FGV"'!$B$2:$B$800,MATCH(ID$4,'"INCC-FGV"'!$A$2:$A$800,0)),0))</f>
        <v>0</v>
      </c>
      <c r="IE1" s="132" t="n">
        <f aca="false">IF(IE$4="",0,IFERROR(1/INDEX('"INCC-FGV"'!$B$2:$B$800,MATCH(IE$4,'"INCC-FGV"'!$A$2:$A$800,0)),0))</f>
        <v>0</v>
      </c>
      <c r="IF1" s="132" t="n">
        <f aca="false">IF(IF$4="",0,IFERROR(1/INDEX('"INCC-FGV"'!$B$2:$B$800,MATCH(IF$4,'"INCC-FGV"'!$A$2:$A$800,0)),0))</f>
        <v>0</v>
      </c>
      <c r="IG1" s="132" t="n">
        <f aca="false">IF(IG$4="",0,IFERROR(1/INDEX('"INCC-FGV"'!$B$2:$B$800,MATCH(IG$4,'"INCC-FGV"'!$A$2:$A$800,0)),0))</f>
        <v>0</v>
      </c>
      <c r="IH1" s="132" t="n">
        <f aca="false">IF(IH$4="",0,IFERROR(1/INDEX('"INCC-FGV"'!$B$2:$B$800,MATCH(IH$4,'"INCC-FGV"'!$A$2:$A$800,0)),0))</f>
        <v>0</v>
      </c>
      <c r="II1" s="132" t="n">
        <f aca="false">IF(II$4="",0,IFERROR(1/INDEX('"INCC-FGV"'!$B$2:$B$800,MATCH(II$4,'"INCC-FGV"'!$A$2:$A$800,0)),0))</f>
        <v>0</v>
      </c>
      <c r="IJ1" s="132" t="n">
        <f aca="false">IF(IJ$4="",0,IFERROR(1/INDEX('"INCC-FGV"'!$B$2:$B$800,MATCH(IJ$4,'"INCC-FGV"'!$A$2:$A$800,0)),0))</f>
        <v>0</v>
      </c>
      <c r="IK1" s="132" t="n">
        <f aca="false">IF(IK$4="",0,IFERROR(1/INDEX('"INCC-FGV"'!$B$2:$B$800,MATCH(IK$4,'"INCC-FGV"'!$A$2:$A$800,0)),0))</f>
        <v>0</v>
      </c>
      <c r="IL1" s="132" t="n">
        <f aca="false">IF(IL$4="",0,IFERROR(1/INDEX('"INCC-FGV"'!$B$2:$B$800,MATCH(IL$4,'"INCC-FGV"'!$A$2:$A$800,0)),0))</f>
        <v>0</v>
      </c>
      <c r="IM1" s="132" t="n">
        <f aca="false">IF(IM$4="",0,IFERROR(1/INDEX('"INCC-FGV"'!$B$2:$B$800,MATCH(IM$4,'"INCC-FGV"'!$A$2:$A$800,0)),0))</f>
        <v>0</v>
      </c>
      <c r="IN1" s="132" t="n">
        <f aca="false">IF(IN$4="",0,IFERROR(1/INDEX('"INCC-FGV"'!$B$2:$B$800,MATCH(IN$4,'"INCC-FGV"'!$A$2:$A$800,0)),0))</f>
        <v>0</v>
      </c>
      <c r="IO1" s="132" t="n">
        <f aca="false">IF(IO$4="",0,IFERROR(1/INDEX('"INCC-FGV"'!$B$2:$B$800,MATCH(IO$4,'"INCC-FGV"'!$A$2:$A$800,0)),0))</f>
        <v>0</v>
      </c>
      <c r="IP1" s="132" t="n">
        <f aca="false">IF(IP$4="",0,IFERROR(1/INDEX('"INCC-FGV"'!$B$2:$B$800,MATCH(IP$4,'"INCC-FGV"'!$A$2:$A$800,0)),0))</f>
        <v>0</v>
      </c>
      <c r="IQ1" s="132" t="n">
        <f aca="false">IF(IQ$4="",0,IFERROR(1/INDEX('"INCC-FGV"'!$B$2:$B$800,MATCH(IQ$4,'"INCC-FGV"'!$A$2:$A$800,0)),0))</f>
        <v>0</v>
      </c>
      <c r="IR1" s="132" t="n">
        <f aca="false">IF(IR$4="",0,IFERROR(1/INDEX('"INCC-FGV"'!$B$2:$B$800,MATCH(IR$4,'"INCC-FGV"'!$A$2:$A$800,0)),0))</f>
        <v>0</v>
      </c>
      <c r="IS1" s="132" t="n">
        <f aca="false">IF(IS$4="",0,IFERROR(1/INDEX('"INCC-FGV"'!$B$2:$B$800,MATCH(IS$4,'"INCC-FGV"'!$A$2:$A$800,0)),0))</f>
        <v>0</v>
      </c>
      <c r="IT1" s="132" t="n">
        <f aca="false">IF(IT$4="",0,IFERROR(1/INDEX('"INCC-FGV"'!$B$2:$B$800,MATCH(IT$4,'"INCC-FGV"'!$A$2:$A$800,0)),0))</f>
        <v>0</v>
      </c>
      <c r="IU1" s="132" t="n">
        <f aca="false">IF(IU$4="",0,IFERROR(1/INDEX('"INCC-FGV"'!$B$2:$B$800,MATCH(IU$4,'"INCC-FGV"'!$A$2:$A$800,0)),0))</f>
        <v>0</v>
      </c>
      <c r="IV1" s="132" t="n">
        <f aca="false">IF(IV$4="",0,IFERROR(1/INDEX('"INCC-FGV"'!$B$2:$B$800,MATCH(IV$4,'"INCC-FGV"'!$A$2:$A$800,0)),0))</f>
        <v>0</v>
      </c>
      <c r="IW1" s="132" t="n">
        <f aca="false">IF(IW$4="",0,IFERROR(1/INDEX('"INCC-FGV"'!$B$2:$B$800,MATCH(IW$4,'"INCC-FGV"'!$A$2:$A$800,0)),0))</f>
        <v>0</v>
      </c>
      <c r="IX1" s="132" t="n">
        <f aca="false">IF(IX$4="",0,IFERROR(1/INDEX('"INCC-FGV"'!$B$2:$B$800,MATCH(IX$4,'"INCC-FGV"'!$A$2:$A$800,0)),0))</f>
        <v>0</v>
      </c>
      <c r="IY1" s="132" t="n">
        <f aca="false">IF(IY$4="",0,IFERROR(1/INDEX('"INCC-FGV"'!$B$2:$B$800,MATCH(IY$4,'"INCC-FGV"'!$A$2:$A$800,0)),0))</f>
        <v>0</v>
      </c>
      <c r="IZ1" s="132" t="n">
        <f aca="false">IF(IZ$4="",0,IFERROR(1/INDEX('"INCC-FGV"'!$B$2:$B$800,MATCH(IZ$4,'"INCC-FGV"'!$A$2:$A$800,0)),0))</f>
        <v>0</v>
      </c>
      <c r="JA1" s="132" t="n">
        <f aca="false">IF(JA$4="",0,IFERROR(1/INDEX('"INCC-FGV"'!$B$2:$B$800,MATCH(JA$4,'"INCC-FGV"'!$A$2:$A$800,0)),0))</f>
        <v>0</v>
      </c>
      <c r="JB1" s="132" t="n">
        <f aca="false">IF(JB$4="",0,IFERROR(1/INDEX('"INCC-FGV"'!$B$2:$B$800,MATCH(JB$4,'"INCC-FGV"'!$A$2:$A$800,0)),0))</f>
        <v>0</v>
      </c>
      <c r="JC1" s="132" t="n">
        <f aca="false">IF(JC$4="",0,IFERROR(1/INDEX('"INCC-FGV"'!$B$2:$B$800,MATCH(JC$4,'"INCC-FGV"'!$A$2:$A$800,0)),0))</f>
        <v>0</v>
      </c>
      <c r="JD1" s="132" t="n">
        <f aca="false">IF(JD$4="",0,IFERROR(1/INDEX('"INCC-FGV"'!$B$2:$B$800,MATCH(JD$4,'"INCC-FGV"'!$A$2:$A$800,0)),0))</f>
        <v>0</v>
      </c>
      <c r="JE1" s="132" t="n">
        <f aca="false">IF(JE$4="",0,IFERROR(1/INDEX('"INCC-FGV"'!$B$2:$B$800,MATCH(JE$4,'"INCC-FGV"'!$A$2:$A$800,0)),0))</f>
        <v>0</v>
      </c>
      <c r="JF1" s="132" t="n">
        <f aca="false">IF(JF$4="",0,IFERROR(1/INDEX('"INCC-FGV"'!$B$2:$B$800,MATCH(JF$4,'"INCC-FGV"'!$A$2:$A$800,0)),0))</f>
        <v>0</v>
      </c>
      <c r="JG1" s="132" t="n">
        <f aca="false">IF(JG$4="",0,IFERROR(1/INDEX('"INCC-FGV"'!$B$2:$B$800,MATCH(JG$4,'"INCC-FGV"'!$A$2:$A$800,0)),0))</f>
        <v>0</v>
      </c>
      <c r="JH1" s="132" t="n">
        <f aca="false">IF(JH$4="",0,IFERROR(1/INDEX('"INCC-FGV"'!$B$2:$B$800,MATCH(JH$4,'"INCC-FGV"'!$A$2:$A$800,0)),0))</f>
        <v>0</v>
      </c>
      <c r="JI1" s="132" t="n">
        <f aca="false">IF(JI$4="",0,IFERROR(1/INDEX('"INCC-FGV"'!$B$2:$B$800,MATCH(JI$4,'"INCC-FGV"'!$A$2:$A$800,0)),0))</f>
        <v>0</v>
      </c>
      <c r="JJ1" s="132" t="n">
        <f aca="false">IF(JJ$4="",0,IFERROR(1/INDEX('"INCC-FGV"'!$B$2:$B$800,MATCH(JJ$4,'"INCC-FGV"'!$A$2:$A$800,0)),0))</f>
        <v>0</v>
      </c>
      <c r="JK1" s="132" t="n">
        <f aca="false">IF(JK$4="",0,IFERROR(1/INDEX('"INCC-FGV"'!$B$2:$B$800,MATCH(JK$4,'"INCC-FGV"'!$A$2:$A$800,0)),0))</f>
        <v>0</v>
      </c>
      <c r="JL1" s="132" t="n">
        <f aca="false">IF(JL$4="",0,IFERROR(1/INDEX('"INCC-FGV"'!$B$2:$B$800,MATCH(JL$4,'"INCC-FGV"'!$A$2:$A$800,0)),0))</f>
        <v>0</v>
      </c>
      <c r="JM1" s="132" t="n">
        <f aca="false">IF(JM$4="",0,IFERROR(1/INDEX('"INCC-FGV"'!$B$2:$B$800,MATCH(JM$4,'"INCC-FGV"'!$A$2:$A$800,0)),0))</f>
        <v>0</v>
      </c>
      <c r="JN1" s="132" t="n">
        <f aca="false">IF(JN$4="",0,IFERROR(1/INDEX('"INCC-FGV"'!$B$2:$B$800,MATCH(JN$4,'"INCC-FGV"'!$A$2:$A$800,0)),0))</f>
        <v>0</v>
      </c>
      <c r="JO1" s="132" t="n">
        <f aca="false">IF(JO$4="",0,IFERROR(1/INDEX('"INCC-FGV"'!$B$2:$B$800,MATCH(JO$4,'"INCC-FGV"'!$A$2:$A$800,0)),0))</f>
        <v>0</v>
      </c>
      <c r="JP1" s="132" t="n">
        <f aca="false">IF(JP$4="",0,IFERROR(1/INDEX('"INCC-FGV"'!$B$2:$B$800,MATCH(JP$4,'"INCC-FGV"'!$A$2:$A$800,0)),0))</f>
        <v>0</v>
      </c>
      <c r="JQ1" s="132" t="n">
        <f aca="false">IF(JQ$4="",0,IFERROR(1/INDEX('"INCC-FGV"'!$B$2:$B$800,MATCH(JQ$4,'"INCC-FGV"'!$A$2:$A$800,0)),0))</f>
        <v>0</v>
      </c>
      <c r="JR1" s="132" t="n">
        <f aca="false">IF(JR$4="",0,IFERROR(1/INDEX('"INCC-FGV"'!$B$2:$B$800,MATCH(JR$4,'"INCC-FGV"'!$A$2:$A$800,0)),0))</f>
        <v>0</v>
      </c>
      <c r="JS1" s="132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3843</v>
      </c>
      <c r="C2" s="63" t="n">
        <f aca="false">SUMPRODUCT(('DADOS BRUTOS'!$A$3:$A$500&lt;&gt;"")*(COUNTIF($B$5:$C$42,'DADOS BRUTOS'!$A$3:$A$500)=0)*(COUNTIF($A$50:$A$69,'DADOS BRUTOS'!$A$3:$A$500)=0))</f>
        <v>0</v>
      </c>
      <c r="CB2" s="124" t="s">
        <v>3844</v>
      </c>
    </row>
    <row r="3" customFormat="false" ht="15" hidden="false" customHeight="false" outlineLevel="0" collapsed="false">
      <c r="D3" s="124" t="s">
        <v>3845</v>
      </c>
      <c r="CB3" s="124" t="str">
        <f aca="false">"B"</f>
        <v>B</v>
      </c>
      <c r="CC3" s="124" t="str">
        <f aca="false">"C"</f>
        <v>C</v>
      </c>
      <c r="CD3" s="124" t="str">
        <f aca="false">"D"</f>
        <v>D</v>
      </c>
      <c r="CE3" s="124" t="str">
        <f aca="false">"E"</f>
        <v>E</v>
      </c>
      <c r="CF3" s="124" t="str">
        <f aca="false">"F"</f>
        <v>F</v>
      </c>
      <c r="CG3" s="124" t="str">
        <f aca="false">"G"</f>
        <v>G</v>
      </c>
      <c r="CH3" s="124" t="str">
        <f aca="false">"H"</f>
        <v>H</v>
      </c>
      <c r="CI3" s="124" t="str">
        <f aca="false">"I"</f>
        <v>I</v>
      </c>
      <c r="CJ3" s="124" t="str">
        <f aca="false">"J"</f>
        <v>J</v>
      </c>
      <c r="CK3" s="124" t="str">
        <f aca="false">"K"</f>
        <v>K</v>
      </c>
      <c r="CL3" s="124" t="str">
        <f aca="false">"L"</f>
        <v>L</v>
      </c>
      <c r="CM3" s="124" t="str">
        <f aca="false">"M"</f>
        <v>M</v>
      </c>
      <c r="CN3" s="124" t="str">
        <f aca="false">"N"</f>
        <v>N</v>
      </c>
      <c r="CO3" s="124" t="str">
        <f aca="false">"O"</f>
        <v>O</v>
      </c>
      <c r="CP3" s="124" t="str">
        <f aca="false">"P"</f>
        <v>P</v>
      </c>
      <c r="CQ3" s="124" t="str">
        <f aca="false">"Q"</f>
        <v>Q</v>
      </c>
      <c r="CR3" s="124" t="str">
        <f aca="false">"R"</f>
        <v>R</v>
      </c>
      <c r="CS3" s="124" t="str">
        <f aca="false">"S"</f>
        <v>S</v>
      </c>
      <c r="CT3" s="124" t="str">
        <f aca="false">"T"</f>
        <v>T</v>
      </c>
      <c r="CU3" s="124" t="str">
        <f aca="false">"U"</f>
        <v>U</v>
      </c>
      <c r="CV3" s="124" t="str">
        <f aca="false">"V"</f>
        <v>V</v>
      </c>
      <c r="CW3" s="124" t="str">
        <f aca="false">"W"</f>
        <v>W</v>
      </c>
      <c r="CX3" s="124" t="str">
        <f aca="false">"X"</f>
        <v>X</v>
      </c>
      <c r="CY3" s="124" t="str">
        <f aca="false">"Y"</f>
        <v>Y</v>
      </c>
      <c r="CZ3" s="124" t="str">
        <f aca="false">"Z"</f>
        <v>Z</v>
      </c>
      <c r="DA3" s="124" t="str">
        <f aca="false">"AA"</f>
        <v>AA</v>
      </c>
      <c r="DB3" s="124" t="str">
        <f aca="false">"AB"</f>
        <v>AB</v>
      </c>
      <c r="DC3" s="124" t="str">
        <f aca="false">"AC"</f>
        <v>AC</v>
      </c>
      <c r="DD3" s="124" t="str">
        <f aca="false">"AD"</f>
        <v>AD</v>
      </c>
      <c r="DE3" s="124" t="str">
        <f aca="false">"AE"</f>
        <v>AE</v>
      </c>
      <c r="DF3" s="124" t="str">
        <f aca="false">"AF"</f>
        <v>AF</v>
      </c>
      <c r="DG3" s="124" t="str">
        <f aca="false">"AG"</f>
        <v>AG</v>
      </c>
      <c r="DH3" s="124" t="str">
        <f aca="false">"AH"</f>
        <v>AH</v>
      </c>
      <c r="DI3" s="124" t="str">
        <f aca="false">"AI"</f>
        <v>AI</v>
      </c>
      <c r="DJ3" s="124" t="str">
        <f aca="false">"AJ"</f>
        <v>AJ</v>
      </c>
      <c r="DK3" s="124" t="str">
        <f aca="false">"AK"</f>
        <v>AK</v>
      </c>
      <c r="DL3" s="124" t="str">
        <f aca="false">"AL"</f>
        <v>AL</v>
      </c>
      <c r="DM3" s="124" t="str">
        <f aca="false">"AM"</f>
        <v>AM</v>
      </c>
      <c r="DN3" s="124" t="str">
        <f aca="false">"AN"</f>
        <v>AN</v>
      </c>
      <c r="DO3" s="124" t="str">
        <f aca="false">"AO"</f>
        <v>AO</v>
      </c>
      <c r="DP3" s="124" t="str">
        <f aca="false">"AP"</f>
        <v>AP</v>
      </c>
      <c r="DQ3" s="124" t="str">
        <f aca="false">"AQ"</f>
        <v>AQ</v>
      </c>
      <c r="DR3" s="124" t="str">
        <f aca="false">"AR"</f>
        <v>AR</v>
      </c>
      <c r="DS3" s="124" t="str">
        <f aca="false">"AS"</f>
        <v>AS</v>
      </c>
      <c r="DT3" s="124" t="str">
        <f aca="false">"AT"</f>
        <v>AT</v>
      </c>
      <c r="DU3" s="124" t="str">
        <f aca="false">"AU"</f>
        <v>AU</v>
      </c>
      <c r="DV3" s="124" t="str">
        <f aca="false">"AV"</f>
        <v>AV</v>
      </c>
      <c r="DW3" s="124" t="str">
        <f aca="false">"AW"</f>
        <v>AW</v>
      </c>
      <c r="DX3" s="124" t="str">
        <f aca="false">"AX"</f>
        <v>AX</v>
      </c>
      <c r="DY3" s="124" t="str">
        <f aca="false">"AY"</f>
        <v>AY</v>
      </c>
      <c r="DZ3" s="124" t="str">
        <f aca="false">"AZ"</f>
        <v>AZ</v>
      </c>
      <c r="EA3" s="124" t="str">
        <f aca="false">"BA"</f>
        <v>BA</v>
      </c>
      <c r="EB3" s="124" t="str">
        <f aca="false">"BB"</f>
        <v>BB</v>
      </c>
      <c r="EC3" s="124" t="str">
        <f aca="false">"BC"</f>
        <v>BC</v>
      </c>
      <c r="ED3" s="124" t="str">
        <f aca="false">"BD"</f>
        <v>BD</v>
      </c>
      <c r="EE3" s="124" t="str">
        <f aca="false">"BE"</f>
        <v>BE</v>
      </c>
      <c r="EF3" s="124" t="str">
        <f aca="false">"BF"</f>
        <v>BF</v>
      </c>
      <c r="EG3" s="124" t="str">
        <f aca="false">"BG"</f>
        <v>BG</v>
      </c>
      <c r="EH3" s="124" t="str">
        <f aca="false">"BH"</f>
        <v>BH</v>
      </c>
      <c r="EI3" s="124" t="str">
        <f aca="false">"BI"</f>
        <v>BI</v>
      </c>
      <c r="EJ3" s="124" t="str">
        <f aca="false">"BJ"</f>
        <v>BJ</v>
      </c>
      <c r="EK3" s="124" t="str">
        <f aca="false">"BK"</f>
        <v>BK</v>
      </c>
      <c r="EL3" s="124" t="str">
        <f aca="false">"BL"</f>
        <v>BL</v>
      </c>
      <c r="EM3" s="124" t="str">
        <f aca="false">"BM"</f>
        <v>BM</v>
      </c>
      <c r="EN3" s="124" t="str">
        <f aca="false">"BN"</f>
        <v>BN</v>
      </c>
      <c r="EO3" s="124" t="str">
        <f aca="false">"BO"</f>
        <v>BO</v>
      </c>
      <c r="EP3" s="124" t="str">
        <f aca="false">"BP"</f>
        <v>BP</v>
      </c>
      <c r="EQ3" s="124" t="str">
        <f aca="false">"BQ"</f>
        <v>BQ</v>
      </c>
      <c r="ER3" s="124" t="str">
        <f aca="false">"BR"</f>
        <v>BR</v>
      </c>
      <c r="ES3" s="124" t="str">
        <f aca="false">"BS"</f>
        <v>BS</v>
      </c>
      <c r="ET3" s="124" t="str">
        <f aca="false">"BT"</f>
        <v>BT</v>
      </c>
      <c r="EU3" s="124" t="str">
        <f aca="false">"BU"</f>
        <v>BU</v>
      </c>
      <c r="EV3" s="124" t="str">
        <f aca="false">"BV"</f>
        <v>BV</v>
      </c>
      <c r="EW3" s="124" t="str">
        <f aca="false">"BW"</f>
        <v>BW</v>
      </c>
      <c r="EX3" s="124" t="str">
        <f aca="false">"BX"</f>
        <v>BX</v>
      </c>
      <c r="EY3" s="124" t="str">
        <f aca="false">"BY"</f>
        <v>BY</v>
      </c>
      <c r="EZ3" s="124" t="str">
        <f aca="false">"BZ"</f>
        <v>BZ</v>
      </c>
      <c r="FA3" s="124" t="str">
        <f aca="false">"CA"</f>
        <v>CA</v>
      </c>
      <c r="FB3" s="124" t="str">
        <f aca="false">"CB"</f>
        <v>CB</v>
      </c>
      <c r="FC3" s="124" t="str">
        <f aca="false">"CC"</f>
        <v>CC</v>
      </c>
      <c r="FD3" s="124" t="str">
        <f aca="false">"CD"</f>
        <v>CD</v>
      </c>
      <c r="FE3" s="124" t="str">
        <f aca="false">"CE"</f>
        <v>CE</v>
      </c>
      <c r="FF3" s="124" t="str">
        <f aca="false">"CF"</f>
        <v>CF</v>
      </c>
      <c r="FG3" s="124" t="str">
        <f aca="false">"CG"</f>
        <v>CG</v>
      </c>
      <c r="FH3" s="124" t="str">
        <f aca="false">"CH"</f>
        <v>CH</v>
      </c>
      <c r="FI3" s="124" t="str">
        <f aca="false">"CI"</f>
        <v>CI</v>
      </c>
      <c r="FJ3" s="124" t="str">
        <f aca="false">"CJ"</f>
        <v>CJ</v>
      </c>
      <c r="FK3" s="124" t="str">
        <f aca="false">"CK"</f>
        <v>CK</v>
      </c>
      <c r="FL3" s="124" t="str">
        <f aca="false">"CL"</f>
        <v>CL</v>
      </c>
      <c r="FM3" s="124" t="str">
        <f aca="false">"CM"</f>
        <v>CM</v>
      </c>
      <c r="FN3" s="124" t="str">
        <f aca="false">"CN"</f>
        <v>CN</v>
      </c>
      <c r="FO3" s="124" t="str">
        <f aca="false">"CO"</f>
        <v>CO</v>
      </c>
      <c r="FP3" s="124" t="str">
        <f aca="false">"CP"</f>
        <v>CP</v>
      </c>
      <c r="FQ3" s="124" t="str">
        <f aca="false">"CQ"</f>
        <v>CQ</v>
      </c>
      <c r="FR3" s="124" t="str">
        <f aca="false">"CR"</f>
        <v>CR</v>
      </c>
      <c r="FS3" s="124" t="str">
        <f aca="false">"CS"</f>
        <v>CS</v>
      </c>
      <c r="FT3" s="124" t="str">
        <f aca="false">"CT"</f>
        <v>CT</v>
      </c>
      <c r="FU3" s="124" t="str">
        <f aca="false">"CU"</f>
        <v>CU</v>
      </c>
      <c r="FV3" s="124" t="str">
        <f aca="false">"CV"</f>
        <v>CV</v>
      </c>
      <c r="FW3" s="124" t="str">
        <f aca="false">"CW"</f>
        <v>CW</v>
      </c>
      <c r="FX3" s="124" t="str">
        <f aca="false">"CX"</f>
        <v>CX</v>
      </c>
      <c r="FY3" s="124" t="str">
        <f aca="false">"CY"</f>
        <v>CY</v>
      </c>
      <c r="FZ3" s="124" t="str">
        <f aca="false">"CZ"</f>
        <v>CZ</v>
      </c>
      <c r="GA3" s="124" t="str">
        <f aca="false">"DA"</f>
        <v>DA</v>
      </c>
      <c r="GB3" s="124" t="str">
        <f aca="false">"DB"</f>
        <v>DB</v>
      </c>
      <c r="GC3" s="124" t="str">
        <f aca="false">"DC"</f>
        <v>DC</v>
      </c>
      <c r="GD3" s="124" t="str">
        <f aca="false">"DD"</f>
        <v>DD</v>
      </c>
      <c r="GE3" s="124" t="str">
        <f aca="false">"DE"</f>
        <v>DE</v>
      </c>
      <c r="GF3" s="124" t="str">
        <f aca="false">"DF"</f>
        <v>DF</v>
      </c>
      <c r="GG3" s="124" t="str">
        <f aca="false">"DG"</f>
        <v>DG</v>
      </c>
      <c r="GH3" s="124" t="str">
        <f aca="false">"DH"</f>
        <v>DH</v>
      </c>
      <c r="GI3" s="124" t="str">
        <f aca="false">"DI"</f>
        <v>DI</v>
      </c>
      <c r="GJ3" s="124" t="str">
        <f aca="false">"DJ"</f>
        <v>DJ</v>
      </c>
      <c r="GK3" s="124" t="str">
        <f aca="false">"DK"</f>
        <v>DK</v>
      </c>
      <c r="GL3" s="124" t="str">
        <f aca="false">"DL"</f>
        <v>DL</v>
      </c>
      <c r="GM3" s="124" t="str">
        <f aca="false">"DM"</f>
        <v>DM</v>
      </c>
      <c r="GN3" s="124" t="str">
        <f aca="false">"DN"</f>
        <v>DN</v>
      </c>
      <c r="GO3" s="124" t="str">
        <f aca="false">"DO"</f>
        <v>DO</v>
      </c>
      <c r="GP3" s="124" t="str">
        <f aca="false">"DP"</f>
        <v>DP</v>
      </c>
      <c r="GQ3" s="124" t="str">
        <f aca="false">"DQ"</f>
        <v>DQ</v>
      </c>
      <c r="GR3" s="124" t="str">
        <f aca="false">"DR"</f>
        <v>DR</v>
      </c>
      <c r="GS3" s="124" t="str">
        <f aca="false">"DS"</f>
        <v>DS</v>
      </c>
      <c r="GT3" s="124" t="str">
        <f aca="false">"DT"</f>
        <v>DT</v>
      </c>
      <c r="GU3" s="124" t="str">
        <f aca="false">"DU"</f>
        <v>DU</v>
      </c>
      <c r="GV3" s="124" t="str">
        <f aca="false">"DV"</f>
        <v>DV</v>
      </c>
      <c r="GW3" s="124" t="str">
        <f aca="false">"DW"</f>
        <v>DW</v>
      </c>
      <c r="GX3" s="124" t="str">
        <f aca="false">"DX"</f>
        <v>DX</v>
      </c>
      <c r="GY3" s="124" t="str">
        <f aca="false">"DY"</f>
        <v>DY</v>
      </c>
      <c r="GZ3" s="124" t="str">
        <f aca="false">"DZ"</f>
        <v>DZ</v>
      </c>
      <c r="HA3" s="124" t="str">
        <f aca="false">"EA"</f>
        <v>EA</v>
      </c>
      <c r="HB3" s="124" t="str">
        <f aca="false">"EB"</f>
        <v>EB</v>
      </c>
      <c r="HC3" s="124" t="str">
        <f aca="false">"EC"</f>
        <v>EC</v>
      </c>
      <c r="HD3" s="124" t="str">
        <f aca="false">"ED"</f>
        <v>ED</v>
      </c>
      <c r="HE3" s="124" t="str">
        <f aca="false">"EE"</f>
        <v>EE</v>
      </c>
      <c r="HF3" s="124" t="str">
        <f aca="false">"EF"</f>
        <v>EF</v>
      </c>
      <c r="HG3" s="124" t="str">
        <f aca="false">"EG"</f>
        <v>EG</v>
      </c>
      <c r="HH3" s="124" t="str">
        <f aca="false">"EH"</f>
        <v>EH</v>
      </c>
      <c r="HI3" s="124" t="str">
        <f aca="false">"EI"</f>
        <v>EI</v>
      </c>
      <c r="HJ3" s="124" t="str">
        <f aca="false">"EJ"</f>
        <v>EJ</v>
      </c>
      <c r="HK3" s="124" t="str">
        <f aca="false">"EK"</f>
        <v>EK</v>
      </c>
      <c r="HL3" s="124" t="str">
        <f aca="false">"EL"</f>
        <v>EL</v>
      </c>
      <c r="HM3" s="124" t="str">
        <f aca="false">"EM"</f>
        <v>EM</v>
      </c>
      <c r="HN3" s="124" t="str">
        <f aca="false">"EN"</f>
        <v>EN</v>
      </c>
      <c r="HO3" s="124" t="str">
        <f aca="false">"EO"</f>
        <v>EO</v>
      </c>
      <c r="HP3" s="124" t="str">
        <f aca="false">"EP"</f>
        <v>EP</v>
      </c>
      <c r="HQ3" s="124" t="str">
        <f aca="false">"EQ"</f>
        <v>EQ</v>
      </c>
      <c r="HR3" s="124" t="str">
        <f aca="false">"ER"</f>
        <v>ER</v>
      </c>
      <c r="HS3" s="124" t="str">
        <f aca="false">"ES"</f>
        <v>ES</v>
      </c>
      <c r="HT3" s="124" t="str">
        <f aca="false">"ET"</f>
        <v>ET</v>
      </c>
      <c r="HU3" s="124" t="str">
        <f aca="false">"EU"</f>
        <v>EU</v>
      </c>
      <c r="HV3" s="124" t="str">
        <f aca="false">"EV"</f>
        <v>EV</v>
      </c>
      <c r="HW3" s="124" t="str">
        <f aca="false">"EW"</f>
        <v>EW</v>
      </c>
      <c r="HX3" s="124" t="str">
        <f aca="false">"EX"</f>
        <v>EX</v>
      </c>
      <c r="HY3" s="124" t="str">
        <f aca="false">"EY"</f>
        <v>EY</v>
      </c>
      <c r="HZ3" s="124" t="str">
        <f aca="false">"EZ"</f>
        <v>EZ</v>
      </c>
      <c r="IA3" s="124" t="str">
        <f aca="false">"FA"</f>
        <v>FA</v>
      </c>
      <c r="IB3" s="124" t="str">
        <f aca="false">"FB"</f>
        <v>FB</v>
      </c>
      <c r="IC3" s="124" t="str">
        <f aca="false">"FC"</f>
        <v>FC</v>
      </c>
      <c r="ID3" s="124" t="str">
        <f aca="false">"FD"</f>
        <v>FD</v>
      </c>
      <c r="IE3" s="124" t="str">
        <f aca="false">"FE"</f>
        <v>FE</v>
      </c>
      <c r="IF3" s="124" t="str">
        <f aca="false">"FF"</f>
        <v>FF</v>
      </c>
      <c r="IG3" s="124" t="str">
        <f aca="false">"FG"</f>
        <v>FG</v>
      </c>
      <c r="IH3" s="124" t="str">
        <f aca="false">"FH"</f>
        <v>FH</v>
      </c>
      <c r="II3" s="124" t="str">
        <f aca="false">"FI"</f>
        <v>FI</v>
      </c>
      <c r="IJ3" s="124" t="str">
        <f aca="false">"FJ"</f>
        <v>FJ</v>
      </c>
      <c r="IK3" s="124" t="str">
        <f aca="false">"FK"</f>
        <v>FK</v>
      </c>
      <c r="IL3" s="124" t="str">
        <f aca="false">"FL"</f>
        <v>FL</v>
      </c>
      <c r="IM3" s="124" t="str">
        <f aca="false">"FM"</f>
        <v>FM</v>
      </c>
      <c r="IN3" s="124" t="str">
        <f aca="false">"FN"</f>
        <v>FN</v>
      </c>
      <c r="IO3" s="124" t="str">
        <f aca="false">"FO"</f>
        <v>FO</v>
      </c>
      <c r="IP3" s="124" t="str">
        <f aca="false">"FP"</f>
        <v>FP</v>
      </c>
      <c r="IQ3" s="124" t="str">
        <f aca="false">"FQ"</f>
        <v>FQ</v>
      </c>
      <c r="IR3" s="124" t="str">
        <f aca="false">"FR"</f>
        <v>FR</v>
      </c>
      <c r="IS3" s="124" t="str">
        <f aca="false">"FS"</f>
        <v>FS</v>
      </c>
      <c r="IT3" s="124" t="str">
        <f aca="false">"FT"</f>
        <v>FT</v>
      </c>
      <c r="IU3" s="124" t="str">
        <f aca="false">"FU"</f>
        <v>FU</v>
      </c>
      <c r="IV3" s="124" t="str">
        <f aca="false">"FV"</f>
        <v>FV</v>
      </c>
      <c r="IW3" s="124" t="str">
        <f aca="false">"FW"</f>
        <v>FW</v>
      </c>
      <c r="IX3" s="124" t="str">
        <f aca="false">"FX"</f>
        <v>FX</v>
      </c>
      <c r="IY3" s="124" t="str">
        <f aca="false">"FY"</f>
        <v>FY</v>
      </c>
      <c r="IZ3" s="124" t="str">
        <f aca="false">"FZ"</f>
        <v>FZ</v>
      </c>
      <c r="JA3" s="124" t="str">
        <f aca="false">"GA"</f>
        <v>GA</v>
      </c>
      <c r="JB3" s="124" t="str">
        <f aca="false">"GB"</f>
        <v>GB</v>
      </c>
      <c r="JC3" s="124" t="str">
        <f aca="false">"GC"</f>
        <v>GC</v>
      </c>
      <c r="JD3" s="124" t="str">
        <f aca="false">"GD"</f>
        <v>GD</v>
      </c>
      <c r="JE3" s="124" t="str">
        <f aca="false">"GE"</f>
        <v>GE</v>
      </c>
      <c r="JF3" s="124" t="str">
        <f aca="false">"GF"</f>
        <v>GF</v>
      </c>
      <c r="JG3" s="124" t="str">
        <f aca="false">"GG"</f>
        <v>GG</v>
      </c>
      <c r="JH3" s="124" t="str">
        <f aca="false">"GH"</f>
        <v>GH</v>
      </c>
      <c r="JI3" s="124" t="str">
        <f aca="false">"GI"</f>
        <v>GI</v>
      </c>
      <c r="JJ3" s="124" t="str">
        <f aca="false">"GJ"</f>
        <v>GJ</v>
      </c>
      <c r="JK3" s="124" t="str">
        <f aca="false">"GK"</f>
        <v>GK</v>
      </c>
      <c r="JL3" s="124" t="str">
        <f aca="false">"GL"</f>
        <v>GL</v>
      </c>
      <c r="JM3" s="124" t="str">
        <f aca="false">"GM"</f>
        <v>GM</v>
      </c>
      <c r="JN3" s="124" t="str">
        <f aca="false">"GN"</f>
        <v>GN</v>
      </c>
      <c r="JO3" s="124" t="str">
        <f aca="false">"GO"</f>
        <v>GO</v>
      </c>
      <c r="JP3" s="124" t="str">
        <f aca="false">"GP"</f>
        <v>GP</v>
      </c>
      <c r="JQ3" s="124" t="str">
        <f aca="false">"GQ"</f>
        <v>GQ</v>
      </c>
      <c r="JR3" s="124" t="str">
        <f aca="false">"GR"</f>
        <v>GR</v>
      </c>
      <c r="JS3" s="124" t="str">
        <f aca="false">"GS"</f>
        <v>GS</v>
      </c>
    </row>
    <row r="4" customFormat="false" ht="55.2" hidden="false" customHeight="false" outlineLevel="0" collapsed="false">
      <c r="A4" s="54" t="s">
        <v>61</v>
      </c>
      <c r="B4" s="54" t="s">
        <v>3846</v>
      </c>
      <c r="C4" s="54" t="s">
        <v>3847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  <c r="BX4" s="54" t="s">
        <v>3848</v>
      </c>
      <c r="BY4" s="54" t="s">
        <v>3849</v>
      </c>
      <c r="BZ4" s="54" t="s">
        <v>3850</v>
      </c>
      <c r="CB4" s="119" t="n">
        <f aca="false">IF(ISNUMBER('DADOS BRUTOS'!B$2),DATE(YEAR('DADOS BRUTOS'!B$2),MONTH('DADOS BRUTOS'!B$2),1),"")</f>
        <v>44621</v>
      </c>
      <c r="CC4" s="119" t="n">
        <f aca="false">IF(ISNUMBER('DADOS BRUTOS'!C$2),DATE(YEAR('DADOS BRUTOS'!C$2),MONTH('DADOS BRUTOS'!C$2),1),"")</f>
        <v>44652</v>
      </c>
      <c r="CD4" s="119" t="n">
        <f aca="false">IF(ISNUMBER('DADOS BRUTOS'!D$2),DATE(YEAR('DADOS BRUTOS'!D$2),MONTH('DADOS BRUTOS'!D$2),1),"")</f>
        <v>44682</v>
      </c>
      <c r="CE4" s="119" t="n">
        <f aca="false">IF(ISNUMBER('DADOS BRUTOS'!E$2),DATE(YEAR('DADOS BRUTOS'!E$2),MONTH('DADOS BRUTOS'!E$2),1),"")</f>
        <v>44713</v>
      </c>
      <c r="CF4" s="119" t="n">
        <f aca="false">IF(ISNUMBER('DADOS BRUTOS'!F$2),DATE(YEAR('DADOS BRUTOS'!F$2),MONTH('DADOS BRUTOS'!F$2),1),"")</f>
        <v>44743</v>
      </c>
      <c r="CG4" s="119" t="n">
        <f aca="false">IF(ISNUMBER('DADOS BRUTOS'!G$2),DATE(YEAR('DADOS BRUTOS'!G$2),MONTH('DADOS BRUTOS'!G$2),1),"")</f>
        <v>44774</v>
      </c>
      <c r="CH4" s="119" t="n">
        <f aca="false">IF(ISNUMBER('DADOS BRUTOS'!H$2),DATE(YEAR('DADOS BRUTOS'!H$2),MONTH('DADOS BRUTOS'!H$2),1),"")</f>
        <v>44805</v>
      </c>
      <c r="CI4" s="119" t="n">
        <f aca="false">IF(ISNUMBER('DADOS BRUTOS'!I$2),DATE(YEAR('DADOS BRUTOS'!I$2),MONTH('DADOS BRUTOS'!I$2),1),"")</f>
        <v>44835</v>
      </c>
      <c r="CJ4" s="119" t="n">
        <f aca="false">IF(ISNUMBER('DADOS BRUTOS'!J$2),DATE(YEAR('DADOS BRUTOS'!J$2),MONTH('DADOS BRUTOS'!J$2),1),"")</f>
        <v>44866</v>
      </c>
      <c r="CK4" s="119" t="n">
        <f aca="false">IF(ISNUMBER('DADOS BRUTOS'!K$2),DATE(YEAR('DADOS BRUTOS'!K$2),MONTH('DADOS BRUTOS'!K$2),1),"")</f>
        <v>44896</v>
      </c>
      <c r="CL4" s="119" t="n">
        <f aca="false">IF(ISNUMBER('DADOS BRUTOS'!L$2),DATE(YEAR('DADOS BRUTOS'!L$2),MONTH('DADOS BRUTOS'!L$2),1),"")</f>
        <v>44927</v>
      </c>
      <c r="CM4" s="119" t="n">
        <f aca="false">IF(ISNUMBER('DADOS BRUTOS'!M$2),DATE(YEAR('DADOS BRUTOS'!M$2),MONTH('DADOS BRUTOS'!M$2),1),"")</f>
        <v>44958</v>
      </c>
      <c r="CN4" s="119" t="n">
        <f aca="false">IF(ISNUMBER('DADOS BRUTOS'!N$2),DATE(YEAR('DADOS BRUTOS'!N$2),MONTH('DADOS BRUTOS'!N$2),1),"")</f>
        <v>44986</v>
      </c>
      <c r="CO4" s="119" t="n">
        <f aca="false">IF(ISNUMBER('DADOS BRUTOS'!O$2),DATE(YEAR('DADOS BRUTOS'!O$2),MONTH('DADOS BRUTOS'!O$2),1),"")</f>
        <v>45017</v>
      </c>
      <c r="CP4" s="119" t="n">
        <f aca="false">IF(ISNUMBER('DADOS BRUTOS'!P$2),DATE(YEAR('DADOS BRUTOS'!P$2),MONTH('DADOS BRUTOS'!P$2),1),"")</f>
        <v>45047</v>
      </c>
      <c r="CQ4" s="119" t="n">
        <f aca="false">IF(ISNUMBER('DADOS BRUTOS'!Q$2),DATE(YEAR('DADOS BRUTOS'!Q$2),MONTH('DADOS BRUTOS'!Q$2),1),"")</f>
        <v>45078</v>
      </c>
      <c r="CR4" s="119" t="n">
        <f aca="false">IF(ISNUMBER('DADOS BRUTOS'!R$2),DATE(YEAR('DADOS BRUTOS'!R$2),MONTH('DADOS BRUTOS'!R$2),1),"")</f>
        <v>45108</v>
      </c>
      <c r="CS4" s="119" t="n">
        <f aca="false">IF(ISNUMBER('DADOS BRUTOS'!S$2),DATE(YEAR('DADOS BRUTOS'!S$2),MONTH('DADOS BRUTOS'!S$2),1),"")</f>
        <v>45139</v>
      </c>
      <c r="CT4" s="119" t="n">
        <f aca="false">IF(ISNUMBER('DADOS BRUTOS'!T$2),DATE(YEAR('DADOS BRUTOS'!T$2),MONTH('DADOS BRUTOS'!T$2),1),"")</f>
        <v>45170</v>
      </c>
      <c r="CU4" s="119" t="n">
        <f aca="false">IF(ISNUMBER('DADOS BRUTOS'!U$2),DATE(YEAR('DADOS BRUTOS'!U$2),MONTH('DADOS BRUTOS'!U$2),1),"")</f>
        <v>45231</v>
      </c>
      <c r="CV4" s="119" t="n">
        <f aca="false">IF(ISNUMBER('DADOS BRUTOS'!V$2),DATE(YEAR('DADOS BRUTOS'!V$2),MONTH('DADOS BRUTOS'!V$2),1),"")</f>
        <v>45261</v>
      </c>
      <c r="CW4" s="119" t="n">
        <f aca="false">IF(ISNUMBER('DADOS BRUTOS'!W$2),DATE(YEAR('DADOS BRUTOS'!W$2),MONTH('DADOS BRUTOS'!W$2),1),"")</f>
        <v>45292</v>
      </c>
      <c r="CX4" s="119" t="n">
        <f aca="false">IF(ISNUMBER('DADOS BRUTOS'!X$2),DATE(YEAR('DADOS BRUTOS'!X$2),MONTH('DADOS BRUTOS'!X$2),1),"")</f>
        <v>45323</v>
      </c>
      <c r="CY4" s="119" t="n">
        <f aca="false">IF(ISNUMBER('DADOS BRUTOS'!Y$2),DATE(YEAR('DADOS BRUTOS'!Y$2),MONTH('DADOS BRUTOS'!Y$2),1),"")</f>
        <v>45352</v>
      </c>
      <c r="CZ4" s="119" t="n">
        <f aca="false">IF(ISNUMBER('DADOS BRUTOS'!Z$2),DATE(YEAR('DADOS BRUTOS'!Z$2),MONTH('DADOS BRUTOS'!Z$2),1),"")</f>
        <v>45383</v>
      </c>
      <c r="DA4" s="119" t="n">
        <f aca="false">IF(ISNUMBER('DADOS BRUTOS'!AA$2),DATE(YEAR('DADOS BRUTOS'!AA$2),MONTH('DADOS BRUTOS'!AA$2),1),"")</f>
        <v>45413</v>
      </c>
      <c r="DB4" s="119" t="n">
        <f aca="false">IF(ISNUMBER('DADOS BRUTOS'!AB$2),DATE(YEAR('DADOS BRUTOS'!AB$2),MONTH('DADOS BRUTOS'!AB$2),1),"")</f>
        <v>45444</v>
      </c>
      <c r="DC4" s="119" t="n">
        <f aca="false">IF(ISNUMBER('DADOS BRUTOS'!AC$2),DATE(YEAR('DADOS BRUTOS'!AC$2),MONTH('DADOS BRUTOS'!AC$2),1),"")</f>
        <v>45474</v>
      </c>
      <c r="DD4" s="119" t="n">
        <f aca="false">IF(ISNUMBER('DADOS BRUTOS'!AD$2),DATE(YEAR('DADOS BRUTOS'!AD$2),MONTH('DADOS BRUTOS'!AD$2),1),"")</f>
        <v>45505</v>
      </c>
      <c r="DE4" s="119" t="n">
        <f aca="false">IF(ISNUMBER('DADOS BRUTOS'!AE$2),DATE(YEAR('DADOS BRUTOS'!AE$2),MONTH('DADOS BRUTOS'!AE$2),1),"")</f>
        <v>45536</v>
      </c>
      <c r="DF4" s="119" t="n">
        <f aca="false">IF(ISNUMBER('DADOS BRUTOS'!AF$2),DATE(YEAR('DADOS BRUTOS'!AF$2),MONTH('DADOS BRUTOS'!AF$2),1),"")</f>
        <v>45566</v>
      </c>
      <c r="DG4" s="119" t="n">
        <f aca="false">IF(ISNUMBER('DADOS BRUTOS'!AG$2),DATE(YEAR('DADOS BRUTOS'!AG$2),MONTH('DADOS BRUTOS'!AG$2),1),"")</f>
        <v>45597</v>
      </c>
      <c r="DH4" s="119" t="n">
        <f aca="false">IF(ISNUMBER('DADOS BRUTOS'!AH$2),DATE(YEAR('DADOS BRUTOS'!AH$2),MONTH('DADOS BRUTOS'!AH$2),1),"")</f>
        <v>45627</v>
      </c>
      <c r="DI4" s="119" t="n">
        <f aca="false">IF(ISNUMBER('DADOS BRUTOS'!AI$2),DATE(YEAR('DADOS BRUTOS'!AI$2),MONTH('DADOS BRUTOS'!AI$2),1),"")</f>
        <v>45658</v>
      </c>
      <c r="DJ4" s="119" t="n">
        <f aca="false">IF(ISNUMBER('DADOS BRUTOS'!AJ$2),DATE(YEAR('DADOS BRUTOS'!AJ$2),MONTH('DADOS BRUTOS'!AJ$2),1),"")</f>
        <v>45689</v>
      </c>
      <c r="DK4" s="119" t="n">
        <f aca="false">IF(ISNUMBER('DADOS BRUTOS'!AK$2),DATE(YEAR('DADOS BRUTOS'!AK$2),MONTH('DADOS BRUTOS'!AK$2),1),"")</f>
        <v>45717</v>
      </c>
      <c r="DL4" s="119" t="n">
        <f aca="false">IF(ISNUMBER('DADOS BRUTOS'!AL$2),DATE(YEAR('DADOS BRUTOS'!AL$2),MONTH('DADOS BRUTOS'!AL$2),1),"")</f>
        <v>45748</v>
      </c>
      <c r="DM4" s="119" t="n">
        <f aca="false">IF(ISNUMBER('DADOS BRUTOS'!AM$2),DATE(YEAR('DADOS BRUTOS'!AM$2),MONTH('DADOS BRUTOS'!AM$2),1),"")</f>
        <v>45778</v>
      </c>
      <c r="DN4" s="119" t="n">
        <f aca="false">IF(ISNUMBER('DADOS BRUTOS'!AN$2),DATE(YEAR('DADOS BRUTOS'!AN$2),MONTH('DADOS BRUTOS'!AN$2),1),"")</f>
        <v>45809</v>
      </c>
      <c r="DO4" s="119" t="n">
        <f aca="false">IF(ISNUMBER('DADOS BRUTOS'!AO$2),DATE(YEAR('DADOS BRUTOS'!AO$2),MONTH('DADOS BRUTOS'!AO$2),1),"")</f>
        <v>45839</v>
      </c>
      <c r="DP4" s="119" t="n">
        <f aca="false">IF(ISNUMBER('DADOS BRUTOS'!AP$2),DATE(YEAR('DADOS BRUTOS'!AP$2),MONTH('DADOS BRUTOS'!AP$2),1),"")</f>
        <v>45870</v>
      </c>
      <c r="DQ4" s="119" t="n">
        <f aca="false">IF(ISNUMBER('DADOS BRUTOS'!AQ$2),DATE(YEAR('DADOS BRUTOS'!AQ$2),MONTH('DADOS BRUTOS'!AQ$2),1),"")</f>
        <v>45901</v>
      </c>
      <c r="DR4" s="119" t="n">
        <f aca="false">IF(ISNUMBER('DADOS BRUTOS'!AR$2),DATE(YEAR('DADOS BRUTOS'!AR$2),MONTH('DADOS BRUTOS'!AR$2),1),"")</f>
        <v>45931</v>
      </c>
      <c r="DS4" s="119" t="n">
        <f aca="false">IF(ISNUMBER('DADOS BRUTOS'!AS$2),DATE(YEAR('DADOS BRUTOS'!AS$2),MONTH('DADOS BRUTOS'!AS$2),1),"")</f>
        <v>45962</v>
      </c>
      <c r="DT4" s="119" t="n">
        <f aca="false">IF(ISNUMBER('DADOS BRUTOS'!AT$2),DATE(YEAR('DADOS BRUTOS'!AT$2),MONTH('DADOS BRUTOS'!AT$2),1),"")</f>
        <v>45992</v>
      </c>
      <c r="DU4" s="119" t="n">
        <f aca="false">IF(ISNUMBER('DADOS BRUTOS'!AU$2),DATE(YEAR('DADOS BRUTOS'!AU$2),MONTH('DADOS BRUTOS'!AU$2),1),"")</f>
        <v>46023</v>
      </c>
      <c r="DV4" s="119" t="n">
        <f aca="false">IF(ISNUMBER('DADOS BRUTOS'!AV$2),DATE(YEAR('DADOS BRUTOS'!AV$2),MONTH('DADOS BRUTOS'!AV$2),1),"")</f>
        <v>46054</v>
      </c>
      <c r="DW4" s="119" t="n">
        <f aca="false">IF(ISNUMBER('DADOS BRUTOS'!AW$2),DATE(YEAR('DADOS BRUTOS'!AW$2),MONTH('DADOS BRUTOS'!AW$2),1),"")</f>
        <v>46082</v>
      </c>
      <c r="DX4" s="119" t="n">
        <f aca="false">IF(ISNUMBER('DADOS BRUTOS'!AX$2),DATE(YEAR('DADOS BRUTOS'!AX$2),MONTH('DADOS BRUTOS'!AX$2),1),"")</f>
        <v>46113</v>
      </c>
      <c r="DY4" s="119" t="n">
        <f aca="false">IF(ISNUMBER('DADOS BRUTOS'!AY$2),DATE(YEAR('DADOS BRUTOS'!AY$2),MONTH('DADOS BRUTOS'!AY$2),1),"")</f>
        <v>46143</v>
      </c>
      <c r="DZ4" s="119" t="n">
        <f aca="false">IF(ISNUMBER('DADOS BRUTOS'!AZ$2),DATE(YEAR('DADOS BRUTOS'!AZ$2),MONTH('DADOS BRUTOS'!AZ$2),1),"")</f>
        <v>46174</v>
      </c>
      <c r="EA4" s="119" t="n">
        <f aca="false">IF(ISNUMBER('DADOS BRUTOS'!BA$2),DATE(YEAR('DADOS BRUTOS'!BA$2),MONTH('DADOS BRUTOS'!BA$2),1),"")</f>
        <v>46204</v>
      </c>
      <c r="EB4" s="119" t="n">
        <f aca="false">IF(ISNUMBER('DADOS BRUTOS'!BB$2),DATE(YEAR('DADOS BRUTOS'!BB$2),MONTH('DADOS BRUTOS'!BB$2),1),"")</f>
        <v>46235</v>
      </c>
      <c r="EC4" s="119" t="n">
        <f aca="false">IF(ISNUMBER('DADOS BRUTOS'!BC$2),DATE(YEAR('DADOS BRUTOS'!BC$2),MONTH('DADOS BRUTOS'!BC$2),1),"")</f>
        <v>46266</v>
      </c>
      <c r="ED4" s="119" t="n">
        <f aca="false">IF(ISNUMBER('DADOS BRUTOS'!BD$2),DATE(YEAR('DADOS BRUTOS'!BD$2),MONTH('DADOS BRUTOS'!BD$2),1),"")</f>
        <v>46296</v>
      </c>
      <c r="EE4" s="119" t="n">
        <f aca="false">IF(ISNUMBER('DADOS BRUTOS'!BE$2),DATE(YEAR('DADOS BRUTOS'!BE$2),MONTH('DADOS BRUTOS'!BE$2),1),"")</f>
        <v>46327</v>
      </c>
      <c r="EF4" s="119" t="n">
        <f aca="false">IF(ISNUMBER('DADOS BRUTOS'!BF$2),DATE(YEAR('DADOS BRUTOS'!BF$2),MONTH('DADOS BRUTOS'!BF$2),1),"")</f>
        <v>46357</v>
      </c>
      <c r="EG4" s="119" t="n">
        <f aca="false">IF(ISNUMBER('DADOS BRUTOS'!BG$2),DATE(YEAR('DADOS BRUTOS'!BG$2),MONTH('DADOS BRUTOS'!BG$2),1),"")</f>
        <v>46388</v>
      </c>
      <c r="EH4" s="119" t="n">
        <f aca="false">IF(ISNUMBER('DADOS BRUTOS'!BH$2),DATE(YEAR('DADOS BRUTOS'!BH$2),MONTH('DADOS BRUTOS'!BH$2),1),"")</f>
        <v>46419</v>
      </c>
      <c r="EI4" s="119" t="n">
        <f aca="false">IF(ISNUMBER('DADOS BRUTOS'!BI$2),DATE(YEAR('DADOS BRUTOS'!BI$2),MONTH('DADOS BRUTOS'!BI$2),1),"")</f>
        <v>46447</v>
      </c>
      <c r="EJ4" s="119" t="n">
        <f aca="false">IF(ISNUMBER('DADOS BRUTOS'!BJ$2),DATE(YEAR('DADOS BRUTOS'!BJ$2),MONTH('DADOS BRUTOS'!BJ$2),1),"")</f>
        <v>46478</v>
      </c>
      <c r="EK4" s="119" t="n">
        <f aca="false">IF(ISNUMBER('DADOS BRUTOS'!BK$2),DATE(YEAR('DADOS BRUTOS'!BK$2),MONTH('DADOS BRUTOS'!BK$2),1),"")</f>
        <v>46508</v>
      </c>
      <c r="EL4" s="119" t="n">
        <f aca="false">IF(ISNUMBER('DADOS BRUTOS'!BL$2),DATE(YEAR('DADOS BRUTOS'!BL$2),MONTH('DADOS BRUTOS'!BL$2),1),"")</f>
        <v>46539</v>
      </c>
      <c r="EM4" s="119" t="n">
        <f aca="false">IF(ISNUMBER('DADOS BRUTOS'!BM$2),DATE(YEAR('DADOS BRUTOS'!BM$2),MONTH('DADOS BRUTOS'!BM$2),1),"")</f>
        <v>46569</v>
      </c>
      <c r="EN4" s="119" t="n">
        <f aca="false">IF(ISNUMBER('DADOS BRUTOS'!BN$2),DATE(YEAR('DADOS BRUTOS'!BN$2),MONTH('DADOS BRUTOS'!BN$2),1),"")</f>
        <v>46600</v>
      </c>
      <c r="EO4" s="119" t="n">
        <f aca="false">IF(ISNUMBER('DADOS BRUTOS'!BO$2),DATE(YEAR('DADOS BRUTOS'!BO$2),MONTH('DADOS BRUTOS'!BO$2),1),"")</f>
        <v>46631</v>
      </c>
      <c r="EP4" s="119" t="n">
        <f aca="false">IF(ISNUMBER('DADOS BRUTOS'!BP$2),DATE(YEAR('DADOS BRUTOS'!BP$2),MONTH('DADOS BRUTOS'!BP$2),1),"")</f>
        <v>46661</v>
      </c>
      <c r="EQ4" s="119" t="n">
        <f aca="false">IF(ISNUMBER('DADOS BRUTOS'!BQ$2),DATE(YEAR('DADOS BRUTOS'!BQ$2),MONTH('DADOS BRUTOS'!BQ$2),1),"")</f>
        <v>46692</v>
      </c>
      <c r="ER4" s="119" t="n">
        <f aca="false">IF(ISNUMBER('DADOS BRUTOS'!BR$2),DATE(YEAR('DADOS BRUTOS'!BR$2),MONTH('DADOS BRUTOS'!BR$2),1),"")</f>
        <v>46722</v>
      </c>
      <c r="ES4" s="119" t="n">
        <f aca="false">IF(ISNUMBER('DADOS BRUTOS'!BS$2),DATE(YEAR('DADOS BRUTOS'!BS$2),MONTH('DADOS BRUTOS'!BS$2),1),"")</f>
        <v>46753</v>
      </c>
      <c r="ET4" s="119" t="n">
        <f aca="false">IF(ISNUMBER('DADOS BRUTOS'!BT$2),DATE(YEAR('DADOS BRUTOS'!BT$2),MONTH('DADOS BRUTOS'!BT$2),1),"")</f>
        <v>46784</v>
      </c>
      <c r="EU4" s="119" t="n">
        <f aca="false">IF(ISNUMBER('DADOS BRUTOS'!BU$2),DATE(YEAR('DADOS BRUTOS'!BU$2),MONTH('DADOS BRUTOS'!BU$2),1),"")</f>
        <v>46813</v>
      </c>
      <c r="EV4" s="119" t="n">
        <f aca="false">IF(ISNUMBER('DADOS BRUTOS'!BV$2),DATE(YEAR('DADOS BRUTOS'!BV$2),MONTH('DADOS BRUTOS'!BV$2),1),"")</f>
        <v>46844</v>
      </c>
      <c r="EW4" s="119" t="n">
        <f aca="false">IF(ISNUMBER('DADOS BRUTOS'!BW$2),DATE(YEAR('DADOS BRUTOS'!BW$2),MONTH('DADOS BRUTOS'!BW$2),1),"")</f>
        <v>46874</v>
      </c>
      <c r="EX4" s="119" t="n">
        <f aca="false">IF(ISNUMBER('DADOS BRUTOS'!BX$2),DATE(YEAR('DADOS BRUTOS'!BX$2),MONTH('DADOS BRUTOS'!BX$2),1),"")</f>
        <v>46905</v>
      </c>
      <c r="EY4" s="119" t="n">
        <f aca="false">IF(ISNUMBER('DADOS BRUTOS'!BY$2),DATE(YEAR('DADOS BRUTOS'!BY$2),MONTH('DADOS BRUTOS'!BY$2),1),"")</f>
        <v>46935</v>
      </c>
      <c r="EZ4" s="119" t="n">
        <f aca="false">IF(ISNUMBER('DADOS BRUTOS'!BZ$2),DATE(YEAR('DADOS BRUTOS'!BZ$2),MONTH('DADOS BRUTOS'!BZ$2),1),"")</f>
        <v>46966</v>
      </c>
      <c r="FA4" s="119" t="n">
        <f aca="false">IF(ISNUMBER('DADOS BRUTOS'!CA$2),DATE(YEAR('DADOS BRUTOS'!CA$2),MONTH('DADOS BRUTOS'!CA$2),1),"")</f>
        <v>46997</v>
      </c>
      <c r="FB4" s="119" t="n">
        <f aca="false">IF(ISNUMBER('DADOS BRUTOS'!CB$2),DATE(YEAR('DADOS BRUTOS'!CB$2),MONTH('DADOS BRUTOS'!CB$2),1),"")</f>
        <v>47027</v>
      </c>
      <c r="FC4" s="119" t="n">
        <f aca="false">IF(ISNUMBER('DADOS BRUTOS'!CC$2),DATE(YEAR('DADOS BRUTOS'!CC$2),MONTH('DADOS BRUTOS'!CC$2),1),"")</f>
        <v>47058</v>
      </c>
      <c r="FD4" s="119" t="n">
        <f aca="false">IF(ISNUMBER('DADOS BRUTOS'!CD$2),DATE(YEAR('DADOS BRUTOS'!CD$2),MONTH('DADOS BRUTOS'!CD$2),1),"")</f>
        <v>47088</v>
      </c>
      <c r="FE4" s="119" t="n">
        <f aca="false">IF(ISNUMBER('DADOS BRUTOS'!CE$2),DATE(YEAR('DADOS BRUTOS'!CE$2),MONTH('DADOS BRUTOS'!CE$2),1),"")</f>
        <v>47119</v>
      </c>
      <c r="FF4" s="119" t="n">
        <f aca="false">IF(ISNUMBER('DADOS BRUTOS'!CF$2),DATE(YEAR('DADOS BRUTOS'!CF$2),MONTH('DADOS BRUTOS'!CF$2),1),"")</f>
        <v>47150</v>
      </c>
      <c r="FG4" s="119" t="n">
        <f aca="false">IF(ISNUMBER('DADOS BRUTOS'!CG$2),DATE(YEAR('DADOS BRUTOS'!CG$2),MONTH('DADOS BRUTOS'!CG$2),1),"")</f>
        <v>47178</v>
      </c>
      <c r="FH4" s="119" t="n">
        <f aca="false">IF(ISNUMBER('DADOS BRUTOS'!CH$2),DATE(YEAR('DADOS BRUTOS'!CH$2),MONTH('DADOS BRUTOS'!CH$2),1),"")</f>
        <v>47209</v>
      </c>
      <c r="FI4" s="119" t="n">
        <f aca="false">IF(ISNUMBER('DADOS BRUTOS'!CI$2),DATE(YEAR('DADOS BRUTOS'!CI$2),MONTH('DADOS BRUTOS'!CI$2),1),"")</f>
        <v>47239</v>
      </c>
      <c r="FJ4" s="119" t="n">
        <f aca="false">IF(ISNUMBER('DADOS BRUTOS'!CJ$2),DATE(YEAR('DADOS BRUTOS'!CJ$2),MONTH('DADOS BRUTOS'!CJ$2),1),"")</f>
        <v>47270</v>
      </c>
      <c r="FK4" s="119" t="n">
        <f aca="false">IF(ISNUMBER('DADOS BRUTOS'!CK$2),DATE(YEAR('DADOS BRUTOS'!CK$2),MONTH('DADOS BRUTOS'!CK$2),1),"")</f>
        <v>47300</v>
      </c>
      <c r="FL4" s="119" t="n">
        <f aca="false">IF(ISNUMBER('DADOS BRUTOS'!CL$2),DATE(YEAR('DADOS BRUTOS'!CL$2),MONTH('DADOS BRUTOS'!CL$2),1),"")</f>
        <v>47362</v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 t="s">
        <v>3851</v>
      </c>
      <c r="D5" s="50" t="n">
        <f aca="false">SUMIF($CB$4:$JS$4,"&lt;="&amp;D$4,$CB5:$JS5)</f>
        <v>2412310.57</v>
      </c>
      <c r="E5" s="50" t="n">
        <f aca="false">SUMIF($CB$4:$JS$4,E$4,$CB5:$JS5)</f>
        <v>104299.89</v>
      </c>
      <c r="F5" s="50" t="n">
        <f aca="false">SUMIF($CB$4:$JS$4,F$4,$CB5:$JS5)</f>
        <v>109038.62</v>
      </c>
      <c r="G5" s="50" t="n">
        <f aca="false">SUMIF($CB$4:$JS$4,G$4,$CB5:$JS5)</f>
        <v>96904.79</v>
      </c>
      <c r="H5" s="50" t="n">
        <f aca="false">SUMIF($CB$4:$JS$4,H$4,$CB5:$JS5)</f>
        <v>52757.82</v>
      </c>
      <c r="I5" s="50" t="n">
        <f aca="false">SUMIF($CB$4:$JS$4,I$4,$CB5:$JS5)</f>
        <v>118596.65</v>
      </c>
      <c r="J5" s="50" t="n">
        <f aca="false">SUMIF($CB$4:$JS$4,J$4,$CB5:$JS5)</f>
        <v>174356.48</v>
      </c>
      <c r="K5" s="50" t="n">
        <f aca="false">SUMIF($CB$4:$JS$4,K$4,$CB5:$JS5)</f>
        <v>81554.49</v>
      </c>
      <c r="L5" s="50" t="n">
        <f aca="false">SUMIF($CB$4:$JS$4,L$4,$CB5:$JS5)</f>
        <v>117153.66</v>
      </c>
      <c r="M5" s="50" t="n">
        <f aca="false">SUMIF($CB$4:$JS$4,M$4,$CB5:$JS5)</f>
        <v>51128</v>
      </c>
      <c r="N5" s="50" t="n">
        <f aca="false">SUMIF($CB$4:$JS$4,N$4,$CB5:$JS5)</f>
        <v>22630.13</v>
      </c>
      <c r="O5" s="50" t="n">
        <f aca="false">SUMIF($CB$4:$JS$4,O$4,$CB5:$JS5)</f>
        <v>85313.2</v>
      </c>
      <c r="P5" s="50" t="n">
        <f aca="false">SUMIF($CB$4:$JS$4,P$4,$CB5:$JS5)</f>
        <v>115501.24</v>
      </c>
      <c r="Q5" s="50" t="n">
        <f aca="false">SUMIF($CB$4:$JS$4,Q$4,$CB5:$JS5)</f>
        <v>98357.56</v>
      </c>
      <c r="R5" s="50" t="n">
        <f aca="false">SUMIF($CB$4:$JS$4,R$4,$CB5:$JS5)</f>
        <v>17138.27</v>
      </c>
      <c r="S5" s="50" t="n">
        <f aca="false">SUMIF($CB$4:$JS$4,S$4,$CB5:$JS5)</f>
        <v>33811</v>
      </c>
      <c r="T5" s="50" t="n">
        <f aca="false">SUMIF($CB$4:$JS$4,T$4,$CB5:$JS5)</f>
        <v>13630.75</v>
      </c>
      <c r="U5" s="50" t="n">
        <f aca="false">SUMIF($CB$4:$JS$4,U$4,$CB5:$JS5)</f>
        <v>34163.85</v>
      </c>
      <c r="V5" s="50" t="n">
        <f aca="false">SUMIF($CB$4:$JS$4,V$4,$CB5:$JS5)</f>
        <v>2594.4</v>
      </c>
      <c r="W5" s="50" t="n">
        <f aca="false">SUMIF($CB$4:$JS$4,W$4,$CB5:$JS5)</f>
        <v>925</v>
      </c>
      <c r="X5" s="50" t="n">
        <f aca="false">SUMIF($CB$4:$JS$4,X$4,$CB5:$JS5)</f>
        <v>925</v>
      </c>
      <c r="Y5" s="50" t="n">
        <f aca="false">SUMIF($CB$4:$JS$4,Y$4,$CB5:$JS5)</f>
        <v>15449.65</v>
      </c>
      <c r="Z5" s="50" t="n">
        <f aca="false">SUMIF($CB$4:$JS$4,Z$4,$CB5:$JS5)</f>
        <v>1375.35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3759916.37</v>
      </c>
      <c r="BZ5" s="45" t="n">
        <f aca="false">SUMPRODUCT(($CB$4:$JS$4&lt;&gt;"")*($CB$4:$JS$4&lt;=$D$4),$CB5:$JS5,$CB$1:$JS$1)</f>
        <v>2229.33946866794</v>
      </c>
      <c r="CB5" s="133" t="n">
        <f aca="false">IF(OR(CB$4="",$B5=""),0,SUMIF('DADOS BRUTOS'!$A$3:$A$500,$B5,'DADOS BRUTOS'!B$3:B$500)+IF($C5="",0,SUMIF('DADOS BRUTOS'!$A$3:$A$500,$C5,'DADOS BRUTOS'!B$3:B$500)))</f>
        <v>37021.3</v>
      </c>
      <c r="CC5" s="133" t="n">
        <f aca="false">IF(OR(CC$4="",$B5=""),0,SUMIF('DADOS BRUTOS'!$A$3:$A$500,$B5,'DADOS BRUTOS'!C$3:C$500)+IF($C5="",0,SUMIF('DADOS BRUTOS'!$A$3:$A$500,$C5,'DADOS BRUTOS'!C$3:C$500)))</f>
        <v>146702.19</v>
      </c>
      <c r="CD5" s="133" t="n">
        <f aca="false">IF(OR(CD$4="",$B5=""),0,SUMIF('DADOS BRUTOS'!$A$3:$A$500,$B5,'DADOS BRUTOS'!D$3:D$500)+IF($C5="",0,SUMIF('DADOS BRUTOS'!$A$3:$A$500,$C5,'DADOS BRUTOS'!D$3:D$500)))</f>
        <v>44829.26</v>
      </c>
      <c r="CE5" s="133" t="n">
        <f aca="false">IF(OR(CE$4="",$B5=""),0,SUMIF('DADOS BRUTOS'!$A$3:$A$500,$B5,'DADOS BRUTOS'!E$3:E$500)+IF($C5="",0,SUMIF('DADOS BRUTOS'!$A$3:$A$500,$C5,'DADOS BRUTOS'!E$3:E$500)))</f>
        <v>125166.59</v>
      </c>
      <c r="CF5" s="133" t="n">
        <f aca="false">IF(OR(CF$4="",$B5=""),0,SUMIF('DADOS BRUTOS'!$A$3:$A$500,$B5,'DADOS BRUTOS'!F$3:F$500)+IF($C5="",0,SUMIF('DADOS BRUTOS'!$A$3:$A$500,$C5,'DADOS BRUTOS'!F$3:F$500)))</f>
        <v>121806.14</v>
      </c>
      <c r="CG5" s="133" t="n">
        <f aca="false">IF(OR(CG$4="",$B5=""),0,SUMIF('DADOS BRUTOS'!$A$3:$A$500,$B5,'DADOS BRUTOS'!G$3:G$500)+IF($C5="",0,SUMIF('DADOS BRUTOS'!$A$3:$A$500,$C5,'DADOS BRUTOS'!G$3:G$500)))</f>
        <v>52761.67</v>
      </c>
      <c r="CH5" s="133" t="n">
        <f aca="false">IF(OR(CH$4="",$B5=""),0,SUMIF('DADOS BRUTOS'!$A$3:$A$500,$B5,'DADOS BRUTOS'!H$3:H$500)+IF($C5="",0,SUMIF('DADOS BRUTOS'!$A$3:$A$500,$C5,'DADOS BRUTOS'!H$3:H$500)))</f>
        <v>88975.92</v>
      </c>
      <c r="CI5" s="133" t="n">
        <f aca="false">IF(OR(CI$4="",$B5=""),0,SUMIF('DADOS BRUTOS'!$A$3:$A$500,$B5,'DADOS BRUTOS'!I$3:I$500)+IF($C5="",0,SUMIF('DADOS BRUTOS'!$A$3:$A$500,$C5,'DADOS BRUTOS'!I$3:I$500)))</f>
        <v>143901.88</v>
      </c>
      <c r="CJ5" s="133" t="n">
        <f aca="false">IF(OR(CJ$4="",$B5=""),0,SUMIF('DADOS BRUTOS'!$A$3:$A$500,$B5,'DADOS BRUTOS'!J$3:J$500)+IF($C5="",0,SUMIF('DADOS BRUTOS'!$A$3:$A$500,$C5,'DADOS BRUTOS'!J$3:J$500)))</f>
        <v>33274.04</v>
      </c>
      <c r="CK5" s="133" t="n">
        <f aca="false">IF(OR(CK$4="",$B5=""),0,SUMIF('DADOS BRUTOS'!$A$3:$A$500,$B5,'DADOS BRUTOS'!K$3:K$500)+IF($C5="",0,SUMIF('DADOS BRUTOS'!$A$3:$A$500,$C5,'DADOS BRUTOS'!K$3:K$500)))</f>
        <v>77879.03</v>
      </c>
      <c r="CL5" s="133" t="n">
        <f aca="false">IF(OR(CL$4="",$B5=""),0,SUMIF('DADOS BRUTOS'!$A$3:$A$500,$B5,'DADOS BRUTOS'!L$3:L$500)+IF($C5="",0,SUMIF('DADOS BRUTOS'!$A$3:$A$500,$C5,'DADOS BRUTOS'!L$3:L$500)))</f>
        <v>9260.39</v>
      </c>
      <c r="CM5" s="133" t="n">
        <f aca="false">IF(OR(CM$4="",$B5=""),0,SUMIF('DADOS BRUTOS'!$A$3:$A$500,$B5,'DADOS BRUTOS'!M$3:M$500)+IF($C5="",0,SUMIF('DADOS BRUTOS'!$A$3:$A$500,$C5,'DADOS BRUTOS'!M$3:M$500)))</f>
        <v>6.77</v>
      </c>
      <c r="CN5" s="133" t="n">
        <f aca="false">IF(OR(CN$4="",$B5=""),0,SUMIF('DADOS BRUTOS'!$A$3:$A$500,$B5,'DADOS BRUTOS'!N$3:N$500)+IF($C5="",0,SUMIF('DADOS BRUTOS'!$A$3:$A$500,$C5,'DADOS BRUTOS'!N$3:N$500)))</f>
        <v>144109.24</v>
      </c>
      <c r="CO5" s="133" t="n">
        <f aca="false">IF(OR(CO$4="",$B5=""),0,SUMIF('DADOS BRUTOS'!$A$3:$A$500,$B5,'DADOS BRUTOS'!O$3:O$500)+IF($C5="",0,SUMIF('DADOS BRUTOS'!$A$3:$A$500,$C5,'DADOS BRUTOS'!O$3:O$500)))</f>
        <v>15534.5</v>
      </c>
      <c r="CP5" s="133" t="n">
        <f aca="false">IF(OR(CP$4="",$B5=""),0,SUMIF('DADOS BRUTOS'!$A$3:$A$500,$B5,'DADOS BRUTOS'!P$3:P$500)+IF($C5="",0,SUMIF('DADOS BRUTOS'!$A$3:$A$500,$C5,'DADOS BRUTOS'!P$3:P$500)))</f>
        <v>81918.9</v>
      </c>
      <c r="CQ5" s="133" t="n">
        <f aca="false">IF(OR(CQ$4="",$B5=""),0,SUMIF('DADOS BRUTOS'!$A$3:$A$500,$B5,'DADOS BRUTOS'!Q$3:Q$500)+IF($C5="",0,SUMIF('DADOS BRUTOS'!$A$3:$A$500,$C5,'DADOS BRUTOS'!Q$3:Q$500)))</f>
        <v>9302.02</v>
      </c>
      <c r="CR5" s="133" t="n">
        <f aca="false">IF(OR(CR$4="",$B5=""),0,SUMIF('DADOS BRUTOS'!$A$3:$A$500,$B5,'DADOS BRUTOS'!R$3:R$500)+IF($C5="",0,SUMIF('DADOS BRUTOS'!$A$3:$A$500,$C5,'DADOS BRUTOS'!R$3:R$500)))</f>
        <v>8775.11</v>
      </c>
      <c r="CS5" s="133" t="n">
        <f aca="false">IF(OR(CS$4="",$B5=""),0,SUMIF('DADOS BRUTOS'!$A$3:$A$500,$B5,'DADOS BRUTOS'!S$3:S$500)+IF($C5="",0,SUMIF('DADOS BRUTOS'!$A$3:$A$500,$C5,'DADOS BRUTOS'!S$3:S$500)))</f>
        <v>14145.09</v>
      </c>
      <c r="CT5" s="133" t="n">
        <f aca="false">IF(OR(CT$4="",$B5=""),0,SUMIF('DADOS BRUTOS'!$A$3:$A$500,$B5,'DADOS BRUTOS'!T$3:T$500)+IF($C5="",0,SUMIF('DADOS BRUTOS'!$A$3:$A$500,$C5,'DADOS BRUTOS'!T$3:T$500)))</f>
        <v>1339.4</v>
      </c>
      <c r="CU5" s="133" t="n">
        <f aca="false">IF(OR(CU$4="",$B5=""),0,SUMIF('DADOS BRUTOS'!$A$3:$A$500,$B5,'DADOS BRUTOS'!U$3:U$500)+IF($C5="",0,SUMIF('DADOS BRUTOS'!$A$3:$A$500,$C5,'DADOS BRUTOS'!U$3:U$500)))</f>
        <v>0</v>
      </c>
      <c r="CV5" s="133" t="n">
        <f aca="false">IF(OR(CV$4="",$B5=""),0,SUMIF('DADOS BRUTOS'!$A$3:$A$500,$B5,'DADOS BRUTOS'!V$3:V$500)+IF($C5="",0,SUMIF('DADOS BRUTOS'!$A$3:$A$500,$C5,'DADOS BRUTOS'!V$3:V$500)))</f>
        <v>173602.54</v>
      </c>
      <c r="CW5" s="133" t="n">
        <f aca="false">IF(OR(CW$4="",$B5=""),0,SUMIF('DADOS BRUTOS'!$A$3:$A$500,$B5,'DADOS BRUTOS'!W$3:W$500)+IF($C5="",0,SUMIF('DADOS BRUTOS'!$A$3:$A$500,$C5,'DADOS BRUTOS'!W$3:W$500)))</f>
        <v>8280.57</v>
      </c>
      <c r="CX5" s="133" t="n">
        <f aca="false">IF(OR(CX$4="",$B5=""),0,SUMIF('DADOS BRUTOS'!$A$3:$A$500,$B5,'DADOS BRUTOS'!X$3:X$500)+IF($C5="",0,SUMIF('DADOS BRUTOS'!$A$3:$A$500,$C5,'DADOS BRUTOS'!X$3:X$500)))</f>
        <v>27389.23</v>
      </c>
      <c r="CY5" s="133" t="n">
        <f aca="false">IF(OR(CY$4="",$B5=""),0,SUMIF('DADOS BRUTOS'!$A$3:$A$500,$B5,'DADOS BRUTOS'!Y$3:Y$500)+IF($C5="",0,SUMIF('DADOS BRUTOS'!$A$3:$A$500,$C5,'DADOS BRUTOS'!Y$3:Y$500)))</f>
        <v>164621.46</v>
      </c>
      <c r="CZ5" s="133" t="n">
        <f aca="false">IF(OR(CZ$4="",$B5=""),0,SUMIF('DADOS BRUTOS'!$A$3:$A$500,$B5,'DADOS BRUTOS'!Z$3:Z$500)+IF($C5="",0,SUMIF('DADOS BRUTOS'!$A$3:$A$500,$C5,'DADOS BRUTOS'!Z$3:Z$500)))</f>
        <v>76238.9</v>
      </c>
      <c r="DA5" s="133" t="n">
        <f aca="false">IF(OR(DA$4="",$B5=""),0,SUMIF('DADOS BRUTOS'!$A$3:$A$500,$B5,'DADOS BRUTOS'!AA$3:AA$500)+IF($C5="",0,SUMIF('DADOS BRUTOS'!$A$3:$A$500,$C5,'DADOS BRUTOS'!AA$3:AA$500)))</f>
        <v>91528.72</v>
      </c>
      <c r="DB5" s="133" t="n">
        <f aca="false">IF(OR(DB$4="",$B5=""),0,SUMIF('DADOS BRUTOS'!$A$3:$A$500,$B5,'DADOS BRUTOS'!AB$3:AB$500)+IF($C5="",0,SUMIF('DADOS BRUTOS'!$A$3:$A$500,$C5,'DADOS BRUTOS'!AB$3:AB$500)))</f>
        <v>7355.93</v>
      </c>
      <c r="DC5" s="133" t="n">
        <f aca="false">IF(OR(DC$4="",$B5=""),0,SUMIF('DADOS BRUTOS'!$A$3:$A$500,$B5,'DADOS BRUTOS'!AC$3:AC$500)+IF($C5="",0,SUMIF('DADOS BRUTOS'!$A$3:$A$500,$C5,'DADOS BRUTOS'!AC$3:AC$500)))</f>
        <v>15322.26</v>
      </c>
      <c r="DD5" s="133" t="n">
        <f aca="false">IF(OR(DD$4="",$B5=""),0,SUMIF('DADOS BRUTOS'!$A$3:$A$500,$B5,'DADOS BRUTOS'!AD$3:AD$500)+IF($C5="",0,SUMIF('DADOS BRUTOS'!$A$3:$A$500,$C5,'DADOS BRUTOS'!AD$3:AD$500)))</f>
        <v>153986.44</v>
      </c>
      <c r="DE5" s="133" t="n">
        <f aca="false">IF(OR(DE$4="",$B5=""),0,SUMIF('DADOS BRUTOS'!$A$3:$A$500,$B5,'DADOS BRUTOS'!AE$3:AE$500)+IF($C5="",0,SUMIF('DADOS BRUTOS'!$A$3:$A$500,$C5,'DADOS BRUTOS'!AE$3:AE$500)))</f>
        <v>71734.37</v>
      </c>
      <c r="DF5" s="133" t="n">
        <f aca="false">IF(OR(DF$4="",$B5=""),0,SUMIF('DADOS BRUTOS'!$A$3:$A$500,$B5,'DADOS BRUTOS'!AF$3:AF$500)+IF($C5="",0,SUMIF('DADOS BRUTOS'!$A$3:$A$500,$C5,'DADOS BRUTOS'!AF$3:AF$500)))</f>
        <v>90171.92</v>
      </c>
      <c r="DG5" s="133" t="n">
        <f aca="false">IF(OR(DG$4="",$B5=""),0,SUMIF('DADOS BRUTOS'!$A$3:$A$500,$B5,'DADOS BRUTOS'!AG$3:AG$500)+IF($C5="",0,SUMIF('DADOS BRUTOS'!$A$3:$A$500,$C5,'DADOS BRUTOS'!AG$3:AG$500)))</f>
        <v>160140.78</v>
      </c>
      <c r="DH5" s="133" t="n">
        <f aca="false">IF(OR(DH$4="",$B5=""),0,SUMIF('DADOS BRUTOS'!$A$3:$A$500,$B5,'DADOS BRUTOS'!AH$3:AH$500)+IF($C5="",0,SUMIF('DADOS BRUTOS'!$A$3:$A$500,$C5,'DADOS BRUTOS'!AH$3:AH$500)))</f>
        <v>215228.01</v>
      </c>
      <c r="DI5" s="133" t="n">
        <f aca="false">IF(OR(DI$4="",$B5=""),0,SUMIF('DADOS BRUTOS'!$A$3:$A$500,$B5,'DADOS BRUTOS'!AI$3:AI$500)+IF($C5="",0,SUMIF('DADOS BRUTOS'!$A$3:$A$500,$C5,'DADOS BRUTOS'!AI$3:AI$500)))</f>
        <v>104299.89</v>
      </c>
      <c r="DJ5" s="133" t="n">
        <f aca="false">IF(OR(DJ$4="",$B5=""),0,SUMIF('DADOS BRUTOS'!$A$3:$A$500,$B5,'DADOS BRUTOS'!AJ$3:AJ$500)+IF($C5="",0,SUMIF('DADOS BRUTOS'!$A$3:$A$500,$C5,'DADOS BRUTOS'!AJ$3:AJ$500)))</f>
        <v>109038.62</v>
      </c>
      <c r="DK5" s="133" t="n">
        <f aca="false">IF(OR(DK$4="",$B5=""),0,SUMIF('DADOS BRUTOS'!$A$3:$A$500,$B5,'DADOS BRUTOS'!AK$3:AK$500)+IF($C5="",0,SUMIF('DADOS BRUTOS'!$A$3:$A$500,$C5,'DADOS BRUTOS'!AK$3:AK$500)))</f>
        <v>96904.79</v>
      </c>
      <c r="DL5" s="133" t="n">
        <f aca="false">IF(OR(DL$4="",$B5=""),0,SUMIF('DADOS BRUTOS'!$A$3:$A$500,$B5,'DADOS BRUTOS'!AL$3:AL$500)+IF($C5="",0,SUMIF('DADOS BRUTOS'!$A$3:$A$500,$C5,'DADOS BRUTOS'!AL$3:AL$500)))</f>
        <v>52757.82</v>
      </c>
      <c r="DM5" s="133" t="n">
        <f aca="false">IF(OR(DM$4="",$B5=""),0,SUMIF('DADOS BRUTOS'!$A$3:$A$500,$B5,'DADOS BRUTOS'!AM$3:AM$500)+IF($C5="",0,SUMIF('DADOS BRUTOS'!$A$3:$A$500,$C5,'DADOS BRUTOS'!AM$3:AM$500)))</f>
        <v>118596.65</v>
      </c>
      <c r="DN5" s="133" t="n">
        <f aca="false">IF(OR(DN$4="",$B5=""),0,SUMIF('DADOS BRUTOS'!$A$3:$A$500,$B5,'DADOS BRUTOS'!AN$3:AN$500)+IF($C5="",0,SUMIF('DADOS BRUTOS'!$A$3:$A$500,$C5,'DADOS BRUTOS'!AN$3:AN$500)))</f>
        <v>174356.48</v>
      </c>
      <c r="DO5" s="133" t="n">
        <f aca="false">IF(OR(DO$4="",$B5=""),0,SUMIF('DADOS BRUTOS'!$A$3:$A$500,$B5,'DADOS BRUTOS'!AO$3:AO$500)+IF($C5="",0,SUMIF('DADOS BRUTOS'!$A$3:$A$500,$C5,'DADOS BRUTOS'!AO$3:AO$500)))</f>
        <v>81554.49</v>
      </c>
      <c r="DP5" s="133" t="n">
        <f aca="false">IF(OR(DP$4="",$B5=""),0,SUMIF('DADOS BRUTOS'!$A$3:$A$500,$B5,'DADOS BRUTOS'!AP$3:AP$500)+IF($C5="",0,SUMIF('DADOS BRUTOS'!$A$3:$A$500,$C5,'DADOS BRUTOS'!AP$3:AP$500)))</f>
        <v>117153.66</v>
      </c>
      <c r="DQ5" s="133" t="n">
        <f aca="false">IF(OR(DQ$4="",$B5=""),0,SUMIF('DADOS BRUTOS'!$A$3:$A$500,$B5,'DADOS BRUTOS'!AQ$3:AQ$500)+IF($C5="",0,SUMIF('DADOS BRUTOS'!$A$3:$A$500,$C5,'DADOS BRUTOS'!AQ$3:AQ$500)))</f>
        <v>51128</v>
      </c>
      <c r="DR5" s="133" t="n">
        <f aca="false">IF(OR(DR$4="",$B5=""),0,SUMIF('DADOS BRUTOS'!$A$3:$A$500,$B5,'DADOS BRUTOS'!AR$3:AR$500)+IF($C5="",0,SUMIF('DADOS BRUTOS'!$A$3:$A$500,$C5,'DADOS BRUTOS'!AR$3:AR$500)))</f>
        <v>22630.13</v>
      </c>
      <c r="DS5" s="133" t="n">
        <f aca="false">IF(OR(DS$4="",$B5=""),0,SUMIF('DADOS BRUTOS'!$A$3:$A$500,$B5,'DADOS BRUTOS'!AS$3:AS$500)+IF($C5="",0,SUMIF('DADOS BRUTOS'!$A$3:$A$500,$C5,'DADOS BRUTOS'!AS$3:AS$500)))</f>
        <v>85313.2</v>
      </c>
      <c r="DT5" s="133" t="n">
        <f aca="false">IF(OR(DT$4="",$B5=""),0,SUMIF('DADOS BRUTOS'!$A$3:$A$500,$B5,'DADOS BRUTOS'!AT$3:AT$500)+IF($C5="",0,SUMIF('DADOS BRUTOS'!$A$3:$A$500,$C5,'DADOS BRUTOS'!AT$3:AT$500)))</f>
        <v>115501.24</v>
      </c>
      <c r="DU5" s="133" t="n">
        <f aca="false">IF(OR(DU$4="",$B5=""),0,SUMIF('DADOS BRUTOS'!$A$3:$A$500,$B5,'DADOS BRUTOS'!AU$3:AU$500)+IF($C5="",0,SUMIF('DADOS BRUTOS'!$A$3:$A$500,$C5,'DADOS BRUTOS'!AU$3:AU$500)))</f>
        <v>98357.56</v>
      </c>
      <c r="DV5" s="133" t="n">
        <f aca="false">IF(OR(DV$4="",$B5=""),0,SUMIF('DADOS BRUTOS'!$A$3:$A$500,$B5,'DADOS BRUTOS'!AV$3:AV$500)+IF($C5="",0,SUMIF('DADOS BRUTOS'!$A$3:$A$500,$C5,'DADOS BRUTOS'!AV$3:AV$500)))</f>
        <v>17138.27</v>
      </c>
      <c r="DW5" s="133" t="n">
        <f aca="false">IF(OR(DW$4="",$B5=""),0,SUMIF('DADOS BRUTOS'!$A$3:$A$500,$B5,'DADOS BRUTOS'!AW$3:AW$500)+IF($C5="",0,SUMIF('DADOS BRUTOS'!$A$3:$A$500,$C5,'DADOS BRUTOS'!AW$3:AW$500)))</f>
        <v>33811</v>
      </c>
      <c r="DX5" s="133" t="n">
        <f aca="false">IF(OR(DX$4="",$B5=""),0,SUMIF('DADOS BRUTOS'!$A$3:$A$500,$B5,'DADOS BRUTOS'!AX$3:AX$500)+IF($C5="",0,SUMIF('DADOS BRUTOS'!$A$3:$A$500,$C5,'DADOS BRUTOS'!AX$3:AX$500)))</f>
        <v>13630.75</v>
      </c>
      <c r="DY5" s="133" t="n">
        <f aca="false">IF(OR(DY$4="",$B5=""),0,SUMIF('DADOS BRUTOS'!$A$3:$A$500,$B5,'DADOS BRUTOS'!AY$3:AY$500)+IF($C5="",0,SUMIF('DADOS BRUTOS'!$A$3:$A$500,$C5,'DADOS BRUTOS'!AY$3:AY$500)))</f>
        <v>34163.85</v>
      </c>
      <c r="DZ5" s="133" t="n">
        <f aca="false">IF(OR(DZ$4="",$B5=""),0,SUMIF('DADOS BRUTOS'!$A$3:$A$500,$B5,'DADOS BRUTOS'!AZ$3:AZ$500)+IF($C5="",0,SUMIF('DADOS BRUTOS'!$A$3:$A$500,$C5,'DADOS BRUTOS'!AZ$3:AZ$500)))</f>
        <v>2594.4</v>
      </c>
      <c r="EA5" s="133" t="n">
        <f aca="false">IF(OR(EA$4="",$B5=""),0,SUMIF('DADOS BRUTOS'!$A$3:$A$500,$B5,'DADOS BRUTOS'!BA$3:BA$500)+IF($C5="",0,SUMIF('DADOS BRUTOS'!$A$3:$A$500,$C5,'DADOS BRUTOS'!BA$3:BA$500)))</f>
        <v>925</v>
      </c>
      <c r="EB5" s="133" t="n">
        <f aca="false">IF(OR(EB$4="",$B5=""),0,SUMIF('DADOS BRUTOS'!$A$3:$A$500,$B5,'DADOS BRUTOS'!BB$3:BB$500)+IF($C5="",0,SUMIF('DADOS BRUTOS'!$A$3:$A$500,$C5,'DADOS BRUTOS'!BB$3:BB$500)))</f>
        <v>925</v>
      </c>
      <c r="EC5" s="133" t="n">
        <f aca="false">IF(OR(EC$4="",$B5=""),0,SUMIF('DADOS BRUTOS'!$A$3:$A$500,$B5,'DADOS BRUTOS'!BC$3:BC$500)+IF($C5="",0,SUMIF('DADOS BRUTOS'!$A$3:$A$500,$C5,'DADOS BRUTOS'!BC$3:BC$500)))</f>
        <v>15449.65</v>
      </c>
      <c r="ED5" s="133" t="n">
        <f aca="false">IF(OR(ED$4="",$B5=""),0,SUMIF('DADOS BRUTOS'!$A$3:$A$500,$B5,'DADOS BRUTOS'!BD$3:BD$500)+IF($C5="",0,SUMIF('DADOS BRUTOS'!$A$3:$A$500,$C5,'DADOS BRUTOS'!BD$3:BD$500)))</f>
        <v>1375.35</v>
      </c>
      <c r="EE5" s="133" t="n">
        <f aca="false">IF(OR(EE$4="",$B5=""),0,SUMIF('DADOS BRUTOS'!$A$3:$A$500,$B5,'DADOS BRUTOS'!BE$3:BE$500)+IF($C5="",0,SUMIF('DADOS BRUTOS'!$A$3:$A$500,$C5,'DADOS BRUTOS'!BE$3:BE$500)))</f>
        <v>0</v>
      </c>
      <c r="EF5" s="133" t="n">
        <f aca="false">IF(OR(EF$4="",$B5=""),0,SUMIF('DADOS BRUTOS'!$A$3:$A$500,$B5,'DADOS BRUTOS'!BF$3:BF$500)+IF($C5="",0,SUMIF('DADOS BRUTOS'!$A$3:$A$500,$C5,'DADOS BRUTOS'!BF$3:BF$500)))</f>
        <v>0</v>
      </c>
      <c r="EG5" s="133" t="n">
        <f aca="false">IF(OR(EG$4="",$B5=""),0,SUMIF('DADOS BRUTOS'!$A$3:$A$500,$B5,'DADOS BRUTOS'!BG$3:BG$500)+IF($C5="",0,SUMIF('DADOS BRUTOS'!$A$3:$A$500,$C5,'DADOS BRUTOS'!BG$3:BG$500)))</f>
        <v>0</v>
      </c>
      <c r="EH5" s="133" t="n">
        <f aca="false">IF(OR(EH$4="",$B5=""),0,SUMIF('DADOS BRUTOS'!$A$3:$A$500,$B5,'DADOS BRUTOS'!BH$3:BH$500)+IF($C5="",0,SUMIF('DADOS BRUTOS'!$A$3:$A$500,$C5,'DADOS BRUTOS'!BH$3:BH$500)))</f>
        <v>0</v>
      </c>
      <c r="EI5" s="133" t="n">
        <f aca="false">IF(OR(EI$4="",$B5=""),0,SUMIF('DADOS BRUTOS'!$A$3:$A$500,$B5,'DADOS BRUTOS'!BI$3:BI$500)+IF($C5="",0,SUMIF('DADOS BRUTOS'!$A$3:$A$500,$C5,'DADOS BRUTOS'!BI$3:BI$500)))</f>
        <v>0</v>
      </c>
      <c r="EJ5" s="133" t="n">
        <f aca="false">IF(OR(EJ$4="",$B5=""),0,SUMIF('DADOS BRUTOS'!$A$3:$A$500,$B5,'DADOS BRUTOS'!BJ$3:BJ$500)+IF($C5="",0,SUMIF('DADOS BRUTOS'!$A$3:$A$500,$C5,'DADOS BRUTOS'!BJ$3:BJ$500)))</f>
        <v>0</v>
      </c>
      <c r="EK5" s="133" t="n">
        <f aca="false">IF(OR(EK$4="",$B5=""),0,SUMIF('DADOS BRUTOS'!$A$3:$A$500,$B5,'DADOS BRUTOS'!BK$3:BK$500)+IF($C5="",0,SUMIF('DADOS BRUTOS'!$A$3:$A$500,$C5,'DADOS BRUTOS'!BK$3:BK$500)))</f>
        <v>0</v>
      </c>
      <c r="EL5" s="133" t="n">
        <f aca="false">IF(OR(EL$4="",$B5=""),0,SUMIF('DADOS BRUTOS'!$A$3:$A$500,$B5,'DADOS BRUTOS'!BL$3:BL$500)+IF($C5="",0,SUMIF('DADOS BRUTOS'!$A$3:$A$500,$C5,'DADOS BRUTOS'!BL$3:BL$500)))</f>
        <v>0</v>
      </c>
      <c r="EM5" s="133" t="n">
        <f aca="false">IF(OR(EM$4="",$B5=""),0,SUMIF('DADOS BRUTOS'!$A$3:$A$500,$B5,'DADOS BRUTOS'!BM$3:BM$500)+IF($C5="",0,SUMIF('DADOS BRUTOS'!$A$3:$A$500,$C5,'DADOS BRUTOS'!BM$3:BM$500)))</f>
        <v>0</v>
      </c>
      <c r="EN5" s="133" t="n">
        <f aca="false">IF(OR(EN$4="",$B5=""),0,SUMIF('DADOS BRUTOS'!$A$3:$A$500,$B5,'DADOS BRUTOS'!BN$3:BN$500)+IF($C5="",0,SUMIF('DADOS BRUTOS'!$A$3:$A$500,$C5,'DADOS BRUTOS'!BN$3:BN$500)))</f>
        <v>0</v>
      </c>
      <c r="EO5" s="133" t="n">
        <f aca="false">IF(OR(EO$4="",$B5=""),0,SUMIF('DADOS BRUTOS'!$A$3:$A$500,$B5,'DADOS BRUTOS'!BO$3:BO$500)+IF($C5="",0,SUMIF('DADOS BRUTOS'!$A$3:$A$500,$C5,'DADOS BRUTOS'!BO$3:BO$500)))</f>
        <v>0</v>
      </c>
      <c r="EP5" s="133" t="n">
        <f aca="false">IF(OR(EP$4="",$B5=""),0,SUMIF('DADOS BRUTOS'!$A$3:$A$500,$B5,'DADOS BRUTOS'!BP$3:BP$500)+IF($C5="",0,SUMIF('DADOS BRUTOS'!$A$3:$A$500,$C5,'DADOS BRUTOS'!BP$3:BP$500)))</f>
        <v>0</v>
      </c>
      <c r="EQ5" s="133" t="n">
        <f aca="false">IF(OR(EQ$4="",$B5=""),0,SUMIF('DADOS BRUTOS'!$A$3:$A$500,$B5,'DADOS BRUTOS'!BQ$3:BQ$500)+IF($C5="",0,SUMIF('DADOS BRUTOS'!$A$3:$A$500,$C5,'DADOS BRUTOS'!BQ$3:BQ$500)))</f>
        <v>0</v>
      </c>
      <c r="ER5" s="133" t="n">
        <f aca="false">IF(OR(ER$4="",$B5=""),0,SUMIF('DADOS BRUTOS'!$A$3:$A$500,$B5,'DADOS BRUTOS'!BR$3:BR$500)+IF($C5="",0,SUMIF('DADOS BRUTOS'!$A$3:$A$500,$C5,'DADOS BRUTOS'!BR$3:BR$500)))</f>
        <v>0</v>
      </c>
      <c r="ES5" s="133" t="n">
        <f aca="false">IF(OR(ES$4="",$B5=""),0,SUMIF('DADOS BRUTOS'!$A$3:$A$500,$B5,'DADOS BRUTOS'!BS$3:BS$500)+IF($C5="",0,SUMIF('DADOS BRUTOS'!$A$3:$A$500,$C5,'DADOS BRUTOS'!BS$3:BS$500)))</f>
        <v>0</v>
      </c>
      <c r="ET5" s="133" t="n">
        <f aca="false">IF(OR(ET$4="",$B5=""),0,SUMIF('DADOS BRUTOS'!$A$3:$A$500,$B5,'DADOS BRUTOS'!BT$3:BT$500)+IF($C5="",0,SUMIF('DADOS BRUTOS'!$A$3:$A$500,$C5,'DADOS BRUTOS'!BT$3:BT$500)))</f>
        <v>0</v>
      </c>
      <c r="EU5" s="133" t="n">
        <f aca="false">IF(OR(EU$4="",$B5=""),0,SUMIF('DADOS BRUTOS'!$A$3:$A$500,$B5,'DADOS BRUTOS'!BU$3:BU$500)+IF($C5="",0,SUMIF('DADOS BRUTOS'!$A$3:$A$500,$C5,'DADOS BRUTOS'!BU$3:BU$500)))</f>
        <v>0</v>
      </c>
      <c r="EV5" s="133" t="n">
        <f aca="false">IF(OR(EV$4="",$B5=""),0,SUMIF('DADOS BRUTOS'!$A$3:$A$500,$B5,'DADOS BRUTOS'!BV$3:BV$500)+IF($C5="",0,SUMIF('DADOS BRUTOS'!$A$3:$A$500,$C5,'DADOS BRUTOS'!BV$3:BV$500)))</f>
        <v>0</v>
      </c>
      <c r="EW5" s="133" t="n">
        <f aca="false">IF(OR(EW$4="",$B5=""),0,SUMIF('DADOS BRUTOS'!$A$3:$A$500,$B5,'DADOS BRUTOS'!BW$3:BW$500)+IF($C5="",0,SUMIF('DADOS BRUTOS'!$A$3:$A$500,$C5,'DADOS BRUTOS'!BW$3:BW$500)))</f>
        <v>0</v>
      </c>
      <c r="EX5" s="133" t="n">
        <f aca="false">IF(OR(EX$4="",$B5=""),0,SUMIF('DADOS BRUTOS'!$A$3:$A$500,$B5,'DADOS BRUTOS'!BX$3:BX$500)+IF($C5="",0,SUMIF('DADOS BRUTOS'!$A$3:$A$500,$C5,'DADOS BRUTOS'!BX$3:BX$500)))</f>
        <v>0</v>
      </c>
      <c r="EY5" s="133" t="n">
        <f aca="false">IF(OR(EY$4="",$B5=""),0,SUMIF('DADOS BRUTOS'!$A$3:$A$500,$B5,'DADOS BRUTOS'!BY$3:BY$500)+IF($C5="",0,SUMIF('DADOS BRUTOS'!$A$3:$A$500,$C5,'DADOS BRUTOS'!BY$3:BY$500)))</f>
        <v>0</v>
      </c>
      <c r="EZ5" s="133" t="n">
        <f aca="false">IF(OR(EZ$4="",$B5=""),0,SUMIF('DADOS BRUTOS'!$A$3:$A$500,$B5,'DADOS BRUTOS'!BZ$3:BZ$500)+IF($C5="",0,SUMIF('DADOS BRUTOS'!$A$3:$A$500,$C5,'DADOS BRUTOS'!BZ$3:BZ$500)))</f>
        <v>0</v>
      </c>
      <c r="FA5" s="133" t="n">
        <f aca="false">IF(OR(FA$4="",$B5=""),0,SUMIF('DADOS BRUTOS'!$A$3:$A$500,$B5,'DADOS BRUTOS'!CA$3:CA$500)+IF($C5="",0,SUMIF('DADOS BRUTOS'!$A$3:$A$500,$C5,'DADOS BRUTOS'!CA$3:CA$500)))</f>
        <v>0</v>
      </c>
      <c r="FB5" s="133" t="n">
        <f aca="false">IF(OR(FB$4="",$B5=""),0,SUMIF('DADOS BRUTOS'!$A$3:$A$500,$B5,'DADOS BRUTOS'!CB$3:CB$500)+IF($C5="",0,SUMIF('DADOS BRUTOS'!$A$3:$A$500,$C5,'DADOS BRUTOS'!CB$3:CB$500)))</f>
        <v>0</v>
      </c>
      <c r="FC5" s="133" t="n">
        <f aca="false">IF(OR(FC$4="",$B5=""),0,SUMIF('DADOS BRUTOS'!$A$3:$A$500,$B5,'DADOS BRUTOS'!CC$3:CC$500)+IF($C5="",0,SUMIF('DADOS BRUTOS'!$A$3:$A$500,$C5,'DADOS BRUTOS'!CC$3:CC$500)))</f>
        <v>0</v>
      </c>
      <c r="FD5" s="133" t="n">
        <f aca="false">IF(OR(FD$4="",$B5=""),0,SUMIF('DADOS BRUTOS'!$A$3:$A$500,$B5,'DADOS BRUTOS'!CD$3:CD$500)+IF($C5="",0,SUMIF('DADOS BRUTOS'!$A$3:$A$500,$C5,'DADOS BRUTOS'!CD$3:CD$500)))</f>
        <v>0</v>
      </c>
      <c r="FE5" s="133" t="n">
        <f aca="false">IF(OR(FE$4="",$B5=""),0,SUMIF('DADOS BRUTOS'!$A$3:$A$500,$B5,'DADOS BRUTOS'!CE$3:CE$500)+IF($C5="",0,SUMIF('DADOS BRUTOS'!$A$3:$A$500,$C5,'DADOS BRUTOS'!CE$3:CE$500)))</f>
        <v>0</v>
      </c>
      <c r="FF5" s="133" t="n">
        <f aca="false">IF(OR(FF$4="",$B5=""),0,SUMIF('DADOS BRUTOS'!$A$3:$A$500,$B5,'DADOS BRUTOS'!CF$3:CF$500)+IF($C5="",0,SUMIF('DADOS BRUTOS'!$A$3:$A$500,$C5,'DADOS BRUTOS'!CF$3:CF$500)))</f>
        <v>0</v>
      </c>
      <c r="FG5" s="133" t="n">
        <f aca="false">IF(OR(FG$4="",$B5=""),0,SUMIF('DADOS BRUTOS'!$A$3:$A$500,$B5,'DADOS BRUTOS'!CG$3:CG$500)+IF($C5="",0,SUMIF('DADOS BRUTOS'!$A$3:$A$500,$C5,'DADOS BRUTOS'!CG$3:CG$500)))</f>
        <v>0</v>
      </c>
      <c r="FH5" s="133" t="n">
        <f aca="false">IF(OR(FH$4="",$B5=""),0,SUMIF('DADOS BRUTOS'!$A$3:$A$500,$B5,'DADOS BRUTOS'!CH$3:CH$500)+IF($C5="",0,SUMIF('DADOS BRUTOS'!$A$3:$A$500,$C5,'DADOS BRUTOS'!CH$3:CH$500)))</f>
        <v>0</v>
      </c>
      <c r="FI5" s="133" t="n">
        <f aca="false">IF(OR(FI$4="",$B5=""),0,SUMIF('DADOS BRUTOS'!$A$3:$A$500,$B5,'DADOS BRUTOS'!CI$3:CI$500)+IF($C5="",0,SUMIF('DADOS BRUTOS'!$A$3:$A$500,$C5,'DADOS BRUTOS'!CI$3:CI$500)))</f>
        <v>0</v>
      </c>
      <c r="FJ5" s="133" t="n">
        <f aca="false">IF(OR(FJ$4="",$B5=""),0,SUMIF('DADOS BRUTOS'!$A$3:$A$500,$B5,'DADOS BRUTOS'!CJ$3:CJ$500)+IF($C5="",0,SUMIF('DADOS BRUTOS'!$A$3:$A$500,$C5,'DADOS BRUTOS'!CJ$3:CJ$500)))</f>
        <v>0</v>
      </c>
      <c r="FK5" s="133" t="n">
        <f aca="false">IF(OR(FK$4="",$B5=""),0,SUMIF('DADOS BRUTOS'!$A$3:$A$500,$B5,'DADOS BRUTOS'!CK$3:CK$500)+IF($C5="",0,SUMIF('DADOS BRUTOS'!$A$3:$A$500,$C5,'DADOS BRUTOS'!CK$3:CK$500)))</f>
        <v>0</v>
      </c>
      <c r="FL5" s="133" t="n">
        <f aca="false">IF(OR(FL$4="",$B5=""),0,SUMIF('DADOS BRUTOS'!$A$3:$A$500,$B5,'DADOS BRUTOS'!CL$3:CL$500)+IF($C5="",0,SUMIF('DADOS BRUTOS'!$A$3:$A$500,$C5,'DADOS BRUTOS'!CL$3:CL$500)))</f>
        <v>0</v>
      </c>
      <c r="FM5" s="133" t="n">
        <f aca="false">IF(OR(FM$4="",$B5=""),0,SUMIF('DADOS BRUTOS'!$A$3:$A$500,$B5,'DADOS BRUTOS'!CM$3:CM$500)+IF($C5="",0,SUMIF('DADOS BRUTOS'!$A$3:$A$500,$C5,'DADOS BRUTOS'!CM$3:CM$500)))</f>
        <v>0</v>
      </c>
      <c r="FN5" s="133" t="n">
        <f aca="false">IF(OR(FN$4="",$B5=""),0,SUMIF('DADOS BRUTOS'!$A$3:$A$500,$B5,'DADOS BRUTOS'!CN$3:CN$500)+IF($C5="",0,SUMIF('DADOS BRUTOS'!$A$3:$A$500,$C5,'DADOS BRUTOS'!CN$3:CN$500)))</f>
        <v>0</v>
      </c>
      <c r="FO5" s="133" t="n">
        <f aca="false">IF(OR(FO$4="",$B5=""),0,SUMIF('DADOS BRUTOS'!$A$3:$A$500,$B5,'DADOS BRUTOS'!CO$3:CO$500)+IF($C5="",0,SUMIF('DADOS BRUTOS'!$A$3:$A$500,$C5,'DADOS BRUTOS'!CO$3:CO$500)))</f>
        <v>0</v>
      </c>
      <c r="FP5" s="133" t="n">
        <f aca="false">IF(OR(FP$4="",$B5=""),0,SUMIF('DADOS BRUTOS'!$A$3:$A$500,$B5,'DADOS BRUTOS'!CP$3:CP$500)+IF($C5="",0,SUMIF('DADOS BRUTOS'!$A$3:$A$500,$C5,'DADOS BRUTOS'!CP$3:CP$500)))</f>
        <v>0</v>
      </c>
      <c r="FQ5" s="133" t="n">
        <f aca="false">IF(OR(FQ$4="",$B5=""),0,SUMIF('DADOS BRUTOS'!$A$3:$A$500,$B5,'DADOS BRUTOS'!CQ$3:CQ$500)+IF($C5="",0,SUMIF('DADOS BRUTOS'!$A$3:$A$500,$C5,'DADOS BRUTOS'!CQ$3:CQ$500)))</f>
        <v>0</v>
      </c>
      <c r="FR5" s="133" t="n">
        <f aca="false">IF(OR(FR$4="",$B5=""),0,SUMIF('DADOS BRUTOS'!$A$3:$A$500,$B5,'DADOS BRUTOS'!CR$3:CR$500)+IF($C5="",0,SUMIF('DADOS BRUTOS'!$A$3:$A$500,$C5,'DADOS BRUTOS'!CR$3:CR$500)))</f>
        <v>0</v>
      </c>
      <c r="FS5" s="133" t="n">
        <f aca="false">IF(OR(FS$4="",$B5=""),0,SUMIF('DADOS BRUTOS'!$A$3:$A$500,$B5,'DADOS BRUTOS'!CS$3:CS$500)+IF($C5="",0,SUMIF('DADOS BRUTOS'!$A$3:$A$500,$C5,'DADOS BRUTOS'!CS$3:CS$500)))</f>
        <v>0</v>
      </c>
      <c r="FT5" s="133" t="n">
        <f aca="false">IF(OR(FT$4="",$B5=""),0,SUMIF('DADOS BRUTOS'!$A$3:$A$500,$B5,'DADOS BRUTOS'!CT$3:CT$500)+IF($C5="",0,SUMIF('DADOS BRUTOS'!$A$3:$A$500,$C5,'DADOS BRUTOS'!CT$3:CT$500)))</f>
        <v>0</v>
      </c>
      <c r="FU5" s="133" t="n">
        <f aca="false">IF(OR(FU$4="",$B5=""),0,SUMIF('DADOS BRUTOS'!$A$3:$A$500,$B5,'DADOS BRUTOS'!CU$3:CU$500)+IF($C5="",0,SUMIF('DADOS BRUTOS'!$A$3:$A$500,$C5,'DADOS BRUTOS'!CU$3:CU$500)))</f>
        <v>0</v>
      </c>
      <c r="FV5" s="133" t="n">
        <f aca="false">IF(OR(FV$4="",$B5=""),0,SUMIF('DADOS BRUTOS'!$A$3:$A$500,$B5,'DADOS BRUTOS'!CV$3:CV$500)+IF($C5="",0,SUMIF('DADOS BRUTOS'!$A$3:$A$500,$C5,'DADOS BRUTOS'!CV$3:CV$500)))</f>
        <v>0</v>
      </c>
      <c r="FW5" s="133" t="n">
        <f aca="false">IF(OR(FW$4="",$B5=""),0,SUMIF('DADOS BRUTOS'!$A$3:$A$500,$B5,'DADOS BRUTOS'!CW$3:CW$500)+IF($C5="",0,SUMIF('DADOS BRUTOS'!$A$3:$A$500,$C5,'DADOS BRUTOS'!CW$3:CW$500)))</f>
        <v>0</v>
      </c>
      <c r="FX5" s="133" t="n">
        <f aca="false">IF(OR(FX$4="",$B5=""),0,SUMIF('DADOS BRUTOS'!$A$3:$A$500,$B5,'DADOS BRUTOS'!CX$3:CX$500)+IF($C5="",0,SUMIF('DADOS BRUTOS'!$A$3:$A$500,$C5,'DADOS BRUTOS'!CX$3:CX$500)))</f>
        <v>0</v>
      </c>
      <c r="FY5" s="133" t="n">
        <f aca="false">IF(OR(FY$4="",$B5=""),0,SUMIF('DADOS BRUTOS'!$A$3:$A$500,$B5,'DADOS BRUTOS'!CY$3:CY$500)+IF($C5="",0,SUMIF('DADOS BRUTOS'!$A$3:$A$500,$C5,'DADOS BRUTOS'!CY$3:CY$500)))</f>
        <v>0</v>
      </c>
      <c r="FZ5" s="133" t="n">
        <f aca="false">IF(OR(FZ$4="",$B5=""),0,SUMIF('DADOS BRUTOS'!$A$3:$A$500,$B5,'DADOS BRUTOS'!CZ$3:CZ$500)+IF($C5="",0,SUMIF('DADOS BRUTOS'!$A$3:$A$500,$C5,'DADOS BRUTOS'!CZ$3:CZ$500)))</f>
        <v>0</v>
      </c>
      <c r="GA5" s="133" t="n">
        <f aca="false">IF(OR(GA$4="",$B5=""),0,SUMIF('DADOS BRUTOS'!$A$3:$A$500,$B5,'DADOS BRUTOS'!DA$3:DA$500)+IF($C5="",0,SUMIF('DADOS BRUTOS'!$A$3:$A$500,$C5,'DADOS BRUTOS'!DA$3:DA$500)))</f>
        <v>0</v>
      </c>
      <c r="GB5" s="133" t="n">
        <f aca="false">IF(OR(GB$4="",$B5=""),0,SUMIF('DADOS BRUTOS'!$A$3:$A$500,$B5,'DADOS BRUTOS'!DB$3:DB$500)+IF($C5="",0,SUMIF('DADOS BRUTOS'!$A$3:$A$500,$C5,'DADOS BRUTOS'!DB$3:DB$500)))</f>
        <v>0</v>
      </c>
      <c r="GC5" s="133" t="n">
        <f aca="false">IF(OR(GC$4="",$B5=""),0,SUMIF('DADOS BRUTOS'!$A$3:$A$500,$B5,'DADOS BRUTOS'!DC$3:DC$500)+IF($C5="",0,SUMIF('DADOS BRUTOS'!$A$3:$A$500,$C5,'DADOS BRUTOS'!DC$3:DC$500)))</f>
        <v>0</v>
      </c>
      <c r="GD5" s="133" t="n">
        <f aca="false">IF(OR(GD$4="",$B5=""),0,SUMIF('DADOS BRUTOS'!$A$3:$A$500,$B5,'DADOS BRUTOS'!DD$3:DD$500)+IF($C5="",0,SUMIF('DADOS BRUTOS'!$A$3:$A$500,$C5,'DADOS BRUTOS'!DD$3:DD$500)))</f>
        <v>0</v>
      </c>
      <c r="GE5" s="133" t="n">
        <f aca="false">IF(OR(GE$4="",$B5=""),0,SUMIF('DADOS BRUTOS'!$A$3:$A$500,$B5,'DADOS BRUTOS'!DE$3:DE$500)+IF($C5="",0,SUMIF('DADOS BRUTOS'!$A$3:$A$500,$C5,'DADOS BRUTOS'!DE$3:DE$500)))</f>
        <v>0</v>
      </c>
      <c r="GF5" s="133" t="n">
        <f aca="false">IF(OR(GF$4="",$B5=""),0,SUMIF('DADOS BRUTOS'!$A$3:$A$500,$B5,'DADOS BRUTOS'!DF$3:DF$500)+IF($C5="",0,SUMIF('DADOS BRUTOS'!$A$3:$A$500,$C5,'DADOS BRUTOS'!DF$3:DF$500)))</f>
        <v>0</v>
      </c>
      <c r="GG5" s="133" t="n">
        <f aca="false">IF(OR(GG$4="",$B5=""),0,SUMIF('DADOS BRUTOS'!$A$3:$A$500,$B5,'DADOS BRUTOS'!DG$3:DG$500)+IF($C5="",0,SUMIF('DADOS BRUTOS'!$A$3:$A$500,$C5,'DADOS BRUTOS'!DG$3:DG$500)))</f>
        <v>0</v>
      </c>
      <c r="GH5" s="133" t="n">
        <f aca="false">IF(OR(GH$4="",$B5=""),0,SUMIF('DADOS BRUTOS'!$A$3:$A$500,$B5,'DADOS BRUTOS'!DH$3:DH$500)+IF($C5="",0,SUMIF('DADOS BRUTOS'!$A$3:$A$500,$C5,'DADOS BRUTOS'!DH$3:DH$500)))</f>
        <v>0</v>
      </c>
      <c r="GI5" s="133" t="n">
        <f aca="false">IF(OR(GI$4="",$B5=""),0,SUMIF('DADOS BRUTOS'!$A$3:$A$500,$B5,'DADOS BRUTOS'!DI$3:DI$500)+IF($C5="",0,SUMIF('DADOS BRUTOS'!$A$3:$A$500,$C5,'DADOS BRUTOS'!DI$3:DI$500)))</f>
        <v>0</v>
      </c>
      <c r="GJ5" s="133" t="n">
        <f aca="false">IF(OR(GJ$4="",$B5=""),0,SUMIF('DADOS BRUTOS'!$A$3:$A$500,$B5,'DADOS BRUTOS'!DJ$3:DJ$500)+IF($C5="",0,SUMIF('DADOS BRUTOS'!$A$3:$A$500,$C5,'DADOS BRUTOS'!DJ$3:DJ$500)))</f>
        <v>0</v>
      </c>
      <c r="GK5" s="133" t="n">
        <f aca="false">IF(OR(GK$4="",$B5=""),0,SUMIF('DADOS BRUTOS'!$A$3:$A$500,$B5,'DADOS BRUTOS'!DK$3:DK$500)+IF($C5="",0,SUMIF('DADOS BRUTOS'!$A$3:$A$500,$C5,'DADOS BRUTOS'!DK$3:DK$500)))</f>
        <v>0</v>
      </c>
      <c r="GL5" s="133" t="n">
        <f aca="false">IF(OR(GL$4="",$B5=""),0,SUMIF('DADOS BRUTOS'!$A$3:$A$500,$B5,'DADOS BRUTOS'!DL$3:DL$500)+IF($C5="",0,SUMIF('DADOS BRUTOS'!$A$3:$A$500,$C5,'DADOS BRUTOS'!DL$3:DL$500)))</f>
        <v>0</v>
      </c>
      <c r="GM5" s="133" t="n">
        <f aca="false">IF(OR(GM$4="",$B5=""),0,SUMIF('DADOS BRUTOS'!$A$3:$A$500,$B5,'DADOS BRUTOS'!DM$3:DM$500)+IF($C5="",0,SUMIF('DADOS BRUTOS'!$A$3:$A$500,$C5,'DADOS BRUTOS'!DM$3:DM$500)))</f>
        <v>0</v>
      </c>
      <c r="GN5" s="133" t="n">
        <f aca="false">IF(OR(GN$4="",$B5=""),0,SUMIF('DADOS BRUTOS'!$A$3:$A$500,$B5,'DADOS BRUTOS'!DN$3:DN$500)+IF($C5="",0,SUMIF('DADOS BRUTOS'!$A$3:$A$500,$C5,'DADOS BRUTOS'!DN$3:DN$500)))</f>
        <v>0</v>
      </c>
      <c r="GO5" s="133" t="n">
        <f aca="false">IF(OR(GO$4="",$B5=""),0,SUMIF('DADOS BRUTOS'!$A$3:$A$500,$B5,'DADOS BRUTOS'!DO$3:DO$500)+IF($C5="",0,SUMIF('DADOS BRUTOS'!$A$3:$A$500,$C5,'DADOS BRUTOS'!DO$3:DO$500)))</f>
        <v>0</v>
      </c>
      <c r="GP5" s="133" t="n">
        <f aca="false">IF(OR(GP$4="",$B5=""),0,SUMIF('DADOS BRUTOS'!$A$3:$A$500,$B5,'DADOS BRUTOS'!DP$3:DP$500)+IF($C5="",0,SUMIF('DADOS BRUTOS'!$A$3:$A$500,$C5,'DADOS BRUTOS'!DP$3:DP$500)))</f>
        <v>0</v>
      </c>
      <c r="GQ5" s="133" t="n">
        <f aca="false">IF(OR(GQ$4="",$B5=""),0,SUMIF('DADOS BRUTOS'!$A$3:$A$500,$B5,'DADOS BRUTOS'!DQ$3:DQ$500)+IF($C5="",0,SUMIF('DADOS BRUTOS'!$A$3:$A$500,$C5,'DADOS BRUTOS'!DQ$3:DQ$500)))</f>
        <v>0</v>
      </c>
      <c r="GR5" s="133" t="n">
        <f aca="false">IF(OR(GR$4="",$B5=""),0,SUMIF('DADOS BRUTOS'!$A$3:$A$500,$B5,'DADOS BRUTOS'!DR$3:DR$500)+IF($C5="",0,SUMIF('DADOS BRUTOS'!$A$3:$A$500,$C5,'DADOS BRUTOS'!DR$3:DR$500)))</f>
        <v>0</v>
      </c>
      <c r="GS5" s="133" t="n">
        <f aca="false">IF(OR(GS$4="",$B5=""),0,SUMIF('DADOS BRUTOS'!$A$3:$A$500,$B5,'DADOS BRUTOS'!DS$3:DS$500)+IF($C5="",0,SUMIF('DADOS BRUTOS'!$A$3:$A$500,$C5,'DADOS BRUTOS'!DS$3:DS$500)))</f>
        <v>0</v>
      </c>
      <c r="GT5" s="133" t="n">
        <f aca="false">IF(OR(GT$4="",$B5=""),0,SUMIF('DADOS BRUTOS'!$A$3:$A$500,$B5,'DADOS BRUTOS'!DT$3:DT$500)+IF($C5="",0,SUMIF('DADOS BRUTOS'!$A$3:$A$500,$C5,'DADOS BRUTOS'!DT$3:DT$500)))</f>
        <v>0</v>
      </c>
      <c r="GU5" s="133" t="n">
        <f aca="false">IF(OR(GU$4="",$B5=""),0,SUMIF('DADOS BRUTOS'!$A$3:$A$500,$B5,'DADOS BRUTOS'!DU$3:DU$500)+IF($C5="",0,SUMIF('DADOS BRUTOS'!$A$3:$A$500,$C5,'DADOS BRUTOS'!DU$3:DU$500)))</f>
        <v>0</v>
      </c>
      <c r="GV5" s="133" t="n">
        <f aca="false">IF(OR(GV$4="",$B5=""),0,SUMIF('DADOS BRUTOS'!$A$3:$A$500,$B5,'DADOS BRUTOS'!DV$3:DV$500)+IF($C5="",0,SUMIF('DADOS BRUTOS'!$A$3:$A$500,$C5,'DADOS BRUTOS'!DV$3:DV$500)))</f>
        <v>0</v>
      </c>
      <c r="GW5" s="133" t="n">
        <f aca="false">IF(OR(GW$4="",$B5=""),0,SUMIF('DADOS BRUTOS'!$A$3:$A$500,$B5,'DADOS BRUTOS'!DW$3:DW$500)+IF($C5="",0,SUMIF('DADOS BRUTOS'!$A$3:$A$500,$C5,'DADOS BRUTOS'!DW$3:DW$500)))</f>
        <v>0</v>
      </c>
      <c r="GX5" s="133" t="n">
        <f aca="false">IF(OR(GX$4="",$B5=""),0,SUMIF('DADOS BRUTOS'!$A$3:$A$500,$B5,'DADOS BRUTOS'!DX$3:DX$500)+IF($C5="",0,SUMIF('DADOS BRUTOS'!$A$3:$A$500,$C5,'DADOS BRUTOS'!DX$3:DX$500)))</f>
        <v>0</v>
      </c>
      <c r="GY5" s="133" t="n">
        <f aca="false">IF(OR(GY$4="",$B5=""),0,SUMIF('DADOS BRUTOS'!$A$3:$A$500,$B5,'DADOS BRUTOS'!DY$3:DY$500)+IF($C5="",0,SUMIF('DADOS BRUTOS'!$A$3:$A$500,$C5,'DADOS BRUTOS'!DY$3:DY$500)))</f>
        <v>0</v>
      </c>
      <c r="GZ5" s="133" t="n">
        <f aca="false">IF(OR(GZ$4="",$B5=""),0,SUMIF('DADOS BRUTOS'!$A$3:$A$500,$B5,'DADOS BRUTOS'!DZ$3:DZ$500)+IF($C5="",0,SUMIF('DADOS BRUTOS'!$A$3:$A$500,$C5,'DADOS BRUTOS'!DZ$3:DZ$500)))</f>
        <v>0</v>
      </c>
      <c r="HA5" s="133" t="n">
        <f aca="false">IF(OR(HA$4="",$B5=""),0,SUMIF('DADOS BRUTOS'!$A$3:$A$500,$B5,'DADOS BRUTOS'!EA$3:EA$500)+IF($C5="",0,SUMIF('DADOS BRUTOS'!$A$3:$A$500,$C5,'DADOS BRUTOS'!EA$3:EA$500)))</f>
        <v>0</v>
      </c>
      <c r="HB5" s="133" t="n">
        <f aca="false">IF(OR(HB$4="",$B5=""),0,SUMIF('DADOS BRUTOS'!$A$3:$A$500,$B5,'DADOS BRUTOS'!EB$3:EB$500)+IF($C5="",0,SUMIF('DADOS BRUTOS'!$A$3:$A$500,$C5,'DADOS BRUTOS'!EB$3:EB$500)))</f>
        <v>0</v>
      </c>
      <c r="HC5" s="133" t="n">
        <f aca="false">IF(OR(HC$4="",$B5=""),0,SUMIF('DADOS BRUTOS'!$A$3:$A$500,$B5,'DADOS BRUTOS'!EC$3:EC$500)+IF($C5="",0,SUMIF('DADOS BRUTOS'!$A$3:$A$500,$C5,'DADOS BRUTOS'!EC$3:EC$500)))</f>
        <v>0</v>
      </c>
      <c r="HD5" s="133" t="n">
        <f aca="false">IF(OR(HD$4="",$B5=""),0,SUMIF('DADOS BRUTOS'!$A$3:$A$500,$B5,'DADOS BRUTOS'!ED$3:ED$500)+IF($C5="",0,SUMIF('DADOS BRUTOS'!$A$3:$A$500,$C5,'DADOS BRUTOS'!ED$3:ED$500)))</f>
        <v>0</v>
      </c>
      <c r="HE5" s="133" t="n">
        <f aca="false">IF(OR(HE$4="",$B5=""),0,SUMIF('DADOS BRUTOS'!$A$3:$A$500,$B5,'DADOS BRUTOS'!EE$3:EE$500)+IF($C5="",0,SUMIF('DADOS BRUTOS'!$A$3:$A$500,$C5,'DADOS BRUTOS'!EE$3:EE$500)))</f>
        <v>0</v>
      </c>
      <c r="HF5" s="133" t="n">
        <f aca="false">IF(OR(HF$4="",$B5=""),0,SUMIF('DADOS BRUTOS'!$A$3:$A$500,$B5,'DADOS BRUTOS'!EF$3:EF$500)+IF($C5="",0,SUMIF('DADOS BRUTOS'!$A$3:$A$500,$C5,'DADOS BRUTOS'!EF$3:EF$500)))</f>
        <v>0</v>
      </c>
      <c r="HG5" s="133" t="n">
        <f aca="false">IF(OR(HG$4="",$B5=""),0,SUMIF('DADOS BRUTOS'!$A$3:$A$500,$B5,'DADOS BRUTOS'!EG$3:EG$500)+IF($C5="",0,SUMIF('DADOS BRUTOS'!$A$3:$A$500,$C5,'DADOS BRUTOS'!EG$3:EG$500)))</f>
        <v>0</v>
      </c>
      <c r="HH5" s="133" t="n">
        <f aca="false">IF(OR(HH$4="",$B5=""),0,SUMIF('DADOS BRUTOS'!$A$3:$A$500,$B5,'DADOS BRUTOS'!EH$3:EH$500)+IF($C5="",0,SUMIF('DADOS BRUTOS'!$A$3:$A$500,$C5,'DADOS BRUTOS'!EH$3:EH$500)))</f>
        <v>0</v>
      </c>
      <c r="HI5" s="133" t="n">
        <f aca="false">IF(OR(HI$4="",$B5=""),0,SUMIF('DADOS BRUTOS'!$A$3:$A$500,$B5,'DADOS BRUTOS'!EI$3:EI$500)+IF($C5="",0,SUMIF('DADOS BRUTOS'!$A$3:$A$500,$C5,'DADOS BRUTOS'!EI$3:EI$500)))</f>
        <v>0</v>
      </c>
      <c r="HJ5" s="133" t="n">
        <f aca="false">IF(OR(HJ$4="",$B5=""),0,SUMIF('DADOS BRUTOS'!$A$3:$A$500,$B5,'DADOS BRUTOS'!EJ$3:EJ$500)+IF($C5="",0,SUMIF('DADOS BRUTOS'!$A$3:$A$500,$C5,'DADOS BRUTOS'!EJ$3:EJ$500)))</f>
        <v>0</v>
      </c>
      <c r="HK5" s="133" t="n">
        <f aca="false">IF(OR(HK$4="",$B5=""),0,SUMIF('DADOS BRUTOS'!$A$3:$A$500,$B5,'DADOS BRUTOS'!EK$3:EK$500)+IF($C5="",0,SUMIF('DADOS BRUTOS'!$A$3:$A$500,$C5,'DADOS BRUTOS'!EK$3:EK$500)))</f>
        <v>0</v>
      </c>
      <c r="HL5" s="133" t="n">
        <f aca="false">IF(OR(HL$4="",$B5=""),0,SUMIF('DADOS BRUTOS'!$A$3:$A$500,$B5,'DADOS BRUTOS'!EL$3:EL$500)+IF($C5="",0,SUMIF('DADOS BRUTOS'!$A$3:$A$500,$C5,'DADOS BRUTOS'!EL$3:EL$500)))</f>
        <v>0</v>
      </c>
      <c r="HM5" s="133" t="n">
        <f aca="false">IF(OR(HM$4="",$B5=""),0,SUMIF('DADOS BRUTOS'!$A$3:$A$500,$B5,'DADOS BRUTOS'!EM$3:EM$500)+IF($C5="",0,SUMIF('DADOS BRUTOS'!$A$3:$A$500,$C5,'DADOS BRUTOS'!EM$3:EM$500)))</f>
        <v>0</v>
      </c>
      <c r="HN5" s="133" t="n">
        <f aca="false">IF(OR(HN$4="",$B5=""),0,SUMIF('DADOS BRUTOS'!$A$3:$A$500,$B5,'DADOS BRUTOS'!EN$3:EN$500)+IF($C5="",0,SUMIF('DADOS BRUTOS'!$A$3:$A$500,$C5,'DADOS BRUTOS'!EN$3:EN$500)))</f>
        <v>0</v>
      </c>
      <c r="HO5" s="133" t="n">
        <f aca="false">IF(OR(HO$4="",$B5=""),0,SUMIF('DADOS BRUTOS'!$A$3:$A$500,$B5,'DADOS BRUTOS'!EO$3:EO$500)+IF($C5="",0,SUMIF('DADOS BRUTOS'!$A$3:$A$500,$C5,'DADOS BRUTOS'!EO$3:EO$500)))</f>
        <v>0</v>
      </c>
      <c r="HP5" s="133" t="n">
        <f aca="false">IF(OR(HP$4="",$B5=""),0,SUMIF('DADOS BRUTOS'!$A$3:$A$500,$B5,'DADOS BRUTOS'!EP$3:EP$500)+IF($C5="",0,SUMIF('DADOS BRUTOS'!$A$3:$A$500,$C5,'DADOS BRUTOS'!EP$3:EP$500)))</f>
        <v>0</v>
      </c>
      <c r="HQ5" s="133" t="n">
        <f aca="false">IF(OR(HQ$4="",$B5=""),0,SUMIF('DADOS BRUTOS'!$A$3:$A$500,$B5,'DADOS BRUTOS'!EQ$3:EQ$500)+IF($C5="",0,SUMIF('DADOS BRUTOS'!$A$3:$A$500,$C5,'DADOS BRUTOS'!EQ$3:EQ$500)))</f>
        <v>0</v>
      </c>
      <c r="HR5" s="133" t="n">
        <f aca="false">IF(OR(HR$4="",$B5=""),0,SUMIF('DADOS BRUTOS'!$A$3:$A$500,$B5,'DADOS BRUTOS'!ER$3:ER$500)+IF($C5="",0,SUMIF('DADOS BRUTOS'!$A$3:$A$500,$C5,'DADOS BRUTOS'!ER$3:ER$500)))</f>
        <v>0</v>
      </c>
      <c r="HS5" s="133" t="n">
        <f aca="false">IF(OR(HS$4="",$B5=""),0,SUMIF('DADOS BRUTOS'!$A$3:$A$500,$B5,'DADOS BRUTOS'!ES$3:ES$500)+IF($C5="",0,SUMIF('DADOS BRUTOS'!$A$3:$A$500,$C5,'DADOS BRUTOS'!ES$3:ES$500)))</f>
        <v>0</v>
      </c>
      <c r="HT5" s="133" t="n">
        <f aca="false">IF(OR(HT$4="",$B5=""),0,SUMIF('DADOS BRUTOS'!$A$3:$A$500,$B5,'DADOS BRUTOS'!ET$3:ET$500)+IF($C5="",0,SUMIF('DADOS BRUTOS'!$A$3:$A$500,$C5,'DADOS BRUTOS'!ET$3:ET$500)))</f>
        <v>0</v>
      </c>
      <c r="HU5" s="133" t="n">
        <f aca="false">IF(OR(HU$4="",$B5=""),0,SUMIF('DADOS BRUTOS'!$A$3:$A$500,$B5,'DADOS BRUTOS'!EU$3:EU$500)+IF($C5="",0,SUMIF('DADOS BRUTOS'!$A$3:$A$500,$C5,'DADOS BRUTOS'!EU$3:EU$500)))</f>
        <v>0</v>
      </c>
      <c r="HV5" s="133" t="n">
        <f aca="false">IF(OR(HV$4="",$B5=""),0,SUMIF('DADOS BRUTOS'!$A$3:$A$500,$B5,'DADOS BRUTOS'!EV$3:EV$500)+IF($C5="",0,SUMIF('DADOS BRUTOS'!$A$3:$A$500,$C5,'DADOS BRUTOS'!EV$3:EV$500)))</f>
        <v>0</v>
      </c>
      <c r="HW5" s="133" t="n">
        <f aca="false">IF(OR(HW$4="",$B5=""),0,SUMIF('DADOS BRUTOS'!$A$3:$A$500,$B5,'DADOS BRUTOS'!EW$3:EW$500)+IF($C5="",0,SUMIF('DADOS BRUTOS'!$A$3:$A$500,$C5,'DADOS BRUTOS'!EW$3:EW$500)))</f>
        <v>0</v>
      </c>
      <c r="HX5" s="133" t="n">
        <f aca="false">IF(OR(HX$4="",$B5=""),0,SUMIF('DADOS BRUTOS'!$A$3:$A$500,$B5,'DADOS BRUTOS'!EX$3:EX$500)+IF($C5="",0,SUMIF('DADOS BRUTOS'!$A$3:$A$500,$C5,'DADOS BRUTOS'!EX$3:EX$500)))</f>
        <v>0</v>
      </c>
      <c r="HY5" s="133" t="n">
        <f aca="false">IF(OR(HY$4="",$B5=""),0,SUMIF('DADOS BRUTOS'!$A$3:$A$500,$B5,'DADOS BRUTOS'!EY$3:EY$500)+IF($C5="",0,SUMIF('DADOS BRUTOS'!$A$3:$A$500,$C5,'DADOS BRUTOS'!EY$3:EY$500)))</f>
        <v>0</v>
      </c>
      <c r="HZ5" s="133" t="n">
        <f aca="false">IF(OR(HZ$4="",$B5=""),0,SUMIF('DADOS BRUTOS'!$A$3:$A$500,$B5,'DADOS BRUTOS'!EZ$3:EZ$500)+IF($C5="",0,SUMIF('DADOS BRUTOS'!$A$3:$A$500,$C5,'DADOS BRUTOS'!EZ$3:EZ$500)))</f>
        <v>0</v>
      </c>
      <c r="IA5" s="133" t="n">
        <f aca="false">IF(OR(IA$4="",$B5=""),0,SUMIF('DADOS BRUTOS'!$A$3:$A$500,$B5,'DADOS BRUTOS'!FA$3:FA$500)+IF($C5="",0,SUMIF('DADOS BRUTOS'!$A$3:$A$500,$C5,'DADOS BRUTOS'!FA$3:FA$500)))</f>
        <v>0</v>
      </c>
      <c r="IB5" s="133" t="n">
        <f aca="false">IF(OR(IB$4="",$B5=""),0,SUMIF('DADOS BRUTOS'!$A$3:$A$500,$B5,'DADOS BRUTOS'!FB$3:FB$500)+IF($C5="",0,SUMIF('DADOS BRUTOS'!$A$3:$A$500,$C5,'DADOS BRUTOS'!FB$3:FB$500)))</f>
        <v>0</v>
      </c>
      <c r="IC5" s="133" t="n">
        <f aca="false">IF(OR(IC$4="",$B5=""),0,SUMIF('DADOS BRUTOS'!$A$3:$A$500,$B5,'DADOS BRUTOS'!FC$3:FC$500)+IF($C5="",0,SUMIF('DADOS BRUTOS'!$A$3:$A$500,$C5,'DADOS BRUTOS'!FC$3:FC$500)))</f>
        <v>0</v>
      </c>
      <c r="ID5" s="133" t="n">
        <f aca="false">IF(OR(ID$4="",$B5=""),0,SUMIF('DADOS BRUTOS'!$A$3:$A$500,$B5,'DADOS BRUTOS'!FD$3:FD$500)+IF($C5="",0,SUMIF('DADOS BRUTOS'!$A$3:$A$500,$C5,'DADOS BRUTOS'!FD$3:FD$500)))</f>
        <v>0</v>
      </c>
      <c r="IE5" s="133" t="n">
        <f aca="false">IF(OR(IE$4="",$B5=""),0,SUMIF('DADOS BRUTOS'!$A$3:$A$500,$B5,'DADOS BRUTOS'!FE$3:FE$500)+IF($C5="",0,SUMIF('DADOS BRUTOS'!$A$3:$A$500,$C5,'DADOS BRUTOS'!FE$3:FE$500)))</f>
        <v>0</v>
      </c>
      <c r="IF5" s="133" t="n">
        <f aca="false">IF(OR(IF$4="",$B5=""),0,SUMIF('DADOS BRUTOS'!$A$3:$A$500,$B5,'DADOS BRUTOS'!FF$3:FF$500)+IF($C5="",0,SUMIF('DADOS BRUTOS'!$A$3:$A$500,$C5,'DADOS BRUTOS'!FF$3:FF$500)))</f>
        <v>0</v>
      </c>
      <c r="IG5" s="133" t="n">
        <f aca="false">IF(OR(IG$4="",$B5=""),0,SUMIF('DADOS BRUTOS'!$A$3:$A$500,$B5,'DADOS BRUTOS'!FG$3:FG$500)+IF($C5="",0,SUMIF('DADOS BRUTOS'!$A$3:$A$500,$C5,'DADOS BRUTOS'!FG$3:FG$500)))</f>
        <v>0</v>
      </c>
      <c r="IH5" s="133" t="n">
        <f aca="false">IF(OR(IH$4="",$B5=""),0,SUMIF('DADOS BRUTOS'!$A$3:$A$500,$B5,'DADOS BRUTOS'!FH$3:FH$500)+IF($C5="",0,SUMIF('DADOS BRUTOS'!$A$3:$A$500,$C5,'DADOS BRUTOS'!FH$3:FH$500)))</f>
        <v>0</v>
      </c>
      <c r="II5" s="133" t="n">
        <f aca="false">IF(OR(II$4="",$B5=""),0,SUMIF('DADOS BRUTOS'!$A$3:$A$500,$B5,'DADOS BRUTOS'!FI$3:FI$500)+IF($C5="",0,SUMIF('DADOS BRUTOS'!$A$3:$A$500,$C5,'DADOS BRUTOS'!FI$3:FI$500)))</f>
        <v>0</v>
      </c>
      <c r="IJ5" s="133" t="n">
        <f aca="false">IF(OR(IJ$4="",$B5=""),0,SUMIF('DADOS BRUTOS'!$A$3:$A$500,$B5,'DADOS BRUTOS'!FJ$3:FJ$500)+IF($C5="",0,SUMIF('DADOS BRUTOS'!$A$3:$A$500,$C5,'DADOS BRUTOS'!FJ$3:FJ$500)))</f>
        <v>0</v>
      </c>
      <c r="IK5" s="133" t="n">
        <f aca="false">IF(OR(IK$4="",$B5=""),0,SUMIF('DADOS BRUTOS'!$A$3:$A$500,$B5,'DADOS BRUTOS'!FK$3:FK$500)+IF($C5="",0,SUMIF('DADOS BRUTOS'!$A$3:$A$500,$C5,'DADOS BRUTOS'!FK$3:FK$500)))</f>
        <v>0</v>
      </c>
      <c r="IL5" s="133" t="n">
        <f aca="false">IF(OR(IL$4="",$B5=""),0,SUMIF('DADOS BRUTOS'!$A$3:$A$500,$B5,'DADOS BRUTOS'!FL$3:FL$500)+IF($C5="",0,SUMIF('DADOS BRUTOS'!$A$3:$A$500,$C5,'DADOS BRUTOS'!FL$3:FL$500)))</f>
        <v>0</v>
      </c>
      <c r="IM5" s="133" t="n">
        <f aca="false">IF(OR(IM$4="",$B5=""),0,SUMIF('DADOS BRUTOS'!$A$3:$A$500,$B5,'DADOS BRUTOS'!FM$3:FM$500)+IF($C5="",0,SUMIF('DADOS BRUTOS'!$A$3:$A$500,$C5,'DADOS BRUTOS'!FM$3:FM$500)))</f>
        <v>0</v>
      </c>
      <c r="IN5" s="133" t="n">
        <f aca="false">IF(OR(IN$4="",$B5=""),0,SUMIF('DADOS BRUTOS'!$A$3:$A$500,$B5,'DADOS BRUTOS'!FN$3:FN$500)+IF($C5="",0,SUMIF('DADOS BRUTOS'!$A$3:$A$500,$C5,'DADOS BRUTOS'!FN$3:FN$500)))</f>
        <v>0</v>
      </c>
      <c r="IO5" s="133" t="n">
        <f aca="false">IF(OR(IO$4="",$B5=""),0,SUMIF('DADOS BRUTOS'!$A$3:$A$500,$B5,'DADOS BRUTOS'!FO$3:FO$500)+IF($C5="",0,SUMIF('DADOS BRUTOS'!$A$3:$A$500,$C5,'DADOS BRUTOS'!FO$3:FO$500)))</f>
        <v>0</v>
      </c>
      <c r="IP5" s="133" t="n">
        <f aca="false">IF(OR(IP$4="",$B5=""),0,SUMIF('DADOS BRUTOS'!$A$3:$A$500,$B5,'DADOS BRUTOS'!FP$3:FP$500)+IF($C5="",0,SUMIF('DADOS BRUTOS'!$A$3:$A$500,$C5,'DADOS BRUTOS'!FP$3:FP$500)))</f>
        <v>0</v>
      </c>
      <c r="IQ5" s="133" t="n">
        <f aca="false">IF(OR(IQ$4="",$B5=""),0,SUMIF('DADOS BRUTOS'!$A$3:$A$500,$B5,'DADOS BRUTOS'!FQ$3:FQ$500)+IF($C5="",0,SUMIF('DADOS BRUTOS'!$A$3:$A$500,$C5,'DADOS BRUTOS'!FQ$3:FQ$500)))</f>
        <v>0</v>
      </c>
      <c r="IR5" s="133" t="n">
        <f aca="false">IF(OR(IR$4="",$B5=""),0,SUMIF('DADOS BRUTOS'!$A$3:$A$500,$B5,'DADOS BRUTOS'!FR$3:FR$500)+IF($C5="",0,SUMIF('DADOS BRUTOS'!$A$3:$A$500,$C5,'DADOS BRUTOS'!FR$3:FR$500)))</f>
        <v>0</v>
      </c>
      <c r="IS5" s="133" t="n">
        <f aca="false">IF(OR(IS$4="",$B5=""),0,SUMIF('DADOS BRUTOS'!$A$3:$A$500,$B5,'DADOS BRUTOS'!FS$3:FS$500)+IF($C5="",0,SUMIF('DADOS BRUTOS'!$A$3:$A$500,$C5,'DADOS BRUTOS'!FS$3:FS$500)))</f>
        <v>0</v>
      </c>
      <c r="IT5" s="133" t="n">
        <f aca="false">IF(OR(IT$4="",$B5=""),0,SUMIF('DADOS BRUTOS'!$A$3:$A$500,$B5,'DADOS BRUTOS'!FT$3:FT$500)+IF($C5="",0,SUMIF('DADOS BRUTOS'!$A$3:$A$500,$C5,'DADOS BRUTOS'!FT$3:FT$500)))</f>
        <v>0</v>
      </c>
      <c r="IU5" s="133" t="n">
        <f aca="false">IF(OR(IU$4="",$B5=""),0,SUMIF('DADOS BRUTOS'!$A$3:$A$500,$B5,'DADOS BRUTOS'!FU$3:FU$500)+IF($C5="",0,SUMIF('DADOS BRUTOS'!$A$3:$A$500,$C5,'DADOS BRUTOS'!FU$3:FU$500)))</f>
        <v>0</v>
      </c>
      <c r="IV5" s="133" t="n">
        <f aca="false">IF(OR(IV$4="",$B5=""),0,SUMIF('DADOS BRUTOS'!$A$3:$A$500,$B5,'DADOS BRUTOS'!FV$3:FV$500)+IF($C5="",0,SUMIF('DADOS BRUTOS'!$A$3:$A$500,$C5,'DADOS BRUTOS'!FV$3:FV$500)))</f>
        <v>0</v>
      </c>
      <c r="IW5" s="133" t="n">
        <f aca="false">IF(OR(IW$4="",$B5=""),0,SUMIF('DADOS BRUTOS'!$A$3:$A$500,$B5,'DADOS BRUTOS'!FW$3:FW$500)+IF($C5="",0,SUMIF('DADOS BRUTOS'!$A$3:$A$500,$C5,'DADOS BRUTOS'!FW$3:FW$500)))</f>
        <v>0</v>
      </c>
      <c r="IX5" s="133" t="n">
        <f aca="false">IF(OR(IX$4="",$B5=""),0,SUMIF('DADOS BRUTOS'!$A$3:$A$500,$B5,'DADOS BRUTOS'!FX$3:FX$500)+IF($C5="",0,SUMIF('DADOS BRUTOS'!$A$3:$A$500,$C5,'DADOS BRUTOS'!FX$3:FX$500)))</f>
        <v>0</v>
      </c>
      <c r="IY5" s="133" t="n">
        <f aca="false">IF(OR(IY$4="",$B5=""),0,SUMIF('DADOS BRUTOS'!$A$3:$A$500,$B5,'DADOS BRUTOS'!FY$3:FY$500)+IF($C5="",0,SUMIF('DADOS BRUTOS'!$A$3:$A$500,$C5,'DADOS BRUTOS'!FY$3:FY$500)))</f>
        <v>0</v>
      </c>
      <c r="IZ5" s="133" t="n">
        <f aca="false">IF(OR(IZ$4="",$B5=""),0,SUMIF('DADOS BRUTOS'!$A$3:$A$500,$B5,'DADOS BRUTOS'!FZ$3:FZ$500)+IF($C5="",0,SUMIF('DADOS BRUTOS'!$A$3:$A$500,$C5,'DADOS BRUTOS'!FZ$3:FZ$500)))</f>
        <v>0</v>
      </c>
      <c r="JA5" s="133" t="n">
        <f aca="false">IF(OR(JA$4="",$B5=""),0,SUMIF('DADOS BRUTOS'!$A$3:$A$500,$B5,'DADOS BRUTOS'!GA$3:GA$500)+IF($C5="",0,SUMIF('DADOS BRUTOS'!$A$3:$A$500,$C5,'DADOS BRUTOS'!GA$3:GA$500)))</f>
        <v>0</v>
      </c>
      <c r="JB5" s="133" t="n">
        <f aca="false">IF(OR(JB$4="",$B5=""),0,SUMIF('DADOS BRUTOS'!$A$3:$A$500,$B5,'DADOS BRUTOS'!GB$3:GB$500)+IF($C5="",0,SUMIF('DADOS BRUTOS'!$A$3:$A$500,$C5,'DADOS BRUTOS'!GB$3:GB$500)))</f>
        <v>0</v>
      </c>
      <c r="JC5" s="133" t="n">
        <f aca="false">IF(OR(JC$4="",$B5=""),0,SUMIF('DADOS BRUTOS'!$A$3:$A$500,$B5,'DADOS BRUTOS'!GC$3:GC$500)+IF($C5="",0,SUMIF('DADOS BRUTOS'!$A$3:$A$500,$C5,'DADOS BRUTOS'!GC$3:GC$500)))</f>
        <v>0</v>
      </c>
      <c r="JD5" s="133" t="n">
        <f aca="false">IF(OR(JD$4="",$B5=""),0,SUMIF('DADOS BRUTOS'!$A$3:$A$500,$B5,'DADOS BRUTOS'!GD$3:GD$500)+IF($C5="",0,SUMIF('DADOS BRUTOS'!$A$3:$A$500,$C5,'DADOS BRUTOS'!GD$3:GD$500)))</f>
        <v>0</v>
      </c>
      <c r="JE5" s="133" t="n">
        <f aca="false">IF(OR(JE$4="",$B5=""),0,SUMIF('DADOS BRUTOS'!$A$3:$A$500,$B5,'DADOS BRUTOS'!GE$3:GE$500)+IF($C5="",0,SUMIF('DADOS BRUTOS'!$A$3:$A$500,$C5,'DADOS BRUTOS'!GE$3:GE$500)))</f>
        <v>0</v>
      </c>
      <c r="JF5" s="133" t="n">
        <f aca="false">IF(OR(JF$4="",$B5=""),0,SUMIF('DADOS BRUTOS'!$A$3:$A$500,$B5,'DADOS BRUTOS'!GF$3:GF$500)+IF($C5="",0,SUMIF('DADOS BRUTOS'!$A$3:$A$500,$C5,'DADOS BRUTOS'!GF$3:GF$500)))</f>
        <v>0</v>
      </c>
      <c r="JG5" s="133" t="n">
        <f aca="false">IF(OR(JG$4="",$B5=""),0,SUMIF('DADOS BRUTOS'!$A$3:$A$500,$B5,'DADOS BRUTOS'!GG$3:GG$500)+IF($C5="",0,SUMIF('DADOS BRUTOS'!$A$3:$A$500,$C5,'DADOS BRUTOS'!GG$3:GG$500)))</f>
        <v>0</v>
      </c>
      <c r="JH5" s="133" t="n">
        <f aca="false">IF(OR(JH$4="",$B5=""),0,SUMIF('DADOS BRUTOS'!$A$3:$A$500,$B5,'DADOS BRUTOS'!GH$3:GH$500)+IF($C5="",0,SUMIF('DADOS BRUTOS'!$A$3:$A$500,$C5,'DADOS BRUTOS'!GH$3:GH$500)))</f>
        <v>0</v>
      </c>
      <c r="JI5" s="133" t="n">
        <f aca="false">IF(OR(JI$4="",$B5=""),0,SUMIF('DADOS BRUTOS'!$A$3:$A$500,$B5,'DADOS BRUTOS'!GI$3:GI$500)+IF($C5="",0,SUMIF('DADOS BRUTOS'!$A$3:$A$500,$C5,'DADOS BRUTOS'!GI$3:GI$500)))</f>
        <v>0</v>
      </c>
      <c r="JJ5" s="133" t="n">
        <f aca="false">IF(OR(JJ$4="",$B5=""),0,SUMIF('DADOS BRUTOS'!$A$3:$A$500,$B5,'DADOS BRUTOS'!GJ$3:GJ$500)+IF($C5="",0,SUMIF('DADOS BRUTOS'!$A$3:$A$500,$C5,'DADOS BRUTOS'!GJ$3:GJ$500)))</f>
        <v>0</v>
      </c>
      <c r="JK5" s="133" t="n">
        <f aca="false">IF(OR(JK$4="",$B5=""),0,SUMIF('DADOS BRUTOS'!$A$3:$A$500,$B5,'DADOS BRUTOS'!GK$3:GK$500)+IF($C5="",0,SUMIF('DADOS BRUTOS'!$A$3:$A$500,$C5,'DADOS BRUTOS'!GK$3:GK$500)))</f>
        <v>0</v>
      </c>
      <c r="JL5" s="133" t="n">
        <f aca="false">IF(OR(JL$4="",$B5=""),0,SUMIF('DADOS BRUTOS'!$A$3:$A$500,$B5,'DADOS BRUTOS'!GL$3:GL$500)+IF($C5="",0,SUMIF('DADOS BRUTOS'!$A$3:$A$500,$C5,'DADOS BRUTOS'!GL$3:GL$500)))</f>
        <v>0</v>
      </c>
      <c r="JM5" s="133" t="n">
        <f aca="false">IF(OR(JM$4="",$B5=""),0,SUMIF('DADOS BRUTOS'!$A$3:$A$500,$B5,'DADOS BRUTOS'!GM$3:GM$500)+IF($C5="",0,SUMIF('DADOS BRUTOS'!$A$3:$A$500,$C5,'DADOS BRUTOS'!GM$3:GM$500)))</f>
        <v>0</v>
      </c>
      <c r="JN5" s="133" t="n">
        <f aca="false">IF(OR(JN$4="",$B5=""),0,SUMIF('DADOS BRUTOS'!$A$3:$A$500,$B5,'DADOS BRUTOS'!GN$3:GN$500)+IF($C5="",0,SUMIF('DADOS BRUTOS'!$A$3:$A$500,$C5,'DADOS BRUTOS'!GN$3:GN$500)))</f>
        <v>0</v>
      </c>
      <c r="JO5" s="133" t="n">
        <f aca="false">IF(OR(JO$4="",$B5=""),0,SUMIF('DADOS BRUTOS'!$A$3:$A$500,$B5,'DADOS BRUTOS'!GO$3:GO$500)+IF($C5="",0,SUMIF('DADOS BRUTOS'!$A$3:$A$500,$C5,'DADOS BRUTOS'!GO$3:GO$500)))</f>
        <v>0</v>
      </c>
      <c r="JP5" s="133" t="n">
        <f aca="false">IF(OR(JP$4="",$B5=""),0,SUMIF('DADOS BRUTOS'!$A$3:$A$500,$B5,'DADOS BRUTOS'!GP$3:GP$500)+IF($C5="",0,SUMIF('DADOS BRUTOS'!$A$3:$A$500,$C5,'DADOS BRUTOS'!GP$3:GP$500)))</f>
        <v>0</v>
      </c>
      <c r="JQ5" s="133" t="n">
        <f aca="false">IF(OR(JQ$4="",$B5=""),0,SUMIF('DADOS BRUTOS'!$A$3:$A$500,$B5,'DADOS BRUTOS'!GQ$3:GQ$500)+IF($C5="",0,SUMIF('DADOS BRUTOS'!$A$3:$A$500,$C5,'DADOS BRUTOS'!GQ$3:GQ$500)))</f>
        <v>0</v>
      </c>
      <c r="JR5" s="133" t="n">
        <f aca="false">IF(OR(JR$4="",$B5=""),0,SUMIF('DADOS BRUTOS'!$A$3:$A$500,$B5,'DADOS BRUTOS'!GR$3:GR$500)+IF($C5="",0,SUMIF('DADOS BRUTOS'!$A$3:$A$500,$C5,'DADOS BRUTOS'!GR$3:GR$500)))</f>
        <v>0</v>
      </c>
      <c r="JS5" s="133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0</v>
      </c>
      <c r="E6" s="50" t="n">
        <f aca="false">SUMIF($CB$4:$JS$4,E$4,$CB6:$JS6)</f>
        <v>0</v>
      </c>
      <c r="F6" s="50" t="n">
        <f aca="false">SUMIF($CB$4:$JS$4,F$4,$CB6:$JS6)</f>
        <v>0</v>
      </c>
      <c r="G6" s="50" t="n">
        <f aca="false">SUMIF($CB$4:$JS$4,G$4,$CB6:$JS6)</f>
        <v>13812.53</v>
      </c>
      <c r="H6" s="50" t="n">
        <f aca="false">SUMIF($CB$4:$JS$4,H$4,$CB6:$JS6)</f>
        <v>13812.51</v>
      </c>
      <c r="I6" s="50" t="n">
        <f aca="false">SUMIF($CB$4:$JS$4,I$4,$CB6:$JS6)</f>
        <v>13812.51</v>
      </c>
      <c r="J6" s="50" t="n">
        <f aca="false">SUMIF($CB$4:$JS$4,J$4,$CB6:$JS6)</f>
        <v>15129.61</v>
      </c>
      <c r="K6" s="50" t="n">
        <f aca="false">SUMIF($CB$4:$JS$4,K$4,$CB6:$JS6)</f>
        <v>13812.51</v>
      </c>
      <c r="L6" s="50" t="n">
        <f aca="false">SUMIF($CB$4:$JS$4,L$4,$CB6:$JS6)</f>
        <v>13812.51</v>
      </c>
      <c r="M6" s="50" t="n">
        <f aca="false">SUMIF($CB$4:$JS$4,M$4,$CB6:$JS6)</f>
        <v>13812.54</v>
      </c>
      <c r="N6" s="50" t="n">
        <f aca="false">SUMIF($CB$4:$JS$4,N$4,$CB6:$JS6)</f>
        <v>0</v>
      </c>
      <c r="O6" s="50" t="n">
        <f aca="false">SUMIF($CB$4:$JS$4,O$4,$CB6:$JS6)</f>
        <v>0</v>
      </c>
      <c r="P6" s="50" t="n">
        <f aca="false">SUMIF($CB$4:$JS$4,P$4,$CB6:$JS6)</f>
        <v>350.22</v>
      </c>
      <c r="Q6" s="50" t="n">
        <f aca="false">SUMIF($CB$4:$JS$4,Q$4,$CB6:$JS6)</f>
        <v>350.2</v>
      </c>
      <c r="R6" s="50" t="n">
        <f aca="false">SUMIF($CB$4:$JS$4,R$4,$CB6:$JS6)</f>
        <v>0</v>
      </c>
      <c r="S6" s="50" t="n">
        <f aca="false">SUMIF($CB$4:$JS$4,S$4,$CB6:$JS6)</f>
        <v>700.4</v>
      </c>
      <c r="T6" s="50" t="n">
        <f aca="false">SUMIF($CB$4:$JS$4,T$4,$CB6:$JS6)</f>
        <v>350.2</v>
      </c>
      <c r="U6" s="50" t="n">
        <f aca="false">SUMIF($CB$4:$JS$4,U$4,$CB6:$JS6)</f>
        <v>350.19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2422.63</v>
      </c>
      <c r="Z6" s="50" t="n">
        <f aca="false">SUMIF($CB$4:$JS$4,Z$4,$CB6:$JS6)</f>
        <v>17.26</v>
      </c>
      <c r="AA6" s="50" t="n">
        <f aca="false">SUMIF($CB$4:$JS$4,AA$4,$CB6:$JS6)</f>
        <v>0</v>
      </c>
      <c r="AB6" s="50" t="n">
        <f aca="false">SUMIF($CB$4:$JS$4,AB$4,$CB6:$JS6)</f>
        <v>0</v>
      </c>
      <c r="AC6" s="50" t="n">
        <f aca="false">SUMIF($CB$4:$JS$4,AC$4,$CB6:$JS6)</f>
        <v>0</v>
      </c>
      <c r="AD6" s="50" t="n">
        <f aca="false">SUMIF($CB$4:$JS$4,AD$4,$CB6:$JS6)</f>
        <v>119</v>
      </c>
      <c r="AE6" s="50" t="n">
        <f aca="false">SUMIF($CB$4:$JS$4,AE$4,$CB6:$JS6)</f>
        <v>0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102664.82</v>
      </c>
      <c r="BZ6" s="45" t="n">
        <f aca="false">SUMPRODUCT(($CB$4:$JS$4&lt;&gt;"")*($CB$4:$JS$4&lt;=$D$4),$CB6:$JS6,$CB$1:$JS$1)</f>
        <v>0</v>
      </c>
      <c r="CB6" s="133" t="n">
        <f aca="false">IF(OR(CB$4="",$B6=""),0,SUMIF('DADOS BRUTOS'!$A$3:$A$500,$B6,'DADOS BRUTOS'!B$3:B$500)+IF($C6="",0,SUMIF('DADOS BRUTOS'!$A$3:$A$500,$C6,'DADOS BRUTOS'!B$3:B$500)))</f>
        <v>0</v>
      </c>
      <c r="CC6" s="133" t="n">
        <f aca="false">IF(OR(CC$4="",$B6=""),0,SUMIF('DADOS BRUTOS'!$A$3:$A$500,$B6,'DADOS BRUTOS'!C$3:C$500)+IF($C6="",0,SUMIF('DADOS BRUTOS'!$A$3:$A$500,$C6,'DADOS BRUTOS'!C$3:C$500)))</f>
        <v>0</v>
      </c>
      <c r="CD6" s="133" t="n">
        <f aca="false">IF(OR(CD$4="",$B6=""),0,SUMIF('DADOS BRUTOS'!$A$3:$A$500,$B6,'DADOS BRUTOS'!D$3:D$500)+IF($C6="",0,SUMIF('DADOS BRUTOS'!$A$3:$A$500,$C6,'DADOS BRUTOS'!D$3:D$500)))</f>
        <v>0</v>
      </c>
      <c r="CE6" s="133" t="n">
        <f aca="false">IF(OR(CE$4="",$B6=""),0,SUMIF('DADOS BRUTOS'!$A$3:$A$500,$B6,'DADOS BRUTOS'!E$3:E$500)+IF($C6="",0,SUMIF('DADOS BRUTOS'!$A$3:$A$500,$C6,'DADOS BRUTOS'!E$3:E$500)))</f>
        <v>0</v>
      </c>
      <c r="CF6" s="133" t="n">
        <f aca="false">IF(OR(CF$4="",$B6=""),0,SUMIF('DADOS BRUTOS'!$A$3:$A$500,$B6,'DADOS BRUTOS'!F$3:F$500)+IF($C6="",0,SUMIF('DADOS BRUTOS'!$A$3:$A$500,$C6,'DADOS BRUTOS'!F$3:F$500)))</f>
        <v>0</v>
      </c>
      <c r="CG6" s="133" t="n">
        <f aca="false">IF(OR(CG$4="",$B6=""),0,SUMIF('DADOS BRUTOS'!$A$3:$A$500,$B6,'DADOS BRUTOS'!G$3:G$500)+IF($C6="",0,SUMIF('DADOS BRUTOS'!$A$3:$A$500,$C6,'DADOS BRUTOS'!G$3:G$500)))</f>
        <v>0</v>
      </c>
      <c r="CH6" s="133" t="n">
        <f aca="false">IF(OR(CH$4="",$B6=""),0,SUMIF('DADOS BRUTOS'!$A$3:$A$500,$B6,'DADOS BRUTOS'!H$3:H$500)+IF($C6="",0,SUMIF('DADOS BRUTOS'!$A$3:$A$500,$C6,'DADOS BRUTOS'!H$3:H$500)))</f>
        <v>0</v>
      </c>
      <c r="CI6" s="133" t="n">
        <f aca="false">IF(OR(CI$4="",$B6=""),0,SUMIF('DADOS BRUTOS'!$A$3:$A$500,$B6,'DADOS BRUTOS'!I$3:I$500)+IF($C6="",0,SUMIF('DADOS BRUTOS'!$A$3:$A$500,$C6,'DADOS BRUTOS'!I$3:I$500)))</f>
        <v>0</v>
      </c>
      <c r="CJ6" s="133" t="n">
        <f aca="false">IF(OR(CJ$4="",$B6=""),0,SUMIF('DADOS BRUTOS'!$A$3:$A$500,$B6,'DADOS BRUTOS'!J$3:J$500)+IF($C6="",0,SUMIF('DADOS BRUTOS'!$A$3:$A$500,$C6,'DADOS BRUTOS'!J$3:J$500)))</f>
        <v>0</v>
      </c>
      <c r="CK6" s="133" t="n">
        <f aca="false">IF(OR(CK$4="",$B6=""),0,SUMIF('DADOS BRUTOS'!$A$3:$A$500,$B6,'DADOS BRUTOS'!K$3:K$500)+IF($C6="",0,SUMIF('DADOS BRUTOS'!$A$3:$A$500,$C6,'DADOS BRUTOS'!K$3:K$500)))</f>
        <v>0</v>
      </c>
      <c r="CL6" s="133" t="n">
        <f aca="false">IF(OR(CL$4="",$B6=""),0,SUMIF('DADOS BRUTOS'!$A$3:$A$500,$B6,'DADOS BRUTOS'!L$3:L$500)+IF($C6="",0,SUMIF('DADOS BRUTOS'!$A$3:$A$500,$C6,'DADOS BRUTOS'!L$3:L$500)))</f>
        <v>0</v>
      </c>
      <c r="CM6" s="133" t="n">
        <f aca="false">IF(OR(CM$4="",$B6=""),0,SUMIF('DADOS BRUTOS'!$A$3:$A$500,$B6,'DADOS BRUTOS'!M$3:M$500)+IF($C6="",0,SUMIF('DADOS BRUTOS'!$A$3:$A$500,$C6,'DADOS BRUTOS'!M$3:M$500)))</f>
        <v>0</v>
      </c>
      <c r="CN6" s="133" t="n">
        <f aca="false">IF(OR(CN$4="",$B6=""),0,SUMIF('DADOS BRUTOS'!$A$3:$A$500,$B6,'DADOS BRUTOS'!N$3:N$500)+IF($C6="",0,SUMIF('DADOS BRUTOS'!$A$3:$A$500,$C6,'DADOS BRUTOS'!N$3:N$500)))</f>
        <v>0</v>
      </c>
      <c r="CO6" s="133" t="n">
        <f aca="false">IF(OR(CO$4="",$B6=""),0,SUMIF('DADOS BRUTOS'!$A$3:$A$500,$B6,'DADOS BRUTOS'!O$3:O$500)+IF($C6="",0,SUMIF('DADOS BRUTOS'!$A$3:$A$500,$C6,'DADOS BRUTOS'!O$3:O$500)))</f>
        <v>0</v>
      </c>
      <c r="CP6" s="133" t="n">
        <f aca="false">IF(OR(CP$4="",$B6=""),0,SUMIF('DADOS BRUTOS'!$A$3:$A$500,$B6,'DADOS BRUTOS'!P$3:P$500)+IF($C6="",0,SUMIF('DADOS BRUTOS'!$A$3:$A$500,$C6,'DADOS BRUTOS'!P$3:P$500)))</f>
        <v>0</v>
      </c>
      <c r="CQ6" s="133" t="n">
        <f aca="false">IF(OR(CQ$4="",$B6=""),0,SUMIF('DADOS BRUTOS'!$A$3:$A$500,$B6,'DADOS BRUTOS'!Q$3:Q$500)+IF($C6="",0,SUMIF('DADOS BRUTOS'!$A$3:$A$500,$C6,'DADOS BRUTOS'!Q$3:Q$500)))</f>
        <v>0</v>
      </c>
      <c r="CR6" s="133" t="n">
        <f aca="false">IF(OR(CR$4="",$B6=""),0,SUMIF('DADOS BRUTOS'!$A$3:$A$500,$B6,'DADOS BRUTOS'!R$3:R$500)+IF($C6="",0,SUMIF('DADOS BRUTOS'!$A$3:$A$500,$C6,'DADOS BRUTOS'!R$3:R$500)))</f>
        <v>0</v>
      </c>
      <c r="CS6" s="133" t="n">
        <f aca="false">IF(OR(CS$4="",$B6=""),0,SUMIF('DADOS BRUTOS'!$A$3:$A$500,$B6,'DADOS BRUTOS'!S$3:S$500)+IF($C6="",0,SUMIF('DADOS BRUTOS'!$A$3:$A$500,$C6,'DADOS BRUTOS'!S$3:S$500)))</f>
        <v>0</v>
      </c>
      <c r="CT6" s="133" t="n">
        <f aca="false">IF(OR(CT$4="",$B6=""),0,SUMIF('DADOS BRUTOS'!$A$3:$A$500,$B6,'DADOS BRUTOS'!T$3:T$500)+IF($C6="",0,SUMIF('DADOS BRUTOS'!$A$3:$A$500,$C6,'DADOS BRUTOS'!T$3:T$500)))</f>
        <v>0</v>
      </c>
      <c r="CU6" s="133" t="n">
        <f aca="false">IF(OR(CU$4="",$B6=""),0,SUMIF('DADOS BRUTOS'!$A$3:$A$500,$B6,'DADOS BRUTOS'!U$3:U$500)+IF($C6="",0,SUMIF('DADOS BRUTOS'!$A$3:$A$500,$C6,'DADOS BRUTOS'!U$3:U$500)))</f>
        <v>0</v>
      </c>
      <c r="CV6" s="133" t="n">
        <f aca="false">IF(OR(CV$4="",$B6=""),0,SUMIF('DADOS BRUTOS'!$A$3:$A$500,$B6,'DADOS BRUTOS'!V$3:V$500)+IF($C6="",0,SUMIF('DADOS BRUTOS'!$A$3:$A$500,$C6,'DADOS BRUTOS'!V$3:V$500)))</f>
        <v>0</v>
      </c>
      <c r="CW6" s="133" t="n">
        <f aca="false">IF(OR(CW$4="",$B6=""),0,SUMIF('DADOS BRUTOS'!$A$3:$A$500,$B6,'DADOS BRUTOS'!W$3:W$500)+IF($C6="",0,SUMIF('DADOS BRUTOS'!$A$3:$A$500,$C6,'DADOS BRUTOS'!W$3:W$500)))</f>
        <v>0</v>
      </c>
      <c r="CX6" s="133" t="n">
        <f aca="false">IF(OR(CX$4="",$B6=""),0,SUMIF('DADOS BRUTOS'!$A$3:$A$500,$B6,'DADOS BRUTOS'!X$3:X$500)+IF($C6="",0,SUMIF('DADOS BRUTOS'!$A$3:$A$500,$C6,'DADOS BRUTOS'!X$3:X$500)))</f>
        <v>0</v>
      </c>
      <c r="CY6" s="133" t="n">
        <f aca="false">IF(OR(CY$4="",$B6=""),0,SUMIF('DADOS BRUTOS'!$A$3:$A$500,$B6,'DADOS BRUTOS'!Y$3:Y$500)+IF($C6="",0,SUMIF('DADOS BRUTOS'!$A$3:$A$500,$C6,'DADOS BRUTOS'!Y$3:Y$500)))</f>
        <v>0</v>
      </c>
      <c r="CZ6" s="133" t="n">
        <f aca="false">IF(OR(CZ$4="",$B6=""),0,SUMIF('DADOS BRUTOS'!$A$3:$A$500,$B6,'DADOS BRUTOS'!Z$3:Z$500)+IF($C6="",0,SUMIF('DADOS BRUTOS'!$A$3:$A$500,$C6,'DADOS BRUTOS'!Z$3:Z$500)))</f>
        <v>0</v>
      </c>
      <c r="DA6" s="133" t="n">
        <f aca="false">IF(OR(DA$4="",$B6=""),0,SUMIF('DADOS BRUTOS'!$A$3:$A$500,$B6,'DADOS BRUTOS'!AA$3:AA$500)+IF($C6="",0,SUMIF('DADOS BRUTOS'!$A$3:$A$500,$C6,'DADOS BRUTOS'!AA$3:AA$500)))</f>
        <v>0</v>
      </c>
      <c r="DB6" s="133" t="n">
        <f aca="false">IF(OR(DB$4="",$B6=""),0,SUMIF('DADOS BRUTOS'!$A$3:$A$500,$B6,'DADOS BRUTOS'!AB$3:AB$500)+IF($C6="",0,SUMIF('DADOS BRUTOS'!$A$3:$A$500,$C6,'DADOS BRUTOS'!AB$3:AB$500)))</f>
        <v>0</v>
      </c>
      <c r="DC6" s="133" t="n">
        <f aca="false">IF(OR(DC$4="",$B6=""),0,SUMIF('DADOS BRUTOS'!$A$3:$A$500,$B6,'DADOS BRUTOS'!AC$3:AC$500)+IF($C6="",0,SUMIF('DADOS BRUTOS'!$A$3:$A$500,$C6,'DADOS BRUTOS'!AC$3:AC$500)))</f>
        <v>0</v>
      </c>
      <c r="DD6" s="133" t="n">
        <f aca="false">IF(OR(DD$4="",$B6=""),0,SUMIF('DADOS BRUTOS'!$A$3:$A$500,$B6,'DADOS BRUTOS'!AD$3:AD$500)+IF($C6="",0,SUMIF('DADOS BRUTOS'!$A$3:$A$500,$C6,'DADOS BRUTOS'!AD$3:AD$500)))</f>
        <v>0</v>
      </c>
      <c r="DE6" s="133" t="n">
        <f aca="false">IF(OR(DE$4="",$B6=""),0,SUMIF('DADOS BRUTOS'!$A$3:$A$500,$B6,'DADOS BRUTOS'!AE$3:AE$500)+IF($C6="",0,SUMIF('DADOS BRUTOS'!$A$3:$A$500,$C6,'DADOS BRUTOS'!AE$3:AE$500)))</f>
        <v>0</v>
      </c>
      <c r="DF6" s="133" t="n">
        <f aca="false">IF(OR(DF$4="",$B6=""),0,SUMIF('DADOS BRUTOS'!$A$3:$A$500,$B6,'DADOS BRUTOS'!AF$3:AF$500)+IF($C6="",0,SUMIF('DADOS BRUTOS'!$A$3:$A$500,$C6,'DADOS BRUTOS'!AF$3:AF$500)))</f>
        <v>0</v>
      </c>
      <c r="DG6" s="133" t="n">
        <f aca="false">IF(OR(DG$4="",$B6=""),0,SUMIF('DADOS BRUTOS'!$A$3:$A$500,$B6,'DADOS BRUTOS'!AG$3:AG$500)+IF($C6="",0,SUMIF('DADOS BRUTOS'!$A$3:$A$500,$C6,'DADOS BRUTOS'!AG$3:AG$500)))</f>
        <v>0</v>
      </c>
      <c r="DH6" s="133" t="n">
        <f aca="false">IF(OR(DH$4="",$B6=""),0,SUMIF('DADOS BRUTOS'!$A$3:$A$500,$B6,'DADOS BRUTOS'!AH$3:AH$500)+IF($C6="",0,SUMIF('DADOS BRUTOS'!$A$3:$A$500,$C6,'DADOS BRUTOS'!AH$3:AH$500)))</f>
        <v>0</v>
      </c>
      <c r="DI6" s="133" t="n">
        <f aca="false">IF(OR(DI$4="",$B6=""),0,SUMIF('DADOS BRUTOS'!$A$3:$A$500,$B6,'DADOS BRUTOS'!AI$3:AI$500)+IF($C6="",0,SUMIF('DADOS BRUTOS'!$A$3:$A$500,$C6,'DADOS BRUTOS'!AI$3:AI$500)))</f>
        <v>0</v>
      </c>
      <c r="DJ6" s="133" t="n">
        <f aca="false">IF(OR(DJ$4="",$B6=""),0,SUMIF('DADOS BRUTOS'!$A$3:$A$500,$B6,'DADOS BRUTOS'!AJ$3:AJ$500)+IF($C6="",0,SUMIF('DADOS BRUTOS'!$A$3:$A$500,$C6,'DADOS BRUTOS'!AJ$3:AJ$500)))</f>
        <v>0</v>
      </c>
      <c r="DK6" s="133" t="n">
        <f aca="false">IF(OR(DK$4="",$B6=""),0,SUMIF('DADOS BRUTOS'!$A$3:$A$500,$B6,'DADOS BRUTOS'!AK$3:AK$500)+IF($C6="",0,SUMIF('DADOS BRUTOS'!$A$3:$A$500,$C6,'DADOS BRUTOS'!AK$3:AK$500)))</f>
        <v>13812.53</v>
      </c>
      <c r="DL6" s="133" t="n">
        <f aca="false">IF(OR(DL$4="",$B6=""),0,SUMIF('DADOS BRUTOS'!$A$3:$A$500,$B6,'DADOS BRUTOS'!AL$3:AL$500)+IF($C6="",0,SUMIF('DADOS BRUTOS'!$A$3:$A$500,$C6,'DADOS BRUTOS'!AL$3:AL$500)))</f>
        <v>13812.51</v>
      </c>
      <c r="DM6" s="133" t="n">
        <f aca="false">IF(OR(DM$4="",$B6=""),0,SUMIF('DADOS BRUTOS'!$A$3:$A$500,$B6,'DADOS BRUTOS'!AM$3:AM$500)+IF($C6="",0,SUMIF('DADOS BRUTOS'!$A$3:$A$500,$C6,'DADOS BRUTOS'!AM$3:AM$500)))</f>
        <v>13812.51</v>
      </c>
      <c r="DN6" s="133" t="n">
        <f aca="false">IF(OR(DN$4="",$B6=""),0,SUMIF('DADOS BRUTOS'!$A$3:$A$500,$B6,'DADOS BRUTOS'!AN$3:AN$500)+IF($C6="",0,SUMIF('DADOS BRUTOS'!$A$3:$A$500,$C6,'DADOS BRUTOS'!AN$3:AN$500)))</f>
        <v>15129.61</v>
      </c>
      <c r="DO6" s="133" t="n">
        <f aca="false">IF(OR(DO$4="",$B6=""),0,SUMIF('DADOS BRUTOS'!$A$3:$A$500,$B6,'DADOS BRUTOS'!AO$3:AO$500)+IF($C6="",0,SUMIF('DADOS BRUTOS'!$A$3:$A$500,$C6,'DADOS BRUTOS'!AO$3:AO$500)))</f>
        <v>13812.51</v>
      </c>
      <c r="DP6" s="133" t="n">
        <f aca="false">IF(OR(DP$4="",$B6=""),0,SUMIF('DADOS BRUTOS'!$A$3:$A$500,$B6,'DADOS BRUTOS'!AP$3:AP$500)+IF($C6="",0,SUMIF('DADOS BRUTOS'!$A$3:$A$500,$C6,'DADOS BRUTOS'!AP$3:AP$500)))</f>
        <v>13812.51</v>
      </c>
      <c r="DQ6" s="133" t="n">
        <f aca="false">IF(OR(DQ$4="",$B6=""),0,SUMIF('DADOS BRUTOS'!$A$3:$A$500,$B6,'DADOS BRUTOS'!AQ$3:AQ$500)+IF($C6="",0,SUMIF('DADOS BRUTOS'!$A$3:$A$500,$C6,'DADOS BRUTOS'!AQ$3:AQ$500)))</f>
        <v>13812.54</v>
      </c>
      <c r="DR6" s="133" t="n">
        <f aca="false">IF(OR(DR$4="",$B6=""),0,SUMIF('DADOS BRUTOS'!$A$3:$A$500,$B6,'DADOS BRUTOS'!AR$3:AR$500)+IF($C6="",0,SUMIF('DADOS BRUTOS'!$A$3:$A$500,$C6,'DADOS BRUTOS'!AR$3:AR$500)))</f>
        <v>0</v>
      </c>
      <c r="DS6" s="133" t="n">
        <f aca="false">IF(OR(DS$4="",$B6=""),0,SUMIF('DADOS BRUTOS'!$A$3:$A$500,$B6,'DADOS BRUTOS'!AS$3:AS$500)+IF($C6="",0,SUMIF('DADOS BRUTOS'!$A$3:$A$500,$C6,'DADOS BRUTOS'!AS$3:AS$500)))</f>
        <v>0</v>
      </c>
      <c r="DT6" s="133" t="n">
        <f aca="false">IF(OR(DT$4="",$B6=""),0,SUMIF('DADOS BRUTOS'!$A$3:$A$500,$B6,'DADOS BRUTOS'!AT$3:AT$500)+IF($C6="",0,SUMIF('DADOS BRUTOS'!$A$3:$A$500,$C6,'DADOS BRUTOS'!AT$3:AT$500)))</f>
        <v>350.22</v>
      </c>
      <c r="DU6" s="133" t="n">
        <f aca="false">IF(OR(DU$4="",$B6=""),0,SUMIF('DADOS BRUTOS'!$A$3:$A$500,$B6,'DADOS BRUTOS'!AU$3:AU$500)+IF($C6="",0,SUMIF('DADOS BRUTOS'!$A$3:$A$500,$C6,'DADOS BRUTOS'!AU$3:AU$500)))</f>
        <v>350.2</v>
      </c>
      <c r="DV6" s="133" t="n">
        <f aca="false">IF(OR(DV$4="",$B6=""),0,SUMIF('DADOS BRUTOS'!$A$3:$A$500,$B6,'DADOS BRUTOS'!AV$3:AV$500)+IF($C6="",0,SUMIF('DADOS BRUTOS'!$A$3:$A$500,$C6,'DADOS BRUTOS'!AV$3:AV$500)))</f>
        <v>0</v>
      </c>
      <c r="DW6" s="133" t="n">
        <f aca="false">IF(OR(DW$4="",$B6=""),0,SUMIF('DADOS BRUTOS'!$A$3:$A$500,$B6,'DADOS BRUTOS'!AW$3:AW$500)+IF($C6="",0,SUMIF('DADOS BRUTOS'!$A$3:$A$500,$C6,'DADOS BRUTOS'!AW$3:AW$500)))</f>
        <v>700.4</v>
      </c>
      <c r="DX6" s="133" t="n">
        <f aca="false">IF(OR(DX$4="",$B6=""),0,SUMIF('DADOS BRUTOS'!$A$3:$A$500,$B6,'DADOS BRUTOS'!AX$3:AX$500)+IF($C6="",0,SUMIF('DADOS BRUTOS'!$A$3:$A$500,$C6,'DADOS BRUTOS'!AX$3:AX$500)))</f>
        <v>350.2</v>
      </c>
      <c r="DY6" s="133" t="n">
        <f aca="false">IF(OR(DY$4="",$B6=""),0,SUMIF('DADOS BRUTOS'!$A$3:$A$500,$B6,'DADOS BRUTOS'!AY$3:AY$500)+IF($C6="",0,SUMIF('DADOS BRUTOS'!$A$3:$A$500,$C6,'DADOS BRUTOS'!AY$3:AY$500)))</f>
        <v>350.19</v>
      </c>
      <c r="DZ6" s="133" t="n">
        <f aca="false">IF(OR(DZ$4="",$B6=""),0,SUMIF('DADOS BRUTOS'!$A$3:$A$500,$B6,'DADOS BRUTOS'!AZ$3:AZ$500)+IF($C6="",0,SUMIF('DADOS BRUTOS'!$A$3:$A$500,$C6,'DADOS BRUTOS'!AZ$3:AZ$500)))</f>
        <v>0</v>
      </c>
      <c r="EA6" s="133" t="n">
        <f aca="false">IF(OR(EA$4="",$B6=""),0,SUMIF('DADOS BRUTOS'!$A$3:$A$500,$B6,'DADOS BRUTOS'!BA$3:BA$500)+IF($C6="",0,SUMIF('DADOS BRUTOS'!$A$3:$A$500,$C6,'DADOS BRUTOS'!BA$3:BA$500)))</f>
        <v>0</v>
      </c>
      <c r="EB6" s="133" t="n">
        <f aca="false">IF(OR(EB$4="",$B6=""),0,SUMIF('DADOS BRUTOS'!$A$3:$A$500,$B6,'DADOS BRUTOS'!BB$3:BB$500)+IF($C6="",0,SUMIF('DADOS BRUTOS'!$A$3:$A$500,$C6,'DADOS BRUTOS'!BB$3:BB$500)))</f>
        <v>0</v>
      </c>
      <c r="EC6" s="133" t="n">
        <f aca="false">IF(OR(EC$4="",$B6=""),0,SUMIF('DADOS BRUTOS'!$A$3:$A$500,$B6,'DADOS BRUTOS'!BC$3:BC$500)+IF($C6="",0,SUMIF('DADOS BRUTOS'!$A$3:$A$500,$C6,'DADOS BRUTOS'!BC$3:BC$500)))</f>
        <v>2422.63</v>
      </c>
      <c r="ED6" s="133" t="n">
        <f aca="false">IF(OR(ED$4="",$B6=""),0,SUMIF('DADOS BRUTOS'!$A$3:$A$500,$B6,'DADOS BRUTOS'!BD$3:BD$500)+IF($C6="",0,SUMIF('DADOS BRUTOS'!$A$3:$A$500,$C6,'DADOS BRUTOS'!BD$3:BD$500)))</f>
        <v>17.26</v>
      </c>
      <c r="EE6" s="133" t="n">
        <f aca="false">IF(OR(EE$4="",$B6=""),0,SUMIF('DADOS BRUTOS'!$A$3:$A$500,$B6,'DADOS BRUTOS'!BE$3:BE$500)+IF($C6="",0,SUMIF('DADOS BRUTOS'!$A$3:$A$500,$C6,'DADOS BRUTOS'!BE$3:BE$500)))</f>
        <v>0</v>
      </c>
      <c r="EF6" s="133" t="n">
        <f aca="false">IF(OR(EF$4="",$B6=""),0,SUMIF('DADOS BRUTOS'!$A$3:$A$500,$B6,'DADOS BRUTOS'!BF$3:BF$500)+IF($C6="",0,SUMIF('DADOS BRUTOS'!$A$3:$A$500,$C6,'DADOS BRUTOS'!BF$3:BF$500)))</f>
        <v>0</v>
      </c>
      <c r="EG6" s="133" t="n">
        <f aca="false">IF(OR(EG$4="",$B6=""),0,SUMIF('DADOS BRUTOS'!$A$3:$A$500,$B6,'DADOS BRUTOS'!BG$3:BG$500)+IF($C6="",0,SUMIF('DADOS BRUTOS'!$A$3:$A$500,$C6,'DADOS BRUTOS'!BG$3:BG$500)))</f>
        <v>0</v>
      </c>
      <c r="EH6" s="133" t="n">
        <f aca="false">IF(OR(EH$4="",$B6=""),0,SUMIF('DADOS BRUTOS'!$A$3:$A$500,$B6,'DADOS BRUTOS'!BH$3:BH$500)+IF($C6="",0,SUMIF('DADOS BRUTOS'!$A$3:$A$500,$C6,'DADOS BRUTOS'!BH$3:BH$500)))</f>
        <v>119</v>
      </c>
      <c r="EI6" s="133" t="n">
        <f aca="false">IF(OR(EI$4="",$B6=""),0,SUMIF('DADOS BRUTOS'!$A$3:$A$500,$B6,'DADOS BRUTOS'!BI$3:BI$500)+IF($C6="",0,SUMIF('DADOS BRUTOS'!$A$3:$A$500,$C6,'DADOS BRUTOS'!BI$3:BI$500)))</f>
        <v>0</v>
      </c>
      <c r="EJ6" s="133" t="n">
        <f aca="false">IF(OR(EJ$4="",$B6=""),0,SUMIF('DADOS BRUTOS'!$A$3:$A$500,$B6,'DADOS BRUTOS'!BJ$3:BJ$500)+IF($C6="",0,SUMIF('DADOS BRUTOS'!$A$3:$A$500,$C6,'DADOS BRUTOS'!BJ$3:BJ$500)))</f>
        <v>0</v>
      </c>
      <c r="EK6" s="133" t="n">
        <f aca="false">IF(OR(EK$4="",$B6=""),0,SUMIF('DADOS BRUTOS'!$A$3:$A$500,$B6,'DADOS BRUTOS'!BK$3:BK$500)+IF($C6="",0,SUMIF('DADOS BRUTOS'!$A$3:$A$500,$C6,'DADOS BRUTOS'!BK$3:BK$500)))</f>
        <v>0</v>
      </c>
      <c r="EL6" s="133" t="n">
        <f aca="false">IF(OR(EL$4="",$B6=""),0,SUMIF('DADOS BRUTOS'!$A$3:$A$500,$B6,'DADOS BRUTOS'!BL$3:BL$500)+IF($C6="",0,SUMIF('DADOS BRUTOS'!$A$3:$A$500,$C6,'DADOS BRUTOS'!BL$3:BL$500)))</f>
        <v>0</v>
      </c>
      <c r="EM6" s="133" t="n">
        <f aca="false">IF(OR(EM$4="",$B6=""),0,SUMIF('DADOS BRUTOS'!$A$3:$A$500,$B6,'DADOS BRUTOS'!BM$3:BM$500)+IF($C6="",0,SUMIF('DADOS BRUTOS'!$A$3:$A$500,$C6,'DADOS BRUTOS'!BM$3:BM$500)))</f>
        <v>0</v>
      </c>
      <c r="EN6" s="133" t="n">
        <f aca="false">IF(OR(EN$4="",$B6=""),0,SUMIF('DADOS BRUTOS'!$A$3:$A$500,$B6,'DADOS BRUTOS'!BN$3:BN$500)+IF($C6="",0,SUMIF('DADOS BRUTOS'!$A$3:$A$500,$C6,'DADOS BRUTOS'!BN$3:BN$500)))</f>
        <v>0</v>
      </c>
      <c r="EO6" s="133" t="n">
        <f aca="false">IF(OR(EO$4="",$B6=""),0,SUMIF('DADOS BRUTOS'!$A$3:$A$500,$B6,'DADOS BRUTOS'!BO$3:BO$500)+IF($C6="",0,SUMIF('DADOS BRUTOS'!$A$3:$A$500,$C6,'DADOS BRUTOS'!BO$3:BO$500)))</f>
        <v>0</v>
      </c>
      <c r="EP6" s="133" t="n">
        <f aca="false">IF(OR(EP$4="",$B6=""),0,SUMIF('DADOS BRUTOS'!$A$3:$A$500,$B6,'DADOS BRUTOS'!BP$3:BP$500)+IF($C6="",0,SUMIF('DADOS BRUTOS'!$A$3:$A$500,$C6,'DADOS BRUTOS'!BP$3:BP$500)))</f>
        <v>0</v>
      </c>
      <c r="EQ6" s="133" t="n">
        <f aca="false">IF(OR(EQ$4="",$B6=""),0,SUMIF('DADOS BRUTOS'!$A$3:$A$500,$B6,'DADOS BRUTOS'!BQ$3:BQ$500)+IF($C6="",0,SUMIF('DADOS BRUTOS'!$A$3:$A$500,$C6,'DADOS BRUTOS'!BQ$3:BQ$500)))</f>
        <v>0</v>
      </c>
      <c r="ER6" s="133" t="n">
        <f aca="false">IF(OR(ER$4="",$B6=""),0,SUMIF('DADOS BRUTOS'!$A$3:$A$500,$B6,'DADOS BRUTOS'!BR$3:BR$500)+IF($C6="",0,SUMIF('DADOS BRUTOS'!$A$3:$A$500,$C6,'DADOS BRUTOS'!BR$3:BR$500)))</f>
        <v>0</v>
      </c>
      <c r="ES6" s="133" t="n">
        <f aca="false">IF(OR(ES$4="",$B6=""),0,SUMIF('DADOS BRUTOS'!$A$3:$A$500,$B6,'DADOS BRUTOS'!BS$3:BS$500)+IF($C6="",0,SUMIF('DADOS BRUTOS'!$A$3:$A$500,$C6,'DADOS BRUTOS'!BS$3:BS$500)))</f>
        <v>0</v>
      </c>
      <c r="ET6" s="133" t="n">
        <f aca="false">IF(OR(ET$4="",$B6=""),0,SUMIF('DADOS BRUTOS'!$A$3:$A$500,$B6,'DADOS BRUTOS'!BT$3:BT$500)+IF($C6="",0,SUMIF('DADOS BRUTOS'!$A$3:$A$500,$C6,'DADOS BRUTOS'!BT$3:BT$500)))</f>
        <v>0</v>
      </c>
      <c r="EU6" s="133" t="n">
        <f aca="false">IF(OR(EU$4="",$B6=""),0,SUMIF('DADOS BRUTOS'!$A$3:$A$500,$B6,'DADOS BRUTOS'!BU$3:BU$500)+IF($C6="",0,SUMIF('DADOS BRUTOS'!$A$3:$A$500,$C6,'DADOS BRUTOS'!BU$3:BU$500)))</f>
        <v>0</v>
      </c>
      <c r="EV6" s="133" t="n">
        <f aca="false">IF(OR(EV$4="",$B6=""),0,SUMIF('DADOS BRUTOS'!$A$3:$A$500,$B6,'DADOS BRUTOS'!BV$3:BV$500)+IF($C6="",0,SUMIF('DADOS BRUTOS'!$A$3:$A$500,$C6,'DADOS BRUTOS'!BV$3:BV$500)))</f>
        <v>0</v>
      </c>
      <c r="EW6" s="133" t="n">
        <f aca="false">IF(OR(EW$4="",$B6=""),0,SUMIF('DADOS BRUTOS'!$A$3:$A$500,$B6,'DADOS BRUTOS'!BW$3:BW$500)+IF($C6="",0,SUMIF('DADOS BRUTOS'!$A$3:$A$500,$C6,'DADOS BRUTOS'!BW$3:BW$500)))</f>
        <v>0</v>
      </c>
      <c r="EX6" s="133" t="n">
        <f aca="false">IF(OR(EX$4="",$B6=""),0,SUMIF('DADOS BRUTOS'!$A$3:$A$500,$B6,'DADOS BRUTOS'!BX$3:BX$500)+IF($C6="",0,SUMIF('DADOS BRUTOS'!$A$3:$A$500,$C6,'DADOS BRUTOS'!BX$3:BX$500)))</f>
        <v>0</v>
      </c>
      <c r="EY6" s="133" t="n">
        <f aca="false">IF(OR(EY$4="",$B6=""),0,SUMIF('DADOS BRUTOS'!$A$3:$A$500,$B6,'DADOS BRUTOS'!BY$3:BY$500)+IF($C6="",0,SUMIF('DADOS BRUTOS'!$A$3:$A$500,$C6,'DADOS BRUTOS'!BY$3:BY$500)))</f>
        <v>0</v>
      </c>
      <c r="EZ6" s="133" t="n">
        <f aca="false">IF(OR(EZ$4="",$B6=""),0,SUMIF('DADOS BRUTOS'!$A$3:$A$500,$B6,'DADOS BRUTOS'!BZ$3:BZ$500)+IF($C6="",0,SUMIF('DADOS BRUTOS'!$A$3:$A$500,$C6,'DADOS BRUTOS'!BZ$3:BZ$500)))</f>
        <v>0</v>
      </c>
      <c r="FA6" s="133" t="n">
        <f aca="false">IF(OR(FA$4="",$B6=""),0,SUMIF('DADOS BRUTOS'!$A$3:$A$500,$B6,'DADOS BRUTOS'!CA$3:CA$500)+IF($C6="",0,SUMIF('DADOS BRUTOS'!$A$3:$A$500,$C6,'DADOS BRUTOS'!CA$3:CA$500)))</f>
        <v>0</v>
      </c>
      <c r="FB6" s="133" t="n">
        <f aca="false">IF(OR(FB$4="",$B6=""),0,SUMIF('DADOS BRUTOS'!$A$3:$A$500,$B6,'DADOS BRUTOS'!CB$3:CB$500)+IF($C6="",0,SUMIF('DADOS BRUTOS'!$A$3:$A$500,$C6,'DADOS BRUTOS'!CB$3:CB$500)))</f>
        <v>0</v>
      </c>
      <c r="FC6" s="133" t="n">
        <f aca="false">IF(OR(FC$4="",$B6=""),0,SUMIF('DADOS BRUTOS'!$A$3:$A$500,$B6,'DADOS BRUTOS'!CC$3:CC$500)+IF($C6="",0,SUMIF('DADOS BRUTOS'!$A$3:$A$500,$C6,'DADOS BRUTOS'!CC$3:CC$500)))</f>
        <v>0</v>
      </c>
      <c r="FD6" s="133" t="n">
        <f aca="false">IF(OR(FD$4="",$B6=""),0,SUMIF('DADOS BRUTOS'!$A$3:$A$500,$B6,'DADOS BRUTOS'!CD$3:CD$500)+IF($C6="",0,SUMIF('DADOS BRUTOS'!$A$3:$A$500,$C6,'DADOS BRUTOS'!CD$3:CD$500)))</f>
        <v>0</v>
      </c>
      <c r="FE6" s="133" t="n">
        <f aca="false">IF(OR(FE$4="",$B6=""),0,SUMIF('DADOS BRUTOS'!$A$3:$A$500,$B6,'DADOS BRUTOS'!CE$3:CE$500)+IF($C6="",0,SUMIF('DADOS BRUTOS'!$A$3:$A$500,$C6,'DADOS BRUTOS'!CE$3:CE$500)))</f>
        <v>0</v>
      </c>
      <c r="FF6" s="133" t="n">
        <f aca="false">IF(OR(FF$4="",$B6=""),0,SUMIF('DADOS BRUTOS'!$A$3:$A$500,$B6,'DADOS BRUTOS'!CF$3:CF$500)+IF($C6="",0,SUMIF('DADOS BRUTOS'!$A$3:$A$500,$C6,'DADOS BRUTOS'!CF$3:CF$500)))</f>
        <v>0</v>
      </c>
      <c r="FG6" s="133" t="n">
        <f aca="false">IF(OR(FG$4="",$B6=""),0,SUMIF('DADOS BRUTOS'!$A$3:$A$500,$B6,'DADOS BRUTOS'!CG$3:CG$500)+IF($C6="",0,SUMIF('DADOS BRUTOS'!$A$3:$A$500,$C6,'DADOS BRUTOS'!CG$3:CG$500)))</f>
        <v>0</v>
      </c>
      <c r="FH6" s="133" t="n">
        <f aca="false">IF(OR(FH$4="",$B6=""),0,SUMIF('DADOS BRUTOS'!$A$3:$A$500,$B6,'DADOS BRUTOS'!CH$3:CH$500)+IF($C6="",0,SUMIF('DADOS BRUTOS'!$A$3:$A$500,$C6,'DADOS BRUTOS'!CH$3:CH$500)))</f>
        <v>0</v>
      </c>
      <c r="FI6" s="133" t="n">
        <f aca="false">IF(OR(FI$4="",$B6=""),0,SUMIF('DADOS BRUTOS'!$A$3:$A$500,$B6,'DADOS BRUTOS'!CI$3:CI$500)+IF($C6="",0,SUMIF('DADOS BRUTOS'!$A$3:$A$500,$C6,'DADOS BRUTOS'!CI$3:CI$500)))</f>
        <v>0</v>
      </c>
      <c r="FJ6" s="133" t="n">
        <f aca="false">IF(OR(FJ$4="",$B6=""),0,SUMIF('DADOS BRUTOS'!$A$3:$A$500,$B6,'DADOS BRUTOS'!CJ$3:CJ$500)+IF($C6="",0,SUMIF('DADOS BRUTOS'!$A$3:$A$500,$C6,'DADOS BRUTOS'!CJ$3:CJ$500)))</f>
        <v>0</v>
      </c>
      <c r="FK6" s="133" t="n">
        <f aca="false">IF(OR(FK$4="",$B6=""),0,SUMIF('DADOS BRUTOS'!$A$3:$A$500,$B6,'DADOS BRUTOS'!CK$3:CK$500)+IF($C6="",0,SUMIF('DADOS BRUTOS'!$A$3:$A$500,$C6,'DADOS BRUTOS'!CK$3:CK$500)))</f>
        <v>0</v>
      </c>
      <c r="FL6" s="133" t="n">
        <f aca="false">IF(OR(FL$4="",$B6=""),0,SUMIF('DADOS BRUTOS'!$A$3:$A$500,$B6,'DADOS BRUTOS'!CL$3:CL$500)+IF($C6="",0,SUMIF('DADOS BRUTOS'!$A$3:$A$500,$C6,'DADOS BRUTOS'!CL$3:CL$500)))</f>
        <v>0</v>
      </c>
      <c r="FM6" s="133" t="n">
        <f aca="false">IF(OR(FM$4="",$B6=""),0,SUMIF('DADOS BRUTOS'!$A$3:$A$500,$B6,'DADOS BRUTOS'!CM$3:CM$500)+IF($C6="",0,SUMIF('DADOS BRUTOS'!$A$3:$A$500,$C6,'DADOS BRUTOS'!CM$3:CM$500)))</f>
        <v>0</v>
      </c>
      <c r="FN6" s="133" t="n">
        <f aca="false">IF(OR(FN$4="",$B6=""),0,SUMIF('DADOS BRUTOS'!$A$3:$A$500,$B6,'DADOS BRUTOS'!CN$3:CN$500)+IF($C6="",0,SUMIF('DADOS BRUTOS'!$A$3:$A$500,$C6,'DADOS BRUTOS'!CN$3:CN$500)))</f>
        <v>0</v>
      </c>
      <c r="FO6" s="133" t="n">
        <f aca="false">IF(OR(FO$4="",$B6=""),0,SUMIF('DADOS BRUTOS'!$A$3:$A$500,$B6,'DADOS BRUTOS'!CO$3:CO$500)+IF($C6="",0,SUMIF('DADOS BRUTOS'!$A$3:$A$500,$C6,'DADOS BRUTOS'!CO$3:CO$500)))</f>
        <v>0</v>
      </c>
      <c r="FP6" s="133" t="n">
        <f aca="false">IF(OR(FP$4="",$B6=""),0,SUMIF('DADOS BRUTOS'!$A$3:$A$500,$B6,'DADOS BRUTOS'!CP$3:CP$500)+IF($C6="",0,SUMIF('DADOS BRUTOS'!$A$3:$A$500,$C6,'DADOS BRUTOS'!CP$3:CP$500)))</f>
        <v>0</v>
      </c>
      <c r="FQ6" s="133" t="n">
        <f aca="false">IF(OR(FQ$4="",$B6=""),0,SUMIF('DADOS BRUTOS'!$A$3:$A$500,$B6,'DADOS BRUTOS'!CQ$3:CQ$500)+IF($C6="",0,SUMIF('DADOS BRUTOS'!$A$3:$A$500,$C6,'DADOS BRUTOS'!CQ$3:CQ$500)))</f>
        <v>0</v>
      </c>
      <c r="FR6" s="133" t="n">
        <f aca="false">IF(OR(FR$4="",$B6=""),0,SUMIF('DADOS BRUTOS'!$A$3:$A$500,$B6,'DADOS BRUTOS'!CR$3:CR$500)+IF($C6="",0,SUMIF('DADOS BRUTOS'!$A$3:$A$500,$C6,'DADOS BRUTOS'!CR$3:CR$500)))</f>
        <v>0</v>
      </c>
      <c r="FS6" s="133" t="n">
        <f aca="false">IF(OR(FS$4="",$B6=""),0,SUMIF('DADOS BRUTOS'!$A$3:$A$500,$B6,'DADOS BRUTOS'!CS$3:CS$500)+IF($C6="",0,SUMIF('DADOS BRUTOS'!$A$3:$A$500,$C6,'DADOS BRUTOS'!CS$3:CS$500)))</f>
        <v>0</v>
      </c>
      <c r="FT6" s="133" t="n">
        <f aca="false">IF(OR(FT$4="",$B6=""),0,SUMIF('DADOS BRUTOS'!$A$3:$A$500,$B6,'DADOS BRUTOS'!CT$3:CT$500)+IF($C6="",0,SUMIF('DADOS BRUTOS'!$A$3:$A$500,$C6,'DADOS BRUTOS'!CT$3:CT$500)))</f>
        <v>0</v>
      </c>
      <c r="FU6" s="133" t="n">
        <f aca="false">IF(OR(FU$4="",$B6=""),0,SUMIF('DADOS BRUTOS'!$A$3:$A$500,$B6,'DADOS BRUTOS'!CU$3:CU$500)+IF($C6="",0,SUMIF('DADOS BRUTOS'!$A$3:$A$500,$C6,'DADOS BRUTOS'!CU$3:CU$500)))</f>
        <v>0</v>
      </c>
      <c r="FV6" s="133" t="n">
        <f aca="false">IF(OR(FV$4="",$B6=""),0,SUMIF('DADOS BRUTOS'!$A$3:$A$500,$B6,'DADOS BRUTOS'!CV$3:CV$500)+IF($C6="",0,SUMIF('DADOS BRUTOS'!$A$3:$A$500,$C6,'DADOS BRUTOS'!CV$3:CV$500)))</f>
        <v>0</v>
      </c>
      <c r="FW6" s="133" t="n">
        <f aca="false">IF(OR(FW$4="",$B6=""),0,SUMIF('DADOS BRUTOS'!$A$3:$A$500,$B6,'DADOS BRUTOS'!CW$3:CW$500)+IF($C6="",0,SUMIF('DADOS BRUTOS'!$A$3:$A$500,$C6,'DADOS BRUTOS'!CW$3:CW$500)))</f>
        <v>0</v>
      </c>
      <c r="FX6" s="133" t="n">
        <f aca="false">IF(OR(FX$4="",$B6=""),0,SUMIF('DADOS BRUTOS'!$A$3:$A$500,$B6,'DADOS BRUTOS'!CX$3:CX$500)+IF($C6="",0,SUMIF('DADOS BRUTOS'!$A$3:$A$500,$C6,'DADOS BRUTOS'!CX$3:CX$500)))</f>
        <v>0</v>
      </c>
      <c r="FY6" s="133" t="n">
        <f aca="false">IF(OR(FY$4="",$B6=""),0,SUMIF('DADOS BRUTOS'!$A$3:$A$500,$B6,'DADOS BRUTOS'!CY$3:CY$500)+IF($C6="",0,SUMIF('DADOS BRUTOS'!$A$3:$A$500,$C6,'DADOS BRUTOS'!CY$3:CY$500)))</f>
        <v>0</v>
      </c>
      <c r="FZ6" s="133" t="n">
        <f aca="false">IF(OR(FZ$4="",$B6=""),0,SUMIF('DADOS BRUTOS'!$A$3:$A$500,$B6,'DADOS BRUTOS'!CZ$3:CZ$500)+IF($C6="",0,SUMIF('DADOS BRUTOS'!$A$3:$A$500,$C6,'DADOS BRUTOS'!CZ$3:CZ$500)))</f>
        <v>0</v>
      </c>
      <c r="GA6" s="133" t="n">
        <f aca="false">IF(OR(GA$4="",$B6=""),0,SUMIF('DADOS BRUTOS'!$A$3:$A$500,$B6,'DADOS BRUTOS'!DA$3:DA$500)+IF($C6="",0,SUMIF('DADOS BRUTOS'!$A$3:$A$500,$C6,'DADOS BRUTOS'!DA$3:DA$500)))</f>
        <v>0</v>
      </c>
      <c r="GB6" s="133" t="n">
        <f aca="false">IF(OR(GB$4="",$B6=""),0,SUMIF('DADOS BRUTOS'!$A$3:$A$500,$B6,'DADOS BRUTOS'!DB$3:DB$500)+IF($C6="",0,SUMIF('DADOS BRUTOS'!$A$3:$A$500,$C6,'DADOS BRUTOS'!DB$3:DB$500)))</f>
        <v>0</v>
      </c>
      <c r="GC6" s="133" t="n">
        <f aca="false">IF(OR(GC$4="",$B6=""),0,SUMIF('DADOS BRUTOS'!$A$3:$A$500,$B6,'DADOS BRUTOS'!DC$3:DC$500)+IF($C6="",0,SUMIF('DADOS BRUTOS'!$A$3:$A$500,$C6,'DADOS BRUTOS'!DC$3:DC$500)))</f>
        <v>0</v>
      </c>
      <c r="GD6" s="133" t="n">
        <f aca="false">IF(OR(GD$4="",$B6=""),0,SUMIF('DADOS BRUTOS'!$A$3:$A$500,$B6,'DADOS BRUTOS'!DD$3:DD$500)+IF($C6="",0,SUMIF('DADOS BRUTOS'!$A$3:$A$500,$C6,'DADOS BRUTOS'!DD$3:DD$500)))</f>
        <v>0</v>
      </c>
      <c r="GE6" s="133" t="n">
        <f aca="false">IF(OR(GE$4="",$B6=""),0,SUMIF('DADOS BRUTOS'!$A$3:$A$500,$B6,'DADOS BRUTOS'!DE$3:DE$500)+IF($C6="",0,SUMIF('DADOS BRUTOS'!$A$3:$A$500,$C6,'DADOS BRUTOS'!DE$3:DE$500)))</f>
        <v>0</v>
      </c>
      <c r="GF6" s="133" t="n">
        <f aca="false">IF(OR(GF$4="",$B6=""),0,SUMIF('DADOS BRUTOS'!$A$3:$A$500,$B6,'DADOS BRUTOS'!DF$3:DF$500)+IF($C6="",0,SUMIF('DADOS BRUTOS'!$A$3:$A$500,$C6,'DADOS BRUTOS'!DF$3:DF$500)))</f>
        <v>0</v>
      </c>
      <c r="GG6" s="133" t="n">
        <f aca="false">IF(OR(GG$4="",$B6=""),0,SUMIF('DADOS BRUTOS'!$A$3:$A$500,$B6,'DADOS BRUTOS'!DG$3:DG$500)+IF($C6="",0,SUMIF('DADOS BRUTOS'!$A$3:$A$500,$C6,'DADOS BRUTOS'!DG$3:DG$500)))</f>
        <v>0</v>
      </c>
      <c r="GH6" s="133" t="n">
        <f aca="false">IF(OR(GH$4="",$B6=""),0,SUMIF('DADOS BRUTOS'!$A$3:$A$500,$B6,'DADOS BRUTOS'!DH$3:DH$500)+IF($C6="",0,SUMIF('DADOS BRUTOS'!$A$3:$A$500,$C6,'DADOS BRUTOS'!DH$3:DH$500)))</f>
        <v>0</v>
      </c>
      <c r="GI6" s="133" t="n">
        <f aca="false">IF(OR(GI$4="",$B6=""),0,SUMIF('DADOS BRUTOS'!$A$3:$A$500,$B6,'DADOS BRUTOS'!DI$3:DI$500)+IF($C6="",0,SUMIF('DADOS BRUTOS'!$A$3:$A$500,$C6,'DADOS BRUTOS'!DI$3:DI$500)))</f>
        <v>0</v>
      </c>
      <c r="GJ6" s="133" t="n">
        <f aca="false">IF(OR(GJ$4="",$B6=""),0,SUMIF('DADOS BRUTOS'!$A$3:$A$500,$B6,'DADOS BRUTOS'!DJ$3:DJ$500)+IF($C6="",0,SUMIF('DADOS BRUTOS'!$A$3:$A$500,$C6,'DADOS BRUTOS'!DJ$3:DJ$500)))</f>
        <v>0</v>
      </c>
      <c r="GK6" s="133" t="n">
        <f aca="false">IF(OR(GK$4="",$B6=""),0,SUMIF('DADOS BRUTOS'!$A$3:$A$500,$B6,'DADOS BRUTOS'!DK$3:DK$500)+IF($C6="",0,SUMIF('DADOS BRUTOS'!$A$3:$A$500,$C6,'DADOS BRUTOS'!DK$3:DK$500)))</f>
        <v>0</v>
      </c>
      <c r="GL6" s="133" t="n">
        <f aca="false">IF(OR(GL$4="",$B6=""),0,SUMIF('DADOS BRUTOS'!$A$3:$A$500,$B6,'DADOS BRUTOS'!DL$3:DL$500)+IF($C6="",0,SUMIF('DADOS BRUTOS'!$A$3:$A$500,$C6,'DADOS BRUTOS'!DL$3:DL$500)))</f>
        <v>0</v>
      </c>
      <c r="GM6" s="133" t="n">
        <f aca="false">IF(OR(GM$4="",$B6=""),0,SUMIF('DADOS BRUTOS'!$A$3:$A$500,$B6,'DADOS BRUTOS'!DM$3:DM$500)+IF($C6="",0,SUMIF('DADOS BRUTOS'!$A$3:$A$500,$C6,'DADOS BRUTOS'!DM$3:DM$500)))</f>
        <v>0</v>
      </c>
      <c r="GN6" s="133" t="n">
        <f aca="false">IF(OR(GN$4="",$B6=""),0,SUMIF('DADOS BRUTOS'!$A$3:$A$500,$B6,'DADOS BRUTOS'!DN$3:DN$500)+IF($C6="",0,SUMIF('DADOS BRUTOS'!$A$3:$A$500,$C6,'DADOS BRUTOS'!DN$3:DN$500)))</f>
        <v>0</v>
      </c>
      <c r="GO6" s="133" t="n">
        <f aca="false">IF(OR(GO$4="",$B6=""),0,SUMIF('DADOS BRUTOS'!$A$3:$A$500,$B6,'DADOS BRUTOS'!DO$3:DO$500)+IF($C6="",0,SUMIF('DADOS BRUTOS'!$A$3:$A$500,$C6,'DADOS BRUTOS'!DO$3:DO$500)))</f>
        <v>0</v>
      </c>
      <c r="GP6" s="133" t="n">
        <f aca="false">IF(OR(GP$4="",$B6=""),0,SUMIF('DADOS BRUTOS'!$A$3:$A$500,$B6,'DADOS BRUTOS'!DP$3:DP$500)+IF($C6="",0,SUMIF('DADOS BRUTOS'!$A$3:$A$500,$C6,'DADOS BRUTOS'!DP$3:DP$500)))</f>
        <v>0</v>
      </c>
      <c r="GQ6" s="133" t="n">
        <f aca="false">IF(OR(GQ$4="",$B6=""),0,SUMIF('DADOS BRUTOS'!$A$3:$A$500,$B6,'DADOS BRUTOS'!DQ$3:DQ$500)+IF($C6="",0,SUMIF('DADOS BRUTOS'!$A$3:$A$500,$C6,'DADOS BRUTOS'!DQ$3:DQ$500)))</f>
        <v>0</v>
      </c>
      <c r="GR6" s="133" t="n">
        <f aca="false">IF(OR(GR$4="",$B6=""),0,SUMIF('DADOS BRUTOS'!$A$3:$A$500,$B6,'DADOS BRUTOS'!DR$3:DR$500)+IF($C6="",0,SUMIF('DADOS BRUTOS'!$A$3:$A$500,$C6,'DADOS BRUTOS'!DR$3:DR$500)))</f>
        <v>0</v>
      </c>
      <c r="GS6" s="133" t="n">
        <f aca="false">IF(OR(GS$4="",$B6=""),0,SUMIF('DADOS BRUTOS'!$A$3:$A$500,$B6,'DADOS BRUTOS'!DS$3:DS$500)+IF($C6="",0,SUMIF('DADOS BRUTOS'!$A$3:$A$500,$C6,'DADOS BRUTOS'!DS$3:DS$500)))</f>
        <v>0</v>
      </c>
      <c r="GT6" s="133" t="n">
        <f aca="false">IF(OR(GT$4="",$B6=""),0,SUMIF('DADOS BRUTOS'!$A$3:$A$500,$B6,'DADOS BRUTOS'!DT$3:DT$500)+IF($C6="",0,SUMIF('DADOS BRUTOS'!$A$3:$A$500,$C6,'DADOS BRUTOS'!DT$3:DT$500)))</f>
        <v>0</v>
      </c>
      <c r="GU6" s="133" t="n">
        <f aca="false">IF(OR(GU$4="",$B6=""),0,SUMIF('DADOS BRUTOS'!$A$3:$A$500,$B6,'DADOS BRUTOS'!DU$3:DU$500)+IF($C6="",0,SUMIF('DADOS BRUTOS'!$A$3:$A$500,$C6,'DADOS BRUTOS'!DU$3:DU$500)))</f>
        <v>0</v>
      </c>
      <c r="GV6" s="133" t="n">
        <f aca="false">IF(OR(GV$4="",$B6=""),0,SUMIF('DADOS BRUTOS'!$A$3:$A$500,$B6,'DADOS BRUTOS'!DV$3:DV$500)+IF($C6="",0,SUMIF('DADOS BRUTOS'!$A$3:$A$500,$C6,'DADOS BRUTOS'!DV$3:DV$500)))</f>
        <v>0</v>
      </c>
      <c r="GW6" s="133" t="n">
        <f aca="false">IF(OR(GW$4="",$B6=""),0,SUMIF('DADOS BRUTOS'!$A$3:$A$500,$B6,'DADOS BRUTOS'!DW$3:DW$500)+IF($C6="",0,SUMIF('DADOS BRUTOS'!$A$3:$A$500,$C6,'DADOS BRUTOS'!DW$3:DW$500)))</f>
        <v>0</v>
      </c>
      <c r="GX6" s="133" t="n">
        <f aca="false">IF(OR(GX$4="",$B6=""),0,SUMIF('DADOS BRUTOS'!$A$3:$A$500,$B6,'DADOS BRUTOS'!DX$3:DX$500)+IF($C6="",0,SUMIF('DADOS BRUTOS'!$A$3:$A$500,$C6,'DADOS BRUTOS'!DX$3:DX$500)))</f>
        <v>0</v>
      </c>
      <c r="GY6" s="133" t="n">
        <f aca="false">IF(OR(GY$4="",$B6=""),0,SUMIF('DADOS BRUTOS'!$A$3:$A$500,$B6,'DADOS BRUTOS'!DY$3:DY$500)+IF($C6="",0,SUMIF('DADOS BRUTOS'!$A$3:$A$500,$C6,'DADOS BRUTOS'!DY$3:DY$500)))</f>
        <v>0</v>
      </c>
      <c r="GZ6" s="133" t="n">
        <f aca="false">IF(OR(GZ$4="",$B6=""),0,SUMIF('DADOS BRUTOS'!$A$3:$A$500,$B6,'DADOS BRUTOS'!DZ$3:DZ$500)+IF($C6="",0,SUMIF('DADOS BRUTOS'!$A$3:$A$500,$C6,'DADOS BRUTOS'!DZ$3:DZ$500)))</f>
        <v>0</v>
      </c>
      <c r="HA6" s="133" t="n">
        <f aca="false">IF(OR(HA$4="",$B6=""),0,SUMIF('DADOS BRUTOS'!$A$3:$A$500,$B6,'DADOS BRUTOS'!EA$3:EA$500)+IF($C6="",0,SUMIF('DADOS BRUTOS'!$A$3:$A$500,$C6,'DADOS BRUTOS'!EA$3:EA$500)))</f>
        <v>0</v>
      </c>
      <c r="HB6" s="133" t="n">
        <f aca="false">IF(OR(HB$4="",$B6=""),0,SUMIF('DADOS BRUTOS'!$A$3:$A$500,$B6,'DADOS BRUTOS'!EB$3:EB$500)+IF($C6="",0,SUMIF('DADOS BRUTOS'!$A$3:$A$500,$C6,'DADOS BRUTOS'!EB$3:EB$500)))</f>
        <v>0</v>
      </c>
      <c r="HC6" s="133" t="n">
        <f aca="false">IF(OR(HC$4="",$B6=""),0,SUMIF('DADOS BRUTOS'!$A$3:$A$500,$B6,'DADOS BRUTOS'!EC$3:EC$500)+IF($C6="",0,SUMIF('DADOS BRUTOS'!$A$3:$A$500,$C6,'DADOS BRUTOS'!EC$3:EC$500)))</f>
        <v>0</v>
      </c>
      <c r="HD6" s="133" t="n">
        <f aca="false">IF(OR(HD$4="",$B6=""),0,SUMIF('DADOS BRUTOS'!$A$3:$A$500,$B6,'DADOS BRUTOS'!ED$3:ED$500)+IF($C6="",0,SUMIF('DADOS BRUTOS'!$A$3:$A$500,$C6,'DADOS BRUTOS'!ED$3:ED$500)))</f>
        <v>0</v>
      </c>
      <c r="HE6" s="133" t="n">
        <f aca="false">IF(OR(HE$4="",$B6=""),0,SUMIF('DADOS BRUTOS'!$A$3:$A$500,$B6,'DADOS BRUTOS'!EE$3:EE$500)+IF($C6="",0,SUMIF('DADOS BRUTOS'!$A$3:$A$500,$C6,'DADOS BRUTOS'!EE$3:EE$500)))</f>
        <v>0</v>
      </c>
      <c r="HF6" s="133" t="n">
        <f aca="false">IF(OR(HF$4="",$B6=""),0,SUMIF('DADOS BRUTOS'!$A$3:$A$500,$B6,'DADOS BRUTOS'!EF$3:EF$500)+IF($C6="",0,SUMIF('DADOS BRUTOS'!$A$3:$A$500,$C6,'DADOS BRUTOS'!EF$3:EF$500)))</f>
        <v>0</v>
      </c>
      <c r="HG6" s="133" t="n">
        <f aca="false">IF(OR(HG$4="",$B6=""),0,SUMIF('DADOS BRUTOS'!$A$3:$A$500,$B6,'DADOS BRUTOS'!EG$3:EG$500)+IF($C6="",0,SUMIF('DADOS BRUTOS'!$A$3:$A$500,$C6,'DADOS BRUTOS'!EG$3:EG$500)))</f>
        <v>0</v>
      </c>
      <c r="HH6" s="133" t="n">
        <f aca="false">IF(OR(HH$4="",$B6=""),0,SUMIF('DADOS BRUTOS'!$A$3:$A$500,$B6,'DADOS BRUTOS'!EH$3:EH$500)+IF($C6="",0,SUMIF('DADOS BRUTOS'!$A$3:$A$500,$C6,'DADOS BRUTOS'!EH$3:EH$500)))</f>
        <v>0</v>
      </c>
      <c r="HI6" s="133" t="n">
        <f aca="false">IF(OR(HI$4="",$B6=""),0,SUMIF('DADOS BRUTOS'!$A$3:$A$500,$B6,'DADOS BRUTOS'!EI$3:EI$500)+IF($C6="",0,SUMIF('DADOS BRUTOS'!$A$3:$A$500,$C6,'DADOS BRUTOS'!EI$3:EI$500)))</f>
        <v>0</v>
      </c>
      <c r="HJ6" s="133" t="n">
        <f aca="false">IF(OR(HJ$4="",$B6=""),0,SUMIF('DADOS BRUTOS'!$A$3:$A$500,$B6,'DADOS BRUTOS'!EJ$3:EJ$500)+IF($C6="",0,SUMIF('DADOS BRUTOS'!$A$3:$A$500,$C6,'DADOS BRUTOS'!EJ$3:EJ$500)))</f>
        <v>0</v>
      </c>
      <c r="HK6" s="133" t="n">
        <f aca="false">IF(OR(HK$4="",$B6=""),0,SUMIF('DADOS BRUTOS'!$A$3:$A$500,$B6,'DADOS BRUTOS'!EK$3:EK$500)+IF($C6="",0,SUMIF('DADOS BRUTOS'!$A$3:$A$500,$C6,'DADOS BRUTOS'!EK$3:EK$500)))</f>
        <v>0</v>
      </c>
      <c r="HL6" s="133" t="n">
        <f aca="false">IF(OR(HL$4="",$B6=""),0,SUMIF('DADOS BRUTOS'!$A$3:$A$500,$B6,'DADOS BRUTOS'!EL$3:EL$500)+IF($C6="",0,SUMIF('DADOS BRUTOS'!$A$3:$A$500,$C6,'DADOS BRUTOS'!EL$3:EL$500)))</f>
        <v>0</v>
      </c>
      <c r="HM6" s="133" t="n">
        <f aca="false">IF(OR(HM$4="",$B6=""),0,SUMIF('DADOS BRUTOS'!$A$3:$A$500,$B6,'DADOS BRUTOS'!EM$3:EM$500)+IF($C6="",0,SUMIF('DADOS BRUTOS'!$A$3:$A$500,$C6,'DADOS BRUTOS'!EM$3:EM$500)))</f>
        <v>0</v>
      </c>
      <c r="HN6" s="133" t="n">
        <f aca="false">IF(OR(HN$4="",$B6=""),0,SUMIF('DADOS BRUTOS'!$A$3:$A$500,$B6,'DADOS BRUTOS'!EN$3:EN$500)+IF($C6="",0,SUMIF('DADOS BRUTOS'!$A$3:$A$500,$C6,'DADOS BRUTOS'!EN$3:EN$500)))</f>
        <v>0</v>
      </c>
      <c r="HO6" s="133" t="n">
        <f aca="false">IF(OR(HO$4="",$B6=""),0,SUMIF('DADOS BRUTOS'!$A$3:$A$500,$B6,'DADOS BRUTOS'!EO$3:EO$500)+IF($C6="",0,SUMIF('DADOS BRUTOS'!$A$3:$A$500,$C6,'DADOS BRUTOS'!EO$3:EO$500)))</f>
        <v>0</v>
      </c>
      <c r="HP6" s="133" t="n">
        <f aca="false">IF(OR(HP$4="",$B6=""),0,SUMIF('DADOS BRUTOS'!$A$3:$A$500,$B6,'DADOS BRUTOS'!EP$3:EP$500)+IF($C6="",0,SUMIF('DADOS BRUTOS'!$A$3:$A$500,$C6,'DADOS BRUTOS'!EP$3:EP$500)))</f>
        <v>0</v>
      </c>
      <c r="HQ6" s="133" t="n">
        <f aca="false">IF(OR(HQ$4="",$B6=""),0,SUMIF('DADOS BRUTOS'!$A$3:$A$500,$B6,'DADOS BRUTOS'!EQ$3:EQ$500)+IF($C6="",0,SUMIF('DADOS BRUTOS'!$A$3:$A$500,$C6,'DADOS BRUTOS'!EQ$3:EQ$500)))</f>
        <v>0</v>
      </c>
      <c r="HR6" s="133" t="n">
        <f aca="false">IF(OR(HR$4="",$B6=""),0,SUMIF('DADOS BRUTOS'!$A$3:$A$500,$B6,'DADOS BRUTOS'!ER$3:ER$500)+IF($C6="",0,SUMIF('DADOS BRUTOS'!$A$3:$A$500,$C6,'DADOS BRUTOS'!ER$3:ER$500)))</f>
        <v>0</v>
      </c>
      <c r="HS6" s="133" t="n">
        <f aca="false">IF(OR(HS$4="",$B6=""),0,SUMIF('DADOS BRUTOS'!$A$3:$A$500,$B6,'DADOS BRUTOS'!ES$3:ES$500)+IF($C6="",0,SUMIF('DADOS BRUTOS'!$A$3:$A$500,$C6,'DADOS BRUTOS'!ES$3:ES$500)))</f>
        <v>0</v>
      </c>
      <c r="HT6" s="133" t="n">
        <f aca="false">IF(OR(HT$4="",$B6=""),0,SUMIF('DADOS BRUTOS'!$A$3:$A$500,$B6,'DADOS BRUTOS'!ET$3:ET$500)+IF($C6="",0,SUMIF('DADOS BRUTOS'!$A$3:$A$500,$C6,'DADOS BRUTOS'!ET$3:ET$500)))</f>
        <v>0</v>
      </c>
      <c r="HU6" s="133" t="n">
        <f aca="false">IF(OR(HU$4="",$B6=""),0,SUMIF('DADOS BRUTOS'!$A$3:$A$500,$B6,'DADOS BRUTOS'!EU$3:EU$500)+IF($C6="",0,SUMIF('DADOS BRUTOS'!$A$3:$A$500,$C6,'DADOS BRUTOS'!EU$3:EU$500)))</f>
        <v>0</v>
      </c>
      <c r="HV6" s="133" t="n">
        <f aca="false">IF(OR(HV$4="",$B6=""),0,SUMIF('DADOS BRUTOS'!$A$3:$A$500,$B6,'DADOS BRUTOS'!EV$3:EV$500)+IF($C6="",0,SUMIF('DADOS BRUTOS'!$A$3:$A$500,$C6,'DADOS BRUTOS'!EV$3:EV$500)))</f>
        <v>0</v>
      </c>
      <c r="HW6" s="133" t="n">
        <f aca="false">IF(OR(HW$4="",$B6=""),0,SUMIF('DADOS BRUTOS'!$A$3:$A$500,$B6,'DADOS BRUTOS'!EW$3:EW$500)+IF($C6="",0,SUMIF('DADOS BRUTOS'!$A$3:$A$500,$C6,'DADOS BRUTOS'!EW$3:EW$500)))</f>
        <v>0</v>
      </c>
      <c r="HX6" s="133" t="n">
        <f aca="false">IF(OR(HX$4="",$B6=""),0,SUMIF('DADOS BRUTOS'!$A$3:$A$500,$B6,'DADOS BRUTOS'!EX$3:EX$500)+IF($C6="",0,SUMIF('DADOS BRUTOS'!$A$3:$A$500,$C6,'DADOS BRUTOS'!EX$3:EX$500)))</f>
        <v>0</v>
      </c>
      <c r="HY6" s="133" t="n">
        <f aca="false">IF(OR(HY$4="",$B6=""),0,SUMIF('DADOS BRUTOS'!$A$3:$A$500,$B6,'DADOS BRUTOS'!EY$3:EY$500)+IF($C6="",0,SUMIF('DADOS BRUTOS'!$A$3:$A$500,$C6,'DADOS BRUTOS'!EY$3:EY$500)))</f>
        <v>0</v>
      </c>
      <c r="HZ6" s="133" t="n">
        <f aca="false">IF(OR(HZ$4="",$B6=""),0,SUMIF('DADOS BRUTOS'!$A$3:$A$500,$B6,'DADOS BRUTOS'!EZ$3:EZ$500)+IF($C6="",0,SUMIF('DADOS BRUTOS'!$A$3:$A$500,$C6,'DADOS BRUTOS'!EZ$3:EZ$500)))</f>
        <v>0</v>
      </c>
      <c r="IA6" s="133" t="n">
        <f aca="false">IF(OR(IA$4="",$B6=""),0,SUMIF('DADOS BRUTOS'!$A$3:$A$500,$B6,'DADOS BRUTOS'!FA$3:FA$500)+IF($C6="",0,SUMIF('DADOS BRUTOS'!$A$3:$A$500,$C6,'DADOS BRUTOS'!FA$3:FA$500)))</f>
        <v>0</v>
      </c>
      <c r="IB6" s="133" t="n">
        <f aca="false">IF(OR(IB$4="",$B6=""),0,SUMIF('DADOS BRUTOS'!$A$3:$A$500,$B6,'DADOS BRUTOS'!FB$3:FB$500)+IF($C6="",0,SUMIF('DADOS BRUTOS'!$A$3:$A$500,$C6,'DADOS BRUTOS'!FB$3:FB$500)))</f>
        <v>0</v>
      </c>
      <c r="IC6" s="133" t="n">
        <f aca="false">IF(OR(IC$4="",$B6=""),0,SUMIF('DADOS BRUTOS'!$A$3:$A$500,$B6,'DADOS BRUTOS'!FC$3:FC$500)+IF($C6="",0,SUMIF('DADOS BRUTOS'!$A$3:$A$500,$C6,'DADOS BRUTOS'!FC$3:FC$500)))</f>
        <v>0</v>
      </c>
      <c r="ID6" s="133" t="n">
        <f aca="false">IF(OR(ID$4="",$B6=""),0,SUMIF('DADOS BRUTOS'!$A$3:$A$500,$B6,'DADOS BRUTOS'!FD$3:FD$500)+IF($C6="",0,SUMIF('DADOS BRUTOS'!$A$3:$A$500,$C6,'DADOS BRUTOS'!FD$3:FD$500)))</f>
        <v>0</v>
      </c>
      <c r="IE6" s="133" t="n">
        <f aca="false">IF(OR(IE$4="",$B6=""),0,SUMIF('DADOS BRUTOS'!$A$3:$A$500,$B6,'DADOS BRUTOS'!FE$3:FE$500)+IF($C6="",0,SUMIF('DADOS BRUTOS'!$A$3:$A$500,$C6,'DADOS BRUTOS'!FE$3:FE$500)))</f>
        <v>0</v>
      </c>
      <c r="IF6" s="133" t="n">
        <f aca="false">IF(OR(IF$4="",$B6=""),0,SUMIF('DADOS BRUTOS'!$A$3:$A$500,$B6,'DADOS BRUTOS'!FF$3:FF$500)+IF($C6="",0,SUMIF('DADOS BRUTOS'!$A$3:$A$500,$C6,'DADOS BRUTOS'!FF$3:FF$500)))</f>
        <v>0</v>
      </c>
      <c r="IG6" s="133" t="n">
        <f aca="false">IF(OR(IG$4="",$B6=""),0,SUMIF('DADOS BRUTOS'!$A$3:$A$500,$B6,'DADOS BRUTOS'!FG$3:FG$500)+IF($C6="",0,SUMIF('DADOS BRUTOS'!$A$3:$A$500,$C6,'DADOS BRUTOS'!FG$3:FG$500)))</f>
        <v>0</v>
      </c>
      <c r="IH6" s="133" t="n">
        <f aca="false">IF(OR(IH$4="",$B6=""),0,SUMIF('DADOS BRUTOS'!$A$3:$A$500,$B6,'DADOS BRUTOS'!FH$3:FH$500)+IF($C6="",0,SUMIF('DADOS BRUTOS'!$A$3:$A$500,$C6,'DADOS BRUTOS'!FH$3:FH$500)))</f>
        <v>0</v>
      </c>
      <c r="II6" s="133" t="n">
        <f aca="false">IF(OR(II$4="",$B6=""),0,SUMIF('DADOS BRUTOS'!$A$3:$A$500,$B6,'DADOS BRUTOS'!FI$3:FI$500)+IF($C6="",0,SUMIF('DADOS BRUTOS'!$A$3:$A$500,$C6,'DADOS BRUTOS'!FI$3:FI$500)))</f>
        <v>0</v>
      </c>
      <c r="IJ6" s="133" t="n">
        <f aca="false">IF(OR(IJ$4="",$B6=""),0,SUMIF('DADOS BRUTOS'!$A$3:$A$500,$B6,'DADOS BRUTOS'!FJ$3:FJ$500)+IF($C6="",0,SUMIF('DADOS BRUTOS'!$A$3:$A$500,$C6,'DADOS BRUTOS'!FJ$3:FJ$500)))</f>
        <v>0</v>
      </c>
      <c r="IK6" s="133" t="n">
        <f aca="false">IF(OR(IK$4="",$B6=""),0,SUMIF('DADOS BRUTOS'!$A$3:$A$500,$B6,'DADOS BRUTOS'!FK$3:FK$500)+IF($C6="",0,SUMIF('DADOS BRUTOS'!$A$3:$A$500,$C6,'DADOS BRUTOS'!FK$3:FK$500)))</f>
        <v>0</v>
      </c>
      <c r="IL6" s="133" t="n">
        <f aca="false">IF(OR(IL$4="",$B6=""),0,SUMIF('DADOS BRUTOS'!$A$3:$A$500,$B6,'DADOS BRUTOS'!FL$3:FL$500)+IF($C6="",0,SUMIF('DADOS BRUTOS'!$A$3:$A$500,$C6,'DADOS BRUTOS'!FL$3:FL$500)))</f>
        <v>0</v>
      </c>
      <c r="IM6" s="133" t="n">
        <f aca="false">IF(OR(IM$4="",$B6=""),0,SUMIF('DADOS BRUTOS'!$A$3:$A$500,$B6,'DADOS BRUTOS'!FM$3:FM$500)+IF($C6="",0,SUMIF('DADOS BRUTOS'!$A$3:$A$500,$C6,'DADOS BRUTOS'!FM$3:FM$500)))</f>
        <v>0</v>
      </c>
      <c r="IN6" s="133" t="n">
        <f aca="false">IF(OR(IN$4="",$B6=""),0,SUMIF('DADOS BRUTOS'!$A$3:$A$500,$B6,'DADOS BRUTOS'!FN$3:FN$500)+IF($C6="",0,SUMIF('DADOS BRUTOS'!$A$3:$A$500,$C6,'DADOS BRUTOS'!FN$3:FN$500)))</f>
        <v>0</v>
      </c>
      <c r="IO6" s="133" t="n">
        <f aca="false">IF(OR(IO$4="",$B6=""),0,SUMIF('DADOS BRUTOS'!$A$3:$A$500,$B6,'DADOS BRUTOS'!FO$3:FO$500)+IF($C6="",0,SUMIF('DADOS BRUTOS'!$A$3:$A$500,$C6,'DADOS BRUTOS'!FO$3:FO$500)))</f>
        <v>0</v>
      </c>
      <c r="IP6" s="133" t="n">
        <f aca="false">IF(OR(IP$4="",$B6=""),0,SUMIF('DADOS BRUTOS'!$A$3:$A$500,$B6,'DADOS BRUTOS'!FP$3:FP$500)+IF($C6="",0,SUMIF('DADOS BRUTOS'!$A$3:$A$500,$C6,'DADOS BRUTOS'!FP$3:FP$500)))</f>
        <v>0</v>
      </c>
      <c r="IQ6" s="133" t="n">
        <f aca="false">IF(OR(IQ$4="",$B6=""),0,SUMIF('DADOS BRUTOS'!$A$3:$A$500,$B6,'DADOS BRUTOS'!FQ$3:FQ$500)+IF($C6="",0,SUMIF('DADOS BRUTOS'!$A$3:$A$500,$C6,'DADOS BRUTOS'!FQ$3:FQ$500)))</f>
        <v>0</v>
      </c>
      <c r="IR6" s="133" t="n">
        <f aca="false">IF(OR(IR$4="",$B6=""),0,SUMIF('DADOS BRUTOS'!$A$3:$A$500,$B6,'DADOS BRUTOS'!FR$3:FR$500)+IF($C6="",0,SUMIF('DADOS BRUTOS'!$A$3:$A$500,$C6,'DADOS BRUTOS'!FR$3:FR$500)))</f>
        <v>0</v>
      </c>
      <c r="IS6" s="133" t="n">
        <f aca="false">IF(OR(IS$4="",$B6=""),0,SUMIF('DADOS BRUTOS'!$A$3:$A$500,$B6,'DADOS BRUTOS'!FS$3:FS$500)+IF($C6="",0,SUMIF('DADOS BRUTOS'!$A$3:$A$500,$C6,'DADOS BRUTOS'!FS$3:FS$500)))</f>
        <v>0</v>
      </c>
      <c r="IT6" s="133" t="n">
        <f aca="false">IF(OR(IT$4="",$B6=""),0,SUMIF('DADOS BRUTOS'!$A$3:$A$500,$B6,'DADOS BRUTOS'!FT$3:FT$500)+IF($C6="",0,SUMIF('DADOS BRUTOS'!$A$3:$A$500,$C6,'DADOS BRUTOS'!FT$3:FT$500)))</f>
        <v>0</v>
      </c>
      <c r="IU6" s="133" t="n">
        <f aca="false">IF(OR(IU$4="",$B6=""),0,SUMIF('DADOS BRUTOS'!$A$3:$A$500,$B6,'DADOS BRUTOS'!FU$3:FU$500)+IF($C6="",0,SUMIF('DADOS BRUTOS'!$A$3:$A$500,$C6,'DADOS BRUTOS'!FU$3:FU$500)))</f>
        <v>0</v>
      </c>
      <c r="IV6" s="133" t="n">
        <f aca="false">IF(OR(IV$4="",$B6=""),0,SUMIF('DADOS BRUTOS'!$A$3:$A$500,$B6,'DADOS BRUTOS'!FV$3:FV$500)+IF($C6="",0,SUMIF('DADOS BRUTOS'!$A$3:$A$500,$C6,'DADOS BRUTOS'!FV$3:FV$500)))</f>
        <v>0</v>
      </c>
      <c r="IW6" s="133" t="n">
        <f aca="false">IF(OR(IW$4="",$B6=""),0,SUMIF('DADOS BRUTOS'!$A$3:$A$500,$B6,'DADOS BRUTOS'!FW$3:FW$500)+IF($C6="",0,SUMIF('DADOS BRUTOS'!$A$3:$A$500,$C6,'DADOS BRUTOS'!FW$3:FW$500)))</f>
        <v>0</v>
      </c>
      <c r="IX6" s="133" t="n">
        <f aca="false">IF(OR(IX$4="",$B6=""),0,SUMIF('DADOS BRUTOS'!$A$3:$A$500,$B6,'DADOS BRUTOS'!FX$3:FX$500)+IF($C6="",0,SUMIF('DADOS BRUTOS'!$A$3:$A$500,$C6,'DADOS BRUTOS'!FX$3:FX$500)))</f>
        <v>0</v>
      </c>
      <c r="IY6" s="133" t="n">
        <f aca="false">IF(OR(IY$4="",$B6=""),0,SUMIF('DADOS BRUTOS'!$A$3:$A$500,$B6,'DADOS BRUTOS'!FY$3:FY$500)+IF($C6="",0,SUMIF('DADOS BRUTOS'!$A$3:$A$500,$C6,'DADOS BRUTOS'!FY$3:FY$500)))</f>
        <v>0</v>
      </c>
      <c r="IZ6" s="133" t="n">
        <f aca="false">IF(OR(IZ$4="",$B6=""),0,SUMIF('DADOS BRUTOS'!$A$3:$A$500,$B6,'DADOS BRUTOS'!FZ$3:FZ$500)+IF($C6="",0,SUMIF('DADOS BRUTOS'!$A$3:$A$500,$C6,'DADOS BRUTOS'!FZ$3:FZ$500)))</f>
        <v>0</v>
      </c>
      <c r="JA6" s="133" t="n">
        <f aca="false">IF(OR(JA$4="",$B6=""),0,SUMIF('DADOS BRUTOS'!$A$3:$A$500,$B6,'DADOS BRUTOS'!GA$3:GA$500)+IF($C6="",0,SUMIF('DADOS BRUTOS'!$A$3:$A$500,$C6,'DADOS BRUTOS'!GA$3:GA$500)))</f>
        <v>0</v>
      </c>
      <c r="JB6" s="133" t="n">
        <f aca="false">IF(OR(JB$4="",$B6=""),0,SUMIF('DADOS BRUTOS'!$A$3:$A$500,$B6,'DADOS BRUTOS'!GB$3:GB$500)+IF($C6="",0,SUMIF('DADOS BRUTOS'!$A$3:$A$500,$C6,'DADOS BRUTOS'!GB$3:GB$500)))</f>
        <v>0</v>
      </c>
      <c r="JC6" s="133" t="n">
        <f aca="false">IF(OR(JC$4="",$B6=""),0,SUMIF('DADOS BRUTOS'!$A$3:$A$500,$B6,'DADOS BRUTOS'!GC$3:GC$500)+IF($C6="",0,SUMIF('DADOS BRUTOS'!$A$3:$A$500,$C6,'DADOS BRUTOS'!GC$3:GC$500)))</f>
        <v>0</v>
      </c>
      <c r="JD6" s="133" t="n">
        <f aca="false">IF(OR(JD$4="",$B6=""),0,SUMIF('DADOS BRUTOS'!$A$3:$A$500,$B6,'DADOS BRUTOS'!GD$3:GD$500)+IF($C6="",0,SUMIF('DADOS BRUTOS'!$A$3:$A$500,$C6,'DADOS BRUTOS'!GD$3:GD$500)))</f>
        <v>0</v>
      </c>
      <c r="JE6" s="133" t="n">
        <f aca="false">IF(OR(JE$4="",$B6=""),0,SUMIF('DADOS BRUTOS'!$A$3:$A$500,$B6,'DADOS BRUTOS'!GE$3:GE$500)+IF($C6="",0,SUMIF('DADOS BRUTOS'!$A$3:$A$500,$C6,'DADOS BRUTOS'!GE$3:GE$500)))</f>
        <v>0</v>
      </c>
      <c r="JF6" s="133" t="n">
        <f aca="false">IF(OR(JF$4="",$B6=""),0,SUMIF('DADOS BRUTOS'!$A$3:$A$500,$B6,'DADOS BRUTOS'!GF$3:GF$500)+IF($C6="",0,SUMIF('DADOS BRUTOS'!$A$3:$A$500,$C6,'DADOS BRUTOS'!GF$3:GF$500)))</f>
        <v>0</v>
      </c>
      <c r="JG6" s="133" t="n">
        <f aca="false">IF(OR(JG$4="",$B6=""),0,SUMIF('DADOS BRUTOS'!$A$3:$A$500,$B6,'DADOS BRUTOS'!GG$3:GG$500)+IF($C6="",0,SUMIF('DADOS BRUTOS'!$A$3:$A$500,$C6,'DADOS BRUTOS'!GG$3:GG$500)))</f>
        <v>0</v>
      </c>
      <c r="JH6" s="133" t="n">
        <f aca="false">IF(OR(JH$4="",$B6=""),0,SUMIF('DADOS BRUTOS'!$A$3:$A$500,$B6,'DADOS BRUTOS'!GH$3:GH$500)+IF($C6="",0,SUMIF('DADOS BRUTOS'!$A$3:$A$500,$C6,'DADOS BRUTOS'!GH$3:GH$500)))</f>
        <v>0</v>
      </c>
      <c r="JI6" s="133" t="n">
        <f aca="false">IF(OR(JI$4="",$B6=""),0,SUMIF('DADOS BRUTOS'!$A$3:$A$500,$B6,'DADOS BRUTOS'!GI$3:GI$500)+IF($C6="",0,SUMIF('DADOS BRUTOS'!$A$3:$A$500,$C6,'DADOS BRUTOS'!GI$3:GI$500)))</f>
        <v>0</v>
      </c>
      <c r="JJ6" s="133" t="n">
        <f aca="false">IF(OR(JJ$4="",$B6=""),0,SUMIF('DADOS BRUTOS'!$A$3:$A$500,$B6,'DADOS BRUTOS'!GJ$3:GJ$500)+IF($C6="",0,SUMIF('DADOS BRUTOS'!$A$3:$A$500,$C6,'DADOS BRUTOS'!GJ$3:GJ$500)))</f>
        <v>0</v>
      </c>
      <c r="JK6" s="133" t="n">
        <f aca="false">IF(OR(JK$4="",$B6=""),0,SUMIF('DADOS BRUTOS'!$A$3:$A$500,$B6,'DADOS BRUTOS'!GK$3:GK$500)+IF($C6="",0,SUMIF('DADOS BRUTOS'!$A$3:$A$500,$C6,'DADOS BRUTOS'!GK$3:GK$500)))</f>
        <v>0</v>
      </c>
      <c r="JL6" s="133" t="n">
        <f aca="false">IF(OR(JL$4="",$B6=""),0,SUMIF('DADOS BRUTOS'!$A$3:$A$500,$B6,'DADOS BRUTOS'!GL$3:GL$500)+IF($C6="",0,SUMIF('DADOS BRUTOS'!$A$3:$A$500,$C6,'DADOS BRUTOS'!GL$3:GL$500)))</f>
        <v>0</v>
      </c>
      <c r="JM6" s="133" t="n">
        <f aca="false">IF(OR(JM$4="",$B6=""),0,SUMIF('DADOS BRUTOS'!$A$3:$A$500,$B6,'DADOS BRUTOS'!GM$3:GM$500)+IF($C6="",0,SUMIF('DADOS BRUTOS'!$A$3:$A$500,$C6,'DADOS BRUTOS'!GM$3:GM$500)))</f>
        <v>0</v>
      </c>
      <c r="JN6" s="133" t="n">
        <f aca="false">IF(OR(JN$4="",$B6=""),0,SUMIF('DADOS BRUTOS'!$A$3:$A$500,$B6,'DADOS BRUTOS'!GN$3:GN$500)+IF($C6="",0,SUMIF('DADOS BRUTOS'!$A$3:$A$500,$C6,'DADOS BRUTOS'!GN$3:GN$500)))</f>
        <v>0</v>
      </c>
      <c r="JO6" s="133" t="n">
        <f aca="false">IF(OR(JO$4="",$B6=""),0,SUMIF('DADOS BRUTOS'!$A$3:$A$500,$B6,'DADOS BRUTOS'!GO$3:GO$500)+IF($C6="",0,SUMIF('DADOS BRUTOS'!$A$3:$A$500,$C6,'DADOS BRUTOS'!GO$3:GO$500)))</f>
        <v>0</v>
      </c>
      <c r="JP6" s="133" t="n">
        <f aca="false">IF(OR(JP$4="",$B6=""),0,SUMIF('DADOS BRUTOS'!$A$3:$A$500,$B6,'DADOS BRUTOS'!GP$3:GP$500)+IF($C6="",0,SUMIF('DADOS BRUTOS'!$A$3:$A$500,$C6,'DADOS BRUTOS'!GP$3:GP$500)))</f>
        <v>0</v>
      </c>
      <c r="JQ6" s="133" t="n">
        <f aca="false">IF(OR(JQ$4="",$B6=""),0,SUMIF('DADOS BRUTOS'!$A$3:$A$500,$B6,'DADOS BRUTOS'!GQ$3:GQ$500)+IF($C6="",0,SUMIF('DADOS BRUTOS'!$A$3:$A$500,$C6,'DADOS BRUTOS'!GQ$3:GQ$500)))</f>
        <v>0</v>
      </c>
      <c r="JR6" s="133" t="n">
        <f aca="false">IF(OR(JR$4="",$B6=""),0,SUMIF('DADOS BRUTOS'!$A$3:$A$500,$B6,'DADOS BRUTOS'!GR$3:GR$500)+IF($C6="",0,SUMIF('DADOS BRUTOS'!$A$3:$A$500,$C6,'DADOS BRUTOS'!GR$3:GR$500)))</f>
        <v>0</v>
      </c>
      <c r="JS6" s="133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1282.65</v>
      </c>
      <c r="E7" s="50" t="n">
        <f aca="false">SUMIF($CB$4:$JS$4,E$4,$CB7:$JS7)</f>
        <v>542.94</v>
      </c>
      <c r="F7" s="50" t="n">
        <f aca="false">SUMIF($CB$4:$JS$4,F$4,$CB7:$JS7)</f>
        <v>0</v>
      </c>
      <c r="G7" s="50" t="n">
        <f aca="false">SUMIF($CB$4:$JS$4,G$4,$CB7:$JS7)</f>
        <v>18.05</v>
      </c>
      <c r="H7" s="50" t="n">
        <f aca="false">SUMIF($CB$4:$JS$4,H$4,$CB7:$JS7)</f>
        <v>927.48</v>
      </c>
      <c r="I7" s="50" t="n">
        <f aca="false">SUMIF($CB$4:$JS$4,I$4,$CB7:$JS7)</f>
        <v>0</v>
      </c>
      <c r="J7" s="50" t="n">
        <f aca="false">SUMIF($CB$4:$JS$4,J$4,$CB7:$JS7)</f>
        <v>597.09</v>
      </c>
      <c r="K7" s="50" t="n">
        <f aca="false">SUMIF($CB$4:$JS$4,K$4,$CB7:$JS7)</f>
        <v>927.48</v>
      </c>
      <c r="L7" s="50" t="n">
        <f aca="false">SUMIF($CB$4:$JS$4,L$4,$CB7:$JS7)</f>
        <v>68</v>
      </c>
      <c r="M7" s="50" t="n">
        <f aca="false">SUMIF($CB$4:$JS$4,M$4,$CB7:$JS7)</f>
        <v>70.45</v>
      </c>
      <c r="N7" s="50" t="n">
        <f aca="false">SUMIF($CB$4:$JS$4,N$4,$CB7:$JS7)</f>
        <v>927.48</v>
      </c>
      <c r="O7" s="50" t="n">
        <f aca="false">SUMIF($CB$4:$JS$4,O$4,$CB7:$JS7)</f>
        <v>0</v>
      </c>
      <c r="P7" s="50" t="n">
        <f aca="false">SUMIF($CB$4:$JS$4,P$4,$CB7:$JS7)</f>
        <v>0</v>
      </c>
      <c r="Q7" s="50" t="n">
        <f aca="false">SUMIF($CB$4:$JS$4,Q$4,$CB7:$JS7)</f>
        <v>927.48</v>
      </c>
      <c r="R7" s="50" t="n">
        <f aca="false">SUMIF($CB$4:$JS$4,R$4,$CB7:$JS7)</f>
        <v>5899.91</v>
      </c>
      <c r="S7" s="50" t="n">
        <f aca="false">SUMIF($CB$4:$JS$4,S$4,$CB7:$JS7)</f>
        <v>0</v>
      </c>
      <c r="T7" s="50" t="n">
        <f aca="false">SUMIF($CB$4:$JS$4,T$4,$CB7:$JS7)</f>
        <v>0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0</v>
      </c>
      <c r="X7" s="50" t="n">
        <f aca="false">SUMIF($CB$4:$JS$4,X$4,$CB7:$JS7)</f>
        <v>0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12189.01</v>
      </c>
      <c r="BZ7" s="45" t="n">
        <f aca="false">SUMPRODUCT(($CB$4:$JS$4&lt;&gt;"")*($CB$4:$JS$4&lt;=$D$4),$CB7:$JS7,$CB$1:$JS$1)</f>
        <v>1.11445905671946</v>
      </c>
      <c r="CB7" s="133" t="n">
        <f aca="false">IF(OR(CB$4="",$B7=""),0,SUMIF('DADOS BRUTOS'!$A$3:$A$500,$B7,'DADOS BRUTOS'!B$3:B$500)+IF($C7="",0,SUMIF('DADOS BRUTOS'!$A$3:$A$500,$C7,'DADOS BRUTOS'!B$3:B$500)))</f>
        <v>0</v>
      </c>
      <c r="CC7" s="133" t="n">
        <f aca="false">IF(OR(CC$4="",$B7=""),0,SUMIF('DADOS BRUTOS'!$A$3:$A$500,$B7,'DADOS BRUTOS'!C$3:C$500)+IF($C7="",0,SUMIF('DADOS BRUTOS'!$A$3:$A$500,$C7,'DADOS BRUTOS'!C$3:C$500)))</f>
        <v>0</v>
      </c>
      <c r="CD7" s="133" t="n">
        <f aca="false">IF(OR(CD$4="",$B7=""),0,SUMIF('DADOS BRUTOS'!$A$3:$A$500,$B7,'DADOS BRUTOS'!D$3:D$500)+IF($C7="",0,SUMIF('DADOS BRUTOS'!$A$3:$A$500,$C7,'DADOS BRUTOS'!D$3:D$500)))</f>
        <v>0</v>
      </c>
      <c r="CE7" s="133" t="n">
        <f aca="false">IF(OR(CE$4="",$B7=""),0,SUMIF('DADOS BRUTOS'!$A$3:$A$500,$B7,'DADOS BRUTOS'!E$3:E$500)+IF($C7="",0,SUMIF('DADOS BRUTOS'!$A$3:$A$500,$C7,'DADOS BRUTOS'!E$3:E$500)))</f>
        <v>0</v>
      </c>
      <c r="CF7" s="133" t="n">
        <f aca="false">IF(OR(CF$4="",$B7=""),0,SUMIF('DADOS BRUTOS'!$A$3:$A$500,$B7,'DADOS BRUTOS'!F$3:F$500)+IF($C7="",0,SUMIF('DADOS BRUTOS'!$A$3:$A$500,$C7,'DADOS BRUTOS'!F$3:F$500)))</f>
        <v>0</v>
      </c>
      <c r="CG7" s="133" t="n">
        <f aca="false">IF(OR(CG$4="",$B7=""),0,SUMIF('DADOS BRUTOS'!$A$3:$A$500,$B7,'DADOS BRUTOS'!G$3:G$500)+IF($C7="",0,SUMIF('DADOS BRUTOS'!$A$3:$A$500,$C7,'DADOS BRUTOS'!G$3:G$500)))</f>
        <v>0</v>
      </c>
      <c r="CH7" s="133" t="n">
        <f aca="false">IF(OR(CH$4="",$B7=""),0,SUMIF('DADOS BRUTOS'!$A$3:$A$500,$B7,'DADOS BRUTOS'!H$3:H$500)+IF($C7="",0,SUMIF('DADOS BRUTOS'!$A$3:$A$500,$C7,'DADOS BRUTOS'!H$3:H$500)))</f>
        <v>0</v>
      </c>
      <c r="CI7" s="133" t="n">
        <f aca="false">IF(OR(CI$4="",$B7=""),0,SUMIF('DADOS BRUTOS'!$A$3:$A$500,$B7,'DADOS BRUTOS'!I$3:I$500)+IF($C7="",0,SUMIF('DADOS BRUTOS'!$A$3:$A$500,$C7,'DADOS BRUTOS'!I$3:I$500)))</f>
        <v>0</v>
      </c>
      <c r="CJ7" s="133" t="n">
        <f aca="false">IF(OR(CJ$4="",$B7=""),0,SUMIF('DADOS BRUTOS'!$A$3:$A$500,$B7,'DADOS BRUTOS'!J$3:J$500)+IF($C7="",0,SUMIF('DADOS BRUTOS'!$A$3:$A$500,$C7,'DADOS BRUTOS'!J$3:J$500)))</f>
        <v>0</v>
      </c>
      <c r="CK7" s="133" t="n">
        <f aca="false">IF(OR(CK$4="",$B7=""),0,SUMIF('DADOS BRUTOS'!$A$3:$A$500,$B7,'DADOS BRUTOS'!K$3:K$500)+IF($C7="",0,SUMIF('DADOS BRUTOS'!$A$3:$A$500,$C7,'DADOS BRUTOS'!K$3:K$500)))</f>
        <v>0</v>
      </c>
      <c r="CL7" s="133" t="n">
        <f aca="false">IF(OR(CL$4="",$B7=""),0,SUMIF('DADOS BRUTOS'!$A$3:$A$500,$B7,'DADOS BRUTOS'!L$3:L$500)+IF($C7="",0,SUMIF('DADOS BRUTOS'!$A$3:$A$500,$C7,'DADOS BRUTOS'!L$3:L$500)))</f>
        <v>0</v>
      </c>
      <c r="CM7" s="133" t="n">
        <f aca="false">IF(OR(CM$4="",$B7=""),0,SUMIF('DADOS BRUTOS'!$A$3:$A$500,$B7,'DADOS BRUTOS'!M$3:M$500)+IF($C7="",0,SUMIF('DADOS BRUTOS'!$A$3:$A$500,$C7,'DADOS BRUTOS'!M$3:M$500)))</f>
        <v>0</v>
      </c>
      <c r="CN7" s="133" t="n">
        <f aca="false">IF(OR(CN$4="",$B7=""),0,SUMIF('DADOS BRUTOS'!$A$3:$A$500,$B7,'DADOS BRUTOS'!N$3:N$500)+IF($C7="",0,SUMIF('DADOS BRUTOS'!$A$3:$A$500,$C7,'DADOS BRUTOS'!N$3:N$500)))</f>
        <v>0</v>
      </c>
      <c r="CO7" s="133" t="n">
        <f aca="false">IF(OR(CO$4="",$B7=""),0,SUMIF('DADOS BRUTOS'!$A$3:$A$500,$B7,'DADOS BRUTOS'!O$3:O$500)+IF($C7="",0,SUMIF('DADOS BRUTOS'!$A$3:$A$500,$C7,'DADOS BRUTOS'!O$3:O$500)))</f>
        <v>0</v>
      </c>
      <c r="CP7" s="133" t="n">
        <f aca="false">IF(OR(CP$4="",$B7=""),0,SUMIF('DADOS BRUTOS'!$A$3:$A$500,$B7,'DADOS BRUTOS'!P$3:P$500)+IF($C7="",0,SUMIF('DADOS BRUTOS'!$A$3:$A$500,$C7,'DADOS BRUTOS'!P$3:P$500)))</f>
        <v>0</v>
      </c>
      <c r="CQ7" s="133" t="n">
        <f aca="false">IF(OR(CQ$4="",$B7=""),0,SUMIF('DADOS BRUTOS'!$A$3:$A$500,$B7,'DADOS BRUTOS'!Q$3:Q$500)+IF($C7="",0,SUMIF('DADOS BRUTOS'!$A$3:$A$500,$C7,'DADOS BRUTOS'!Q$3:Q$500)))</f>
        <v>0</v>
      </c>
      <c r="CR7" s="133" t="n">
        <f aca="false">IF(OR(CR$4="",$B7=""),0,SUMIF('DADOS BRUTOS'!$A$3:$A$500,$B7,'DADOS BRUTOS'!R$3:R$500)+IF($C7="",0,SUMIF('DADOS BRUTOS'!$A$3:$A$500,$C7,'DADOS BRUTOS'!R$3:R$500)))</f>
        <v>0</v>
      </c>
      <c r="CS7" s="133" t="n">
        <f aca="false">IF(OR(CS$4="",$B7=""),0,SUMIF('DADOS BRUTOS'!$A$3:$A$500,$B7,'DADOS BRUTOS'!S$3:S$500)+IF($C7="",0,SUMIF('DADOS BRUTOS'!$A$3:$A$500,$C7,'DADOS BRUTOS'!S$3:S$500)))</f>
        <v>0</v>
      </c>
      <c r="CT7" s="133" t="n">
        <f aca="false">IF(OR(CT$4="",$B7=""),0,SUMIF('DADOS BRUTOS'!$A$3:$A$500,$B7,'DADOS BRUTOS'!T$3:T$500)+IF($C7="",0,SUMIF('DADOS BRUTOS'!$A$3:$A$500,$C7,'DADOS BRUTOS'!T$3:T$500)))</f>
        <v>0</v>
      </c>
      <c r="CU7" s="133" t="n">
        <f aca="false">IF(OR(CU$4="",$B7=""),0,SUMIF('DADOS BRUTOS'!$A$3:$A$500,$B7,'DADOS BRUTOS'!U$3:U$500)+IF($C7="",0,SUMIF('DADOS BRUTOS'!$A$3:$A$500,$C7,'DADOS BRUTOS'!U$3:U$500)))</f>
        <v>0</v>
      </c>
      <c r="CV7" s="133" t="n">
        <f aca="false">IF(OR(CV$4="",$B7=""),0,SUMIF('DADOS BRUTOS'!$A$3:$A$500,$B7,'DADOS BRUTOS'!V$3:V$500)+IF($C7="",0,SUMIF('DADOS BRUTOS'!$A$3:$A$500,$C7,'DADOS BRUTOS'!V$3:V$500)))</f>
        <v>0</v>
      </c>
      <c r="CW7" s="133" t="n">
        <f aca="false">IF(OR(CW$4="",$B7=""),0,SUMIF('DADOS BRUTOS'!$A$3:$A$500,$B7,'DADOS BRUTOS'!W$3:W$500)+IF($C7="",0,SUMIF('DADOS BRUTOS'!$A$3:$A$500,$C7,'DADOS BRUTOS'!W$3:W$500)))</f>
        <v>0</v>
      </c>
      <c r="CX7" s="133" t="n">
        <f aca="false">IF(OR(CX$4="",$B7=""),0,SUMIF('DADOS BRUTOS'!$A$3:$A$500,$B7,'DADOS BRUTOS'!X$3:X$500)+IF($C7="",0,SUMIF('DADOS BRUTOS'!$A$3:$A$500,$C7,'DADOS BRUTOS'!X$3:X$500)))</f>
        <v>0</v>
      </c>
      <c r="CY7" s="133" t="n">
        <f aca="false">IF(OR(CY$4="",$B7=""),0,SUMIF('DADOS BRUTOS'!$A$3:$A$500,$B7,'DADOS BRUTOS'!Y$3:Y$500)+IF($C7="",0,SUMIF('DADOS BRUTOS'!$A$3:$A$500,$C7,'DADOS BRUTOS'!Y$3:Y$500)))</f>
        <v>0</v>
      </c>
      <c r="CZ7" s="133" t="n">
        <f aca="false">IF(OR(CZ$4="",$B7=""),0,SUMIF('DADOS BRUTOS'!$A$3:$A$500,$B7,'DADOS BRUTOS'!Z$3:Z$500)+IF($C7="",0,SUMIF('DADOS BRUTOS'!$A$3:$A$500,$C7,'DADOS BRUTOS'!Z$3:Z$500)))</f>
        <v>0</v>
      </c>
      <c r="DA7" s="133" t="n">
        <f aca="false">IF(OR(DA$4="",$B7=""),0,SUMIF('DADOS BRUTOS'!$A$3:$A$500,$B7,'DADOS BRUTOS'!AA$3:AA$500)+IF($C7="",0,SUMIF('DADOS BRUTOS'!$A$3:$A$500,$C7,'DADOS BRUTOS'!AA$3:AA$500)))</f>
        <v>0</v>
      </c>
      <c r="DB7" s="133" t="n">
        <f aca="false">IF(OR(DB$4="",$B7=""),0,SUMIF('DADOS BRUTOS'!$A$3:$A$500,$B7,'DADOS BRUTOS'!AB$3:AB$500)+IF($C7="",0,SUMIF('DADOS BRUTOS'!$A$3:$A$500,$C7,'DADOS BRUTOS'!AB$3:AB$500)))</f>
        <v>99.64</v>
      </c>
      <c r="DC7" s="133" t="n">
        <f aca="false">IF(OR(DC$4="",$B7=""),0,SUMIF('DADOS BRUTOS'!$A$3:$A$500,$B7,'DADOS BRUTOS'!AC$3:AC$500)+IF($C7="",0,SUMIF('DADOS BRUTOS'!$A$3:$A$500,$C7,'DADOS BRUTOS'!AC$3:AC$500)))</f>
        <v>199.28</v>
      </c>
      <c r="DD7" s="133" t="n">
        <f aca="false">IF(OR(DD$4="",$B7=""),0,SUMIF('DADOS BRUTOS'!$A$3:$A$500,$B7,'DADOS BRUTOS'!AD$3:AD$500)+IF($C7="",0,SUMIF('DADOS BRUTOS'!$A$3:$A$500,$C7,'DADOS BRUTOS'!AD$3:AD$500)))</f>
        <v>0</v>
      </c>
      <c r="DE7" s="133" t="n">
        <f aca="false">IF(OR(DE$4="",$B7=""),0,SUMIF('DADOS BRUTOS'!$A$3:$A$500,$B7,'DADOS BRUTOS'!AE$3:AE$500)+IF($C7="",0,SUMIF('DADOS BRUTOS'!$A$3:$A$500,$C7,'DADOS BRUTOS'!AE$3:AE$500)))</f>
        <v>0</v>
      </c>
      <c r="DF7" s="133" t="n">
        <f aca="false">IF(OR(DF$4="",$B7=""),0,SUMIF('DADOS BRUTOS'!$A$3:$A$500,$B7,'DADOS BRUTOS'!AF$3:AF$500)+IF($C7="",0,SUMIF('DADOS BRUTOS'!$A$3:$A$500,$C7,'DADOS BRUTOS'!AF$3:AF$500)))</f>
        <v>0</v>
      </c>
      <c r="DG7" s="133" t="n">
        <f aca="false">IF(OR(DG$4="",$B7=""),0,SUMIF('DADOS BRUTOS'!$A$3:$A$500,$B7,'DADOS BRUTOS'!AG$3:AG$500)+IF($C7="",0,SUMIF('DADOS BRUTOS'!$A$3:$A$500,$C7,'DADOS BRUTOS'!AG$3:AG$500)))</f>
        <v>42</v>
      </c>
      <c r="DH7" s="133" t="n">
        <f aca="false">IF(OR(DH$4="",$B7=""),0,SUMIF('DADOS BRUTOS'!$A$3:$A$500,$B7,'DADOS BRUTOS'!AH$3:AH$500)+IF($C7="",0,SUMIF('DADOS BRUTOS'!$A$3:$A$500,$C7,'DADOS BRUTOS'!AH$3:AH$500)))</f>
        <v>941.73</v>
      </c>
      <c r="DI7" s="133" t="n">
        <f aca="false">IF(OR(DI$4="",$B7=""),0,SUMIF('DADOS BRUTOS'!$A$3:$A$500,$B7,'DADOS BRUTOS'!AI$3:AI$500)+IF($C7="",0,SUMIF('DADOS BRUTOS'!$A$3:$A$500,$C7,'DADOS BRUTOS'!AI$3:AI$500)))</f>
        <v>542.94</v>
      </c>
      <c r="DJ7" s="133" t="n">
        <f aca="false">IF(OR(DJ$4="",$B7=""),0,SUMIF('DADOS BRUTOS'!$A$3:$A$500,$B7,'DADOS BRUTOS'!AJ$3:AJ$500)+IF($C7="",0,SUMIF('DADOS BRUTOS'!$A$3:$A$500,$C7,'DADOS BRUTOS'!AJ$3:AJ$500)))</f>
        <v>0</v>
      </c>
      <c r="DK7" s="133" t="n">
        <f aca="false">IF(OR(DK$4="",$B7=""),0,SUMIF('DADOS BRUTOS'!$A$3:$A$500,$B7,'DADOS BRUTOS'!AK$3:AK$500)+IF($C7="",0,SUMIF('DADOS BRUTOS'!$A$3:$A$500,$C7,'DADOS BRUTOS'!AK$3:AK$500)))</f>
        <v>18.05</v>
      </c>
      <c r="DL7" s="133" t="n">
        <f aca="false">IF(OR(DL$4="",$B7=""),0,SUMIF('DADOS BRUTOS'!$A$3:$A$500,$B7,'DADOS BRUTOS'!AL$3:AL$500)+IF($C7="",0,SUMIF('DADOS BRUTOS'!$A$3:$A$500,$C7,'DADOS BRUTOS'!AL$3:AL$500)))</f>
        <v>927.48</v>
      </c>
      <c r="DM7" s="133" t="n">
        <f aca="false">IF(OR(DM$4="",$B7=""),0,SUMIF('DADOS BRUTOS'!$A$3:$A$500,$B7,'DADOS BRUTOS'!AM$3:AM$500)+IF($C7="",0,SUMIF('DADOS BRUTOS'!$A$3:$A$500,$C7,'DADOS BRUTOS'!AM$3:AM$500)))</f>
        <v>0</v>
      </c>
      <c r="DN7" s="133" t="n">
        <f aca="false">IF(OR(DN$4="",$B7=""),0,SUMIF('DADOS BRUTOS'!$A$3:$A$500,$B7,'DADOS BRUTOS'!AN$3:AN$500)+IF($C7="",0,SUMIF('DADOS BRUTOS'!$A$3:$A$500,$C7,'DADOS BRUTOS'!AN$3:AN$500)))</f>
        <v>597.09</v>
      </c>
      <c r="DO7" s="133" t="n">
        <f aca="false">IF(OR(DO$4="",$B7=""),0,SUMIF('DADOS BRUTOS'!$A$3:$A$500,$B7,'DADOS BRUTOS'!AO$3:AO$500)+IF($C7="",0,SUMIF('DADOS BRUTOS'!$A$3:$A$500,$C7,'DADOS BRUTOS'!AO$3:AO$500)))</f>
        <v>927.48</v>
      </c>
      <c r="DP7" s="133" t="n">
        <f aca="false">IF(OR(DP$4="",$B7=""),0,SUMIF('DADOS BRUTOS'!$A$3:$A$500,$B7,'DADOS BRUTOS'!AP$3:AP$500)+IF($C7="",0,SUMIF('DADOS BRUTOS'!$A$3:$A$500,$C7,'DADOS BRUTOS'!AP$3:AP$500)))</f>
        <v>68</v>
      </c>
      <c r="DQ7" s="133" t="n">
        <f aca="false">IF(OR(DQ$4="",$B7=""),0,SUMIF('DADOS BRUTOS'!$A$3:$A$500,$B7,'DADOS BRUTOS'!AQ$3:AQ$500)+IF($C7="",0,SUMIF('DADOS BRUTOS'!$A$3:$A$500,$C7,'DADOS BRUTOS'!AQ$3:AQ$500)))</f>
        <v>70.45</v>
      </c>
      <c r="DR7" s="133" t="n">
        <f aca="false">IF(OR(DR$4="",$B7=""),0,SUMIF('DADOS BRUTOS'!$A$3:$A$500,$B7,'DADOS BRUTOS'!AR$3:AR$500)+IF($C7="",0,SUMIF('DADOS BRUTOS'!$A$3:$A$500,$C7,'DADOS BRUTOS'!AR$3:AR$500)))</f>
        <v>927.48</v>
      </c>
      <c r="DS7" s="133" t="n">
        <f aca="false">IF(OR(DS$4="",$B7=""),0,SUMIF('DADOS BRUTOS'!$A$3:$A$500,$B7,'DADOS BRUTOS'!AS$3:AS$500)+IF($C7="",0,SUMIF('DADOS BRUTOS'!$A$3:$A$500,$C7,'DADOS BRUTOS'!AS$3:AS$500)))</f>
        <v>0</v>
      </c>
      <c r="DT7" s="133" t="n">
        <f aca="false">IF(OR(DT$4="",$B7=""),0,SUMIF('DADOS BRUTOS'!$A$3:$A$500,$B7,'DADOS BRUTOS'!AT$3:AT$500)+IF($C7="",0,SUMIF('DADOS BRUTOS'!$A$3:$A$500,$C7,'DADOS BRUTOS'!AT$3:AT$500)))</f>
        <v>0</v>
      </c>
      <c r="DU7" s="133" t="n">
        <f aca="false">IF(OR(DU$4="",$B7=""),0,SUMIF('DADOS BRUTOS'!$A$3:$A$500,$B7,'DADOS BRUTOS'!AU$3:AU$500)+IF($C7="",0,SUMIF('DADOS BRUTOS'!$A$3:$A$500,$C7,'DADOS BRUTOS'!AU$3:AU$500)))</f>
        <v>927.48</v>
      </c>
      <c r="DV7" s="133" t="n">
        <f aca="false">IF(OR(DV$4="",$B7=""),0,SUMIF('DADOS BRUTOS'!$A$3:$A$500,$B7,'DADOS BRUTOS'!AV$3:AV$500)+IF($C7="",0,SUMIF('DADOS BRUTOS'!$A$3:$A$500,$C7,'DADOS BRUTOS'!AV$3:AV$500)))</f>
        <v>5899.91</v>
      </c>
      <c r="DW7" s="133" t="n">
        <f aca="false">IF(OR(DW$4="",$B7=""),0,SUMIF('DADOS BRUTOS'!$A$3:$A$500,$B7,'DADOS BRUTOS'!AW$3:AW$500)+IF($C7="",0,SUMIF('DADOS BRUTOS'!$A$3:$A$500,$C7,'DADOS BRUTOS'!AW$3:AW$500)))</f>
        <v>0</v>
      </c>
      <c r="DX7" s="133" t="n">
        <f aca="false">IF(OR(DX$4="",$B7=""),0,SUMIF('DADOS BRUTOS'!$A$3:$A$500,$B7,'DADOS BRUTOS'!AX$3:AX$500)+IF($C7="",0,SUMIF('DADOS BRUTOS'!$A$3:$A$500,$C7,'DADOS BRUTOS'!AX$3:AX$500)))</f>
        <v>0</v>
      </c>
      <c r="DY7" s="133" t="n">
        <f aca="false">IF(OR(DY$4="",$B7=""),0,SUMIF('DADOS BRUTOS'!$A$3:$A$500,$B7,'DADOS BRUTOS'!AY$3:AY$500)+IF($C7="",0,SUMIF('DADOS BRUTOS'!$A$3:$A$500,$C7,'DADOS BRUTOS'!AY$3:AY$500)))</f>
        <v>0</v>
      </c>
      <c r="DZ7" s="133" t="n">
        <f aca="false">IF(OR(DZ$4="",$B7=""),0,SUMIF('DADOS BRUTOS'!$A$3:$A$500,$B7,'DADOS BRUTOS'!AZ$3:AZ$500)+IF($C7="",0,SUMIF('DADOS BRUTOS'!$A$3:$A$500,$C7,'DADOS BRUTOS'!AZ$3:AZ$500)))</f>
        <v>0</v>
      </c>
      <c r="EA7" s="133" t="n">
        <f aca="false">IF(OR(EA$4="",$B7=""),0,SUMIF('DADOS BRUTOS'!$A$3:$A$500,$B7,'DADOS BRUTOS'!BA$3:BA$500)+IF($C7="",0,SUMIF('DADOS BRUTOS'!$A$3:$A$500,$C7,'DADOS BRUTOS'!BA$3:BA$500)))</f>
        <v>0</v>
      </c>
      <c r="EB7" s="133" t="n">
        <f aca="false">IF(OR(EB$4="",$B7=""),0,SUMIF('DADOS BRUTOS'!$A$3:$A$500,$B7,'DADOS BRUTOS'!BB$3:BB$500)+IF($C7="",0,SUMIF('DADOS BRUTOS'!$A$3:$A$500,$C7,'DADOS BRUTOS'!BB$3:BB$500)))</f>
        <v>0</v>
      </c>
      <c r="EC7" s="133" t="n">
        <f aca="false">IF(OR(EC$4="",$B7=""),0,SUMIF('DADOS BRUTOS'!$A$3:$A$500,$B7,'DADOS BRUTOS'!BC$3:BC$500)+IF($C7="",0,SUMIF('DADOS BRUTOS'!$A$3:$A$500,$C7,'DADOS BRUTOS'!BC$3:BC$500)))</f>
        <v>0</v>
      </c>
      <c r="ED7" s="133" t="n">
        <f aca="false">IF(OR(ED$4="",$B7=""),0,SUMIF('DADOS BRUTOS'!$A$3:$A$500,$B7,'DADOS BRUTOS'!BD$3:BD$500)+IF($C7="",0,SUMIF('DADOS BRUTOS'!$A$3:$A$500,$C7,'DADOS BRUTOS'!BD$3:BD$500)))</f>
        <v>0</v>
      </c>
      <c r="EE7" s="133" t="n">
        <f aca="false">IF(OR(EE$4="",$B7=""),0,SUMIF('DADOS BRUTOS'!$A$3:$A$500,$B7,'DADOS BRUTOS'!BE$3:BE$500)+IF($C7="",0,SUMIF('DADOS BRUTOS'!$A$3:$A$500,$C7,'DADOS BRUTOS'!BE$3:BE$500)))</f>
        <v>0</v>
      </c>
      <c r="EF7" s="133" t="n">
        <f aca="false">IF(OR(EF$4="",$B7=""),0,SUMIF('DADOS BRUTOS'!$A$3:$A$500,$B7,'DADOS BRUTOS'!BF$3:BF$500)+IF($C7="",0,SUMIF('DADOS BRUTOS'!$A$3:$A$500,$C7,'DADOS BRUTOS'!BF$3:BF$500)))</f>
        <v>0</v>
      </c>
      <c r="EG7" s="133" t="n">
        <f aca="false">IF(OR(EG$4="",$B7=""),0,SUMIF('DADOS BRUTOS'!$A$3:$A$500,$B7,'DADOS BRUTOS'!BG$3:BG$500)+IF($C7="",0,SUMIF('DADOS BRUTOS'!$A$3:$A$500,$C7,'DADOS BRUTOS'!BG$3:BG$500)))</f>
        <v>0</v>
      </c>
      <c r="EH7" s="133" t="n">
        <f aca="false">IF(OR(EH$4="",$B7=""),0,SUMIF('DADOS BRUTOS'!$A$3:$A$500,$B7,'DADOS BRUTOS'!BH$3:BH$500)+IF($C7="",0,SUMIF('DADOS BRUTOS'!$A$3:$A$500,$C7,'DADOS BRUTOS'!BH$3:BH$500)))</f>
        <v>0</v>
      </c>
      <c r="EI7" s="133" t="n">
        <f aca="false">IF(OR(EI$4="",$B7=""),0,SUMIF('DADOS BRUTOS'!$A$3:$A$500,$B7,'DADOS BRUTOS'!BI$3:BI$500)+IF($C7="",0,SUMIF('DADOS BRUTOS'!$A$3:$A$500,$C7,'DADOS BRUTOS'!BI$3:BI$500)))</f>
        <v>0</v>
      </c>
      <c r="EJ7" s="133" t="n">
        <f aca="false">IF(OR(EJ$4="",$B7=""),0,SUMIF('DADOS BRUTOS'!$A$3:$A$500,$B7,'DADOS BRUTOS'!BJ$3:BJ$500)+IF($C7="",0,SUMIF('DADOS BRUTOS'!$A$3:$A$500,$C7,'DADOS BRUTOS'!BJ$3:BJ$500)))</f>
        <v>0</v>
      </c>
      <c r="EK7" s="133" t="n">
        <f aca="false">IF(OR(EK$4="",$B7=""),0,SUMIF('DADOS BRUTOS'!$A$3:$A$500,$B7,'DADOS BRUTOS'!BK$3:BK$500)+IF($C7="",0,SUMIF('DADOS BRUTOS'!$A$3:$A$500,$C7,'DADOS BRUTOS'!BK$3:BK$500)))</f>
        <v>0</v>
      </c>
      <c r="EL7" s="133" t="n">
        <f aca="false">IF(OR(EL$4="",$B7=""),0,SUMIF('DADOS BRUTOS'!$A$3:$A$500,$B7,'DADOS BRUTOS'!BL$3:BL$500)+IF($C7="",0,SUMIF('DADOS BRUTOS'!$A$3:$A$500,$C7,'DADOS BRUTOS'!BL$3:BL$500)))</f>
        <v>0</v>
      </c>
      <c r="EM7" s="133" t="n">
        <f aca="false">IF(OR(EM$4="",$B7=""),0,SUMIF('DADOS BRUTOS'!$A$3:$A$500,$B7,'DADOS BRUTOS'!BM$3:BM$500)+IF($C7="",0,SUMIF('DADOS BRUTOS'!$A$3:$A$500,$C7,'DADOS BRUTOS'!BM$3:BM$500)))</f>
        <v>0</v>
      </c>
      <c r="EN7" s="133" t="n">
        <f aca="false">IF(OR(EN$4="",$B7=""),0,SUMIF('DADOS BRUTOS'!$A$3:$A$500,$B7,'DADOS BRUTOS'!BN$3:BN$500)+IF($C7="",0,SUMIF('DADOS BRUTOS'!$A$3:$A$500,$C7,'DADOS BRUTOS'!BN$3:BN$500)))</f>
        <v>0</v>
      </c>
      <c r="EO7" s="133" t="n">
        <f aca="false">IF(OR(EO$4="",$B7=""),0,SUMIF('DADOS BRUTOS'!$A$3:$A$500,$B7,'DADOS BRUTOS'!BO$3:BO$500)+IF($C7="",0,SUMIF('DADOS BRUTOS'!$A$3:$A$500,$C7,'DADOS BRUTOS'!BO$3:BO$500)))</f>
        <v>0</v>
      </c>
      <c r="EP7" s="133" t="n">
        <f aca="false">IF(OR(EP$4="",$B7=""),0,SUMIF('DADOS BRUTOS'!$A$3:$A$500,$B7,'DADOS BRUTOS'!BP$3:BP$500)+IF($C7="",0,SUMIF('DADOS BRUTOS'!$A$3:$A$500,$C7,'DADOS BRUTOS'!BP$3:BP$500)))</f>
        <v>0</v>
      </c>
      <c r="EQ7" s="133" t="n">
        <f aca="false">IF(OR(EQ$4="",$B7=""),0,SUMIF('DADOS BRUTOS'!$A$3:$A$500,$B7,'DADOS BRUTOS'!BQ$3:BQ$500)+IF($C7="",0,SUMIF('DADOS BRUTOS'!$A$3:$A$500,$C7,'DADOS BRUTOS'!BQ$3:BQ$500)))</f>
        <v>0</v>
      </c>
      <c r="ER7" s="133" t="n">
        <f aca="false">IF(OR(ER$4="",$B7=""),0,SUMIF('DADOS BRUTOS'!$A$3:$A$500,$B7,'DADOS BRUTOS'!BR$3:BR$500)+IF($C7="",0,SUMIF('DADOS BRUTOS'!$A$3:$A$500,$C7,'DADOS BRUTOS'!BR$3:BR$500)))</f>
        <v>0</v>
      </c>
      <c r="ES7" s="133" t="n">
        <f aca="false">IF(OR(ES$4="",$B7=""),0,SUMIF('DADOS BRUTOS'!$A$3:$A$500,$B7,'DADOS BRUTOS'!BS$3:BS$500)+IF($C7="",0,SUMIF('DADOS BRUTOS'!$A$3:$A$500,$C7,'DADOS BRUTOS'!BS$3:BS$500)))</f>
        <v>0</v>
      </c>
      <c r="ET7" s="133" t="n">
        <f aca="false">IF(OR(ET$4="",$B7=""),0,SUMIF('DADOS BRUTOS'!$A$3:$A$500,$B7,'DADOS BRUTOS'!BT$3:BT$500)+IF($C7="",0,SUMIF('DADOS BRUTOS'!$A$3:$A$500,$C7,'DADOS BRUTOS'!BT$3:BT$500)))</f>
        <v>0</v>
      </c>
      <c r="EU7" s="133" t="n">
        <f aca="false">IF(OR(EU$4="",$B7=""),0,SUMIF('DADOS BRUTOS'!$A$3:$A$500,$B7,'DADOS BRUTOS'!BU$3:BU$500)+IF($C7="",0,SUMIF('DADOS BRUTOS'!$A$3:$A$500,$C7,'DADOS BRUTOS'!BU$3:BU$500)))</f>
        <v>0</v>
      </c>
      <c r="EV7" s="133" t="n">
        <f aca="false">IF(OR(EV$4="",$B7=""),0,SUMIF('DADOS BRUTOS'!$A$3:$A$500,$B7,'DADOS BRUTOS'!BV$3:BV$500)+IF($C7="",0,SUMIF('DADOS BRUTOS'!$A$3:$A$500,$C7,'DADOS BRUTOS'!BV$3:BV$500)))</f>
        <v>0</v>
      </c>
      <c r="EW7" s="133" t="n">
        <f aca="false">IF(OR(EW$4="",$B7=""),0,SUMIF('DADOS BRUTOS'!$A$3:$A$500,$B7,'DADOS BRUTOS'!BW$3:BW$500)+IF($C7="",0,SUMIF('DADOS BRUTOS'!$A$3:$A$500,$C7,'DADOS BRUTOS'!BW$3:BW$500)))</f>
        <v>0</v>
      </c>
      <c r="EX7" s="133" t="n">
        <f aca="false">IF(OR(EX$4="",$B7=""),0,SUMIF('DADOS BRUTOS'!$A$3:$A$500,$B7,'DADOS BRUTOS'!BX$3:BX$500)+IF($C7="",0,SUMIF('DADOS BRUTOS'!$A$3:$A$500,$C7,'DADOS BRUTOS'!BX$3:BX$500)))</f>
        <v>0</v>
      </c>
      <c r="EY7" s="133" t="n">
        <f aca="false">IF(OR(EY$4="",$B7=""),0,SUMIF('DADOS BRUTOS'!$A$3:$A$500,$B7,'DADOS BRUTOS'!BY$3:BY$500)+IF($C7="",0,SUMIF('DADOS BRUTOS'!$A$3:$A$500,$C7,'DADOS BRUTOS'!BY$3:BY$500)))</f>
        <v>0</v>
      </c>
      <c r="EZ7" s="133" t="n">
        <f aca="false">IF(OR(EZ$4="",$B7=""),0,SUMIF('DADOS BRUTOS'!$A$3:$A$500,$B7,'DADOS BRUTOS'!BZ$3:BZ$500)+IF($C7="",0,SUMIF('DADOS BRUTOS'!$A$3:$A$500,$C7,'DADOS BRUTOS'!BZ$3:BZ$500)))</f>
        <v>0</v>
      </c>
      <c r="FA7" s="133" t="n">
        <f aca="false">IF(OR(FA$4="",$B7=""),0,SUMIF('DADOS BRUTOS'!$A$3:$A$500,$B7,'DADOS BRUTOS'!CA$3:CA$500)+IF($C7="",0,SUMIF('DADOS BRUTOS'!$A$3:$A$500,$C7,'DADOS BRUTOS'!CA$3:CA$500)))</f>
        <v>0</v>
      </c>
      <c r="FB7" s="133" t="n">
        <f aca="false">IF(OR(FB$4="",$B7=""),0,SUMIF('DADOS BRUTOS'!$A$3:$A$500,$B7,'DADOS BRUTOS'!CB$3:CB$500)+IF($C7="",0,SUMIF('DADOS BRUTOS'!$A$3:$A$500,$C7,'DADOS BRUTOS'!CB$3:CB$500)))</f>
        <v>0</v>
      </c>
      <c r="FC7" s="133" t="n">
        <f aca="false">IF(OR(FC$4="",$B7=""),0,SUMIF('DADOS BRUTOS'!$A$3:$A$500,$B7,'DADOS BRUTOS'!CC$3:CC$500)+IF($C7="",0,SUMIF('DADOS BRUTOS'!$A$3:$A$500,$C7,'DADOS BRUTOS'!CC$3:CC$500)))</f>
        <v>0</v>
      </c>
      <c r="FD7" s="133" t="n">
        <f aca="false">IF(OR(FD$4="",$B7=""),0,SUMIF('DADOS BRUTOS'!$A$3:$A$500,$B7,'DADOS BRUTOS'!CD$3:CD$500)+IF($C7="",0,SUMIF('DADOS BRUTOS'!$A$3:$A$500,$C7,'DADOS BRUTOS'!CD$3:CD$500)))</f>
        <v>0</v>
      </c>
      <c r="FE7" s="133" t="n">
        <f aca="false">IF(OR(FE$4="",$B7=""),0,SUMIF('DADOS BRUTOS'!$A$3:$A$500,$B7,'DADOS BRUTOS'!CE$3:CE$500)+IF($C7="",0,SUMIF('DADOS BRUTOS'!$A$3:$A$500,$C7,'DADOS BRUTOS'!CE$3:CE$500)))</f>
        <v>0</v>
      </c>
      <c r="FF7" s="133" t="n">
        <f aca="false">IF(OR(FF$4="",$B7=""),0,SUMIF('DADOS BRUTOS'!$A$3:$A$500,$B7,'DADOS BRUTOS'!CF$3:CF$500)+IF($C7="",0,SUMIF('DADOS BRUTOS'!$A$3:$A$500,$C7,'DADOS BRUTOS'!CF$3:CF$500)))</f>
        <v>0</v>
      </c>
      <c r="FG7" s="133" t="n">
        <f aca="false">IF(OR(FG$4="",$B7=""),0,SUMIF('DADOS BRUTOS'!$A$3:$A$500,$B7,'DADOS BRUTOS'!CG$3:CG$500)+IF($C7="",0,SUMIF('DADOS BRUTOS'!$A$3:$A$500,$C7,'DADOS BRUTOS'!CG$3:CG$500)))</f>
        <v>0</v>
      </c>
      <c r="FH7" s="133" t="n">
        <f aca="false">IF(OR(FH$4="",$B7=""),0,SUMIF('DADOS BRUTOS'!$A$3:$A$500,$B7,'DADOS BRUTOS'!CH$3:CH$500)+IF($C7="",0,SUMIF('DADOS BRUTOS'!$A$3:$A$500,$C7,'DADOS BRUTOS'!CH$3:CH$500)))</f>
        <v>0</v>
      </c>
      <c r="FI7" s="133" t="n">
        <f aca="false">IF(OR(FI$4="",$B7=""),0,SUMIF('DADOS BRUTOS'!$A$3:$A$500,$B7,'DADOS BRUTOS'!CI$3:CI$500)+IF($C7="",0,SUMIF('DADOS BRUTOS'!$A$3:$A$500,$C7,'DADOS BRUTOS'!CI$3:CI$500)))</f>
        <v>0</v>
      </c>
      <c r="FJ7" s="133" t="n">
        <f aca="false">IF(OR(FJ$4="",$B7=""),0,SUMIF('DADOS BRUTOS'!$A$3:$A$500,$B7,'DADOS BRUTOS'!CJ$3:CJ$500)+IF($C7="",0,SUMIF('DADOS BRUTOS'!$A$3:$A$500,$C7,'DADOS BRUTOS'!CJ$3:CJ$500)))</f>
        <v>0</v>
      </c>
      <c r="FK7" s="133" t="n">
        <f aca="false">IF(OR(FK$4="",$B7=""),0,SUMIF('DADOS BRUTOS'!$A$3:$A$500,$B7,'DADOS BRUTOS'!CK$3:CK$500)+IF($C7="",0,SUMIF('DADOS BRUTOS'!$A$3:$A$500,$C7,'DADOS BRUTOS'!CK$3:CK$500)))</f>
        <v>0</v>
      </c>
      <c r="FL7" s="133" t="n">
        <f aca="false">IF(OR(FL$4="",$B7=""),0,SUMIF('DADOS BRUTOS'!$A$3:$A$500,$B7,'DADOS BRUTOS'!CL$3:CL$500)+IF($C7="",0,SUMIF('DADOS BRUTOS'!$A$3:$A$500,$C7,'DADOS BRUTOS'!CL$3:CL$500)))</f>
        <v>0</v>
      </c>
      <c r="FM7" s="133" t="n">
        <f aca="false">IF(OR(FM$4="",$B7=""),0,SUMIF('DADOS BRUTOS'!$A$3:$A$500,$B7,'DADOS BRUTOS'!CM$3:CM$500)+IF($C7="",0,SUMIF('DADOS BRUTOS'!$A$3:$A$500,$C7,'DADOS BRUTOS'!CM$3:CM$500)))</f>
        <v>0</v>
      </c>
      <c r="FN7" s="133" t="n">
        <f aca="false">IF(OR(FN$4="",$B7=""),0,SUMIF('DADOS BRUTOS'!$A$3:$A$500,$B7,'DADOS BRUTOS'!CN$3:CN$500)+IF($C7="",0,SUMIF('DADOS BRUTOS'!$A$3:$A$500,$C7,'DADOS BRUTOS'!CN$3:CN$500)))</f>
        <v>0</v>
      </c>
      <c r="FO7" s="133" t="n">
        <f aca="false">IF(OR(FO$4="",$B7=""),0,SUMIF('DADOS BRUTOS'!$A$3:$A$500,$B7,'DADOS BRUTOS'!CO$3:CO$500)+IF($C7="",0,SUMIF('DADOS BRUTOS'!$A$3:$A$500,$C7,'DADOS BRUTOS'!CO$3:CO$500)))</f>
        <v>0</v>
      </c>
      <c r="FP7" s="133" t="n">
        <f aca="false">IF(OR(FP$4="",$B7=""),0,SUMIF('DADOS BRUTOS'!$A$3:$A$500,$B7,'DADOS BRUTOS'!CP$3:CP$500)+IF($C7="",0,SUMIF('DADOS BRUTOS'!$A$3:$A$500,$C7,'DADOS BRUTOS'!CP$3:CP$500)))</f>
        <v>0</v>
      </c>
      <c r="FQ7" s="133" t="n">
        <f aca="false">IF(OR(FQ$4="",$B7=""),0,SUMIF('DADOS BRUTOS'!$A$3:$A$500,$B7,'DADOS BRUTOS'!CQ$3:CQ$500)+IF($C7="",0,SUMIF('DADOS BRUTOS'!$A$3:$A$500,$C7,'DADOS BRUTOS'!CQ$3:CQ$500)))</f>
        <v>0</v>
      </c>
      <c r="FR7" s="133" t="n">
        <f aca="false">IF(OR(FR$4="",$B7=""),0,SUMIF('DADOS BRUTOS'!$A$3:$A$500,$B7,'DADOS BRUTOS'!CR$3:CR$500)+IF($C7="",0,SUMIF('DADOS BRUTOS'!$A$3:$A$500,$C7,'DADOS BRUTOS'!CR$3:CR$500)))</f>
        <v>0</v>
      </c>
      <c r="FS7" s="133" t="n">
        <f aca="false">IF(OR(FS$4="",$B7=""),0,SUMIF('DADOS BRUTOS'!$A$3:$A$500,$B7,'DADOS BRUTOS'!CS$3:CS$500)+IF($C7="",0,SUMIF('DADOS BRUTOS'!$A$3:$A$500,$C7,'DADOS BRUTOS'!CS$3:CS$500)))</f>
        <v>0</v>
      </c>
      <c r="FT7" s="133" t="n">
        <f aca="false">IF(OR(FT$4="",$B7=""),0,SUMIF('DADOS BRUTOS'!$A$3:$A$500,$B7,'DADOS BRUTOS'!CT$3:CT$500)+IF($C7="",0,SUMIF('DADOS BRUTOS'!$A$3:$A$500,$C7,'DADOS BRUTOS'!CT$3:CT$500)))</f>
        <v>0</v>
      </c>
      <c r="FU7" s="133" t="n">
        <f aca="false">IF(OR(FU$4="",$B7=""),0,SUMIF('DADOS BRUTOS'!$A$3:$A$500,$B7,'DADOS BRUTOS'!CU$3:CU$500)+IF($C7="",0,SUMIF('DADOS BRUTOS'!$A$3:$A$500,$C7,'DADOS BRUTOS'!CU$3:CU$500)))</f>
        <v>0</v>
      </c>
      <c r="FV7" s="133" t="n">
        <f aca="false">IF(OR(FV$4="",$B7=""),0,SUMIF('DADOS BRUTOS'!$A$3:$A$500,$B7,'DADOS BRUTOS'!CV$3:CV$500)+IF($C7="",0,SUMIF('DADOS BRUTOS'!$A$3:$A$500,$C7,'DADOS BRUTOS'!CV$3:CV$500)))</f>
        <v>0</v>
      </c>
      <c r="FW7" s="133" t="n">
        <f aca="false">IF(OR(FW$4="",$B7=""),0,SUMIF('DADOS BRUTOS'!$A$3:$A$500,$B7,'DADOS BRUTOS'!CW$3:CW$500)+IF($C7="",0,SUMIF('DADOS BRUTOS'!$A$3:$A$500,$C7,'DADOS BRUTOS'!CW$3:CW$500)))</f>
        <v>0</v>
      </c>
      <c r="FX7" s="133" t="n">
        <f aca="false">IF(OR(FX$4="",$B7=""),0,SUMIF('DADOS BRUTOS'!$A$3:$A$500,$B7,'DADOS BRUTOS'!CX$3:CX$500)+IF($C7="",0,SUMIF('DADOS BRUTOS'!$A$3:$A$500,$C7,'DADOS BRUTOS'!CX$3:CX$500)))</f>
        <v>0</v>
      </c>
      <c r="FY7" s="133" t="n">
        <f aca="false">IF(OR(FY$4="",$B7=""),0,SUMIF('DADOS BRUTOS'!$A$3:$A$500,$B7,'DADOS BRUTOS'!CY$3:CY$500)+IF($C7="",0,SUMIF('DADOS BRUTOS'!$A$3:$A$500,$C7,'DADOS BRUTOS'!CY$3:CY$500)))</f>
        <v>0</v>
      </c>
      <c r="FZ7" s="133" t="n">
        <f aca="false">IF(OR(FZ$4="",$B7=""),0,SUMIF('DADOS BRUTOS'!$A$3:$A$500,$B7,'DADOS BRUTOS'!CZ$3:CZ$500)+IF($C7="",0,SUMIF('DADOS BRUTOS'!$A$3:$A$500,$C7,'DADOS BRUTOS'!CZ$3:CZ$500)))</f>
        <v>0</v>
      </c>
      <c r="GA7" s="133" t="n">
        <f aca="false">IF(OR(GA$4="",$B7=""),0,SUMIF('DADOS BRUTOS'!$A$3:$A$500,$B7,'DADOS BRUTOS'!DA$3:DA$500)+IF($C7="",0,SUMIF('DADOS BRUTOS'!$A$3:$A$500,$C7,'DADOS BRUTOS'!DA$3:DA$500)))</f>
        <v>0</v>
      </c>
      <c r="GB7" s="133" t="n">
        <f aca="false">IF(OR(GB$4="",$B7=""),0,SUMIF('DADOS BRUTOS'!$A$3:$A$500,$B7,'DADOS BRUTOS'!DB$3:DB$500)+IF($C7="",0,SUMIF('DADOS BRUTOS'!$A$3:$A$500,$C7,'DADOS BRUTOS'!DB$3:DB$500)))</f>
        <v>0</v>
      </c>
      <c r="GC7" s="133" t="n">
        <f aca="false">IF(OR(GC$4="",$B7=""),0,SUMIF('DADOS BRUTOS'!$A$3:$A$500,$B7,'DADOS BRUTOS'!DC$3:DC$500)+IF($C7="",0,SUMIF('DADOS BRUTOS'!$A$3:$A$500,$C7,'DADOS BRUTOS'!DC$3:DC$500)))</f>
        <v>0</v>
      </c>
      <c r="GD7" s="133" t="n">
        <f aca="false">IF(OR(GD$4="",$B7=""),0,SUMIF('DADOS BRUTOS'!$A$3:$A$500,$B7,'DADOS BRUTOS'!DD$3:DD$500)+IF($C7="",0,SUMIF('DADOS BRUTOS'!$A$3:$A$500,$C7,'DADOS BRUTOS'!DD$3:DD$500)))</f>
        <v>0</v>
      </c>
      <c r="GE7" s="133" t="n">
        <f aca="false">IF(OR(GE$4="",$B7=""),0,SUMIF('DADOS BRUTOS'!$A$3:$A$500,$B7,'DADOS BRUTOS'!DE$3:DE$500)+IF($C7="",0,SUMIF('DADOS BRUTOS'!$A$3:$A$500,$C7,'DADOS BRUTOS'!DE$3:DE$500)))</f>
        <v>0</v>
      </c>
      <c r="GF7" s="133" t="n">
        <f aca="false">IF(OR(GF$4="",$B7=""),0,SUMIF('DADOS BRUTOS'!$A$3:$A$500,$B7,'DADOS BRUTOS'!DF$3:DF$500)+IF($C7="",0,SUMIF('DADOS BRUTOS'!$A$3:$A$500,$C7,'DADOS BRUTOS'!DF$3:DF$500)))</f>
        <v>0</v>
      </c>
      <c r="GG7" s="133" t="n">
        <f aca="false">IF(OR(GG$4="",$B7=""),0,SUMIF('DADOS BRUTOS'!$A$3:$A$500,$B7,'DADOS BRUTOS'!DG$3:DG$500)+IF($C7="",0,SUMIF('DADOS BRUTOS'!$A$3:$A$500,$C7,'DADOS BRUTOS'!DG$3:DG$500)))</f>
        <v>0</v>
      </c>
      <c r="GH7" s="133" t="n">
        <f aca="false">IF(OR(GH$4="",$B7=""),0,SUMIF('DADOS BRUTOS'!$A$3:$A$500,$B7,'DADOS BRUTOS'!DH$3:DH$500)+IF($C7="",0,SUMIF('DADOS BRUTOS'!$A$3:$A$500,$C7,'DADOS BRUTOS'!DH$3:DH$500)))</f>
        <v>0</v>
      </c>
      <c r="GI7" s="133" t="n">
        <f aca="false">IF(OR(GI$4="",$B7=""),0,SUMIF('DADOS BRUTOS'!$A$3:$A$500,$B7,'DADOS BRUTOS'!DI$3:DI$500)+IF($C7="",0,SUMIF('DADOS BRUTOS'!$A$3:$A$500,$C7,'DADOS BRUTOS'!DI$3:DI$500)))</f>
        <v>0</v>
      </c>
      <c r="GJ7" s="133" t="n">
        <f aca="false">IF(OR(GJ$4="",$B7=""),0,SUMIF('DADOS BRUTOS'!$A$3:$A$500,$B7,'DADOS BRUTOS'!DJ$3:DJ$500)+IF($C7="",0,SUMIF('DADOS BRUTOS'!$A$3:$A$500,$C7,'DADOS BRUTOS'!DJ$3:DJ$500)))</f>
        <v>0</v>
      </c>
      <c r="GK7" s="133" t="n">
        <f aca="false">IF(OR(GK$4="",$B7=""),0,SUMIF('DADOS BRUTOS'!$A$3:$A$500,$B7,'DADOS BRUTOS'!DK$3:DK$500)+IF($C7="",0,SUMIF('DADOS BRUTOS'!$A$3:$A$500,$C7,'DADOS BRUTOS'!DK$3:DK$500)))</f>
        <v>0</v>
      </c>
      <c r="GL7" s="133" t="n">
        <f aca="false">IF(OR(GL$4="",$B7=""),0,SUMIF('DADOS BRUTOS'!$A$3:$A$500,$B7,'DADOS BRUTOS'!DL$3:DL$500)+IF($C7="",0,SUMIF('DADOS BRUTOS'!$A$3:$A$500,$C7,'DADOS BRUTOS'!DL$3:DL$500)))</f>
        <v>0</v>
      </c>
      <c r="GM7" s="133" t="n">
        <f aca="false">IF(OR(GM$4="",$B7=""),0,SUMIF('DADOS BRUTOS'!$A$3:$A$500,$B7,'DADOS BRUTOS'!DM$3:DM$500)+IF($C7="",0,SUMIF('DADOS BRUTOS'!$A$3:$A$500,$C7,'DADOS BRUTOS'!DM$3:DM$500)))</f>
        <v>0</v>
      </c>
      <c r="GN7" s="133" t="n">
        <f aca="false">IF(OR(GN$4="",$B7=""),0,SUMIF('DADOS BRUTOS'!$A$3:$A$500,$B7,'DADOS BRUTOS'!DN$3:DN$500)+IF($C7="",0,SUMIF('DADOS BRUTOS'!$A$3:$A$500,$C7,'DADOS BRUTOS'!DN$3:DN$500)))</f>
        <v>0</v>
      </c>
      <c r="GO7" s="133" t="n">
        <f aca="false">IF(OR(GO$4="",$B7=""),0,SUMIF('DADOS BRUTOS'!$A$3:$A$500,$B7,'DADOS BRUTOS'!DO$3:DO$500)+IF($C7="",0,SUMIF('DADOS BRUTOS'!$A$3:$A$500,$C7,'DADOS BRUTOS'!DO$3:DO$500)))</f>
        <v>0</v>
      </c>
      <c r="GP7" s="133" t="n">
        <f aca="false">IF(OR(GP$4="",$B7=""),0,SUMIF('DADOS BRUTOS'!$A$3:$A$500,$B7,'DADOS BRUTOS'!DP$3:DP$500)+IF($C7="",0,SUMIF('DADOS BRUTOS'!$A$3:$A$500,$C7,'DADOS BRUTOS'!DP$3:DP$500)))</f>
        <v>0</v>
      </c>
      <c r="GQ7" s="133" t="n">
        <f aca="false">IF(OR(GQ$4="",$B7=""),0,SUMIF('DADOS BRUTOS'!$A$3:$A$500,$B7,'DADOS BRUTOS'!DQ$3:DQ$500)+IF($C7="",0,SUMIF('DADOS BRUTOS'!$A$3:$A$500,$C7,'DADOS BRUTOS'!DQ$3:DQ$500)))</f>
        <v>0</v>
      </c>
      <c r="GR7" s="133" t="n">
        <f aca="false">IF(OR(GR$4="",$B7=""),0,SUMIF('DADOS BRUTOS'!$A$3:$A$500,$B7,'DADOS BRUTOS'!DR$3:DR$500)+IF($C7="",0,SUMIF('DADOS BRUTOS'!$A$3:$A$500,$C7,'DADOS BRUTOS'!DR$3:DR$500)))</f>
        <v>0</v>
      </c>
      <c r="GS7" s="133" t="n">
        <f aca="false">IF(OR(GS$4="",$B7=""),0,SUMIF('DADOS BRUTOS'!$A$3:$A$500,$B7,'DADOS BRUTOS'!DS$3:DS$500)+IF($C7="",0,SUMIF('DADOS BRUTOS'!$A$3:$A$500,$C7,'DADOS BRUTOS'!DS$3:DS$500)))</f>
        <v>0</v>
      </c>
      <c r="GT7" s="133" t="n">
        <f aca="false">IF(OR(GT$4="",$B7=""),0,SUMIF('DADOS BRUTOS'!$A$3:$A$500,$B7,'DADOS BRUTOS'!DT$3:DT$500)+IF($C7="",0,SUMIF('DADOS BRUTOS'!$A$3:$A$500,$C7,'DADOS BRUTOS'!DT$3:DT$500)))</f>
        <v>0</v>
      </c>
      <c r="GU7" s="133" t="n">
        <f aca="false">IF(OR(GU$4="",$B7=""),0,SUMIF('DADOS BRUTOS'!$A$3:$A$500,$B7,'DADOS BRUTOS'!DU$3:DU$500)+IF($C7="",0,SUMIF('DADOS BRUTOS'!$A$3:$A$500,$C7,'DADOS BRUTOS'!DU$3:DU$500)))</f>
        <v>0</v>
      </c>
      <c r="GV7" s="133" t="n">
        <f aca="false">IF(OR(GV$4="",$B7=""),0,SUMIF('DADOS BRUTOS'!$A$3:$A$500,$B7,'DADOS BRUTOS'!DV$3:DV$500)+IF($C7="",0,SUMIF('DADOS BRUTOS'!$A$3:$A$500,$C7,'DADOS BRUTOS'!DV$3:DV$500)))</f>
        <v>0</v>
      </c>
      <c r="GW7" s="133" t="n">
        <f aca="false">IF(OR(GW$4="",$B7=""),0,SUMIF('DADOS BRUTOS'!$A$3:$A$500,$B7,'DADOS BRUTOS'!DW$3:DW$500)+IF($C7="",0,SUMIF('DADOS BRUTOS'!$A$3:$A$500,$C7,'DADOS BRUTOS'!DW$3:DW$500)))</f>
        <v>0</v>
      </c>
      <c r="GX7" s="133" t="n">
        <f aca="false">IF(OR(GX$4="",$B7=""),0,SUMIF('DADOS BRUTOS'!$A$3:$A$500,$B7,'DADOS BRUTOS'!DX$3:DX$500)+IF($C7="",0,SUMIF('DADOS BRUTOS'!$A$3:$A$500,$C7,'DADOS BRUTOS'!DX$3:DX$500)))</f>
        <v>0</v>
      </c>
      <c r="GY7" s="133" t="n">
        <f aca="false">IF(OR(GY$4="",$B7=""),0,SUMIF('DADOS BRUTOS'!$A$3:$A$500,$B7,'DADOS BRUTOS'!DY$3:DY$500)+IF($C7="",0,SUMIF('DADOS BRUTOS'!$A$3:$A$500,$C7,'DADOS BRUTOS'!DY$3:DY$500)))</f>
        <v>0</v>
      </c>
      <c r="GZ7" s="133" t="n">
        <f aca="false">IF(OR(GZ$4="",$B7=""),0,SUMIF('DADOS BRUTOS'!$A$3:$A$500,$B7,'DADOS BRUTOS'!DZ$3:DZ$500)+IF($C7="",0,SUMIF('DADOS BRUTOS'!$A$3:$A$500,$C7,'DADOS BRUTOS'!DZ$3:DZ$500)))</f>
        <v>0</v>
      </c>
      <c r="HA7" s="133" t="n">
        <f aca="false">IF(OR(HA$4="",$B7=""),0,SUMIF('DADOS BRUTOS'!$A$3:$A$500,$B7,'DADOS BRUTOS'!EA$3:EA$500)+IF($C7="",0,SUMIF('DADOS BRUTOS'!$A$3:$A$500,$C7,'DADOS BRUTOS'!EA$3:EA$500)))</f>
        <v>0</v>
      </c>
      <c r="HB7" s="133" t="n">
        <f aca="false">IF(OR(HB$4="",$B7=""),0,SUMIF('DADOS BRUTOS'!$A$3:$A$500,$B7,'DADOS BRUTOS'!EB$3:EB$500)+IF($C7="",0,SUMIF('DADOS BRUTOS'!$A$3:$A$500,$C7,'DADOS BRUTOS'!EB$3:EB$500)))</f>
        <v>0</v>
      </c>
      <c r="HC7" s="133" t="n">
        <f aca="false">IF(OR(HC$4="",$B7=""),0,SUMIF('DADOS BRUTOS'!$A$3:$A$500,$B7,'DADOS BRUTOS'!EC$3:EC$500)+IF($C7="",0,SUMIF('DADOS BRUTOS'!$A$3:$A$500,$C7,'DADOS BRUTOS'!EC$3:EC$500)))</f>
        <v>0</v>
      </c>
      <c r="HD7" s="133" t="n">
        <f aca="false">IF(OR(HD$4="",$B7=""),0,SUMIF('DADOS BRUTOS'!$A$3:$A$500,$B7,'DADOS BRUTOS'!ED$3:ED$500)+IF($C7="",0,SUMIF('DADOS BRUTOS'!$A$3:$A$500,$C7,'DADOS BRUTOS'!ED$3:ED$500)))</f>
        <v>0</v>
      </c>
      <c r="HE7" s="133" t="n">
        <f aca="false">IF(OR(HE$4="",$B7=""),0,SUMIF('DADOS BRUTOS'!$A$3:$A$500,$B7,'DADOS BRUTOS'!EE$3:EE$500)+IF($C7="",0,SUMIF('DADOS BRUTOS'!$A$3:$A$500,$C7,'DADOS BRUTOS'!EE$3:EE$500)))</f>
        <v>0</v>
      </c>
      <c r="HF7" s="133" t="n">
        <f aca="false">IF(OR(HF$4="",$B7=""),0,SUMIF('DADOS BRUTOS'!$A$3:$A$500,$B7,'DADOS BRUTOS'!EF$3:EF$500)+IF($C7="",0,SUMIF('DADOS BRUTOS'!$A$3:$A$500,$C7,'DADOS BRUTOS'!EF$3:EF$500)))</f>
        <v>0</v>
      </c>
      <c r="HG7" s="133" t="n">
        <f aca="false">IF(OR(HG$4="",$B7=""),0,SUMIF('DADOS BRUTOS'!$A$3:$A$500,$B7,'DADOS BRUTOS'!EG$3:EG$500)+IF($C7="",0,SUMIF('DADOS BRUTOS'!$A$3:$A$500,$C7,'DADOS BRUTOS'!EG$3:EG$500)))</f>
        <v>0</v>
      </c>
      <c r="HH7" s="133" t="n">
        <f aca="false">IF(OR(HH$4="",$B7=""),0,SUMIF('DADOS BRUTOS'!$A$3:$A$500,$B7,'DADOS BRUTOS'!EH$3:EH$500)+IF($C7="",0,SUMIF('DADOS BRUTOS'!$A$3:$A$500,$C7,'DADOS BRUTOS'!EH$3:EH$500)))</f>
        <v>0</v>
      </c>
      <c r="HI7" s="133" t="n">
        <f aca="false">IF(OR(HI$4="",$B7=""),0,SUMIF('DADOS BRUTOS'!$A$3:$A$500,$B7,'DADOS BRUTOS'!EI$3:EI$500)+IF($C7="",0,SUMIF('DADOS BRUTOS'!$A$3:$A$500,$C7,'DADOS BRUTOS'!EI$3:EI$500)))</f>
        <v>0</v>
      </c>
      <c r="HJ7" s="133" t="n">
        <f aca="false">IF(OR(HJ$4="",$B7=""),0,SUMIF('DADOS BRUTOS'!$A$3:$A$500,$B7,'DADOS BRUTOS'!EJ$3:EJ$500)+IF($C7="",0,SUMIF('DADOS BRUTOS'!$A$3:$A$500,$C7,'DADOS BRUTOS'!EJ$3:EJ$500)))</f>
        <v>0</v>
      </c>
      <c r="HK7" s="133" t="n">
        <f aca="false">IF(OR(HK$4="",$B7=""),0,SUMIF('DADOS BRUTOS'!$A$3:$A$500,$B7,'DADOS BRUTOS'!EK$3:EK$500)+IF($C7="",0,SUMIF('DADOS BRUTOS'!$A$3:$A$500,$C7,'DADOS BRUTOS'!EK$3:EK$500)))</f>
        <v>0</v>
      </c>
      <c r="HL7" s="133" t="n">
        <f aca="false">IF(OR(HL$4="",$B7=""),0,SUMIF('DADOS BRUTOS'!$A$3:$A$500,$B7,'DADOS BRUTOS'!EL$3:EL$500)+IF($C7="",0,SUMIF('DADOS BRUTOS'!$A$3:$A$500,$C7,'DADOS BRUTOS'!EL$3:EL$500)))</f>
        <v>0</v>
      </c>
      <c r="HM7" s="133" t="n">
        <f aca="false">IF(OR(HM$4="",$B7=""),0,SUMIF('DADOS BRUTOS'!$A$3:$A$500,$B7,'DADOS BRUTOS'!EM$3:EM$500)+IF($C7="",0,SUMIF('DADOS BRUTOS'!$A$3:$A$500,$C7,'DADOS BRUTOS'!EM$3:EM$500)))</f>
        <v>0</v>
      </c>
      <c r="HN7" s="133" t="n">
        <f aca="false">IF(OR(HN$4="",$B7=""),0,SUMIF('DADOS BRUTOS'!$A$3:$A$500,$B7,'DADOS BRUTOS'!EN$3:EN$500)+IF($C7="",0,SUMIF('DADOS BRUTOS'!$A$3:$A$500,$C7,'DADOS BRUTOS'!EN$3:EN$500)))</f>
        <v>0</v>
      </c>
      <c r="HO7" s="133" t="n">
        <f aca="false">IF(OR(HO$4="",$B7=""),0,SUMIF('DADOS BRUTOS'!$A$3:$A$500,$B7,'DADOS BRUTOS'!EO$3:EO$500)+IF($C7="",0,SUMIF('DADOS BRUTOS'!$A$3:$A$500,$C7,'DADOS BRUTOS'!EO$3:EO$500)))</f>
        <v>0</v>
      </c>
      <c r="HP7" s="133" t="n">
        <f aca="false">IF(OR(HP$4="",$B7=""),0,SUMIF('DADOS BRUTOS'!$A$3:$A$500,$B7,'DADOS BRUTOS'!EP$3:EP$500)+IF($C7="",0,SUMIF('DADOS BRUTOS'!$A$3:$A$500,$C7,'DADOS BRUTOS'!EP$3:EP$500)))</f>
        <v>0</v>
      </c>
      <c r="HQ7" s="133" t="n">
        <f aca="false">IF(OR(HQ$4="",$B7=""),0,SUMIF('DADOS BRUTOS'!$A$3:$A$500,$B7,'DADOS BRUTOS'!EQ$3:EQ$500)+IF($C7="",0,SUMIF('DADOS BRUTOS'!$A$3:$A$500,$C7,'DADOS BRUTOS'!EQ$3:EQ$500)))</f>
        <v>0</v>
      </c>
      <c r="HR7" s="133" t="n">
        <f aca="false">IF(OR(HR$4="",$B7=""),0,SUMIF('DADOS BRUTOS'!$A$3:$A$500,$B7,'DADOS BRUTOS'!ER$3:ER$500)+IF($C7="",0,SUMIF('DADOS BRUTOS'!$A$3:$A$500,$C7,'DADOS BRUTOS'!ER$3:ER$500)))</f>
        <v>0</v>
      </c>
      <c r="HS7" s="133" t="n">
        <f aca="false">IF(OR(HS$4="",$B7=""),0,SUMIF('DADOS BRUTOS'!$A$3:$A$500,$B7,'DADOS BRUTOS'!ES$3:ES$500)+IF($C7="",0,SUMIF('DADOS BRUTOS'!$A$3:$A$500,$C7,'DADOS BRUTOS'!ES$3:ES$500)))</f>
        <v>0</v>
      </c>
      <c r="HT7" s="133" t="n">
        <f aca="false">IF(OR(HT$4="",$B7=""),0,SUMIF('DADOS BRUTOS'!$A$3:$A$500,$B7,'DADOS BRUTOS'!ET$3:ET$500)+IF($C7="",0,SUMIF('DADOS BRUTOS'!$A$3:$A$500,$C7,'DADOS BRUTOS'!ET$3:ET$500)))</f>
        <v>0</v>
      </c>
      <c r="HU7" s="133" t="n">
        <f aca="false">IF(OR(HU$4="",$B7=""),0,SUMIF('DADOS BRUTOS'!$A$3:$A$500,$B7,'DADOS BRUTOS'!EU$3:EU$500)+IF($C7="",0,SUMIF('DADOS BRUTOS'!$A$3:$A$500,$C7,'DADOS BRUTOS'!EU$3:EU$500)))</f>
        <v>0</v>
      </c>
      <c r="HV7" s="133" t="n">
        <f aca="false">IF(OR(HV$4="",$B7=""),0,SUMIF('DADOS BRUTOS'!$A$3:$A$500,$B7,'DADOS BRUTOS'!EV$3:EV$500)+IF($C7="",0,SUMIF('DADOS BRUTOS'!$A$3:$A$500,$C7,'DADOS BRUTOS'!EV$3:EV$500)))</f>
        <v>0</v>
      </c>
      <c r="HW7" s="133" t="n">
        <f aca="false">IF(OR(HW$4="",$B7=""),0,SUMIF('DADOS BRUTOS'!$A$3:$A$500,$B7,'DADOS BRUTOS'!EW$3:EW$500)+IF($C7="",0,SUMIF('DADOS BRUTOS'!$A$3:$A$500,$C7,'DADOS BRUTOS'!EW$3:EW$500)))</f>
        <v>0</v>
      </c>
      <c r="HX7" s="133" t="n">
        <f aca="false">IF(OR(HX$4="",$B7=""),0,SUMIF('DADOS BRUTOS'!$A$3:$A$500,$B7,'DADOS BRUTOS'!EX$3:EX$500)+IF($C7="",0,SUMIF('DADOS BRUTOS'!$A$3:$A$500,$C7,'DADOS BRUTOS'!EX$3:EX$500)))</f>
        <v>0</v>
      </c>
      <c r="HY7" s="133" t="n">
        <f aca="false">IF(OR(HY$4="",$B7=""),0,SUMIF('DADOS BRUTOS'!$A$3:$A$500,$B7,'DADOS BRUTOS'!EY$3:EY$500)+IF($C7="",0,SUMIF('DADOS BRUTOS'!$A$3:$A$500,$C7,'DADOS BRUTOS'!EY$3:EY$500)))</f>
        <v>0</v>
      </c>
      <c r="HZ7" s="133" t="n">
        <f aca="false">IF(OR(HZ$4="",$B7=""),0,SUMIF('DADOS BRUTOS'!$A$3:$A$500,$B7,'DADOS BRUTOS'!EZ$3:EZ$500)+IF($C7="",0,SUMIF('DADOS BRUTOS'!$A$3:$A$500,$C7,'DADOS BRUTOS'!EZ$3:EZ$500)))</f>
        <v>0</v>
      </c>
      <c r="IA7" s="133" t="n">
        <f aca="false">IF(OR(IA$4="",$B7=""),0,SUMIF('DADOS BRUTOS'!$A$3:$A$500,$B7,'DADOS BRUTOS'!FA$3:FA$500)+IF($C7="",0,SUMIF('DADOS BRUTOS'!$A$3:$A$500,$C7,'DADOS BRUTOS'!FA$3:FA$500)))</f>
        <v>0</v>
      </c>
      <c r="IB7" s="133" t="n">
        <f aca="false">IF(OR(IB$4="",$B7=""),0,SUMIF('DADOS BRUTOS'!$A$3:$A$500,$B7,'DADOS BRUTOS'!FB$3:FB$500)+IF($C7="",0,SUMIF('DADOS BRUTOS'!$A$3:$A$500,$C7,'DADOS BRUTOS'!FB$3:FB$500)))</f>
        <v>0</v>
      </c>
      <c r="IC7" s="133" t="n">
        <f aca="false">IF(OR(IC$4="",$B7=""),0,SUMIF('DADOS BRUTOS'!$A$3:$A$500,$B7,'DADOS BRUTOS'!FC$3:FC$500)+IF($C7="",0,SUMIF('DADOS BRUTOS'!$A$3:$A$500,$C7,'DADOS BRUTOS'!FC$3:FC$500)))</f>
        <v>0</v>
      </c>
      <c r="ID7" s="133" t="n">
        <f aca="false">IF(OR(ID$4="",$B7=""),0,SUMIF('DADOS BRUTOS'!$A$3:$A$500,$B7,'DADOS BRUTOS'!FD$3:FD$500)+IF($C7="",0,SUMIF('DADOS BRUTOS'!$A$3:$A$500,$C7,'DADOS BRUTOS'!FD$3:FD$500)))</f>
        <v>0</v>
      </c>
      <c r="IE7" s="133" t="n">
        <f aca="false">IF(OR(IE$4="",$B7=""),0,SUMIF('DADOS BRUTOS'!$A$3:$A$500,$B7,'DADOS BRUTOS'!FE$3:FE$500)+IF($C7="",0,SUMIF('DADOS BRUTOS'!$A$3:$A$500,$C7,'DADOS BRUTOS'!FE$3:FE$500)))</f>
        <v>0</v>
      </c>
      <c r="IF7" s="133" t="n">
        <f aca="false">IF(OR(IF$4="",$B7=""),0,SUMIF('DADOS BRUTOS'!$A$3:$A$500,$B7,'DADOS BRUTOS'!FF$3:FF$500)+IF($C7="",0,SUMIF('DADOS BRUTOS'!$A$3:$A$500,$C7,'DADOS BRUTOS'!FF$3:FF$500)))</f>
        <v>0</v>
      </c>
      <c r="IG7" s="133" t="n">
        <f aca="false">IF(OR(IG$4="",$B7=""),0,SUMIF('DADOS BRUTOS'!$A$3:$A$500,$B7,'DADOS BRUTOS'!FG$3:FG$500)+IF($C7="",0,SUMIF('DADOS BRUTOS'!$A$3:$A$500,$C7,'DADOS BRUTOS'!FG$3:FG$500)))</f>
        <v>0</v>
      </c>
      <c r="IH7" s="133" t="n">
        <f aca="false">IF(OR(IH$4="",$B7=""),0,SUMIF('DADOS BRUTOS'!$A$3:$A$500,$B7,'DADOS BRUTOS'!FH$3:FH$500)+IF($C7="",0,SUMIF('DADOS BRUTOS'!$A$3:$A$500,$C7,'DADOS BRUTOS'!FH$3:FH$500)))</f>
        <v>0</v>
      </c>
      <c r="II7" s="133" t="n">
        <f aca="false">IF(OR(II$4="",$B7=""),0,SUMIF('DADOS BRUTOS'!$A$3:$A$500,$B7,'DADOS BRUTOS'!FI$3:FI$500)+IF($C7="",0,SUMIF('DADOS BRUTOS'!$A$3:$A$500,$C7,'DADOS BRUTOS'!FI$3:FI$500)))</f>
        <v>0</v>
      </c>
      <c r="IJ7" s="133" t="n">
        <f aca="false">IF(OR(IJ$4="",$B7=""),0,SUMIF('DADOS BRUTOS'!$A$3:$A$500,$B7,'DADOS BRUTOS'!FJ$3:FJ$500)+IF($C7="",0,SUMIF('DADOS BRUTOS'!$A$3:$A$500,$C7,'DADOS BRUTOS'!FJ$3:FJ$500)))</f>
        <v>0</v>
      </c>
      <c r="IK7" s="133" t="n">
        <f aca="false">IF(OR(IK$4="",$B7=""),0,SUMIF('DADOS BRUTOS'!$A$3:$A$500,$B7,'DADOS BRUTOS'!FK$3:FK$500)+IF($C7="",0,SUMIF('DADOS BRUTOS'!$A$3:$A$500,$C7,'DADOS BRUTOS'!FK$3:FK$500)))</f>
        <v>0</v>
      </c>
      <c r="IL7" s="133" t="n">
        <f aca="false">IF(OR(IL$4="",$B7=""),0,SUMIF('DADOS BRUTOS'!$A$3:$A$500,$B7,'DADOS BRUTOS'!FL$3:FL$500)+IF($C7="",0,SUMIF('DADOS BRUTOS'!$A$3:$A$500,$C7,'DADOS BRUTOS'!FL$3:FL$500)))</f>
        <v>0</v>
      </c>
      <c r="IM7" s="133" t="n">
        <f aca="false">IF(OR(IM$4="",$B7=""),0,SUMIF('DADOS BRUTOS'!$A$3:$A$500,$B7,'DADOS BRUTOS'!FM$3:FM$500)+IF($C7="",0,SUMIF('DADOS BRUTOS'!$A$3:$A$500,$C7,'DADOS BRUTOS'!FM$3:FM$500)))</f>
        <v>0</v>
      </c>
      <c r="IN7" s="133" t="n">
        <f aca="false">IF(OR(IN$4="",$B7=""),0,SUMIF('DADOS BRUTOS'!$A$3:$A$500,$B7,'DADOS BRUTOS'!FN$3:FN$500)+IF($C7="",0,SUMIF('DADOS BRUTOS'!$A$3:$A$500,$C7,'DADOS BRUTOS'!FN$3:FN$500)))</f>
        <v>0</v>
      </c>
      <c r="IO7" s="133" t="n">
        <f aca="false">IF(OR(IO$4="",$B7=""),0,SUMIF('DADOS BRUTOS'!$A$3:$A$500,$B7,'DADOS BRUTOS'!FO$3:FO$500)+IF($C7="",0,SUMIF('DADOS BRUTOS'!$A$3:$A$500,$C7,'DADOS BRUTOS'!FO$3:FO$500)))</f>
        <v>0</v>
      </c>
      <c r="IP7" s="133" t="n">
        <f aca="false">IF(OR(IP$4="",$B7=""),0,SUMIF('DADOS BRUTOS'!$A$3:$A$500,$B7,'DADOS BRUTOS'!FP$3:FP$500)+IF($C7="",0,SUMIF('DADOS BRUTOS'!$A$3:$A$500,$C7,'DADOS BRUTOS'!FP$3:FP$500)))</f>
        <v>0</v>
      </c>
      <c r="IQ7" s="133" t="n">
        <f aca="false">IF(OR(IQ$4="",$B7=""),0,SUMIF('DADOS BRUTOS'!$A$3:$A$500,$B7,'DADOS BRUTOS'!FQ$3:FQ$500)+IF($C7="",0,SUMIF('DADOS BRUTOS'!$A$3:$A$500,$C7,'DADOS BRUTOS'!FQ$3:FQ$500)))</f>
        <v>0</v>
      </c>
      <c r="IR7" s="133" t="n">
        <f aca="false">IF(OR(IR$4="",$B7=""),0,SUMIF('DADOS BRUTOS'!$A$3:$A$500,$B7,'DADOS BRUTOS'!FR$3:FR$500)+IF($C7="",0,SUMIF('DADOS BRUTOS'!$A$3:$A$500,$C7,'DADOS BRUTOS'!FR$3:FR$500)))</f>
        <v>0</v>
      </c>
      <c r="IS7" s="133" t="n">
        <f aca="false">IF(OR(IS$4="",$B7=""),0,SUMIF('DADOS BRUTOS'!$A$3:$A$500,$B7,'DADOS BRUTOS'!FS$3:FS$500)+IF($C7="",0,SUMIF('DADOS BRUTOS'!$A$3:$A$500,$C7,'DADOS BRUTOS'!FS$3:FS$500)))</f>
        <v>0</v>
      </c>
      <c r="IT7" s="133" t="n">
        <f aca="false">IF(OR(IT$4="",$B7=""),0,SUMIF('DADOS BRUTOS'!$A$3:$A$500,$B7,'DADOS BRUTOS'!FT$3:FT$500)+IF($C7="",0,SUMIF('DADOS BRUTOS'!$A$3:$A$500,$C7,'DADOS BRUTOS'!FT$3:FT$500)))</f>
        <v>0</v>
      </c>
      <c r="IU7" s="133" t="n">
        <f aca="false">IF(OR(IU$4="",$B7=""),0,SUMIF('DADOS BRUTOS'!$A$3:$A$500,$B7,'DADOS BRUTOS'!FU$3:FU$500)+IF($C7="",0,SUMIF('DADOS BRUTOS'!$A$3:$A$500,$C7,'DADOS BRUTOS'!FU$3:FU$500)))</f>
        <v>0</v>
      </c>
      <c r="IV7" s="133" t="n">
        <f aca="false">IF(OR(IV$4="",$B7=""),0,SUMIF('DADOS BRUTOS'!$A$3:$A$500,$B7,'DADOS BRUTOS'!FV$3:FV$500)+IF($C7="",0,SUMIF('DADOS BRUTOS'!$A$3:$A$500,$C7,'DADOS BRUTOS'!FV$3:FV$500)))</f>
        <v>0</v>
      </c>
      <c r="IW7" s="133" t="n">
        <f aca="false">IF(OR(IW$4="",$B7=""),0,SUMIF('DADOS BRUTOS'!$A$3:$A$500,$B7,'DADOS BRUTOS'!FW$3:FW$500)+IF($C7="",0,SUMIF('DADOS BRUTOS'!$A$3:$A$500,$C7,'DADOS BRUTOS'!FW$3:FW$500)))</f>
        <v>0</v>
      </c>
      <c r="IX7" s="133" t="n">
        <f aca="false">IF(OR(IX$4="",$B7=""),0,SUMIF('DADOS BRUTOS'!$A$3:$A$500,$B7,'DADOS BRUTOS'!FX$3:FX$500)+IF($C7="",0,SUMIF('DADOS BRUTOS'!$A$3:$A$500,$C7,'DADOS BRUTOS'!FX$3:FX$500)))</f>
        <v>0</v>
      </c>
      <c r="IY7" s="133" t="n">
        <f aca="false">IF(OR(IY$4="",$B7=""),0,SUMIF('DADOS BRUTOS'!$A$3:$A$500,$B7,'DADOS BRUTOS'!FY$3:FY$500)+IF($C7="",0,SUMIF('DADOS BRUTOS'!$A$3:$A$500,$C7,'DADOS BRUTOS'!FY$3:FY$500)))</f>
        <v>0</v>
      </c>
      <c r="IZ7" s="133" t="n">
        <f aca="false">IF(OR(IZ$4="",$B7=""),0,SUMIF('DADOS BRUTOS'!$A$3:$A$500,$B7,'DADOS BRUTOS'!FZ$3:FZ$500)+IF($C7="",0,SUMIF('DADOS BRUTOS'!$A$3:$A$500,$C7,'DADOS BRUTOS'!FZ$3:FZ$500)))</f>
        <v>0</v>
      </c>
      <c r="JA7" s="133" t="n">
        <f aca="false">IF(OR(JA$4="",$B7=""),0,SUMIF('DADOS BRUTOS'!$A$3:$A$500,$B7,'DADOS BRUTOS'!GA$3:GA$500)+IF($C7="",0,SUMIF('DADOS BRUTOS'!$A$3:$A$500,$C7,'DADOS BRUTOS'!GA$3:GA$500)))</f>
        <v>0</v>
      </c>
      <c r="JB7" s="133" t="n">
        <f aca="false">IF(OR(JB$4="",$B7=""),0,SUMIF('DADOS BRUTOS'!$A$3:$A$500,$B7,'DADOS BRUTOS'!GB$3:GB$500)+IF($C7="",0,SUMIF('DADOS BRUTOS'!$A$3:$A$500,$C7,'DADOS BRUTOS'!GB$3:GB$500)))</f>
        <v>0</v>
      </c>
      <c r="JC7" s="133" t="n">
        <f aca="false">IF(OR(JC$4="",$B7=""),0,SUMIF('DADOS BRUTOS'!$A$3:$A$500,$B7,'DADOS BRUTOS'!GC$3:GC$500)+IF($C7="",0,SUMIF('DADOS BRUTOS'!$A$3:$A$500,$C7,'DADOS BRUTOS'!GC$3:GC$500)))</f>
        <v>0</v>
      </c>
      <c r="JD7" s="133" t="n">
        <f aca="false">IF(OR(JD$4="",$B7=""),0,SUMIF('DADOS BRUTOS'!$A$3:$A$500,$B7,'DADOS BRUTOS'!GD$3:GD$500)+IF($C7="",0,SUMIF('DADOS BRUTOS'!$A$3:$A$500,$C7,'DADOS BRUTOS'!GD$3:GD$500)))</f>
        <v>0</v>
      </c>
      <c r="JE7" s="133" t="n">
        <f aca="false">IF(OR(JE$4="",$B7=""),0,SUMIF('DADOS BRUTOS'!$A$3:$A$500,$B7,'DADOS BRUTOS'!GE$3:GE$500)+IF($C7="",0,SUMIF('DADOS BRUTOS'!$A$3:$A$500,$C7,'DADOS BRUTOS'!GE$3:GE$500)))</f>
        <v>0</v>
      </c>
      <c r="JF7" s="133" t="n">
        <f aca="false">IF(OR(JF$4="",$B7=""),0,SUMIF('DADOS BRUTOS'!$A$3:$A$500,$B7,'DADOS BRUTOS'!GF$3:GF$500)+IF($C7="",0,SUMIF('DADOS BRUTOS'!$A$3:$A$500,$C7,'DADOS BRUTOS'!GF$3:GF$500)))</f>
        <v>0</v>
      </c>
      <c r="JG7" s="133" t="n">
        <f aca="false">IF(OR(JG$4="",$B7=""),0,SUMIF('DADOS BRUTOS'!$A$3:$A$500,$B7,'DADOS BRUTOS'!GG$3:GG$500)+IF($C7="",0,SUMIF('DADOS BRUTOS'!$A$3:$A$500,$C7,'DADOS BRUTOS'!GG$3:GG$500)))</f>
        <v>0</v>
      </c>
      <c r="JH7" s="133" t="n">
        <f aca="false">IF(OR(JH$4="",$B7=""),0,SUMIF('DADOS BRUTOS'!$A$3:$A$500,$B7,'DADOS BRUTOS'!GH$3:GH$500)+IF($C7="",0,SUMIF('DADOS BRUTOS'!$A$3:$A$500,$C7,'DADOS BRUTOS'!GH$3:GH$500)))</f>
        <v>0</v>
      </c>
      <c r="JI7" s="133" t="n">
        <f aca="false">IF(OR(JI$4="",$B7=""),0,SUMIF('DADOS BRUTOS'!$A$3:$A$500,$B7,'DADOS BRUTOS'!GI$3:GI$500)+IF($C7="",0,SUMIF('DADOS BRUTOS'!$A$3:$A$500,$C7,'DADOS BRUTOS'!GI$3:GI$500)))</f>
        <v>0</v>
      </c>
      <c r="JJ7" s="133" t="n">
        <f aca="false">IF(OR(JJ$4="",$B7=""),0,SUMIF('DADOS BRUTOS'!$A$3:$A$500,$B7,'DADOS BRUTOS'!GJ$3:GJ$500)+IF($C7="",0,SUMIF('DADOS BRUTOS'!$A$3:$A$500,$C7,'DADOS BRUTOS'!GJ$3:GJ$500)))</f>
        <v>0</v>
      </c>
      <c r="JK7" s="133" t="n">
        <f aca="false">IF(OR(JK$4="",$B7=""),0,SUMIF('DADOS BRUTOS'!$A$3:$A$500,$B7,'DADOS BRUTOS'!GK$3:GK$500)+IF($C7="",0,SUMIF('DADOS BRUTOS'!$A$3:$A$500,$C7,'DADOS BRUTOS'!GK$3:GK$500)))</f>
        <v>0</v>
      </c>
      <c r="JL7" s="133" t="n">
        <f aca="false">IF(OR(JL$4="",$B7=""),0,SUMIF('DADOS BRUTOS'!$A$3:$A$500,$B7,'DADOS BRUTOS'!GL$3:GL$500)+IF($C7="",0,SUMIF('DADOS BRUTOS'!$A$3:$A$500,$C7,'DADOS BRUTOS'!GL$3:GL$500)))</f>
        <v>0</v>
      </c>
      <c r="JM7" s="133" t="n">
        <f aca="false">IF(OR(JM$4="",$B7=""),0,SUMIF('DADOS BRUTOS'!$A$3:$A$500,$B7,'DADOS BRUTOS'!GM$3:GM$500)+IF($C7="",0,SUMIF('DADOS BRUTOS'!$A$3:$A$500,$C7,'DADOS BRUTOS'!GM$3:GM$500)))</f>
        <v>0</v>
      </c>
      <c r="JN7" s="133" t="n">
        <f aca="false">IF(OR(JN$4="",$B7=""),0,SUMIF('DADOS BRUTOS'!$A$3:$A$500,$B7,'DADOS BRUTOS'!GN$3:GN$500)+IF($C7="",0,SUMIF('DADOS BRUTOS'!$A$3:$A$500,$C7,'DADOS BRUTOS'!GN$3:GN$500)))</f>
        <v>0</v>
      </c>
      <c r="JO7" s="133" t="n">
        <f aca="false">IF(OR(JO$4="",$B7=""),0,SUMIF('DADOS BRUTOS'!$A$3:$A$500,$B7,'DADOS BRUTOS'!GO$3:GO$500)+IF($C7="",0,SUMIF('DADOS BRUTOS'!$A$3:$A$500,$C7,'DADOS BRUTOS'!GO$3:GO$500)))</f>
        <v>0</v>
      </c>
      <c r="JP7" s="133" t="n">
        <f aca="false">IF(OR(JP$4="",$B7=""),0,SUMIF('DADOS BRUTOS'!$A$3:$A$500,$B7,'DADOS BRUTOS'!GP$3:GP$500)+IF($C7="",0,SUMIF('DADOS BRUTOS'!$A$3:$A$500,$C7,'DADOS BRUTOS'!GP$3:GP$500)))</f>
        <v>0</v>
      </c>
      <c r="JQ7" s="133" t="n">
        <f aca="false">IF(OR(JQ$4="",$B7=""),0,SUMIF('DADOS BRUTOS'!$A$3:$A$500,$B7,'DADOS BRUTOS'!GQ$3:GQ$500)+IF($C7="",0,SUMIF('DADOS BRUTOS'!$A$3:$A$500,$C7,'DADOS BRUTOS'!GQ$3:GQ$500)))</f>
        <v>0</v>
      </c>
      <c r="JR7" s="133" t="n">
        <f aca="false">IF(OR(JR$4="",$B7=""),0,SUMIF('DADOS BRUTOS'!$A$3:$A$500,$B7,'DADOS BRUTOS'!GR$3:GR$500)+IF($C7="",0,SUMIF('DADOS BRUTOS'!$A$3:$A$500,$C7,'DADOS BRUTOS'!GR$3:GR$500)))</f>
        <v>0</v>
      </c>
      <c r="JS7" s="133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83036.02</v>
      </c>
      <c r="E8" s="50" t="n">
        <f aca="false">SUMIF($CB$4:$JS$4,E$4,$CB8:$JS8)</f>
        <v>0</v>
      </c>
      <c r="F8" s="50" t="n">
        <f aca="false">SUMIF($CB$4:$JS$4,F$4,$CB8:$JS8)</f>
        <v>20105.8</v>
      </c>
      <c r="G8" s="50" t="n">
        <f aca="false">SUMIF($CB$4:$JS$4,G$4,$CB8:$JS8)</f>
        <v>16993.58</v>
      </c>
      <c r="H8" s="50" t="n">
        <f aca="false">SUMIF($CB$4:$JS$4,H$4,$CB8:$JS8)</f>
        <v>32331.04</v>
      </c>
      <c r="I8" s="50" t="n">
        <f aca="false">SUMIF($CB$4:$JS$4,I$4,$CB8:$JS8)</f>
        <v>27992.74</v>
      </c>
      <c r="J8" s="50" t="n">
        <f aca="false">SUMIF($CB$4:$JS$4,J$4,$CB8:$JS8)</f>
        <v>36416.7</v>
      </c>
      <c r="K8" s="50" t="n">
        <f aca="false">SUMIF($CB$4:$JS$4,K$4,$CB8:$JS8)</f>
        <v>48078.75</v>
      </c>
      <c r="L8" s="50" t="n">
        <f aca="false">SUMIF($CB$4:$JS$4,L$4,$CB8:$JS8)</f>
        <v>31806.24</v>
      </c>
      <c r="M8" s="50" t="n">
        <f aca="false">SUMIF($CB$4:$JS$4,M$4,$CB8:$JS8)</f>
        <v>55748.95</v>
      </c>
      <c r="N8" s="50" t="n">
        <f aca="false">SUMIF($CB$4:$JS$4,N$4,$CB8:$JS8)</f>
        <v>49162.93</v>
      </c>
      <c r="O8" s="50" t="n">
        <f aca="false">SUMIF($CB$4:$JS$4,O$4,$CB8:$JS8)</f>
        <v>60589.1</v>
      </c>
      <c r="P8" s="50" t="n">
        <f aca="false">SUMIF($CB$4:$JS$4,P$4,$CB8:$JS8)</f>
        <v>35089.61</v>
      </c>
      <c r="Q8" s="50" t="n">
        <f aca="false">SUMIF($CB$4:$JS$4,Q$4,$CB8:$JS8)</f>
        <v>28493.12</v>
      </c>
      <c r="R8" s="50" t="n">
        <f aca="false">SUMIF($CB$4:$JS$4,R$4,$CB8:$JS8)</f>
        <v>31521.07</v>
      </c>
      <c r="S8" s="50" t="n">
        <f aca="false">SUMIF($CB$4:$JS$4,S$4,$CB8:$JS8)</f>
        <v>46267.09</v>
      </c>
      <c r="T8" s="50" t="n">
        <f aca="false">SUMIF($CB$4:$JS$4,T$4,$CB8:$JS8)</f>
        <v>57419.86</v>
      </c>
      <c r="U8" s="50" t="n">
        <f aca="false">SUMIF($CB$4:$JS$4,U$4,$CB8:$JS8)</f>
        <v>21594.22</v>
      </c>
      <c r="V8" s="50" t="n">
        <f aca="false">SUMIF($CB$4:$JS$4,V$4,$CB8:$JS8)</f>
        <v>33199.94</v>
      </c>
      <c r="W8" s="50" t="n">
        <f aca="false">SUMIF($CB$4:$JS$4,W$4,$CB8:$JS8)</f>
        <v>25059.75</v>
      </c>
      <c r="X8" s="50" t="n">
        <f aca="false">SUMIF($CB$4:$JS$4,X$4,$CB8:$JS8)</f>
        <v>30796.39</v>
      </c>
      <c r="Y8" s="50" t="n">
        <f aca="false">SUMIF($CB$4:$JS$4,Y$4,$CB8:$JS8)</f>
        <v>75308.03</v>
      </c>
      <c r="Z8" s="50" t="n">
        <f aca="false">SUMIF($CB$4:$JS$4,Z$4,$CB8:$JS8)</f>
        <v>56241.45</v>
      </c>
      <c r="AA8" s="50" t="n">
        <f aca="false">SUMIF($CB$4:$JS$4,AA$4,$CB8:$JS8)</f>
        <v>20213.14</v>
      </c>
      <c r="AB8" s="50" t="n">
        <f aca="false">SUMIF($CB$4:$JS$4,AB$4,$CB8:$JS8)</f>
        <v>14663.43</v>
      </c>
      <c r="AC8" s="50" t="n">
        <f aca="false">SUMIF($CB$4:$JS$4,AC$4,$CB8:$JS8)</f>
        <v>4838</v>
      </c>
      <c r="AD8" s="50" t="n">
        <f aca="false">SUMIF($CB$4:$JS$4,AD$4,$CB8:$JS8)</f>
        <v>829.75</v>
      </c>
      <c r="AE8" s="50" t="n">
        <f aca="false">SUMIF($CB$4:$JS$4,AE$4,$CB8:$JS8)</f>
        <v>955.92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1667.16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946419.78</v>
      </c>
      <c r="BZ8" s="45" t="n">
        <f aca="false">SUMPRODUCT(($CB$4:$JS$4&lt;&gt;"")*($CB$4:$JS$4&lt;=$D$4),$CB8:$JS8,$CB$1:$JS$1)</f>
        <v>72.4673237004798</v>
      </c>
      <c r="CB8" s="133" t="n">
        <f aca="false">IF(OR(CB$4="",$B8=""),0,SUMIF('DADOS BRUTOS'!$A$3:$A$500,$B8,'DADOS BRUTOS'!B$3:B$500)+IF($C8="",0,SUMIF('DADOS BRUTOS'!$A$3:$A$500,$C8,'DADOS BRUTOS'!B$3:B$500)))</f>
        <v>0</v>
      </c>
      <c r="CC8" s="133" t="n">
        <f aca="false">IF(OR(CC$4="",$B8=""),0,SUMIF('DADOS BRUTOS'!$A$3:$A$500,$B8,'DADOS BRUTOS'!C$3:C$500)+IF($C8="",0,SUMIF('DADOS BRUTOS'!$A$3:$A$500,$C8,'DADOS BRUTOS'!C$3:C$500)))</f>
        <v>0</v>
      </c>
      <c r="CD8" s="133" t="n">
        <f aca="false">IF(OR(CD$4="",$B8=""),0,SUMIF('DADOS BRUTOS'!$A$3:$A$500,$B8,'DADOS BRUTOS'!D$3:D$500)+IF($C8="",0,SUMIF('DADOS BRUTOS'!$A$3:$A$500,$C8,'DADOS BRUTOS'!D$3:D$500)))</f>
        <v>0</v>
      </c>
      <c r="CE8" s="133" t="n">
        <f aca="false">IF(OR(CE$4="",$B8=""),0,SUMIF('DADOS BRUTOS'!$A$3:$A$500,$B8,'DADOS BRUTOS'!E$3:E$500)+IF($C8="",0,SUMIF('DADOS BRUTOS'!$A$3:$A$500,$C8,'DADOS BRUTOS'!E$3:E$500)))</f>
        <v>0</v>
      </c>
      <c r="CF8" s="133" t="n">
        <f aca="false">IF(OR(CF$4="",$B8=""),0,SUMIF('DADOS BRUTOS'!$A$3:$A$500,$B8,'DADOS BRUTOS'!F$3:F$500)+IF($C8="",0,SUMIF('DADOS BRUTOS'!$A$3:$A$500,$C8,'DADOS BRUTOS'!F$3:F$500)))</f>
        <v>0</v>
      </c>
      <c r="CG8" s="133" t="n">
        <f aca="false">IF(OR(CG$4="",$B8=""),0,SUMIF('DADOS BRUTOS'!$A$3:$A$500,$B8,'DADOS BRUTOS'!G$3:G$500)+IF($C8="",0,SUMIF('DADOS BRUTOS'!$A$3:$A$500,$C8,'DADOS BRUTOS'!G$3:G$500)))</f>
        <v>0</v>
      </c>
      <c r="CH8" s="133" t="n">
        <f aca="false">IF(OR(CH$4="",$B8=""),0,SUMIF('DADOS BRUTOS'!$A$3:$A$500,$B8,'DADOS BRUTOS'!H$3:H$500)+IF($C8="",0,SUMIF('DADOS BRUTOS'!$A$3:$A$500,$C8,'DADOS BRUTOS'!H$3:H$500)))</f>
        <v>0</v>
      </c>
      <c r="CI8" s="133" t="n">
        <f aca="false">IF(OR(CI$4="",$B8=""),0,SUMIF('DADOS BRUTOS'!$A$3:$A$500,$B8,'DADOS BRUTOS'!I$3:I$500)+IF($C8="",0,SUMIF('DADOS BRUTOS'!$A$3:$A$500,$C8,'DADOS BRUTOS'!I$3:I$500)))</f>
        <v>0</v>
      </c>
      <c r="CJ8" s="133" t="n">
        <f aca="false">IF(OR(CJ$4="",$B8=""),0,SUMIF('DADOS BRUTOS'!$A$3:$A$500,$B8,'DADOS BRUTOS'!J$3:J$500)+IF($C8="",0,SUMIF('DADOS BRUTOS'!$A$3:$A$500,$C8,'DADOS BRUTOS'!J$3:J$500)))</f>
        <v>0</v>
      </c>
      <c r="CK8" s="133" t="n">
        <f aca="false">IF(OR(CK$4="",$B8=""),0,SUMIF('DADOS BRUTOS'!$A$3:$A$500,$B8,'DADOS BRUTOS'!K$3:K$500)+IF($C8="",0,SUMIF('DADOS BRUTOS'!$A$3:$A$500,$C8,'DADOS BRUTOS'!K$3:K$500)))</f>
        <v>0</v>
      </c>
      <c r="CL8" s="133" t="n">
        <f aca="false">IF(OR(CL$4="",$B8=""),0,SUMIF('DADOS BRUTOS'!$A$3:$A$500,$B8,'DADOS BRUTOS'!L$3:L$500)+IF($C8="",0,SUMIF('DADOS BRUTOS'!$A$3:$A$500,$C8,'DADOS BRUTOS'!L$3:L$500)))</f>
        <v>0</v>
      </c>
      <c r="CM8" s="133" t="n">
        <f aca="false">IF(OR(CM$4="",$B8=""),0,SUMIF('DADOS BRUTOS'!$A$3:$A$500,$B8,'DADOS BRUTOS'!M$3:M$500)+IF($C8="",0,SUMIF('DADOS BRUTOS'!$A$3:$A$500,$C8,'DADOS BRUTOS'!M$3:M$500)))</f>
        <v>0</v>
      </c>
      <c r="CN8" s="133" t="n">
        <f aca="false">IF(OR(CN$4="",$B8=""),0,SUMIF('DADOS BRUTOS'!$A$3:$A$500,$B8,'DADOS BRUTOS'!N$3:N$500)+IF($C8="",0,SUMIF('DADOS BRUTOS'!$A$3:$A$500,$C8,'DADOS BRUTOS'!N$3:N$500)))</f>
        <v>0</v>
      </c>
      <c r="CO8" s="133" t="n">
        <f aca="false">IF(OR(CO$4="",$B8=""),0,SUMIF('DADOS BRUTOS'!$A$3:$A$500,$B8,'DADOS BRUTOS'!O$3:O$500)+IF($C8="",0,SUMIF('DADOS BRUTOS'!$A$3:$A$500,$C8,'DADOS BRUTOS'!O$3:O$500)))</f>
        <v>0</v>
      </c>
      <c r="CP8" s="133" t="n">
        <f aca="false">IF(OR(CP$4="",$B8=""),0,SUMIF('DADOS BRUTOS'!$A$3:$A$500,$B8,'DADOS BRUTOS'!P$3:P$500)+IF($C8="",0,SUMIF('DADOS BRUTOS'!$A$3:$A$500,$C8,'DADOS BRUTOS'!P$3:P$500)))</f>
        <v>0</v>
      </c>
      <c r="CQ8" s="133" t="n">
        <f aca="false">IF(OR(CQ$4="",$B8=""),0,SUMIF('DADOS BRUTOS'!$A$3:$A$500,$B8,'DADOS BRUTOS'!Q$3:Q$500)+IF($C8="",0,SUMIF('DADOS BRUTOS'!$A$3:$A$500,$C8,'DADOS BRUTOS'!Q$3:Q$500)))</f>
        <v>0</v>
      </c>
      <c r="CR8" s="133" t="n">
        <f aca="false">IF(OR(CR$4="",$B8=""),0,SUMIF('DADOS BRUTOS'!$A$3:$A$500,$B8,'DADOS BRUTOS'!R$3:R$500)+IF($C8="",0,SUMIF('DADOS BRUTOS'!$A$3:$A$500,$C8,'DADOS BRUTOS'!R$3:R$500)))</f>
        <v>0</v>
      </c>
      <c r="CS8" s="133" t="n">
        <f aca="false">IF(OR(CS$4="",$B8=""),0,SUMIF('DADOS BRUTOS'!$A$3:$A$500,$B8,'DADOS BRUTOS'!S$3:S$500)+IF($C8="",0,SUMIF('DADOS BRUTOS'!$A$3:$A$500,$C8,'DADOS BRUTOS'!S$3:S$500)))</f>
        <v>0</v>
      </c>
      <c r="CT8" s="133" t="n">
        <f aca="false">IF(OR(CT$4="",$B8=""),0,SUMIF('DADOS BRUTOS'!$A$3:$A$500,$B8,'DADOS BRUTOS'!T$3:T$500)+IF($C8="",0,SUMIF('DADOS BRUTOS'!$A$3:$A$500,$C8,'DADOS BRUTOS'!T$3:T$500)))</f>
        <v>0</v>
      </c>
      <c r="CU8" s="133" t="n">
        <f aca="false">IF(OR(CU$4="",$B8=""),0,SUMIF('DADOS BRUTOS'!$A$3:$A$500,$B8,'DADOS BRUTOS'!U$3:U$500)+IF($C8="",0,SUMIF('DADOS BRUTOS'!$A$3:$A$500,$C8,'DADOS BRUTOS'!U$3:U$500)))</f>
        <v>0</v>
      </c>
      <c r="CV8" s="133" t="n">
        <f aca="false">IF(OR(CV$4="",$B8=""),0,SUMIF('DADOS BRUTOS'!$A$3:$A$500,$B8,'DADOS BRUTOS'!V$3:V$500)+IF($C8="",0,SUMIF('DADOS BRUTOS'!$A$3:$A$500,$C8,'DADOS BRUTOS'!V$3:V$500)))</f>
        <v>0</v>
      </c>
      <c r="CW8" s="133" t="n">
        <f aca="false">IF(OR(CW$4="",$B8=""),0,SUMIF('DADOS BRUTOS'!$A$3:$A$500,$B8,'DADOS BRUTOS'!W$3:W$500)+IF($C8="",0,SUMIF('DADOS BRUTOS'!$A$3:$A$500,$C8,'DADOS BRUTOS'!W$3:W$500)))</f>
        <v>0</v>
      </c>
      <c r="CX8" s="133" t="n">
        <f aca="false">IF(OR(CX$4="",$B8=""),0,SUMIF('DADOS BRUTOS'!$A$3:$A$500,$B8,'DADOS BRUTOS'!X$3:X$500)+IF($C8="",0,SUMIF('DADOS BRUTOS'!$A$3:$A$500,$C8,'DADOS BRUTOS'!X$3:X$500)))</f>
        <v>0</v>
      </c>
      <c r="CY8" s="133" t="n">
        <f aca="false">IF(OR(CY$4="",$B8=""),0,SUMIF('DADOS BRUTOS'!$A$3:$A$500,$B8,'DADOS BRUTOS'!Y$3:Y$500)+IF($C8="",0,SUMIF('DADOS BRUTOS'!$A$3:$A$500,$C8,'DADOS BRUTOS'!Y$3:Y$500)))</f>
        <v>0</v>
      </c>
      <c r="CZ8" s="133" t="n">
        <f aca="false">IF(OR(CZ$4="",$B8=""),0,SUMIF('DADOS BRUTOS'!$A$3:$A$500,$B8,'DADOS BRUTOS'!Z$3:Z$500)+IF($C8="",0,SUMIF('DADOS BRUTOS'!$A$3:$A$500,$C8,'DADOS BRUTOS'!Z$3:Z$500)))</f>
        <v>0</v>
      </c>
      <c r="DA8" s="133" t="n">
        <f aca="false">IF(OR(DA$4="",$B8=""),0,SUMIF('DADOS BRUTOS'!$A$3:$A$500,$B8,'DADOS BRUTOS'!AA$3:AA$500)+IF($C8="",0,SUMIF('DADOS BRUTOS'!$A$3:$A$500,$C8,'DADOS BRUTOS'!AA$3:AA$500)))</f>
        <v>0</v>
      </c>
      <c r="DB8" s="133" t="n">
        <f aca="false">IF(OR(DB$4="",$B8=""),0,SUMIF('DADOS BRUTOS'!$A$3:$A$500,$B8,'DADOS BRUTOS'!AB$3:AB$500)+IF($C8="",0,SUMIF('DADOS BRUTOS'!$A$3:$A$500,$C8,'DADOS BRUTOS'!AB$3:AB$500)))</f>
        <v>2213</v>
      </c>
      <c r="DC8" s="133" t="n">
        <f aca="false">IF(OR(DC$4="",$B8=""),0,SUMIF('DADOS BRUTOS'!$A$3:$A$500,$B8,'DADOS BRUTOS'!AC$3:AC$500)+IF($C8="",0,SUMIF('DADOS BRUTOS'!$A$3:$A$500,$C8,'DADOS BRUTOS'!AC$3:AC$500)))</f>
        <v>11513.25</v>
      </c>
      <c r="DD8" s="133" t="n">
        <f aca="false">IF(OR(DD$4="",$B8=""),0,SUMIF('DADOS BRUTOS'!$A$3:$A$500,$B8,'DADOS BRUTOS'!AD$3:AD$500)+IF($C8="",0,SUMIF('DADOS BRUTOS'!$A$3:$A$500,$C8,'DADOS BRUTOS'!AD$3:AD$500)))</f>
        <v>4159.45</v>
      </c>
      <c r="DE8" s="133" t="n">
        <f aca="false">IF(OR(DE$4="",$B8=""),0,SUMIF('DADOS BRUTOS'!$A$3:$A$500,$B8,'DADOS BRUTOS'!AE$3:AE$500)+IF($C8="",0,SUMIF('DADOS BRUTOS'!$A$3:$A$500,$C8,'DADOS BRUTOS'!AE$3:AE$500)))</f>
        <v>15147.87</v>
      </c>
      <c r="DF8" s="133" t="n">
        <f aca="false">IF(OR(DF$4="",$B8=""),0,SUMIF('DADOS BRUTOS'!$A$3:$A$500,$B8,'DADOS BRUTOS'!AF$3:AF$500)+IF($C8="",0,SUMIF('DADOS BRUTOS'!$A$3:$A$500,$C8,'DADOS BRUTOS'!AF$3:AF$500)))</f>
        <v>3565.2</v>
      </c>
      <c r="DG8" s="133" t="n">
        <f aca="false">IF(OR(DG$4="",$B8=""),0,SUMIF('DADOS BRUTOS'!$A$3:$A$500,$B8,'DADOS BRUTOS'!AG$3:AG$500)+IF($C8="",0,SUMIF('DADOS BRUTOS'!$A$3:$A$500,$C8,'DADOS BRUTOS'!AG$3:AG$500)))</f>
        <v>42692.24</v>
      </c>
      <c r="DH8" s="133" t="n">
        <f aca="false">IF(OR(DH$4="",$B8=""),0,SUMIF('DADOS BRUTOS'!$A$3:$A$500,$B8,'DADOS BRUTOS'!AH$3:AH$500)+IF($C8="",0,SUMIF('DADOS BRUTOS'!$A$3:$A$500,$C8,'DADOS BRUTOS'!AH$3:AH$500)))</f>
        <v>3745.01</v>
      </c>
      <c r="DI8" s="133" t="n">
        <f aca="false">IF(OR(DI$4="",$B8=""),0,SUMIF('DADOS BRUTOS'!$A$3:$A$500,$B8,'DADOS BRUTOS'!AI$3:AI$500)+IF($C8="",0,SUMIF('DADOS BRUTOS'!$A$3:$A$500,$C8,'DADOS BRUTOS'!AI$3:AI$500)))</f>
        <v>0</v>
      </c>
      <c r="DJ8" s="133" t="n">
        <f aca="false">IF(OR(DJ$4="",$B8=""),0,SUMIF('DADOS BRUTOS'!$A$3:$A$500,$B8,'DADOS BRUTOS'!AJ$3:AJ$500)+IF($C8="",0,SUMIF('DADOS BRUTOS'!$A$3:$A$500,$C8,'DADOS BRUTOS'!AJ$3:AJ$500)))</f>
        <v>20105.8</v>
      </c>
      <c r="DK8" s="133" t="n">
        <f aca="false">IF(OR(DK$4="",$B8=""),0,SUMIF('DADOS BRUTOS'!$A$3:$A$500,$B8,'DADOS BRUTOS'!AK$3:AK$500)+IF($C8="",0,SUMIF('DADOS BRUTOS'!$A$3:$A$500,$C8,'DADOS BRUTOS'!AK$3:AK$500)))</f>
        <v>16993.58</v>
      </c>
      <c r="DL8" s="133" t="n">
        <f aca="false">IF(OR(DL$4="",$B8=""),0,SUMIF('DADOS BRUTOS'!$A$3:$A$500,$B8,'DADOS BRUTOS'!AL$3:AL$500)+IF($C8="",0,SUMIF('DADOS BRUTOS'!$A$3:$A$500,$C8,'DADOS BRUTOS'!AL$3:AL$500)))</f>
        <v>32331.04</v>
      </c>
      <c r="DM8" s="133" t="n">
        <f aca="false">IF(OR(DM$4="",$B8=""),0,SUMIF('DADOS BRUTOS'!$A$3:$A$500,$B8,'DADOS BRUTOS'!AM$3:AM$500)+IF($C8="",0,SUMIF('DADOS BRUTOS'!$A$3:$A$500,$C8,'DADOS BRUTOS'!AM$3:AM$500)))</f>
        <v>27992.74</v>
      </c>
      <c r="DN8" s="133" t="n">
        <f aca="false">IF(OR(DN$4="",$B8=""),0,SUMIF('DADOS BRUTOS'!$A$3:$A$500,$B8,'DADOS BRUTOS'!AN$3:AN$500)+IF($C8="",0,SUMIF('DADOS BRUTOS'!$A$3:$A$500,$C8,'DADOS BRUTOS'!AN$3:AN$500)))</f>
        <v>36416.7</v>
      </c>
      <c r="DO8" s="133" t="n">
        <f aca="false">IF(OR(DO$4="",$B8=""),0,SUMIF('DADOS BRUTOS'!$A$3:$A$500,$B8,'DADOS BRUTOS'!AO$3:AO$500)+IF($C8="",0,SUMIF('DADOS BRUTOS'!$A$3:$A$500,$C8,'DADOS BRUTOS'!AO$3:AO$500)))</f>
        <v>48078.75</v>
      </c>
      <c r="DP8" s="133" t="n">
        <f aca="false">IF(OR(DP$4="",$B8=""),0,SUMIF('DADOS BRUTOS'!$A$3:$A$500,$B8,'DADOS BRUTOS'!AP$3:AP$500)+IF($C8="",0,SUMIF('DADOS BRUTOS'!$A$3:$A$500,$C8,'DADOS BRUTOS'!AP$3:AP$500)))</f>
        <v>31806.24</v>
      </c>
      <c r="DQ8" s="133" t="n">
        <f aca="false">IF(OR(DQ$4="",$B8=""),0,SUMIF('DADOS BRUTOS'!$A$3:$A$500,$B8,'DADOS BRUTOS'!AQ$3:AQ$500)+IF($C8="",0,SUMIF('DADOS BRUTOS'!$A$3:$A$500,$C8,'DADOS BRUTOS'!AQ$3:AQ$500)))</f>
        <v>55748.95</v>
      </c>
      <c r="DR8" s="133" t="n">
        <f aca="false">IF(OR(DR$4="",$B8=""),0,SUMIF('DADOS BRUTOS'!$A$3:$A$500,$B8,'DADOS BRUTOS'!AR$3:AR$500)+IF($C8="",0,SUMIF('DADOS BRUTOS'!$A$3:$A$500,$C8,'DADOS BRUTOS'!AR$3:AR$500)))</f>
        <v>49162.93</v>
      </c>
      <c r="DS8" s="133" t="n">
        <f aca="false">IF(OR(DS$4="",$B8=""),0,SUMIF('DADOS BRUTOS'!$A$3:$A$500,$B8,'DADOS BRUTOS'!AS$3:AS$500)+IF($C8="",0,SUMIF('DADOS BRUTOS'!$A$3:$A$500,$C8,'DADOS BRUTOS'!AS$3:AS$500)))</f>
        <v>60589.1</v>
      </c>
      <c r="DT8" s="133" t="n">
        <f aca="false">IF(OR(DT$4="",$B8=""),0,SUMIF('DADOS BRUTOS'!$A$3:$A$500,$B8,'DADOS BRUTOS'!AT$3:AT$500)+IF($C8="",0,SUMIF('DADOS BRUTOS'!$A$3:$A$500,$C8,'DADOS BRUTOS'!AT$3:AT$500)))</f>
        <v>35089.61</v>
      </c>
      <c r="DU8" s="133" t="n">
        <f aca="false">IF(OR(DU$4="",$B8=""),0,SUMIF('DADOS BRUTOS'!$A$3:$A$500,$B8,'DADOS BRUTOS'!AU$3:AU$500)+IF($C8="",0,SUMIF('DADOS BRUTOS'!$A$3:$A$500,$C8,'DADOS BRUTOS'!AU$3:AU$500)))</f>
        <v>28493.12</v>
      </c>
      <c r="DV8" s="133" t="n">
        <f aca="false">IF(OR(DV$4="",$B8=""),0,SUMIF('DADOS BRUTOS'!$A$3:$A$500,$B8,'DADOS BRUTOS'!AV$3:AV$500)+IF($C8="",0,SUMIF('DADOS BRUTOS'!$A$3:$A$500,$C8,'DADOS BRUTOS'!AV$3:AV$500)))</f>
        <v>31521.07</v>
      </c>
      <c r="DW8" s="133" t="n">
        <f aca="false">IF(OR(DW$4="",$B8=""),0,SUMIF('DADOS BRUTOS'!$A$3:$A$500,$B8,'DADOS BRUTOS'!AW$3:AW$500)+IF($C8="",0,SUMIF('DADOS BRUTOS'!$A$3:$A$500,$C8,'DADOS BRUTOS'!AW$3:AW$500)))</f>
        <v>46267.09</v>
      </c>
      <c r="DX8" s="133" t="n">
        <f aca="false">IF(OR(DX$4="",$B8=""),0,SUMIF('DADOS BRUTOS'!$A$3:$A$500,$B8,'DADOS BRUTOS'!AX$3:AX$500)+IF($C8="",0,SUMIF('DADOS BRUTOS'!$A$3:$A$500,$C8,'DADOS BRUTOS'!AX$3:AX$500)))</f>
        <v>57419.86</v>
      </c>
      <c r="DY8" s="133" t="n">
        <f aca="false">IF(OR(DY$4="",$B8=""),0,SUMIF('DADOS BRUTOS'!$A$3:$A$500,$B8,'DADOS BRUTOS'!AY$3:AY$500)+IF($C8="",0,SUMIF('DADOS BRUTOS'!$A$3:$A$500,$C8,'DADOS BRUTOS'!AY$3:AY$500)))</f>
        <v>21594.22</v>
      </c>
      <c r="DZ8" s="133" t="n">
        <f aca="false">IF(OR(DZ$4="",$B8=""),0,SUMIF('DADOS BRUTOS'!$A$3:$A$500,$B8,'DADOS BRUTOS'!AZ$3:AZ$500)+IF($C8="",0,SUMIF('DADOS BRUTOS'!$A$3:$A$500,$C8,'DADOS BRUTOS'!AZ$3:AZ$500)))</f>
        <v>33199.94</v>
      </c>
      <c r="EA8" s="133" t="n">
        <f aca="false">IF(OR(EA$4="",$B8=""),0,SUMIF('DADOS BRUTOS'!$A$3:$A$500,$B8,'DADOS BRUTOS'!BA$3:BA$500)+IF($C8="",0,SUMIF('DADOS BRUTOS'!$A$3:$A$500,$C8,'DADOS BRUTOS'!BA$3:BA$500)))</f>
        <v>25059.75</v>
      </c>
      <c r="EB8" s="133" t="n">
        <f aca="false">IF(OR(EB$4="",$B8=""),0,SUMIF('DADOS BRUTOS'!$A$3:$A$500,$B8,'DADOS BRUTOS'!BB$3:BB$500)+IF($C8="",0,SUMIF('DADOS BRUTOS'!$A$3:$A$500,$C8,'DADOS BRUTOS'!BB$3:BB$500)))</f>
        <v>30796.39</v>
      </c>
      <c r="EC8" s="133" t="n">
        <f aca="false">IF(OR(EC$4="",$B8=""),0,SUMIF('DADOS BRUTOS'!$A$3:$A$500,$B8,'DADOS BRUTOS'!BC$3:BC$500)+IF($C8="",0,SUMIF('DADOS BRUTOS'!$A$3:$A$500,$C8,'DADOS BRUTOS'!BC$3:BC$500)))</f>
        <v>75308.03</v>
      </c>
      <c r="ED8" s="133" t="n">
        <f aca="false">IF(OR(ED$4="",$B8=""),0,SUMIF('DADOS BRUTOS'!$A$3:$A$500,$B8,'DADOS BRUTOS'!BD$3:BD$500)+IF($C8="",0,SUMIF('DADOS BRUTOS'!$A$3:$A$500,$C8,'DADOS BRUTOS'!BD$3:BD$500)))</f>
        <v>56241.45</v>
      </c>
      <c r="EE8" s="133" t="n">
        <f aca="false">IF(OR(EE$4="",$B8=""),0,SUMIF('DADOS BRUTOS'!$A$3:$A$500,$B8,'DADOS BRUTOS'!BE$3:BE$500)+IF($C8="",0,SUMIF('DADOS BRUTOS'!$A$3:$A$500,$C8,'DADOS BRUTOS'!BE$3:BE$500)))</f>
        <v>20213.14</v>
      </c>
      <c r="EF8" s="133" t="n">
        <f aca="false">IF(OR(EF$4="",$B8=""),0,SUMIF('DADOS BRUTOS'!$A$3:$A$500,$B8,'DADOS BRUTOS'!BF$3:BF$500)+IF($C8="",0,SUMIF('DADOS BRUTOS'!$A$3:$A$500,$C8,'DADOS BRUTOS'!BF$3:BF$500)))</f>
        <v>14663.43</v>
      </c>
      <c r="EG8" s="133" t="n">
        <f aca="false">IF(OR(EG$4="",$B8=""),0,SUMIF('DADOS BRUTOS'!$A$3:$A$500,$B8,'DADOS BRUTOS'!BG$3:BG$500)+IF($C8="",0,SUMIF('DADOS BRUTOS'!$A$3:$A$500,$C8,'DADOS BRUTOS'!BG$3:BG$500)))</f>
        <v>4838</v>
      </c>
      <c r="EH8" s="133" t="n">
        <f aca="false">IF(OR(EH$4="",$B8=""),0,SUMIF('DADOS BRUTOS'!$A$3:$A$500,$B8,'DADOS BRUTOS'!BH$3:BH$500)+IF($C8="",0,SUMIF('DADOS BRUTOS'!$A$3:$A$500,$C8,'DADOS BRUTOS'!BH$3:BH$500)))</f>
        <v>829.75</v>
      </c>
      <c r="EI8" s="133" t="n">
        <f aca="false">IF(OR(EI$4="",$B8=""),0,SUMIF('DADOS BRUTOS'!$A$3:$A$500,$B8,'DADOS BRUTOS'!BI$3:BI$500)+IF($C8="",0,SUMIF('DADOS BRUTOS'!$A$3:$A$500,$C8,'DADOS BRUTOS'!BI$3:BI$500)))</f>
        <v>955.92</v>
      </c>
      <c r="EJ8" s="133" t="n">
        <f aca="false">IF(OR(EJ$4="",$B8=""),0,SUMIF('DADOS BRUTOS'!$A$3:$A$500,$B8,'DADOS BRUTOS'!BJ$3:BJ$500)+IF($C8="",0,SUMIF('DADOS BRUTOS'!$A$3:$A$500,$C8,'DADOS BRUTOS'!BJ$3:BJ$500)))</f>
        <v>0</v>
      </c>
      <c r="EK8" s="133" t="n">
        <f aca="false">IF(OR(EK$4="",$B8=""),0,SUMIF('DADOS BRUTOS'!$A$3:$A$500,$B8,'DADOS BRUTOS'!BK$3:BK$500)+IF($C8="",0,SUMIF('DADOS BRUTOS'!$A$3:$A$500,$C8,'DADOS BRUTOS'!BK$3:BK$500)))</f>
        <v>0</v>
      </c>
      <c r="EL8" s="133" t="n">
        <f aca="false">IF(OR(EL$4="",$B8=""),0,SUMIF('DADOS BRUTOS'!$A$3:$A$500,$B8,'DADOS BRUTOS'!BL$3:BL$500)+IF($C8="",0,SUMIF('DADOS BRUTOS'!$A$3:$A$500,$C8,'DADOS BRUTOS'!BL$3:BL$500)))</f>
        <v>0</v>
      </c>
      <c r="EM8" s="133" t="n">
        <f aca="false">IF(OR(EM$4="",$B8=""),0,SUMIF('DADOS BRUTOS'!$A$3:$A$500,$B8,'DADOS BRUTOS'!BM$3:BM$500)+IF($C8="",0,SUMIF('DADOS BRUTOS'!$A$3:$A$500,$C8,'DADOS BRUTOS'!BM$3:BM$500)))</f>
        <v>0</v>
      </c>
      <c r="EN8" s="133" t="n">
        <f aca="false">IF(OR(EN$4="",$B8=""),0,SUMIF('DADOS BRUTOS'!$A$3:$A$500,$B8,'DADOS BRUTOS'!BN$3:BN$500)+IF($C8="",0,SUMIF('DADOS BRUTOS'!$A$3:$A$500,$C8,'DADOS BRUTOS'!BN$3:BN$500)))</f>
        <v>0</v>
      </c>
      <c r="EO8" s="133" t="n">
        <f aca="false">IF(OR(EO$4="",$B8=""),0,SUMIF('DADOS BRUTOS'!$A$3:$A$500,$B8,'DADOS BRUTOS'!BO$3:BO$500)+IF($C8="",0,SUMIF('DADOS BRUTOS'!$A$3:$A$500,$C8,'DADOS BRUTOS'!BO$3:BO$500)))</f>
        <v>0</v>
      </c>
      <c r="EP8" s="133" t="n">
        <f aca="false">IF(OR(EP$4="",$B8=""),0,SUMIF('DADOS BRUTOS'!$A$3:$A$500,$B8,'DADOS BRUTOS'!BP$3:BP$500)+IF($C8="",0,SUMIF('DADOS BRUTOS'!$A$3:$A$500,$C8,'DADOS BRUTOS'!BP$3:BP$500)))</f>
        <v>0</v>
      </c>
      <c r="EQ8" s="133" t="n">
        <f aca="false">IF(OR(EQ$4="",$B8=""),0,SUMIF('DADOS BRUTOS'!$A$3:$A$500,$B8,'DADOS BRUTOS'!BQ$3:BQ$500)+IF($C8="",0,SUMIF('DADOS BRUTOS'!$A$3:$A$500,$C8,'DADOS BRUTOS'!BQ$3:BQ$500)))</f>
        <v>0</v>
      </c>
      <c r="ER8" s="133" t="n">
        <f aca="false">IF(OR(ER$4="",$B8=""),0,SUMIF('DADOS BRUTOS'!$A$3:$A$500,$B8,'DADOS BRUTOS'!BR$3:BR$500)+IF($C8="",0,SUMIF('DADOS BRUTOS'!$A$3:$A$500,$C8,'DADOS BRUTOS'!BR$3:BR$500)))</f>
        <v>0</v>
      </c>
      <c r="ES8" s="133" t="n">
        <f aca="false">IF(OR(ES$4="",$B8=""),0,SUMIF('DADOS BRUTOS'!$A$3:$A$500,$B8,'DADOS BRUTOS'!BS$3:BS$500)+IF($C8="",0,SUMIF('DADOS BRUTOS'!$A$3:$A$500,$C8,'DADOS BRUTOS'!BS$3:BS$500)))</f>
        <v>0</v>
      </c>
      <c r="ET8" s="133" t="n">
        <f aca="false">IF(OR(ET$4="",$B8=""),0,SUMIF('DADOS BRUTOS'!$A$3:$A$500,$B8,'DADOS BRUTOS'!BT$3:BT$500)+IF($C8="",0,SUMIF('DADOS BRUTOS'!$A$3:$A$500,$C8,'DADOS BRUTOS'!BT$3:BT$500)))</f>
        <v>0</v>
      </c>
      <c r="EU8" s="133" t="n">
        <f aca="false">IF(OR(EU$4="",$B8=""),0,SUMIF('DADOS BRUTOS'!$A$3:$A$500,$B8,'DADOS BRUTOS'!BU$3:BU$500)+IF($C8="",0,SUMIF('DADOS BRUTOS'!$A$3:$A$500,$C8,'DADOS BRUTOS'!BU$3:BU$500)))</f>
        <v>0</v>
      </c>
      <c r="EV8" s="133" t="n">
        <f aca="false">IF(OR(EV$4="",$B8=""),0,SUMIF('DADOS BRUTOS'!$A$3:$A$500,$B8,'DADOS BRUTOS'!BV$3:BV$500)+IF($C8="",0,SUMIF('DADOS BRUTOS'!$A$3:$A$500,$C8,'DADOS BRUTOS'!BV$3:BV$500)))</f>
        <v>0</v>
      </c>
      <c r="EW8" s="133" t="n">
        <f aca="false">IF(OR(EW$4="",$B8=""),0,SUMIF('DADOS BRUTOS'!$A$3:$A$500,$B8,'DADOS BRUTOS'!BW$3:BW$500)+IF($C8="",0,SUMIF('DADOS BRUTOS'!$A$3:$A$500,$C8,'DADOS BRUTOS'!BW$3:BW$500)))</f>
        <v>0</v>
      </c>
      <c r="EX8" s="133" t="n">
        <f aca="false">IF(OR(EX$4="",$B8=""),0,SUMIF('DADOS BRUTOS'!$A$3:$A$500,$B8,'DADOS BRUTOS'!BX$3:BX$500)+IF($C8="",0,SUMIF('DADOS BRUTOS'!$A$3:$A$500,$C8,'DADOS BRUTOS'!BX$3:BX$500)))</f>
        <v>0</v>
      </c>
      <c r="EY8" s="133" t="n">
        <f aca="false">IF(OR(EY$4="",$B8=""),0,SUMIF('DADOS BRUTOS'!$A$3:$A$500,$B8,'DADOS BRUTOS'!BY$3:BY$500)+IF($C8="",0,SUMIF('DADOS BRUTOS'!$A$3:$A$500,$C8,'DADOS BRUTOS'!BY$3:BY$500)))</f>
        <v>0</v>
      </c>
      <c r="EZ8" s="133" t="n">
        <f aca="false">IF(OR(EZ$4="",$B8=""),0,SUMIF('DADOS BRUTOS'!$A$3:$A$500,$B8,'DADOS BRUTOS'!BZ$3:BZ$500)+IF($C8="",0,SUMIF('DADOS BRUTOS'!$A$3:$A$500,$C8,'DADOS BRUTOS'!BZ$3:BZ$500)))</f>
        <v>0</v>
      </c>
      <c r="FA8" s="133" t="n">
        <f aca="false">IF(OR(FA$4="",$B8=""),0,SUMIF('DADOS BRUTOS'!$A$3:$A$500,$B8,'DADOS BRUTOS'!CA$3:CA$500)+IF($C8="",0,SUMIF('DADOS BRUTOS'!$A$3:$A$500,$C8,'DADOS BRUTOS'!CA$3:CA$500)))</f>
        <v>0</v>
      </c>
      <c r="FB8" s="133" t="n">
        <f aca="false">IF(OR(FB$4="",$B8=""),0,SUMIF('DADOS BRUTOS'!$A$3:$A$500,$B8,'DADOS BRUTOS'!CB$3:CB$500)+IF($C8="",0,SUMIF('DADOS BRUTOS'!$A$3:$A$500,$C8,'DADOS BRUTOS'!CB$3:CB$500)))</f>
        <v>0</v>
      </c>
      <c r="FC8" s="133" t="n">
        <f aca="false">IF(OR(FC$4="",$B8=""),0,SUMIF('DADOS BRUTOS'!$A$3:$A$500,$B8,'DADOS BRUTOS'!CC$3:CC$500)+IF($C8="",0,SUMIF('DADOS BRUTOS'!$A$3:$A$500,$C8,'DADOS BRUTOS'!CC$3:CC$500)))</f>
        <v>0</v>
      </c>
      <c r="FD8" s="133" t="n">
        <f aca="false">IF(OR(FD$4="",$B8=""),0,SUMIF('DADOS BRUTOS'!$A$3:$A$500,$B8,'DADOS BRUTOS'!CD$3:CD$500)+IF($C8="",0,SUMIF('DADOS BRUTOS'!$A$3:$A$500,$C8,'DADOS BRUTOS'!CD$3:CD$500)))</f>
        <v>0</v>
      </c>
      <c r="FE8" s="133" t="n">
        <f aca="false">IF(OR(FE$4="",$B8=""),0,SUMIF('DADOS BRUTOS'!$A$3:$A$500,$B8,'DADOS BRUTOS'!CE$3:CE$500)+IF($C8="",0,SUMIF('DADOS BRUTOS'!$A$3:$A$500,$C8,'DADOS BRUTOS'!CE$3:CE$500)))</f>
        <v>1667.16</v>
      </c>
      <c r="FF8" s="133" t="n">
        <f aca="false">IF(OR(FF$4="",$B8=""),0,SUMIF('DADOS BRUTOS'!$A$3:$A$500,$B8,'DADOS BRUTOS'!CF$3:CF$500)+IF($C8="",0,SUMIF('DADOS BRUTOS'!$A$3:$A$500,$C8,'DADOS BRUTOS'!CF$3:CF$500)))</f>
        <v>0</v>
      </c>
      <c r="FG8" s="133" t="n">
        <f aca="false">IF(OR(FG$4="",$B8=""),0,SUMIF('DADOS BRUTOS'!$A$3:$A$500,$B8,'DADOS BRUTOS'!CG$3:CG$500)+IF($C8="",0,SUMIF('DADOS BRUTOS'!$A$3:$A$500,$C8,'DADOS BRUTOS'!CG$3:CG$500)))</f>
        <v>0</v>
      </c>
      <c r="FH8" s="133" t="n">
        <f aca="false">IF(OR(FH$4="",$B8=""),0,SUMIF('DADOS BRUTOS'!$A$3:$A$500,$B8,'DADOS BRUTOS'!CH$3:CH$500)+IF($C8="",0,SUMIF('DADOS BRUTOS'!$A$3:$A$500,$C8,'DADOS BRUTOS'!CH$3:CH$500)))</f>
        <v>0</v>
      </c>
      <c r="FI8" s="133" t="n">
        <f aca="false">IF(OR(FI$4="",$B8=""),0,SUMIF('DADOS BRUTOS'!$A$3:$A$500,$B8,'DADOS BRUTOS'!CI$3:CI$500)+IF($C8="",0,SUMIF('DADOS BRUTOS'!$A$3:$A$500,$C8,'DADOS BRUTOS'!CI$3:CI$500)))</f>
        <v>0</v>
      </c>
      <c r="FJ8" s="133" t="n">
        <f aca="false">IF(OR(FJ$4="",$B8=""),0,SUMIF('DADOS BRUTOS'!$A$3:$A$500,$B8,'DADOS BRUTOS'!CJ$3:CJ$500)+IF($C8="",0,SUMIF('DADOS BRUTOS'!$A$3:$A$500,$C8,'DADOS BRUTOS'!CJ$3:CJ$500)))</f>
        <v>0</v>
      </c>
      <c r="FK8" s="133" t="n">
        <f aca="false">IF(OR(FK$4="",$B8=""),0,SUMIF('DADOS BRUTOS'!$A$3:$A$500,$B8,'DADOS BRUTOS'!CK$3:CK$500)+IF($C8="",0,SUMIF('DADOS BRUTOS'!$A$3:$A$500,$C8,'DADOS BRUTOS'!CK$3:CK$500)))</f>
        <v>0</v>
      </c>
      <c r="FL8" s="133" t="n">
        <f aca="false">IF(OR(FL$4="",$B8=""),0,SUMIF('DADOS BRUTOS'!$A$3:$A$500,$B8,'DADOS BRUTOS'!CL$3:CL$500)+IF($C8="",0,SUMIF('DADOS BRUTOS'!$A$3:$A$500,$C8,'DADOS BRUTOS'!CL$3:CL$500)))</f>
        <v>0</v>
      </c>
      <c r="FM8" s="133" t="n">
        <f aca="false">IF(OR(FM$4="",$B8=""),0,SUMIF('DADOS BRUTOS'!$A$3:$A$500,$B8,'DADOS BRUTOS'!CM$3:CM$500)+IF($C8="",0,SUMIF('DADOS BRUTOS'!$A$3:$A$500,$C8,'DADOS BRUTOS'!CM$3:CM$500)))</f>
        <v>0</v>
      </c>
      <c r="FN8" s="133" t="n">
        <f aca="false">IF(OR(FN$4="",$B8=""),0,SUMIF('DADOS BRUTOS'!$A$3:$A$500,$B8,'DADOS BRUTOS'!CN$3:CN$500)+IF($C8="",0,SUMIF('DADOS BRUTOS'!$A$3:$A$500,$C8,'DADOS BRUTOS'!CN$3:CN$500)))</f>
        <v>0</v>
      </c>
      <c r="FO8" s="133" t="n">
        <f aca="false">IF(OR(FO$4="",$B8=""),0,SUMIF('DADOS BRUTOS'!$A$3:$A$500,$B8,'DADOS BRUTOS'!CO$3:CO$500)+IF($C8="",0,SUMIF('DADOS BRUTOS'!$A$3:$A$500,$C8,'DADOS BRUTOS'!CO$3:CO$500)))</f>
        <v>0</v>
      </c>
      <c r="FP8" s="133" t="n">
        <f aca="false">IF(OR(FP$4="",$B8=""),0,SUMIF('DADOS BRUTOS'!$A$3:$A$500,$B8,'DADOS BRUTOS'!CP$3:CP$500)+IF($C8="",0,SUMIF('DADOS BRUTOS'!$A$3:$A$500,$C8,'DADOS BRUTOS'!CP$3:CP$500)))</f>
        <v>0</v>
      </c>
      <c r="FQ8" s="133" t="n">
        <f aca="false">IF(OR(FQ$4="",$B8=""),0,SUMIF('DADOS BRUTOS'!$A$3:$A$500,$B8,'DADOS BRUTOS'!CQ$3:CQ$500)+IF($C8="",0,SUMIF('DADOS BRUTOS'!$A$3:$A$500,$C8,'DADOS BRUTOS'!CQ$3:CQ$500)))</f>
        <v>0</v>
      </c>
      <c r="FR8" s="133" t="n">
        <f aca="false">IF(OR(FR$4="",$B8=""),0,SUMIF('DADOS BRUTOS'!$A$3:$A$500,$B8,'DADOS BRUTOS'!CR$3:CR$500)+IF($C8="",0,SUMIF('DADOS BRUTOS'!$A$3:$A$500,$C8,'DADOS BRUTOS'!CR$3:CR$500)))</f>
        <v>0</v>
      </c>
      <c r="FS8" s="133" t="n">
        <f aca="false">IF(OR(FS$4="",$B8=""),0,SUMIF('DADOS BRUTOS'!$A$3:$A$500,$B8,'DADOS BRUTOS'!CS$3:CS$500)+IF($C8="",0,SUMIF('DADOS BRUTOS'!$A$3:$A$500,$C8,'DADOS BRUTOS'!CS$3:CS$500)))</f>
        <v>0</v>
      </c>
      <c r="FT8" s="133" t="n">
        <f aca="false">IF(OR(FT$4="",$B8=""),0,SUMIF('DADOS BRUTOS'!$A$3:$A$500,$B8,'DADOS BRUTOS'!CT$3:CT$500)+IF($C8="",0,SUMIF('DADOS BRUTOS'!$A$3:$A$500,$C8,'DADOS BRUTOS'!CT$3:CT$500)))</f>
        <v>0</v>
      </c>
      <c r="FU8" s="133" t="n">
        <f aca="false">IF(OR(FU$4="",$B8=""),0,SUMIF('DADOS BRUTOS'!$A$3:$A$500,$B8,'DADOS BRUTOS'!CU$3:CU$500)+IF($C8="",0,SUMIF('DADOS BRUTOS'!$A$3:$A$500,$C8,'DADOS BRUTOS'!CU$3:CU$500)))</f>
        <v>0</v>
      </c>
      <c r="FV8" s="133" t="n">
        <f aca="false">IF(OR(FV$4="",$B8=""),0,SUMIF('DADOS BRUTOS'!$A$3:$A$500,$B8,'DADOS BRUTOS'!CV$3:CV$500)+IF($C8="",0,SUMIF('DADOS BRUTOS'!$A$3:$A$500,$C8,'DADOS BRUTOS'!CV$3:CV$500)))</f>
        <v>0</v>
      </c>
      <c r="FW8" s="133" t="n">
        <f aca="false">IF(OR(FW$4="",$B8=""),0,SUMIF('DADOS BRUTOS'!$A$3:$A$500,$B8,'DADOS BRUTOS'!CW$3:CW$500)+IF($C8="",0,SUMIF('DADOS BRUTOS'!$A$3:$A$500,$C8,'DADOS BRUTOS'!CW$3:CW$500)))</f>
        <v>0</v>
      </c>
      <c r="FX8" s="133" t="n">
        <f aca="false">IF(OR(FX$4="",$B8=""),0,SUMIF('DADOS BRUTOS'!$A$3:$A$500,$B8,'DADOS BRUTOS'!CX$3:CX$500)+IF($C8="",0,SUMIF('DADOS BRUTOS'!$A$3:$A$500,$C8,'DADOS BRUTOS'!CX$3:CX$500)))</f>
        <v>0</v>
      </c>
      <c r="FY8" s="133" t="n">
        <f aca="false">IF(OR(FY$4="",$B8=""),0,SUMIF('DADOS BRUTOS'!$A$3:$A$500,$B8,'DADOS BRUTOS'!CY$3:CY$500)+IF($C8="",0,SUMIF('DADOS BRUTOS'!$A$3:$A$500,$C8,'DADOS BRUTOS'!CY$3:CY$500)))</f>
        <v>0</v>
      </c>
      <c r="FZ8" s="133" t="n">
        <f aca="false">IF(OR(FZ$4="",$B8=""),0,SUMIF('DADOS BRUTOS'!$A$3:$A$500,$B8,'DADOS BRUTOS'!CZ$3:CZ$500)+IF($C8="",0,SUMIF('DADOS BRUTOS'!$A$3:$A$500,$C8,'DADOS BRUTOS'!CZ$3:CZ$500)))</f>
        <v>0</v>
      </c>
      <c r="GA8" s="133" t="n">
        <f aca="false">IF(OR(GA$4="",$B8=""),0,SUMIF('DADOS BRUTOS'!$A$3:$A$500,$B8,'DADOS BRUTOS'!DA$3:DA$500)+IF($C8="",0,SUMIF('DADOS BRUTOS'!$A$3:$A$500,$C8,'DADOS BRUTOS'!DA$3:DA$500)))</f>
        <v>0</v>
      </c>
      <c r="GB8" s="133" t="n">
        <f aca="false">IF(OR(GB$4="",$B8=""),0,SUMIF('DADOS BRUTOS'!$A$3:$A$500,$B8,'DADOS BRUTOS'!DB$3:DB$500)+IF($C8="",0,SUMIF('DADOS BRUTOS'!$A$3:$A$500,$C8,'DADOS BRUTOS'!DB$3:DB$500)))</f>
        <v>0</v>
      </c>
      <c r="GC8" s="133" t="n">
        <f aca="false">IF(OR(GC$4="",$B8=""),0,SUMIF('DADOS BRUTOS'!$A$3:$A$500,$B8,'DADOS BRUTOS'!DC$3:DC$500)+IF($C8="",0,SUMIF('DADOS BRUTOS'!$A$3:$A$500,$C8,'DADOS BRUTOS'!DC$3:DC$500)))</f>
        <v>0</v>
      </c>
      <c r="GD8" s="133" t="n">
        <f aca="false">IF(OR(GD$4="",$B8=""),0,SUMIF('DADOS BRUTOS'!$A$3:$A$500,$B8,'DADOS BRUTOS'!DD$3:DD$500)+IF($C8="",0,SUMIF('DADOS BRUTOS'!$A$3:$A$500,$C8,'DADOS BRUTOS'!DD$3:DD$500)))</f>
        <v>0</v>
      </c>
      <c r="GE8" s="133" t="n">
        <f aca="false">IF(OR(GE$4="",$B8=""),0,SUMIF('DADOS BRUTOS'!$A$3:$A$500,$B8,'DADOS BRUTOS'!DE$3:DE$500)+IF($C8="",0,SUMIF('DADOS BRUTOS'!$A$3:$A$500,$C8,'DADOS BRUTOS'!DE$3:DE$500)))</f>
        <v>0</v>
      </c>
      <c r="GF8" s="133" t="n">
        <f aca="false">IF(OR(GF$4="",$B8=""),0,SUMIF('DADOS BRUTOS'!$A$3:$A$500,$B8,'DADOS BRUTOS'!DF$3:DF$500)+IF($C8="",0,SUMIF('DADOS BRUTOS'!$A$3:$A$500,$C8,'DADOS BRUTOS'!DF$3:DF$500)))</f>
        <v>0</v>
      </c>
      <c r="GG8" s="133" t="n">
        <f aca="false">IF(OR(GG$4="",$B8=""),0,SUMIF('DADOS BRUTOS'!$A$3:$A$500,$B8,'DADOS BRUTOS'!DG$3:DG$500)+IF($C8="",0,SUMIF('DADOS BRUTOS'!$A$3:$A$500,$C8,'DADOS BRUTOS'!DG$3:DG$500)))</f>
        <v>0</v>
      </c>
      <c r="GH8" s="133" t="n">
        <f aca="false">IF(OR(GH$4="",$B8=""),0,SUMIF('DADOS BRUTOS'!$A$3:$A$500,$B8,'DADOS BRUTOS'!DH$3:DH$500)+IF($C8="",0,SUMIF('DADOS BRUTOS'!$A$3:$A$500,$C8,'DADOS BRUTOS'!DH$3:DH$500)))</f>
        <v>0</v>
      </c>
      <c r="GI8" s="133" t="n">
        <f aca="false">IF(OR(GI$4="",$B8=""),0,SUMIF('DADOS BRUTOS'!$A$3:$A$500,$B8,'DADOS BRUTOS'!DI$3:DI$500)+IF($C8="",0,SUMIF('DADOS BRUTOS'!$A$3:$A$500,$C8,'DADOS BRUTOS'!DI$3:DI$500)))</f>
        <v>0</v>
      </c>
      <c r="GJ8" s="133" t="n">
        <f aca="false">IF(OR(GJ$4="",$B8=""),0,SUMIF('DADOS BRUTOS'!$A$3:$A$500,$B8,'DADOS BRUTOS'!DJ$3:DJ$500)+IF($C8="",0,SUMIF('DADOS BRUTOS'!$A$3:$A$500,$C8,'DADOS BRUTOS'!DJ$3:DJ$500)))</f>
        <v>0</v>
      </c>
      <c r="GK8" s="133" t="n">
        <f aca="false">IF(OR(GK$4="",$B8=""),0,SUMIF('DADOS BRUTOS'!$A$3:$A$500,$B8,'DADOS BRUTOS'!DK$3:DK$500)+IF($C8="",0,SUMIF('DADOS BRUTOS'!$A$3:$A$500,$C8,'DADOS BRUTOS'!DK$3:DK$500)))</f>
        <v>0</v>
      </c>
      <c r="GL8" s="133" t="n">
        <f aca="false">IF(OR(GL$4="",$B8=""),0,SUMIF('DADOS BRUTOS'!$A$3:$A$500,$B8,'DADOS BRUTOS'!DL$3:DL$500)+IF($C8="",0,SUMIF('DADOS BRUTOS'!$A$3:$A$500,$C8,'DADOS BRUTOS'!DL$3:DL$500)))</f>
        <v>0</v>
      </c>
      <c r="GM8" s="133" t="n">
        <f aca="false">IF(OR(GM$4="",$B8=""),0,SUMIF('DADOS BRUTOS'!$A$3:$A$500,$B8,'DADOS BRUTOS'!DM$3:DM$500)+IF($C8="",0,SUMIF('DADOS BRUTOS'!$A$3:$A$500,$C8,'DADOS BRUTOS'!DM$3:DM$500)))</f>
        <v>0</v>
      </c>
      <c r="GN8" s="133" t="n">
        <f aca="false">IF(OR(GN$4="",$B8=""),0,SUMIF('DADOS BRUTOS'!$A$3:$A$500,$B8,'DADOS BRUTOS'!DN$3:DN$500)+IF($C8="",0,SUMIF('DADOS BRUTOS'!$A$3:$A$500,$C8,'DADOS BRUTOS'!DN$3:DN$500)))</f>
        <v>0</v>
      </c>
      <c r="GO8" s="133" t="n">
        <f aca="false">IF(OR(GO$4="",$B8=""),0,SUMIF('DADOS BRUTOS'!$A$3:$A$500,$B8,'DADOS BRUTOS'!DO$3:DO$500)+IF($C8="",0,SUMIF('DADOS BRUTOS'!$A$3:$A$500,$C8,'DADOS BRUTOS'!DO$3:DO$500)))</f>
        <v>0</v>
      </c>
      <c r="GP8" s="133" t="n">
        <f aca="false">IF(OR(GP$4="",$B8=""),0,SUMIF('DADOS BRUTOS'!$A$3:$A$500,$B8,'DADOS BRUTOS'!DP$3:DP$500)+IF($C8="",0,SUMIF('DADOS BRUTOS'!$A$3:$A$500,$C8,'DADOS BRUTOS'!DP$3:DP$500)))</f>
        <v>0</v>
      </c>
      <c r="GQ8" s="133" t="n">
        <f aca="false">IF(OR(GQ$4="",$B8=""),0,SUMIF('DADOS BRUTOS'!$A$3:$A$500,$B8,'DADOS BRUTOS'!DQ$3:DQ$500)+IF($C8="",0,SUMIF('DADOS BRUTOS'!$A$3:$A$500,$C8,'DADOS BRUTOS'!DQ$3:DQ$500)))</f>
        <v>0</v>
      </c>
      <c r="GR8" s="133" t="n">
        <f aca="false">IF(OR(GR$4="",$B8=""),0,SUMIF('DADOS BRUTOS'!$A$3:$A$500,$B8,'DADOS BRUTOS'!DR$3:DR$500)+IF($C8="",0,SUMIF('DADOS BRUTOS'!$A$3:$A$500,$C8,'DADOS BRUTOS'!DR$3:DR$500)))</f>
        <v>0</v>
      </c>
      <c r="GS8" s="133" t="n">
        <f aca="false">IF(OR(GS$4="",$B8=""),0,SUMIF('DADOS BRUTOS'!$A$3:$A$500,$B8,'DADOS BRUTOS'!DS$3:DS$500)+IF($C8="",0,SUMIF('DADOS BRUTOS'!$A$3:$A$500,$C8,'DADOS BRUTOS'!DS$3:DS$500)))</f>
        <v>0</v>
      </c>
      <c r="GT8" s="133" t="n">
        <f aca="false">IF(OR(GT$4="",$B8=""),0,SUMIF('DADOS BRUTOS'!$A$3:$A$500,$B8,'DADOS BRUTOS'!DT$3:DT$500)+IF($C8="",0,SUMIF('DADOS BRUTOS'!$A$3:$A$500,$C8,'DADOS BRUTOS'!DT$3:DT$500)))</f>
        <v>0</v>
      </c>
      <c r="GU8" s="133" t="n">
        <f aca="false">IF(OR(GU$4="",$B8=""),0,SUMIF('DADOS BRUTOS'!$A$3:$A$500,$B8,'DADOS BRUTOS'!DU$3:DU$500)+IF($C8="",0,SUMIF('DADOS BRUTOS'!$A$3:$A$500,$C8,'DADOS BRUTOS'!DU$3:DU$500)))</f>
        <v>0</v>
      </c>
      <c r="GV8" s="133" t="n">
        <f aca="false">IF(OR(GV$4="",$B8=""),0,SUMIF('DADOS BRUTOS'!$A$3:$A$500,$B8,'DADOS BRUTOS'!DV$3:DV$500)+IF($C8="",0,SUMIF('DADOS BRUTOS'!$A$3:$A$500,$C8,'DADOS BRUTOS'!DV$3:DV$500)))</f>
        <v>0</v>
      </c>
      <c r="GW8" s="133" t="n">
        <f aca="false">IF(OR(GW$4="",$B8=""),0,SUMIF('DADOS BRUTOS'!$A$3:$A$500,$B8,'DADOS BRUTOS'!DW$3:DW$500)+IF($C8="",0,SUMIF('DADOS BRUTOS'!$A$3:$A$500,$C8,'DADOS BRUTOS'!DW$3:DW$500)))</f>
        <v>0</v>
      </c>
      <c r="GX8" s="133" t="n">
        <f aca="false">IF(OR(GX$4="",$B8=""),0,SUMIF('DADOS BRUTOS'!$A$3:$A$500,$B8,'DADOS BRUTOS'!DX$3:DX$500)+IF($C8="",0,SUMIF('DADOS BRUTOS'!$A$3:$A$500,$C8,'DADOS BRUTOS'!DX$3:DX$500)))</f>
        <v>0</v>
      </c>
      <c r="GY8" s="133" t="n">
        <f aca="false">IF(OR(GY$4="",$B8=""),0,SUMIF('DADOS BRUTOS'!$A$3:$A$500,$B8,'DADOS BRUTOS'!DY$3:DY$500)+IF($C8="",0,SUMIF('DADOS BRUTOS'!$A$3:$A$500,$C8,'DADOS BRUTOS'!DY$3:DY$500)))</f>
        <v>0</v>
      </c>
      <c r="GZ8" s="133" t="n">
        <f aca="false">IF(OR(GZ$4="",$B8=""),0,SUMIF('DADOS BRUTOS'!$A$3:$A$500,$B8,'DADOS BRUTOS'!DZ$3:DZ$500)+IF($C8="",0,SUMIF('DADOS BRUTOS'!$A$3:$A$500,$C8,'DADOS BRUTOS'!DZ$3:DZ$500)))</f>
        <v>0</v>
      </c>
      <c r="HA8" s="133" t="n">
        <f aca="false">IF(OR(HA$4="",$B8=""),0,SUMIF('DADOS BRUTOS'!$A$3:$A$500,$B8,'DADOS BRUTOS'!EA$3:EA$500)+IF($C8="",0,SUMIF('DADOS BRUTOS'!$A$3:$A$500,$C8,'DADOS BRUTOS'!EA$3:EA$500)))</f>
        <v>0</v>
      </c>
      <c r="HB8" s="133" t="n">
        <f aca="false">IF(OR(HB$4="",$B8=""),0,SUMIF('DADOS BRUTOS'!$A$3:$A$500,$B8,'DADOS BRUTOS'!EB$3:EB$500)+IF($C8="",0,SUMIF('DADOS BRUTOS'!$A$3:$A$500,$C8,'DADOS BRUTOS'!EB$3:EB$500)))</f>
        <v>0</v>
      </c>
      <c r="HC8" s="133" t="n">
        <f aca="false">IF(OR(HC$4="",$B8=""),0,SUMIF('DADOS BRUTOS'!$A$3:$A$500,$B8,'DADOS BRUTOS'!EC$3:EC$500)+IF($C8="",0,SUMIF('DADOS BRUTOS'!$A$3:$A$500,$C8,'DADOS BRUTOS'!EC$3:EC$500)))</f>
        <v>0</v>
      </c>
      <c r="HD8" s="133" t="n">
        <f aca="false">IF(OR(HD$4="",$B8=""),0,SUMIF('DADOS BRUTOS'!$A$3:$A$500,$B8,'DADOS BRUTOS'!ED$3:ED$500)+IF($C8="",0,SUMIF('DADOS BRUTOS'!$A$3:$A$500,$C8,'DADOS BRUTOS'!ED$3:ED$500)))</f>
        <v>0</v>
      </c>
      <c r="HE8" s="133" t="n">
        <f aca="false">IF(OR(HE$4="",$B8=""),0,SUMIF('DADOS BRUTOS'!$A$3:$A$500,$B8,'DADOS BRUTOS'!EE$3:EE$500)+IF($C8="",0,SUMIF('DADOS BRUTOS'!$A$3:$A$500,$C8,'DADOS BRUTOS'!EE$3:EE$500)))</f>
        <v>0</v>
      </c>
      <c r="HF8" s="133" t="n">
        <f aca="false">IF(OR(HF$4="",$B8=""),0,SUMIF('DADOS BRUTOS'!$A$3:$A$500,$B8,'DADOS BRUTOS'!EF$3:EF$500)+IF($C8="",0,SUMIF('DADOS BRUTOS'!$A$3:$A$500,$C8,'DADOS BRUTOS'!EF$3:EF$500)))</f>
        <v>0</v>
      </c>
      <c r="HG8" s="133" t="n">
        <f aca="false">IF(OR(HG$4="",$B8=""),0,SUMIF('DADOS BRUTOS'!$A$3:$A$500,$B8,'DADOS BRUTOS'!EG$3:EG$500)+IF($C8="",0,SUMIF('DADOS BRUTOS'!$A$3:$A$500,$C8,'DADOS BRUTOS'!EG$3:EG$500)))</f>
        <v>0</v>
      </c>
      <c r="HH8" s="133" t="n">
        <f aca="false">IF(OR(HH$4="",$B8=""),0,SUMIF('DADOS BRUTOS'!$A$3:$A$500,$B8,'DADOS BRUTOS'!EH$3:EH$500)+IF($C8="",0,SUMIF('DADOS BRUTOS'!$A$3:$A$500,$C8,'DADOS BRUTOS'!EH$3:EH$500)))</f>
        <v>0</v>
      </c>
      <c r="HI8" s="133" t="n">
        <f aca="false">IF(OR(HI$4="",$B8=""),0,SUMIF('DADOS BRUTOS'!$A$3:$A$500,$B8,'DADOS BRUTOS'!EI$3:EI$500)+IF($C8="",0,SUMIF('DADOS BRUTOS'!$A$3:$A$500,$C8,'DADOS BRUTOS'!EI$3:EI$500)))</f>
        <v>0</v>
      </c>
      <c r="HJ8" s="133" t="n">
        <f aca="false">IF(OR(HJ$4="",$B8=""),0,SUMIF('DADOS BRUTOS'!$A$3:$A$500,$B8,'DADOS BRUTOS'!EJ$3:EJ$500)+IF($C8="",0,SUMIF('DADOS BRUTOS'!$A$3:$A$500,$C8,'DADOS BRUTOS'!EJ$3:EJ$500)))</f>
        <v>0</v>
      </c>
      <c r="HK8" s="133" t="n">
        <f aca="false">IF(OR(HK$4="",$B8=""),0,SUMIF('DADOS BRUTOS'!$A$3:$A$500,$B8,'DADOS BRUTOS'!EK$3:EK$500)+IF($C8="",0,SUMIF('DADOS BRUTOS'!$A$3:$A$500,$C8,'DADOS BRUTOS'!EK$3:EK$500)))</f>
        <v>0</v>
      </c>
      <c r="HL8" s="133" t="n">
        <f aca="false">IF(OR(HL$4="",$B8=""),0,SUMIF('DADOS BRUTOS'!$A$3:$A$500,$B8,'DADOS BRUTOS'!EL$3:EL$500)+IF($C8="",0,SUMIF('DADOS BRUTOS'!$A$3:$A$500,$C8,'DADOS BRUTOS'!EL$3:EL$500)))</f>
        <v>0</v>
      </c>
      <c r="HM8" s="133" t="n">
        <f aca="false">IF(OR(HM$4="",$B8=""),0,SUMIF('DADOS BRUTOS'!$A$3:$A$500,$B8,'DADOS BRUTOS'!EM$3:EM$500)+IF($C8="",0,SUMIF('DADOS BRUTOS'!$A$3:$A$500,$C8,'DADOS BRUTOS'!EM$3:EM$500)))</f>
        <v>0</v>
      </c>
      <c r="HN8" s="133" t="n">
        <f aca="false">IF(OR(HN$4="",$B8=""),0,SUMIF('DADOS BRUTOS'!$A$3:$A$500,$B8,'DADOS BRUTOS'!EN$3:EN$500)+IF($C8="",0,SUMIF('DADOS BRUTOS'!$A$3:$A$500,$C8,'DADOS BRUTOS'!EN$3:EN$500)))</f>
        <v>0</v>
      </c>
      <c r="HO8" s="133" t="n">
        <f aca="false">IF(OR(HO$4="",$B8=""),0,SUMIF('DADOS BRUTOS'!$A$3:$A$500,$B8,'DADOS BRUTOS'!EO$3:EO$500)+IF($C8="",0,SUMIF('DADOS BRUTOS'!$A$3:$A$500,$C8,'DADOS BRUTOS'!EO$3:EO$500)))</f>
        <v>0</v>
      </c>
      <c r="HP8" s="133" t="n">
        <f aca="false">IF(OR(HP$4="",$B8=""),0,SUMIF('DADOS BRUTOS'!$A$3:$A$500,$B8,'DADOS BRUTOS'!EP$3:EP$500)+IF($C8="",0,SUMIF('DADOS BRUTOS'!$A$3:$A$500,$C8,'DADOS BRUTOS'!EP$3:EP$500)))</f>
        <v>0</v>
      </c>
      <c r="HQ8" s="133" t="n">
        <f aca="false">IF(OR(HQ$4="",$B8=""),0,SUMIF('DADOS BRUTOS'!$A$3:$A$500,$B8,'DADOS BRUTOS'!EQ$3:EQ$500)+IF($C8="",0,SUMIF('DADOS BRUTOS'!$A$3:$A$500,$C8,'DADOS BRUTOS'!EQ$3:EQ$500)))</f>
        <v>0</v>
      </c>
      <c r="HR8" s="133" t="n">
        <f aca="false">IF(OR(HR$4="",$B8=""),0,SUMIF('DADOS BRUTOS'!$A$3:$A$500,$B8,'DADOS BRUTOS'!ER$3:ER$500)+IF($C8="",0,SUMIF('DADOS BRUTOS'!$A$3:$A$500,$C8,'DADOS BRUTOS'!ER$3:ER$500)))</f>
        <v>0</v>
      </c>
      <c r="HS8" s="133" t="n">
        <f aca="false">IF(OR(HS$4="",$B8=""),0,SUMIF('DADOS BRUTOS'!$A$3:$A$500,$B8,'DADOS BRUTOS'!ES$3:ES$500)+IF($C8="",0,SUMIF('DADOS BRUTOS'!$A$3:$A$500,$C8,'DADOS BRUTOS'!ES$3:ES$500)))</f>
        <v>0</v>
      </c>
      <c r="HT8" s="133" t="n">
        <f aca="false">IF(OR(HT$4="",$B8=""),0,SUMIF('DADOS BRUTOS'!$A$3:$A$500,$B8,'DADOS BRUTOS'!ET$3:ET$500)+IF($C8="",0,SUMIF('DADOS BRUTOS'!$A$3:$A$500,$C8,'DADOS BRUTOS'!ET$3:ET$500)))</f>
        <v>0</v>
      </c>
      <c r="HU8" s="133" t="n">
        <f aca="false">IF(OR(HU$4="",$B8=""),0,SUMIF('DADOS BRUTOS'!$A$3:$A$500,$B8,'DADOS BRUTOS'!EU$3:EU$500)+IF($C8="",0,SUMIF('DADOS BRUTOS'!$A$3:$A$500,$C8,'DADOS BRUTOS'!EU$3:EU$500)))</f>
        <v>0</v>
      </c>
      <c r="HV8" s="133" t="n">
        <f aca="false">IF(OR(HV$4="",$B8=""),0,SUMIF('DADOS BRUTOS'!$A$3:$A$500,$B8,'DADOS BRUTOS'!EV$3:EV$500)+IF($C8="",0,SUMIF('DADOS BRUTOS'!$A$3:$A$500,$C8,'DADOS BRUTOS'!EV$3:EV$500)))</f>
        <v>0</v>
      </c>
      <c r="HW8" s="133" t="n">
        <f aca="false">IF(OR(HW$4="",$B8=""),0,SUMIF('DADOS BRUTOS'!$A$3:$A$500,$B8,'DADOS BRUTOS'!EW$3:EW$500)+IF($C8="",0,SUMIF('DADOS BRUTOS'!$A$3:$A$500,$C8,'DADOS BRUTOS'!EW$3:EW$500)))</f>
        <v>0</v>
      </c>
      <c r="HX8" s="133" t="n">
        <f aca="false">IF(OR(HX$4="",$B8=""),0,SUMIF('DADOS BRUTOS'!$A$3:$A$500,$B8,'DADOS BRUTOS'!EX$3:EX$500)+IF($C8="",0,SUMIF('DADOS BRUTOS'!$A$3:$A$500,$C8,'DADOS BRUTOS'!EX$3:EX$500)))</f>
        <v>0</v>
      </c>
      <c r="HY8" s="133" t="n">
        <f aca="false">IF(OR(HY$4="",$B8=""),0,SUMIF('DADOS BRUTOS'!$A$3:$A$500,$B8,'DADOS BRUTOS'!EY$3:EY$500)+IF($C8="",0,SUMIF('DADOS BRUTOS'!$A$3:$A$500,$C8,'DADOS BRUTOS'!EY$3:EY$500)))</f>
        <v>0</v>
      </c>
      <c r="HZ8" s="133" t="n">
        <f aca="false">IF(OR(HZ$4="",$B8=""),0,SUMIF('DADOS BRUTOS'!$A$3:$A$500,$B8,'DADOS BRUTOS'!EZ$3:EZ$500)+IF($C8="",0,SUMIF('DADOS BRUTOS'!$A$3:$A$500,$C8,'DADOS BRUTOS'!EZ$3:EZ$500)))</f>
        <v>0</v>
      </c>
      <c r="IA8" s="133" t="n">
        <f aca="false">IF(OR(IA$4="",$B8=""),0,SUMIF('DADOS BRUTOS'!$A$3:$A$500,$B8,'DADOS BRUTOS'!FA$3:FA$500)+IF($C8="",0,SUMIF('DADOS BRUTOS'!$A$3:$A$500,$C8,'DADOS BRUTOS'!FA$3:FA$500)))</f>
        <v>0</v>
      </c>
      <c r="IB8" s="133" t="n">
        <f aca="false">IF(OR(IB$4="",$B8=""),0,SUMIF('DADOS BRUTOS'!$A$3:$A$500,$B8,'DADOS BRUTOS'!FB$3:FB$500)+IF($C8="",0,SUMIF('DADOS BRUTOS'!$A$3:$A$500,$C8,'DADOS BRUTOS'!FB$3:FB$500)))</f>
        <v>0</v>
      </c>
      <c r="IC8" s="133" t="n">
        <f aca="false">IF(OR(IC$4="",$B8=""),0,SUMIF('DADOS BRUTOS'!$A$3:$A$500,$B8,'DADOS BRUTOS'!FC$3:FC$500)+IF($C8="",0,SUMIF('DADOS BRUTOS'!$A$3:$A$500,$C8,'DADOS BRUTOS'!FC$3:FC$500)))</f>
        <v>0</v>
      </c>
      <c r="ID8" s="133" t="n">
        <f aca="false">IF(OR(ID$4="",$B8=""),0,SUMIF('DADOS BRUTOS'!$A$3:$A$500,$B8,'DADOS BRUTOS'!FD$3:FD$500)+IF($C8="",0,SUMIF('DADOS BRUTOS'!$A$3:$A$500,$C8,'DADOS BRUTOS'!FD$3:FD$500)))</f>
        <v>0</v>
      </c>
      <c r="IE8" s="133" t="n">
        <f aca="false">IF(OR(IE$4="",$B8=""),0,SUMIF('DADOS BRUTOS'!$A$3:$A$500,$B8,'DADOS BRUTOS'!FE$3:FE$500)+IF($C8="",0,SUMIF('DADOS BRUTOS'!$A$3:$A$500,$C8,'DADOS BRUTOS'!FE$3:FE$500)))</f>
        <v>0</v>
      </c>
      <c r="IF8" s="133" t="n">
        <f aca="false">IF(OR(IF$4="",$B8=""),0,SUMIF('DADOS BRUTOS'!$A$3:$A$500,$B8,'DADOS BRUTOS'!FF$3:FF$500)+IF($C8="",0,SUMIF('DADOS BRUTOS'!$A$3:$A$500,$C8,'DADOS BRUTOS'!FF$3:FF$500)))</f>
        <v>0</v>
      </c>
      <c r="IG8" s="133" t="n">
        <f aca="false">IF(OR(IG$4="",$B8=""),0,SUMIF('DADOS BRUTOS'!$A$3:$A$500,$B8,'DADOS BRUTOS'!FG$3:FG$500)+IF($C8="",0,SUMIF('DADOS BRUTOS'!$A$3:$A$500,$C8,'DADOS BRUTOS'!FG$3:FG$500)))</f>
        <v>0</v>
      </c>
      <c r="IH8" s="133" t="n">
        <f aca="false">IF(OR(IH$4="",$B8=""),0,SUMIF('DADOS BRUTOS'!$A$3:$A$500,$B8,'DADOS BRUTOS'!FH$3:FH$500)+IF($C8="",0,SUMIF('DADOS BRUTOS'!$A$3:$A$500,$C8,'DADOS BRUTOS'!FH$3:FH$500)))</f>
        <v>0</v>
      </c>
      <c r="II8" s="133" t="n">
        <f aca="false">IF(OR(II$4="",$B8=""),0,SUMIF('DADOS BRUTOS'!$A$3:$A$500,$B8,'DADOS BRUTOS'!FI$3:FI$500)+IF($C8="",0,SUMIF('DADOS BRUTOS'!$A$3:$A$500,$C8,'DADOS BRUTOS'!FI$3:FI$500)))</f>
        <v>0</v>
      </c>
      <c r="IJ8" s="133" t="n">
        <f aca="false">IF(OR(IJ$4="",$B8=""),0,SUMIF('DADOS BRUTOS'!$A$3:$A$500,$B8,'DADOS BRUTOS'!FJ$3:FJ$500)+IF($C8="",0,SUMIF('DADOS BRUTOS'!$A$3:$A$500,$C8,'DADOS BRUTOS'!FJ$3:FJ$500)))</f>
        <v>0</v>
      </c>
      <c r="IK8" s="133" t="n">
        <f aca="false">IF(OR(IK$4="",$B8=""),0,SUMIF('DADOS BRUTOS'!$A$3:$A$500,$B8,'DADOS BRUTOS'!FK$3:FK$500)+IF($C8="",0,SUMIF('DADOS BRUTOS'!$A$3:$A$500,$C8,'DADOS BRUTOS'!FK$3:FK$500)))</f>
        <v>0</v>
      </c>
      <c r="IL8" s="133" t="n">
        <f aca="false">IF(OR(IL$4="",$B8=""),0,SUMIF('DADOS BRUTOS'!$A$3:$A$500,$B8,'DADOS BRUTOS'!FL$3:FL$500)+IF($C8="",0,SUMIF('DADOS BRUTOS'!$A$3:$A$500,$C8,'DADOS BRUTOS'!FL$3:FL$500)))</f>
        <v>0</v>
      </c>
      <c r="IM8" s="133" t="n">
        <f aca="false">IF(OR(IM$4="",$B8=""),0,SUMIF('DADOS BRUTOS'!$A$3:$A$500,$B8,'DADOS BRUTOS'!FM$3:FM$500)+IF($C8="",0,SUMIF('DADOS BRUTOS'!$A$3:$A$500,$C8,'DADOS BRUTOS'!FM$3:FM$500)))</f>
        <v>0</v>
      </c>
      <c r="IN8" s="133" t="n">
        <f aca="false">IF(OR(IN$4="",$B8=""),0,SUMIF('DADOS BRUTOS'!$A$3:$A$500,$B8,'DADOS BRUTOS'!FN$3:FN$500)+IF($C8="",0,SUMIF('DADOS BRUTOS'!$A$3:$A$500,$C8,'DADOS BRUTOS'!FN$3:FN$500)))</f>
        <v>0</v>
      </c>
      <c r="IO8" s="133" t="n">
        <f aca="false">IF(OR(IO$4="",$B8=""),0,SUMIF('DADOS BRUTOS'!$A$3:$A$500,$B8,'DADOS BRUTOS'!FO$3:FO$500)+IF($C8="",0,SUMIF('DADOS BRUTOS'!$A$3:$A$500,$C8,'DADOS BRUTOS'!FO$3:FO$500)))</f>
        <v>0</v>
      </c>
      <c r="IP8" s="133" t="n">
        <f aca="false">IF(OR(IP$4="",$B8=""),0,SUMIF('DADOS BRUTOS'!$A$3:$A$500,$B8,'DADOS BRUTOS'!FP$3:FP$500)+IF($C8="",0,SUMIF('DADOS BRUTOS'!$A$3:$A$500,$C8,'DADOS BRUTOS'!FP$3:FP$500)))</f>
        <v>0</v>
      </c>
      <c r="IQ8" s="133" t="n">
        <f aca="false">IF(OR(IQ$4="",$B8=""),0,SUMIF('DADOS BRUTOS'!$A$3:$A$500,$B8,'DADOS BRUTOS'!FQ$3:FQ$500)+IF($C8="",0,SUMIF('DADOS BRUTOS'!$A$3:$A$500,$C8,'DADOS BRUTOS'!FQ$3:FQ$500)))</f>
        <v>0</v>
      </c>
      <c r="IR8" s="133" t="n">
        <f aca="false">IF(OR(IR$4="",$B8=""),0,SUMIF('DADOS BRUTOS'!$A$3:$A$500,$B8,'DADOS BRUTOS'!FR$3:FR$500)+IF($C8="",0,SUMIF('DADOS BRUTOS'!$A$3:$A$500,$C8,'DADOS BRUTOS'!FR$3:FR$500)))</f>
        <v>0</v>
      </c>
      <c r="IS8" s="133" t="n">
        <f aca="false">IF(OR(IS$4="",$B8=""),0,SUMIF('DADOS BRUTOS'!$A$3:$A$500,$B8,'DADOS BRUTOS'!FS$3:FS$500)+IF($C8="",0,SUMIF('DADOS BRUTOS'!$A$3:$A$500,$C8,'DADOS BRUTOS'!FS$3:FS$500)))</f>
        <v>0</v>
      </c>
      <c r="IT8" s="133" t="n">
        <f aca="false">IF(OR(IT$4="",$B8=""),0,SUMIF('DADOS BRUTOS'!$A$3:$A$500,$B8,'DADOS BRUTOS'!FT$3:FT$500)+IF($C8="",0,SUMIF('DADOS BRUTOS'!$A$3:$A$500,$C8,'DADOS BRUTOS'!FT$3:FT$500)))</f>
        <v>0</v>
      </c>
      <c r="IU8" s="133" t="n">
        <f aca="false">IF(OR(IU$4="",$B8=""),0,SUMIF('DADOS BRUTOS'!$A$3:$A$500,$B8,'DADOS BRUTOS'!FU$3:FU$500)+IF($C8="",0,SUMIF('DADOS BRUTOS'!$A$3:$A$500,$C8,'DADOS BRUTOS'!FU$3:FU$500)))</f>
        <v>0</v>
      </c>
      <c r="IV8" s="133" t="n">
        <f aca="false">IF(OR(IV$4="",$B8=""),0,SUMIF('DADOS BRUTOS'!$A$3:$A$500,$B8,'DADOS BRUTOS'!FV$3:FV$500)+IF($C8="",0,SUMIF('DADOS BRUTOS'!$A$3:$A$500,$C8,'DADOS BRUTOS'!FV$3:FV$500)))</f>
        <v>0</v>
      </c>
      <c r="IW8" s="133" t="n">
        <f aca="false">IF(OR(IW$4="",$B8=""),0,SUMIF('DADOS BRUTOS'!$A$3:$A$500,$B8,'DADOS BRUTOS'!FW$3:FW$500)+IF($C8="",0,SUMIF('DADOS BRUTOS'!$A$3:$A$500,$C8,'DADOS BRUTOS'!FW$3:FW$500)))</f>
        <v>0</v>
      </c>
      <c r="IX8" s="133" t="n">
        <f aca="false">IF(OR(IX$4="",$B8=""),0,SUMIF('DADOS BRUTOS'!$A$3:$A$500,$B8,'DADOS BRUTOS'!FX$3:FX$500)+IF($C8="",0,SUMIF('DADOS BRUTOS'!$A$3:$A$500,$C8,'DADOS BRUTOS'!FX$3:FX$500)))</f>
        <v>0</v>
      </c>
      <c r="IY8" s="133" t="n">
        <f aca="false">IF(OR(IY$4="",$B8=""),0,SUMIF('DADOS BRUTOS'!$A$3:$A$500,$B8,'DADOS BRUTOS'!FY$3:FY$500)+IF($C8="",0,SUMIF('DADOS BRUTOS'!$A$3:$A$500,$C8,'DADOS BRUTOS'!FY$3:FY$500)))</f>
        <v>0</v>
      </c>
      <c r="IZ8" s="133" t="n">
        <f aca="false">IF(OR(IZ$4="",$B8=""),0,SUMIF('DADOS BRUTOS'!$A$3:$A$500,$B8,'DADOS BRUTOS'!FZ$3:FZ$500)+IF($C8="",0,SUMIF('DADOS BRUTOS'!$A$3:$A$500,$C8,'DADOS BRUTOS'!FZ$3:FZ$500)))</f>
        <v>0</v>
      </c>
      <c r="JA8" s="133" t="n">
        <f aca="false">IF(OR(JA$4="",$B8=""),0,SUMIF('DADOS BRUTOS'!$A$3:$A$500,$B8,'DADOS BRUTOS'!GA$3:GA$500)+IF($C8="",0,SUMIF('DADOS BRUTOS'!$A$3:$A$500,$C8,'DADOS BRUTOS'!GA$3:GA$500)))</f>
        <v>0</v>
      </c>
      <c r="JB8" s="133" t="n">
        <f aca="false">IF(OR(JB$4="",$B8=""),0,SUMIF('DADOS BRUTOS'!$A$3:$A$500,$B8,'DADOS BRUTOS'!GB$3:GB$500)+IF($C8="",0,SUMIF('DADOS BRUTOS'!$A$3:$A$500,$C8,'DADOS BRUTOS'!GB$3:GB$500)))</f>
        <v>0</v>
      </c>
      <c r="JC8" s="133" t="n">
        <f aca="false">IF(OR(JC$4="",$B8=""),0,SUMIF('DADOS BRUTOS'!$A$3:$A$500,$B8,'DADOS BRUTOS'!GC$3:GC$500)+IF($C8="",0,SUMIF('DADOS BRUTOS'!$A$3:$A$500,$C8,'DADOS BRUTOS'!GC$3:GC$500)))</f>
        <v>0</v>
      </c>
      <c r="JD8" s="133" t="n">
        <f aca="false">IF(OR(JD$4="",$B8=""),0,SUMIF('DADOS BRUTOS'!$A$3:$A$500,$B8,'DADOS BRUTOS'!GD$3:GD$500)+IF($C8="",0,SUMIF('DADOS BRUTOS'!$A$3:$A$500,$C8,'DADOS BRUTOS'!GD$3:GD$500)))</f>
        <v>0</v>
      </c>
      <c r="JE8" s="133" t="n">
        <f aca="false">IF(OR(JE$4="",$B8=""),0,SUMIF('DADOS BRUTOS'!$A$3:$A$500,$B8,'DADOS BRUTOS'!GE$3:GE$500)+IF($C8="",0,SUMIF('DADOS BRUTOS'!$A$3:$A$500,$C8,'DADOS BRUTOS'!GE$3:GE$500)))</f>
        <v>0</v>
      </c>
      <c r="JF8" s="133" t="n">
        <f aca="false">IF(OR(JF$4="",$B8=""),0,SUMIF('DADOS BRUTOS'!$A$3:$A$500,$B8,'DADOS BRUTOS'!GF$3:GF$500)+IF($C8="",0,SUMIF('DADOS BRUTOS'!$A$3:$A$500,$C8,'DADOS BRUTOS'!GF$3:GF$500)))</f>
        <v>0</v>
      </c>
      <c r="JG8" s="133" t="n">
        <f aca="false">IF(OR(JG$4="",$B8=""),0,SUMIF('DADOS BRUTOS'!$A$3:$A$500,$B8,'DADOS BRUTOS'!GG$3:GG$500)+IF($C8="",0,SUMIF('DADOS BRUTOS'!$A$3:$A$500,$C8,'DADOS BRUTOS'!GG$3:GG$500)))</f>
        <v>0</v>
      </c>
      <c r="JH8" s="133" t="n">
        <f aca="false">IF(OR(JH$4="",$B8=""),0,SUMIF('DADOS BRUTOS'!$A$3:$A$500,$B8,'DADOS BRUTOS'!GH$3:GH$500)+IF($C8="",0,SUMIF('DADOS BRUTOS'!$A$3:$A$500,$C8,'DADOS BRUTOS'!GH$3:GH$500)))</f>
        <v>0</v>
      </c>
      <c r="JI8" s="133" t="n">
        <f aca="false">IF(OR(JI$4="",$B8=""),0,SUMIF('DADOS BRUTOS'!$A$3:$A$500,$B8,'DADOS BRUTOS'!GI$3:GI$500)+IF($C8="",0,SUMIF('DADOS BRUTOS'!$A$3:$A$500,$C8,'DADOS BRUTOS'!GI$3:GI$500)))</f>
        <v>0</v>
      </c>
      <c r="JJ8" s="133" t="n">
        <f aca="false">IF(OR(JJ$4="",$B8=""),0,SUMIF('DADOS BRUTOS'!$A$3:$A$500,$B8,'DADOS BRUTOS'!GJ$3:GJ$500)+IF($C8="",0,SUMIF('DADOS BRUTOS'!$A$3:$A$500,$C8,'DADOS BRUTOS'!GJ$3:GJ$500)))</f>
        <v>0</v>
      </c>
      <c r="JK8" s="133" t="n">
        <f aca="false">IF(OR(JK$4="",$B8=""),0,SUMIF('DADOS BRUTOS'!$A$3:$A$500,$B8,'DADOS BRUTOS'!GK$3:GK$500)+IF($C8="",0,SUMIF('DADOS BRUTOS'!$A$3:$A$500,$C8,'DADOS BRUTOS'!GK$3:GK$500)))</f>
        <v>0</v>
      </c>
      <c r="JL8" s="133" t="n">
        <f aca="false">IF(OR(JL$4="",$B8=""),0,SUMIF('DADOS BRUTOS'!$A$3:$A$500,$B8,'DADOS BRUTOS'!GL$3:GL$500)+IF($C8="",0,SUMIF('DADOS BRUTOS'!$A$3:$A$500,$C8,'DADOS BRUTOS'!GL$3:GL$500)))</f>
        <v>0</v>
      </c>
      <c r="JM8" s="133" t="n">
        <f aca="false">IF(OR(JM$4="",$B8=""),0,SUMIF('DADOS BRUTOS'!$A$3:$A$500,$B8,'DADOS BRUTOS'!GM$3:GM$500)+IF($C8="",0,SUMIF('DADOS BRUTOS'!$A$3:$A$500,$C8,'DADOS BRUTOS'!GM$3:GM$500)))</f>
        <v>0</v>
      </c>
      <c r="JN8" s="133" t="n">
        <f aca="false">IF(OR(JN$4="",$B8=""),0,SUMIF('DADOS BRUTOS'!$A$3:$A$500,$B8,'DADOS BRUTOS'!GN$3:GN$500)+IF($C8="",0,SUMIF('DADOS BRUTOS'!$A$3:$A$500,$C8,'DADOS BRUTOS'!GN$3:GN$500)))</f>
        <v>0</v>
      </c>
      <c r="JO8" s="133" t="n">
        <f aca="false">IF(OR(JO$4="",$B8=""),0,SUMIF('DADOS BRUTOS'!$A$3:$A$500,$B8,'DADOS BRUTOS'!GO$3:GO$500)+IF($C8="",0,SUMIF('DADOS BRUTOS'!$A$3:$A$500,$C8,'DADOS BRUTOS'!GO$3:GO$500)))</f>
        <v>0</v>
      </c>
      <c r="JP8" s="133" t="n">
        <f aca="false">IF(OR(JP$4="",$B8=""),0,SUMIF('DADOS BRUTOS'!$A$3:$A$500,$B8,'DADOS BRUTOS'!GP$3:GP$500)+IF($C8="",0,SUMIF('DADOS BRUTOS'!$A$3:$A$500,$C8,'DADOS BRUTOS'!GP$3:GP$500)))</f>
        <v>0</v>
      </c>
      <c r="JQ8" s="133" t="n">
        <f aca="false">IF(OR(JQ$4="",$B8=""),0,SUMIF('DADOS BRUTOS'!$A$3:$A$500,$B8,'DADOS BRUTOS'!GQ$3:GQ$500)+IF($C8="",0,SUMIF('DADOS BRUTOS'!$A$3:$A$500,$C8,'DADOS BRUTOS'!GQ$3:GQ$500)))</f>
        <v>0</v>
      </c>
      <c r="JR8" s="133" t="n">
        <f aca="false">IF(OR(JR$4="",$B8=""),0,SUMIF('DADOS BRUTOS'!$A$3:$A$500,$B8,'DADOS BRUTOS'!GR$3:GR$500)+IF($C8="",0,SUMIF('DADOS BRUTOS'!$A$3:$A$500,$C8,'DADOS BRUTOS'!GR$3:GR$500)))</f>
        <v>0</v>
      </c>
      <c r="JS8" s="133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135</v>
      </c>
      <c r="C9" s="55"/>
      <c r="D9" s="50" t="n">
        <f aca="false">SUMIF($CB$4:$JS$4,"&lt;="&amp;D$4,$CB9:$JS9)</f>
        <v>258.63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5620.39</v>
      </c>
      <c r="I9" s="50" t="n">
        <f aca="false">SUMIF($CB$4:$JS$4,I$4,$CB9:$JS9)</f>
        <v>2136.82</v>
      </c>
      <c r="J9" s="50" t="n">
        <f aca="false">SUMIF($CB$4:$JS$4,J$4,$CB9:$JS9)</f>
        <v>0</v>
      </c>
      <c r="K9" s="50" t="n">
        <f aca="false">SUMIF($CB$4:$JS$4,K$4,$CB9:$JS9)</f>
        <v>1976.12</v>
      </c>
      <c r="L9" s="50" t="n">
        <f aca="false">SUMIF($CB$4:$JS$4,L$4,$CB9:$JS9)</f>
        <v>1918</v>
      </c>
      <c r="M9" s="50" t="n">
        <f aca="false">SUMIF($CB$4:$JS$4,M$4,$CB9:$JS9)</f>
        <v>1918.01</v>
      </c>
      <c r="N9" s="50" t="n">
        <f aca="false">SUMIF($CB$4:$JS$4,N$4,$CB9:$JS9)</f>
        <v>0</v>
      </c>
      <c r="O9" s="50" t="n">
        <f aca="false">SUMIF($CB$4:$JS$4,O$4,$CB9:$JS9)</f>
        <v>0</v>
      </c>
      <c r="P9" s="50" t="n">
        <f aca="false">SUMIF($CB$4:$JS$4,P$4,$CB9:$JS9)</f>
        <v>2467.28</v>
      </c>
      <c r="Q9" s="50" t="n">
        <f aca="false">SUMIF($CB$4:$JS$4,Q$4,$CB9:$JS9)</f>
        <v>0</v>
      </c>
      <c r="R9" s="50" t="n">
        <f aca="false">SUMIF($CB$4:$JS$4,R$4,$CB9:$JS9)</f>
        <v>635.7</v>
      </c>
      <c r="S9" s="50" t="n">
        <f aca="false">SUMIF($CB$4:$JS$4,S$4,$CB9:$JS9)</f>
        <v>216.66</v>
      </c>
      <c r="T9" s="50" t="n">
        <f aca="false">SUMIF($CB$4:$JS$4,T$4,$CB9:$JS9)</f>
        <v>4859.3</v>
      </c>
      <c r="U9" s="50" t="n">
        <f aca="false">SUMIF($CB$4:$JS$4,U$4,$CB9:$JS9)</f>
        <v>9091.18</v>
      </c>
      <c r="V9" s="50" t="n">
        <f aca="false">SUMIF($CB$4:$JS$4,V$4,$CB9:$JS9)</f>
        <v>0</v>
      </c>
      <c r="W9" s="50" t="n">
        <f aca="false">SUMIF($CB$4:$JS$4,W$4,$CB9:$JS9)</f>
        <v>3323</v>
      </c>
      <c r="X9" s="50" t="n">
        <f aca="false">SUMIF($CB$4:$JS$4,X$4,$CB9:$JS9)</f>
        <v>0</v>
      </c>
      <c r="Y9" s="50" t="n">
        <f aca="false">SUMIF($CB$4:$JS$4,Y$4,$CB9:$JS9)</f>
        <v>6618.5</v>
      </c>
      <c r="Z9" s="50" t="n">
        <f aca="false">SUMIF($CB$4:$JS$4,Z$4,$CB9:$JS9)</f>
        <v>6618.5</v>
      </c>
      <c r="AA9" s="50" t="n">
        <f aca="false">SUMIF($CB$4:$JS$4,AA$4,$CB9:$JS9)</f>
        <v>328.58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47986.67</v>
      </c>
      <c r="BZ9" s="45" t="n">
        <f aca="false">SUMPRODUCT(($CB$4:$JS$4&lt;&gt;"")*($CB$4:$JS$4&lt;=$D$4),$CB9:$JS9,$CB$1:$JS$1)</f>
        <v>0.23050940068037</v>
      </c>
      <c r="CB9" s="133" t="n">
        <f aca="false">IF(OR(CB$4="",$B9=""),0,SUMIF('DADOS BRUTOS'!$A$3:$A$500,$B9,'DADOS BRUTOS'!B$3:B$500)+IF($C9="",0,SUMIF('DADOS BRUTOS'!$A$3:$A$500,$C9,'DADOS BRUTOS'!B$3:B$500)))</f>
        <v>0</v>
      </c>
      <c r="CC9" s="133" t="n">
        <f aca="false">IF(OR(CC$4="",$B9=""),0,SUMIF('DADOS BRUTOS'!$A$3:$A$500,$B9,'DADOS BRUTOS'!C$3:C$500)+IF($C9="",0,SUMIF('DADOS BRUTOS'!$A$3:$A$500,$C9,'DADOS BRUTOS'!C$3:C$500)))</f>
        <v>0</v>
      </c>
      <c r="CD9" s="133" t="n">
        <f aca="false">IF(OR(CD$4="",$B9=""),0,SUMIF('DADOS BRUTOS'!$A$3:$A$500,$B9,'DADOS BRUTOS'!D$3:D$500)+IF($C9="",0,SUMIF('DADOS BRUTOS'!$A$3:$A$500,$C9,'DADOS BRUTOS'!D$3:D$500)))</f>
        <v>0</v>
      </c>
      <c r="CE9" s="133" t="n">
        <f aca="false">IF(OR(CE$4="",$B9=""),0,SUMIF('DADOS BRUTOS'!$A$3:$A$500,$B9,'DADOS BRUTOS'!E$3:E$500)+IF($C9="",0,SUMIF('DADOS BRUTOS'!$A$3:$A$500,$C9,'DADOS BRUTOS'!E$3:E$500)))</f>
        <v>0</v>
      </c>
      <c r="CF9" s="133" t="n">
        <f aca="false">IF(OR(CF$4="",$B9=""),0,SUMIF('DADOS BRUTOS'!$A$3:$A$500,$B9,'DADOS BRUTOS'!F$3:F$500)+IF($C9="",0,SUMIF('DADOS BRUTOS'!$A$3:$A$500,$C9,'DADOS BRUTOS'!F$3:F$500)))</f>
        <v>0</v>
      </c>
      <c r="CG9" s="133" t="n">
        <f aca="false">IF(OR(CG$4="",$B9=""),0,SUMIF('DADOS BRUTOS'!$A$3:$A$500,$B9,'DADOS BRUTOS'!G$3:G$500)+IF($C9="",0,SUMIF('DADOS BRUTOS'!$A$3:$A$500,$C9,'DADOS BRUTOS'!G$3:G$500)))</f>
        <v>0</v>
      </c>
      <c r="CH9" s="133" t="n">
        <f aca="false">IF(OR(CH$4="",$B9=""),0,SUMIF('DADOS BRUTOS'!$A$3:$A$500,$B9,'DADOS BRUTOS'!H$3:H$500)+IF($C9="",0,SUMIF('DADOS BRUTOS'!$A$3:$A$500,$C9,'DADOS BRUTOS'!H$3:H$500)))</f>
        <v>0</v>
      </c>
      <c r="CI9" s="133" t="n">
        <f aca="false">IF(OR(CI$4="",$B9=""),0,SUMIF('DADOS BRUTOS'!$A$3:$A$500,$B9,'DADOS BRUTOS'!I$3:I$500)+IF($C9="",0,SUMIF('DADOS BRUTOS'!$A$3:$A$500,$C9,'DADOS BRUTOS'!I$3:I$500)))</f>
        <v>0</v>
      </c>
      <c r="CJ9" s="133" t="n">
        <f aca="false">IF(OR(CJ$4="",$B9=""),0,SUMIF('DADOS BRUTOS'!$A$3:$A$500,$B9,'DADOS BRUTOS'!J$3:J$500)+IF($C9="",0,SUMIF('DADOS BRUTOS'!$A$3:$A$500,$C9,'DADOS BRUTOS'!J$3:J$500)))</f>
        <v>0</v>
      </c>
      <c r="CK9" s="133" t="n">
        <f aca="false">IF(OR(CK$4="",$B9=""),0,SUMIF('DADOS BRUTOS'!$A$3:$A$500,$B9,'DADOS BRUTOS'!K$3:K$500)+IF($C9="",0,SUMIF('DADOS BRUTOS'!$A$3:$A$500,$C9,'DADOS BRUTOS'!K$3:K$500)))</f>
        <v>0</v>
      </c>
      <c r="CL9" s="133" t="n">
        <f aca="false">IF(OR(CL$4="",$B9=""),0,SUMIF('DADOS BRUTOS'!$A$3:$A$500,$B9,'DADOS BRUTOS'!L$3:L$500)+IF($C9="",0,SUMIF('DADOS BRUTOS'!$A$3:$A$500,$C9,'DADOS BRUTOS'!L$3:L$500)))</f>
        <v>0</v>
      </c>
      <c r="CM9" s="133" t="n">
        <f aca="false">IF(OR(CM$4="",$B9=""),0,SUMIF('DADOS BRUTOS'!$A$3:$A$500,$B9,'DADOS BRUTOS'!M$3:M$500)+IF($C9="",0,SUMIF('DADOS BRUTOS'!$A$3:$A$500,$C9,'DADOS BRUTOS'!M$3:M$500)))</f>
        <v>0</v>
      </c>
      <c r="CN9" s="133" t="n">
        <f aca="false">IF(OR(CN$4="",$B9=""),0,SUMIF('DADOS BRUTOS'!$A$3:$A$500,$B9,'DADOS BRUTOS'!N$3:N$500)+IF($C9="",0,SUMIF('DADOS BRUTOS'!$A$3:$A$500,$C9,'DADOS BRUTOS'!N$3:N$500)))</f>
        <v>0</v>
      </c>
      <c r="CO9" s="133" t="n">
        <f aca="false">IF(OR(CO$4="",$B9=""),0,SUMIF('DADOS BRUTOS'!$A$3:$A$500,$B9,'DADOS BRUTOS'!O$3:O$500)+IF($C9="",0,SUMIF('DADOS BRUTOS'!$A$3:$A$500,$C9,'DADOS BRUTOS'!O$3:O$500)))</f>
        <v>0</v>
      </c>
      <c r="CP9" s="133" t="n">
        <f aca="false">IF(OR(CP$4="",$B9=""),0,SUMIF('DADOS BRUTOS'!$A$3:$A$500,$B9,'DADOS BRUTOS'!P$3:P$500)+IF($C9="",0,SUMIF('DADOS BRUTOS'!$A$3:$A$500,$C9,'DADOS BRUTOS'!P$3:P$500)))</f>
        <v>0</v>
      </c>
      <c r="CQ9" s="133" t="n">
        <f aca="false">IF(OR(CQ$4="",$B9=""),0,SUMIF('DADOS BRUTOS'!$A$3:$A$500,$B9,'DADOS BRUTOS'!Q$3:Q$500)+IF($C9="",0,SUMIF('DADOS BRUTOS'!$A$3:$A$500,$C9,'DADOS BRUTOS'!Q$3:Q$500)))</f>
        <v>0</v>
      </c>
      <c r="CR9" s="133" t="n">
        <f aca="false">IF(OR(CR$4="",$B9=""),0,SUMIF('DADOS BRUTOS'!$A$3:$A$500,$B9,'DADOS BRUTOS'!R$3:R$500)+IF($C9="",0,SUMIF('DADOS BRUTOS'!$A$3:$A$500,$C9,'DADOS BRUTOS'!R$3:R$500)))</f>
        <v>0</v>
      </c>
      <c r="CS9" s="133" t="n">
        <f aca="false">IF(OR(CS$4="",$B9=""),0,SUMIF('DADOS BRUTOS'!$A$3:$A$500,$B9,'DADOS BRUTOS'!S$3:S$500)+IF($C9="",0,SUMIF('DADOS BRUTOS'!$A$3:$A$500,$C9,'DADOS BRUTOS'!S$3:S$500)))</f>
        <v>0</v>
      </c>
      <c r="CT9" s="133" t="n">
        <f aca="false">IF(OR(CT$4="",$B9=""),0,SUMIF('DADOS BRUTOS'!$A$3:$A$500,$B9,'DADOS BRUTOS'!T$3:T$500)+IF($C9="",0,SUMIF('DADOS BRUTOS'!$A$3:$A$500,$C9,'DADOS BRUTOS'!T$3:T$500)))</f>
        <v>0</v>
      </c>
      <c r="CU9" s="133" t="n">
        <f aca="false">IF(OR(CU$4="",$B9=""),0,SUMIF('DADOS BRUTOS'!$A$3:$A$500,$B9,'DADOS BRUTOS'!U$3:U$500)+IF($C9="",0,SUMIF('DADOS BRUTOS'!$A$3:$A$500,$C9,'DADOS BRUTOS'!U$3:U$500)))</f>
        <v>0</v>
      </c>
      <c r="CV9" s="133" t="n">
        <f aca="false">IF(OR(CV$4="",$B9=""),0,SUMIF('DADOS BRUTOS'!$A$3:$A$500,$B9,'DADOS BRUTOS'!V$3:V$500)+IF($C9="",0,SUMIF('DADOS BRUTOS'!$A$3:$A$500,$C9,'DADOS BRUTOS'!V$3:V$500)))</f>
        <v>0</v>
      </c>
      <c r="CW9" s="133" t="n">
        <f aca="false">IF(OR(CW$4="",$B9=""),0,SUMIF('DADOS BRUTOS'!$A$3:$A$500,$B9,'DADOS BRUTOS'!W$3:W$500)+IF($C9="",0,SUMIF('DADOS BRUTOS'!$A$3:$A$500,$C9,'DADOS BRUTOS'!W$3:W$500)))</f>
        <v>0</v>
      </c>
      <c r="CX9" s="133" t="n">
        <f aca="false">IF(OR(CX$4="",$B9=""),0,SUMIF('DADOS BRUTOS'!$A$3:$A$500,$B9,'DADOS BRUTOS'!X$3:X$500)+IF($C9="",0,SUMIF('DADOS BRUTOS'!$A$3:$A$500,$C9,'DADOS BRUTOS'!X$3:X$500)))</f>
        <v>0</v>
      </c>
      <c r="CY9" s="133" t="n">
        <f aca="false">IF(OR(CY$4="",$B9=""),0,SUMIF('DADOS BRUTOS'!$A$3:$A$500,$B9,'DADOS BRUTOS'!Y$3:Y$500)+IF($C9="",0,SUMIF('DADOS BRUTOS'!$A$3:$A$500,$C9,'DADOS BRUTOS'!Y$3:Y$500)))</f>
        <v>0</v>
      </c>
      <c r="CZ9" s="133" t="n">
        <f aca="false">IF(OR(CZ$4="",$B9=""),0,SUMIF('DADOS BRUTOS'!$A$3:$A$500,$B9,'DADOS BRUTOS'!Z$3:Z$500)+IF($C9="",0,SUMIF('DADOS BRUTOS'!$A$3:$A$500,$C9,'DADOS BRUTOS'!Z$3:Z$500)))</f>
        <v>0</v>
      </c>
      <c r="DA9" s="133" t="n">
        <f aca="false">IF(OR(DA$4="",$B9=""),0,SUMIF('DADOS BRUTOS'!$A$3:$A$500,$B9,'DADOS BRUTOS'!AA$3:AA$500)+IF($C9="",0,SUMIF('DADOS BRUTOS'!$A$3:$A$500,$C9,'DADOS BRUTOS'!AA$3:AA$500)))</f>
        <v>0</v>
      </c>
      <c r="DB9" s="133" t="n">
        <f aca="false">IF(OR(DB$4="",$B9=""),0,SUMIF('DADOS BRUTOS'!$A$3:$A$500,$B9,'DADOS BRUTOS'!AB$3:AB$500)+IF($C9="",0,SUMIF('DADOS BRUTOS'!$A$3:$A$500,$C9,'DADOS BRUTOS'!AB$3:AB$500)))</f>
        <v>156.95</v>
      </c>
      <c r="DC9" s="133" t="n">
        <f aca="false">IF(OR(DC$4="",$B9=""),0,SUMIF('DADOS BRUTOS'!$A$3:$A$500,$B9,'DADOS BRUTOS'!AC$3:AC$500)+IF($C9="",0,SUMIF('DADOS BRUTOS'!$A$3:$A$500,$C9,'DADOS BRUTOS'!AC$3:AC$500)))</f>
        <v>101.68</v>
      </c>
      <c r="DD9" s="133" t="n">
        <f aca="false">IF(OR(DD$4="",$B9=""),0,SUMIF('DADOS BRUTOS'!$A$3:$A$500,$B9,'DADOS BRUTOS'!AD$3:AD$500)+IF($C9="",0,SUMIF('DADOS BRUTOS'!$A$3:$A$500,$C9,'DADOS BRUTOS'!AD$3:AD$500)))</f>
        <v>0</v>
      </c>
      <c r="DE9" s="133" t="n">
        <f aca="false">IF(OR(DE$4="",$B9=""),0,SUMIF('DADOS BRUTOS'!$A$3:$A$500,$B9,'DADOS BRUTOS'!AE$3:AE$500)+IF($C9="",0,SUMIF('DADOS BRUTOS'!$A$3:$A$500,$C9,'DADOS BRUTOS'!AE$3:AE$500)))</f>
        <v>0</v>
      </c>
      <c r="DF9" s="133" t="n">
        <f aca="false">IF(OR(DF$4="",$B9=""),0,SUMIF('DADOS BRUTOS'!$A$3:$A$500,$B9,'DADOS BRUTOS'!AF$3:AF$500)+IF($C9="",0,SUMIF('DADOS BRUTOS'!$A$3:$A$500,$C9,'DADOS BRUTOS'!AF$3:AF$500)))</f>
        <v>0</v>
      </c>
      <c r="DG9" s="133" t="n">
        <f aca="false">IF(OR(DG$4="",$B9=""),0,SUMIF('DADOS BRUTOS'!$A$3:$A$500,$B9,'DADOS BRUTOS'!AG$3:AG$500)+IF($C9="",0,SUMIF('DADOS BRUTOS'!$A$3:$A$500,$C9,'DADOS BRUTOS'!AG$3:AG$500)))</f>
        <v>0</v>
      </c>
      <c r="DH9" s="133" t="n">
        <f aca="false">IF(OR(DH$4="",$B9=""),0,SUMIF('DADOS BRUTOS'!$A$3:$A$500,$B9,'DADOS BRUTOS'!AH$3:AH$500)+IF($C9="",0,SUMIF('DADOS BRUTOS'!$A$3:$A$500,$C9,'DADOS BRUTOS'!AH$3:AH$500)))</f>
        <v>0</v>
      </c>
      <c r="DI9" s="133" t="n">
        <f aca="false">IF(OR(DI$4="",$B9=""),0,SUMIF('DADOS BRUTOS'!$A$3:$A$500,$B9,'DADOS BRUTOS'!AI$3:AI$500)+IF($C9="",0,SUMIF('DADOS BRUTOS'!$A$3:$A$500,$C9,'DADOS BRUTOS'!AI$3:AI$500)))</f>
        <v>0</v>
      </c>
      <c r="DJ9" s="133" t="n">
        <f aca="false">IF(OR(DJ$4="",$B9=""),0,SUMIF('DADOS BRUTOS'!$A$3:$A$500,$B9,'DADOS BRUTOS'!AJ$3:AJ$500)+IF($C9="",0,SUMIF('DADOS BRUTOS'!$A$3:$A$500,$C9,'DADOS BRUTOS'!AJ$3:AJ$500)))</f>
        <v>0</v>
      </c>
      <c r="DK9" s="133" t="n">
        <f aca="false">IF(OR(DK$4="",$B9=""),0,SUMIF('DADOS BRUTOS'!$A$3:$A$500,$B9,'DADOS BRUTOS'!AK$3:AK$500)+IF($C9="",0,SUMIF('DADOS BRUTOS'!$A$3:$A$500,$C9,'DADOS BRUTOS'!AK$3:AK$500)))</f>
        <v>0</v>
      </c>
      <c r="DL9" s="133" t="n">
        <f aca="false">IF(OR(DL$4="",$B9=""),0,SUMIF('DADOS BRUTOS'!$A$3:$A$500,$B9,'DADOS BRUTOS'!AL$3:AL$500)+IF($C9="",0,SUMIF('DADOS BRUTOS'!$A$3:$A$500,$C9,'DADOS BRUTOS'!AL$3:AL$500)))</f>
        <v>5620.39</v>
      </c>
      <c r="DM9" s="133" t="n">
        <f aca="false">IF(OR(DM$4="",$B9=""),0,SUMIF('DADOS BRUTOS'!$A$3:$A$500,$B9,'DADOS BRUTOS'!AM$3:AM$500)+IF($C9="",0,SUMIF('DADOS BRUTOS'!$A$3:$A$500,$C9,'DADOS BRUTOS'!AM$3:AM$500)))</f>
        <v>2136.82</v>
      </c>
      <c r="DN9" s="133" t="n">
        <f aca="false">IF(OR(DN$4="",$B9=""),0,SUMIF('DADOS BRUTOS'!$A$3:$A$500,$B9,'DADOS BRUTOS'!AN$3:AN$500)+IF($C9="",0,SUMIF('DADOS BRUTOS'!$A$3:$A$500,$C9,'DADOS BRUTOS'!AN$3:AN$500)))</f>
        <v>0</v>
      </c>
      <c r="DO9" s="133" t="n">
        <f aca="false">IF(OR(DO$4="",$B9=""),0,SUMIF('DADOS BRUTOS'!$A$3:$A$500,$B9,'DADOS BRUTOS'!AO$3:AO$500)+IF($C9="",0,SUMIF('DADOS BRUTOS'!$A$3:$A$500,$C9,'DADOS BRUTOS'!AO$3:AO$500)))</f>
        <v>1976.12</v>
      </c>
      <c r="DP9" s="133" t="n">
        <f aca="false">IF(OR(DP$4="",$B9=""),0,SUMIF('DADOS BRUTOS'!$A$3:$A$500,$B9,'DADOS BRUTOS'!AP$3:AP$500)+IF($C9="",0,SUMIF('DADOS BRUTOS'!$A$3:$A$500,$C9,'DADOS BRUTOS'!AP$3:AP$500)))</f>
        <v>1918</v>
      </c>
      <c r="DQ9" s="133" t="n">
        <f aca="false">IF(OR(DQ$4="",$B9=""),0,SUMIF('DADOS BRUTOS'!$A$3:$A$500,$B9,'DADOS BRUTOS'!AQ$3:AQ$500)+IF($C9="",0,SUMIF('DADOS BRUTOS'!$A$3:$A$500,$C9,'DADOS BRUTOS'!AQ$3:AQ$500)))</f>
        <v>1918.01</v>
      </c>
      <c r="DR9" s="133" t="n">
        <f aca="false">IF(OR(DR$4="",$B9=""),0,SUMIF('DADOS BRUTOS'!$A$3:$A$500,$B9,'DADOS BRUTOS'!AR$3:AR$500)+IF($C9="",0,SUMIF('DADOS BRUTOS'!$A$3:$A$500,$C9,'DADOS BRUTOS'!AR$3:AR$500)))</f>
        <v>0</v>
      </c>
      <c r="DS9" s="133" t="n">
        <f aca="false">IF(OR(DS$4="",$B9=""),0,SUMIF('DADOS BRUTOS'!$A$3:$A$500,$B9,'DADOS BRUTOS'!AS$3:AS$500)+IF($C9="",0,SUMIF('DADOS BRUTOS'!$A$3:$A$500,$C9,'DADOS BRUTOS'!AS$3:AS$500)))</f>
        <v>0</v>
      </c>
      <c r="DT9" s="133" t="n">
        <f aca="false">IF(OR(DT$4="",$B9=""),0,SUMIF('DADOS BRUTOS'!$A$3:$A$500,$B9,'DADOS BRUTOS'!AT$3:AT$500)+IF($C9="",0,SUMIF('DADOS BRUTOS'!$A$3:$A$500,$C9,'DADOS BRUTOS'!AT$3:AT$500)))</f>
        <v>2467.28</v>
      </c>
      <c r="DU9" s="133" t="n">
        <f aca="false">IF(OR(DU$4="",$B9=""),0,SUMIF('DADOS BRUTOS'!$A$3:$A$500,$B9,'DADOS BRUTOS'!AU$3:AU$500)+IF($C9="",0,SUMIF('DADOS BRUTOS'!$A$3:$A$500,$C9,'DADOS BRUTOS'!AU$3:AU$500)))</f>
        <v>0</v>
      </c>
      <c r="DV9" s="133" t="n">
        <f aca="false">IF(OR(DV$4="",$B9=""),0,SUMIF('DADOS BRUTOS'!$A$3:$A$500,$B9,'DADOS BRUTOS'!AV$3:AV$500)+IF($C9="",0,SUMIF('DADOS BRUTOS'!$A$3:$A$500,$C9,'DADOS BRUTOS'!AV$3:AV$500)))</f>
        <v>635.7</v>
      </c>
      <c r="DW9" s="133" t="n">
        <f aca="false">IF(OR(DW$4="",$B9=""),0,SUMIF('DADOS BRUTOS'!$A$3:$A$500,$B9,'DADOS BRUTOS'!AW$3:AW$500)+IF($C9="",0,SUMIF('DADOS BRUTOS'!$A$3:$A$500,$C9,'DADOS BRUTOS'!AW$3:AW$500)))</f>
        <v>216.66</v>
      </c>
      <c r="DX9" s="133" t="n">
        <f aca="false">IF(OR(DX$4="",$B9=""),0,SUMIF('DADOS BRUTOS'!$A$3:$A$500,$B9,'DADOS BRUTOS'!AX$3:AX$500)+IF($C9="",0,SUMIF('DADOS BRUTOS'!$A$3:$A$500,$C9,'DADOS BRUTOS'!AX$3:AX$500)))</f>
        <v>4859.3</v>
      </c>
      <c r="DY9" s="133" t="n">
        <f aca="false">IF(OR(DY$4="",$B9=""),0,SUMIF('DADOS BRUTOS'!$A$3:$A$500,$B9,'DADOS BRUTOS'!AY$3:AY$500)+IF($C9="",0,SUMIF('DADOS BRUTOS'!$A$3:$A$500,$C9,'DADOS BRUTOS'!AY$3:AY$500)))</f>
        <v>9091.18</v>
      </c>
      <c r="DZ9" s="133" t="n">
        <f aca="false">IF(OR(DZ$4="",$B9=""),0,SUMIF('DADOS BRUTOS'!$A$3:$A$500,$B9,'DADOS BRUTOS'!AZ$3:AZ$500)+IF($C9="",0,SUMIF('DADOS BRUTOS'!$A$3:$A$500,$C9,'DADOS BRUTOS'!AZ$3:AZ$500)))</f>
        <v>0</v>
      </c>
      <c r="EA9" s="133" t="n">
        <f aca="false">IF(OR(EA$4="",$B9=""),0,SUMIF('DADOS BRUTOS'!$A$3:$A$500,$B9,'DADOS BRUTOS'!BA$3:BA$500)+IF($C9="",0,SUMIF('DADOS BRUTOS'!$A$3:$A$500,$C9,'DADOS BRUTOS'!BA$3:BA$500)))</f>
        <v>3323</v>
      </c>
      <c r="EB9" s="133" t="n">
        <f aca="false">IF(OR(EB$4="",$B9=""),0,SUMIF('DADOS BRUTOS'!$A$3:$A$500,$B9,'DADOS BRUTOS'!BB$3:BB$500)+IF($C9="",0,SUMIF('DADOS BRUTOS'!$A$3:$A$500,$C9,'DADOS BRUTOS'!BB$3:BB$500)))</f>
        <v>0</v>
      </c>
      <c r="EC9" s="133" t="n">
        <f aca="false">IF(OR(EC$4="",$B9=""),0,SUMIF('DADOS BRUTOS'!$A$3:$A$500,$B9,'DADOS BRUTOS'!BC$3:BC$500)+IF($C9="",0,SUMIF('DADOS BRUTOS'!$A$3:$A$500,$C9,'DADOS BRUTOS'!BC$3:BC$500)))</f>
        <v>6618.5</v>
      </c>
      <c r="ED9" s="133" t="n">
        <f aca="false">IF(OR(ED$4="",$B9=""),0,SUMIF('DADOS BRUTOS'!$A$3:$A$500,$B9,'DADOS BRUTOS'!BD$3:BD$500)+IF($C9="",0,SUMIF('DADOS BRUTOS'!$A$3:$A$500,$C9,'DADOS BRUTOS'!BD$3:BD$500)))</f>
        <v>6618.5</v>
      </c>
      <c r="EE9" s="133" t="n">
        <f aca="false">IF(OR(EE$4="",$B9=""),0,SUMIF('DADOS BRUTOS'!$A$3:$A$500,$B9,'DADOS BRUTOS'!BE$3:BE$500)+IF($C9="",0,SUMIF('DADOS BRUTOS'!$A$3:$A$500,$C9,'DADOS BRUTOS'!BE$3:BE$500)))</f>
        <v>328.58</v>
      </c>
      <c r="EF9" s="133" t="n">
        <f aca="false">IF(OR(EF$4="",$B9=""),0,SUMIF('DADOS BRUTOS'!$A$3:$A$500,$B9,'DADOS BRUTOS'!BF$3:BF$500)+IF($C9="",0,SUMIF('DADOS BRUTOS'!$A$3:$A$500,$C9,'DADOS BRUTOS'!BF$3:BF$500)))</f>
        <v>0</v>
      </c>
      <c r="EG9" s="133" t="n">
        <f aca="false">IF(OR(EG$4="",$B9=""),0,SUMIF('DADOS BRUTOS'!$A$3:$A$500,$B9,'DADOS BRUTOS'!BG$3:BG$500)+IF($C9="",0,SUMIF('DADOS BRUTOS'!$A$3:$A$500,$C9,'DADOS BRUTOS'!BG$3:BG$500)))</f>
        <v>0</v>
      </c>
      <c r="EH9" s="133" t="n">
        <f aca="false">IF(OR(EH$4="",$B9=""),0,SUMIF('DADOS BRUTOS'!$A$3:$A$500,$B9,'DADOS BRUTOS'!BH$3:BH$500)+IF($C9="",0,SUMIF('DADOS BRUTOS'!$A$3:$A$500,$C9,'DADOS BRUTOS'!BH$3:BH$500)))</f>
        <v>0</v>
      </c>
      <c r="EI9" s="133" t="n">
        <f aca="false">IF(OR(EI$4="",$B9=""),0,SUMIF('DADOS BRUTOS'!$A$3:$A$500,$B9,'DADOS BRUTOS'!BI$3:BI$500)+IF($C9="",0,SUMIF('DADOS BRUTOS'!$A$3:$A$500,$C9,'DADOS BRUTOS'!BI$3:BI$500)))</f>
        <v>0</v>
      </c>
      <c r="EJ9" s="133" t="n">
        <f aca="false">IF(OR(EJ$4="",$B9=""),0,SUMIF('DADOS BRUTOS'!$A$3:$A$500,$B9,'DADOS BRUTOS'!BJ$3:BJ$500)+IF($C9="",0,SUMIF('DADOS BRUTOS'!$A$3:$A$500,$C9,'DADOS BRUTOS'!BJ$3:BJ$500)))</f>
        <v>0</v>
      </c>
      <c r="EK9" s="133" t="n">
        <f aca="false">IF(OR(EK$4="",$B9=""),0,SUMIF('DADOS BRUTOS'!$A$3:$A$500,$B9,'DADOS BRUTOS'!BK$3:BK$500)+IF($C9="",0,SUMIF('DADOS BRUTOS'!$A$3:$A$500,$C9,'DADOS BRUTOS'!BK$3:BK$500)))</f>
        <v>0</v>
      </c>
      <c r="EL9" s="133" t="n">
        <f aca="false">IF(OR(EL$4="",$B9=""),0,SUMIF('DADOS BRUTOS'!$A$3:$A$500,$B9,'DADOS BRUTOS'!BL$3:BL$500)+IF($C9="",0,SUMIF('DADOS BRUTOS'!$A$3:$A$500,$C9,'DADOS BRUTOS'!BL$3:BL$500)))</f>
        <v>0</v>
      </c>
      <c r="EM9" s="133" t="n">
        <f aca="false">IF(OR(EM$4="",$B9=""),0,SUMIF('DADOS BRUTOS'!$A$3:$A$500,$B9,'DADOS BRUTOS'!BM$3:BM$500)+IF($C9="",0,SUMIF('DADOS BRUTOS'!$A$3:$A$500,$C9,'DADOS BRUTOS'!BM$3:BM$500)))</f>
        <v>0</v>
      </c>
      <c r="EN9" s="133" t="n">
        <f aca="false">IF(OR(EN$4="",$B9=""),0,SUMIF('DADOS BRUTOS'!$A$3:$A$500,$B9,'DADOS BRUTOS'!BN$3:BN$500)+IF($C9="",0,SUMIF('DADOS BRUTOS'!$A$3:$A$500,$C9,'DADOS BRUTOS'!BN$3:BN$500)))</f>
        <v>0</v>
      </c>
      <c r="EO9" s="133" t="n">
        <f aca="false">IF(OR(EO$4="",$B9=""),0,SUMIF('DADOS BRUTOS'!$A$3:$A$500,$B9,'DADOS BRUTOS'!BO$3:BO$500)+IF($C9="",0,SUMIF('DADOS BRUTOS'!$A$3:$A$500,$C9,'DADOS BRUTOS'!BO$3:BO$500)))</f>
        <v>0</v>
      </c>
      <c r="EP9" s="133" t="n">
        <f aca="false">IF(OR(EP$4="",$B9=""),0,SUMIF('DADOS BRUTOS'!$A$3:$A$500,$B9,'DADOS BRUTOS'!BP$3:BP$500)+IF($C9="",0,SUMIF('DADOS BRUTOS'!$A$3:$A$500,$C9,'DADOS BRUTOS'!BP$3:BP$500)))</f>
        <v>0</v>
      </c>
      <c r="EQ9" s="133" t="n">
        <f aca="false">IF(OR(EQ$4="",$B9=""),0,SUMIF('DADOS BRUTOS'!$A$3:$A$500,$B9,'DADOS BRUTOS'!BQ$3:BQ$500)+IF($C9="",0,SUMIF('DADOS BRUTOS'!$A$3:$A$500,$C9,'DADOS BRUTOS'!BQ$3:BQ$500)))</f>
        <v>0</v>
      </c>
      <c r="ER9" s="133" t="n">
        <f aca="false">IF(OR(ER$4="",$B9=""),0,SUMIF('DADOS BRUTOS'!$A$3:$A$500,$B9,'DADOS BRUTOS'!BR$3:BR$500)+IF($C9="",0,SUMIF('DADOS BRUTOS'!$A$3:$A$500,$C9,'DADOS BRUTOS'!BR$3:BR$500)))</f>
        <v>0</v>
      </c>
      <c r="ES9" s="133" t="n">
        <f aca="false">IF(OR(ES$4="",$B9=""),0,SUMIF('DADOS BRUTOS'!$A$3:$A$500,$B9,'DADOS BRUTOS'!BS$3:BS$500)+IF($C9="",0,SUMIF('DADOS BRUTOS'!$A$3:$A$500,$C9,'DADOS BRUTOS'!BS$3:BS$500)))</f>
        <v>0</v>
      </c>
      <c r="ET9" s="133" t="n">
        <f aca="false">IF(OR(ET$4="",$B9=""),0,SUMIF('DADOS BRUTOS'!$A$3:$A$500,$B9,'DADOS BRUTOS'!BT$3:BT$500)+IF($C9="",0,SUMIF('DADOS BRUTOS'!$A$3:$A$500,$C9,'DADOS BRUTOS'!BT$3:BT$500)))</f>
        <v>0</v>
      </c>
      <c r="EU9" s="133" t="n">
        <f aca="false">IF(OR(EU$4="",$B9=""),0,SUMIF('DADOS BRUTOS'!$A$3:$A$500,$B9,'DADOS BRUTOS'!BU$3:BU$500)+IF($C9="",0,SUMIF('DADOS BRUTOS'!$A$3:$A$500,$C9,'DADOS BRUTOS'!BU$3:BU$500)))</f>
        <v>0</v>
      </c>
      <c r="EV9" s="133" t="n">
        <f aca="false">IF(OR(EV$4="",$B9=""),0,SUMIF('DADOS BRUTOS'!$A$3:$A$500,$B9,'DADOS BRUTOS'!BV$3:BV$500)+IF($C9="",0,SUMIF('DADOS BRUTOS'!$A$3:$A$500,$C9,'DADOS BRUTOS'!BV$3:BV$500)))</f>
        <v>0</v>
      </c>
      <c r="EW9" s="133" t="n">
        <f aca="false">IF(OR(EW$4="",$B9=""),0,SUMIF('DADOS BRUTOS'!$A$3:$A$500,$B9,'DADOS BRUTOS'!BW$3:BW$500)+IF($C9="",0,SUMIF('DADOS BRUTOS'!$A$3:$A$500,$C9,'DADOS BRUTOS'!BW$3:BW$500)))</f>
        <v>0</v>
      </c>
      <c r="EX9" s="133" t="n">
        <f aca="false">IF(OR(EX$4="",$B9=""),0,SUMIF('DADOS BRUTOS'!$A$3:$A$500,$B9,'DADOS BRUTOS'!BX$3:BX$500)+IF($C9="",0,SUMIF('DADOS BRUTOS'!$A$3:$A$500,$C9,'DADOS BRUTOS'!BX$3:BX$500)))</f>
        <v>0</v>
      </c>
      <c r="EY9" s="133" t="n">
        <f aca="false">IF(OR(EY$4="",$B9=""),0,SUMIF('DADOS BRUTOS'!$A$3:$A$500,$B9,'DADOS BRUTOS'!BY$3:BY$500)+IF($C9="",0,SUMIF('DADOS BRUTOS'!$A$3:$A$500,$C9,'DADOS BRUTOS'!BY$3:BY$500)))</f>
        <v>0</v>
      </c>
      <c r="EZ9" s="133" t="n">
        <f aca="false">IF(OR(EZ$4="",$B9=""),0,SUMIF('DADOS BRUTOS'!$A$3:$A$500,$B9,'DADOS BRUTOS'!BZ$3:BZ$500)+IF($C9="",0,SUMIF('DADOS BRUTOS'!$A$3:$A$500,$C9,'DADOS BRUTOS'!BZ$3:BZ$500)))</f>
        <v>0</v>
      </c>
      <c r="FA9" s="133" t="n">
        <f aca="false">IF(OR(FA$4="",$B9=""),0,SUMIF('DADOS BRUTOS'!$A$3:$A$500,$B9,'DADOS BRUTOS'!CA$3:CA$500)+IF($C9="",0,SUMIF('DADOS BRUTOS'!$A$3:$A$500,$C9,'DADOS BRUTOS'!CA$3:CA$500)))</f>
        <v>0</v>
      </c>
      <c r="FB9" s="133" t="n">
        <f aca="false">IF(OR(FB$4="",$B9=""),0,SUMIF('DADOS BRUTOS'!$A$3:$A$500,$B9,'DADOS BRUTOS'!CB$3:CB$500)+IF($C9="",0,SUMIF('DADOS BRUTOS'!$A$3:$A$500,$C9,'DADOS BRUTOS'!CB$3:CB$500)))</f>
        <v>0</v>
      </c>
      <c r="FC9" s="133" t="n">
        <f aca="false">IF(OR(FC$4="",$B9=""),0,SUMIF('DADOS BRUTOS'!$A$3:$A$500,$B9,'DADOS BRUTOS'!CC$3:CC$500)+IF($C9="",0,SUMIF('DADOS BRUTOS'!$A$3:$A$500,$C9,'DADOS BRUTOS'!CC$3:CC$500)))</f>
        <v>0</v>
      </c>
      <c r="FD9" s="133" t="n">
        <f aca="false">IF(OR(FD$4="",$B9=""),0,SUMIF('DADOS BRUTOS'!$A$3:$A$500,$B9,'DADOS BRUTOS'!CD$3:CD$500)+IF($C9="",0,SUMIF('DADOS BRUTOS'!$A$3:$A$500,$C9,'DADOS BRUTOS'!CD$3:CD$500)))</f>
        <v>0</v>
      </c>
      <c r="FE9" s="133" t="n">
        <f aca="false">IF(OR(FE$4="",$B9=""),0,SUMIF('DADOS BRUTOS'!$A$3:$A$500,$B9,'DADOS BRUTOS'!CE$3:CE$500)+IF($C9="",0,SUMIF('DADOS BRUTOS'!$A$3:$A$500,$C9,'DADOS BRUTOS'!CE$3:CE$500)))</f>
        <v>0</v>
      </c>
      <c r="FF9" s="133" t="n">
        <f aca="false">IF(OR(FF$4="",$B9=""),0,SUMIF('DADOS BRUTOS'!$A$3:$A$500,$B9,'DADOS BRUTOS'!CF$3:CF$500)+IF($C9="",0,SUMIF('DADOS BRUTOS'!$A$3:$A$500,$C9,'DADOS BRUTOS'!CF$3:CF$500)))</f>
        <v>0</v>
      </c>
      <c r="FG9" s="133" t="n">
        <f aca="false">IF(OR(FG$4="",$B9=""),0,SUMIF('DADOS BRUTOS'!$A$3:$A$500,$B9,'DADOS BRUTOS'!CG$3:CG$500)+IF($C9="",0,SUMIF('DADOS BRUTOS'!$A$3:$A$500,$C9,'DADOS BRUTOS'!CG$3:CG$500)))</f>
        <v>0</v>
      </c>
      <c r="FH9" s="133" t="n">
        <f aca="false">IF(OR(FH$4="",$B9=""),0,SUMIF('DADOS BRUTOS'!$A$3:$A$500,$B9,'DADOS BRUTOS'!CH$3:CH$500)+IF($C9="",0,SUMIF('DADOS BRUTOS'!$A$3:$A$500,$C9,'DADOS BRUTOS'!CH$3:CH$500)))</f>
        <v>0</v>
      </c>
      <c r="FI9" s="133" t="n">
        <f aca="false">IF(OR(FI$4="",$B9=""),0,SUMIF('DADOS BRUTOS'!$A$3:$A$500,$B9,'DADOS BRUTOS'!CI$3:CI$500)+IF($C9="",0,SUMIF('DADOS BRUTOS'!$A$3:$A$500,$C9,'DADOS BRUTOS'!CI$3:CI$500)))</f>
        <v>0</v>
      </c>
      <c r="FJ9" s="133" t="n">
        <f aca="false">IF(OR(FJ$4="",$B9=""),0,SUMIF('DADOS BRUTOS'!$A$3:$A$500,$B9,'DADOS BRUTOS'!CJ$3:CJ$500)+IF($C9="",0,SUMIF('DADOS BRUTOS'!$A$3:$A$500,$C9,'DADOS BRUTOS'!CJ$3:CJ$500)))</f>
        <v>0</v>
      </c>
      <c r="FK9" s="133" t="n">
        <f aca="false">IF(OR(FK$4="",$B9=""),0,SUMIF('DADOS BRUTOS'!$A$3:$A$500,$B9,'DADOS BRUTOS'!CK$3:CK$500)+IF($C9="",0,SUMIF('DADOS BRUTOS'!$A$3:$A$500,$C9,'DADOS BRUTOS'!CK$3:CK$500)))</f>
        <v>0</v>
      </c>
      <c r="FL9" s="133" t="n">
        <f aca="false">IF(OR(FL$4="",$B9=""),0,SUMIF('DADOS BRUTOS'!$A$3:$A$500,$B9,'DADOS BRUTOS'!CL$3:CL$500)+IF($C9="",0,SUMIF('DADOS BRUTOS'!$A$3:$A$500,$C9,'DADOS BRUTOS'!CL$3:CL$500)))</f>
        <v>0</v>
      </c>
      <c r="FM9" s="133" t="n">
        <f aca="false">IF(OR(FM$4="",$B9=""),0,SUMIF('DADOS BRUTOS'!$A$3:$A$500,$B9,'DADOS BRUTOS'!CM$3:CM$500)+IF($C9="",0,SUMIF('DADOS BRUTOS'!$A$3:$A$500,$C9,'DADOS BRUTOS'!CM$3:CM$500)))</f>
        <v>0</v>
      </c>
      <c r="FN9" s="133" t="n">
        <f aca="false">IF(OR(FN$4="",$B9=""),0,SUMIF('DADOS BRUTOS'!$A$3:$A$500,$B9,'DADOS BRUTOS'!CN$3:CN$500)+IF($C9="",0,SUMIF('DADOS BRUTOS'!$A$3:$A$500,$C9,'DADOS BRUTOS'!CN$3:CN$500)))</f>
        <v>0</v>
      </c>
      <c r="FO9" s="133" t="n">
        <f aca="false">IF(OR(FO$4="",$B9=""),0,SUMIF('DADOS BRUTOS'!$A$3:$A$500,$B9,'DADOS BRUTOS'!CO$3:CO$500)+IF($C9="",0,SUMIF('DADOS BRUTOS'!$A$3:$A$500,$C9,'DADOS BRUTOS'!CO$3:CO$500)))</f>
        <v>0</v>
      </c>
      <c r="FP9" s="133" t="n">
        <f aca="false">IF(OR(FP$4="",$B9=""),0,SUMIF('DADOS BRUTOS'!$A$3:$A$500,$B9,'DADOS BRUTOS'!CP$3:CP$500)+IF($C9="",0,SUMIF('DADOS BRUTOS'!$A$3:$A$500,$C9,'DADOS BRUTOS'!CP$3:CP$500)))</f>
        <v>0</v>
      </c>
      <c r="FQ9" s="133" t="n">
        <f aca="false">IF(OR(FQ$4="",$B9=""),0,SUMIF('DADOS BRUTOS'!$A$3:$A$500,$B9,'DADOS BRUTOS'!CQ$3:CQ$500)+IF($C9="",0,SUMIF('DADOS BRUTOS'!$A$3:$A$500,$C9,'DADOS BRUTOS'!CQ$3:CQ$500)))</f>
        <v>0</v>
      </c>
      <c r="FR9" s="133" t="n">
        <f aca="false">IF(OR(FR$4="",$B9=""),0,SUMIF('DADOS BRUTOS'!$A$3:$A$500,$B9,'DADOS BRUTOS'!CR$3:CR$500)+IF($C9="",0,SUMIF('DADOS BRUTOS'!$A$3:$A$500,$C9,'DADOS BRUTOS'!CR$3:CR$500)))</f>
        <v>0</v>
      </c>
      <c r="FS9" s="133" t="n">
        <f aca="false">IF(OR(FS$4="",$B9=""),0,SUMIF('DADOS BRUTOS'!$A$3:$A$500,$B9,'DADOS BRUTOS'!CS$3:CS$500)+IF($C9="",0,SUMIF('DADOS BRUTOS'!$A$3:$A$500,$C9,'DADOS BRUTOS'!CS$3:CS$500)))</f>
        <v>0</v>
      </c>
      <c r="FT9" s="133" t="n">
        <f aca="false">IF(OR(FT$4="",$B9=""),0,SUMIF('DADOS BRUTOS'!$A$3:$A$500,$B9,'DADOS BRUTOS'!CT$3:CT$500)+IF($C9="",0,SUMIF('DADOS BRUTOS'!$A$3:$A$500,$C9,'DADOS BRUTOS'!CT$3:CT$500)))</f>
        <v>0</v>
      </c>
      <c r="FU9" s="133" t="n">
        <f aca="false">IF(OR(FU$4="",$B9=""),0,SUMIF('DADOS BRUTOS'!$A$3:$A$500,$B9,'DADOS BRUTOS'!CU$3:CU$500)+IF($C9="",0,SUMIF('DADOS BRUTOS'!$A$3:$A$500,$C9,'DADOS BRUTOS'!CU$3:CU$500)))</f>
        <v>0</v>
      </c>
      <c r="FV9" s="133" t="n">
        <f aca="false">IF(OR(FV$4="",$B9=""),0,SUMIF('DADOS BRUTOS'!$A$3:$A$500,$B9,'DADOS BRUTOS'!CV$3:CV$500)+IF($C9="",0,SUMIF('DADOS BRUTOS'!$A$3:$A$500,$C9,'DADOS BRUTOS'!CV$3:CV$500)))</f>
        <v>0</v>
      </c>
      <c r="FW9" s="133" t="n">
        <f aca="false">IF(OR(FW$4="",$B9=""),0,SUMIF('DADOS BRUTOS'!$A$3:$A$500,$B9,'DADOS BRUTOS'!CW$3:CW$500)+IF($C9="",0,SUMIF('DADOS BRUTOS'!$A$3:$A$500,$C9,'DADOS BRUTOS'!CW$3:CW$500)))</f>
        <v>0</v>
      </c>
      <c r="FX9" s="133" t="n">
        <f aca="false">IF(OR(FX$4="",$B9=""),0,SUMIF('DADOS BRUTOS'!$A$3:$A$500,$B9,'DADOS BRUTOS'!CX$3:CX$500)+IF($C9="",0,SUMIF('DADOS BRUTOS'!$A$3:$A$500,$C9,'DADOS BRUTOS'!CX$3:CX$500)))</f>
        <v>0</v>
      </c>
      <c r="FY9" s="133" t="n">
        <f aca="false">IF(OR(FY$4="",$B9=""),0,SUMIF('DADOS BRUTOS'!$A$3:$A$500,$B9,'DADOS BRUTOS'!CY$3:CY$500)+IF($C9="",0,SUMIF('DADOS BRUTOS'!$A$3:$A$500,$C9,'DADOS BRUTOS'!CY$3:CY$500)))</f>
        <v>0</v>
      </c>
      <c r="FZ9" s="133" t="n">
        <f aca="false">IF(OR(FZ$4="",$B9=""),0,SUMIF('DADOS BRUTOS'!$A$3:$A$500,$B9,'DADOS BRUTOS'!CZ$3:CZ$500)+IF($C9="",0,SUMIF('DADOS BRUTOS'!$A$3:$A$500,$C9,'DADOS BRUTOS'!CZ$3:CZ$500)))</f>
        <v>0</v>
      </c>
      <c r="GA9" s="133" t="n">
        <f aca="false">IF(OR(GA$4="",$B9=""),0,SUMIF('DADOS BRUTOS'!$A$3:$A$500,$B9,'DADOS BRUTOS'!DA$3:DA$500)+IF($C9="",0,SUMIF('DADOS BRUTOS'!$A$3:$A$500,$C9,'DADOS BRUTOS'!DA$3:DA$500)))</f>
        <v>0</v>
      </c>
      <c r="GB9" s="133" t="n">
        <f aca="false">IF(OR(GB$4="",$B9=""),0,SUMIF('DADOS BRUTOS'!$A$3:$A$500,$B9,'DADOS BRUTOS'!DB$3:DB$500)+IF($C9="",0,SUMIF('DADOS BRUTOS'!$A$3:$A$500,$C9,'DADOS BRUTOS'!DB$3:DB$500)))</f>
        <v>0</v>
      </c>
      <c r="GC9" s="133" t="n">
        <f aca="false">IF(OR(GC$4="",$B9=""),0,SUMIF('DADOS BRUTOS'!$A$3:$A$500,$B9,'DADOS BRUTOS'!DC$3:DC$500)+IF($C9="",0,SUMIF('DADOS BRUTOS'!$A$3:$A$500,$C9,'DADOS BRUTOS'!DC$3:DC$500)))</f>
        <v>0</v>
      </c>
      <c r="GD9" s="133" t="n">
        <f aca="false">IF(OR(GD$4="",$B9=""),0,SUMIF('DADOS BRUTOS'!$A$3:$A$500,$B9,'DADOS BRUTOS'!DD$3:DD$500)+IF($C9="",0,SUMIF('DADOS BRUTOS'!$A$3:$A$500,$C9,'DADOS BRUTOS'!DD$3:DD$500)))</f>
        <v>0</v>
      </c>
      <c r="GE9" s="133" t="n">
        <f aca="false">IF(OR(GE$4="",$B9=""),0,SUMIF('DADOS BRUTOS'!$A$3:$A$500,$B9,'DADOS BRUTOS'!DE$3:DE$500)+IF($C9="",0,SUMIF('DADOS BRUTOS'!$A$3:$A$500,$C9,'DADOS BRUTOS'!DE$3:DE$500)))</f>
        <v>0</v>
      </c>
      <c r="GF9" s="133" t="n">
        <f aca="false">IF(OR(GF$4="",$B9=""),0,SUMIF('DADOS BRUTOS'!$A$3:$A$500,$B9,'DADOS BRUTOS'!DF$3:DF$500)+IF($C9="",0,SUMIF('DADOS BRUTOS'!$A$3:$A$500,$C9,'DADOS BRUTOS'!DF$3:DF$500)))</f>
        <v>0</v>
      </c>
      <c r="GG9" s="133" t="n">
        <f aca="false">IF(OR(GG$4="",$B9=""),0,SUMIF('DADOS BRUTOS'!$A$3:$A$500,$B9,'DADOS BRUTOS'!DG$3:DG$500)+IF($C9="",0,SUMIF('DADOS BRUTOS'!$A$3:$A$500,$C9,'DADOS BRUTOS'!DG$3:DG$500)))</f>
        <v>0</v>
      </c>
      <c r="GH9" s="133" t="n">
        <f aca="false">IF(OR(GH$4="",$B9=""),0,SUMIF('DADOS BRUTOS'!$A$3:$A$500,$B9,'DADOS BRUTOS'!DH$3:DH$500)+IF($C9="",0,SUMIF('DADOS BRUTOS'!$A$3:$A$500,$C9,'DADOS BRUTOS'!DH$3:DH$500)))</f>
        <v>0</v>
      </c>
      <c r="GI9" s="133" t="n">
        <f aca="false">IF(OR(GI$4="",$B9=""),0,SUMIF('DADOS BRUTOS'!$A$3:$A$500,$B9,'DADOS BRUTOS'!DI$3:DI$500)+IF($C9="",0,SUMIF('DADOS BRUTOS'!$A$3:$A$500,$C9,'DADOS BRUTOS'!DI$3:DI$500)))</f>
        <v>0</v>
      </c>
      <c r="GJ9" s="133" t="n">
        <f aca="false">IF(OR(GJ$4="",$B9=""),0,SUMIF('DADOS BRUTOS'!$A$3:$A$500,$B9,'DADOS BRUTOS'!DJ$3:DJ$500)+IF($C9="",0,SUMIF('DADOS BRUTOS'!$A$3:$A$500,$C9,'DADOS BRUTOS'!DJ$3:DJ$500)))</f>
        <v>0</v>
      </c>
      <c r="GK9" s="133" t="n">
        <f aca="false">IF(OR(GK$4="",$B9=""),0,SUMIF('DADOS BRUTOS'!$A$3:$A$500,$B9,'DADOS BRUTOS'!DK$3:DK$500)+IF($C9="",0,SUMIF('DADOS BRUTOS'!$A$3:$A$500,$C9,'DADOS BRUTOS'!DK$3:DK$500)))</f>
        <v>0</v>
      </c>
      <c r="GL9" s="133" t="n">
        <f aca="false">IF(OR(GL$4="",$B9=""),0,SUMIF('DADOS BRUTOS'!$A$3:$A$500,$B9,'DADOS BRUTOS'!DL$3:DL$500)+IF($C9="",0,SUMIF('DADOS BRUTOS'!$A$3:$A$500,$C9,'DADOS BRUTOS'!DL$3:DL$500)))</f>
        <v>0</v>
      </c>
      <c r="GM9" s="133" t="n">
        <f aca="false">IF(OR(GM$4="",$B9=""),0,SUMIF('DADOS BRUTOS'!$A$3:$A$500,$B9,'DADOS BRUTOS'!DM$3:DM$500)+IF($C9="",0,SUMIF('DADOS BRUTOS'!$A$3:$A$500,$C9,'DADOS BRUTOS'!DM$3:DM$500)))</f>
        <v>0</v>
      </c>
      <c r="GN9" s="133" t="n">
        <f aca="false">IF(OR(GN$4="",$B9=""),0,SUMIF('DADOS BRUTOS'!$A$3:$A$500,$B9,'DADOS BRUTOS'!DN$3:DN$500)+IF($C9="",0,SUMIF('DADOS BRUTOS'!$A$3:$A$500,$C9,'DADOS BRUTOS'!DN$3:DN$500)))</f>
        <v>0</v>
      </c>
      <c r="GO9" s="133" t="n">
        <f aca="false">IF(OR(GO$4="",$B9=""),0,SUMIF('DADOS BRUTOS'!$A$3:$A$500,$B9,'DADOS BRUTOS'!DO$3:DO$500)+IF($C9="",0,SUMIF('DADOS BRUTOS'!$A$3:$A$500,$C9,'DADOS BRUTOS'!DO$3:DO$500)))</f>
        <v>0</v>
      </c>
      <c r="GP9" s="133" t="n">
        <f aca="false">IF(OR(GP$4="",$B9=""),0,SUMIF('DADOS BRUTOS'!$A$3:$A$500,$B9,'DADOS BRUTOS'!DP$3:DP$500)+IF($C9="",0,SUMIF('DADOS BRUTOS'!$A$3:$A$500,$C9,'DADOS BRUTOS'!DP$3:DP$500)))</f>
        <v>0</v>
      </c>
      <c r="GQ9" s="133" t="n">
        <f aca="false">IF(OR(GQ$4="",$B9=""),0,SUMIF('DADOS BRUTOS'!$A$3:$A$500,$B9,'DADOS BRUTOS'!DQ$3:DQ$500)+IF($C9="",0,SUMIF('DADOS BRUTOS'!$A$3:$A$500,$C9,'DADOS BRUTOS'!DQ$3:DQ$500)))</f>
        <v>0</v>
      </c>
      <c r="GR9" s="133" t="n">
        <f aca="false">IF(OR(GR$4="",$B9=""),0,SUMIF('DADOS BRUTOS'!$A$3:$A$500,$B9,'DADOS BRUTOS'!DR$3:DR$500)+IF($C9="",0,SUMIF('DADOS BRUTOS'!$A$3:$A$500,$C9,'DADOS BRUTOS'!DR$3:DR$500)))</f>
        <v>0</v>
      </c>
      <c r="GS9" s="133" t="n">
        <f aca="false">IF(OR(GS$4="",$B9=""),0,SUMIF('DADOS BRUTOS'!$A$3:$A$500,$B9,'DADOS BRUTOS'!DS$3:DS$500)+IF($C9="",0,SUMIF('DADOS BRUTOS'!$A$3:$A$500,$C9,'DADOS BRUTOS'!DS$3:DS$500)))</f>
        <v>0</v>
      </c>
      <c r="GT9" s="133" t="n">
        <f aca="false">IF(OR(GT$4="",$B9=""),0,SUMIF('DADOS BRUTOS'!$A$3:$A$500,$B9,'DADOS BRUTOS'!DT$3:DT$500)+IF($C9="",0,SUMIF('DADOS BRUTOS'!$A$3:$A$500,$C9,'DADOS BRUTOS'!DT$3:DT$500)))</f>
        <v>0</v>
      </c>
      <c r="GU9" s="133" t="n">
        <f aca="false">IF(OR(GU$4="",$B9=""),0,SUMIF('DADOS BRUTOS'!$A$3:$A$500,$B9,'DADOS BRUTOS'!DU$3:DU$500)+IF($C9="",0,SUMIF('DADOS BRUTOS'!$A$3:$A$500,$C9,'DADOS BRUTOS'!DU$3:DU$500)))</f>
        <v>0</v>
      </c>
      <c r="GV9" s="133" t="n">
        <f aca="false">IF(OR(GV$4="",$B9=""),0,SUMIF('DADOS BRUTOS'!$A$3:$A$500,$B9,'DADOS BRUTOS'!DV$3:DV$500)+IF($C9="",0,SUMIF('DADOS BRUTOS'!$A$3:$A$500,$C9,'DADOS BRUTOS'!DV$3:DV$500)))</f>
        <v>0</v>
      </c>
      <c r="GW9" s="133" t="n">
        <f aca="false">IF(OR(GW$4="",$B9=""),0,SUMIF('DADOS BRUTOS'!$A$3:$A$500,$B9,'DADOS BRUTOS'!DW$3:DW$500)+IF($C9="",0,SUMIF('DADOS BRUTOS'!$A$3:$A$500,$C9,'DADOS BRUTOS'!DW$3:DW$500)))</f>
        <v>0</v>
      </c>
      <c r="GX9" s="133" t="n">
        <f aca="false">IF(OR(GX$4="",$B9=""),0,SUMIF('DADOS BRUTOS'!$A$3:$A$500,$B9,'DADOS BRUTOS'!DX$3:DX$500)+IF($C9="",0,SUMIF('DADOS BRUTOS'!$A$3:$A$500,$C9,'DADOS BRUTOS'!DX$3:DX$500)))</f>
        <v>0</v>
      </c>
      <c r="GY9" s="133" t="n">
        <f aca="false">IF(OR(GY$4="",$B9=""),0,SUMIF('DADOS BRUTOS'!$A$3:$A$500,$B9,'DADOS BRUTOS'!DY$3:DY$500)+IF($C9="",0,SUMIF('DADOS BRUTOS'!$A$3:$A$500,$C9,'DADOS BRUTOS'!DY$3:DY$500)))</f>
        <v>0</v>
      </c>
      <c r="GZ9" s="133" t="n">
        <f aca="false">IF(OR(GZ$4="",$B9=""),0,SUMIF('DADOS BRUTOS'!$A$3:$A$500,$B9,'DADOS BRUTOS'!DZ$3:DZ$500)+IF($C9="",0,SUMIF('DADOS BRUTOS'!$A$3:$A$500,$C9,'DADOS BRUTOS'!DZ$3:DZ$500)))</f>
        <v>0</v>
      </c>
      <c r="HA9" s="133" t="n">
        <f aca="false">IF(OR(HA$4="",$B9=""),0,SUMIF('DADOS BRUTOS'!$A$3:$A$500,$B9,'DADOS BRUTOS'!EA$3:EA$500)+IF($C9="",0,SUMIF('DADOS BRUTOS'!$A$3:$A$500,$C9,'DADOS BRUTOS'!EA$3:EA$500)))</f>
        <v>0</v>
      </c>
      <c r="HB9" s="133" t="n">
        <f aca="false">IF(OR(HB$4="",$B9=""),0,SUMIF('DADOS BRUTOS'!$A$3:$A$500,$B9,'DADOS BRUTOS'!EB$3:EB$500)+IF($C9="",0,SUMIF('DADOS BRUTOS'!$A$3:$A$500,$C9,'DADOS BRUTOS'!EB$3:EB$500)))</f>
        <v>0</v>
      </c>
      <c r="HC9" s="133" t="n">
        <f aca="false">IF(OR(HC$4="",$B9=""),0,SUMIF('DADOS BRUTOS'!$A$3:$A$500,$B9,'DADOS BRUTOS'!EC$3:EC$500)+IF($C9="",0,SUMIF('DADOS BRUTOS'!$A$3:$A$500,$C9,'DADOS BRUTOS'!EC$3:EC$500)))</f>
        <v>0</v>
      </c>
      <c r="HD9" s="133" t="n">
        <f aca="false">IF(OR(HD$4="",$B9=""),0,SUMIF('DADOS BRUTOS'!$A$3:$A$500,$B9,'DADOS BRUTOS'!ED$3:ED$500)+IF($C9="",0,SUMIF('DADOS BRUTOS'!$A$3:$A$500,$C9,'DADOS BRUTOS'!ED$3:ED$500)))</f>
        <v>0</v>
      </c>
      <c r="HE9" s="133" t="n">
        <f aca="false">IF(OR(HE$4="",$B9=""),0,SUMIF('DADOS BRUTOS'!$A$3:$A$500,$B9,'DADOS BRUTOS'!EE$3:EE$500)+IF($C9="",0,SUMIF('DADOS BRUTOS'!$A$3:$A$500,$C9,'DADOS BRUTOS'!EE$3:EE$500)))</f>
        <v>0</v>
      </c>
      <c r="HF9" s="133" t="n">
        <f aca="false">IF(OR(HF$4="",$B9=""),0,SUMIF('DADOS BRUTOS'!$A$3:$A$500,$B9,'DADOS BRUTOS'!EF$3:EF$500)+IF($C9="",0,SUMIF('DADOS BRUTOS'!$A$3:$A$500,$C9,'DADOS BRUTOS'!EF$3:EF$500)))</f>
        <v>0</v>
      </c>
      <c r="HG9" s="133" t="n">
        <f aca="false">IF(OR(HG$4="",$B9=""),0,SUMIF('DADOS BRUTOS'!$A$3:$A$500,$B9,'DADOS BRUTOS'!EG$3:EG$500)+IF($C9="",0,SUMIF('DADOS BRUTOS'!$A$3:$A$500,$C9,'DADOS BRUTOS'!EG$3:EG$500)))</f>
        <v>0</v>
      </c>
      <c r="HH9" s="133" t="n">
        <f aca="false">IF(OR(HH$4="",$B9=""),0,SUMIF('DADOS BRUTOS'!$A$3:$A$500,$B9,'DADOS BRUTOS'!EH$3:EH$500)+IF($C9="",0,SUMIF('DADOS BRUTOS'!$A$3:$A$500,$C9,'DADOS BRUTOS'!EH$3:EH$500)))</f>
        <v>0</v>
      </c>
      <c r="HI9" s="133" t="n">
        <f aca="false">IF(OR(HI$4="",$B9=""),0,SUMIF('DADOS BRUTOS'!$A$3:$A$500,$B9,'DADOS BRUTOS'!EI$3:EI$500)+IF($C9="",0,SUMIF('DADOS BRUTOS'!$A$3:$A$500,$C9,'DADOS BRUTOS'!EI$3:EI$500)))</f>
        <v>0</v>
      </c>
      <c r="HJ9" s="133" t="n">
        <f aca="false">IF(OR(HJ$4="",$B9=""),0,SUMIF('DADOS BRUTOS'!$A$3:$A$500,$B9,'DADOS BRUTOS'!EJ$3:EJ$500)+IF($C9="",0,SUMIF('DADOS BRUTOS'!$A$3:$A$500,$C9,'DADOS BRUTOS'!EJ$3:EJ$500)))</f>
        <v>0</v>
      </c>
      <c r="HK9" s="133" t="n">
        <f aca="false">IF(OR(HK$4="",$B9=""),0,SUMIF('DADOS BRUTOS'!$A$3:$A$500,$B9,'DADOS BRUTOS'!EK$3:EK$500)+IF($C9="",0,SUMIF('DADOS BRUTOS'!$A$3:$A$500,$C9,'DADOS BRUTOS'!EK$3:EK$500)))</f>
        <v>0</v>
      </c>
      <c r="HL9" s="133" t="n">
        <f aca="false">IF(OR(HL$4="",$B9=""),0,SUMIF('DADOS BRUTOS'!$A$3:$A$500,$B9,'DADOS BRUTOS'!EL$3:EL$500)+IF($C9="",0,SUMIF('DADOS BRUTOS'!$A$3:$A$500,$C9,'DADOS BRUTOS'!EL$3:EL$500)))</f>
        <v>0</v>
      </c>
      <c r="HM9" s="133" t="n">
        <f aca="false">IF(OR(HM$4="",$B9=""),0,SUMIF('DADOS BRUTOS'!$A$3:$A$500,$B9,'DADOS BRUTOS'!EM$3:EM$500)+IF($C9="",0,SUMIF('DADOS BRUTOS'!$A$3:$A$500,$C9,'DADOS BRUTOS'!EM$3:EM$500)))</f>
        <v>0</v>
      </c>
      <c r="HN9" s="133" t="n">
        <f aca="false">IF(OR(HN$4="",$B9=""),0,SUMIF('DADOS BRUTOS'!$A$3:$A$500,$B9,'DADOS BRUTOS'!EN$3:EN$500)+IF($C9="",0,SUMIF('DADOS BRUTOS'!$A$3:$A$500,$C9,'DADOS BRUTOS'!EN$3:EN$500)))</f>
        <v>0</v>
      </c>
      <c r="HO9" s="133" t="n">
        <f aca="false">IF(OR(HO$4="",$B9=""),0,SUMIF('DADOS BRUTOS'!$A$3:$A$500,$B9,'DADOS BRUTOS'!EO$3:EO$500)+IF($C9="",0,SUMIF('DADOS BRUTOS'!$A$3:$A$500,$C9,'DADOS BRUTOS'!EO$3:EO$500)))</f>
        <v>0</v>
      </c>
      <c r="HP9" s="133" t="n">
        <f aca="false">IF(OR(HP$4="",$B9=""),0,SUMIF('DADOS BRUTOS'!$A$3:$A$500,$B9,'DADOS BRUTOS'!EP$3:EP$500)+IF($C9="",0,SUMIF('DADOS BRUTOS'!$A$3:$A$500,$C9,'DADOS BRUTOS'!EP$3:EP$500)))</f>
        <v>0</v>
      </c>
      <c r="HQ9" s="133" t="n">
        <f aca="false">IF(OR(HQ$4="",$B9=""),0,SUMIF('DADOS BRUTOS'!$A$3:$A$500,$B9,'DADOS BRUTOS'!EQ$3:EQ$500)+IF($C9="",0,SUMIF('DADOS BRUTOS'!$A$3:$A$500,$C9,'DADOS BRUTOS'!EQ$3:EQ$500)))</f>
        <v>0</v>
      </c>
      <c r="HR9" s="133" t="n">
        <f aca="false">IF(OR(HR$4="",$B9=""),0,SUMIF('DADOS BRUTOS'!$A$3:$A$500,$B9,'DADOS BRUTOS'!ER$3:ER$500)+IF($C9="",0,SUMIF('DADOS BRUTOS'!$A$3:$A$500,$C9,'DADOS BRUTOS'!ER$3:ER$500)))</f>
        <v>0</v>
      </c>
      <c r="HS9" s="133" t="n">
        <f aca="false">IF(OR(HS$4="",$B9=""),0,SUMIF('DADOS BRUTOS'!$A$3:$A$500,$B9,'DADOS BRUTOS'!ES$3:ES$500)+IF($C9="",0,SUMIF('DADOS BRUTOS'!$A$3:$A$500,$C9,'DADOS BRUTOS'!ES$3:ES$500)))</f>
        <v>0</v>
      </c>
      <c r="HT9" s="133" t="n">
        <f aca="false">IF(OR(HT$4="",$B9=""),0,SUMIF('DADOS BRUTOS'!$A$3:$A$500,$B9,'DADOS BRUTOS'!ET$3:ET$500)+IF($C9="",0,SUMIF('DADOS BRUTOS'!$A$3:$A$500,$C9,'DADOS BRUTOS'!ET$3:ET$500)))</f>
        <v>0</v>
      </c>
      <c r="HU9" s="133" t="n">
        <f aca="false">IF(OR(HU$4="",$B9=""),0,SUMIF('DADOS BRUTOS'!$A$3:$A$500,$B9,'DADOS BRUTOS'!EU$3:EU$500)+IF($C9="",0,SUMIF('DADOS BRUTOS'!$A$3:$A$500,$C9,'DADOS BRUTOS'!EU$3:EU$500)))</f>
        <v>0</v>
      </c>
      <c r="HV9" s="133" t="n">
        <f aca="false">IF(OR(HV$4="",$B9=""),0,SUMIF('DADOS BRUTOS'!$A$3:$A$500,$B9,'DADOS BRUTOS'!EV$3:EV$500)+IF($C9="",0,SUMIF('DADOS BRUTOS'!$A$3:$A$500,$C9,'DADOS BRUTOS'!EV$3:EV$500)))</f>
        <v>0</v>
      </c>
      <c r="HW9" s="133" t="n">
        <f aca="false">IF(OR(HW$4="",$B9=""),0,SUMIF('DADOS BRUTOS'!$A$3:$A$500,$B9,'DADOS BRUTOS'!EW$3:EW$500)+IF($C9="",0,SUMIF('DADOS BRUTOS'!$A$3:$A$500,$C9,'DADOS BRUTOS'!EW$3:EW$500)))</f>
        <v>0</v>
      </c>
      <c r="HX9" s="133" t="n">
        <f aca="false">IF(OR(HX$4="",$B9=""),0,SUMIF('DADOS BRUTOS'!$A$3:$A$500,$B9,'DADOS BRUTOS'!EX$3:EX$500)+IF($C9="",0,SUMIF('DADOS BRUTOS'!$A$3:$A$500,$C9,'DADOS BRUTOS'!EX$3:EX$500)))</f>
        <v>0</v>
      </c>
      <c r="HY9" s="133" t="n">
        <f aca="false">IF(OR(HY$4="",$B9=""),0,SUMIF('DADOS BRUTOS'!$A$3:$A$500,$B9,'DADOS BRUTOS'!EY$3:EY$500)+IF($C9="",0,SUMIF('DADOS BRUTOS'!$A$3:$A$500,$C9,'DADOS BRUTOS'!EY$3:EY$500)))</f>
        <v>0</v>
      </c>
      <c r="HZ9" s="133" t="n">
        <f aca="false">IF(OR(HZ$4="",$B9=""),0,SUMIF('DADOS BRUTOS'!$A$3:$A$500,$B9,'DADOS BRUTOS'!EZ$3:EZ$500)+IF($C9="",0,SUMIF('DADOS BRUTOS'!$A$3:$A$500,$C9,'DADOS BRUTOS'!EZ$3:EZ$500)))</f>
        <v>0</v>
      </c>
      <c r="IA9" s="133" t="n">
        <f aca="false">IF(OR(IA$4="",$B9=""),0,SUMIF('DADOS BRUTOS'!$A$3:$A$500,$B9,'DADOS BRUTOS'!FA$3:FA$500)+IF($C9="",0,SUMIF('DADOS BRUTOS'!$A$3:$A$500,$C9,'DADOS BRUTOS'!FA$3:FA$500)))</f>
        <v>0</v>
      </c>
      <c r="IB9" s="133" t="n">
        <f aca="false">IF(OR(IB$4="",$B9=""),0,SUMIF('DADOS BRUTOS'!$A$3:$A$500,$B9,'DADOS BRUTOS'!FB$3:FB$500)+IF($C9="",0,SUMIF('DADOS BRUTOS'!$A$3:$A$500,$C9,'DADOS BRUTOS'!FB$3:FB$500)))</f>
        <v>0</v>
      </c>
      <c r="IC9" s="133" t="n">
        <f aca="false">IF(OR(IC$4="",$B9=""),0,SUMIF('DADOS BRUTOS'!$A$3:$A$500,$B9,'DADOS BRUTOS'!FC$3:FC$500)+IF($C9="",0,SUMIF('DADOS BRUTOS'!$A$3:$A$500,$C9,'DADOS BRUTOS'!FC$3:FC$500)))</f>
        <v>0</v>
      </c>
      <c r="ID9" s="133" t="n">
        <f aca="false">IF(OR(ID$4="",$B9=""),0,SUMIF('DADOS BRUTOS'!$A$3:$A$500,$B9,'DADOS BRUTOS'!FD$3:FD$500)+IF($C9="",0,SUMIF('DADOS BRUTOS'!$A$3:$A$500,$C9,'DADOS BRUTOS'!FD$3:FD$500)))</f>
        <v>0</v>
      </c>
      <c r="IE9" s="133" t="n">
        <f aca="false">IF(OR(IE$4="",$B9=""),0,SUMIF('DADOS BRUTOS'!$A$3:$A$500,$B9,'DADOS BRUTOS'!FE$3:FE$500)+IF($C9="",0,SUMIF('DADOS BRUTOS'!$A$3:$A$500,$C9,'DADOS BRUTOS'!FE$3:FE$500)))</f>
        <v>0</v>
      </c>
      <c r="IF9" s="133" t="n">
        <f aca="false">IF(OR(IF$4="",$B9=""),0,SUMIF('DADOS BRUTOS'!$A$3:$A$500,$B9,'DADOS BRUTOS'!FF$3:FF$500)+IF($C9="",0,SUMIF('DADOS BRUTOS'!$A$3:$A$500,$C9,'DADOS BRUTOS'!FF$3:FF$500)))</f>
        <v>0</v>
      </c>
      <c r="IG9" s="133" t="n">
        <f aca="false">IF(OR(IG$4="",$B9=""),0,SUMIF('DADOS BRUTOS'!$A$3:$A$500,$B9,'DADOS BRUTOS'!FG$3:FG$500)+IF($C9="",0,SUMIF('DADOS BRUTOS'!$A$3:$A$500,$C9,'DADOS BRUTOS'!FG$3:FG$500)))</f>
        <v>0</v>
      </c>
      <c r="IH9" s="133" t="n">
        <f aca="false">IF(OR(IH$4="",$B9=""),0,SUMIF('DADOS BRUTOS'!$A$3:$A$500,$B9,'DADOS BRUTOS'!FH$3:FH$500)+IF($C9="",0,SUMIF('DADOS BRUTOS'!$A$3:$A$500,$C9,'DADOS BRUTOS'!FH$3:FH$500)))</f>
        <v>0</v>
      </c>
      <c r="II9" s="133" t="n">
        <f aca="false">IF(OR(II$4="",$B9=""),0,SUMIF('DADOS BRUTOS'!$A$3:$A$500,$B9,'DADOS BRUTOS'!FI$3:FI$500)+IF($C9="",0,SUMIF('DADOS BRUTOS'!$A$3:$A$500,$C9,'DADOS BRUTOS'!FI$3:FI$500)))</f>
        <v>0</v>
      </c>
      <c r="IJ9" s="133" t="n">
        <f aca="false">IF(OR(IJ$4="",$B9=""),0,SUMIF('DADOS BRUTOS'!$A$3:$A$500,$B9,'DADOS BRUTOS'!FJ$3:FJ$500)+IF($C9="",0,SUMIF('DADOS BRUTOS'!$A$3:$A$500,$C9,'DADOS BRUTOS'!FJ$3:FJ$500)))</f>
        <v>0</v>
      </c>
      <c r="IK9" s="133" t="n">
        <f aca="false">IF(OR(IK$4="",$B9=""),0,SUMIF('DADOS BRUTOS'!$A$3:$A$500,$B9,'DADOS BRUTOS'!FK$3:FK$500)+IF($C9="",0,SUMIF('DADOS BRUTOS'!$A$3:$A$500,$C9,'DADOS BRUTOS'!FK$3:FK$500)))</f>
        <v>0</v>
      </c>
      <c r="IL9" s="133" t="n">
        <f aca="false">IF(OR(IL$4="",$B9=""),0,SUMIF('DADOS BRUTOS'!$A$3:$A$500,$B9,'DADOS BRUTOS'!FL$3:FL$500)+IF($C9="",0,SUMIF('DADOS BRUTOS'!$A$3:$A$500,$C9,'DADOS BRUTOS'!FL$3:FL$500)))</f>
        <v>0</v>
      </c>
      <c r="IM9" s="133" t="n">
        <f aca="false">IF(OR(IM$4="",$B9=""),0,SUMIF('DADOS BRUTOS'!$A$3:$A$500,$B9,'DADOS BRUTOS'!FM$3:FM$500)+IF($C9="",0,SUMIF('DADOS BRUTOS'!$A$3:$A$500,$C9,'DADOS BRUTOS'!FM$3:FM$500)))</f>
        <v>0</v>
      </c>
      <c r="IN9" s="133" t="n">
        <f aca="false">IF(OR(IN$4="",$B9=""),0,SUMIF('DADOS BRUTOS'!$A$3:$A$500,$B9,'DADOS BRUTOS'!FN$3:FN$500)+IF($C9="",0,SUMIF('DADOS BRUTOS'!$A$3:$A$500,$C9,'DADOS BRUTOS'!FN$3:FN$500)))</f>
        <v>0</v>
      </c>
      <c r="IO9" s="133" t="n">
        <f aca="false">IF(OR(IO$4="",$B9=""),0,SUMIF('DADOS BRUTOS'!$A$3:$A$500,$B9,'DADOS BRUTOS'!FO$3:FO$500)+IF($C9="",0,SUMIF('DADOS BRUTOS'!$A$3:$A$500,$C9,'DADOS BRUTOS'!FO$3:FO$500)))</f>
        <v>0</v>
      </c>
      <c r="IP9" s="133" t="n">
        <f aca="false">IF(OR(IP$4="",$B9=""),0,SUMIF('DADOS BRUTOS'!$A$3:$A$500,$B9,'DADOS BRUTOS'!FP$3:FP$500)+IF($C9="",0,SUMIF('DADOS BRUTOS'!$A$3:$A$500,$C9,'DADOS BRUTOS'!FP$3:FP$500)))</f>
        <v>0</v>
      </c>
      <c r="IQ9" s="133" t="n">
        <f aca="false">IF(OR(IQ$4="",$B9=""),0,SUMIF('DADOS BRUTOS'!$A$3:$A$500,$B9,'DADOS BRUTOS'!FQ$3:FQ$500)+IF($C9="",0,SUMIF('DADOS BRUTOS'!$A$3:$A$500,$C9,'DADOS BRUTOS'!FQ$3:FQ$500)))</f>
        <v>0</v>
      </c>
      <c r="IR9" s="133" t="n">
        <f aca="false">IF(OR(IR$4="",$B9=""),0,SUMIF('DADOS BRUTOS'!$A$3:$A$500,$B9,'DADOS BRUTOS'!FR$3:FR$500)+IF($C9="",0,SUMIF('DADOS BRUTOS'!$A$3:$A$500,$C9,'DADOS BRUTOS'!FR$3:FR$500)))</f>
        <v>0</v>
      </c>
      <c r="IS9" s="133" t="n">
        <f aca="false">IF(OR(IS$4="",$B9=""),0,SUMIF('DADOS BRUTOS'!$A$3:$A$500,$B9,'DADOS BRUTOS'!FS$3:FS$500)+IF($C9="",0,SUMIF('DADOS BRUTOS'!$A$3:$A$500,$C9,'DADOS BRUTOS'!FS$3:FS$500)))</f>
        <v>0</v>
      </c>
      <c r="IT9" s="133" t="n">
        <f aca="false">IF(OR(IT$4="",$B9=""),0,SUMIF('DADOS BRUTOS'!$A$3:$A$500,$B9,'DADOS BRUTOS'!FT$3:FT$500)+IF($C9="",0,SUMIF('DADOS BRUTOS'!$A$3:$A$500,$C9,'DADOS BRUTOS'!FT$3:FT$500)))</f>
        <v>0</v>
      </c>
      <c r="IU9" s="133" t="n">
        <f aca="false">IF(OR(IU$4="",$B9=""),0,SUMIF('DADOS BRUTOS'!$A$3:$A$500,$B9,'DADOS BRUTOS'!FU$3:FU$500)+IF($C9="",0,SUMIF('DADOS BRUTOS'!$A$3:$A$500,$C9,'DADOS BRUTOS'!FU$3:FU$500)))</f>
        <v>0</v>
      </c>
      <c r="IV9" s="133" t="n">
        <f aca="false">IF(OR(IV$4="",$B9=""),0,SUMIF('DADOS BRUTOS'!$A$3:$A$500,$B9,'DADOS BRUTOS'!FV$3:FV$500)+IF($C9="",0,SUMIF('DADOS BRUTOS'!$A$3:$A$500,$C9,'DADOS BRUTOS'!FV$3:FV$500)))</f>
        <v>0</v>
      </c>
      <c r="IW9" s="133" t="n">
        <f aca="false">IF(OR(IW$4="",$B9=""),0,SUMIF('DADOS BRUTOS'!$A$3:$A$500,$B9,'DADOS BRUTOS'!FW$3:FW$500)+IF($C9="",0,SUMIF('DADOS BRUTOS'!$A$3:$A$500,$C9,'DADOS BRUTOS'!FW$3:FW$500)))</f>
        <v>0</v>
      </c>
      <c r="IX9" s="133" t="n">
        <f aca="false">IF(OR(IX$4="",$B9=""),0,SUMIF('DADOS BRUTOS'!$A$3:$A$500,$B9,'DADOS BRUTOS'!FX$3:FX$500)+IF($C9="",0,SUMIF('DADOS BRUTOS'!$A$3:$A$500,$C9,'DADOS BRUTOS'!FX$3:FX$500)))</f>
        <v>0</v>
      </c>
      <c r="IY9" s="133" t="n">
        <f aca="false">IF(OR(IY$4="",$B9=""),0,SUMIF('DADOS BRUTOS'!$A$3:$A$500,$B9,'DADOS BRUTOS'!FY$3:FY$500)+IF($C9="",0,SUMIF('DADOS BRUTOS'!$A$3:$A$500,$C9,'DADOS BRUTOS'!FY$3:FY$500)))</f>
        <v>0</v>
      </c>
      <c r="IZ9" s="133" t="n">
        <f aca="false">IF(OR(IZ$4="",$B9=""),0,SUMIF('DADOS BRUTOS'!$A$3:$A$500,$B9,'DADOS BRUTOS'!FZ$3:FZ$500)+IF($C9="",0,SUMIF('DADOS BRUTOS'!$A$3:$A$500,$C9,'DADOS BRUTOS'!FZ$3:FZ$500)))</f>
        <v>0</v>
      </c>
      <c r="JA9" s="133" t="n">
        <f aca="false">IF(OR(JA$4="",$B9=""),0,SUMIF('DADOS BRUTOS'!$A$3:$A$500,$B9,'DADOS BRUTOS'!GA$3:GA$500)+IF($C9="",0,SUMIF('DADOS BRUTOS'!$A$3:$A$500,$C9,'DADOS BRUTOS'!GA$3:GA$500)))</f>
        <v>0</v>
      </c>
      <c r="JB9" s="133" t="n">
        <f aca="false">IF(OR(JB$4="",$B9=""),0,SUMIF('DADOS BRUTOS'!$A$3:$A$500,$B9,'DADOS BRUTOS'!GB$3:GB$500)+IF($C9="",0,SUMIF('DADOS BRUTOS'!$A$3:$A$500,$C9,'DADOS BRUTOS'!GB$3:GB$500)))</f>
        <v>0</v>
      </c>
      <c r="JC9" s="133" t="n">
        <f aca="false">IF(OR(JC$4="",$B9=""),0,SUMIF('DADOS BRUTOS'!$A$3:$A$500,$B9,'DADOS BRUTOS'!GC$3:GC$500)+IF($C9="",0,SUMIF('DADOS BRUTOS'!$A$3:$A$500,$C9,'DADOS BRUTOS'!GC$3:GC$500)))</f>
        <v>0</v>
      </c>
      <c r="JD9" s="133" t="n">
        <f aca="false">IF(OR(JD$4="",$B9=""),0,SUMIF('DADOS BRUTOS'!$A$3:$A$500,$B9,'DADOS BRUTOS'!GD$3:GD$500)+IF($C9="",0,SUMIF('DADOS BRUTOS'!$A$3:$A$500,$C9,'DADOS BRUTOS'!GD$3:GD$500)))</f>
        <v>0</v>
      </c>
      <c r="JE9" s="133" t="n">
        <f aca="false">IF(OR(JE$4="",$B9=""),0,SUMIF('DADOS BRUTOS'!$A$3:$A$500,$B9,'DADOS BRUTOS'!GE$3:GE$500)+IF($C9="",0,SUMIF('DADOS BRUTOS'!$A$3:$A$500,$C9,'DADOS BRUTOS'!GE$3:GE$500)))</f>
        <v>0</v>
      </c>
      <c r="JF9" s="133" t="n">
        <f aca="false">IF(OR(JF$4="",$B9=""),0,SUMIF('DADOS BRUTOS'!$A$3:$A$500,$B9,'DADOS BRUTOS'!GF$3:GF$500)+IF($C9="",0,SUMIF('DADOS BRUTOS'!$A$3:$A$500,$C9,'DADOS BRUTOS'!GF$3:GF$500)))</f>
        <v>0</v>
      </c>
      <c r="JG9" s="133" t="n">
        <f aca="false">IF(OR(JG$4="",$B9=""),0,SUMIF('DADOS BRUTOS'!$A$3:$A$500,$B9,'DADOS BRUTOS'!GG$3:GG$500)+IF($C9="",0,SUMIF('DADOS BRUTOS'!$A$3:$A$500,$C9,'DADOS BRUTOS'!GG$3:GG$500)))</f>
        <v>0</v>
      </c>
      <c r="JH9" s="133" t="n">
        <f aca="false">IF(OR(JH$4="",$B9=""),0,SUMIF('DADOS BRUTOS'!$A$3:$A$500,$B9,'DADOS BRUTOS'!GH$3:GH$500)+IF($C9="",0,SUMIF('DADOS BRUTOS'!$A$3:$A$500,$C9,'DADOS BRUTOS'!GH$3:GH$500)))</f>
        <v>0</v>
      </c>
      <c r="JI9" s="133" t="n">
        <f aca="false">IF(OR(JI$4="",$B9=""),0,SUMIF('DADOS BRUTOS'!$A$3:$A$500,$B9,'DADOS BRUTOS'!GI$3:GI$500)+IF($C9="",0,SUMIF('DADOS BRUTOS'!$A$3:$A$500,$C9,'DADOS BRUTOS'!GI$3:GI$500)))</f>
        <v>0</v>
      </c>
      <c r="JJ9" s="133" t="n">
        <f aca="false">IF(OR(JJ$4="",$B9=""),0,SUMIF('DADOS BRUTOS'!$A$3:$A$500,$B9,'DADOS BRUTOS'!GJ$3:GJ$500)+IF($C9="",0,SUMIF('DADOS BRUTOS'!$A$3:$A$500,$C9,'DADOS BRUTOS'!GJ$3:GJ$500)))</f>
        <v>0</v>
      </c>
      <c r="JK9" s="133" t="n">
        <f aca="false">IF(OR(JK$4="",$B9=""),0,SUMIF('DADOS BRUTOS'!$A$3:$A$500,$B9,'DADOS BRUTOS'!GK$3:GK$500)+IF($C9="",0,SUMIF('DADOS BRUTOS'!$A$3:$A$500,$C9,'DADOS BRUTOS'!GK$3:GK$500)))</f>
        <v>0</v>
      </c>
      <c r="JL9" s="133" t="n">
        <f aca="false">IF(OR(JL$4="",$B9=""),0,SUMIF('DADOS BRUTOS'!$A$3:$A$500,$B9,'DADOS BRUTOS'!GL$3:GL$500)+IF($C9="",0,SUMIF('DADOS BRUTOS'!$A$3:$A$500,$C9,'DADOS BRUTOS'!GL$3:GL$500)))</f>
        <v>0</v>
      </c>
      <c r="JM9" s="133" t="n">
        <f aca="false">IF(OR(JM$4="",$B9=""),0,SUMIF('DADOS BRUTOS'!$A$3:$A$500,$B9,'DADOS BRUTOS'!GM$3:GM$500)+IF($C9="",0,SUMIF('DADOS BRUTOS'!$A$3:$A$500,$C9,'DADOS BRUTOS'!GM$3:GM$500)))</f>
        <v>0</v>
      </c>
      <c r="JN9" s="133" t="n">
        <f aca="false">IF(OR(JN$4="",$B9=""),0,SUMIF('DADOS BRUTOS'!$A$3:$A$500,$B9,'DADOS BRUTOS'!GN$3:GN$500)+IF($C9="",0,SUMIF('DADOS BRUTOS'!$A$3:$A$500,$C9,'DADOS BRUTOS'!GN$3:GN$500)))</f>
        <v>0</v>
      </c>
      <c r="JO9" s="133" t="n">
        <f aca="false">IF(OR(JO$4="",$B9=""),0,SUMIF('DADOS BRUTOS'!$A$3:$A$500,$B9,'DADOS BRUTOS'!GO$3:GO$500)+IF($C9="",0,SUMIF('DADOS BRUTOS'!$A$3:$A$500,$C9,'DADOS BRUTOS'!GO$3:GO$500)))</f>
        <v>0</v>
      </c>
      <c r="JP9" s="133" t="n">
        <f aca="false">IF(OR(JP$4="",$B9=""),0,SUMIF('DADOS BRUTOS'!$A$3:$A$500,$B9,'DADOS BRUTOS'!GP$3:GP$500)+IF($C9="",0,SUMIF('DADOS BRUTOS'!$A$3:$A$500,$C9,'DADOS BRUTOS'!GP$3:GP$500)))</f>
        <v>0</v>
      </c>
      <c r="JQ9" s="133" t="n">
        <f aca="false">IF(OR(JQ$4="",$B9=""),0,SUMIF('DADOS BRUTOS'!$A$3:$A$500,$B9,'DADOS BRUTOS'!GQ$3:GQ$500)+IF($C9="",0,SUMIF('DADOS BRUTOS'!$A$3:$A$500,$C9,'DADOS BRUTOS'!GQ$3:GQ$500)))</f>
        <v>0</v>
      </c>
      <c r="JR9" s="133" t="n">
        <f aca="false">IF(OR(JR$4="",$B9=""),0,SUMIF('DADOS BRUTOS'!$A$3:$A$500,$B9,'DADOS BRUTOS'!GR$3:GR$500)+IF($C9="",0,SUMIF('DADOS BRUTOS'!$A$3:$A$500,$C9,'DADOS BRUTOS'!GR$3:GR$500)))</f>
        <v>0</v>
      </c>
      <c r="JS9" s="133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2972.54</v>
      </c>
      <c r="E10" s="50" t="n">
        <f aca="false">SUMIF($CB$4:$JS$4,E$4,$CB10:$JS10)</f>
        <v>880.02</v>
      </c>
      <c r="F10" s="50" t="n">
        <f aca="false">SUMIF($CB$4:$JS$4,F$4,$CB10:$JS10)</f>
        <v>300</v>
      </c>
      <c r="G10" s="50" t="n">
        <f aca="false">SUMIF($CB$4:$JS$4,G$4,$CB10:$JS10)</f>
        <v>95.94</v>
      </c>
      <c r="H10" s="50" t="n">
        <f aca="false">SUMIF($CB$4:$JS$4,H$4,$CB10:$JS10)</f>
        <v>159.9</v>
      </c>
      <c r="I10" s="50" t="n">
        <f aca="false">SUMIF($CB$4:$JS$4,I$4,$CB10:$JS10)</f>
        <v>159.9</v>
      </c>
      <c r="J10" s="50" t="n">
        <f aca="false">SUMIF($CB$4:$JS$4,J$4,$CB10:$JS10)</f>
        <v>163.19</v>
      </c>
      <c r="K10" s="50" t="n">
        <f aca="false">SUMIF($CB$4:$JS$4,K$4,$CB10:$JS10)</f>
        <v>1728.34</v>
      </c>
      <c r="L10" s="50" t="n">
        <f aca="false">SUMIF($CB$4:$JS$4,L$4,$CB10:$JS10)</f>
        <v>3979.1</v>
      </c>
      <c r="M10" s="50" t="n">
        <f aca="false">SUMIF($CB$4:$JS$4,M$4,$CB10:$JS10)</f>
        <v>5969.69</v>
      </c>
      <c r="N10" s="50" t="n">
        <f aca="false">SUMIF($CB$4:$JS$4,N$4,$CB10:$JS10)</f>
        <v>5640.06</v>
      </c>
      <c r="O10" s="50" t="n">
        <f aca="false">SUMIF($CB$4:$JS$4,O$4,$CB10:$JS10)</f>
        <v>6754</v>
      </c>
      <c r="P10" s="50" t="n">
        <f aca="false">SUMIF($CB$4:$JS$4,P$4,$CB10:$JS10)</f>
        <v>3019.33</v>
      </c>
      <c r="Q10" s="50" t="n">
        <f aca="false">SUMIF($CB$4:$JS$4,Q$4,$CB10:$JS10)</f>
        <v>4184.45</v>
      </c>
      <c r="R10" s="50" t="n">
        <f aca="false">SUMIF($CB$4:$JS$4,R$4,$CB10:$JS10)</f>
        <v>6514.18</v>
      </c>
      <c r="S10" s="50" t="n">
        <f aca="false">SUMIF($CB$4:$JS$4,S$4,$CB10:$JS10)</f>
        <v>5589.84</v>
      </c>
      <c r="T10" s="50" t="n">
        <f aca="false">SUMIF($CB$4:$JS$4,T$4,$CB10:$JS10)</f>
        <v>9085.29</v>
      </c>
      <c r="U10" s="50" t="n">
        <f aca="false">SUMIF($CB$4:$JS$4,U$4,$CB10:$JS10)</f>
        <v>5613.52</v>
      </c>
      <c r="V10" s="50" t="n">
        <f aca="false">SUMIF($CB$4:$JS$4,V$4,$CB10:$JS10)</f>
        <v>4259.08</v>
      </c>
      <c r="W10" s="50" t="n">
        <f aca="false">SUMIF($CB$4:$JS$4,W$4,$CB10:$JS10)</f>
        <v>13140.55</v>
      </c>
      <c r="X10" s="50" t="n">
        <f aca="false">SUMIF($CB$4:$JS$4,X$4,$CB10:$JS10)</f>
        <v>45641.08</v>
      </c>
      <c r="Y10" s="50" t="n">
        <f aca="false">SUMIF($CB$4:$JS$4,Y$4,$CB10:$JS10)</f>
        <v>17050.13</v>
      </c>
      <c r="Z10" s="50" t="n">
        <f aca="false">SUMIF($CB$4:$JS$4,Z$4,$CB10:$JS10)</f>
        <v>6011.34</v>
      </c>
      <c r="AA10" s="50" t="n">
        <f aca="false">SUMIF($CB$4:$JS$4,AA$4,$CB10:$JS10)</f>
        <v>0</v>
      </c>
      <c r="AB10" s="50" t="n">
        <f aca="false">SUMIF($CB$4:$JS$4,AB$4,$CB10:$JS10)</f>
        <v>0</v>
      </c>
      <c r="AC10" s="50" t="n">
        <f aca="false">SUMIF($CB$4:$JS$4,AC$4,$CB10:$JS10)</f>
        <v>0</v>
      </c>
      <c r="AD10" s="50" t="n">
        <f aca="false">SUMIF($CB$4:$JS$4,AD$4,$CB10:$JS10)</f>
        <v>0</v>
      </c>
      <c r="AE10" s="50" t="n">
        <f aca="false">SUMIF($CB$4:$JS$4,AE$4,$CB10:$JS10)</f>
        <v>0</v>
      </c>
      <c r="AF10" s="50" t="n">
        <f aca="false">SUMIF($CB$4:$JS$4,AF$4,$CB10:$JS10)</f>
        <v>0</v>
      </c>
      <c r="AG10" s="50" t="n">
        <f aca="false">SUMIF($CB$4:$JS$4,AG$4,$CB10:$JS10)</f>
        <v>0</v>
      </c>
      <c r="AH10" s="50" t="n">
        <f aca="false">SUMIF($CB$4:$JS$4,AH$4,$CB10:$JS10)</f>
        <v>0</v>
      </c>
      <c r="AI10" s="50" t="n">
        <f aca="false">SUMIF($CB$4:$JS$4,AI$4,$CB10:$JS10)</f>
        <v>0</v>
      </c>
      <c r="AJ10" s="50" t="n">
        <f aca="false">SUMIF($CB$4:$JS$4,AJ$4,$CB10:$JS10)</f>
        <v>0</v>
      </c>
      <c r="AK10" s="50" t="n">
        <f aca="false">SUMIF($CB$4:$JS$4,AK$4,$CB10:$JS10)</f>
        <v>0</v>
      </c>
      <c r="AL10" s="50" t="n">
        <f aca="false">SUMIF($CB$4:$JS$4,AL$4,$CB10:$JS10)</f>
        <v>0</v>
      </c>
      <c r="AM10" s="50" t="n">
        <f aca="false">SUMIF($CB$4:$JS$4,AM$4,$CB10:$JS10)</f>
        <v>0</v>
      </c>
      <c r="AN10" s="50" t="n">
        <f aca="false">SUMIF($CB$4:$JS$4,AN$4,$CB10:$JS10)</f>
        <v>0</v>
      </c>
      <c r="AO10" s="50" t="n">
        <f aca="false">SUMIF($CB$4:$JS$4,AO$4,$CB10:$JS10)</f>
        <v>0</v>
      </c>
      <c r="AP10" s="50" t="n">
        <f aca="false">SUMIF($CB$4:$JS$4,AP$4,$CB10:$JS10)</f>
        <v>0</v>
      </c>
      <c r="AQ10" s="50" t="n">
        <f aca="false">SUMIF($CB$4:$JS$4,AQ$4,$CB10:$JS10)</f>
        <v>0</v>
      </c>
      <c r="AR10" s="50" t="n">
        <f aca="false">SUMIF($CB$4:$JS$4,AR$4,$CB10:$JS10)</f>
        <v>0</v>
      </c>
      <c r="AS10" s="50" t="n">
        <f aca="false">SUMIF($CB$4:$JS$4,AS$4,$CB10:$JS10)</f>
        <v>0</v>
      </c>
      <c r="AT10" s="50" t="n">
        <f aca="false">SUMIF($CB$4:$JS$4,AT$4,$CB10:$JS10)</f>
        <v>0</v>
      </c>
      <c r="AU10" s="50" t="n">
        <f aca="false">SUMIF($CB$4:$JS$4,AU$4,$CB10:$JS10)</f>
        <v>0</v>
      </c>
      <c r="AV10" s="50" t="n">
        <f aca="false">SUMIF($CB$4:$JS$4,AV$4,$CB10:$JS10)</f>
        <v>0</v>
      </c>
      <c r="AW10" s="50" t="n">
        <f aca="false">SUMIF($CB$4:$JS$4,AW$4,$CB10:$JS10)</f>
        <v>0</v>
      </c>
      <c r="AX10" s="50" t="n">
        <f aca="false">SUMIF($CB$4:$JS$4,AX$4,$CB10:$JS10)</f>
        <v>0</v>
      </c>
      <c r="AY10" s="50" t="n">
        <f aca="false">SUMIF($CB$4:$JS$4,AY$4,$CB10:$JS10)</f>
        <v>0</v>
      </c>
      <c r="AZ10" s="50" t="n">
        <f aca="false">SUMIF($CB$4:$JS$4,AZ$4,$CB10:$JS10)</f>
        <v>0</v>
      </c>
      <c r="BA10" s="50" t="n">
        <f aca="false">SUMIF($CB$4:$JS$4,BA$4,$CB10:$JS10)</f>
        <v>0</v>
      </c>
      <c r="BB10" s="50" t="n">
        <f aca="false">SUMIF($CB$4:$JS$4,BB$4,$CB10:$JS10)</f>
        <v>0</v>
      </c>
      <c r="BC10" s="50" t="n">
        <f aca="false">SUMIF($CB$4:$JS$4,BC$4,$CB10:$JS10)</f>
        <v>0</v>
      </c>
      <c r="BD10" s="50" t="n">
        <f aca="false">SUMIF($CB$4:$JS$4,BD$4,$CB10:$JS10)</f>
        <v>0</v>
      </c>
      <c r="BE10" s="50" t="n">
        <f aca="false">SUMIF($CB$4:$JS$4,BE$4,$CB10:$JS10)</f>
        <v>0</v>
      </c>
      <c r="BF10" s="50" t="n">
        <f aca="false">SUMIF($CB$4:$JS$4,BF$4,$CB10:$JS10)</f>
        <v>0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148911.47</v>
      </c>
      <c r="BZ10" s="45" t="n">
        <f aca="false">SUMPRODUCT(($CB$4:$JS$4&lt;&gt;"")*($CB$4:$JS$4&lt;=$D$4),$CB10:$JS10,$CB$1:$JS$1)</f>
        <v>2.60788756773841</v>
      </c>
      <c r="CB10" s="133" t="n">
        <f aca="false">IF(OR(CB$4="",$B10=""),0,SUMIF('DADOS BRUTOS'!$A$3:$A$500,$B10,'DADOS BRUTOS'!B$3:B$500)+IF($C10="",0,SUMIF('DADOS BRUTOS'!$A$3:$A$500,$C10,'DADOS BRUTOS'!B$3:B$500)))</f>
        <v>0</v>
      </c>
      <c r="CC10" s="133" t="n">
        <f aca="false">IF(OR(CC$4="",$B10=""),0,SUMIF('DADOS BRUTOS'!$A$3:$A$500,$B10,'DADOS BRUTOS'!C$3:C$500)+IF($C10="",0,SUMIF('DADOS BRUTOS'!$A$3:$A$500,$C10,'DADOS BRUTOS'!C$3:C$500)))</f>
        <v>0</v>
      </c>
      <c r="CD10" s="133" t="n">
        <f aca="false">IF(OR(CD$4="",$B10=""),0,SUMIF('DADOS BRUTOS'!$A$3:$A$500,$B10,'DADOS BRUTOS'!D$3:D$500)+IF($C10="",0,SUMIF('DADOS BRUTOS'!$A$3:$A$500,$C10,'DADOS BRUTOS'!D$3:D$500)))</f>
        <v>0</v>
      </c>
      <c r="CE10" s="133" t="n">
        <f aca="false">IF(OR(CE$4="",$B10=""),0,SUMIF('DADOS BRUTOS'!$A$3:$A$500,$B10,'DADOS BRUTOS'!E$3:E$500)+IF($C10="",0,SUMIF('DADOS BRUTOS'!$A$3:$A$500,$C10,'DADOS BRUTOS'!E$3:E$500)))</f>
        <v>0</v>
      </c>
      <c r="CF10" s="133" t="n">
        <f aca="false">IF(OR(CF$4="",$B10=""),0,SUMIF('DADOS BRUTOS'!$A$3:$A$500,$B10,'DADOS BRUTOS'!F$3:F$500)+IF($C10="",0,SUMIF('DADOS BRUTOS'!$A$3:$A$500,$C10,'DADOS BRUTOS'!F$3:F$500)))</f>
        <v>0</v>
      </c>
      <c r="CG10" s="133" t="n">
        <f aca="false">IF(OR(CG$4="",$B10=""),0,SUMIF('DADOS BRUTOS'!$A$3:$A$500,$B10,'DADOS BRUTOS'!G$3:G$500)+IF($C10="",0,SUMIF('DADOS BRUTOS'!$A$3:$A$500,$C10,'DADOS BRUTOS'!G$3:G$500)))</f>
        <v>0</v>
      </c>
      <c r="CH10" s="133" t="n">
        <f aca="false">IF(OR(CH$4="",$B10=""),0,SUMIF('DADOS BRUTOS'!$A$3:$A$500,$B10,'DADOS BRUTOS'!H$3:H$500)+IF($C10="",0,SUMIF('DADOS BRUTOS'!$A$3:$A$500,$C10,'DADOS BRUTOS'!H$3:H$500)))</f>
        <v>0</v>
      </c>
      <c r="CI10" s="133" t="n">
        <f aca="false">IF(OR(CI$4="",$B10=""),0,SUMIF('DADOS BRUTOS'!$A$3:$A$500,$B10,'DADOS BRUTOS'!I$3:I$500)+IF($C10="",0,SUMIF('DADOS BRUTOS'!$A$3:$A$500,$C10,'DADOS BRUTOS'!I$3:I$500)))</f>
        <v>0</v>
      </c>
      <c r="CJ10" s="133" t="n">
        <f aca="false">IF(OR(CJ$4="",$B10=""),0,SUMIF('DADOS BRUTOS'!$A$3:$A$500,$B10,'DADOS BRUTOS'!J$3:J$500)+IF($C10="",0,SUMIF('DADOS BRUTOS'!$A$3:$A$500,$C10,'DADOS BRUTOS'!J$3:J$500)))</f>
        <v>0</v>
      </c>
      <c r="CK10" s="133" t="n">
        <f aca="false">IF(OR(CK$4="",$B10=""),0,SUMIF('DADOS BRUTOS'!$A$3:$A$500,$B10,'DADOS BRUTOS'!K$3:K$500)+IF($C10="",0,SUMIF('DADOS BRUTOS'!$A$3:$A$500,$C10,'DADOS BRUTOS'!K$3:K$500)))</f>
        <v>0</v>
      </c>
      <c r="CL10" s="133" t="n">
        <f aca="false">IF(OR(CL$4="",$B10=""),0,SUMIF('DADOS BRUTOS'!$A$3:$A$500,$B10,'DADOS BRUTOS'!L$3:L$500)+IF($C10="",0,SUMIF('DADOS BRUTOS'!$A$3:$A$500,$C10,'DADOS BRUTOS'!L$3:L$500)))</f>
        <v>0</v>
      </c>
      <c r="CM10" s="133" t="n">
        <f aca="false">IF(OR(CM$4="",$B10=""),0,SUMIF('DADOS BRUTOS'!$A$3:$A$500,$B10,'DADOS BRUTOS'!M$3:M$500)+IF($C10="",0,SUMIF('DADOS BRUTOS'!$A$3:$A$500,$C10,'DADOS BRUTOS'!M$3:M$500)))</f>
        <v>0</v>
      </c>
      <c r="CN10" s="133" t="n">
        <f aca="false">IF(OR(CN$4="",$B10=""),0,SUMIF('DADOS BRUTOS'!$A$3:$A$500,$B10,'DADOS BRUTOS'!N$3:N$500)+IF($C10="",0,SUMIF('DADOS BRUTOS'!$A$3:$A$500,$C10,'DADOS BRUTOS'!N$3:N$500)))</f>
        <v>0</v>
      </c>
      <c r="CO10" s="133" t="n">
        <f aca="false">IF(OR(CO$4="",$B10=""),0,SUMIF('DADOS BRUTOS'!$A$3:$A$500,$B10,'DADOS BRUTOS'!O$3:O$500)+IF($C10="",0,SUMIF('DADOS BRUTOS'!$A$3:$A$500,$C10,'DADOS BRUTOS'!O$3:O$500)))</f>
        <v>0</v>
      </c>
      <c r="CP10" s="133" t="n">
        <f aca="false">IF(OR(CP$4="",$B10=""),0,SUMIF('DADOS BRUTOS'!$A$3:$A$500,$B10,'DADOS BRUTOS'!P$3:P$500)+IF($C10="",0,SUMIF('DADOS BRUTOS'!$A$3:$A$500,$C10,'DADOS BRUTOS'!P$3:P$500)))</f>
        <v>0</v>
      </c>
      <c r="CQ10" s="133" t="n">
        <f aca="false">IF(OR(CQ$4="",$B10=""),0,SUMIF('DADOS BRUTOS'!$A$3:$A$500,$B10,'DADOS BRUTOS'!Q$3:Q$500)+IF($C10="",0,SUMIF('DADOS BRUTOS'!$A$3:$A$500,$C10,'DADOS BRUTOS'!Q$3:Q$500)))</f>
        <v>0</v>
      </c>
      <c r="CR10" s="133" t="n">
        <f aca="false">IF(OR(CR$4="",$B10=""),0,SUMIF('DADOS BRUTOS'!$A$3:$A$500,$B10,'DADOS BRUTOS'!R$3:R$500)+IF($C10="",0,SUMIF('DADOS BRUTOS'!$A$3:$A$500,$C10,'DADOS BRUTOS'!R$3:R$500)))</f>
        <v>0</v>
      </c>
      <c r="CS10" s="133" t="n">
        <f aca="false">IF(OR(CS$4="",$B10=""),0,SUMIF('DADOS BRUTOS'!$A$3:$A$500,$B10,'DADOS BRUTOS'!S$3:S$500)+IF($C10="",0,SUMIF('DADOS BRUTOS'!$A$3:$A$500,$C10,'DADOS BRUTOS'!S$3:S$500)))</f>
        <v>0</v>
      </c>
      <c r="CT10" s="133" t="n">
        <f aca="false">IF(OR(CT$4="",$B10=""),0,SUMIF('DADOS BRUTOS'!$A$3:$A$500,$B10,'DADOS BRUTOS'!T$3:T$500)+IF($C10="",0,SUMIF('DADOS BRUTOS'!$A$3:$A$500,$C10,'DADOS BRUTOS'!T$3:T$500)))</f>
        <v>0</v>
      </c>
      <c r="CU10" s="133" t="n">
        <f aca="false">IF(OR(CU$4="",$B10=""),0,SUMIF('DADOS BRUTOS'!$A$3:$A$500,$B10,'DADOS BRUTOS'!U$3:U$500)+IF($C10="",0,SUMIF('DADOS BRUTOS'!$A$3:$A$500,$C10,'DADOS BRUTOS'!U$3:U$500)))</f>
        <v>0</v>
      </c>
      <c r="CV10" s="133" t="n">
        <f aca="false">IF(OR(CV$4="",$B10=""),0,SUMIF('DADOS BRUTOS'!$A$3:$A$500,$B10,'DADOS BRUTOS'!V$3:V$500)+IF($C10="",0,SUMIF('DADOS BRUTOS'!$A$3:$A$500,$C10,'DADOS BRUTOS'!V$3:V$500)))</f>
        <v>0</v>
      </c>
      <c r="CW10" s="133" t="n">
        <f aca="false">IF(OR(CW$4="",$B10=""),0,SUMIF('DADOS BRUTOS'!$A$3:$A$500,$B10,'DADOS BRUTOS'!W$3:W$500)+IF($C10="",0,SUMIF('DADOS BRUTOS'!$A$3:$A$500,$C10,'DADOS BRUTOS'!W$3:W$500)))</f>
        <v>0</v>
      </c>
      <c r="CX10" s="133" t="n">
        <f aca="false">IF(OR(CX$4="",$B10=""),0,SUMIF('DADOS BRUTOS'!$A$3:$A$500,$B10,'DADOS BRUTOS'!X$3:X$500)+IF($C10="",0,SUMIF('DADOS BRUTOS'!$A$3:$A$500,$C10,'DADOS BRUTOS'!X$3:X$500)))</f>
        <v>0</v>
      </c>
      <c r="CY10" s="133" t="n">
        <f aca="false">IF(OR(CY$4="",$B10=""),0,SUMIF('DADOS BRUTOS'!$A$3:$A$500,$B10,'DADOS BRUTOS'!Y$3:Y$500)+IF($C10="",0,SUMIF('DADOS BRUTOS'!$A$3:$A$500,$C10,'DADOS BRUTOS'!Y$3:Y$500)))</f>
        <v>0</v>
      </c>
      <c r="CZ10" s="133" t="n">
        <f aca="false">IF(OR(CZ$4="",$B10=""),0,SUMIF('DADOS BRUTOS'!$A$3:$A$500,$B10,'DADOS BRUTOS'!Z$3:Z$500)+IF($C10="",0,SUMIF('DADOS BRUTOS'!$A$3:$A$500,$C10,'DADOS BRUTOS'!Z$3:Z$500)))</f>
        <v>0</v>
      </c>
      <c r="DA10" s="133" t="n">
        <f aca="false">IF(OR(DA$4="",$B10=""),0,SUMIF('DADOS BRUTOS'!$A$3:$A$500,$B10,'DADOS BRUTOS'!AA$3:AA$500)+IF($C10="",0,SUMIF('DADOS BRUTOS'!$A$3:$A$500,$C10,'DADOS BRUTOS'!AA$3:AA$500)))</f>
        <v>0</v>
      </c>
      <c r="DB10" s="133" t="n">
        <f aca="false">IF(OR(DB$4="",$B10=""),0,SUMIF('DADOS BRUTOS'!$A$3:$A$500,$B10,'DADOS BRUTOS'!AB$3:AB$500)+IF($C10="",0,SUMIF('DADOS BRUTOS'!$A$3:$A$500,$C10,'DADOS BRUTOS'!AB$3:AB$500)))</f>
        <v>0</v>
      </c>
      <c r="DC10" s="133" t="n">
        <f aca="false">IF(OR(DC$4="",$B10=""),0,SUMIF('DADOS BRUTOS'!$A$3:$A$500,$B10,'DADOS BRUTOS'!AC$3:AC$500)+IF($C10="",0,SUMIF('DADOS BRUTOS'!$A$3:$A$500,$C10,'DADOS BRUTOS'!AC$3:AC$500)))</f>
        <v>0</v>
      </c>
      <c r="DD10" s="133" t="n">
        <f aca="false">IF(OR(DD$4="",$B10=""),0,SUMIF('DADOS BRUTOS'!$A$3:$A$500,$B10,'DADOS BRUTOS'!AD$3:AD$500)+IF($C10="",0,SUMIF('DADOS BRUTOS'!$A$3:$A$500,$C10,'DADOS BRUTOS'!AD$3:AD$500)))</f>
        <v>1753.43</v>
      </c>
      <c r="DE10" s="133" t="n">
        <f aca="false">IF(OR(DE$4="",$B10=""),0,SUMIF('DADOS BRUTOS'!$A$3:$A$500,$B10,'DADOS BRUTOS'!AE$3:AE$500)+IF($C10="",0,SUMIF('DADOS BRUTOS'!$A$3:$A$500,$C10,'DADOS BRUTOS'!AE$3:AE$500)))</f>
        <v>311.83</v>
      </c>
      <c r="DF10" s="133" t="n">
        <f aca="false">IF(OR(DF$4="",$B10=""),0,SUMIF('DADOS BRUTOS'!$A$3:$A$500,$B10,'DADOS BRUTOS'!AF$3:AF$500)+IF($C10="",0,SUMIF('DADOS BRUTOS'!$A$3:$A$500,$C10,'DADOS BRUTOS'!AF$3:AF$500)))</f>
        <v>907.28</v>
      </c>
      <c r="DG10" s="133" t="n">
        <f aca="false">IF(OR(DG$4="",$B10=""),0,SUMIF('DADOS BRUTOS'!$A$3:$A$500,$B10,'DADOS BRUTOS'!AG$3:AG$500)+IF($C10="",0,SUMIF('DADOS BRUTOS'!$A$3:$A$500,$C10,'DADOS BRUTOS'!AG$3:AG$500)))</f>
        <v>0</v>
      </c>
      <c r="DH10" s="133" t="n">
        <f aca="false">IF(OR(DH$4="",$B10=""),0,SUMIF('DADOS BRUTOS'!$A$3:$A$500,$B10,'DADOS BRUTOS'!AH$3:AH$500)+IF($C10="",0,SUMIF('DADOS BRUTOS'!$A$3:$A$500,$C10,'DADOS BRUTOS'!AH$3:AH$500)))</f>
        <v>0</v>
      </c>
      <c r="DI10" s="133" t="n">
        <f aca="false">IF(OR(DI$4="",$B10=""),0,SUMIF('DADOS BRUTOS'!$A$3:$A$500,$B10,'DADOS BRUTOS'!AI$3:AI$500)+IF($C10="",0,SUMIF('DADOS BRUTOS'!$A$3:$A$500,$C10,'DADOS BRUTOS'!AI$3:AI$500)))</f>
        <v>880.02</v>
      </c>
      <c r="DJ10" s="133" t="n">
        <f aca="false">IF(OR(DJ$4="",$B10=""),0,SUMIF('DADOS BRUTOS'!$A$3:$A$500,$B10,'DADOS BRUTOS'!AJ$3:AJ$500)+IF($C10="",0,SUMIF('DADOS BRUTOS'!$A$3:$A$500,$C10,'DADOS BRUTOS'!AJ$3:AJ$500)))</f>
        <v>300</v>
      </c>
      <c r="DK10" s="133" t="n">
        <f aca="false">IF(OR(DK$4="",$B10=""),0,SUMIF('DADOS BRUTOS'!$A$3:$A$500,$B10,'DADOS BRUTOS'!AK$3:AK$500)+IF($C10="",0,SUMIF('DADOS BRUTOS'!$A$3:$A$500,$C10,'DADOS BRUTOS'!AK$3:AK$500)))</f>
        <v>95.94</v>
      </c>
      <c r="DL10" s="133" t="n">
        <f aca="false">IF(OR(DL$4="",$B10=""),0,SUMIF('DADOS BRUTOS'!$A$3:$A$500,$B10,'DADOS BRUTOS'!AL$3:AL$500)+IF($C10="",0,SUMIF('DADOS BRUTOS'!$A$3:$A$500,$C10,'DADOS BRUTOS'!AL$3:AL$500)))</f>
        <v>159.9</v>
      </c>
      <c r="DM10" s="133" t="n">
        <f aca="false">IF(OR(DM$4="",$B10=""),0,SUMIF('DADOS BRUTOS'!$A$3:$A$500,$B10,'DADOS BRUTOS'!AM$3:AM$500)+IF($C10="",0,SUMIF('DADOS BRUTOS'!$A$3:$A$500,$C10,'DADOS BRUTOS'!AM$3:AM$500)))</f>
        <v>159.9</v>
      </c>
      <c r="DN10" s="133" t="n">
        <f aca="false">IF(OR(DN$4="",$B10=""),0,SUMIF('DADOS BRUTOS'!$A$3:$A$500,$B10,'DADOS BRUTOS'!AN$3:AN$500)+IF($C10="",0,SUMIF('DADOS BRUTOS'!$A$3:$A$500,$C10,'DADOS BRUTOS'!AN$3:AN$500)))</f>
        <v>163.19</v>
      </c>
      <c r="DO10" s="133" t="n">
        <f aca="false">IF(OR(DO$4="",$B10=""),0,SUMIF('DADOS BRUTOS'!$A$3:$A$500,$B10,'DADOS BRUTOS'!AO$3:AO$500)+IF($C10="",0,SUMIF('DADOS BRUTOS'!$A$3:$A$500,$C10,'DADOS BRUTOS'!AO$3:AO$500)))</f>
        <v>1728.34</v>
      </c>
      <c r="DP10" s="133" t="n">
        <f aca="false">IF(OR(DP$4="",$B10=""),0,SUMIF('DADOS BRUTOS'!$A$3:$A$500,$B10,'DADOS BRUTOS'!AP$3:AP$500)+IF($C10="",0,SUMIF('DADOS BRUTOS'!$A$3:$A$500,$C10,'DADOS BRUTOS'!AP$3:AP$500)))</f>
        <v>3979.1</v>
      </c>
      <c r="DQ10" s="133" t="n">
        <f aca="false">IF(OR(DQ$4="",$B10=""),0,SUMIF('DADOS BRUTOS'!$A$3:$A$500,$B10,'DADOS BRUTOS'!AQ$3:AQ$500)+IF($C10="",0,SUMIF('DADOS BRUTOS'!$A$3:$A$500,$C10,'DADOS BRUTOS'!AQ$3:AQ$500)))</f>
        <v>5969.69</v>
      </c>
      <c r="DR10" s="133" t="n">
        <f aca="false">IF(OR(DR$4="",$B10=""),0,SUMIF('DADOS BRUTOS'!$A$3:$A$500,$B10,'DADOS BRUTOS'!AR$3:AR$500)+IF($C10="",0,SUMIF('DADOS BRUTOS'!$A$3:$A$500,$C10,'DADOS BRUTOS'!AR$3:AR$500)))</f>
        <v>5640.06</v>
      </c>
      <c r="DS10" s="133" t="n">
        <f aca="false">IF(OR(DS$4="",$B10=""),0,SUMIF('DADOS BRUTOS'!$A$3:$A$500,$B10,'DADOS BRUTOS'!AS$3:AS$500)+IF($C10="",0,SUMIF('DADOS BRUTOS'!$A$3:$A$500,$C10,'DADOS BRUTOS'!AS$3:AS$500)))</f>
        <v>6754</v>
      </c>
      <c r="DT10" s="133" t="n">
        <f aca="false">IF(OR(DT$4="",$B10=""),0,SUMIF('DADOS BRUTOS'!$A$3:$A$500,$B10,'DADOS BRUTOS'!AT$3:AT$500)+IF($C10="",0,SUMIF('DADOS BRUTOS'!$A$3:$A$500,$C10,'DADOS BRUTOS'!AT$3:AT$500)))</f>
        <v>3019.33</v>
      </c>
      <c r="DU10" s="133" t="n">
        <f aca="false">IF(OR(DU$4="",$B10=""),0,SUMIF('DADOS BRUTOS'!$A$3:$A$500,$B10,'DADOS BRUTOS'!AU$3:AU$500)+IF($C10="",0,SUMIF('DADOS BRUTOS'!$A$3:$A$500,$C10,'DADOS BRUTOS'!AU$3:AU$500)))</f>
        <v>4184.45</v>
      </c>
      <c r="DV10" s="133" t="n">
        <f aca="false">IF(OR(DV$4="",$B10=""),0,SUMIF('DADOS BRUTOS'!$A$3:$A$500,$B10,'DADOS BRUTOS'!AV$3:AV$500)+IF($C10="",0,SUMIF('DADOS BRUTOS'!$A$3:$A$500,$C10,'DADOS BRUTOS'!AV$3:AV$500)))</f>
        <v>6514.18</v>
      </c>
      <c r="DW10" s="133" t="n">
        <f aca="false">IF(OR(DW$4="",$B10=""),0,SUMIF('DADOS BRUTOS'!$A$3:$A$500,$B10,'DADOS BRUTOS'!AW$3:AW$500)+IF($C10="",0,SUMIF('DADOS BRUTOS'!$A$3:$A$500,$C10,'DADOS BRUTOS'!AW$3:AW$500)))</f>
        <v>5589.84</v>
      </c>
      <c r="DX10" s="133" t="n">
        <f aca="false">IF(OR(DX$4="",$B10=""),0,SUMIF('DADOS BRUTOS'!$A$3:$A$500,$B10,'DADOS BRUTOS'!AX$3:AX$500)+IF($C10="",0,SUMIF('DADOS BRUTOS'!$A$3:$A$500,$C10,'DADOS BRUTOS'!AX$3:AX$500)))</f>
        <v>9085.29</v>
      </c>
      <c r="DY10" s="133" t="n">
        <f aca="false">IF(OR(DY$4="",$B10=""),0,SUMIF('DADOS BRUTOS'!$A$3:$A$500,$B10,'DADOS BRUTOS'!AY$3:AY$500)+IF($C10="",0,SUMIF('DADOS BRUTOS'!$A$3:$A$500,$C10,'DADOS BRUTOS'!AY$3:AY$500)))</f>
        <v>5613.52</v>
      </c>
      <c r="DZ10" s="133" t="n">
        <f aca="false">IF(OR(DZ$4="",$B10=""),0,SUMIF('DADOS BRUTOS'!$A$3:$A$500,$B10,'DADOS BRUTOS'!AZ$3:AZ$500)+IF($C10="",0,SUMIF('DADOS BRUTOS'!$A$3:$A$500,$C10,'DADOS BRUTOS'!AZ$3:AZ$500)))</f>
        <v>4259.08</v>
      </c>
      <c r="EA10" s="133" t="n">
        <f aca="false">IF(OR(EA$4="",$B10=""),0,SUMIF('DADOS BRUTOS'!$A$3:$A$500,$B10,'DADOS BRUTOS'!BA$3:BA$500)+IF($C10="",0,SUMIF('DADOS BRUTOS'!$A$3:$A$500,$C10,'DADOS BRUTOS'!BA$3:BA$500)))</f>
        <v>13140.55</v>
      </c>
      <c r="EB10" s="133" t="n">
        <f aca="false">IF(OR(EB$4="",$B10=""),0,SUMIF('DADOS BRUTOS'!$A$3:$A$500,$B10,'DADOS BRUTOS'!BB$3:BB$500)+IF($C10="",0,SUMIF('DADOS BRUTOS'!$A$3:$A$500,$C10,'DADOS BRUTOS'!BB$3:BB$500)))</f>
        <v>45641.08</v>
      </c>
      <c r="EC10" s="133" t="n">
        <f aca="false">IF(OR(EC$4="",$B10=""),0,SUMIF('DADOS BRUTOS'!$A$3:$A$500,$B10,'DADOS BRUTOS'!BC$3:BC$500)+IF($C10="",0,SUMIF('DADOS BRUTOS'!$A$3:$A$500,$C10,'DADOS BRUTOS'!BC$3:BC$500)))</f>
        <v>17050.13</v>
      </c>
      <c r="ED10" s="133" t="n">
        <f aca="false">IF(OR(ED$4="",$B10=""),0,SUMIF('DADOS BRUTOS'!$A$3:$A$500,$B10,'DADOS BRUTOS'!BD$3:BD$500)+IF($C10="",0,SUMIF('DADOS BRUTOS'!$A$3:$A$500,$C10,'DADOS BRUTOS'!BD$3:BD$500)))</f>
        <v>6011.34</v>
      </c>
      <c r="EE10" s="133" t="n">
        <f aca="false">IF(OR(EE$4="",$B10=""),0,SUMIF('DADOS BRUTOS'!$A$3:$A$500,$B10,'DADOS BRUTOS'!BE$3:BE$500)+IF($C10="",0,SUMIF('DADOS BRUTOS'!$A$3:$A$500,$C10,'DADOS BRUTOS'!BE$3:BE$500)))</f>
        <v>0</v>
      </c>
      <c r="EF10" s="133" t="n">
        <f aca="false">IF(OR(EF$4="",$B10=""),0,SUMIF('DADOS BRUTOS'!$A$3:$A$500,$B10,'DADOS BRUTOS'!BF$3:BF$500)+IF($C10="",0,SUMIF('DADOS BRUTOS'!$A$3:$A$500,$C10,'DADOS BRUTOS'!BF$3:BF$500)))</f>
        <v>0</v>
      </c>
      <c r="EG10" s="133" t="n">
        <f aca="false">IF(OR(EG$4="",$B10=""),0,SUMIF('DADOS BRUTOS'!$A$3:$A$500,$B10,'DADOS BRUTOS'!BG$3:BG$500)+IF($C10="",0,SUMIF('DADOS BRUTOS'!$A$3:$A$500,$C10,'DADOS BRUTOS'!BG$3:BG$500)))</f>
        <v>0</v>
      </c>
      <c r="EH10" s="133" t="n">
        <f aca="false">IF(OR(EH$4="",$B10=""),0,SUMIF('DADOS BRUTOS'!$A$3:$A$500,$B10,'DADOS BRUTOS'!BH$3:BH$500)+IF($C10="",0,SUMIF('DADOS BRUTOS'!$A$3:$A$500,$C10,'DADOS BRUTOS'!BH$3:BH$500)))</f>
        <v>0</v>
      </c>
      <c r="EI10" s="133" t="n">
        <f aca="false">IF(OR(EI$4="",$B10=""),0,SUMIF('DADOS BRUTOS'!$A$3:$A$500,$B10,'DADOS BRUTOS'!BI$3:BI$500)+IF($C10="",0,SUMIF('DADOS BRUTOS'!$A$3:$A$500,$C10,'DADOS BRUTOS'!BI$3:BI$500)))</f>
        <v>0</v>
      </c>
      <c r="EJ10" s="133" t="n">
        <f aca="false">IF(OR(EJ$4="",$B10=""),0,SUMIF('DADOS BRUTOS'!$A$3:$A$500,$B10,'DADOS BRUTOS'!BJ$3:BJ$500)+IF($C10="",0,SUMIF('DADOS BRUTOS'!$A$3:$A$500,$C10,'DADOS BRUTOS'!BJ$3:BJ$500)))</f>
        <v>0</v>
      </c>
      <c r="EK10" s="133" t="n">
        <f aca="false">IF(OR(EK$4="",$B10=""),0,SUMIF('DADOS BRUTOS'!$A$3:$A$500,$B10,'DADOS BRUTOS'!BK$3:BK$500)+IF($C10="",0,SUMIF('DADOS BRUTOS'!$A$3:$A$500,$C10,'DADOS BRUTOS'!BK$3:BK$500)))</f>
        <v>0</v>
      </c>
      <c r="EL10" s="133" t="n">
        <f aca="false">IF(OR(EL$4="",$B10=""),0,SUMIF('DADOS BRUTOS'!$A$3:$A$500,$B10,'DADOS BRUTOS'!BL$3:BL$500)+IF($C10="",0,SUMIF('DADOS BRUTOS'!$A$3:$A$500,$C10,'DADOS BRUTOS'!BL$3:BL$500)))</f>
        <v>0</v>
      </c>
      <c r="EM10" s="133" t="n">
        <f aca="false">IF(OR(EM$4="",$B10=""),0,SUMIF('DADOS BRUTOS'!$A$3:$A$500,$B10,'DADOS BRUTOS'!BM$3:BM$500)+IF($C10="",0,SUMIF('DADOS BRUTOS'!$A$3:$A$500,$C10,'DADOS BRUTOS'!BM$3:BM$500)))</f>
        <v>0</v>
      </c>
      <c r="EN10" s="133" t="n">
        <f aca="false">IF(OR(EN$4="",$B10=""),0,SUMIF('DADOS BRUTOS'!$A$3:$A$500,$B10,'DADOS BRUTOS'!BN$3:BN$500)+IF($C10="",0,SUMIF('DADOS BRUTOS'!$A$3:$A$500,$C10,'DADOS BRUTOS'!BN$3:BN$500)))</f>
        <v>0</v>
      </c>
      <c r="EO10" s="133" t="n">
        <f aca="false">IF(OR(EO$4="",$B10=""),0,SUMIF('DADOS BRUTOS'!$A$3:$A$500,$B10,'DADOS BRUTOS'!BO$3:BO$500)+IF($C10="",0,SUMIF('DADOS BRUTOS'!$A$3:$A$500,$C10,'DADOS BRUTOS'!BO$3:BO$500)))</f>
        <v>0</v>
      </c>
      <c r="EP10" s="133" t="n">
        <f aca="false">IF(OR(EP$4="",$B10=""),0,SUMIF('DADOS BRUTOS'!$A$3:$A$500,$B10,'DADOS BRUTOS'!BP$3:BP$500)+IF($C10="",0,SUMIF('DADOS BRUTOS'!$A$3:$A$500,$C10,'DADOS BRUTOS'!BP$3:BP$500)))</f>
        <v>0</v>
      </c>
      <c r="EQ10" s="133" t="n">
        <f aca="false">IF(OR(EQ$4="",$B10=""),0,SUMIF('DADOS BRUTOS'!$A$3:$A$500,$B10,'DADOS BRUTOS'!BQ$3:BQ$500)+IF($C10="",0,SUMIF('DADOS BRUTOS'!$A$3:$A$500,$C10,'DADOS BRUTOS'!BQ$3:BQ$500)))</f>
        <v>0</v>
      </c>
      <c r="ER10" s="133" t="n">
        <f aca="false">IF(OR(ER$4="",$B10=""),0,SUMIF('DADOS BRUTOS'!$A$3:$A$500,$B10,'DADOS BRUTOS'!BR$3:BR$500)+IF($C10="",0,SUMIF('DADOS BRUTOS'!$A$3:$A$500,$C10,'DADOS BRUTOS'!BR$3:BR$500)))</f>
        <v>0</v>
      </c>
      <c r="ES10" s="133" t="n">
        <f aca="false">IF(OR(ES$4="",$B10=""),0,SUMIF('DADOS BRUTOS'!$A$3:$A$500,$B10,'DADOS BRUTOS'!BS$3:BS$500)+IF($C10="",0,SUMIF('DADOS BRUTOS'!$A$3:$A$500,$C10,'DADOS BRUTOS'!BS$3:BS$500)))</f>
        <v>0</v>
      </c>
      <c r="ET10" s="133" t="n">
        <f aca="false">IF(OR(ET$4="",$B10=""),0,SUMIF('DADOS BRUTOS'!$A$3:$A$500,$B10,'DADOS BRUTOS'!BT$3:BT$500)+IF($C10="",0,SUMIF('DADOS BRUTOS'!$A$3:$A$500,$C10,'DADOS BRUTOS'!BT$3:BT$500)))</f>
        <v>0</v>
      </c>
      <c r="EU10" s="133" t="n">
        <f aca="false">IF(OR(EU$4="",$B10=""),0,SUMIF('DADOS BRUTOS'!$A$3:$A$500,$B10,'DADOS BRUTOS'!BU$3:BU$500)+IF($C10="",0,SUMIF('DADOS BRUTOS'!$A$3:$A$500,$C10,'DADOS BRUTOS'!BU$3:BU$500)))</f>
        <v>0</v>
      </c>
      <c r="EV10" s="133" t="n">
        <f aca="false">IF(OR(EV$4="",$B10=""),0,SUMIF('DADOS BRUTOS'!$A$3:$A$500,$B10,'DADOS BRUTOS'!BV$3:BV$500)+IF($C10="",0,SUMIF('DADOS BRUTOS'!$A$3:$A$500,$C10,'DADOS BRUTOS'!BV$3:BV$500)))</f>
        <v>0</v>
      </c>
      <c r="EW10" s="133" t="n">
        <f aca="false">IF(OR(EW$4="",$B10=""),0,SUMIF('DADOS BRUTOS'!$A$3:$A$500,$B10,'DADOS BRUTOS'!BW$3:BW$500)+IF($C10="",0,SUMIF('DADOS BRUTOS'!$A$3:$A$500,$C10,'DADOS BRUTOS'!BW$3:BW$500)))</f>
        <v>0</v>
      </c>
      <c r="EX10" s="133" t="n">
        <f aca="false">IF(OR(EX$4="",$B10=""),0,SUMIF('DADOS BRUTOS'!$A$3:$A$500,$B10,'DADOS BRUTOS'!BX$3:BX$500)+IF($C10="",0,SUMIF('DADOS BRUTOS'!$A$3:$A$500,$C10,'DADOS BRUTOS'!BX$3:BX$500)))</f>
        <v>0</v>
      </c>
      <c r="EY10" s="133" t="n">
        <f aca="false">IF(OR(EY$4="",$B10=""),0,SUMIF('DADOS BRUTOS'!$A$3:$A$500,$B10,'DADOS BRUTOS'!BY$3:BY$500)+IF($C10="",0,SUMIF('DADOS BRUTOS'!$A$3:$A$500,$C10,'DADOS BRUTOS'!BY$3:BY$500)))</f>
        <v>0</v>
      </c>
      <c r="EZ10" s="133" t="n">
        <f aca="false">IF(OR(EZ$4="",$B10=""),0,SUMIF('DADOS BRUTOS'!$A$3:$A$500,$B10,'DADOS BRUTOS'!BZ$3:BZ$500)+IF($C10="",0,SUMIF('DADOS BRUTOS'!$A$3:$A$500,$C10,'DADOS BRUTOS'!BZ$3:BZ$500)))</f>
        <v>0</v>
      </c>
      <c r="FA10" s="133" t="n">
        <f aca="false">IF(OR(FA$4="",$B10=""),0,SUMIF('DADOS BRUTOS'!$A$3:$A$500,$B10,'DADOS BRUTOS'!CA$3:CA$500)+IF($C10="",0,SUMIF('DADOS BRUTOS'!$A$3:$A$500,$C10,'DADOS BRUTOS'!CA$3:CA$500)))</f>
        <v>0</v>
      </c>
      <c r="FB10" s="133" t="n">
        <f aca="false">IF(OR(FB$4="",$B10=""),0,SUMIF('DADOS BRUTOS'!$A$3:$A$500,$B10,'DADOS BRUTOS'!CB$3:CB$500)+IF($C10="",0,SUMIF('DADOS BRUTOS'!$A$3:$A$500,$C10,'DADOS BRUTOS'!CB$3:CB$500)))</f>
        <v>0</v>
      </c>
      <c r="FC10" s="133" t="n">
        <f aca="false">IF(OR(FC$4="",$B10=""),0,SUMIF('DADOS BRUTOS'!$A$3:$A$500,$B10,'DADOS BRUTOS'!CC$3:CC$500)+IF($C10="",0,SUMIF('DADOS BRUTOS'!$A$3:$A$500,$C10,'DADOS BRUTOS'!CC$3:CC$500)))</f>
        <v>0</v>
      </c>
      <c r="FD10" s="133" t="n">
        <f aca="false">IF(OR(FD$4="",$B10=""),0,SUMIF('DADOS BRUTOS'!$A$3:$A$500,$B10,'DADOS BRUTOS'!CD$3:CD$500)+IF($C10="",0,SUMIF('DADOS BRUTOS'!$A$3:$A$500,$C10,'DADOS BRUTOS'!CD$3:CD$500)))</f>
        <v>0</v>
      </c>
      <c r="FE10" s="133" t="n">
        <f aca="false">IF(OR(FE$4="",$B10=""),0,SUMIF('DADOS BRUTOS'!$A$3:$A$500,$B10,'DADOS BRUTOS'!CE$3:CE$500)+IF($C10="",0,SUMIF('DADOS BRUTOS'!$A$3:$A$500,$C10,'DADOS BRUTOS'!CE$3:CE$500)))</f>
        <v>0</v>
      </c>
      <c r="FF10" s="133" t="n">
        <f aca="false">IF(OR(FF$4="",$B10=""),0,SUMIF('DADOS BRUTOS'!$A$3:$A$500,$B10,'DADOS BRUTOS'!CF$3:CF$500)+IF($C10="",0,SUMIF('DADOS BRUTOS'!$A$3:$A$500,$C10,'DADOS BRUTOS'!CF$3:CF$500)))</f>
        <v>0</v>
      </c>
      <c r="FG10" s="133" t="n">
        <f aca="false">IF(OR(FG$4="",$B10=""),0,SUMIF('DADOS BRUTOS'!$A$3:$A$500,$B10,'DADOS BRUTOS'!CG$3:CG$500)+IF($C10="",0,SUMIF('DADOS BRUTOS'!$A$3:$A$500,$C10,'DADOS BRUTOS'!CG$3:CG$500)))</f>
        <v>0</v>
      </c>
      <c r="FH10" s="133" t="n">
        <f aca="false">IF(OR(FH$4="",$B10=""),0,SUMIF('DADOS BRUTOS'!$A$3:$A$500,$B10,'DADOS BRUTOS'!CH$3:CH$500)+IF($C10="",0,SUMIF('DADOS BRUTOS'!$A$3:$A$500,$C10,'DADOS BRUTOS'!CH$3:CH$500)))</f>
        <v>0</v>
      </c>
      <c r="FI10" s="133" t="n">
        <f aca="false">IF(OR(FI$4="",$B10=""),0,SUMIF('DADOS BRUTOS'!$A$3:$A$500,$B10,'DADOS BRUTOS'!CI$3:CI$500)+IF($C10="",0,SUMIF('DADOS BRUTOS'!$A$3:$A$500,$C10,'DADOS BRUTOS'!CI$3:CI$500)))</f>
        <v>0</v>
      </c>
      <c r="FJ10" s="133" t="n">
        <f aca="false">IF(OR(FJ$4="",$B10=""),0,SUMIF('DADOS BRUTOS'!$A$3:$A$500,$B10,'DADOS BRUTOS'!CJ$3:CJ$500)+IF($C10="",0,SUMIF('DADOS BRUTOS'!$A$3:$A$500,$C10,'DADOS BRUTOS'!CJ$3:CJ$500)))</f>
        <v>0</v>
      </c>
      <c r="FK10" s="133" t="n">
        <f aca="false">IF(OR(FK$4="",$B10=""),0,SUMIF('DADOS BRUTOS'!$A$3:$A$500,$B10,'DADOS BRUTOS'!CK$3:CK$500)+IF($C10="",0,SUMIF('DADOS BRUTOS'!$A$3:$A$500,$C10,'DADOS BRUTOS'!CK$3:CK$500)))</f>
        <v>0</v>
      </c>
      <c r="FL10" s="133" t="n">
        <f aca="false">IF(OR(FL$4="",$B10=""),0,SUMIF('DADOS BRUTOS'!$A$3:$A$500,$B10,'DADOS BRUTOS'!CL$3:CL$500)+IF($C10="",0,SUMIF('DADOS BRUTOS'!$A$3:$A$500,$C10,'DADOS BRUTOS'!CL$3:CL$500)))</f>
        <v>0</v>
      </c>
      <c r="FM10" s="133" t="n">
        <f aca="false">IF(OR(FM$4="",$B10=""),0,SUMIF('DADOS BRUTOS'!$A$3:$A$500,$B10,'DADOS BRUTOS'!CM$3:CM$500)+IF($C10="",0,SUMIF('DADOS BRUTOS'!$A$3:$A$500,$C10,'DADOS BRUTOS'!CM$3:CM$500)))</f>
        <v>0</v>
      </c>
      <c r="FN10" s="133" t="n">
        <f aca="false">IF(OR(FN$4="",$B10=""),0,SUMIF('DADOS BRUTOS'!$A$3:$A$500,$B10,'DADOS BRUTOS'!CN$3:CN$500)+IF($C10="",0,SUMIF('DADOS BRUTOS'!$A$3:$A$500,$C10,'DADOS BRUTOS'!CN$3:CN$500)))</f>
        <v>0</v>
      </c>
      <c r="FO10" s="133" t="n">
        <f aca="false">IF(OR(FO$4="",$B10=""),0,SUMIF('DADOS BRUTOS'!$A$3:$A$500,$B10,'DADOS BRUTOS'!CO$3:CO$500)+IF($C10="",0,SUMIF('DADOS BRUTOS'!$A$3:$A$500,$C10,'DADOS BRUTOS'!CO$3:CO$500)))</f>
        <v>0</v>
      </c>
      <c r="FP10" s="133" t="n">
        <f aca="false">IF(OR(FP$4="",$B10=""),0,SUMIF('DADOS BRUTOS'!$A$3:$A$500,$B10,'DADOS BRUTOS'!CP$3:CP$500)+IF($C10="",0,SUMIF('DADOS BRUTOS'!$A$3:$A$500,$C10,'DADOS BRUTOS'!CP$3:CP$500)))</f>
        <v>0</v>
      </c>
      <c r="FQ10" s="133" t="n">
        <f aca="false">IF(OR(FQ$4="",$B10=""),0,SUMIF('DADOS BRUTOS'!$A$3:$A$500,$B10,'DADOS BRUTOS'!CQ$3:CQ$500)+IF($C10="",0,SUMIF('DADOS BRUTOS'!$A$3:$A$500,$C10,'DADOS BRUTOS'!CQ$3:CQ$500)))</f>
        <v>0</v>
      </c>
      <c r="FR10" s="133" t="n">
        <f aca="false">IF(OR(FR$4="",$B10=""),0,SUMIF('DADOS BRUTOS'!$A$3:$A$500,$B10,'DADOS BRUTOS'!CR$3:CR$500)+IF($C10="",0,SUMIF('DADOS BRUTOS'!$A$3:$A$500,$C10,'DADOS BRUTOS'!CR$3:CR$500)))</f>
        <v>0</v>
      </c>
      <c r="FS10" s="133" t="n">
        <f aca="false">IF(OR(FS$4="",$B10=""),0,SUMIF('DADOS BRUTOS'!$A$3:$A$500,$B10,'DADOS BRUTOS'!CS$3:CS$500)+IF($C10="",0,SUMIF('DADOS BRUTOS'!$A$3:$A$500,$C10,'DADOS BRUTOS'!CS$3:CS$500)))</f>
        <v>0</v>
      </c>
      <c r="FT10" s="133" t="n">
        <f aca="false">IF(OR(FT$4="",$B10=""),0,SUMIF('DADOS BRUTOS'!$A$3:$A$500,$B10,'DADOS BRUTOS'!CT$3:CT$500)+IF($C10="",0,SUMIF('DADOS BRUTOS'!$A$3:$A$500,$C10,'DADOS BRUTOS'!CT$3:CT$500)))</f>
        <v>0</v>
      </c>
      <c r="FU10" s="133" t="n">
        <f aca="false">IF(OR(FU$4="",$B10=""),0,SUMIF('DADOS BRUTOS'!$A$3:$A$500,$B10,'DADOS BRUTOS'!CU$3:CU$500)+IF($C10="",0,SUMIF('DADOS BRUTOS'!$A$3:$A$500,$C10,'DADOS BRUTOS'!CU$3:CU$500)))</f>
        <v>0</v>
      </c>
      <c r="FV10" s="133" t="n">
        <f aca="false">IF(OR(FV$4="",$B10=""),0,SUMIF('DADOS BRUTOS'!$A$3:$A$500,$B10,'DADOS BRUTOS'!CV$3:CV$500)+IF($C10="",0,SUMIF('DADOS BRUTOS'!$A$3:$A$500,$C10,'DADOS BRUTOS'!CV$3:CV$500)))</f>
        <v>0</v>
      </c>
      <c r="FW10" s="133" t="n">
        <f aca="false">IF(OR(FW$4="",$B10=""),0,SUMIF('DADOS BRUTOS'!$A$3:$A$500,$B10,'DADOS BRUTOS'!CW$3:CW$500)+IF($C10="",0,SUMIF('DADOS BRUTOS'!$A$3:$A$500,$C10,'DADOS BRUTOS'!CW$3:CW$500)))</f>
        <v>0</v>
      </c>
      <c r="FX10" s="133" t="n">
        <f aca="false">IF(OR(FX$4="",$B10=""),0,SUMIF('DADOS BRUTOS'!$A$3:$A$500,$B10,'DADOS BRUTOS'!CX$3:CX$500)+IF($C10="",0,SUMIF('DADOS BRUTOS'!$A$3:$A$500,$C10,'DADOS BRUTOS'!CX$3:CX$500)))</f>
        <v>0</v>
      </c>
      <c r="FY10" s="133" t="n">
        <f aca="false">IF(OR(FY$4="",$B10=""),0,SUMIF('DADOS BRUTOS'!$A$3:$A$500,$B10,'DADOS BRUTOS'!CY$3:CY$500)+IF($C10="",0,SUMIF('DADOS BRUTOS'!$A$3:$A$500,$C10,'DADOS BRUTOS'!CY$3:CY$500)))</f>
        <v>0</v>
      </c>
      <c r="FZ10" s="133" t="n">
        <f aca="false">IF(OR(FZ$4="",$B10=""),0,SUMIF('DADOS BRUTOS'!$A$3:$A$500,$B10,'DADOS BRUTOS'!CZ$3:CZ$500)+IF($C10="",0,SUMIF('DADOS BRUTOS'!$A$3:$A$500,$C10,'DADOS BRUTOS'!CZ$3:CZ$500)))</f>
        <v>0</v>
      </c>
      <c r="GA10" s="133" t="n">
        <f aca="false">IF(OR(GA$4="",$B10=""),0,SUMIF('DADOS BRUTOS'!$A$3:$A$500,$B10,'DADOS BRUTOS'!DA$3:DA$500)+IF($C10="",0,SUMIF('DADOS BRUTOS'!$A$3:$A$500,$C10,'DADOS BRUTOS'!DA$3:DA$500)))</f>
        <v>0</v>
      </c>
      <c r="GB10" s="133" t="n">
        <f aca="false">IF(OR(GB$4="",$B10=""),0,SUMIF('DADOS BRUTOS'!$A$3:$A$500,$B10,'DADOS BRUTOS'!DB$3:DB$500)+IF($C10="",0,SUMIF('DADOS BRUTOS'!$A$3:$A$500,$C10,'DADOS BRUTOS'!DB$3:DB$500)))</f>
        <v>0</v>
      </c>
      <c r="GC10" s="133" t="n">
        <f aca="false">IF(OR(GC$4="",$B10=""),0,SUMIF('DADOS BRUTOS'!$A$3:$A$500,$B10,'DADOS BRUTOS'!DC$3:DC$500)+IF($C10="",0,SUMIF('DADOS BRUTOS'!$A$3:$A$500,$C10,'DADOS BRUTOS'!DC$3:DC$500)))</f>
        <v>0</v>
      </c>
      <c r="GD10" s="133" t="n">
        <f aca="false">IF(OR(GD$4="",$B10=""),0,SUMIF('DADOS BRUTOS'!$A$3:$A$500,$B10,'DADOS BRUTOS'!DD$3:DD$500)+IF($C10="",0,SUMIF('DADOS BRUTOS'!$A$3:$A$500,$C10,'DADOS BRUTOS'!DD$3:DD$500)))</f>
        <v>0</v>
      </c>
      <c r="GE10" s="133" t="n">
        <f aca="false">IF(OR(GE$4="",$B10=""),0,SUMIF('DADOS BRUTOS'!$A$3:$A$500,$B10,'DADOS BRUTOS'!DE$3:DE$500)+IF($C10="",0,SUMIF('DADOS BRUTOS'!$A$3:$A$500,$C10,'DADOS BRUTOS'!DE$3:DE$500)))</f>
        <v>0</v>
      </c>
      <c r="GF10" s="133" t="n">
        <f aca="false">IF(OR(GF$4="",$B10=""),0,SUMIF('DADOS BRUTOS'!$A$3:$A$500,$B10,'DADOS BRUTOS'!DF$3:DF$500)+IF($C10="",0,SUMIF('DADOS BRUTOS'!$A$3:$A$500,$C10,'DADOS BRUTOS'!DF$3:DF$500)))</f>
        <v>0</v>
      </c>
      <c r="GG10" s="133" t="n">
        <f aca="false">IF(OR(GG$4="",$B10=""),0,SUMIF('DADOS BRUTOS'!$A$3:$A$500,$B10,'DADOS BRUTOS'!DG$3:DG$500)+IF($C10="",0,SUMIF('DADOS BRUTOS'!$A$3:$A$500,$C10,'DADOS BRUTOS'!DG$3:DG$500)))</f>
        <v>0</v>
      </c>
      <c r="GH10" s="133" t="n">
        <f aca="false">IF(OR(GH$4="",$B10=""),0,SUMIF('DADOS BRUTOS'!$A$3:$A$500,$B10,'DADOS BRUTOS'!DH$3:DH$500)+IF($C10="",0,SUMIF('DADOS BRUTOS'!$A$3:$A$500,$C10,'DADOS BRUTOS'!DH$3:DH$500)))</f>
        <v>0</v>
      </c>
      <c r="GI10" s="133" t="n">
        <f aca="false">IF(OR(GI$4="",$B10=""),0,SUMIF('DADOS BRUTOS'!$A$3:$A$500,$B10,'DADOS BRUTOS'!DI$3:DI$500)+IF($C10="",0,SUMIF('DADOS BRUTOS'!$A$3:$A$500,$C10,'DADOS BRUTOS'!DI$3:DI$500)))</f>
        <v>0</v>
      </c>
      <c r="GJ10" s="133" t="n">
        <f aca="false">IF(OR(GJ$4="",$B10=""),0,SUMIF('DADOS BRUTOS'!$A$3:$A$500,$B10,'DADOS BRUTOS'!DJ$3:DJ$500)+IF($C10="",0,SUMIF('DADOS BRUTOS'!$A$3:$A$500,$C10,'DADOS BRUTOS'!DJ$3:DJ$500)))</f>
        <v>0</v>
      </c>
      <c r="GK10" s="133" t="n">
        <f aca="false">IF(OR(GK$4="",$B10=""),0,SUMIF('DADOS BRUTOS'!$A$3:$A$500,$B10,'DADOS BRUTOS'!DK$3:DK$500)+IF($C10="",0,SUMIF('DADOS BRUTOS'!$A$3:$A$500,$C10,'DADOS BRUTOS'!DK$3:DK$500)))</f>
        <v>0</v>
      </c>
      <c r="GL10" s="133" t="n">
        <f aca="false">IF(OR(GL$4="",$B10=""),0,SUMIF('DADOS BRUTOS'!$A$3:$A$500,$B10,'DADOS BRUTOS'!DL$3:DL$500)+IF($C10="",0,SUMIF('DADOS BRUTOS'!$A$3:$A$500,$C10,'DADOS BRUTOS'!DL$3:DL$500)))</f>
        <v>0</v>
      </c>
      <c r="GM10" s="133" t="n">
        <f aca="false">IF(OR(GM$4="",$B10=""),0,SUMIF('DADOS BRUTOS'!$A$3:$A$500,$B10,'DADOS BRUTOS'!DM$3:DM$500)+IF($C10="",0,SUMIF('DADOS BRUTOS'!$A$3:$A$500,$C10,'DADOS BRUTOS'!DM$3:DM$500)))</f>
        <v>0</v>
      </c>
      <c r="GN10" s="133" t="n">
        <f aca="false">IF(OR(GN$4="",$B10=""),0,SUMIF('DADOS BRUTOS'!$A$3:$A$500,$B10,'DADOS BRUTOS'!DN$3:DN$500)+IF($C10="",0,SUMIF('DADOS BRUTOS'!$A$3:$A$500,$C10,'DADOS BRUTOS'!DN$3:DN$500)))</f>
        <v>0</v>
      </c>
      <c r="GO10" s="133" t="n">
        <f aca="false">IF(OR(GO$4="",$B10=""),0,SUMIF('DADOS BRUTOS'!$A$3:$A$500,$B10,'DADOS BRUTOS'!DO$3:DO$500)+IF($C10="",0,SUMIF('DADOS BRUTOS'!$A$3:$A$500,$C10,'DADOS BRUTOS'!DO$3:DO$500)))</f>
        <v>0</v>
      </c>
      <c r="GP10" s="133" t="n">
        <f aca="false">IF(OR(GP$4="",$B10=""),0,SUMIF('DADOS BRUTOS'!$A$3:$A$500,$B10,'DADOS BRUTOS'!DP$3:DP$500)+IF($C10="",0,SUMIF('DADOS BRUTOS'!$A$3:$A$500,$C10,'DADOS BRUTOS'!DP$3:DP$500)))</f>
        <v>0</v>
      </c>
      <c r="GQ10" s="133" t="n">
        <f aca="false">IF(OR(GQ$4="",$B10=""),0,SUMIF('DADOS BRUTOS'!$A$3:$A$500,$B10,'DADOS BRUTOS'!DQ$3:DQ$500)+IF($C10="",0,SUMIF('DADOS BRUTOS'!$A$3:$A$500,$C10,'DADOS BRUTOS'!DQ$3:DQ$500)))</f>
        <v>0</v>
      </c>
      <c r="GR10" s="133" t="n">
        <f aca="false">IF(OR(GR$4="",$B10=""),0,SUMIF('DADOS BRUTOS'!$A$3:$A$500,$B10,'DADOS BRUTOS'!DR$3:DR$500)+IF($C10="",0,SUMIF('DADOS BRUTOS'!$A$3:$A$500,$C10,'DADOS BRUTOS'!DR$3:DR$500)))</f>
        <v>0</v>
      </c>
      <c r="GS10" s="133" t="n">
        <f aca="false">IF(OR(GS$4="",$B10=""),0,SUMIF('DADOS BRUTOS'!$A$3:$A$500,$B10,'DADOS BRUTOS'!DS$3:DS$500)+IF($C10="",0,SUMIF('DADOS BRUTOS'!$A$3:$A$500,$C10,'DADOS BRUTOS'!DS$3:DS$500)))</f>
        <v>0</v>
      </c>
      <c r="GT10" s="133" t="n">
        <f aca="false">IF(OR(GT$4="",$B10=""),0,SUMIF('DADOS BRUTOS'!$A$3:$A$500,$B10,'DADOS BRUTOS'!DT$3:DT$500)+IF($C10="",0,SUMIF('DADOS BRUTOS'!$A$3:$A$500,$C10,'DADOS BRUTOS'!DT$3:DT$500)))</f>
        <v>0</v>
      </c>
      <c r="GU10" s="133" t="n">
        <f aca="false">IF(OR(GU$4="",$B10=""),0,SUMIF('DADOS BRUTOS'!$A$3:$A$500,$B10,'DADOS BRUTOS'!DU$3:DU$500)+IF($C10="",0,SUMIF('DADOS BRUTOS'!$A$3:$A$500,$C10,'DADOS BRUTOS'!DU$3:DU$500)))</f>
        <v>0</v>
      </c>
      <c r="GV10" s="133" t="n">
        <f aca="false">IF(OR(GV$4="",$B10=""),0,SUMIF('DADOS BRUTOS'!$A$3:$A$500,$B10,'DADOS BRUTOS'!DV$3:DV$500)+IF($C10="",0,SUMIF('DADOS BRUTOS'!$A$3:$A$500,$C10,'DADOS BRUTOS'!DV$3:DV$500)))</f>
        <v>0</v>
      </c>
      <c r="GW10" s="133" t="n">
        <f aca="false">IF(OR(GW$4="",$B10=""),0,SUMIF('DADOS BRUTOS'!$A$3:$A$500,$B10,'DADOS BRUTOS'!DW$3:DW$500)+IF($C10="",0,SUMIF('DADOS BRUTOS'!$A$3:$A$500,$C10,'DADOS BRUTOS'!DW$3:DW$500)))</f>
        <v>0</v>
      </c>
      <c r="GX10" s="133" t="n">
        <f aca="false">IF(OR(GX$4="",$B10=""),0,SUMIF('DADOS BRUTOS'!$A$3:$A$500,$B10,'DADOS BRUTOS'!DX$3:DX$500)+IF($C10="",0,SUMIF('DADOS BRUTOS'!$A$3:$A$500,$C10,'DADOS BRUTOS'!DX$3:DX$500)))</f>
        <v>0</v>
      </c>
      <c r="GY10" s="133" t="n">
        <f aca="false">IF(OR(GY$4="",$B10=""),0,SUMIF('DADOS BRUTOS'!$A$3:$A$500,$B10,'DADOS BRUTOS'!DY$3:DY$500)+IF($C10="",0,SUMIF('DADOS BRUTOS'!$A$3:$A$500,$C10,'DADOS BRUTOS'!DY$3:DY$500)))</f>
        <v>0</v>
      </c>
      <c r="GZ10" s="133" t="n">
        <f aca="false">IF(OR(GZ$4="",$B10=""),0,SUMIF('DADOS BRUTOS'!$A$3:$A$500,$B10,'DADOS BRUTOS'!DZ$3:DZ$500)+IF($C10="",0,SUMIF('DADOS BRUTOS'!$A$3:$A$500,$C10,'DADOS BRUTOS'!DZ$3:DZ$500)))</f>
        <v>0</v>
      </c>
      <c r="HA10" s="133" t="n">
        <f aca="false">IF(OR(HA$4="",$B10=""),0,SUMIF('DADOS BRUTOS'!$A$3:$A$500,$B10,'DADOS BRUTOS'!EA$3:EA$500)+IF($C10="",0,SUMIF('DADOS BRUTOS'!$A$3:$A$500,$C10,'DADOS BRUTOS'!EA$3:EA$500)))</f>
        <v>0</v>
      </c>
      <c r="HB10" s="133" t="n">
        <f aca="false">IF(OR(HB$4="",$B10=""),0,SUMIF('DADOS BRUTOS'!$A$3:$A$500,$B10,'DADOS BRUTOS'!EB$3:EB$500)+IF($C10="",0,SUMIF('DADOS BRUTOS'!$A$3:$A$500,$C10,'DADOS BRUTOS'!EB$3:EB$500)))</f>
        <v>0</v>
      </c>
      <c r="HC10" s="133" t="n">
        <f aca="false">IF(OR(HC$4="",$B10=""),0,SUMIF('DADOS BRUTOS'!$A$3:$A$500,$B10,'DADOS BRUTOS'!EC$3:EC$500)+IF($C10="",0,SUMIF('DADOS BRUTOS'!$A$3:$A$500,$C10,'DADOS BRUTOS'!EC$3:EC$500)))</f>
        <v>0</v>
      </c>
      <c r="HD10" s="133" t="n">
        <f aca="false">IF(OR(HD$4="",$B10=""),0,SUMIF('DADOS BRUTOS'!$A$3:$A$500,$B10,'DADOS BRUTOS'!ED$3:ED$500)+IF($C10="",0,SUMIF('DADOS BRUTOS'!$A$3:$A$500,$C10,'DADOS BRUTOS'!ED$3:ED$500)))</f>
        <v>0</v>
      </c>
      <c r="HE10" s="133" t="n">
        <f aca="false">IF(OR(HE$4="",$B10=""),0,SUMIF('DADOS BRUTOS'!$A$3:$A$500,$B10,'DADOS BRUTOS'!EE$3:EE$500)+IF($C10="",0,SUMIF('DADOS BRUTOS'!$A$3:$A$500,$C10,'DADOS BRUTOS'!EE$3:EE$500)))</f>
        <v>0</v>
      </c>
      <c r="HF10" s="133" t="n">
        <f aca="false">IF(OR(HF$4="",$B10=""),0,SUMIF('DADOS BRUTOS'!$A$3:$A$500,$B10,'DADOS BRUTOS'!EF$3:EF$500)+IF($C10="",0,SUMIF('DADOS BRUTOS'!$A$3:$A$500,$C10,'DADOS BRUTOS'!EF$3:EF$500)))</f>
        <v>0</v>
      </c>
      <c r="HG10" s="133" t="n">
        <f aca="false">IF(OR(HG$4="",$B10=""),0,SUMIF('DADOS BRUTOS'!$A$3:$A$500,$B10,'DADOS BRUTOS'!EG$3:EG$500)+IF($C10="",0,SUMIF('DADOS BRUTOS'!$A$3:$A$500,$C10,'DADOS BRUTOS'!EG$3:EG$500)))</f>
        <v>0</v>
      </c>
      <c r="HH10" s="133" t="n">
        <f aca="false">IF(OR(HH$4="",$B10=""),0,SUMIF('DADOS BRUTOS'!$A$3:$A$500,$B10,'DADOS BRUTOS'!EH$3:EH$500)+IF($C10="",0,SUMIF('DADOS BRUTOS'!$A$3:$A$500,$C10,'DADOS BRUTOS'!EH$3:EH$500)))</f>
        <v>0</v>
      </c>
      <c r="HI10" s="133" t="n">
        <f aca="false">IF(OR(HI$4="",$B10=""),0,SUMIF('DADOS BRUTOS'!$A$3:$A$500,$B10,'DADOS BRUTOS'!EI$3:EI$500)+IF($C10="",0,SUMIF('DADOS BRUTOS'!$A$3:$A$500,$C10,'DADOS BRUTOS'!EI$3:EI$500)))</f>
        <v>0</v>
      </c>
      <c r="HJ10" s="133" t="n">
        <f aca="false">IF(OR(HJ$4="",$B10=""),0,SUMIF('DADOS BRUTOS'!$A$3:$A$500,$B10,'DADOS BRUTOS'!EJ$3:EJ$500)+IF($C10="",0,SUMIF('DADOS BRUTOS'!$A$3:$A$500,$C10,'DADOS BRUTOS'!EJ$3:EJ$500)))</f>
        <v>0</v>
      </c>
      <c r="HK10" s="133" t="n">
        <f aca="false">IF(OR(HK$4="",$B10=""),0,SUMIF('DADOS BRUTOS'!$A$3:$A$500,$B10,'DADOS BRUTOS'!EK$3:EK$500)+IF($C10="",0,SUMIF('DADOS BRUTOS'!$A$3:$A$500,$C10,'DADOS BRUTOS'!EK$3:EK$500)))</f>
        <v>0</v>
      </c>
      <c r="HL10" s="133" t="n">
        <f aca="false">IF(OR(HL$4="",$B10=""),0,SUMIF('DADOS BRUTOS'!$A$3:$A$500,$B10,'DADOS BRUTOS'!EL$3:EL$500)+IF($C10="",0,SUMIF('DADOS BRUTOS'!$A$3:$A$500,$C10,'DADOS BRUTOS'!EL$3:EL$500)))</f>
        <v>0</v>
      </c>
      <c r="HM10" s="133" t="n">
        <f aca="false">IF(OR(HM$4="",$B10=""),0,SUMIF('DADOS BRUTOS'!$A$3:$A$500,$B10,'DADOS BRUTOS'!EM$3:EM$500)+IF($C10="",0,SUMIF('DADOS BRUTOS'!$A$3:$A$500,$C10,'DADOS BRUTOS'!EM$3:EM$500)))</f>
        <v>0</v>
      </c>
      <c r="HN10" s="133" t="n">
        <f aca="false">IF(OR(HN$4="",$B10=""),0,SUMIF('DADOS BRUTOS'!$A$3:$A$500,$B10,'DADOS BRUTOS'!EN$3:EN$500)+IF($C10="",0,SUMIF('DADOS BRUTOS'!$A$3:$A$500,$C10,'DADOS BRUTOS'!EN$3:EN$500)))</f>
        <v>0</v>
      </c>
      <c r="HO10" s="133" t="n">
        <f aca="false">IF(OR(HO$4="",$B10=""),0,SUMIF('DADOS BRUTOS'!$A$3:$A$500,$B10,'DADOS BRUTOS'!EO$3:EO$500)+IF($C10="",0,SUMIF('DADOS BRUTOS'!$A$3:$A$500,$C10,'DADOS BRUTOS'!EO$3:EO$500)))</f>
        <v>0</v>
      </c>
      <c r="HP10" s="133" t="n">
        <f aca="false">IF(OR(HP$4="",$B10=""),0,SUMIF('DADOS BRUTOS'!$A$3:$A$500,$B10,'DADOS BRUTOS'!EP$3:EP$500)+IF($C10="",0,SUMIF('DADOS BRUTOS'!$A$3:$A$500,$C10,'DADOS BRUTOS'!EP$3:EP$500)))</f>
        <v>0</v>
      </c>
      <c r="HQ10" s="133" t="n">
        <f aca="false">IF(OR(HQ$4="",$B10=""),0,SUMIF('DADOS BRUTOS'!$A$3:$A$500,$B10,'DADOS BRUTOS'!EQ$3:EQ$500)+IF($C10="",0,SUMIF('DADOS BRUTOS'!$A$3:$A$500,$C10,'DADOS BRUTOS'!EQ$3:EQ$500)))</f>
        <v>0</v>
      </c>
      <c r="HR10" s="133" t="n">
        <f aca="false">IF(OR(HR$4="",$B10=""),0,SUMIF('DADOS BRUTOS'!$A$3:$A$500,$B10,'DADOS BRUTOS'!ER$3:ER$500)+IF($C10="",0,SUMIF('DADOS BRUTOS'!$A$3:$A$500,$C10,'DADOS BRUTOS'!ER$3:ER$500)))</f>
        <v>0</v>
      </c>
      <c r="HS10" s="133" t="n">
        <f aca="false">IF(OR(HS$4="",$B10=""),0,SUMIF('DADOS BRUTOS'!$A$3:$A$500,$B10,'DADOS BRUTOS'!ES$3:ES$500)+IF($C10="",0,SUMIF('DADOS BRUTOS'!$A$3:$A$500,$C10,'DADOS BRUTOS'!ES$3:ES$500)))</f>
        <v>0</v>
      </c>
      <c r="HT10" s="133" t="n">
        <f aca="false">IF(OR(HT$4="",$B10=""),0,SUMIF('DADOS BRUTOS'!$A$3:$A$500,$B10,'DADOS BRUTOS'!ET$3:ET$500)+IF($C10="",0,SUMIF('DADOS BRUTOS'!$A$3:$A$500,$C10,'DADOS BRUTOS'!ET$3:ET$500)))</f>
        <v>0</v>
      </c>
      <c r="HU10" s="133" t="n">
        <f aca="false">IF(OR(HU$4="",$B10=""),0,SUMIF('DADOS BRUTOS'!$A$3:$A$500,$B10,'DADOS BRUTOS'!EU$3:EU$500)+IF($C10="",0,SUMIF('DADOS BRUTOS'!$A$3:$A$500,$C10,'DADOS BRUTOS'!EU$3:EU$500)))</f>
        <v>0</v>
      </c>
      <c r="HV10" s="133" t="n">
        <f aca="false">IF(OR(HV$4="",$B10=""),0,SUMIF('DADOS BRUTOS'!$A$3:$A$500,$B10,'DADOS BRUTOS'!EV$3:EV$500)+IF($C10="",0,SUMIF('DADOS BRUTOS'!$A$3:$A$500,$C10,'DADOS BRUTOS'!EV$3:EV$500)))</f>
        <v>0</v>
      </c>
      <c r="HW10" s="133" t="n">
        <f aca="false">IF(OR(HW$4="",$B10=""),0,SUMIF('DADOS BRUTOS'!$A$3:$A$500,$B10,'DADOS BRUTOS'!EW$3:EW$500)+IF($C10="",0,SUMIF('DADOS BRUTOS'!$A$3:$A$500,$C10,'DADOS BRUTOS'!EW$3:EW$500)))</f>
        <v>0</v>
      </c>
      <c r="HX10" s="133" t="n">
        <f aca="false">IF(OR(HX$4="",$B10=""),0,SUMIF('DADOS BRUTOS'!$A$3:$A$500,$B10,'DADOS BRUTOS'!EX$3:EX$500)+IF($C10="",0,SUMIF('DADOS BRUTOS'!$A$3:$A$500,$C10,'DADOS BRUTOS'!EX$3:EX$500)))</f>
        <v>0</v>
      </c>
      <c r="HY10" s="133" t="n">
        <f aca="false">IF(OR(HY$4="",$B10=""),0,SUMIF('DADOS BRUTOS'!$A$3:$A$500,$B10,'DADOS BRUTOS'!EY$3:EY$500)+IF($C10="",0,SUMIF('DADOS BRUTOS'!$A$3:$A$500,$C10,'DADOS BRUTOS'!EY$3:EY$500)))</f>
        <v>0</v>
      </c>
      <c r="HZ10" s="133" t="n">
        <f aca="false">IF(OR(HZ$4="",$B10=""),0,SUMIF('DADOS BRUTOS'!$A$3:$A$500,$B10,'DADOS BRUTOS'!EZ$3:EZ$500)+IF($C10="",0,SUMIF('DADOS BRUTOS'!$A$3:$A$500,$C10,'DADOS BRUTOS'!EZ$3:EZ$500)))</f>
        <v>0</v>
      </c>
      <c r="IA10" s="133" t="n">
        <f aca="false">IF(OR(IA$4="",$B10=""),0,SUMIF('DADOS BRUTOS'!$A$3:$A$500,$B10,'DADOS BRUTOS'!FA$3:FA$500)+IF($C10="",0,SUMIF('DADOS BRUTOS'!$A$3:$A$500,$C10,'DADOS BRUTOS'!FA$3:FA$500)))</f>
        <v>0</v>
      </c>
      <c r="IB10" s="133" t="n">
        <f aca="false">IF(OR(IB$4="",$B10=""),0,SUMIF('DADOS BRUTOS'!$A$3:$A$500,$B10,'DADOS BRUTOS'!FB$3:FB$500)+IF($C10="",0,SUMIF('DADOS BRUTOS'!$A$3:$A$500,$C10,'DADOS BRUTOS'!FB$3:FB$500)))</f>
        <v>0</v>
      </c>
      <c r="IC10" s="133" t="n">
        <f aca="false">IF(OR(IC$4="",$B10=""),0,SUMIF('DADOS BRUTOS'!$A$3:$A$500,$B10,'DADOS BRUTOS'!FC$3:FC$500)+IF($C10="",0,SUMIF('DADOS BRUTOS'!$A$3:$A$500,$C10,'DADOS BRUTOS'!FC$3:FC$500)))</f>
        <v>0</v>
      </c>
      <c r="ID10" s="133" t="n">
        <f aca="false">IF(OR(ID$4="",$B10=""),0,SUMIF('DADOS BRUTOS'!$A$3:$A$500,$B10,'DADOS BRUTOS'!FD$3:FD$500)+IF($C10="",0,SUMIF('DADOS BRUTOS'!$A$3:$A$500,$C10,'DADOS BRUTOS'!FD$3:FD$500)))</f>
        <v>0</v>
      </c>
      <c r="IE10" s="133" t="n">
        <f aca="false">IF(OR(IE$4="",$B10=""),0,SUMIF('DADOS BRUTOS'!$A$3:$A$500,$B10,'DADOS BRUTOS'!FE$3:FE$500)+IF($C10="",0,SUMIF('DADOS BRUTOS'!$A$3:$A$500,$C10,'DADOS BRUTOS'!FE$3:FE$500)))</f>
        <v>0</v>
      </c>
      <c r="IF10" s="133" t="n">
        <f aca="false">IF(OR(IF$4="",$B10=""),0,SUMIF('DADOS BRUTOS'!$A$3:$A$500,$B10,'DADOS BRUTOS'!FF$3:FF$500)+IF($C10="",0,SUMIF('DADOS BRUTOS'!$A$3:$A$500,$C10,'DADOS BRUTOS'!FF$3:FF$500)))</f>
        <v>0</v>
      </c>
      <c r="IG10" s="133" t="n">
        <f aca="false">IF(OR(IG$4="",$B10=""),0,SUMIF('DADOS BRUTOS'!$A$3:$A$500,$B10,'DADOS BRUTOS'!FG$3:FG$500)+IF($C10="",0,SUMIF('DADOS BRUTOS'!$A$3:$A$500,$C10,'DADOS BRUTOS'!FG$3:FG$500)))</f>
        <v>0</v>
      </c>
      <c r="IH10" s="133" t="n">
        <f aca="false">IF(OR(IH$4="",$B10=""),0,SUMIF('DADOS BRUTOS'!$A$3:$A$500,$B10,'DADOS BRUTOS'!FH$3:FH$500)+IF($C10="",0,SUMIF('DADOS BRUTOS'!$A$3:$A$500,$C10,'DADOS BRUTOS'!FH$3:FH$500)))</f>
        <v>0</v>
      </c>
      <c r="II10" s="133" t="n">
        <f aca="false">IF(OR(II$4="",$B10=""),0,SUMIF('DADOS BRUTOS'!$A$3:$A$500,$B10,'DADOS BRUTOS'!FI$3:FI$500)+IF($C10="",0,SUMIF('DADOS BRUTOS'!$A$3:$A$500,$C10,'DADOS BRUTOS'!FI$3:FI$500)))</f>
        <v>0</v>
      </c>
      <c r="IJ10" s="133" t="n">
        <f aca="false">IF(OR(IJ$4="",$B10=""),0,SUMIF('DADOS BRUTOS'!$A$3:$A$500,$B10,'DADOS BRUTOS'!FJ$3:FJ$500)+IF($C10="",0,SUMIF('DADOS BRUTOS'!$A$3:$A$500,$C10,'DADOS BRUTOS'!FJ$3:FJ$500)))</f>
        <v>0</v>
      </c>
      <c r="IK10" s="133" t="n">
        <f aca="false">IF(OR(IK$4="",$B10=""),0,SUMIF('DADOS BRUTOS'!$A$3:$A$500,$B10,'DADOS BRUTOS'!FK$3:FK$500)+IF($C10="",0,SUMIF('DADOS BRUTOS'!$A$3:$A$500,$C10,'DADOS BRUTOS'!FK$3:FK$500)))</f>
        <v>0</v>
      </c>
      <c r="IL10" s="133" t="n">
        <f aca="false">IF(OR(IL$4="",$B10=""),0,SUMIF('DADOS BRUTOS'!$A$3:$A$500,$B10,'DADOS BRUTOS'!FL$3:FL$500)+IF($C10="",0,SUMIF('DADOS BRUTOS'!$A$3:$A$500,$C10,'DADOS BRUTOS'!FL$3:FL$500)))</f>
        <v>0</v>
      </c>
      <c r="IM10" s="133" t="n">
        <f aca="false">IF(OR(IM$4="",$B10=""),0,SUMIF('DADOS BRUTOS'!$A$3:$A$500,$B10,'DADOS BRUTOS'!FM$3:FM$500)+IF($C10="",0,SUMIF('DADOS BRUTOS'!$A$3:$A$500,$C10,'DADOS BRUTOS'!FM$3:FM$500)))</f>
        <v>0</v>
      </c>
      <c r="IN10" s="133" t="n">
        <f aca="false">IF(OR(IN$4="",$B10=""),0,SUMIF('DADOS BRUTOS'!$A$3:$A$500,$B10,'DADOS BRUTOS'!FN$3:FN$500)+IF($C10="",0,SUMIF('DADOS BRUTOS'!$A$3:$A$500,$C10,'DADOS BRUTOS'!FN$3:FN$500)))</f>
        <v>0</v>
      </c>
      <c r="IO10" s="133" t="n">
        <f aca="false">IF(OR(IO$4="",$B10=""),0,SUMIF('DADOS BRUTOS'!$A$3:$A$500,$B10,'DADOS BRUTOS'!FO$3:FO$500)+IF($C10="",0,SUMIF('DADOS BRUTOS'!$A$3:$A$500,$C10,'DADOS BRUTOS'!FO$3:FO$500)))</f>
        <v>0</v>
      </c>
      <c r="IP10" s="133" t="n">
        <f aca="false">IF(OR(IP$4="",$B10=""),0,SUMIF('DADOS BRUTOS'!$A$3:$A$500,$B10,'DADOS BRUTOS'!FP$3:FP$500)+IF($C10="",0,SUMIF('DADOS BRUTOS'!$A$3:$A$500,$C10,'DADOS BRUTOS'!FP$3:FP$500)))</f>
        <v>0</v>
      </c>
      <c r="IQ10" s="133" t="n">
        <f aca="false">IF(OR(IQ$4="",$B10=""),0,SUMIF('DADOS BRUTOS'!$A$3:$A$500,$B10,'DADOS BRUTOS'!FQ$3:FQ$500)+IF($C10="",0,SUMIF('DADOS BRUTOS'!$A$3:$A$500,$C10,'DADOS BRUTOS'!FQ$3:FQ$500)))</f>
        <v>0</v>
      </c>
      <c r="IR10" s="133" t="n">
        <f aca="false">IF(OR(IR$4="",$B10=""),0,SUMIF('DADOS BRUTOS'!$A$3:$A$500,$B10,'DADOS BRUTOS'!FR$3:FR$500)+IF($C10="",0,SUMIF('DADOS BRUTOS'!$A$3:$A$500,$C10,'DADOS BRUTOS'!FR$3:FR$500)))</f>
        <v>0</v>
      </c>
      <c r="IS10" s="133" t="n">
        <f aca="false">IF(OR(IS$4="",$B10=""),0,SUMIF('DADOS BRUTOS'!$A$3:$A$500,$B10,'DADOS BRUTOS'!FS$3:FS$500)+IF($C10="",0,SUMIF('DADOS BRUTOS'!$A$3:$A$500,$C10,'DADOS BRUTOS'!FS$3:FS$500)))</f>
        <v>0</v>
      </c>
      <c r="IT10" s="133" t="n">
        <f aca="false">IF(OR(IT$4="",$B10=""),0,SUMIF('DADOS BRUTOS'!$A$3:$A$500,$B10,'DADOS BRUTOS'!FT$3:FT$500)+IF($C10="",0,SUMIF('DADOS BRUTOS'!$A$3:$A$500,$C10,'DADOS BRUTOS'!FT$3:FT$500)))</f>
        <v>0</v>
      </c>
      <c r="IU10" s="133" t="n">
        <f aca="false">IF(OR(IU$4="",$B10=""),0,SUMIF('DADOS BRUTOS'!$A$3:$A$500,$B10,'DADOS BRUTOS'!FU$3:FU$500)+IF($C10="",0,SUMIF('DADOS BRUTOS'!$A$3:$A$500,$C10,'DADOS BRUTOS'!FU$3:FU$500)))</f>
        <v>0</v>
      </c>
      <c r="IV10" s="133" t="n">
        <f aca="false">IF(OR(IV$4="",$B10=""),0,SUMIF('DADOS BRUTOS'!$A$3:$A$500,$B10,'DADOS BRUTOS'!FV$3:FV$500)+IF($C10="",0,SUMIF('DADOS BRUTOS'!$A$3:$A$500,$C10,'DADOS BRUTOS'!FV$3:FV$500)))</f>
        <v>0</v>
      </c>
      <c r="IW10" s="133" t="n">
        <f aca="false">IF(OR(IW$4="",$B10=""),0,SUMIF('DADOS BRUTOS'!$A$3:$A$500,$B10,'DADOS BRUTOS'!FW$3:FW$500)+IF($C10="",0,SUMIF('DADOS BRUTOS'!$A$3:$A$500,$C10,'DADOS BRUTOS'!FW$3:FW$500)))</f>
        <v>0</v>
      </c>
      <c r="IX10" s="133" t="n">
        <f aca="false">IF(OR(IX$4="",$B10=""),0,SUMIF('DADOS BRUTOS'!$A$3:$A$500,$B10,'DADOS BRUTOS'!FX$3:FX$500)+IF($C10="",0,SUMIF('DADOS BRUTOS'!$A$3:$A$500,$C10,'DADOS BRUTOS'!FX$3:FX$500)))</f>
        <v>0</v>
      </c>
      <c r="IY10" s="133" t="n">
        <f aca="false">IF(OR(IY$4="",$B10=""),0,SUMIF('DADOS BRUTOS'!$A$3:$A$500,$B10,'DADOS BRUTOS'!FY$3:FY$500)+IF($C10="",0,SUMIF('DADOS BRUTOS'!$A$3:$A$500,$C10,'DADOS BRUTOS'!FY$3:FY$500)))</f>
        <v>0</v>
      </c>
      <c r="IZ10" s="133" t="n">
        <f aca="false">IF(OR(IZ$4="",$B10=""),0,SUMIF('DADOS BRUTOS'!$A$3:$A$500,$B10,'DADOS BRUTOS'!FZ$3:FZ$500)+IF($C10="",0,SUMIF('DADOS BRUTOS'!$A$3:$A$500,$C10,'DADOS BRUTOS'!FZ$3:FZ$500)))</f>
        <v>0</v>
      </c>
      <c r="JA10" s="133" t="n">
        <f aca="false">IF(OR(JA$4="",$B10=""),0,SUMIF('DADOS BRUTOS'!$A$3:$A$500,$B10,'DADOS BRUTOS'!GA$3:GA$500)+IF($C10="",0,SUMIF('DADOS BRUTOS'!$A$3:$A$500,$C10,'DADOS BRUTOS'!GA$3:GA$500)))</f>
        <v>0</v>
      </c>
      <c r="JB10" s="133" t="n">
        <f aca="false">IF(OR(JB$4="",$B10=""),0,SUMIF('DADOS BRUTOS'!$A$3:$A$500,$B10,'DADOS BRUTOS'!GB$3:GB$500)+IF($C10="",0,SUMIF('DADOS BRUTOS'!$A$3:$A$500,$C10,'DADOS BRUTOS'!GB$3:GB$500)))</f>
        <v>0</v>
      </c>
      <c r="JC10" s="133" t="n">
        <f aca="false">IF(OR(JC$4="",$B10=""),0,SUMIF('DADOS BRUTOS'!$A$3:$A$500,$B10,'DADOS BRUTOS'!GC$3:GC$500)+IF($C10="",0,SUMIF('DADOS BRUTOS'!$A$3:$A$500,$C10,'DADOS BRUTOS'!GC$3:GC$500)))</f>
        <v>0</v>
      </c>
      <c r="JD10" s="133" t="n">
        <f aca="false">IF(OR(JD$4="",$B10=""),0,SUMIF('DADOS BRUTOS'!$A$3:$A$500,$B10,'DADOS BRUTOS'!GD$3:GD$500)+IF($C10="",0,SUMIF('DADOS BRUTOS'!$A$3:$A$500,$C10,'DADOS BRUTOS'!GD$3:GD$500)))</f>
        <v>0</v>
      </c>
      <c r="JE10" s="133" t="n">
        <f aca="false">IF(OR(JE$4="",$B10=""),0,SUMIF('DADOS BRUTOS'!$A$3:$A$500,$B10,'DADOS BRUTOS'!GE$3:GE$500)+IF($C10="",0,SUMIF('DADOS BRUTOS'!$A$3:$A$500,$C10,'DADOS BRUTOS'!GE$3:GE$500)))</f>
        <v>0</v>
      </c>
      <c r="JF10" s="133" t="n">
        <f aca="false">IF(OR(JF$4="",$B10=""),0,SUMIF('DADOS BRUTOS'!$A$3:$A$500,$B10,'DADOS BRUTOS'!GF$3:GF$500)+IF($C10="",0,SUMIF('DADOS BRUTOS'!$A$3:$A$500,$C10,'DADOS BRUTOS'!GF$3:GF$500)))</f>
        <v>0</v>
      </c>
      <c r="JG10" s="133" t="n">
        <f aca="false">IF(OR(JG$4="",$B10=""),0,SUMIF('DADOS BRUTOS'!$A$3:$A$500,$B10,'DADOS BRUTOS'!GG$3:GG$500)+IF($C10="",0,SUMIF('DADOS BRUTOS'!$A$3:$A$500,$C10,'DADOS BRUTOS'!GG$3:GG$500)))</f>
        <v>0</v>
      </c>
      <c r="JH10" s="133" t="n">
        <f aca="false">IF(OR(JH$4="",$B10=""),0,SUMIF('DADOS BRUTOS'!$A$3:$A$500,$B10,'DADOS BRUTOS'!GH$3:GH$500)+IF($C10="",0,SUMIF('DADOS BRUTOS'!$A$3:$A$500,$C10,'DADOS BRUTOS'!GH$3:GH$500)))</f>
        <v>0</v>
      </c>
      <c r="JI10" s="133" t="n">
        <f aca="false">IF(OR(JI$4="",$B10=""),0,SUMIF('DADOS BRUTOS'!$A$3:$A$500,$B10,'DADOS BRUTOS'!GI$3:GI$500)+IF($C10="",0,SUMIF('DADOS BRUTOS'!$A$3:$A$500,$C10,'DADOS BRUTOS'!GI$3:GI$500)))</f>
        <v>0</v>
      </c>
      <c r="JJ10" s="133" t="n">
        <f aca="false">IF(OR(JJ$4="",$B10=""),0,SUMIF('DADOS BRUTOS'!$A$3:$A$500,$B10,'DADOS BRUTOS'!GJ$3:GJ$500)+IF($C10="",0,SUMIF('DADOS BRUTOS'!$A$3:$A$500,$C10,'DADOS BRUTOS'!GJ$3:GJ$500)))</f>
        <v>0</v>
      </c>
      <c r="JK10" s="133" t="n">
        <f aca="false">IF(OR(JK$4="",$B10=""),0,SUMIF('DADOS BRUTOS'!$A$3:$A$500,$B10,'DADOS BRUTOS'!GK$3:GK$500)+IF($C10="",0,SUMIF('DADOS BRUTOS'!$A$3:$A$500,$C10,'DADOS BRUTOS'!GK$3:GK$500)))</f>
        <v>0</v>
      </c>
      <c r="JL10" s="133" t="n">
        <f aca="false">IF(OR(JL$4="",$B10=""),0,SUMIF('DADOS BRUTOS'!$A$3:$A$500,$B10,'DADOS BRUTOS'!GL$3:GL$500)+IF($C10="",0,SUMIF('DADOS BRUTOS'!$A$3:$A$500,$C10,'DADOS BRUTOS'!GL$3:GL$500)))</f>
        <v>0</v>
      </c>
      <c r="JM10" s="133" t="n">
        <f aca="false">IF(OR(JM$4="",$B10=""),0,SUMIF('DADOS BRUTOS'!$A$3:$A$500,$B10,'DADOS BRUTOS'!GM$3:GM$500)+IF($C10="",0,SUMIF('DADOS BRUTOS'!$A$3:$A$500,$C10,'DADOS BRUTOS'!GM$3:GM$500)))</f>
        <v>0</v>
      </c>
      <c r="JN10" s="133" t="n">
        <f aca="false">IF(OR(JN$4="",$B10=""),0,SUMIF('DADOS BRUTOS'!$A$3:$A$500,$B10,'DADOS BRUTOS'!GN$3:GN$500)+IF($C10="",0,SUMIF('DADOS BRUTOS'!$A$3:$A$500,$C10,'DADOS BRUTOS'!GN$3:GN$500)))</f>
        <v>0</v>
      </c>
      <c r="JO10" s="133" t="n">
        <f aca="false">IF(OR(JO$4="",$B10=""),0,SUMIF('DADOS BRUTOS'!$A$3:$A$500,$B10,'DADOS BRUTOS'!GO$3:GO$500)+IF($C10="",0,SUMIF('DADOS BRUTOS'!$A$3:$A$500,$C10,'DADOS BRUTOS'!GO$3:GO$500)))</f>
        <v>0</v>
      </c>
      <c r="JP10" s="133" t="n">
        <f aca="false">IF(OR(JP$4="",$B10=""),0,SUMIF('DADOS BRUTOS'!$A$3:$A$500,$B10,'DADOS BRUTOS'!GP$3:GP$500)+IF($C10="",0,SUMIF('DADOS BRUTOS'!$A$3:$A$500,$C10,'DADOS BRUTOS'!GP$3:GP$500)))</f>
        <v>0</v>
      </c>
      <c r="JQ10" s="133" t="n">
        <f aca="false">IF(OR(JQ$4="",$B10=""),0,SUMIF('DADOS BRUTOS'!$A$3:$A$500,$B10,'DADOS BRUTOS'!GQ$3:GQ$500)+IF($C10="",0,SUMIF('DADOS BRUTOS'!$A$3:$A$500,$C10,'DADOS BRUTOS'!GQ$3:GQ$500)))</f>
        <v>0</v>
      </c>
      <c r="JR10" s="133" t="n">
        <f aca="false">IF(OR(JR$4="",$B10=""),0,SUMIF('DADOS BRUTOS'!$A$3:$A$500,$B10,'DADOS BRUTOS'!GR$3:GR$500)+IF($C10="",0,SUMIF('DADOS BRUTOS'!$A$3:$A$500,$C10,'DADOS BRUTOS'!GR$3:GR$500)))</f>
        <v>0</v>
      </c>
      <c r="JS10" s="133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/>
      <c r="D11" s="50" t="n">
        <f aca="false">SUMIF($CB$4:$JS$4,"&lt;="&amp;D$4,$CB11:$JS11)</f>
        <v>6471.14</v>
      </c>
      <c r="E11" s="50" t="n">
        <f aca="false">SUMIF($CB$4:$JS$4,E$4,$CB11:$JS11)</f>
        <v>531.73</v>
      </c>
      <c r="F11" s="50" t="n">
        <f aca="false">SUMIF($CB$4:$JS$4,F$4,$CB11:$JS11)</f>
        <v>859.01</v>
      </c>
      <c r="G11" s="50" t="n">
        <f aca="false">SUMIF($CB$4:$JS$4,G$4,$CB11:$JS11)</f>
        <v>972.44</v>
      </c>
      <c r="H11" s="50" t="n">
        <f aca="false">SUMIF($CB$4:$JS$4,H$4,$CB11:$JS11)</f>
        <v>7674.44</v>
      </c>
      <c r="I11" s="50" t="n">
        <f aca="false">SUMIF($CB$4:$JS$4,I$4,$CB11:$JS11)</f>
        <v>2821.4</v>
      </c>
      <c r="J11" s="50" t="n">
        <f aca="false">SUMIF($CB$4:$JS$4,J$4,$CB11:$JS11)</f>
        <v>4688.63</v>
      </c>
      <c r="K11" s="50" t="n">
        <f aca="false">SUMIF($CB$4:$JS$4,K$4,$CB11:$JS11)</f>
        <v>4207.11</v>
      </c>
      <c r="L11" s="50" t="n">
        <f aca="false">SUMIF($CB$4:$JS$4,L$4,$CB11:$JS11)</f>
        <v>7356.51</v>
      </c>
      <c r="M11" s="50" t="n">
        <f aca="false">SUMIF($CB$4:$JS$4,M$4,$CB11:$JS11)</f>
        <v>3941.67</v>
      </c>
      <c r="N11" s="50" t="n">
        <f aca="false">SUMIF($CB$4:$JS$4,N$4,$CB11:$JS11)</f>
        <v>5007.53</v>
      </c>
      <c r="O11" s="50" t="n">
        <f aca="false">SUMIF($CB$4:$JS$4,O$4,$CB11:$JS11)</f>
        <v>4936.49</v>
      </c>
      <c r="P11" s="50" t="n">
        <f aca="false">SUMIF($CB$4:$JS$4,P$4,$CB11:$JS11)</f>
        <v>3510.93</v>
      </c>
      <c r="Q11" s="50" t="n">
        <f aca="false">SUMIF($CB$4:$JS$4,Q$4,$CB11:$JS11)</f>
        <v>2466.39</v>
      </c>
      <c r="R11" s="50" t="n">
        <f aca="false">SUMIF($CB$4:$JS$4,R$4,$CB11:$JS11)</f>
        <v>4287.6</v>
      </c>
      <c r="S11" s="50" t="n">
        <f aca="false">SUMIF($CB$4:$JS$4,S$4,$CB11:$JS11)</f>
        <v>3156.22</v>
      </c>
      <c r="T11" s="50" t="n">
        <f aca="false">SUMIF($CB$4:$JS$4,T$4,$CB11:$JS11)</f>
        <v>5033.53</v>
      </c>
      <c r="U11" s="50" t="n">
        <f aca="false">SUMIF($CB$4:$JS$4,U$4,$CB11:$JS11)</f>
        <v>6749.51</v>
      </c>
      <c r="V11" s="50" t="n">
        <f aca="false">SUMIF($CB$4:$JS$4,V$4,$CB11:$JS11)</f>
        <v>11142.84</v>
      </c>
      <c r="W11" s="50" t="n">
        <f aca="false">SUMIF($CB$4:$JS$4,W$4,$CB11:$JS11)</f>
        <v>9271.15</v>
      </c>
      <c r="X11" s="50" t="n">
        <f aca="false">SUMIF($CB$4:$JS$4,X$4,$CB11:$JS11)</f>
        <v>11459.16</v>
      </c>
      <c r="Y11" s="50" t="n">
        <f aca="false">SUMIF($CB$4:$JS$4,Y$4,$CB11:$JS11)</f>
        <v>10434.08</v>
      </c>
      <c r="Z11" s="50" t="n">
        <f aca="false">SUMIF($CB$4:$JS$4,Z$4,$CB11:$JS11)</f>
        <v>5027.89</v>
      </c>
      <c r="AA11" s="50" t="n">
        <f aca="false">SUMIF($CB$4:$JS$4,AA$4,$CB11:$JS11)</f>
        <v>6209.13</v>
      </c>
      <c r="AB11" s="50" t="n">
        <f aca="false">SUMIF($CB$4:$JS$4,AB$4,$CB11:$JS11)</f>
        <v>576.83</v>
      </c>
      <c r="AC11" s="50" t="n">
        <f aca="false">SUMIF($CB$4:$JS$4,AC$4,$CB11:$JS11)</f>
        <v>0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128793.36</v>
      </c>
      <c r="BZ11" s="45" t="n">
        <f aca="false">SUMPRODUCT(($CB$4:$JS$4&lt;&gt;"")*($CB$4:$JS$4&lt;=$D$4),$CB11:$JS11,$CB$1:$JS$1)</f>
        <v>5.64731759806917</v>
      </c>
      <c r="CB11" s="133" t="n">
        <f aca="false">IF(OR(CB$4="",$B11=""),0,SUMIF('DADOS BRUTOS'!$A$3:$A$500,$B11,'DADOS BRUTOS'!B$3:B$500)+IF($C11="",0,SUMIF('DADOS BRUTOS'!$A$3:$A$500,$C11,'DADOS BRUTOS'!B$3:B$500)))</f>
        <v>0</v>
      </c>
      <c r="CC11" s="133" t="n">
        <f aca="false">IF(OR(CC$4="",$B11=""),0,SUMIF('DADOS BRUTOS'!$A$3:$A$500,$B11,'DADOS BRUTOS'!C$3:C$500)+IF($C11="",0,SUMIF('DADOS BRUTOS'!$A$3:$A$500,$C11,'DADOS BRUTOS'!C$3:C$500)))</f>
        <v>0</v>
      </c>
      <c r="CD11" s="133" t="n">
        <f aca="false">IF(OR(CD$4="",$B11=""),0,SUMIF('DADOS BRUTOS'!$A$3:$A$500,$B11,'DADOS BRUTOS'!D$3:D$500)+IF($C11="",0,SUMIF('DADOS BRUTOS'!$A$3:$A$500,$C11,'DADOS BRUTOS'!D$3:D$500)))</f>
        <v>0</v>
      </c>
      <c r="CE11" s="133" t="n">
        <f aca="false">IF(OR(CE$4="",$B11=""),0,SUMIF('DADOS BRUTOS'!$A$3:$A$500,$B11,'DADOS BRUTOS'!E$3:E$500)+IF($C11="",0,SUMIF('DADOS BRUTOS'!$A$3:$A$500,$C11,'DADOS BRUTOS'!E$3:E$500)))</f>
        <v>0</v>
      </c>
      <c r="CF11" s="133" t="n">
        <f aca="false">IF(OR(CF$4="",$B11=""),0,SUMIF('DADOS BRUTOS'!$A$3:$A$500,$B11,'DADOS BRUTOS'!F$3:F$500)+IF($C11="",0,SUMIF('DADOS BRUTOS'!$A$3:$A$500,$C11,'DADOS BRUTOS'!F$3:F$500)))</f>
        <v>0</v>
      </c>
      <c r="CG11" s="133" t="n">
        <f aca="false">IF(OR(CG$4="",$B11=""),0,SUMIF('DADOS BRUTOS'!$A$3:$A$500,$B11,'DADOS BRUTOS'!G$3:G$500)+IF($C11="",0,SUMIF('DADOS BRUTOS'!$A$3:$A$500,$C11,'DADOS BRUTOS'!G$3:G$500)))</f>
        <v>0</v>
      </c>
      <c r="CH11" s="133" t="n">
        <f aca="false">IF(OR(CH$4="",$B11=""),0,SUMIF('DADOS BRUTOS'!$A$3:$A$500,$B11,'DADOS BRUTOS'!H$3:H$500)+IF($C11="",0,SUMIF('DADOS BRUTOS'!$A$3:$A$500,$C11,'DADOS BRUTOS'!H$3:H$500)))</f>
        <v>0</v>
      </c>
      <c r="CI11" s="133" t="n">
        <f aca="false">IF(OR(CI$4="",$B11=""),0,SUMIF('DADOS BRUTOS'!$A$3:$A$500,$B11,'DADOS BRUTOS'!I$3:I$500)+IF($C11="",0,SUMIF('DADOS BRUTOS'!$A$3:$A$500,$C11,'DADOS BRUTOS'!I$3:I$500)))</f>
        <v>0</v>
      </c>
      <c r="CJ11" s="133" t="n">
        <f aca="false">IF(OR(CJ$4="",$B11=""),0,SUMIF('DADOS BRUTOS'!$A$3:$A$500,$B11,'DADOS BRUTOS'!J$3:J$500)+IF($C11="",0,SUMIF('DADOS BRUTOS'!$A$3:$A$500,$C11,'DADOS BRUTOS'!J$3:J$500)))</f>
        <v>0</v>
      </c>
      <c r="CK11" s="133" t="n">
        <f aca="false">IF(OR(CK$4="",$B11=""),0,SUMIF('DADOS BRUTOS'!$A$3:$A$500,$B11,'DADOS BRUTOS'!K$3:K$500)+IF($C11="",0,SUMIF('DADOS BRUTOS'!$A$3:$A$500,$C11,'DADOS BRUTOS'!K$3:K$500)))</f>
        <v>0</v>
      </c>
      <c r="CL11" s="133" t="n">
        <f aca="false">IF(OR(CL$4="",$B11=""),0,SUMIF('DADOS BRUTOS'!$A$3:$A$500,$B11,'DADOS BRUTOS'!L$3:L$500)+IF($C11="",0,SUMIF('DADOS BRUTOS'!$A$3:$A$500,$C11,'DADOS BRUTOS'!L$3:L$500)))</f>
        <v>0</v>
      </c>
      <c r="CM11" s="133" t="n">
        <f aca="false">IF(OR(CM$4="",$B11=""),0,SUMIF('DADOS BRUTOS'!$A$3:$A$500,$B11,'DADOS BRUTOS'!M$3:M$500)+IF($C11="",0,SUMIF('DADOS BRUTOS'!$A$3:$A$500,$C11,'DADOS BRUTOS'!M$3:M$500)))</f>
        <v>0</v>
      </c>
      <c r="CN11" s="133" t="n">
        <f aca="false">IF(OR(CN$4="",$B11=""),0,SUMIF('DADOS BRUTOS'!$A$3:$A$500,$B11,'DADOS BRUTOS'!N$3:N$500)+IF($C11="",0,SUMIF('DADOS BRUTOS'!$A$3:$A$500,$C11,'DADOS BRUTOS'!N$3:N$500)))</f>
        <v>0</v>
      </c>
      <c r="CO11" s="133" t="n">
        <f aca="false">IF(OR(CO$4="",$B11=""),0,SUMIF('DADOS BRUTOS'!$A$3:$A$500,$B11,'DADOS BRUTOS'!O$3:O$500)+IF($C11="",0,SUMIF('DADOS BRUTOS'!$A$3:$A$500,$C11,'DADOS BRUTOS'!O$3:O$500)))</f>
        <v>0</v>
      </c>
      <c r="CP11" s="133" t="n">
        <f aca="false">IF(OR(CP$4="",$B11=""),0,SUMIF('DADOS BRUTOS'!$A$3:$A$500,$B11,'DADOS BRUTOS'!P$3:P$500)+IF($C11="",0,SUMIF('DADOS BRUTOS'!$A$3:$A$500,$C11,'DADOS BRUTOS'!P$3:P$500)))</f>
        <v>0</v>
      </c>
      <c r="CQ11" s="133" t="n">
        <f aca="false">IF(OR(CQ$4="",$B11=""),0,SUMIF('DADOS BRUTOS'!$A$3:$A$500,$B11,'DADOS BRUTOS'!Q$3:Q$500)+IF($C11="",0,SUMIF('DADOS BRUTOS'!$A$3:$A$500,$C11,'DADOS BRUTOS'!Q$3:Q$500)))</f>
        <v>0</v>
      </c>
      <c r="CR11" s="133" t="n">
        <f aca="false">IF(OR(CR$4="",$B11=""),0,SUMIF('DADOS BRUTOS'!$A$3:$A$500,$B11,'DADOS BRUTOS'!R$3:R$500)+IF($C11="",0,SUMIF('DADOS BRUTOS'!$A$3:$A$500,$C11,'DADOS BRUTOS'!R$3:R$500)))</f>
        <v>0</v>
      </c>
      <c r="CS11" s="133" t="n">
        <f aca="false">IF(OR(CS$4="",$B11=""),0,SUMIF('DADOS BRUTOS'!$A$3:$A$500,$B11,'DADOS BRUTOS'!S$3:S$500)+IF($C11="",0,SUMIF('DADOS BRUTOS'!$A$3:$A$500,$C11,'DADOS BRUTOS'!S$3:S$500)))</f>
        <v>0</v>
      </c>
      <c r="CT11" s="133" t="n">
        <f aca="false">IF(OR(CT$4="",$B11=""),0,SUMIF('DADOS BRUTOS'!$A$3:$A$500,$B11,'DADOS BRUTOS'!T$3:T$500)+IF($C11="",0,SUMIF('DADOS BRUTOS'!$A$3:$A$500,$C11,'DADOS BRUTOS'!T$3:T$500)))</f>
        <v>0</v>
      </c>
      <c r="CU11" s="133" t="n">
        <f aca="false">IF(OR(CU$4="",$B11=""),0,SUMIF('DADOS BRUTOS'!$A$3:$A$500,$B11,'DADOS BRUTOS'!U$3:U$500)+IF($C11="",0,SUMIF('DADOS BRUTOS'!$A$3:$A$500,$C11,'DADOS BRUTOS'!U$3:U$500)))</f>
        <v>0</v>
      </c>
      <c r="CV11" s="133" t="n">
        <f aca="false">IF(OR(CV$4="",$B11=""),0,SUMIF('DADOS BRUTOS'!$A$3:$A$500,$B11,'DADOS BRUTOS'!V$3:V$500)+IF($C11="",0,SUMIF('DADOS BRUTOS'!$A$3:$A$500,$C11,'DADOS BRUTOS'!V$3:V$500)))</f>
        <v>0</v>
      </c>
      <c r="CW11" s="133" t="n">
        <f aca="false">IF(OR(CW$4="",$B11=""),0,SUMIF('DADOS BRUTOS'!$A$3:$A$500,$B11,'DADOS BRUTOS'!W$3:W$500)+IF($C11="",0,SUMIF('DADOS BRUTOS'!$A$3:$A$500,$C11,'DADOS BRUTOS'!W$3:W$500)))</f>
        <v>0</v>
      </c>
      <c r="CX11" s="133" t="n">
        <f aca="false">IF(OR(CX$4="",$B11=""),0,SUMIF('DADOS BRUTOS'!$A$3:$A$500,$B11,'DADOS BRUTOS'!X$3:X$500)+IF($C11="",0,SUMIF('DADOS BRUTOS'!$A$3:$A$500,$C11,'DADOS BRUTOS'!X$3:X$500)))</f>
        <v>0</v>
      </c>
      <c r="CY11" s="133" t="n">
        <f aca="false">IF(OR(CY$4="",$B11=""),0,SUMIF('DADOS BRUTOS'!$A$3:$A$500,$B11,'DADOS BRUTOS'!Y$3:Y$500)+IF($C11="",0,SUMIF('DADOS BRUTOS'!$A$3:$A$500,$C11,'DADOS BRUTOS'!Y$3:Y$500)))</f>
        <v>0</v>
      </c>
      <c r="CZ11" s="133" t="n">
        <f aca="false">IF(OR(CZ$4="",$B11=""),0,SUMIF('DADOS BRUTOS'!$A$3:$A$500,$B11,'DADOS BRUTOS'!Z$3:Z$500)+IF($C11="",0,SUMIF('DADOS BRUTOS'!$A$3:$A$500,$C11,'DADOS BRUTOS'!Z$3:Z$500)))</f>
        <v>0</v>
      </c>
      <c r="DA11" s="133" t="n">
        <f aca="false">IF(OR(DA$4="",$B11=""),0,SUMIF('DADOS BRUTOS'!$A$3:$A$500,$B11,'DADOS BRUTOS'!AA$3:AA$500)+IF($C11="",0,SUMIF('DADOS BRUTOS'!$A$3:$A$500,$C11,'DADOS BRUTOS'!AA$3:AA$500)))</f>
        <v>0</v>
      </c>
      <c r="DB11" s="133" t="n">
        <f aca="false">IF(OR(DB$4="",$B11=""),0,SUMIF('DADOS BRUTOS'!$A$3:$A$500,$B11,'DADOS BRUTOS'!AB$3:AB$500)+IF($C11="",0,SUMIF('DADOS BRUTOS'!$A$3:$A$500,$C11,'DADOS BRUTOS'!AB$3:AB$500)))</f>
        <v>2.66</v>
      </c>
      <c r="DC11" s="133" t="n">
        <f aca="false">IF(OR(DC$4="",$B11=""),0,SUMIF('DADOS BRUTOS'!$A$3:$A$500,$B11,'DADOS BRUTOS'!AC$3:AC$500)+IF($C11="",0,SUMIF('DADOS BRUTOS'!$A$3:$A$500,$C11,'DADOS BRUTOS'!AC$3:AC$500)))</f>
        <v>931.21</v>
      </c>
      <c r="DD11" s="133" t="n">
        <f aca="false">IF(OR(DD$4="",$B11=""),0,SUMIF('DADOS BRUTOS'!$A$3:$A$500,$B11,'DADOS BRUTOS'!AD$3:AD$500)+IF($C11="",0,SUMIF('DADOS BRUTOS'!$A$3:$A$500,$C11,'DADOS BRUTOS'!AD$3:AD$500)))</f>
        <v>614.77</v>
      </c>
      <c r="DE11" s="133" t="n">
        <f aca="false">IF(OR(DE$4="",$B11=""),0,SUMIF('DADOS BRUTOS'!$A$3:$A$500,$B11,'DADOS BRUTOS'!AE$3:AE$500)+IF($C11="",0,SUMIF('DADOS BRUTOS'!$A$3:$A$500,$C11,'DADOS BRUTOS'!AE$3:AE$500)))</f>
        <v>1813.89</v>
      </c>
      <c r="DF11" s="133" t="n">
        <f aca="false">IF(OR(DF$4="",$B11=""),0,SUMIF('DADOS BRUTOS'!$A$3:$A$500,$B11,'DADOS BRUTOS'!AF$3:AF$500)+IF($C11="",0,SUMIF('DADOS BRUTOS'!$A$3:$A$500,$C11,'DADOS BRUTOS'!AF$3:AF$500)))</f>
        <v>388.11</v>
      </c>
      <c r="DG11" s="133" t="n">
        <f aca="false">IF(OR(DG$4="",$B11=""),0,SUMIF('DADOS BRUTOS'!$A$3:$A$500,$B11,'DADOS BRUTOS'!AG$3:AG$500)+IF($C11="",0,SUMIF('DADOS BRUTOS'!$A$3:$A$500,$C11,'DADOS BRUTOS'!AG$3:AG$500)))</f>
        <v>860.94</v>
      </c>
      <c r="DH11" s="133" t="n">
        <f aca="false">IF(OR(DH$4="",$B11=""),0,SUMIF('DADOS BRUTOS'!$A$3:$A$500,$B11,'DADOS BRUTOS'!AH$3:AH$500)+IF($C11="",0,SUMIF('DADOS BRUTOS'!$A$3:$A$500,$C11,'DADOS BRUTOS'!AH$3:AH$500)))</f>
        <v>1859.56</v>
      </c>
      <c r="DI11" s="133" t="n">
        <f aca="false">IF(OR(DI$4="",$B11=""),0,SUMIF('DADOS BRUTOS'!$A$3:$A$500,$B11,'DADOS BRUTOS'!AI$3:AI$500)+IF($C11="",0,SUMIF('DADOS BRUTOS'!$A$3:$A$500,$C11,'DADOS BRUTOS'!AI$3:AI$500)))</f>
        <v>531.73</v>
      </c>
      <c r="DJ11" s="133" t="n">
        <f aca="false">IF(OR(DJ$4="",$B11=""),0,SUMIF('DADOS BRUTOS'!$A$3:$A$500,$B11,'DADOS BRUTOS'!AJ$3:AJ$500)+IF($C11="",0,SUMIF('DADOS BRUTOS'!$A$3:$A$500,$C11,'DADOS BRUTOS'!AJ$3:AJ$500)))</f>
        <v>859.01</v>
      </c>
      <c r="DK11" s="133" t="n">
        <f aca="false">IF(OR(DK$4="",$B11=""),0,SUMIF('DADOS BRUTOS'!$A$3:$A$500,$B11,'DADOS BRUTOS'!AK$3:AK$500)+IF($C11="",0,SUMIF('DADOS BRUTOS'!$A$3:$A$500,$C11,'DADOS BRUTOS'!AK$3:AK$500)))</f>
        <v>972.44</v>
      </c>
      <c r="DL11" s="133" t="n">
        <f aca="false">IF(OR(DL$4="",$B11=""),0,SUMIF('DADOS BRUTOS'!$A$3:$A$500,$B11,'DADOS BRUTOS'!AL$3:AL$500)+IF($C11="",0,SUMIF('DADOS BRUTOS'!$A$3:$A$500,$C11,'DADOS BRUTOS'!AL$3:AL$500)))</f>
        <v>7674.44</v>
      </c>
      <c r="DM11" s="133" t="n">
        <f aca="false">IF(OR(DM$4="",$B11=""),0,SUMIF('DADOS BRUTOS'!$A$3:$A$500,$B11,'DADOS BRUTOS'!AM$3:AM$500)+IF($C11="",0,SUMIF('DADOS BRUTOS'!$A$3:$A$500,$C11,'DADOS BRUTOS'!AM$3:AM$500)))</f>
        <v>2821.4</v>
      </c>
      <c r="DN11" s="133" t="n">
        <f aca="false">IF(OR(DN$4="",$B11=""),0,SUMIF('DADOS BRUTOS'!$A$3:$A$500,$B11,'DADOS BRUTOS'!AN$3:AN$500)+IF($C11="",0,SUMIF('DADOS BRUTOS'!$A$3:$A$500,$C11,'DADOS BRUTOS'!AN$3:AN$500)))</f>
        <v>4688.63</v>
      </c>
      <c r="DO11" s="133" t="n">
        <f aca="false">IF(OR(DO$4="",$B11=""),0,SUMIF('DADOS BRUTOS'!$A$3:$A$500,$B11,'DADOS BRUTOS'!AO$3:AO$500)+IF($C11="",0,SUMIF('DADOS BRUTOS'!$A$3:$A$500,$C11,'DADOS BRUTOS'!AO$3:AO$500)))</f>
        <v>4207.11</v>
      </c>
      <c r="DP11" s="133" t="n">
        <f aca="false">IF(OR(DP$4="",$B11=""),0,SUMIF('DADOS BRUTOS'!$A$3:$A$500,$B11,'DADOS BRUTOS'!AP$3:AP$500)+IF($C11="",0,SUMIF('DADOS BRUTOS'!$A$3:$A$500,$C11,'DADOS BRUTOS'!AP$3:AP$500)))</f>
        <v>7356.51</v>
      </c>
      <c r="DQ11" s="133" t="n">
        <f aca="false">IF(OR(DQ$4="",$B11=""),0,SUMIF('DADOS BRUTOS'!$A$3:$A$500,$B11,'DADOS BRUTOS'!AQ$3:AQ$500)+IF($C11="",0,SUMIF('DADOS BRUTOS'!$A$3:$A$500,$C11,'DADOS BRUTOS'!AQ$3:AQ$500)))</f>
        <v>3941.67</v>
      </c>
      <c r="DR11" s="133" t="n">
        <f aca="false">IF(OR(DR$4="",$B11=""),0,SUMIF('DADOS BRUTOS'!$A$3:$A$500,$B11,'DADOS BRUTOS'!AR$3:AR$500)+IF($C11="",0,SUMIF('DADOS BRUTOS'!$A$3:$A$500,$C11,'DADOS BRUTOS'!AR$3:AR$500)))</f>
        <v>5007.53</v>
      </c>
      <c r="DS11" s="133" t="n">
        <f aca="false">IF(OR(DS$4="",$B11=""),0,SUMIF('DADOS BRUTOS'!$A$3:$A$500,$B11,'DADOS BRUTOS'!AS$3:AS$500)+IF($C11="",0,SUMIF('DADOS BRUTOS'!$A$3:$A$500,$C11,'DADOS BRUTOS'!AS$3:AS$500)))</f>
        <v>4936.49</v>
      </c>
      <c r="DT11" s="133" t="n">
        <f aca="false">IF(OR(DT$4="",$B11=""),0,SUMIF('DADOS BRUTOS'!$A$3:$A$500,$B11,'DADOS BRUTOS'!AT$3:AT$500)+IF($C11="",0,SUMIF('DADOS BRUTOS'!$A$3:$A$500,$C11,'DADOS BRUTOS'!AT$3:AT$500)))</f>
        <v>3510.93</v>
      </c>
      <c r="DU11" s="133" t="n">
        <f aca="false">IF(OR(DU$4="",$B11=""),0,SUMIF('DADOS BRUTOS'!$A$3:$A$500,$B11,'DADOS BRUTOS'!AU$3:AU$500)+IF($C11="",0,SUMIF('DADOS BRUTOS'!$A$3:$A$500,$C11,'DADOS BRUTOS'!AU$3:AU$500)))</f>
        <v>2466.39</v>
      </c>
      <c r="DV11" s="133" t="n">
        <f aca="false">IF(OR(DV$4="",$B11=""),0,SUMIF('DADOS BRUTOS'!$A$3:$A$500,$B11,'DADOS BRUTOS'!AV$3:AV$500)+IF($C11="",0,SUMIF('DADOS BRUTOS'!$A$3:$A$500,$C11,'DADOS BRUTOS'!AV$3:AV$500)))</f>
        <v>4287.6</v>
      </c>
      <c r="DW11" s="133" t="n">
        <f aca="false">IF(OR(DW$4="",$B11=""),0,SUMIF('DADOS BRUTOS'!$A$3:$A$500,$B11,'DADOS BRUTOS'!AW$3:AW$500)+IF($C11="",0,SUMIF('DADOS BRUTOS'!$A$3:$A$500,$C11,'DADOS BRUTOS'!AW$3:AW$500)))</f>
        <v>3156.22</v>
      </c>
      <c r="DX11" s="133" t="n">
        <f aca="false">IF(OR(DX$4="",$B11=""),0,SUMIF('DADOS BRUTOS'!$A$3:$A$500,$B11,'DADOS BRUTOS'!AX$3:AX$500)+IF($C11="",0,SUMIF('DADOS BRUTOS'!$A$3:$A$500,$C11,'DADOS BRUTOS'!AX$3:AX$500)))</f>
        <v>5033.53</v>
      </c>
      <c r="DY11" s="133" t="n">
        <f aca="false">IF(OR(DY$4="",$B11=""),0,SUMIF('DADOS BRUTOS'!$A$3:$A$500,$B11,'DADOS BRUTOS'!AY$3:AY$500)+IF($C11="",0,SUMIF('DADOS BRUTOS'!$A$3:$A$500,$C11,'DADOS BRUTOS'!AY$3:AY$500)))</f>
        <v>6749.51</v>
      </c>
      <c r="DZ11" s="133" t="n">
        <f aca="false">IF(OR(DZ$4="",$B11=""),0,SUMIF('DADOS BRUTOS'!$A$3:$A$500,$B11,'DADOS BRUTOS'!AZ$3:AZ$500)+IF($C11="",0,SUMIF('DADOS BRUTOS'!$A$3:$A$500,$C11,'DADOS BRUTOS'!AZ$3:AZ$500)))</f>
        <v>11142.84</v>
      </c>
      <c r="EA11" s="133" t="n">
        <f aca="false">IF(OR(EA$4="",$B11=""),0,SUMIF('DADOS BRUTOS'!$A$3:$A$500,$B11,'DADOS BRUTOS'!BA$3:BA$500)+IF($C11="",0,SUMIF('DADOS BRUTOS'!$A$3:$A$500,$C11,'DADOS BRUTOS'!BA$3:BA$500)))</f>
        <v>9271.15</v>
      </c>
      <c r="EB11" s="133" t="n">
        <f aca="false">IF(OR(EB$4="",$B11=""),0,SUMIF('DADOS BRUTOS'!$A$3:$A$500,$B11,'DADOS BRUTOS'!BB$3:BB$500)+IF($C11="",0,SUMIF('DADOS BRUTOS'!$A$3:$A$500,$C11,'DADOS BRUTOS'!BB$3:BB$500)))</f>
        <v>11459.16</v>
      </c>
      <c r="EC11" s="133" t="n">
        <f aca="false">IF(OR(EC$4="",$B11=""),0,SUMIF('DADOS BRUTOS'!$A$3:$A$500,$B11,'DADOS BRUTOS'!BC$3:BC$500)+IF($C11="",0,SUMIF('DADOS BRUTOS'!$A$3:$A$500,$C11,'DADOS BRUTOS'!BC$3:BC$500)))</f>
        <v>10434.08</v>
      </c>
      <c r="ED11" s="133" t="n">
        <f aca="false">IF(OR(ED$4="",$B11=""),0,SUMIF('DADOS BRUTOS'!$A$3:$A$500,$B11,'DADOS BRUTOS'!BD$3:BD$500)+IF($C11="",0,SUMIF('DADOS BRUTOS'!$A$3:$A$500,$C11,'DADOS BRUTOS'!BD$3:BD$500)))</f>
        <v>5027.89</v>
      </c>
      <c r="EE11" s="133" t="n">
        <f aca="false">IF(OR(EE$4="",$B11=""),0,SUMIF('DADOS BRUTOS'!$A$3:$A$500,$B11,'DADOS BRUTOS'!BE$3:BE$500)+IF($C11="",0,SUMIF('DADOS BRUTOS'!$A$3:$A$500,$C11,'DADOS BRUTOS'!BE$3:BE$500)))</f>
        <v>6209.13</v>
      </c>
      <c r="EF11" s="133" t="n">
        <f aca="false">IF(OR(EF$4="",$B11=""),0,SUMIF('DADOS BRUTOS'!$A$3:$A$500,$B11,'DADOS BRUTOS'!BF$3:BF$500)+IF($C11="",0,SUMIF('DADOS BRUTOS'!$A$3:$A$500,$C11,'DADOS BRUTOS'!BF$3:BF$500)))</f>
        <v>576.83</v>
      </c>
      <c r="EG11" s="133" t="n">
        <f aca="false">IF(OR(EG$4="",$B11=""),0,SUMIF('DADOS BRUTOS'!$A$3:$A$500,$B11,'DADOS BRUTOS'!BG$3:BG$500)+IF($C11="",0,SUMIF('DADOS BRUTOS'!$A$3:$A$500,$C11,'DADOS BRUTOS'!BG$3:BG$500)))</f>
        <v>0</v>
      </c>
      <c r="EH11" s="133" t="n">
        <f aca="false">IF(OR(EH$4="",$B11=""),0,SUMIF('DADOS BRUTOS'!$A$3:$A$500,$B11,'DADOS BRUTOS'!BH$3:BH$500)+IF($C11="",0,SUMIF('DADOS BRUTOS'!$A$3:$A$500,$C11,'DADOS BRUTOS'!BH$3:BH$500)))</f>
        <v>0</v>
      </c>
      <c r="EI11" s="133" t="n">
        <f aca="false">IF(OR(EI$4="",$B11=""),0,SUMIF('DADOS BRUTOS'!$A$3:$A$500,$B11,'DADOS BRUTOS'!BI$3:BI$500)+IF($C11="",0,SUMIF('DADOS BRUTOS'!$A$3:$A$500,$C11,'DADOS BRUTOS'!BI$3:BI$500)))</f>
        <v>0</v>
      </c>
      <c r="EJ11" s="133" t="n">
        <f aca="false">IF(OR(EJ$4="",$B11=""),0,SUMIF('DADOS BRUTOS'!$A$3:$A$500,$B11,'DADOS BRUTOS'!BJ$3:BJ$500)+IF($C11="",0,SUMIF('DADOS BRUTOS'!$A$3:$A$500,$C11,'DADOS BRUTOS'!BJ$3:BJ$500)))</f>
        <v>0</v>
      </c>
      <c r="EK11" s="133" t="n">
        <f aca="false">IF(OR(EK$4="",$B11=""),0,SUMIF('DADOS BRUTOS'!$A$3:$A$500,$B11,'DADOS BRUTOS'!BK$3:BK$500)+IF($C11="",0,SUMIF('DADOS BRUTOS'!$A$3:$A$500,$C11,'DADOS BRUTOS'!BK$3:BK$500)))</f>
        <v>0</v>
      </c>
      <c r="EL11" s="133" t="n">
        <f aca="false">IF(OR(EL$4="",$B11=""),0,SUMIF('DADOS BRUTOS'!$A$3:$A$500,$B11,'DADOS BRUTOS'!BL$3:BL$500)+IF($C11="",0,SUMIF('DADOS BRUTOS'!$A$3:$A$500,$C11,'DADOS BRUTOS'!BL$3:BL$500)))</f>
        <v>0</v>
      </c>
      <c r="EM11" s="133" t="n">
        <f aca="false">IF(OR(EM$4="",$B11=""),0,SUMIF('DADOS BRUTOS'!$A$3:$A$500,$B11,'DADOS BRUTOS'!BM$3:BM$500)+IF($C11="",0,SUMIF('DADOS BRUTOS'!$A$3:$A$500,$C11,'DADOS BRUTOS'!BM$3:BM$500)))</f>
        <v>0</v>
      </c>
      <c r="EN11" s="133" t="n">
        <f aca="false">IF(OR(EN$4="",$B11=""),0,SUMIF('DADOS BRUTOS'!$A$3:$A$500,$B11,'DADOS BRUTOS'!BN$3:BN$500)+IF($C11="",0,SUMIF('DADOS BRUTOS'!$A$3:$A$500,$C11,'DADOS BRUTOS'!BN$3:BN$500)))</f>
        <v>0</v>
      </c>
      <c r="EO11" s="133" t="n">
        <f aca="false">IF(OR(EO$4="",$B11=""),0,SUMIF('DADOS BRUTOS'!$A$3:$A$500,$B11,'DADOS BRUTOS'!BO$3:BO$500)+IF($C11="",0,SUMIF('DADOS BRUTOS'!$A$3:$A$500,$C11,'DADOS BRUTOS'!BO$3:BO$500)))</f>
        <v>0</v>
      </c>
      <c r="EP11" s="133" t="n">
        <f aca="false">IF(OR(EP$4="",$B11=""),0,SUMIF('DADOS BRUTOS'!$A$3:$A$500,$B11,'DADOS BRUTOS'!BP$3:BP$500)+IF($C11="",0,SUMIF('DADOS BRUTOS'!$A$3:$A$500,$C11,'DADOS BRUTOS'!BP$3:BP$500)))</f>
        <v>0</v>
      </c>
      <c r="EQ11" s="133" t="n">
        <f aca="false">IF(OR(EQ$4="",$B11=""),0,SUMIF('DADOS BRUTOS'!$A$3:$A$500,$B11,'DADOS BRUTOS'!BQ$3:BQ$500)+IF($C11="",0,SUMIF('DADOS BRUTOS'!$A$3:$A$500,$C11,'DADOS BRUTOS'!BQ$3:BQ$500)))</f>
        <v>0</v>
      </c>
      <c r="ER11" s="133" t="n">
        <f aca="false">IF(OR(ER$4="",$B11=""),0,SUMIF('DADOS BRUTOS'!$A$3:$A$500,$B11,'DADOS BRUTOS'!BR$3:BR$500)+IF($C11="",0,SUMIF('DADOS BRUTOS'!$A$3:$A$500,$C11,'DADOS BRUTOS'!BR$3:BR$500)))</f>
        <v>0</v>
      </c>
      <c r="ES11" s="133" t="n">
        <f aca="false">IF(OR(ES$4="",$B11=""),0,SUMIF('DADOS BRUTOS'!$A$3:$A$500,$B11,'DADOS BRUTOS'!BS$3:BS$500)+IF($C11="",0,SUMIF('DADOS BRUTOS'!$A$3:$A$500,$C11,'DADOS BRUTOS'!BS$3:BS$500)))</f>
        <v>0</v>
      </c>
      <c r="ET11" s="133" t="n">
        <f aca="false">IF(OR(ET$4="",$B11=""),0,SUMIF('DADOS BRUTOS'!$A$3:$A$500,$B11,'DADOS BRUTOS'!BT$3:BT$500)+IF($C11="",0,SUMIF('DADOS BRUTOS'!$A$3:$A$500,$C11,'DADOS BRUTOS'!BT$3:BT$500)))</f>
        <v>0</v>
      </c>
      <c r="EU11" s="133" t="n">
        <f aca="false">IF(OR(EU$4="",$B11=""),0,SUMIF('DADOS BRUTOS'!$A$3:$A$500,$B11,'DADOS BRUTOS'!BU$3:BU$500)+IF($C11="",0,SUMIF('DADOS BRUTOS'!$A$3:$A$500,$C11,'DADOS BRUTOS'!BU$3:BU$500)))</f>
        <v>0</v>
      </c>
      <c r="EV11" s="133" t="n">
        <f aca="false">IF(OR(EV$4="",$B11=""),0,SUMIF('DADOS BRUTOS'!$A$3:$A$500,$B11,'DADOS BRUTOS'!BV$3:BV$500)+IF($C11="",0,SUMIF('DADOS BRUTOS'!$A$3:$A$500,$C11,'DADOS BRUTOS'!BV$3:BV$500)))</f>
        <v>0</v>
      </c>
      <c r="EW11" s="133" t="n">
        <f aca="false">IF(OR(EW$4="",$B11=""),0,SUMIF('DADOS BRUTOS'!$A$3:$A$500,$B11,'DADOS BRUTOS'!BW$3:BW$500)+IF($C11="",0,SUMIF('DADOS BRUTOS'!$A$3:$A$500,$C11,'DADOS BRUTOS'!BW$3:BW$500)))</f>
        <v>0</v>
      </c>
      <c r="EX11" s="133" t="n">
        <f aca="false">IF(OR(EX$4="",$B11=""),0,SUMIF('DADOS BRUTOS'!$A$3:$A$500,$B11,'DADOS BRUTOS'!BX$3:BX$500)+IF($C11="",0,SUMIF('DADOS BRUTOS'!$A$3:$A$500,$C11,'DADOS BRUTOS'!BX$3:BX$500)))</f>
        <v>0</v>
      </c>
      <c r="EY11" s="133" t="n">
        <f aca="false">IF(OR(EY$4="",$B11=""),0,SUMIF('DADOS BRUTOS'!$A$3:$A$500,$B11,'DADOS BRUTOS'!BY$3:BY$500)+IF($C11="",0,SUMIF('DADOS BRUTOS'!$A$3:$A$500,$C11,'DADOS BRUTOS'!BY$3:BY$500)))</f>
        <v>0</v>
      </c>
      <c r="EZ11" s="133" t="n">
        <f aca="false">IF(OR(EZ$4="",$B11=""),0,SUMIF('DADOS BRUTOS'!$A$3:$A$500,$B11,'DADOS BRUTOS'!BZ$3:BZ$500)+IF($C11="",0,SUMIF('DADOS BRUTOS'!$A$3:$A$500,$C11,'DADOS BRUTOS'!BZ$3:BZ$500)))</f>
        <v>0</v>
      </c>
      <c r="FA11" s="133" t="n">
        <f aca="false">IF(OR(FA$4="",$B11=""),0,SUMIF('DADOS BRUTOS'!$A$3:$A$500,$B11,'DADOS BRUTOS'!CA$3:CA$500)+IF($C11="",0,SUMIF('DADOS BRUTOS'!$A$3:$A$500,$C11,'DADOS BRUTOS'!CA$3:CA$500)))</f>
        <v>0</v>
      </c>
      <c r="FB11" s="133" t="n">
        <f aca="false">IF(OR(FB$4="",$B11=""),0,SUMIF('DADOS BRUTOS'!$A$3:$A$500,$B11,'DADOS BRUTOS'!CB$3:CB$500)+IF($C11="",0,SUMIF('DADOS BRUTOS'!$A$3:$A$500,$C11,'DADOS BRUTOS'!CB$3:CB$500)))</f>
        <v>0</v>
      </c>
      <c r="FC11" s="133" t="n">
        <f aca="false">IF(OR(FC$4="",$B11=""),0,SUMIF('DADOS BRUTOS'!$A$3:$A$500,$B11,'DADOS BRUTOS'!CC$3:CC$500)+IF($C11="",0,SUMIF('DADOS BRUTOS'!$A$3:$A$500,$C11,'DADOS BRUTOS'!CC$3:CC$500)))</f>
        <v>0</v>
      </c>
      <c r="FD11" s="133" t="n">
        <f aca="false">IF(OR(FD$4="",$B11=""),0,SUMIF('DADOS BRUTOS'!$A$3:$A$500,$B11,'DADOS BRUTOS'!CD$3:CD$500)+IF($C11="",0,SUMIF('DADOS BRUTOS'!$A$3:$A$500,$C11,'DADOS BRUTOS'!CD$3:CD$500)))</f>
        <v>0</v>
      </c>
      <c r="FE11" s="133" t="n">
        <f aca="false">IF(OR(FE$4="",$B11=""),0,SUMIF('DADOS BRUTOS'!$A$3:$A$500,$B11,'DADOS BRUTOS'!CE$3:CE$500)+IF($C11="",0,SUMIF('DADOS BRUTOS'!$A$3:$A$500,$C11,'DADOS BRUTOS'!CE$3:CE$500)))</f>
        <v>0</v>
      </c>
      <c r="FF11" s="133" t="n">
        <f aca="false">IF(OR(FF$4="",$B11=""),0,SUMIF('DADOS BRUTOS'!$A$3:$A$500,$B11,'DADOS BRUTOS'!CF$3:CF$500)+IF($C11="",0,SUMIF('DADOS BRUTOS'!$A$3:$A$500,$C11,'DADOS BRUTOS'!CF$3:CF$500)))</f>
        <v>0</v>
      </c>
      <c r="FG11" s="133" t="n">
        <f aca="false">IF(OR(FG$4="",$B11=""),0,SUMIF('DADOS BRUTOS'!$A$3:$A$500,$B11,'DADOS BRUTOS'!CG$3:CG$500)+IF($C11="",0,SUMIF('DADOS BRUTOS'!$A$3:$A$500,$C11,'DADOS BRUTOS'!CG$3:CG$500)))</f>
        <v>0</v>
      </c>
      <c r="FH11" s="133" t="n">
        <f aca="false">IF(OR(FH$4="",$B11=""),0,SUMIF('DADOS BRUTOS'!$A$3:$A$500,$B11,'DADOS BRUTOS'!CH$3:CH$500)+IF($C11="",0,SUMIF('DADOS BRUTOS'!$A$3:$A$500,$C11,'DADOS BRUTOS'!CH$3:CH$500)))</f>
        <v>0</v>
      </c>
      <c r="FI11" s="133" t="n">
        <f aca="false">IF(OR(FI$4="",$B11=""),0,SUMIF('DADOS BRUTOS'!$A$3:$A$500,$B11,'DADOS BRUTOS'!CI$3:CI$500)+IF($C11="",0,SUMIF('DADOS BRUTOS'!$A$3:$A$500,$C11,'DADOS BRUTOS'!CI$3:CI$500)))</f>
        <v>0</v>
      </c>
      <c r="FJ11" s="133" t="n">
        <f aca="false">IF(OR(FJ$4="",$B11=""),0,SUMIF('DADOS BRUTOS'!$A$3:$A$500,$B11,'DADOS BRUTOS'!CJ$3:CJ$500)+IF($C11="",0,SUMIF('DADOS BRUTOS'!$A$3:$A$500,$C11,'DADOS BRUTOS'!CJ$3:CJ$500)))</f>
        <v>0</v>
      </c>
      <c r="FK11" s="133" t="n">
        <f aca="false">IF(OR(FK$4="",$B11=""),0,SUMIF('DADOS BRUTOS'!$A$3:$A$500,$B11,'DADOS BRUTOS'!CK$3:CK$500)+IF($C11="",0,SUMIF('DADOS BRUTOS'!$A$3:$A$500,$C11,'DADOS BRUTOS'!CK$3:CK$500)))</f>
        <v>0</v>
      </c>
      <c r="FL11" s="133" t="n">
        <f aca="false">IF(OR(FL$4="",$B11=""),0,SUMIF('DADOS BRUTOS'!$A$3:$A$500,$B11,'DADOS BRUTOS'!CL$3:CL$500)+IF($C11="",0,SUMIF('DADOS BRUTOS'!$A$3:$A$500,$C11,'DADOS BRUTOS'!CL$3:CL$500)))</f>
        <v>0</v>
      </c>
      <c r="FM11" s="133" t="n">
        <f aca="false">IF(OR(FM$4="",$B11=""),0,SUMIF('DADOS BRUTOS'!$A$3:$A$500,$B11,'DADOS BRUTOS'!CM$3:CM$500)+IF($C11="",0,SUMIF('DADOS BRUTOS'!$A$3:$A$500,$C11,'DADOS BRUTOS'!CM$3:CM$500)))</f>
        <v>0</v>
      </c>
      <c r="FN11" s="133" t="n">
        <f aca="false">IF(OR(FN$4="",$B11=""),0,SUMIF('DADOS BRUTOS'!$A$3:$A$500,$B11,'DADOS BRUTOS'!CN$3:CN$500)+IF($C11="",0,SUMIF('DADOS BRUTOS'!$A$3:$A$500,$C11,'DADOS BRUTOS'!CN$3:CN$500)))</f>
        <v>0</v>
      </c>
      <c r="FO11" s="133" t="n">
        <f aca="false">IF(OR(FO$4="",$B11=""),0,SUMIF('DADOS BRUTOS'!$A$3:$A$500,$B11,'DADOS BRUTOS'!CO$3:CO$500)+IF($C11="",0,SUMIF('DADOS BRUTOS'!$A$3:$A$500,$C11,'DADOS BRUTOS'!CO$3:CO$500)))</f>
        <v>0</v>
      </c>
      <c r="FP11" s="133" t="n">
        <f aca="false">IF(OR(FP$4="",$B11=""),0,SUMIF('DADOS BRUTOS'!$A$3:$A$500,$B11,'DADOS BRUTOS'!CP$3:CP$500)+IF($C11="",0,SUMIF('DADOS BRUTOS'!$A$3:$A$500,$C11,'DADOS BRUTOS'!CP$3:CP$500)))</f>
        <v>0</v>
      </c>
      <c r="FQ11" s="133" t="n">
        <f aca="false">IF(OR(FQ$4="",$B11=""),0,SUMIF('DADOS BRUTOS'!$A$3:$A$500,$B11,'DADOS BRUTOS'!CQ$3:CQ$500)+IF($C11="",0,SUMIF('DADOS BRUTOS'!$A$3:$A$500,$C11,'DADOS BRUTOS'!CQ$3:CQ$500)))</f>
        <v>0</v>
      </c>
      <c r="FR11" s="133" t="n">
        <f aca="false">IF(OR(FR$4="",$B11=""),0,SUMIF('DADOS BRUTOS'!$A$3:$A$500,$B11,'DADOS BRUTOS'!CR$3:CR$500)+IF($C11="",0,SUMIF('DADOS BRUTOS'!$A$3:$A$500,$C11,'DADOS BRUTOS'!CR$3:CR$500)))</f>
        <v>0</v>
      </c>
      <c r="FS11" s="133" t="n">
        <f aca="false">IF(OR(FS$4="",$B11=""),0,SUMIF('DADOS BRUTOS'!$A$3:$A$500,$B11,'DADOS BRUTOS'!CS$3:CS$500)+IF($C11="",0,SUMIF('DADOS BRUTOS'!$A$3:$A$500,$C11,'DADOS BRUTOS'!CS$3:CS$500)))</f>
        <v>0</v>
      </c>
      <c r="FT11" s="133" t="n">
        <f aca="false">IF(OR(FT$4="",$B11=""),0,SUMIF('DADOS BRUTOS'!$A$3:$A$500,$B11,'DADOS BRUTOS'!CT$3:CT$500)+IF($C11="",0,SUMIF('DADOS BRUTOS'!$A$3:$A$500,$C11,'DADOS BRUTOS'!CT$3:CT$500)))</f>
        <v>0</v>
      </c>
      <c r="FU11" s="133" t="n">
        <f aca="false">IF(OR(FU$4="",$B11=""),0,SUMIF('DADOS BRUTOS'!$A$3:$A$500,$B11,'DADOS BRUTOS'!CU$3:CU$500)+IF($C11="",0,SUMIF('DADOS BRUTOS'!$A$3:$A$500,$C11,'DADOS BRUTOS'!CU$3:CU$500)))</f>
        <v>0</v>
      </c>
      <c r="FV11" s="133" t="n">
        <f aca="false">IF(OR(FV$4="",$B11=""),0,SUMIF('DADOS BRUTOS'!$A$3:$A$500,$B11,'DADOS BRUTOS'!CV$3:CV$500)+IF($C11="",0,SUMIF('DADOS BRUTOS'!$A$3:$A$500,$C11,'DADOS BRUTOS'!CV$3:CV$500)))</f>
        <v>0</v>
      </c>
      <c r="FW11" s="133" t="n">
        <f aca="false">IF(OR(FW$4="",$B11=""),0,SUMIF('DADOS BRUTOS'!$A$3:$A$500,$B11,'DADOS BRUTOS'!CW$3:CW$500)+IF($C11="",0,SUMIF('DADOS BRUTOS'!$A$3:$A$500,$C11,'DADOS BRUTOS'!CW$3:CW$500)))</f>
        <v>0</v>
      </c>
      <c r="FX11" s="133" t="n">
        <f aca="false">IF(OR(FX$4="",$B11=""),0,SUMIF('DADOS BRUTOS'!$A$3:$A$500,$B11,'DADOS BRUTOS'!CX$3:CX$500)+IF($C11="",0,SUMIF('DADOS BRUTOS'!$A$3:$A$500,$C11,'DADOS BRUTOS'!CX$3:CX$500)))</f>
        <v>0</v>
      </c>
      <c r="FY11" s="133" t="n">
        <f aca="false">IF(OR(FY$4="",$B11=""),0,SUMIF('DADOS BRUTOS'!$A$3:$A$500,$B11,'DADOS BRUTOS'!CY$3:CY$500)+IF($C11="",0,SUMIF('DADOS BRUTOS'!$A$3:$A$500,$C11,'DADOS BRUTOS'!CY$3:CY$500)))</f>
        <v>0</v>
      </c>
      <c r="FZ11" s="133" t="n">
        <f aca="false">IF(OR(FZ$4="",$B11=""),0,SUMIF('DADOS BRUTOS'!$A$3:$A$500,$B11,'DADOS BRUTOS'!CZ$3:CZ$500)+IF($C11="",0,SUMIF('DADOS BRUTOS'!$A$3:$A$500,$C11,'DADOS BRUTOS'!CZ$3:CZ$500)))</f>
        <v>0</v>
      </c>
      <c r="GA11" s="133" t="n">
        <f aca="false">IF(OR(GA$4="",$B11=""),0,SUMIF('DADOS BRUTOS'!$A$3:$A$500,$B11,'DADOS BRUTOS'!DA$3:DA$500)+IF($C11="",0,SUMIF('DADOS BRUTOS'!$A$3:$A$500,$C11,'DADOS BRUTOS'!DA$3:DA$500)))</f>
        <v>0</v>
      </c>
      <c r="GB11" s="133" t="n">
        <f aca="false">IF(OR(GB$4="",$B11=""),0,SUMIF('DADOS BRUTOS'!$A$3:$A$500,$B11,'DADOS BRUTOS'!DB$3:DB$500)+IF($C11="",0,SUMIF('DADOS BRUTOS'!$A$3:$A$500,$C11,'DADOS BRUTOS'!DB$3:DB$500)))</f>
        <v>0</v>
      </c>
      <c r="GC11" s="133" t="n">
        <f aca="false">IF(OR(GC$4="",$B11=""),0,SUMIF('DADOS BRUTOS'!$A$3:$A$500,$B11,'DADOS BRUTOS'!DC$3:DC$500)+IF($C11="",0,SUMIF('DADOS BRUTOS'!$A$3:$A$500,$C11,'DADOS BRUTOS'!DC$3:DC$500)))</f>
        <v>0</v>
      </c>
      <c r="GD11" s="133" t="n">
        <f aca="false">IF(OR(GD$4="",$B11=""),0,SUMIF('DADOS BRUTOS'!$A$3:$A$500,$B11,'DADOS BRUTOS'!DD$3:DD$500)+IF($C11="",0,SUMIF('DADOS BRUTOS'!$A$3:$A$500,$C11,'DADOS BRUTOS'!DD$3:DD$500)))</f>
        <v>0</v>
      </c>
      <c r="GE11" s="133" t="n">
        <f aca="false">IF(OR(GE$4="",$B11=""),0,SUMIF('DADOS BRUTOS'!$A$3:$A$500,$B11,'DADOS BRUTOS'!DE$3:DE$500)+IF($C11="",0,SUMIF('DADOS BRUTOS'!$A$3:$A$500,$C11,'DADOS BRUTOS'!DE$3:DE$500)))</f>
        <v>0</v>
      </c>
      <c r="GF11" s="133" t="n">
        <f aca="false">IF(OR(GF$4="",$B11=""),0,SUMIF('DADOS BRUTOS'!$A$3:$A$500,$B11,'DADOS BRUTOS'!DF$3:DF$500)+IF($C11="",0,SUMIF('DADOS BRUTOS'!$A$3:$A$500,$C11,'DADOS BRUTOS'!DF$3:DF$500)))</f>
        <v>0</v>
      </c>
      <c r="GG11" s="133" t="n">
        <f aca="false">IF(OR(GG$4="",$B11=""),0,SUMIF('DADOS BRUTOS'!$A$3:$A$500,$B11,'DADOS BRUTOS'!DG$3:DG$500)+IF($C11="",0,SUMIF('DADOS BRUTOS'!$A$3:$A$500,$C11,'DADOS BRUTOS'!DG$3:DG$500)))</f>
        <v>0</v>
      </c>
      <c r="GH11" s="133" t="n">
        <f aca="false">IF(OR(GH$4="",$B11=""),0,SUMIF('DADOS BRUTOS'!$A$3:$A$500,$B11,'DADOS BRUTOS'!DH$3:DH$500)+IF($C11="",0,SUMIF('DADOS BRUTOS'!$A$3:$A$500,$C11,'DADOS BRUTOS'!DH$3:DH$500)))</f>
        <v>0</v>
      </c>
      <c r="GI11" s="133" t="n">
        <f aca="false">IF(OR(GI$4="",$B11=""),0,SUMIF('DADOS BRUTOS'!$A$3:$A$500,$B11,'DADOS BRUTOS'!DI$3:DI$500)+IF($C11="",0,SUMIF('DADOS BRUTOS'!$A$3:$A$500,$C11,'DADOS BRUTOS'!DI$3:DI$500)))</f>
        <v>0</v>
      </c>
      <c r="GJ11" s="133" t="n">
        <f aca="false">IF(OR(GJ$4="",$B11=""),0,SUMIF('DADOS BRUTOS'!$A$3:$A$500,$B11,'DADOS BRUTOS'!DJ$3:DJ$500)+IF($C11="",0,SUMIF('DADOS BRUTOS'!$A$3:$A$500,$C11,'DADOS BRUTOS'!DJ$3:DJ$500)))</f>
        <v>0</v>
      </c>
      <c r="GK11" s="133" t="n">
        <f aca="false">IF(OR(GK$4="",$B11=""),0,SUMIF('DADOS BRUTOS'!$A$3:$A$500,$B11,'DADOS BRUTOS'!DK$3:DK$500)+IF($C11="",0,SUMIF('DADOS BRUTOS'!$A$3:$A$500,$C11,'DADOS BRUTOS'!DK$3:DK$500)))</f>
        <v>0</v>
      </c>
      <c r="GL11" s="133" t="n">
        <f aca="false">IF(OR(GL$4="",$B11=""),0,SUMIF('DADOS BRUTOS'!$A$3:$A$500,$B11,'DADOS BRUTOS'!DL$3:DL$500)+IF($C11="",0,SUMIF('DADOS BRUTOS'!$A$3:$A$500,$C11,'DADOS BRUTOS'!DL$3:DL$500)))</f>
        <v>0</v>
      </c>
      <c r="GM11" s="133" t="n">
        <f aca="false">IF(OR(GM$4="",$B11=""),0,SUMIF('DADOS BRUTOS'!$A$3:$A$500,$B11,'DADOS BRUTOS'!DM$3:DM$500)+IF($C11="",0,SUMIF('DADOS BRUTOS'!$A$3:$A$500,$C11,'DADOS BRUTOS'!DM$3:DM$500)))</f>
        <v>0</v>
      </c>
      <c r="GN11" s="133" t="n">
        <f aca="false">IF(OR(GN$4="",$B11=""),0,SUMIF('DADOS BRUTOS'!$A$3:$A$500,$B11,'DADOS BRUTOS'!DN$3:DN$500)+IF($C11="",0,SUMIF('DADOS BRUTOS'!$A$3:$A$500,$C11,'DADOS BRUTOS'!DN$3:DN$500)))</f>
        <v>0</v>
      </c>
      <c r="GO11" s="133" t="n">
        <f aca="false">IF(OR(GO$4="",$B11=""),0,SUMIF('DADOS BRUTOS'!$A$3:$A$500,$B11,'DADOS BRUTOS'!DO$3:DO$500)+IF($C11="",0,SUMIF('DADOS BRUTOS'!$A$3:$A$500,$C11,'DADOS BRUTOS'!DO$3:DO$500)))</f>
        <v>0</v>
      </c>
      <c r="GP11" s="133" t="n">
        <f aca="false">IF(OR(GP$4="",$B11=""),0,SUMIF('DADOS BRUTOS'!$A$3:$A$500,$B11,'DADOS BRUTOS'!DP$3:DP$500)+IF($C11="",0,SUMIF('DADOS BRUTOS'!$A$3:$A$500,$C11,'DADOS BRUTOS'!DP$3:DP$500)))</f>
        <v>0</v>
      </c>
      <c r="GQ11" s="133" t="n">
        <f aca="false">IF(OR(GQ$4="",$B11=""),0,SUMIF('DADOS BRUTOS'!$A$3:$A$500,$B11,'DADOS BRUTOS'!DQ$3:DQ$500)+IF($C11="",0,SUMIF('DADOS BRUTOS'!$A$3:$A$500,$C11,'DADOS BRUTOS'!DQ$3:DQ$500)))</f>
        <v>0</v>
      </c>
      <c r="GR11" s="133" t="n">
        <f aca="false">IF(OR(GR$4="",$B11=""),0,SUMIF('DADOS BRUTOS'!$A$3:$A$500,$B11,'DADOS BRUTOS'!DR$3:DR$500)+IF($C11="",0,SUMIF('DADOS BRUTOS'!$A$3:$A$500,$C11,'DADOS BRUTOS'!DR$3:DR$500)))</f>
        <v>0</v>
      </c>
      <c r="GS11" s="133" t="n">
        <f aca="false">IF(OR(GS$4="",$B11=""),0,SUMIF('DADOS BRUTOS'!$A$3:$A$500,$B11,'DADOS BRUTOS'!DS$3:DS$500)+IF($C11="",0,SUMIF('DADOS BRUTOS'!$A$3:$A$500,$C11,'DADOS BRUTOS'!DS$3:DS$500)))</f>
        <v>0</v>
      </c>
      <c r="GT11" s="133" t="n">
        <f aca="false">IF(OR(GT$4="",$B11=""),0,SUMIF('DADOS BRUTOS'!$A$3:$A$500,$B11,'DADOS BRUTOS'!DT$3:DT$500)+IF($C11="",0,SUMIF('DADOS BRUTOS'!$A$3:$A$500,$C11,'DADOS BRUTOS'!DT$3:DT$500)))</f>
        <v>0</v>
      </c>
      <c r="GU11" s="133" t="n">
        <f aca="false">IF(OR(GU$4="",$B11=""),0,SUMIF('DADOS BRUTOS'!$A$3:$A$500,$B11,'DADOS BRUTOS'!DU$3:DU$500)+IF($C11="",0,SUMIF('DADOS BRUTOS'!$A$3:$A$500,$C11,'DADOS BRUTOS'!DU$3:DU$500)))</f>
        <v>0</v>
      </c>
      <c r="GV11" s="133" t="n">
        <f aca="false">IF(OR(GV$4="",$B11=""),0,SUMIF('DADOS BRUTOS'!$A$3:$A$500,$B11,'DADOS BRUTOS'!DV$3:DV$500)+IF($C11="",0,SUMIF('DADOS BRUTOS'!$A$3:$A$500,$C11,'DADOS BRUTOS'!DV$3:DV$500)))</f>
        <v>0</v>
      </c>
      <c r="GW11" s="133" t="n">
        <f aca="false">IF(OR(GW$4="",$B11=""),0,SUMIF('DADOS BRUTOS'!$A$3:$A$500,$B11,'DADOS BRUTOS'!DW$3:DW$500)+IF($C11="",0,SUMIF('DADOS BRUTOS'!$A$3:$A$500,$C11,'DADOS BRUTOS'!DW$3:DW$500)))</f>
        <v>0</v>
      </c>
      <c r="GX11" s="133" t="n">
        <f aca="false">IF(OR(GX$4="",$B11=""),0,SUMIF('DADOS BRUTOS'!$A$3:$A$500,$B11,'DADOS BRUTOS'!DX$3:DX$500)+IF($C11="",0,SUMIF('DADOS BRUTOS'!$A$3:$A$500,$C11,'DADOS BRUTOS'!DX$3:DX$500)))</f>
        <v>0</v>
      </c>
      <c r="GY11" s="133" t="n">
        <f aca="false">IF(OR(GY$4="",$B11=""),0,SUMIF('DADOS BRUTOS'!$A$3:$A$500,$B11,'DADOS BRUTOS'!DY$3:DY$500)+IF($C11="",0,SUMIF('DADOS BRUTOS'!$A$3:$A$500,$C11,'DADOS BRUTOS'!DY$3:DY$500)))</f>
        <v>0</v>
      </c>
      <c r="GZ11" s="133" t="n">
        <f aca="false">IF(OR(GZ$4="",$B11=""),0,SUMIF('DADOS BRUTOS'!$A$3:$A$500,$B11,'DADOS BRUTOS'!DZ$3:DZ$500)+IF($C11="",0,SUMIF('DADOS BRUTOS'!$A$3:$A$500,$C11,'DADOS BRUTOS'!DZ$3:DZ$500)))</f>
        <v>0</v>
      </c>
      <c r="HA11" s="133" t="n">
        <f aca="false">IF(OR(HA$4="",$B11=""),0,SUMIF('DADOS BRUTOS'!$A$3:$A$500,$B11,'DADOS BRUTOS'!EA$3:EA$500)+IF($C11="",0,SUMIF('DADOS BRUTOS'!$A$3:$A$500,$C11,'DADOS BRUTOS'!EA$3:EA$500)))</f>
        <v>0</v>
      </c>
      <c r="HB11" s="133" t="n">
        <f aca="false">IF(OR(HB$4="",$B11=""),0,SUMIF('DADOS BRUTOS'!$A$3:$A$500,$B11,'DADOS BRUTOS'!EB$3:EB$500)+IF($C11="",0,SUMIF('DADOS BRUTOS'!$A$3:$A$500,$C11,'DADOS BRUTOS'!EB$3:EB$500)))</f>
        <v>0</v>
      </c>
      <c r="HC11" s="133" t="n">
        <f aca="false">IF(OR(HC$4="",$B11=""),0,SUMIF('DADOS BRUTOS'!$A$3:$A$500,$B11,'DADOS BRUTOS'!EC$3:EC$500)+IF($C11="",0,SUMIF('DADOS BRUTOS'!$A$3:$A$500,$C11,'DADOS BRUTOS'!EC$3:EC$500)))</f>
        <v>0</v>
      </c>
      <c r="HD11" s="133" t="n">
        <f aca="false">IF(OR(HD$4="",$B11=""),0,SUMIF('DADOS BRUTOS'!$A$3:$A$500,$B11,'DADOS BRUTOS'!ED$3:ED$500)+IF($C11="",0,SUMIF('DADOS BRUTOS'!$A$3:$A$500,$C11,'DADOS BRUTOS'!ED$3:ED$500)))</f>
        <v>0</v>
      </c>
      <c r="HE11" s="133" t="n">
        <f aca="false">IF(OR(HE$4="",$B11=""),0,SUMIF('DADOS BRUTOS'!$A$3:$A$500,$B11,'DADOS BRUTOS'!EE$3:EE$500)+IF($C11="",0,SUMIF('DADOS BRUTOS'!$A$3:$A$500,$C11,'DADOS BRUTOS'!EE$3:EE$500)))</f>
        <v>0</v>
      </c>
      <c r="HF11" s="133" t="n">
        <f aca="false">IF(OR(HF$4="",$B11=""),0,SUMIF('DADOS BRUTOS'!$A$3:$A$500,$B11,'DADOS BRUTOS'!EF$3:EF$500)+IF($C11="",0,SUMIF('DADOS BRUTOS'!$A$3:$A$500,$C11,'DADOS BRUTOS'!EF$3:EF$500)))</f>
        <v>0</v>
      </c>
      <c r="HG11" s="133" t="n">
        <f aca="false">IF(OR(HG$4="",$B11=""),0,SUMIF('DADOS BRUTOS'!$A$3:$A$500,$B11,'DADOS BRUTOS'!EG$3:EG$500)+IF($C11="",0,SUMIF('DADOS BRUTOS'!$A$3:$A$500,$C11,'DADOS BRUTOS'!EG$3:EG$500)))</f>
        <v>0</v>
      </c>
      <c r="HH11" s="133" t="n">
        <f aca="false">IF(OR(HH$4="",$B11=""),0,SUMIF('DADOS BRUTOS'!$A$3:$A$500,$B11,'DADOS BRUTOS'!EH$3:EH$500)+IF($C11="",0,SUMIF('DADOS BRUTOS'!$A$3:$A$500,$C11,'DADOS BRUTOS'!EH$3:EH$500)))</f>
        <v>0</v>
      </c>
      <c r="HI11" s="133" t="n">
        <f aca="false">IF(OR(HI$4="",$B11=""),0,SUMIF('DADOS BRUTOS'!$A$3:$A$500,$B11,'DADOS BRUTOS'!EI$3:EI$500)+IF($C11="",0,SUMIF('DADOS BRUTOS'!$A$3:$A$500,$C11,'DADOS BRUTOS'!EI$3:EI$500)))</f>
        <v>0</v>
      </c>
      <c r="HJ11" s="133" t="n">
        <f aca="false">IF(OR(HJ$4="",$B11=""),0,SUMIF('DADOS BRUTOS'!$A$3:$A$500,$B11,'DADOS BRUTOS'!EJ$3:EJ$500)+IF($C11="",0,SUMIF('DADOS BRUTOS'!$A$3:$A$500,$C11,'DADOS BRUTOS'!EJ$3:EJ$500)))</f>
        <v>0</v>
      </c>
      <c r="HK11" s="133" t="n">
        <f aca="false">IF(OR(HK$4="",$B11=""),0,SUMIF('DADOS BRUTOS'!$A$3:$A$500,$B11,'DADOS BRUTOS'!EK$3:EK$500)+IF($C11="",0,SUMIF('DADOS BRUTOS'!$A$3:$A$500,$C11,'DADOS BRUTOS'!EK$3:EK$500)))</f>
        <v>0</v>
      </c>
      <c r="HL11" s="133" t="n">
        <f aca="false">IF(OR(HL$4="",$B11=""),0,SUMIF('DADOS BRUTOS'!$A$3:$A$500,$B11,'DADOS BRUTOS'!EL$3:EL$500)+IF($C11="",0,SUMIF('DADOS BRUTOS'!$A$3:$A$500,$C11,'DADOS BRUTOS'!EL$3:EL$500)))</f>
        <v>0</v>
      </c>
      <c r="HM11" s="133" t="n">
        <f aca="false">IF(OR(HM$4="",$B11=""),0,SUMIF('DADOS BRUTOS'!$A$3:$A$500,$B11,'DADOS BRUTOS'!EM$3:EM$500)+IF($C11="",0,SUMIF('DADOS BRUTOS'!$A$3:$A$500,$C11,'DADOS BRUTOS'!EM$3:EM$500)))</f>
        <v>0</v>
      </c>
      <c r="HN11" s="133" t="n">
        <f aca="false">IF(OR(HN$4="",$B11=""),0,SUMIF('DADOS BRUTOS'!$A$3:$A$500,$B11,'DADOS BRUTOS'!EN$3:EN$500)+IF($C11="",0,SUMIF('DADOS BRUTOS'!$A$3:$A$500,$C11,'DADOS BRUTOS'!EN$3:EN$500)))</f>
        <v>0</v>
      </c>
      <c r="HO11" s="133" t="n">
        <f aca="false">IF(OR(HO$4="",$B11=""),0,SUMIF('DADOS BRUTOS'!$A$3:$A$500,$B11,'DADOS BRUTOS'!EO$3:EO$500)+IF($C11="",0,SUMIF('DADOS BRUTOS'!$A$3:$A$500,$C11,'DADOS BRUTOS'!EO$3:EO$500)))</f>
        <v>0</v>
      </c>
      <c r="HP11" s="133" t="n">
        <f aca="false">IF(OR(HP$4="",$B11=""),0,SUMIF('DADOS BRUTOS'!$A$3:$A$500,$B11,'DADOS BRUTOS'!EP$3:EP$500)+IF($C11="",0,SUMIF('DADOS BRUTOS'!$A$3:$A$500,$C11,'DADOS BRUTOS'!EP$3:EP$500)))</f>
        <v>0</v>
      </c>
      <c r="HQ11" s="133" t="n">
        <f aca="false">IF(OR(HQ$4="",$B11=""),0,SUMIF('DADOS BRUTOS'!$A$3:$A$500,$B11,'DADOS BRUTOS'!EQ$3:EQ$500)+IF($C11="",0,SUMIF('DADOS BRUTOS'!$A$3:$A$500,$C11,'DADOS BRUTOS'!EQ$3:EQ$500)))</f>
        <v>0</v>
      </c>
      <c r="HR11" s="133" t="n">
        <f aca="false">IF(OR(HR$4="",$B11=""),0,SUMIF('DADOS BRUTOS'!$A$3:$A$500,$B11,'DADOS BRUTOS'!ER$3:ER$500)+IF($C11="",0,SUMIF('DADOS BRUTOS'!$A$3:$A$500,$C11,'DADOS BRUTOS'!ER$3:ER$500)))</f>
        <v>0</v>
      </c>
      <c r="HS11" s="133" t="n">
        <f aca="false">IF(OR(HS$4="",$B11=""),0,SUMIF('DADOS BRUTOS'!$A$3:$A$500,$B11,'DADOS BRUTOS'!ES$3:ES$500)+IF($C11="",0,SUMIF('DADOS BRUTOS'!$A$3:$A$500,$C11,'DADOS BRUTOS'!ES$3:ES$500)))</f>
        <v>0</v>
      </c>
      <c r="HT11" s="133" t="n">
        <f aca="false">IF(OR(HT$4="",$B11=""),0,SUMIF('DADOS BRUTOS'!$A$3:$A$500,$B11,'DADOS BRUTOS'!ET$3:ET$500)+IF($C11="",0,SUMIF('DADOS BRUTOS'!$A$3:$A$500,$C11,'DADOS BRUTOS'!ET$3:ET$500)))</f>
        <v>0</v>
      </c>
      <c r="HU11" s="133" t="n">
        <f aca="false">IF(OR(HU$4="",$B11=""),0,SUMIF('DADOS BRUTOS'!$A$3:$A$500,$B11,'DADOS BRUTOS'!EU$3:EU$500)+IF($C11="",0,SUMIF('DADOS BRUTOS'!$A$3:$A$500,$C11,'DADOS BRUTOS'!EU$3:EU$500)))</f>
        <v>0</v>
      </c>
      <c r="HV11" s="133" t="n">
        <f aca="false">IF(OR(HV$4="",$B11=""),0,SUMIF('DADOS BRUTOS'!$A$3:$A$500,$B11,'DADOS BRUTOS'!EV$3:EV$500)+IF($C11="",0,SUMIF('DADOS BRUTOS'!$A$3:$A$500,$C11,'DADOS BRUTOS'!EV$3:EV$500)))</f>
        <v>0</v>
      </c>
      <c r="HW11" s="133" t="n">
        <f aca="false">IF(OR(HW$4="",$B11=""),0,SUMIF('DADOS BRUTOS'!$A$3:$A$500,$B11,'DADOS BRUTOS'!EW$3:EW$500)+IF($C11="",0,SUMIF('DADOS BRUTOS'!$A$3:$A$500,$C11,'DADOS BRUTOS'!EW$3:EW$500)))</f>
        <v>0</v>
      </c>
      <c r="HX11" s="133" t="n">
        <f aca="false">IF(OR(HX$4="",$B11=""),0,SUMIF('DADOS BRUTOS'!$A$3:$A$500,$B11,'DADOS BRUTOS'!EX$3:EX$500)+IF($C11="",0,SUMIF('DADOS BRUTOS'!$A$3:$A$500,$C11,'DADOS BRUTOS'!EX$3:EX$500)))</f>
        <v>0</v>
      </c>
      <c r="HY11" s="133" t="n">
        <f aca="false">IF(OR(HY$4="",$B11=""),0,SUMIF('DADOS BRUTOS'!$A$3:$A$500,$B11,'DADOS BRUTOS'!EY$3:EY$500)+IF($C11="",0,SUMIF('DADOS BRUTOS'!$A$3:$A$500,$C11,'DADOS BRUTOS'!EY$3:EY$500)))</f>
        <v>0</v>
      </c>
      <c r="HZ11" s="133" t="n">
        <f aca="false">IF(OR(HZ$4="",$B11=""),0,SUMIF('DADOS BRUTOS'!$A$3:$A$500,$B11,'DADOS BRUTOS'!EZ$3:EZ$500)+IF($C11="",0,SUMIF('DADOS BRUTOS'!$A$3:$A$500,$C11,'DADOS BRUTOS'!EZ$3:EZ$500)))</f>
        <v>0</v>
      </c>
      <c r="IA11" s="133" t="n">
        <f aca="false">IF(OR(IA$4="",$B11=""),0,SUMIF('DADOS BRUTOS'!$A$3:$A$500,$B11,'DADOS BRUTOS'!FA$3:FA$500)+IF($C11="",0,SUMIF('DADOS BRUTOS'!$A$3:$A$500,$C11,'DADOS BRUTOS'!FA$3:FA$500)))</f>
        <v>0</v>
      </c>
      <c r="IB11" s="133" t="n">
        <f aca="false">IF(OR(IB$4="",$B11=""),0,SUMIF('DADOS BRUTOS'!$A$3:$A$500,$B11,'DADOS BRUTOS'!FB$3:FB$500)+IF($C11="",0,SUMIF('DADOS BRUTOS'!$A$3:$A$500,$C11,'DADOS BRUTOS'!FB$3:FB$500)))</f>
        <v>0</v>
      </c>
      <c r="IC11" s="133" t="n">
        <f aca="false">IF(OR(IC$4="",$B11=""),0,SUMIF('DADOS BRUTOS'!$A$3:$A$500,$B11,'DADOS BRUTOS'!FC$3:FC$500)+IF($C11="",0,SUMIF('DADOS BRUTOS'!$A$3:$A$500,$C11,'DADOS BRUTOS'!FC$3:FC$500)))</f>
        <v>0</v>
      </c>
      <c r="ID11" s="133" t="n">
        <f aca="false">IF(OR(ID$4="",$B11=""),0,SUMIF('DADOS BRUTOS'!$A$3:$A$500,$B11,'DADOS BRUTOS'!FD$3:FD$500)+IF($C11="",0,SUMIF('DADOS BRUTOS'!$A$3:$A$500,$C11,'DADOS BRUTOS'!FD$3:FD$500)))</f>
        <v>0</v>
      </c>
      <c r="IE11" s="133" t="n">
        <f aca="false">IF(OR(IE$4="",$B11=""),0,SUMIF('DADOS BRUTOS'!$A$3:$A$500,$B11,'DADOS BRUTOS'!FE$3:FE$500)+IF($C11="",0,SUMIF('DADOS BRUTOS'!$A$3:$A$500,$C11,'DADOS BRUTOS'!FE$3:FE$500)))</f>
        <v>0</v>
      </c>
      <c r="IF11" s="133" t="n">
        <f aca="false">IF(OR(IF$4="",$B11=""),0,SUMIF('DADOS BRUTOS'!$A$3:$A$500,$B11,'DADOS BRUTOS'!FF$3:FF$500)+IF($C11="",0,SUMIF('DADOS BRUTOS'!$A$3:$A$500,$C11,'DADOS BRUTOS'!FF$3:FF$500)))</f>
        <v>0</v>
      </c>
      <c r="IG11" s="133" t="n">
        <f aca="false">IF(OR(IG$4="",$B11=""),0,SUMIF('DADOS BRUTOS'!$A$3:$A$500,$B11,'DADOS BRUTOS'!FG$3:FG$500)+IF($C11="",0,SUMIF('DADOS BRUTOS'!$A$3:$A$500,$C11,'DADOS BRUTOS'!FG$3:FG$500)))</f>
        <v>0</v>
      </c>
      <c r="IH11" s="133" t="n">
        <f aca="false">IF(OR(IH$4="",$B11=""),0,SUMIF('DADOS BRUTOS'!$A$3:$A$500,$B11,'DADOS BRUTOS'!FH$3:FH$500)+IF($C11="",0,SUMIF('DADOS BRUTOS'!$A$3:$A$500,$C11,'DADOS BRUTOS'!FH$3:FH$500)))</f>
        <v>0</v>
      </c>
      <c r="II11" s="133" t="n">
        <f aca="false">IF(OR(II$4="",$B11=""),0,SUMIF('DADOS BRUTOS'!$A$3:$A$500,$B11,'DADOS BRUTOS'!FI$3:FI$500)+IF($C11="",0,SUMIF('DADOS BRUTOS'!$A$3:$A$500,$C11,'DADOS BRUTOS'!FI$3:FI$500)))</f>
        <v>0</v>
      </c>
      <c r="IJ11" s="133" t="n">
        <f aca="false">IF(OR(IJ$4="",$B11=""),0,SUMIF('DADOS BRUTOS'!$A$3:$A$500,$B11,'DADOS BRUTOS'!FJ$3:FJ$500)+IF($C11="",0,SUMIF('DADOS BRUTOS'!$A$3:$A$500,$C11,'DADOS BRUTOS'!FJ$3:FJ$500)))</f>
        <v>0</v>
      </c>
      <c r="IK11" s="133" t="n">
        <f aca="false">IF(OR(IK$4="",$B11=""),0,SUMIF('DADOS BRUTOS'!$A$3:$A$500,$B11,'DADOS BRUTOS'!FK$3:FK$500)+IF($C11="",0,SUMIF('DADOS BRUTOS'!$A$3:$A$500,$C11,'DADOS BRUTOS'!FK$3:FK$500)))</f>
        <v>0</v>
      </c>
      <c r="IL11" s="133" t="n">
        <f aca="false">IF(OR(IL$4="",$B11=""),0,SUMIF('DADOS BRUTOS'!$A$3:$A$500,$B11,'DADOS BRUTOS'!FL$3:FL$500)+IF($C11="",0,SUMIF('DADOS BRUTOS'!$A$3:$A$500,$C11,'DADOS BRUTOS'!FL$3:FL$500)))</f>
        <v>0</v>
      </c>
      <c r="IM11" s="133" t="n">
        <f aca="false">IF(OR(IM$4="",$B11=""),0,SUMIF('DADOS BRUTOS'!$A$3:$A$500,$B11,'DADOS BRUTOS'!FM$3:FM$500)+IF($C11="",0,SUMIF('DADOS BRUTOS'!$A$3:$A$500,$C11,'DADOS BRUTOS'!FM$3:FM$500)))</f>
        <v>0</v>
      </c>
      <c r="IN11" s="133" t="n">
        <f aca="false">IF(OR(IN$4="",$B11=""),0,SUMIF('DADOS BRUTOS'!$A$3:$A$500,$B11,'DADOS BRUTOS'!FN$3:FN$500)+IF($C11="",0,SUMIF('DADOS BRUTOS'!$A$3:$A$500,$C11,'DADOS BRUTOS'!FN$3:FN$500)))</f>
        <v>0</v>
      </c>
      <c r="IO11" s="133" t="n">
        <f aca="false">IF(OR(IO$4="",$B11=""),0,SUMIF('DADOS BRUTOS'!$A$3:$A$500,$B11,'DADOS BRUTOS'!FO$3:FO$500)+IF($C11="",0,SUMIF('DADOS BRUTOS'!$A$3:$A$500,$C11,'DADOS BRUTOS'!FO$3:FO$500)))</f>
        <v>0</v>
      </c>
      <c r="IP11" s="133" t="n">
        <f aca="false">IF(OR(IP$4="",$B11=""),0,SUMIF('DADOS BRUTOS'!$A$3:$A$500,$B11,'DADOS BRUTOS'!FP$3:FP$500)+IF($C11="",0,SUMIF('DADOS BRUTOS'!$A$3:$A$500,$C11,'DADOS BRUTOS'!FP$3:FP$500)))</f>
        <v>0</v>
      </c>
      <c r="IQ11" s="133" t="n">
        <f aca="false">IF(OR(IQ$4="",$B11=""),0,SUMIF('DADOS BRUTOS'!$A$3:$A$500,$B11,'DADOS BRUTOS'!FQ$3:FQ$500)+IF($C11="",0,SUMIF('DADOS BRUTOS'!$A$3:$A$500,$C11,'DADOS BRUTOS'!FQ$3:FQ$500)))</f>
        <v>0</v>
      </c>
      <c r="IR11" s="133" t="n">
        <f aca="false">IF(OR(IR$4="",$B11=""),0,SUMIF('DADOS BRUTOS'!$A$3:$A$500,$B11,'DADOS BRUTOS'!FR$3:FR$500)+IF($C11="",0,SUMIF('DADOS BRUTOS'!$A$3:$A$500,$C11,'DADOS BRUTOS'!FR$3:FR$500)))</f>
        <v>0</v>
      </c>
      <c r="IS11" s="133" t="n">
        <f aca="false">IF(OR(IS$4="",$B11=""),0,SUMIF('DADOS BRUTOS'!$A$3:$A$500,$B11,'DADOS BRUTOS'!FS$3:FS$500)+IF($C11="",0,SUMIF('DADOS BRUTOS'!$A$3:$A$500,$C11,'DADOS BRUTOS'!FS$3:FS$500)))</f>
        <v>0</v>
      </c>
      <c r="IT11" s="133" t="n">
        <f aca="false">IF(OR(IT$4="",$B11=""),0,SUMIF('DADOS BRUTOS'!$A$3:$A$500,$B11,'DADOS BRUTOS'!FT$3:FT$500)+IF($C11="",0,SUMIF('DADOS BRUTOS'!$A$3:$A$500,$C11,'DADOS BRUTOS'!FT$3:FT$500)))</f>
        <v>0</v>
      </c>
      <c r="IU11" s="133" t="n">
        <f aca="false">IF(OR(IU$4="",$B11=""),0,SUMIF('DADOS BRUTOS'!$A$3:$A$500,$B11,'DADOS BRUTOS'!FU$3:FU$500)+IF($C11="",0,SUMIF('DADOS BRUTOS'!$A$3:$A$500,$C11,'DADOS BRUTOS'!FU$3:FU$500)))</f>
        <v>0</v>
      </c>
      <c r="IV11" s="133" t="n">
        <f aca="false">IF(OR(IV$4="",$B11=""),0,SUMIF('DADOS BRUTOS'!$A$3:$A$500,$B11,'DADOS BRUTOS'!FV$3:FV$500)+IF($C11="",0,SUMIF('DADOS BRUTOS'!$A$3:$A$500,$C11,'DADOS BRUTOS'!FV$3:FV$500)))</f>
        <v>0</v>
      </c>
      <c r="IW11" s="133" t="n">
        <f aca="false">IF(OR(IW$4="",$B11=""),0,SUMIF('DADOS BRUTOS'!$A$3:$A$500,$B11,'DADOS BRUTOS'!FW$3:FW$500)+IF($C11="",0,SUMIF('DADOS BRUTOS'!$A$3:$A$500,$C11,'DADOS BRUTOS'!FW$3:FW$500)))</f>
        <v>0</v>
      </c>
      <c r="IX11" s="133" t="n">
        <f aca="false">IF(OR(IX$4="",$B11=""),0,SUMIF('DADOS BRUTOS'!$A$3:$A$500,$B11,'DADOS BRUTOS'!FX$3:FX$500)+IF($C11="",0,SUMIF('DADOS BRUTOS'!$A$3:$A$500,$C11,'DADOS BRUTOS'!FX$3:FX$500)))</f>
        <v>0</v>
      </c>
      <c r="IY11" s="133" t="n">
        <f aca="false">IF(OR(IY$4="",$B11=""),0,SUMIF('DADOS BRUTOS'!$A$3:$A$500,$B11,'DADOS BRUTOS'!FY$3:FY$500)+IF($C11="",0,SUMIF('DADOS BRUTOS'!$A$3:$A$500,$C11,'DADOS BRUTOS'!FY$3:FY$500)))</f>
        <v>0</v>
      </c>
      <c r="IZ11" s="133" t="n">
        <f aca="false">IF(OR(IZ$4="",$B11=""),0,SUMIF('DADOS BRUTOS'!$A$3:$A$500,$B11,'DADOS BRUTOS'!FZ$3:FZ$500)+IF($C11="",0,SUMIF('DADOS BRUTOS'!$A$3:$A$500,$C11,'DADOS BRUTOS'!FZ$3:FZ$500)))</f>
        <v>0</v>
      </c>
      <c r="JA11" s="133" t="n">
        <f aca="false">IF(OR(JA$4="",$B11=""),0,SUMIF('DADOS BRUTOS'!$A$3:$A$500,$B11,'DADOS BRUTOS'!GA$3:GA$500)+IF($C11="",0,SUMIF('DADOS BRUTOS'!$A$3:$A$500,$C11,'DADOS BRUTOS'!GA$3:GA$500)))</f>
        <v>0</v>
      </c>
      <c r="JB11" s="133" t="n">
        <f aca="false">IF(OR(JB$4="",$B11=""),0,SUMIF('DADOS BRUTOS'!$A$3:$A$500,$B11,'DADOS BRUTOS'!GB$3:GB$500)+IF($C11="",0,SUMIF('DADOS BRUTOS'!$A$3:$A$500,$C11,'DADOS BRUTOS'!GB$3:GB$500)))</f>
        <v>0</v>
      </c>
      <c r="JC11" s="133" t="n">
        <f aca="false">IF(OR(JC$4="",$B11=""),0,SUMIF('DADOS BRUTOS'!$A$3:$A$500,$B11,'DADOS BRUTOS'!GC$3:GC$500)+IF($C11="",0,SUMIF('DADOS BRUTOS'!$A$3:$A$500,$C11,'DADOS BRUTOS'!GC$3:GC$500)))</f>
        <v>0</v>
      </c>
      <c r="JD11" s="133" t="n">
        <f aca="false">IF(OR(JD$4="",$B11=""),0,SUMIF('DADOS BRUTOS'!$A$3:$A$500,$B11,'DADOS BRUTOS'!GD$3:GD$500)+IF($C11="",0,SUMIF('DADOS BRUTOS'!$A$3:$A$500,$C11,'DADOS BRUTOS'!GD$3:GD$500)))</f>
        <v>0</v>
      </c>
      <c r="JE11" s="133" t="n">
        <f aca="false">IF(OR(JE$4="",$B11=""),0,SUMIF('DADOS BRUTOS'!$A$3:$A$500,$B11,'DADOS BRUTOS'!GE$3:GE$500)+IF($C11="",0,SUMIF('DADOS BRUTOS'!$A$3:$A$500,$C11,'DADOS BRUTOS'!GE$3:GE$500)))</f>
        <v>0</v>
      </c>
      <c r="JF11" s="133" t="n">
        <f aca="false">IF(OR(JF$4="",$B11=""),0,SUMIF('DADOS BRUTOS'!$A$3:$A$500,$B11,'DADOS BRUTOS'!GF$3:GF$500)+IF($C11="",0,SUMIF('DADOS BRUTOS'!$A$3:$A$500,$C11,'DADOS BRUTOS'!GF$3:GF$500)))</f>
        <v>0</v>
      </c>
      <c r="JG11" s="133" t="n">
        <f aca="false">IF(OR(JG$4="",$B11=""),0,SUMIF('DADOS BRUTOS'!$A$3:$A$500,$B11,'DADOS BRUTOS'!GG$3:GG$500)+IF($C11="",0,SUMIF('DADOS BRUTOS'!$A$3:$A$500,$C11,'DADOS BRUTOS'!GG$3:GG$500)))</f>
        <v>0</v>
      </c>
      <c r="JH11" s="133" t="n">
        <f aca="false">IF(OR(JH$4="",$B11=""),0,SUMIF('DADOS BRUTOS'!$A$3:$A$500,$B11,'DADOS BRUTOS'!GH$3:GH$500)+IF($C11="",0,SUMIF('DADOS BRUTOS'!$A$3:$A$500,$C11,'DADOS BRUTOS'!GH$3:GH$500)))</f>
        <v>0</v>
      </c>
      <c r="JI11" s="133" t="n">
        <f aca="false">IF(OR(JI$4="",$B11=""),0,SUMIF('DADOS BRUTOS'!$A$3:$A$500,$B11,'DADOS BRUTOS'!GI$3:GI$500)+IF($C11="",0,SUMIF('DADOS BRUTOS'!$A$3:$A$500,$C11,'DADOS BRUTOS'!GI$3:GI$500)))</f>
        <v>0</v>
      </c>
      <c r="JJ11" s="133" t="n">
        <f aca="false">IF(OR(JJ$4="",$B11=""),0,SUMIF('DADOS BRUTOS'!$A$3:$A$500,$B11,'DADOS BRUTOS'!GJ$3:GJ$500)+IF($C11="",0,SUMIF('DADOS BRUTOS'!$A$3:$A$500,$C11,'DADOS BRUTOS'!GJ$3:GJ$500)))</f>
        <v>0</v>
      </c>
      <c r="JK11" s="133" t="n">
        <f aca="false">IF(OR(JK$4="",$B11=""),0,SUMIF('DADOS BRUTOS'!$A$3:$A$500,$B11,'DADOS BRUTOS'!GK$3:GK$500)+IF($C11="",0,SUMIF('DADOS BRUTOS'!$A$3:$A$500,$C11,'DADOS BRUTOS'!GK$3:GK$500)))</f>
        <v>0</v>
      </c>
      <c r="JL11" s="133" t="n">
        <f aca="false">IF(OR(JL$4="",$B11=""),0,SUMIF('DADOS BRUTOS'!$A$3:$A$500,$B11,'DADOS BRUTOS'!GL$3:GL$500)+IF($C11="",0,SUMIF('DADOS BRUTOS'!$A$3:$A$500,$C11,'DADOS BRUTOS'!GL$3:GL$500)))</f>
        <v>0</v>
      </c>
      <c r="JM11" s="133" t="n">
        <f aca="false">IF(OR(JM$4="",$B11=""),0,SUMIF('DADOS BRUTOS'!$A$3:$A$500,$B11,'DADOS BRUTOS'!GM$3:GM$500)+IF($C11="",0,SUMIF('DADOS BRUTOS'!$A$3:$A$500,$C11,'DADOS BRUTOS'!GM$3:GM$500)))</f>
        <v>0</v>
      </c>
      <c r="JN11" s="133" t="n">
        <f aca="false">IF(OR(JN$4="",$B11=""),0,SUMIF('DADOS BRUTOS'!$A$3:$A$500,$B11,'DADOS BRUTOS'!GN$3:GN$500)+IF($C11="",0,SUMIF('DADOS BRUTOS'!$A$3:$A$500,$C11,'DADOS BRUTOS'!GN$3:GN$500)))</f>
        <v>0</v>
      </c>
      <c r="JO11" s="133" t="n">
        <f aca="false">IF(OR(JO$4="",$B11=""),0,SUMIF('DADOS BRUTOS'!$A$3:$A$500,$B11,'DADOS BRUTOS'!GO$3:GO$500)+IF($C11="",0,SUMIF('DADOS BRUTOS'!$A$3:$A$500,$C11,'DADOS BRUTOS'!GO$3:GO$500)))</f>
        <v>0</v>
      </c>
      <c r="JP11" s="133" t="n">
        <f aca="false">IF(OR(JP$4="",$B11=""),0,SUMIF('DADOS BRUTOS'!$A$3:$A$500,$B11,'DADOS BRUTOS'!GP$3:GP$500)+IF($C11="",0,SUMIF('DADOS BRUTOS'!$A$3:$A$500,$C11,'DADOS BRUTOS'!GP$3:GP$500)))</f>
        <v>0</v>
      </c>
      <c r="JQ11" s="133" t="n">
        <f aca="false">IF(OR(JQ$4="",$B11=""),0,SUMIF('DADOS BRUTOS'!$A$3:$A$500,$B11,'DADOS BRUTOS'!GQ$3:GQ$500)+IF($C11="",0,SUMIF('DADOS BRUTOS'!$A$3:$A$500,$C11,'DADOS BRUTOS'!GQ$3:GQ$500)))</f>
        <v>0</v>
      </c>
      <c r="JR11" s="133" t="n">
        <f aca="false">IF(OR(JR$4="",$B11=""),0,SUMIF('DADOS BRUTOS'!$A$3:$A$500,$B11,'DADOS BRUTOS'!GR$3:GR$500)+IF($C11="",0,SUMIF('DADOS BRUTOS'!$A$3:$A$500,$C11,'DADOS BRUTOS'!GR$3:GR$500)))</f>
        <v>0</v>
      </c>
      <c r="JS11" s="133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15137.12</v>
      </c>
      <c r="E12" s="50" t="n">
        <f aca="false">SUMIF($CB$4:$JS$4,E$4,$CB12:$JS12)</f>
        <v>4468.95</v>
      </c>
      <c r="F12" s="50" t="n">
        <f aca="false">SUMIF($CB$4:$JS$4,F$4,$CB12:$JS12)</f>
        <v>1471.68</v>
      </c>
      <c r="G12" s="50" t="n">
        <f aca="false">SUMIF($CB$4:$JS$4,G$4,$CB12:$JS12)</f>
        <v>71.89</v>
      </c>
      <c r="H12" s="50" t="n">
        <f aca="false">SUMIF($CB$4:$JS$4,H$4,$CB12:$JS12)</f>
        <v>3294</v>
      </c>
      <c r="I12" s="50" t="n">
        <f aca="false">SUMIF($CB$4:$JS$4,I$4,$CB12:$JS12)</f>
        <v>5791.43</v>
      </c>
      <c r="J12" s="50" t="n">
        <f aca="false">SUMIF($CB$4:$JS$4,J$4,$CB12:$JS12)</f>
        <v>2577.2</v>
      </c>
      <c r="K12" s="50" t="n">
        <f aca="false">SUMIF($CB$4:$JS$4,K$4,$CB12:$JS12)</f>
        <v>6009.9</v>
      </c>
      <c r="L12" s="50" t="n">
        <f aca="false">SUMIF($CB$4:$JS$4,L$4,$CB12:$JS12)</f>
        <v>5622.92</v>
      </c>
      <c r="M12" s="50" t="n">
        <f aca="false">SUMIF($CB$4:$JS$4,M$4,$CB12:$JS12)</f>
        <v>9961.57</v>
      </c>
      <c r="N12" s="50" t="n">
        <f aca="false">SUMIF($CB$4:$JS$4,N$4,$CB12:$JS12)</f>
        <v>6569.24</v>
      </c>
      <c r="O12" s="50" t="n">
        <f aca="false">SUMIF($CB$4:$JS$4,O$4,$CB12:$JS12)</f>
        <v>5976.36</v>
      </c>
      <c r="P12" s="50" t="n">
        <f aca="false">SUMIF($CB$4:$JS$4,P$4,$CB12:$JS12)</f>
        <v>9174.4</v>
      </c>
      <c r="Q12" s="50" t="n">
        <f aca="false">SUMIF($CB$4:$JS$4,Q$4,$CB12:$JS12)</f>
        <v>2665.03</v>
      </c>
      <c r="R12" s="50" t="n">
        <f aca="false">SUMIF($CB$4:$JS$4,R$4,$CB12:$JS12)</f>
        <v>7732.71</v>
      </c>
      <c r="S12" s="50" t="n">
        <f aca="false">SUMIF($CB$4:$JS$4,S$4,$CB12:$JS12)</f>
        <v>5460.17</v>
      </c>
      <c r="T12" s="50" t="n">
        <f aca="false">SUMIF($CB$4:$JS$4,T$4,$CB12:$JS12)</f>
        <v>1326.6</v>
      </c>
      <c r="U12" s="50" t="n">
        <f aca="false">SUMIF($CB$4:$JS$4,U$4,$CB12:$JS12)</f>
        <v>8098.09</v>
      </c>
      <c r="V12" s="50" t="n">
        <f aca="false">SUMIF($CB$4:$JS$4,V$4,$CB12:$JS12)</f>
        <v>28867.01</v>
      </c>
      <c r="W12" s="50" t="n">
        <f aca="false">SUMIF($CB$4:$JS$4,W$4,$CB12:$JS12)</f>
        <v>33839.33</v>
      </c>
      <c r="X12" s="50" t="n">
        <f aca="false">SUMIF($CB$4:$JS$4,X$4,$CB12:$JS12)</f>
        <v>12635.41</v>
      </c>
      <c r="Y12" s="50" t="n">
        <f aca="false">SUMIF($CB$4:$JS$4,Y$4,$CB12:$JS12)</f>
        <v>16194.51</v>
      </c>
      <c r="Z12" s="50" t="n">
        <f aca="false">SUMIF($CB$4:$JS$4,Z$4,$CB12:$JS12)</f>
        <v>5777</v>
      </c>
      <c r="AA12" s="50" t="n">
        <f aca="false">SUMIF($CB$4:$JS$4,AA$4,$CB12:$JS12)</f>
        <v>250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198972.52</v>
      </c>
      <c r="BZ12" s="45" t="n">
        <f aca="false">SUMPRODUCT(($CB$4:$JS$4&lt;&gt;"")*($CB$4:$JS$4&lt;=$D$4),$CB12:$JS12,$CB$1:$JS$1)</f>
        <v>13.2233804828391</v>
      </c>
      <c r="CB12" s="133" t="n">
        <f aca="false">IF(OR(CB$4="",$B12=""),0,SUMIF('DADOS BRUTOS'!$A$3:$A$500,$B12,'DADOS BRUTOS'!B$3:B$500)+IF($C12="",0,SUMIF('DADOS BRUTOS'!$A$3:$A$500,$C12,'DADOS BRUTOS'!B$3:B$500)))</f>
        <v>0</v>
      </c>
      <c r="CC12" s="133" t="n">
        <f aca="false">IF(OR(CC$4="",$B12=""),0,SUMIF('DADOS BRUTOS'!$A$3:$A$500,$B12,'DADOS BRUTOS'!C$3:C$500)+IF($C12="",0,SUMIF('DADOS BRUTOS'!$A$3:$A$500,$C12,'DADOS BRUTOS'!C$3:C$500)))</f>
        <v>0</v>
      </c>
      <c r="CD12" s="133" t="n">
        <f aca="false">IF(OR(CD$4="",$B12=""),0,SUMIF('DADOS BRUTOS'!$A$3:$A$500,$B12,'DADOS BRUTOS'!D$3:D$500)+IF($C12="",0,SUMIF('DADOS BRUTOS'!$A$3:$A$500,$C12,'DADOS BRUTOS'!D$3:D$500)))</f>
        <v>0</v>
      </c>
      <c r="CE12" s="133" t="n">
        <f aca="false">IF(OR(CE$4="",$B12=""),0,SUMIF('DADOS BRUTOS'!$A$3:$A$500,$B12,'DADOS BRUTOS'!E$3:E$500)+IF($C12="",0,SUMIF('DADOS BRUTOS'!$A$3:$A$500,$C12,'DADOS BRUTOS'!E$3:E$500)))</f>
        <v>0</v>
      </c>
      <c r="CF12" s="133" t="n">
        <f aca="false">IF(OR(CF$4="",$B12=""),0,SUMIF('DADOS BRUTOS'!$A$3:$A$500,$B12,'DADOS BRUTOS'!F$3:F$500)+IF($C12="",0,SUMIF('DADOS BRUTOS'!$A$3:$A$500,$C12,'DADOS BRUTOS'!F$3:F$500)))</f>
        <v>0</v>
      </c>
      <c r="CG12" s="133" t="n">
        <f aca="false">IF(OR(CG$4="",$B12=""),0,SUMIF('DADOS BRUTOS'!$A$3:$A$500,$B12,'DADOS BRUTOS'!G$3:G$500)+IF($C12="",0,SUMIF('DADOS BRUTOS'!$A$3:$A$500,$C12,'DADOS BRUTOS'!G$3:G$500)))</f>
        <v>0</v>
      </c>
      <c r="CH12" s="133" t="n">
        <f aca="false">IF(OR(CH$4="",$B12=""),0,SUMIF('DADOS BRUTOS'!$A$3:$A$500,$B12,'DADOS BRUTOS'!H$3:H$500)+IF($C12="",0,SUMIF('DADOS BRUTOS'!$A$3:$A$500,$C12,'DADOS BRUTOS'!H$3:H$500)))</f>
        <v>0</v>
      </c>
      <c r="CI12" s="133" t="n">
        <f aca="false">IF(OR(CI$4="",$B12=""),0,SUMIF('DADOS BRUTOS'!$A$3:$A$500,$B12,'DADOS BRUTOS'!I$3:I$500)+IF($C12="",0,SUMIF('DADOS BRUTOS'!$A$3:$A$500,$C12,'DADOS BRUTOS'!I$3:I$500)))</f>
        <v>19.6</v>
      </c>
      <c r="CJ12" s="133" t="n">
        <f aca="false">IF(OR(CJ$4="",$B12=""),0,SUMIF('DADOS BRUTOS'!$A$3:$A$500,$B12,'DADOS BRUTOS'!J$3:J$500)+IF($C12="",0,SUMIF('DADOS BRUTOS'!$A$3:$A$500,$C12,'DADOS BRUTOS'!J$3:J$500)))</f>
        <v>0.4</v>
      </c>
      <c r="CK12" s="133" t="n">
        <f aca="false">IF(OR(CK$4="",$B12=""),0,SUMIF('DADOS BRUTOS'!$A$3:$A$500,$B12,'DADOS BRUTOS'!K$3:K$500)+IF($C12="",0,SUMIF('DADOS BRUTOS'!$A$3:$A$500,$C12,'DADOS BRUTOS'!K$3:K$500)))</f>
        <v>0</v>
      </c>
      <c r="CL12" s="133" t="n">
        <f aca="false">IF(OR(CL$4="",$B12=""),0,SUMIF('DADOS BRUTOS'!$A$3:$A$500,$B12,'DADOS BRUTOS'!L$3:L$500)+IF($C12="",0,SUMIF('DADOS BRUTOS'!$A$3:$A$500,$C12,'DADOS BRUTOS'!L$3:L$500)))</f>
        <v>0</v>
      </c>
      <c r="CM12" s="133" t="n">
        <f aca="false">IF(OR(CM$4="",$B12=""),0,SUMIF('DADOS BRUTOS'!$A$3:$A$500,$B12,'DADOS BRUTOS'!M$3:M$500)+IF($C12="",0,SUMIF('DADOS BRUTOS'!$A$3:$A$500,$C12,'DADOS BRUTOS'!M$3:M$500)))</f>
        <v>0</v>
      </c>
      <c r="CN12" s="133" t="n">
        <f aca="false">IF(OR(CN$4="",$B12=""),0,SUMIF('DADOS BRUTOS'!$A$3:$A$500,$B12,'DADOS BRUTOS'!N$3:N$500)+IF($C12="",0,SUMIF('DADOS BRUTOS'!$A$3:$A$500,$C12,'DADOS BRUTOS'!N$3:N$500)))</f>
        <v>0</v>
      </c>
      <c r="CO12" s="133" t="n">
        <f aca="false">IF(OR(CO$4="",$B12=""),0,SUMIF('DADOS BRUTOS'!$A$3:$A$500,$B12,'DADOS BRUTOS'!O$3:O$500)+IF($C12="",0,SUMIF('DADOS BRUTOS'!$A$3:$A$500,$C12,'DADOS BRUTOS'!O$3:O$500)))</f>
        <v>0</v>
      </c>
      <c r="CP12" s="133" t="n">
        <f aca="false">IF(OR(CP$4="",$B12=""),0,SUMIF('DADOS BRUTOS'!$A$3:$A$500,$B12,'DADOS BRUTOS'!P$3:P$500)+IF($C12="",0,SUMIF('DADOS BRUTOS'!$A$3:$A$500,$C12,'DADOS BRUTOS'!P$3:P$500)))</f>
        <v>0</v>
      </c>
      <c r="CQ12" s="133" t="n">
        <f aca="false">IF(OR(CQ$4="",$B12=""),0,SUMIF('DADOS BRUTOS'!$A$3:$A$500,$B12,'DADOS BRUTOS'!Q$3:Q$500)+IF($C12="",0,SUMIF('DADOS BRUTOS'!$A$3:$A$500,$C12,'DADOS BRUTOS'!Q$3:Q$500)))</f>
        <v>0</v>
      </c>
      <c r="CR12" s="133" t="n">
        <f aca="false">IF(OR(CR$4="",$B12=""),0,SUMIF('DADOS BRUTOS'!$A$3:$A$500,$B12,'DADOS BRUTOS'!R$3:R$500)+IF($C12="",0,SUMIF('DADOS BRUTOS'!$A$3:$A$500,$C12,'DADOS BRUTOS'!R$3:R$500)))</f>
        <v>0</v>
      </c>
      <c r="CS12" s="133" t="n">
        <f aca="false">IF(OR(CS$4="",$B12=""),0,SUMIF('DADOS BRUTOS'!$A$3:$A$500,$B12,'DADOS BRUTOS'!S$3:S$500)+IF($C12="",0,SUMIF('DADOS BRUTOS'!$A$3:$A$500,$C12,'DADOS BRUTOS'!S$3:S$500)))</f>
        <v>0</v>
      </c>
      <c r="CT12" s="133" t="n">
        <f aca="false">IF(OR(CT$4="",$B12=""),0,SUMIF('DADOS BRUTOS'!$A$3:$A$500,$B12,'DADOS BRUTOS'!T$3:T$500)+IF($C12="",0,SUMIF('DADOS BRUTOS'!$A$3:$A$500,$C12,'DADOS BRUTOS'!T$3:T$500)))</f>
        <v>0</v>
      </c>
      <c r="CU12" s="133" t="n">
        <f aca="false">IF(OR(CU$4="",$B12=""),0,SUMIF('DADOS BRUTOS'!$A$3:$A$500,$B12,'DADOS BRUTOS'!U$3:U$500)+IF($C12="",0,SUMIF('DADOS BRUTOS'!$A$3:$A$500,$C12,'DADOS BRUTOS'!U$3:U$500)))</f>
        <v>43.8</v>
      </c>
      <c r="CV12" s="133" t="n">
        <f aca="false">IF(OR(CV$4="",$B12=""),0,SUMIF('DADOS BRUTOS'!$A$3:$A$500,$B12,'DADOS BRUTOS'!V$3:V$500)+IF($C12="",0,SUMIF('DADOS BRUTOS'!$A$3:$A$500,$C12,'DADOS BRUTOS'!V$3:V$500)))</f>
        <v>1.2</v>
      </c>
      <c r="CW12" s="133" t="n">
        <f aca="false">IF(OR(CW$4="",$B12=""),0,SUMIF('DADOS BRUTOS'!$A$3:$A$500,$B12,'DADOS BRUTOS'!W$3:W$500)+IF($C12="",0,SUMIF('DADOS BRUTOS'!$A$3:$A$500,$C12,'DADOS BRUTOS'!W$3:W$500)))</f>
        <v>0</v>
      </c>
      <c r="CX12" s="133" t="n">
        <f aca="false">IF(OR(CX$4="",$B12=""),0,SUMIF('DADOS BRUTOS'!$A$3:$A$500,$B12,'DADOS BRUTOS'!X$3:X$500)+IF($C12="",0,SUMIF('DADOS BRUTOS'!$A$3:$A$500,$C12,'DADOS BRUTOS'!X$3:X$500)))</f>
        <v>0</v>
      </c>
      <c r="CY12" s="133" t="n">
        <f aca="false">IF(OR(CY$4="",$B12=""),0,SUMIF('DADOS BRUTOS'!$A$3:$A$500,$B12,'DADOS BRUTOS'!Y$3:Y$500)+IF($C12="",0,SUMIF('DADOS BRUTOS'!$A$3:$A$500,$C12,'DADOS BRUTOS'!Y$3:Y$500)))</f>
        <v>0</v>
      </c>
      <c r="CZ12" s="133" t="n">
        <f aca="false">IF(OR(CZ$4="",$B12=""),0,SUMIF('DADOS BRUTOS'!$A$3:$A$500,$B12,'DADOS BRUTOS'!Z$3:Z$500)+IF($C12="",0,SUMIF('DADOS BRUTOS'!$A$3:$A$500,$C12,'DADOS BRUTOS'!Z$3:Z$500)))</f>
        <v>0</v>
      </c>
      <c r="DA12" s="133" t="n">
        <f aca="false">IF(OR(DA$4="",$B12=""),0,SUMIF('DADOS BRUTOS'!$A$3:$A$500,$B12,'DADOS BRUTOS'!AA$3:AA$500)+IF($C12="",0,SUMIF('DADOS BRUTOS'!$A$3:$A$500,$C12,'DADOS BRUTOS'!AA$3:AA$500)))</f>
        <v>0</v>
      </c>
      <c r="DB12" s="133" t="n">
        <f aca="false">IF(OR(DB$4="",$B12=""),0,SUMIF('DADOS BRUTOS'!$A$3:$A$500,$B12,'DADOS BRUTOS'!AB$3:AB$500)+IF($C12="",0,SUMIF('DADOS BRUTOS'!$A$3:$A$500,$C12,'DADOS BRUTOS'!AB$3:AB$500)))</f>
        <v>61.15</v>
      </c>
      <c r="DC12" s="133" t="n">
        <f aca="false">IF(OR(DC$4="",$B12=""),0,SUMIF('DADOS BRUTOS'!$A$3:$A$500,$B12,'DADOS BRUTOS'!AC$3:AC$500)+IF($C12="",0,SUMIF('DADOS BRUTOS'!$A$3:$A$500,$C12,'DADOS BRUTOS'!AC$3:AC$500)))</f>
        <v>1.85</v>
      </c>
      <c r="DD12" s="133" t="n">
        <f aca="false">IF(OR(DD$4="",$B12=""),0,SUMIF('DADOS BRUTOS'!$A$3:$A$500,$B12,'DADOS BRUTOS'!AD$3:AD$500)+IF($C12="",0,SUMIF('DADOS BRUTOS'!$A$3:$A$500,$C12,'DADOS BRUTOS'!AD$3:AD$500)))</f>
        <v>4240.95</v>
      </c>
      <c r="DE12" s="133" t="n">
        <f aca="false">IF(OR(DE$4="",$B12=""),0,SUMIF('DADOS BRUTOS'!$A$3:$A$500,$B12,'DADOS BRUTOS'!AE$3:AE$500)+IF($C12="",0,SUMIF('DADOS BRUTOS'!$A$3:$A$500,$C12,'DADOS BRUTOS'!AE$3:AE$500)))</f>
        <v>208.17</v>
      </c>
      <c r="DF12" s="133" t="n">
        <f aca="false">IF(OR(DF$4="",$B12=""),0,SUMIF('DADOS BRUTOS'!$A$3:$A$500,$B12,'DADOS BRUTOS'!AF$3:AF$500)+IF($C12="",0,SUMIF('DADOS BRUTOS'!$A$3:$A$500,$C12,'DADOS BRUTOS'!AF$3:AF$500)))</f>
        <v>10174.14</v>
      </c>
      <c r="DG12" s="133" t="n">
        <f aca="false">IF(OR(DG$4="",$B12=""),0,SUMIF('DADOS BRUTOS'!$A$3:$A$500,$B12,'DADOS BRUTOS'!AG$3:AG$500)+IF($C12="",0,SUMIF('DADOS BRUTOS'!$A$3:$A$500,$C12,'DADOS BRUTOS'!AG$3:AG$500)))</f>
        <v>144.43</v>
      </c>
      <c r="DH12" s="133" t="n">
        <f aca="false">IF(OR(DH$4="",$B12=""),0,SUMIF('DADOS BRUTOS'!$A$3:$A$500,$B12,'DADOS BRUTOS'!AH$3:AH$500)+IF($C12="",0,SUMIF('DADOS BRUTOS'!$A$3:$A$500,$C12,'DADOS BRUTOS'!AH$3:AH$500)))</f>
        <v>241.43</v>
      </c>
      <c r="DI12" s="133" t="n">
        <f aca="false">IF(OR(DI$4="",$B12=""),0,SUMIF('DADOS BRUTOS'!$A$3:$A$500,$B12,'DADOS BRUTOS'!AI$3:AI$500)+IF($C12="",0,SUMIF('DADOS BRUTOS'!$A$3:$A$500,$C12,'DADOS BRUTOS'!AI$3:AI$500)))</f>
        <v>4468.95</v>
      </c>
      <c r="DJ12" s="133" t="n">
        <f aca="false">IF(OR(DJ$4="",$B12=""),0,SUMIF('DADOS BRUTOS'!$A$3:$A$500,$B12,'DADOS BRUTOS'!AJ$3:AJ$500)+IF($C12="",0,SUMIF('DADOS BRUTOS'!$A$3:$A$500,$C12,'DADOS BRUTOS'!AJ$3:AJ$500)))</f>
        <v>1471.68</v>
      </c>
      <c r="DK12" s="133" t="n">
        <f aca="false">IF(OR(DK$4="",$B12=""),0,SUMIF('DADOS BRUTOS'!$A$3:$A$500,$B12,'DADOS BRUTOS'!AK$3:AK$500)+IF($C12="",0,SUMIF('DADOS BRUTOS'!$A$3:$A$500,$C12,'DADOS BRUTOS'!AK$3:AK$500)))</f>
        <v>71.89</v>
      </c>
      <c r="DL12" s="133" t="n">
        <f aca="false">IF(OR(DL$4="",$B12=""),0,SUMIF('DADOS BRUTOS'!$A$3:$A$500,$B12,'DADOS BRUTOS'!AL$3:AL$500)+IF($C12="",0,SUMIF('DADOS BRUTOS'!$A$3:$A$500,$C12,'DADOS BRUTOS'!AL$3:AL$500)))</f>
        <v>3294</v>
      </c>
      <c r="DM12" s="133" t="n">
        <f aca="false">IF(OR(DM$4="",$B12=""),0,SUMIF('DADOS BRUTOS'!$A$3:$A$500,$B12,'DADOS BRUTOS'!AM$3:AM$500)+IF($C12="",0,SUMIF('DADOS BRUTOS'!$A$3:$A$500,$C12,'DADOS BRUTOS'!AM$3:AM$500)))</f>
        <v>5791.43</v>
      </c>
      <c r="DN12" s="133" t="n">
        <f aca="false">IF(OR(DN$4="",$B12=""),0,SUMIF('DADOS BRUTOS'!$A$3:$A$500,$B12,'DADOS BRUTOS'!AN$3:AN$500)+IF($C12="",0,SUMIF('DADOS BRUTOS'!$A$3:$A$500,$C12,'DADOS BRUTOS'!AN$3:AN$500)))</f>
        <v>2577.2</v>
      </c>
      <c r="DO12" s="133" t="n">
        <f aca="false">IF(OR(DO$4="",$B12=""),0,SUMIF('DADOS BRUTOS'!$A$3:$A$500,$B12,'DADOS BRUTOS'!AO$3:AO$500)+IF($C12="",0,SUMIF('DADOS BRUTOS'!$A$3:$A$500,$C12,'DADOS BRUTOS'!AO$3:AO$500)))</f>
        <v>6009.9</v>
      </c>
      <c r="DP12" s="133" t="n">
        <f aca="false">IF(OR(DP$4="",$B12=""),0,SUMIF('DADOS BRUTOS'!$A$3:$A$500,$B12,'DADOS BRUTOS'!AP$3:AP$500)+IF($C12="",0,SUMIF('DADOS BRUTOS'!$A$3:$A$500,$C12,'DADOS BRUTOS'!AP$3:AP$500)))</f>
        <v>5622.92</v>
      </c>
      <c r="DQ12" s="133" t="n">
        <f aca="false">IF(OR(DQ$4="",$B12=""),0,SUMIF('DADOS BRUTOS'!$A$3:$A$500,$B12,'DADOS BRUTOS'!AQ$3:AQ$500)+IF($C12="",0,SUMIF('DADOS BRUTOS'!$A$3:$A$500,$C12,'DADOS BRUTOS'!AQ$3:AQ$500)))</f>
        <v>9961.57</v>
      </c>
      <c r="DR12" s="133" t="n">
        <f aca="false">IF(OR(DR$4="",$B12=""),0,SUMIF('DADOS BRUTOS'!$A$3:$A$500,$B12,'DADOS BRUTOS'!AR$3:AR$500)+IF($C12="",0,SUMIF('DADOS BRUTOS'!$A$3:$A$500,$C12,'DADOS BRUTOS'!AR$3:AR$500)))</f>
        <v>6569.24</v>
      </c>
      <c r="DS12" s="133" t="n">
        <f aca="false">IF(OR(DS$4="",$B12=""),0,SUMIF('DADOS BRUTOS'!$A$3:$A$500,$B12,'DADOS BRUTOS'!AS$3:AS$500)+IF($C12="",0,SUMIF('DADOS BRUTOS'!$A$3:$A$500,$C12,'DADOS BRUTOS'!AS$3:AS$500)))</f>
        <v>5976.36</v>
      </c>
      <c r="DT12" s="133" t="n">
        <f aca="false">IF(OR(DT$4="",$B12=""),0,SUMIF('DADOS BRUTOS'!$A$3:$A$500,$B12,'DADOS BRUTOS'!AT$3:AT$500)+IF($C12="",0,SUMIF('DADOS BRUTOS'!$A$3:$A$500,$C12,'DADOS BRUTOS'!AT$3:AT$500)))</f>
        <v>9174.4</v>
      </c>
      <c r="DU12" s="133" t="n">
        <f aca="false">IF(OR(DU$4="",$B12=""),0,SUMIF('DADOS BRUTOS'!$A$3:$A$500,$B12,'DADOS BRUTOS'!AU$3:AU$500)+IF($C12="",0,SUMIF('DADOS BRUTOS'!$A$3:$A$500,$C12,'DADOS BRUTOS'!AU$3:AU$500)))</f>
        <v>2665.03</v>
      </c>
      <c r="DV12" s="133" t="n">
        <f aca="false">IF(OR(DV$4="",$B12=""),0,SUMIF('DADOS BRUTOS'!$A$3:$A$500,$B12,'DADOS BRUTOS'!AV$3:AV$500)+IF($C12="",0,SUMIF('DADOS BRUTOS'!$A$3:$A$500,$C12,'DADOS BRUTOS'!AV$3:AV$500)))</f>
        <v>7732.71</v>
      </c>
      <c r="DW12" s="133" t="n">
        <f aca="false">IF(OR(DW$4="",$B12=""),0,SUMIF('DADOS BRUTOS'!$A$3:$A$500,$B12,'DADOS BRUTOS'!AW$3:AW$500)+IF($C12="",0,SUMIF('DADOS BRUTOS'!$A$3:$A$500,$C12,'DADOS BRUTOS'!AW$3:AW$500)))</f>
        <v>5460.17</v>
      </c>
      <c r="DX12" s="133" t="n">
        <f aca="false">IF(OR(DX$4="",$B12=""),0,SUMIF('DADOS BRUTOS'!$A$3:$A$500,$B12,'DADOS BRUTOS'!AX$3:AX$500)+IF($C12="",0,SUMIF('DADOS BRUTOS'!$A$3:$A$500,$C12,'DADOS BRUTOS'!AX$3:AX$500)))</f>
        <v>1326.6</v>
      </c>
      <c r="DY12" s="133" t="n">
        <f aca="false">IF(OR(DY$4="",$B12=""),0,SUMIF('DADOS BRUTOS'!$A$3:$A$500,$B12,'DADOS BRUTOS'!AY$3:AY$500)+IF($C12="",0,SUMIF('DADOS BRUTOS'!$A$3:$A$500,$C12,'DADOS BRUTOS'!AY$3:AY$500)))</f>
        <v>8098.09</v>
      </c>
      <c r="DZ12" s="133" t="n">
        <f aca="false">IF(OR(DZ$4="",$B12=""),0,SUMIF('DADOS BRUTOS'!$A$3:$A$500,$B12,'DADOS BRUTOS'!AZ$3:AZ$500)+IF($C12="",0,SUMIF('DADOS BRUTOS'!$A$3:$A$500,$C12,'DADOS BRUTOS'!AZ$3:AZ$500)))</f>
        <v>28867.01</v>
      </c>
      <c r="EA12" s="133" t="n">
        <f aca="false">IF(OR(EA$4="",$B12=""),0,SUMIF('DADOS BRUTOS'!$A$3:$A$500,$B12,'DADOS BRUTOS'!BA$3:BA$500)+IF($C12="",0,SUMIF('DADOS BRUTOS'!$A$3:$A$500,$C12,'DADOS BRUTOS'!BA$3:BA$500)))</f>
        <v>33839.33</v>
      </c>
      <c r="EB12" s="133" t="n">
        <f aca="false">IF(OR(EB$4="",$B12=""),0,SUMIF('DADOS BRUTOS'!$A$3:$A$500,$B12,'DADOS BRUTOS'!BB$3:BB$500)+IF($C12="",0,SUMIF('DADOS BRUTOS'!$A$3:$A$500,$C12,'DADOS BRUTOS'!BB$3:BB$500)))</f>
        <v>12635.41</v>
      </c>
      <c r="EC12" s="133" t="n">
        <f aca="false">IF(OR(EC$4="",$B12=""),0,SUMIF('DADOS BRUTOS'!$A$3:$A$500,$B12,'DADOS BRUTOS'!BC$3:BC$500)+IF($C12="",0,SUMIF('DADOS BRUTOS'!$A$3:$A$500,$C12,'DADOS BRUTOS'!BC$3:BC$500)))</f>
        <v>16194.51</v>
      </c>
      <c r="ED12" s="133" t="n">
        <f aca="false">IF(OR(ED$4="",$B12=""),0,SUMIF('DADOS BRUTOS'!$A$3:$A$500,$B12,'DADOS BRUTOS'!BD$3:BD$500)+IF($C12="",0,SUMIF('DADOS BRUTOS'!$A$3:$A$500,$C12,'DADOS BRUTOS'!BD$3:BD$500)))</f>
        <v>5777</v>
      </c>
      <c r="EE12" s="133" t="n">
        <f aca="false">IF(OR(EE$4="",$B12=""),0,SUMIF('DADOS BRUTOS'!$A$3:$A$500,$B12,'DADOS BRUTOS'!BE$3:BE$500)+IF($C12="",0,SUMIF('DADOS BRUTOS'!$A$3:$A$500,$C12,'DADOS BRUTOS'!BE$3:BE$500)))</f>
        <v>250</v>
      </c>
      <c r="EF12" s="133" t="n">
        <f aca="false">IF(OR(EF$4="",$B12=""),0,SUMIF('DADOS BRUTOS'!$A$3:$A$500,$B12,'DADOS BRUTOS'!BF$3:BF$500)+IF($C12="",0,SUMIF('DADOS BRUTOS'!$A$3:$A$500,$C12,'DADOS BRUTOS'!BF$3:BF$500)))</f>
        <v>0</v>
      </c>
      <c r="EG12" s="133" t="n">
        <f aca="false">IF(OR(EG$4="",$B12=""),0,SUMIF('DADOS BRUTOS'!$A$3:$A$500,$B12,'DADOS BRUTOS'!BG$3:BG$500)+IF($C12="",0,SUMIF('DADOS BRUTOS'!$A$3:$A$500,$C12,'DADOS BRUTOS'!BG$3:BG$500)))</f>
        <v>0</v>
      </c>
      <c r="EH12" s="133" t="n">
        <f aca="false">IF(OR(EH$4="",$B12=""),0,SUMIF('DADOS BRUTOS'!$A$3:$A$500,$B12,'DADOS BRUTOS'!BH$3:BH$500)+IF($C12="",0,SUMIF('DADOS BRUTOS'!$A$3:$A$500,$C12,'DADOS BRUTOS'!BH$3:BH$500)))</f>
        <v>0</v>
      </c>
      <c r="EI12" s="133" t="n">
        <f aca="false">IF(OR(EI$4="",$B12=""),0,SUMIF('DADOS BRUTOS'!$A$3:$A$500,$B12,'DADOS BRUTOS'!BI$3:BI$500)+IF($C12="",0,SUMIF('DADOS BRUTOS'!$A$3:$A$500,$C12,'DADOS BRUTOS'!BI$3:BI$500)))</f>
        <v>0</v>
      </c>
      <c r="EJ12" s="133" t="n">
        <f aca="false">IF(OR(EJ$4="",$B12=""),0,SUMIF('DADOS BRUTOS'!$A$3:$A$500,$B12,'DADOS BRUTOS'!BJ$3:BJ$500)+IF($C12="",0,SUMIF('DADOS BRUTOS'!$A$3:$A$500,$C12,'DADOS BRUTOS'!BJ$3:BJ$500)))</f>
        <v>0</v>
      </c>
      <c r="EK12" s="133" t="n">
        <f aca="false">IF(OR(EK$4="",$B12=""),0,SUMIF('DADOS BRUTOS'!$A$3:$A$500,$B12,'DADOS BRUTOS'!BK$3:BK$500)+IF($C12="",0,SUMIF('DADOS BRUTOS'!$A$3:$A$500,$C12,'DADOS BRUTOS'!BK$3:BK$500)))</f>
        <v>0</v>
      </c>
      <c r="EL12" s="133" t="n">
        <f aca="false">IF(OR(EL$4="",$B12=""),0,SUMIF('DADOS BRUTOS'!$A$3:$A$500,$B12,'DADOS BRUTOS'!BL$3:BL$500)+IF($C12="",0,SUMIF('DADOS BRUTOS'!$A$3:$A$500,$C12,'DADOS BRUTOS'!BL$3:BL$500)))</f>
        <v>0</v>
      </c>
      <c r="EM12" s="133" t="n">
        <f aca="false">IF(OR(EM$4="",$B12=""),0,SUMIF('DADOS BRUTOS'!$A$3:$A$500,$B12,'DADOS BRUTOS'!BM$3:BM$500)+IF($C12="",0,SUMIF('DADOS BRUTOS'!$A$3:$A$500,$C12,'DADOS BRUTOS'!BM$3:BM$500)))</f>
        <v>0</v>
      </c>
      <c r="EN12" s="133" t="n">
        <f aca="false">IF(OR(EN$4="",$B12=""),0,SUMIF('DADOS BRUTOS'!$A$3:$A$500,$B12,'DADOS BRUTOS'!BN$3:BN$500)+IF($C12="",0,SUMIF('DADOS BRUTOS'!$A$3:$A$500,$C12,'DADOS BRUTOS'!BN$3:BN$500)))</f>
        <v>0</v>
      </c>
      <c r="EO12" s="133" t="n">
        <f aca="false">IF(OR(EO$4="",$B12=""),0,SUMIF('DADOS BRUTOS'!$A$3:$A$500,$B12,'DADOS BRUTOS'!BO$3:BO$500)+IF($C12="",0,SUMIF('DADOS BRUTOS'!$A$3:$A$500,$C12,'DADOS BRUTOS'!BO$3:BO$500)))</f>
        <v>0</v>
      </c>
      <c r="EP12" s="133" t="n">
        <f aca="false">IF(OR(EP$4="",$B12=""),0,SUMIF('DADOS BRUTOS'!$A$3:$A$500,$B12,'DADOS BRUTOS'!BP$3:BP$500)+IF($C12="",0,SUMIF('DADOS BRUTOS'!$A$3:$A$500,$C12,'DADOS BRUTOS'!BP$3:BP$500)))</f>
        <v>0</v>
      </c>
      <c r="EQ12" s="133" t="n">
        <f aca="false">IF(OR(EQ$4="",$B12=""),0,SUMIF('DADOS BRUTOS'!$A$3:$A$500,$B12,'DADOS BRUTOS'!BQ$3:BQ$500)+IF($C12="",0,SUMIF('DADOS BRUTOS'!$A$3:$A$500,$C12,'DADOS BRUTOS'!BQ$3:BQ$500)))</f>
        <v>0</v>
      </c>
      <c r="ER12" s="133" t="n">
        <f aca="false">IF(OR(ER$4="",$B12=""),0,SUMIF('DADOS BRUTOS'!$A$3:$A$500,$B12,'DADOS BRUTOS'!BR$3:BR$500)+IF($C12="",0,SUMIF('DADOS BRUTOS'!$A$3:$A$500,$C12,'DADOS BRUTOS'!BR$3:BR$500)))</f>
        <v>0</v>
      </c>
      <c r="ES12" s="133" t="n">
        <f aca="false">IF(OR(ES$4="",$B12=""),0,SUMIF('DADOS BRUTOS'!$A$3:$A$500,$B12,'DADOS BRUTOS'!BS$3:BS$500)+IF($C12="",0,SUMIF('DADOS BRUTOS'!$A$3:$A$500,$C12,'DADOS BRUTOS'!BS$3:BS$500)))</f>
        <v>0</v>
      </c>
      <c r="ET12" s="133" t="n">
        <f aca="false">IF(OR(ET$4="",$B12=""),0,SUMIF('DADOS BRUTOS'!$A$3:$A$500,$B12,'DADOS BRUTOS'!BT$3:BT$500)+IF($C12="",0,SUMIF('DADOS BRUTOS'!$A$3:$A$500,$C12,'DADOS BRUTOS'!BT$3:BT$500)))</f>
        <v>0</v>
      </c>
      <c r="EU12" s="133" t="n">
        <f aca="false">IF(OR(EU$4="",$B12=""),0,SUMIF('DADOS BRUTOS'!$A$3:$A$500,$B12,'DADOS BRUTOS'!BU$3:BU$500)+IF($C12="",0,SUMIF('DADOS BRUTOS'!$A$3:$A$500,$C12,'DADOS BRUTOS'!BU$3:BU$500)))</f>
        <v>0</v>
      </c>
      <c r="EV12" s="133" t="n">
        <f aca="false">IF(OR(EV$4="",$B12=""),0,SUMIF('DADOS BRUTOS'!$A$3:$A$500,$B12,'DADOS BRUTOS'!BV$3:BV$500)+IF($C12="",0,SUMIF('DADOS BRUTOS'!$A$3:$A$500,$C12,'DADOS BRUTOS'!BV$3:BV$500)))</f>
        <v>0</v>
      </c>
      <c r="EW12" s="133" t="n">
        <f aca="false">IF(OR(EW$4="",$B12=""),0,SUMIF('DADOS BRUTOS'!$A$3:$A$500,$B12,'DADOS BRUTOS'!BW$3:BW$500)+IF($C12="",0,SUMIF('DADOS BRUTOS'!$A$3:$A$500,$C12,'DADOS BRUTOS'!BW$3:BW$500)))</f>
        <v>0</v>
      </c>
      <c r="EX12" s="133" t="n">
        <f aca="false">IF(OR(EX$4="",$B12=""),0,SUMIF('DADOS BRUTOS'!$A$3:$A$500,$B12,'DADOS BRUTOS'!BX$3:BX$500)+IF($C12="",0,SUMIF('DADOS BRUTOS'!$A$3:$A$500,$C12,'DADOS BRUTOS'!BX$3:BX$500)))</f>
        <v>0</v>
      </c>
      <c r="EY12" s="133" t="n">
        <f aca="false">IF(OR(EY$4="",$B12=""),0,SUMIF('DADOS BRUTOS'!$A$3:$A$500,$B12,'DADOS BRUTOS'!BY$3:BY$500)+IF($C12="",0,SUMIF('DADOS BRUTOS'!$A$3:$A$500,$C12,'DADOS BRUTOS'!BY$3:BY$500)))</f>
        <v>0</v>
      </c>
      <c r="EZ12" s="133" t="n">
        <f aca="false">IF(OR(EZ$4="",$B12=""),0,SUMIF('DADOS BRUTOS'!$A$3:$A$500,$B12,'DADOS BRUTOS'!BZ$3:BZ$500)+IF($C12="",0,SUMIF('DADOS BRUTOS'!$A$3:$A$500,$C12,'DADOS BRUTOS'!BZ$3:BZ$500)))</f>
        <v>0</v>
      </c>
      <c r="FA12" s="133" t="n">
        <f aca="false">IF(OR(FA$4="",$B12=""),0,SUMIF('DADOS BRUTOS'!$A$3:$A$500,$B12,'DADOS BRUTOS'!CA$3:CA$500)+IF($C12="",0,SUMIF('DADOS BRUTOS'!$A$3:$A$500,$C12,'DADOS BRUTOS'!CA$3:CA$500)))</f>
        <v>0</v>
      </c>
      <c r="FB12" s="133" t="n">
        <f aca="false">IF(OR(FB$4="",$B12=""),0,SUMIF('DADOS BRUTOS'!$A$3:$A$500,$B12,'DADOS BRUTOS'!CB$3:CB$500)+IF($C12="",0,SUMIF('DADOS BRUTOS'!$A$3:$A$500,$C12,'DADOS BRUTOS'!CB$3:CB$500)))</f>
        <v>0</v>
      </c>
      <c r="FC12" s="133" t="n">
        <f aca="false">IF(OR(FC$4="",$B12=""),0,SUMIF('DADOS BRUTOS'!$A$3:$A$500,$B12,'DADOS BRUTOS'!CC$3:CC$500)+IF($C12="",0,SUMIF('DADOS BRUTOS'!$A$3:$A$500,$C12,'DADOS BRUTOS'!CC$3:CC$500)))</f>
        <v>0</v>
      </c>
      <c r="FD12" s="133" t="n">
        <f aca="false">IF(OR(FD$4="",$B12=""),0,SUMIF('DADOS BRUTOS'!$A$3:$A$500,$B12,'DADOS BRUTOS'!CD$3:CD$500)+IF($C12="",0,SUMIF('DADOS BRUTOS'!$A$3:$A$500,$C12,'DADOS BRUTOS'!CD$3:CD$500)))</f>
        <v>0</v>
      </c>
      <c r="FE12" s="133" t="n">
        <f aca="false">IF(OR(FE$4="",$B12=""),0,SUMIF('DADOS BRUTOS'!$A$3:$A$500,$B12,'DADOS BRUTOS'!CE$3:CE$500)+IF($C12="",0,SUMIF('DADOS BRUTOS'!$A$3:$A$500,$C12,'DADOS BRUTOS'!CE$3:CE$500)))</f>
        <v>0</v>
      </c>
      <c r="FF12" s="133" t="n">
        <f aca="false">IF(OR(FF$4="",$B12=""),0,SUMIF('DADOS BRUTOS'!$A$3:$A$500,$B12,'DADOS BRUTOS'!CF$3:CF$500)+IF($C12="",0,SUMIF('DADOS BRUTOS'!$A$3:$A$500,$C12,'DADOS BRUTOS'!CF$3:CF$500)))</f>
        <v>0</v>
      </c>
      <c r="FG12" s="133" t="n">
        <f aca="false">IF(OR(FG$4="",$B12=""),0,SUMIF('DADOS BRUTOS'!$A$3:$A$500,$B12,'DADOS BRUTOS'!CG$3:CG$500)+IF($C12="",0,SUMIF('DADOS BRUTOS'!$A$3:$A$500,$C12,'DADOS BRUTOS'!CG$3:CG$500)))</f>
        <v>0</v>
      </c>
      <c r="FH12" s="133" t="n">
        <f aca="false">IF(OR(FH$4="",$B12=""),0,SUMIF('DADOS BRUTOS'!$A$3:$A$500,$B12,'DADOS BRUTOS'!CH$3:CH$500)+IF($C12="",0,SUMIF('DADOS BRUTOS'!$A$3:$A$500,$C12,'DADOS BRUTOS'!CH$3:CH$500)))</f>
        <v>0</v>
      </c>
      <c r="FI12" s="133" t="n">
        <f aca="false">IF(OR(FI$4="",$B12=""),0,SUMIF('DADOS BRUTOS'!$A$3:$A$500,$B12,'DADOS BRUTOS'!CI$3:CI$500)+IF($C12="",0,SUMIF('DADOS BRUTOS'!$A$3:$A$500,$C12,'DADOS BRUTOS'!CI$3:CI$500)))</f>
        <v>0</v>
      </c>
      <c r="FJ12" s="133" t="n">
        <f aca="false">IF(OR(FJ$4="",$B12=""),0,SUMIF('DADOS BRUTOS'!$A$3:$A$500,$B12,'DADOS BRUTOS'!CJ$3:CJ$500)+IF($C12="",0,SUMIF('DADOS BRUTOS'!$A$3:$A$500,$C12,'DADOS BRUTOS'!CJ$3:CJ$500)))</f>
        <v>0</v>
      </c>
      <c r="FK12" s="133" t="n">
        <f aca="false">IF(OR(FK$4="",$B12=""),0,SUMIF('DADOS BRUTOS'!$A$3:$A$500,$B12,'DADOS BRUTOS'!CK$3:CK$500)+IF($C12="",0,SUMIF('DADOS BRUTOS'!$A$3:$A$500,$C12,'DADOS BRUTOS'!CK$3:CK$500)))</f>
        <v>0</v>
      </c>
      <c r="FL12" s="133" t="n">
        <f aca="false">IF(OR(FL$4="",$B12=""),0,SUMIF('DADOS BRUTOS'!$A$3:$A$500,$B12,'DADOS BRUTOS'!CL$3:CL$500)+IF($C12="",0,SUMIF('DADOS BRUTOS'!$A$3:$A$500,$C12,'DADOS BRUTOS'!CL$3:CL$500)))</f>
        <v>0</v>
      </c>
      <c r="FM12" s="133" t="n">
        <f aca="false">IF(OR(FM$4="",$B12=""),0,SUMIF('DADOS BRUTOS'!$A$3:$A$500,$B12,'DADOS BRUTOS'!CM$3:CM$500)+IF($C12="",0,SUMIF('DADOS BRUTOS'!$A$3:$A$500,$C12,'DADOS BRUTOS'!CM$3:CM$500)))</f>
        <v>0</v>
      </c>
      <c r="FN12" s="133" t="n">
        <f aca="false">IF(OR(FN$4="",$B12=""),0,SUMIF('DADOS BRUTOS'!$A$3:$A$500,$B12,'DADOS BRUTOS'!CN$3:CN$500)+IF($C12="",0,SUMIF('DADOS BRUTOS'!$A$3:$A$500,$C12,'DADOS BRUTOS'!CN$3:CN$500)))</f>
        <v>0</v>
      </c>
      <c r="FO12" s="133" t="n">
        <f aca="false">IF(OR(FO$4="",$B12=""),0,SUMIF('DADOS BRUTOS'!$A$3:$A$500,$B12,'DADOS BRUTOS'!CO$3:CO$500)+IF($C12="",0,SUMIF('DADOS BRUTOS'!$A$3:$A$500,$C12,'DADOS BRUTOS'!CO$3:CO$500)))</f>
        <v>0</v>
      </c>
      <c r="FP12" s="133" t="n">
        <f aca="false">IF(OR(FP$4="",$B12=""),0,SUMIF('DADOS BRUTOS'!$A$3:$A$500,$B12,'DADOS BRUTOS'!CP$3:CP$500)+IF($C12="",0,SUMIF('DADOS BRUTOS'!$A$3:$A$500,$C12,'DADOS BRUTOS'!CP$3:CP$500)))</f>
        <v>0</v>
      </c>
      <c r="FQ12" s="133" t="n">
        <f aca="false">IF(OR(FQ$4="",$B12=""),0,SUMIF('DADOS BRUTOS'!$A$3:$A$500,$B12,'DADOS BRUTOS'!CQ$3:CQ$500)+IF($C12="",0,SUMIF('DADOS BRUTOS'!$A$3:$A$500,$C12,'DADOS BRUTOS'!CQ$3:CQ$500)))</f>
        <v>0</v>
      </c>
      <c r="FR12" s="133" t="n">
        <f aca="false">IF(OR(FR$4="",$B12=""),0,SUMIF('DADOS BRUTOS'!$A$3:$A$500,$B12,'DADOS BRUTOS'!CR$3:CR$500)+IF($C12="",0,SUMIF('DADOS BRUTOS'!$A$3:$A$500,$C12,'DADOS BRUTOS'!CR$3:CR$500)))</f>
        <v>0</v>
      </c>
      <c r="FS12" s="133" t="n">
        <f aca="false">IF(OR(FS$4="",$B12=""),0,SUMIF('DADOS BRUTOS'!$A$3:$A$500,$B12,'DADOS BRUTOS'!CS$3:CS$500)+IF($C12="",0,SUMIF('DADOS BRUTOS'!$A$3:$A$500,$C12,'DADOS BRUTOS'!CS$3:CS$500)))</f>
        <v>0</v>
      </c>
      <c r="FT12" s="133" t="n">
        <f aca="false">IF(OR(FT$4="",$B12=""),0,SUMIF('DADOS BRUTOS'!$A$3:$A$500,$B12,'DADOS BRUTOS'!CT$3:CT$500)+IF($C12="",0,SUMIF('DADOS BRUTOS'!$A$3:$A$500,$C12,'DADOS BRUTOS'!CT$3:CT$500)))</f>
        <v>0</v>
      </c>
      <c r="FU12" s="133" t="n">
        <f aca="false">IF(OR(FU$4="",$B12=""),0,SUMIF('DADOS BRUTOS'!$A$3:$A$500,$B12,'DADOS BRUTOS'!CU$3:CU$500)+IF($C12="",0,SUMIF('DADOS BRUTOS'!$A$3:$A$500,$C12,'DADOS BRUTOS'!CU$3:CU$500)))</f>
        <v>0</v>
      </c>
      <c r="FV12" s="133" t="n">
        <f aca="false">IF(OR(FV$4="",$B12=""),0,SUMIF('DADOS BRUTOS'!$A$3:$A$500,$B12,'DADOS BRUTOS'!CV$3:CV$500)+IF($C12="",0,SUMIF('DADOS BRUTOS'!$A$3:$A$500,$C12,'DADOS BRUTOS'!CV$3:CV$500)))</f>
        <v>0</v>
      </c>
      <c r="FW12" s="133" t="n">
        <f aca="false">IF(OR(FW$4="",$B12=""),0,SUMIF('DADOS BRUTOS'!$A$3:$A$500,$B12,'DADOS BRUTOS'!CW$3:CW$500)+IF($C12="",0,SUMIF('DADOS BRUTOS'!$A$3:$A$500,$C12,'DADOS BRUTOS'!CW$3:CW$500)))</f>
        <v>0</v>
      </c>
      <c r="FX12" s="133" t="n">
        <f aca="false">IF(OR(FX$4="",$B12=""),0,SUMIF('DADOS BRUTOS'!$A$3:$A$500,$B12,'DADOS BRUTOS'!CX$3:CX$500)+IF($C12="",0,SUMIF('DADOS BRUTOS'!$A$3:$A$500,$C12,'DADOS BRUTOS'!CX$3:CX$500)))</f>
        <v>0</v>
      </c>
      <c r="FY12" s="133" t="n">
        <f aca="false">IF(OR(FY$4="",$B12=""),0,SUMIF('DADOS BRUTOS'!$A$3:$A$500,$B12,'DADOS BRUTOS'!CY$3:CY$500)+IF($C12="",0,SUMIF('DADOS BRUTOS'!$A$3:$A$500,$C12,'DADOS BRUTOS'!CY$3:CY$500)))</f>
        <v>0</v>
      </c>
      <c r="FZ12" s="133" t="n">
        <f aca="false">IF(OR(FZ$4="",$B12=""),0,SUMIF('DADOS BRUTOS'!$A$3:$A$500,$B12,'DADOS BRUTOS'!CZ$3:CZ$500)+IF($C12="",0,SUMIF('DADOS BRUTOS'!$A$3:$A$500,$C12,'DADOS BRUTOS'!CZ$3:CZ$500)))</f>
        <v>0</v>
      </c>
      <c r="GA12" s="133" t="n">
        <f aca="false">IF(OR(GA$4="",$B12=""),0,SUMIF('DADOS BRUTOS'!$A$3:$A$500,$B12,'DADOS BRUTOS'!DA$3:DA$500)+IF($C12="",0,SUMIF('DADOS BRUTOS'!$A$3:$A$500,$C12,'DADOS BRUTOS'!DA$3:DA$500)))</f>
        <v>0</v>
      </c>
      <c r="GB12" s="133" t="n">
        <f aca="false">IF(OR(GB$4="",$B12=""),0,SUMIF('DADOS BRUTOS'!$A$3:$A$500,$B12,'DADOS BRUTOS'!DB$3:DB$500)+IF($C12="",0,SUMIF('DADOS BRUTOS'!$A$3:$A$500,$C12,'DADOS BRUTOS'!DB$3:DB$500)))</f>
        <v>0</v>
      </c>
      <c r="GC12" s="133" t="n">
        <f aca="false">IF(OR(GC$4="",$B12=""),0,SUMIF('DADOS BRUTOS'!$A$3:$A$500,$B12,'DADOS BRUTOS'!DC$3:DC$500)+IF($C12="",0,SUMIF('DADOS BRUTOS'!$A$3:$A$500,$C12,'DADOS BRUTOS'!DC$3:DC$500)))</f>
        <v>0</v>
      </c>
      <c r="GD12" s="133" t="n">
        <f aca="false">IF(OR(GD$4="",$B12=""),0,SUMIF('DADOS BRUTOS'!$A$3:$A$500,$B12,'DADOS BRUTOS'!DD$3:DD$500)+IF($C12="",0,SUMIF('DADOS BRUTOS'!$A$3:$A$500,$C12,'DADOS BRUTOS'!DD$3:DD$500)))</f>
        <v>0</v>
      </c>
      <c r="GE12" s="133" t="n">
        <f aca="false">IF(OR(GE$4="",$B12=""),0,SUMIF('DADOS BRUTOS'!$A$3:$A$500,$B12,'DADOS BRUTOS'!DE$3:DE$500)+IF($C12="",0,SUMIF('DADOS BRUTOS'!$A$3:$A$500,$C12,'DADOS BRUTOS'!DE$3:DE$500)))</f>
        <v>0</v>
      </c>
      <c r="GF12" s="133" t="n">
        <f aca="false">IF(OR(GF$4="",$B12=""),0,SUMIF('DADOS BRUTOS'!$A$3:$A$500,$B12,'DADOS BRUTOS'!DF$3:DF$500)+IF($C12="",0,SUMIF('DADOS BRUTOS'!$A$3:$A$500,$C12,'DADOS BRUTOS'!DF$3:DF$500)))</f>
        <v>0</v>
      </c>
      <c r="GG12" s="133" t="n">
        <f aca="false">IF(OR(GG$4="",$B12=""),0,SUMIF('DADOS BRUTOS'!$A$3:$A$500,$B12,'DADOS BRUTOS'!DG$3:DG$500)+IF($C12="",0,SUMIF('DADOS BRUTOS'!$A$3:$A$500,$C12,'DADOS BRUTOS'!DG$3:DG$500)))</f>
        <v>0</v>
      </c>
      <c r="GH12" s="133" t="n">
        <f aca="false">IF(OR(GH$4="",$B12=""),0,SUMIF('DADOS BRUTOS'!$A$3:$A$500,$B12,'DADOS BRUTOS'!DH$3:DH$500)+IF($C12="",0,SUMIF('DADOS BRUTOS'!$A$3:$A$500,$C12,'DADOS BRUTOS'!DH$3:DH$500)))</f>
        <v>0</v>
      </c>
      <c r="GI12" s="133" t="n">
        <f aca="false">IF(OR(GI$4="",$B12=""),0,SUMIF('DADOS BRUTOS'!$A$3:$A$500,$B12,'DADOS BRUTOS'!DI$3:DI$500)+IF($C12="",0,SUMIF('DADOS BRUTOS'!$A$3:$A$500,$C12,'DADOS BRUTOS'!DI$3:DI$500)))</f>
        <v>0</v>
      </c>
      <c r="GJ12" s="133" t="n">
        <f aca="false">IF(OR(GJ$4="",$B12=""),0,SUMIF('DADOS BRUTOS'!$A$3:$A$500,$B12,'DADOS BRUTOS'!DJ$3:DJ$500)+IF($C12="",0,SUMIF('DADOS BRUTOS'!$A$3:$A$500,$C12,'DADOS BRUTOS'!DJ$3:DJ$500)))</f>
        <v>0</v>
      </c>
      <c r="GK12" s="133" t="n">
        <f aca="false">IF(OR(GK$4="",$B12=""),0,SUMIF('DADOS BRUTOS'!$A$3:$A$500,$B12,'DADOS BRUTOS'!DK$3:DK$500)+IF($C12="",0,SUMIF('DADOS BRUTOS'!$A$3:$A$500,$C12,'DADOS BRUTOS'!DK$3:DK$500)))</f>
        <v>0</v>
      </c>
      <c r="GL12" s="133" t="n">
        <f aca="false">IF(OR(GL$4="",$B12=""),0,SUMIF('DADOS BRUTOS'!$A$3:$A$500,$B12,'DADOS BRUTOS'!DL$3:DL$500)+IF($C12="",0,SUMIF('DADOS BRUTOS'!$A$3:$A$500,$C12,'DADOS BRUTOS'!DL$3:DL$500)))</f>
        <v>0</v>
      </c>
      <c r="GM12" s="133" t="n">
        <f aca="false">IF(OR(GM$4="",$B12=""),0,SUMIF('DADOS BRUTOS'!$A$3:$A$500,$B12,'DADOS BRUTOS'!DM$3:DM$500)+IF($C12="",0,SUMIF('DADOS BRUTOS'!$A$3:$A$500,$C12,'DADOS BRUTOS'!DM$3:DM$500)))</f>
        <v>0</v>
      </c>
      <c r="GN12" s="133" t="n">
        <f aca="false">IF(OR(GN$4="",$B12=""),0,SUMIF('DADOS BRUTOS'!$A$3:$A$500,$B12,'DADOS BRUTOS'!DN$3:DN$500)+IF($C12="",0,SUMIF('DADOS BRUTOS'!$A$3:$A$500,$C12,'DADOS BRUTOS'!DN$3:DN$500)))</f>
        <v>0</v>
      </c>
      <c r="GO12" s="133" t="n">
        <f aca="false">IF(OR(GO$4="",$B12=""),0,SUMIF('DADOS BRUTOS'!$A$3:$A$500,$B12,'DADOS BRUTOS'!DO$3:DO$500)+IF($C12="",0,SUMIF('DADOS BRUTOS'!$A$3:$A$500,$C12,'DADOS BRUTOS'!DO$3:DO$500)))</f>
        <v>0</v>
      </c>
      <c r="GP12" s="133" t="n">
        <f aca="false">IF(OR(GP$4="",$B12=""),0,SUMIF('DADOS BRUTOS'!$A$3:$A$500,$B12,'DADOS BRUTOS'!DP$3:DP$500)+IF($C12="",0,SUMIF('DADOS BRUTOS'!$A$3:$A$500,$C12,'DADOS BRUTOS'!DP$3:DP$500)))</f>
        <v>0</v>
      </c>
      <c r="GQ12" s="133" t="n">
        <f aca="false">IF(OR(GQ$4="",$B12=""),0,SUMIF('DADOS BRUTOS'!$A$3:$A$500,$B12,'DADOS BRUTOS'!DQ$3:DQ$500)+IF($C12="",0,SUMIF('DADOS BRUTOS'!$A$3:$A$500,$C12,'DADOS BRUTOS'!DQ$3:DQ$500)))</f>
        <v>0</v>
      </c>
      <c r="GR12" s="133" t="n">
        <f aca="false">IF(OR(GR$4="",$B12=""),0,SUMIF('DADOS BRUTOS'!$A$3:$A$500,$B12,'DADOS BRUTOS'!DR$3:DR$500)+IF($C12="",0,SUMIF('DADOS BRUTOS'!$A$3:$A$500,$C12,'DADOS BRUTOS'!DR$3:DR$500)))</f>
        <v>0</v>
      </c>
      <c r="GS12" s="133" t="n">
        <f aca="false">IF(OR(GS$4="",$B12=""),0,SUMIF('DADOS BRUTOS'!$A$3:$A$500,$B12,'DADOS BRUTOS'!DS$3:DS$500)+IF($C12="",0,SUMIF('DADOS BRUTOS'!$A$3:$A$500,$C12,'DADOS BRUTOS'!DS$3:DS$500)))</f>
        <v>0</v>
      </c>
      <c r="GT12" s="133" t="n">
        <f aca="false">IF(OR(GT$4="",$B12=""),0,SUMIF('DADOS BRUTOS'!$A$3:$A$500,$B12,'DADOS BRUTOS'!DT$3:DT$500)+IF($C12="",0,SUMIF('DADOS BRUTOS'!$A$3:$A$500,$C12,'DADOS BRUTOS'!DT$3:DT$500)))</f>
        <v>0</v>
      </c>
      <c r="GU12" s="133" t="n">
        <f aca="false">IF(OR(GU$4="",$B12=""),0,SUMIF('DADOS BRUTOS'!$A$3:$A$500,$B12,'DADOS BRUTOS'!DU$3:DU$500)+IF($C12="",0,SUMIF('DADOS BRUTOS'!$A$3:$A$500,$C12,'DADOS BRUTOS'!DU$3:DU$500)))</f>
        <v>0</v>
      </c>
      <c r="GV12" s="133" t="n">
        <f aca="false">IF(OR(GV$4="",$B12=""),0,SUMIF('DADOS BRUTOS'!$A$3:$A$500,$B12,'DADOS BRUTOS'!DV$3:DV$500)+IF($C12="",0,SUMIF('DADOS BRUTOS'!$A$3:$A$500,$C12,'DADOS BRUTOS'!DV$3:DV$500)))</f>
        <v>0</v>
      </c>
      <c r="GW12" s="133" t="n">
        <f aca="false">IF(OR(GW$4="",$B12=""),0,SUMIF('DADOS BRUTOS'!$A$3:$A$500,$B12,'DADOS BRUTOS'!DW$3:DW$500)+IF($C12="",0,SUMIF('DADOS BRUTOS'!$A$3:$A$500,$C12,'DADOS BRUTOS'!DW$3:DW$500)))</f>
        <v>0</v>
      </c>
      <c r="GX12" s="133" t="n">
        <f aca="false">IF(OR(GX$4="",$B12=""),0,SUMIF('DADOS BRUTOS'!$A$3:$A$500,$B12,'DADOS BRUTOS'!DX$3:DX$500)+IF($C12="",0,SUMIF('DADOS BRUTOS'!$A$3:$A$500,$C12,'DADOS BRUTOS'!DX$3:DX$500)))</f>
        <v>0</v>
      </c>
      <c r="GY12" s="133" t="n">
        <f aca="false">IF(OR(GY$4="",$B12=""),0,SUMIF('DADOS BRUTOS'!$A$3:$A$500,$B12,'DADOS BRUTOS'!DY$3:DY$500)+IF($C12="",0,SUMIF('DADOS BRUTOS'!$A$3:$A$500,$C12,'DADOS BRUTOS'!DY$3:DY$500)))</f>
        <v>0</v>
      </c>
      <c r="GZ12" s="133" t="n">
        <f aca="false">IF(OR(GZ$4="",$B12=""),0,SUMIF('DADOS BRUTOS'!$A$3:$A$500,$B12,'DADOS BRUTOS'!DZ$3:DZ$500)+IF($C12="",0,SUMIF('DADOS BRUTOS'!$A$3:$A$500,$C12,'DADOS BRUTOS'!DZ$3:DZ$500)))</f>
        <v>0</v>
      </c>
      <c r="HA12" s="133" t="n">
        <f aca="false">IF(OR(HA$4="",$B12=""),0,SUMIF('DADOS BRUTOS'!$A$3:$A$500,$B12,'DADOS BRUTOS'!EA$3:EA$500)+IF($C12="",0,SUMIF('DADOS BRUTOS'!$A$3:$A$500,$C12,'DADOS BRUTOS'!EA$3:EA$500)))</f>
        <v>0</v>
      </c>
      <c r="HB12" s="133" t="n">
        <f aca="false">IF(OR(HB$4="",$B12=""),0,SUMIF('DADOS BRUTOS'!$A$3:$A$500,$B12,'DADOS BRUTOS'!EB$3:EB$500)+IF($C12="",0,SUMIF('DADOS BRUTOS'!$A$3:$A$500,$C12,'DADOS BRUTOS'!EB$3:EB$500)))</f>
        <v>0</v>
      </c>
      <c r="HC12" s="133" t="n">
        <f aca="false">IF(OR(HC$4="",$B12=""),0,SUMIF('DADOS BRUTOS'!$A$3:$A$500,$B12,'DADOS BRUTOS'!EC$3:EC$500)+IF($C12="",0,SUMIF('DADOS BRUTOS'!$A$3:$A$500,$C12,'DADOS BRUTOS'!EC$3:EC$500)))</f>
        <v>0</v>
      </c>
      <c r="HD12" s="133" t="n">
        <f aca="false">IF(OR(HD$4="",$B12=""),0,SUMIF('DADOS BRUTOS'!$A$3:$A$500,$B12,'DADOS BRUTOS'!ED$3:ED$500)+IF($C12="",0,SUMIF('DADOS BRUTOS'!$A$3:$A$500,$C12,'DADOS BRUTOS'!ED$3:ED$500)))</f>
        <v>0</v>
      </c>
      <c r="HE12" s="133" t="n">
        <f aca="false">IF(OR(HE$4="",$B12=""),0,SUMIF('DADOS BRUTOS'!$A$3:$A$500,$B12,'DADOS BRUTOS'!EE$3:EE$500)+IF($C12="",0,SUMIF('DADOS BRUTOS'!$A$3:$A$500,$C12,'DADOS BRUTOS'!EE$3:EE$500)))</f>
        <v>0</v>
      </c>
      <c r="HF12" s="133" t="n">
        <f aca="false">IF(OR(HF$4="",$B12=""),0,SUMIF('DADOS BRUTOS'!$A$3:$A$500,$B12,'DADOS BRUTOS'!EF$3:EF$500)+IF($C12="",0,SUMIF('DADOS BRUTOS'!$A$3:$A$500,$C12,'DADOS BRUTOS'!EF$3:EF$500)))</f>
        <v>0</v>
      </c>
      <c r="HG12" s="133" t="n">
        <f aca="false">IF(OR(HG$4="",$B12=""),0,SUMIF('DADOS BRUTOS'!$A$3:$A$500,$B12,'DADOS BRUTOS'!EG$3:EG$500)+IF($C12="",0,SUMIF('DADOS BRUTOS'!$A$3:$A$500,$C12,'DADOS BRUTOS'!EG$3:EG$500)))</f>
        <v>0</v>
      </c>
      <c r="HH12" s="133" t="n">
        <f aca="false">IF(OR(HH$4="",$B12=""),0,SUMIF('DADOS BRUTOS'!$A$3:$A$500,$B12,'DADOS BRUTOS'!EH$3:EH$500)+IF($C12="",0,SUMIF('DADOS BRUTOS'!$A$3:$A$500,$C12,'DADOS BRUTOS'!EH$3:EH$500)))</f>
        <v>0</v>
      </c>
      <c r="HI12" s="133" t="n">
        <f aca="false">IF(OR(HI$4="",$B12=""),0,SUMIF('DADOS BRUTOS'!$A$3:$A$500,$B12,'DADOS BRUTOS'!EI$3:EI$500)+IF($C12="",0,SUMIF('DADOS BRUTOS'!$A$3:$A$500,$C12,'DADOS BRUTOS'!EI$3:EI$500)))</f>
        <v>0</v>
      </c>
      <c r="HJ12" s="133" t="n">
        <f aca="false">IF(OR(HJ$4="",$B12=""),0,SUMIF('DADOS BRUTOS'!$A$3:$A$500,$B12,'DADOS BRUTOS'!EJ$3:EJ$500)+IF($C12="",0,SUMIF('DADOS BRUTOS'!$A$3:$A$500,$C12,'DADOS BRUTOS'!EJ$3:EJ$500)))</f>
        <v>0</v>
      </c>
      <c r="HK12" s="133" t="n">
        <f aca="false">IF(OR(HK$4="",$B12=""),0,SUMIF('DADOS BRUTOS'!$A$3:$A$500,$B12,'DADOS BRUTOS'!EK$3:EK$500)+IF($C12="",0,SUMIF('DADOS BRUTOS'!$A$3:$A$500,$C12,'DADOS BRUTOS'!EK$3:EK$500)))</f>
        <v>0</v>
      </c>
      <c r="HL12" s="133" t="n">
        <f aca="false">IF(OR(HL$4="",$B12=""),0,SUMIF('DADOS BRUTOS'!$A$3:$A$500,$B12,'DADOS BRUTOS'!EL$3:EL$500)+IF($C12="",0,SUMIF('DADOS BRUTOS'!$A$3:$A$500,$C12,'DADOS BRUTOS'!EL$3:EL$500)))</f>
        <v>0</v>
      </c>
      <c r="HM12" s="133" t="n">
        <f aca="false">IF(OR(HM$4="",$B12=""),0,SUMIF('DADOS BRUTOS'!$A$3:$A$500,$B12,'DADOS BRUTOS'!EM$3:EM$500)+IF($C12="",0,SUMIF('DADOS BRUTOS'!$A$3:$A$500,$C12,'DADOS BRUTOS'!EM$3:EM$500)))</f>
        <v>0</v>
      </c>
      <c r="HN12" s="133" t="n">
        <f aca="false">IF(OR(HN$4="",$B12=""),0,SUMIF('DADOS BRUTOS'!$A$3:$A$500,$B12,'DADOS BRUTOS'!EN$3:EN$500)+IF($C12="",0,SUMIF('DADOS BRUTOS'!$A$3:$A$500,$C12,'DADOS BRUTOS'!EN$3:EN$500)))</f>
        <v>0</v>
      </c>
      <c r="HO12" s="133" t="n">
        <f aca="false">IF(OR(HO$4="",$B12=""),0,SUMIF('DADOS BRUTOS'!$A$3:$A$500,$B12,'DADOS BRUTOS'!EO$3:EO$500)+IF($C12="",0,SUMIF('DADOS BRUTOS'!$A$3:$A$500,$C12,'DADOS BRUTOS'!EO$3:EO$500)))</f>
        <v>0</v>
      </c>
      <c r="HP12" s="133" t="n">
        <f aca="false">IF(OR(HP$4="",$B12=""),0,SUMIF('DADOS BRUTOS'!$A$3:$A$500,$B12,'DADOS BRUTOS'!EP$3:EP$500)+IF($C12="",0,SUMIF('DADOS BRUTOS'!$A$3:$A$500,$C12,'DADOS BRUTOS'!EP$3:EP$500)))</f>
        <v>0</v>
      </c>
      <c r="HQ12" s="133" t="n">
        <f aca="false">IF(OR(HQ$4="",$B12=""),0,SUMIF('DADOS BRUTOS'!$A$3:$A$500,$B12,'DADOS BRUTOS'!EQ$3:EQ$500)+IF($C12="",0,SUMIF('DADOS BRUTOS'!$A$3:$A$500,$C12,'DADOS BRUTOS'!EQ$3:EQ$500)))</f>
        <v>0</v>
      </c>
      <c r="HR12" s="133" t="n">
        <f aca="false">IF(OR(HR$4="",$B12=""),0,SUMIF('DADOS BRUTOS'!$A$3:$A$500,$B12,'DADOS BRUTOS'!ER$3:ER$500)+IF($C12="",0,SUMIF('DADOS BRUTOS'!$A$3:$A$500,$C12,'DADOS BRUTOS'!ER$3:ER$500)))</f>
        <v>0</v>
      </c>
      <c r="HS12" s="133" t="n">
        <f aca="false">IF(OR(HS$4="",$B12=""),0,SUMIF('DADOS BRUTOS'!$A$3:$A$500,$B12,'DADOS BRUTOS'!ES$3:ES$500)+IF($C12="",0,SUMIF('DADOS BRUTOS'!$A$3:$A$500,$C12,'DADOS BRUTOS'!ES$3:ES$500)))</f>
        <v>0</v>
      </c>
      <c r="HT12" s="133" t="n">
        <f aca="false">IF(OR(HT$4="",$B12=""),0,SUMIF('DADOS BRUTOS'!$A$3:$A$500,$B12,'DADOS BRUTOS'!ET$3:ET$500)+IF($C12="",0,SUMIF('DADOS BRUTOS'!$A$3:$A$500,$C12,'DADOS BRUTOS'!ET$3:ET$500)))</f>
        <v>0</v>
      </c>
      <c r="HU12" s="133" t="n">
        <f aca="false">IF(OR(HU$4="",$B12=""),0,SUMIF('DADOS BRUTOS'!$A$3:$A$500,$B12,'DADOS BRUTOS'!EU$3:EU$500)+IF($C12="",0,SUMIF('DADOS BRUTOS'!$A$3:$A$500,$C12,'DADOS BRUTOS'!EU$3:EU$500)))</f>
        <v>0</v>
      </c>
      <c r="HV12" s="133" t="n">
        <f aca="false">IF(OR(HV$4="",$B12=""),0,SUMIF('DADOS BRUTOS'!$A$3:$A$500,$B12,'DADOS BRUTOS'!EV$3:EV$500)+IF($C12="",0,SUMIF('DADOS BRUTOS'!$A$3:$A$500,$C12,'DADOS BRUTOS'!EV$3:EV$500)))</f>
        <v>0</v>
      </c>
      <c r="HW12" s="133" t="n">
        <f aca="false">IF(OR(HW$4="",$B12=""),0,SUMIF('DADOS BRUTOS'!$A$3:$A$500,$B12,'DADOS BRUTOS'!EW$3:EW$500)+IF($C12="",0,SUMIF('DADOS BRUTOS'!$A$3:$A$500,$C12,'DADOS BRUTOS'!EW$3:EW$500)))</f>
        <v>0</v>
      </c>
      <c r="HX12" s="133" t="n">
        <f aca="false">IF(OR(HX$4="",$B12=""),0,SUMIF('DADOS BRUTOS'!$A$3:$A$500,$B12,'DADOS BRUTOS'!EX$3:EX$500)+IF($C12="",0,SUMIF('DADOS BRUTOS'!$A$3:$A$500,$C12,'DADOS BRUTOS'!EX$3:EX$500)))</f>
        <v>0</v>
      </c>
      <c r="HY12" s="133" t="n">
        <f aca="false">IF(OR(HY$4="",$B12=""),0,SUMIF('DADOS BRUTOS'!$A$3:$A$500,$B12,'DADOS BRUTOS'!EY$3:EY$500)+IF($C12="",0,SUMIF('DADOS BRUTOS'!$A$3:$A$500,$C12,'DADOS BRUTOS'!EY$3:EY$500)))</f>
        <v>0</v>
      </c>
      <c r="HZ12" s="133" t="n">
        <f aca="false">IF(OR(HZ$4="",$B12=""),0,SUMIF('DADOS BRUTOS'!$A$3:$A$500,$B12,'DADOS BRUTOS'!EZ$3:EZ$500)+IF($C12="",0,SUMIF('DADOS BRUTOS'!$A$3:$A$500,$C12,'DADOS BRUTOS'!EZ$3:EZ$500)))</f>
        <v>0</v>
      </c>
      <c r="IA12" s="133" t="n">
        <f aca="false">IF(OR(IA$4="",$B12=""),0,SUMIF('DADOS BRUTOS'!$A$3:$A$500,$B12,'DADOS BRUTOS'!FA$3:FA$500)+IF($C12="",0,SUMIF('DADOS BRUTOS'!$A$3:$A$500,$C12,'DADOS BRUTOS'!FA$3:FA$500)))</f>
        <v>0</v>
      </c>
      <c r="IB12" s="133" t="n">
        <f aca="false">IF(OR(IB$4="",$B12=""),0,SUMIF('DADOS BRUTOS'!$A$3:$A$500,$B12,'DADOS BRUTOS'!FB$3:FB$500)+IF($C12="",0,SUMIF('DADOS BRUTOS'!$A$3:$A$500,$C12,'DADOS BRUTOS'!FB$3:FB$500)))</f>
        <v>0</v>
      </c>
      <c r="IC12" s="133" t="n">
        <f aca="false">IF(OR(IC$4="",$B12=""),0,SUMIF('DADOS BRUTOS'!$A$3:$A$500,$B12,'DADOS BRUTOS'!FC$3:FC$500)+IF($C12="",0,SUMIF('DADOS BRUTOS'!$A$3:$A$500,$C12,'DADOS BRUTOS'!FC$3:FC$500)))</f>
        <v>0</v>
      </c>
      <c r="ID12" s="133" t="n">
        <f aca="false">IF(OR(ID$4="",$B12=""),0,SUMIF('DADOS BRUTOS'!$A$3:$A$500,$B12,'DADOS BRUTOS'!FD$3:FD$500)+IF($C12="",0,SUMIF('DADOS BRUTOS'!$A$3:$A$500,$C12,'DADOS BRUTOS'!FD$3:FD$500)))</f>
        <v>0</v>
      </c>
      <c r="IE12" s="133" t="n">
        <f aca="false">IF(OR(IE$4="",$B12=""),0,SUMIF('DADOS BRUTOS'!$A$3:$A$500,$B12,'DADOS BRUTOS'!FE$3:FE$500)+IF($C12="",0,SUMIF('DADOS BRUTOS'!$A$3:$A$500,$C12,'DADOS BRUTOS'!FE$3:FE$500)))</f>
        <v>0</v>
      </c>
      <c r="IF12" s="133" t="n">
        <f aca="false">IF(OR(IF$4="",$B12=""),0,SUMIF('DADOS BRUTOS'!$A$3:$A$500,$B12,'DADOS BRUTOS'!FF$3:FF$500)+IF($C12="",0,SUMIF('DADOS BRUTOS'!$A$3:$A$500,$C12,'DADOS BRUTOS'!FF$3:FF$500)))</f>
        <v>0</v>
      </c>
      <c r="IG12" s="133" t="n">
        <f aca="false">IF(OR(IG$4="",$B12=""),0,SUMIF('DADOS BRUTOS'!$A$3:$A$500,$B12,'DADOS BRUTOS'!FG$3:FG$500)+IF($C12="",0,SUMIF('DADOS BRUTOS'!$A$3:$A$500,$C12,'DADOS BRUTOS'!FG$3:FG$500)))</f>
        <v>0</v>
      </c>
      <c r="IH12" s="133" t="n">
        <f aca="false">IF(OR(IH$4="",$B12=""),0,SUMIF('DADOS BRUTOS'!$A$3:$A$500,$B12,'DADOS BRUTOS'!FH$3:FH$500)+IF($C12="",0,SUMIF('DADOS BRUTOS'!$A$3:$A$500,$C12,'DADOS BRUTOS'!FH$3:FH$500)))</f>
        <v>0</v>
      </c>
      <c r="II12" s="133" t="n">
        <f aca="false">IF(OR(II$4="",$B12=""),0,SUMIF('DADOS BRUTOS'!$A$3:$A$500,$B12,'DADOS BRUTOS'!FI$3:FI$500)+IF($C12="",0,SUMIF('DADOS BRUTOS'!$A$3:$A$500,$C12,'DADOS BRUTOS'!FI$3:FI$500)))</f>
        <v>0</v>
      </c>
      <c r="IJ12" s="133" t="n">
        <f aca="false">IF(OR(IJ$4="",$B12=""),0,SUMIF('DADOS BRUTOS'!$A$3:$A$500,$B12,'DADOS BRUTOS'!FJ$3:FJ$500)+IF($C12="",0,SUMIF('DADOS BRUTOS'!$A$3:$A$500,$C12,'DADOS BRUTOS'!FJ$3:FJ$500)))</f>
        <v>0</v>
      </c>
      <c r="IK12" s="133" t="n">
        <f aca="false">IF(OR(IK$4="",$B12=""),0,SUMIF('DADOS BRUTOS'!$A$3:$A$500,$B12,'DADOS BRUTOS'!FK$3:FK$500)+IF($C12="",0,SUMIF('DADOS BRUTOS'!$A$3:$A$500,$C12,'DADOS BRUTOS'!FK$3:FK$500)))</f>
        <v>0</v>
      </c>
      <c r="IL12" s="133" t="n">
        <f aca="false">IF(OR(IL$4="",$B12=""),0,SUMIF('DADOS BRUTOS'!$A$3:$A$500,$B12,'DADOS BRUTOS'!FL$3:FL$500)+IF($C12="",0,SUMIF('DADOS BRUTOS'!$A$3:$A$500,$C12,'DADOS BRUTOS'!FL$3:FL$500)))</f>
        <v>0</v>
      </c>
      <c r="IM12" s="133" t="n">
        <f aca="false">IF(OR(IM$4="",$B12=""),0,SUMIF('DADOS BRUTOS'!$A$3:$A$500,$B12,'DADOS BRUTOS'!FM$3:FM$500)+IF($C12="",0,SUMIF('DADOS BRUTOS'!$A$3:$A$500,$C12,'DADOS BRUTOS'!FM$3:FM$500)))</f>
        <v>0</v>
      </c>
      <c r="IN12" s="133" t="n">
        <f aca="false">IF(OR(IN$4="",$B12=""),0,SUMIF('DADOS BRUTOS'!$A$3:$A$500,$B12,'DADOS BRUTOS'!FN$3:FN$500)+IF($C12="",0,SUMIF('DADOS BRUTOS'!$A$3:$A$500,$C12,'DADOS BRUTOS'!FN$3:FN$500)))</f>
        <v>0</v>
      </c>
      <c r="IO12" s="133" t="n">
        <f aca="false">IF(OR(IO$4="",$B12=""),0,SUMIF('DADOS BRUTOS'!$A$3:$A$500,$B12,'DADOS BRUTOS'!FO$3:FO$500)+IF($C12="",0,SUMIF('DADOS BRUTOS'!$A$3:$A$500,$C12,'DADOS BRUTOS'!FO$3:FO$500)))</f>
        <v>0</v>
      </c>
      <c r="IP12" s="133" t="n">
        <f aca="false">IF(OR(IP$4="",$B12=""),0,SUMIF('DADOS BRUTOS'!$A$3:$A$500,$B12,'DADOS BRUTOS'!FP$3:FP$500)+IF($C12="",0,SUMIF('DADOS BRUTOS'!$A$3:$A$500,$C12,'DADOS BRUTOS'!FP$3:FP$500)))</f>
        <v>0</v>
      </c>
      <c r="IQ12" s="133" t="n">
        <f aca="false">IF(OR(IQ$4="",$B12=""),0,SUMIF('DADOS BRUTOS'!$A$3:$A$500,$B12,'DADOS BRUTOS'!FQ$3:FQ$500)+IF($C12="",0,SUMIF('DADOS BRUTOS'!$A$3:$A$500,$C12,'DADOS BRUTOS'!FQ$3:FQ$500)))</f>
        <v>0</v>
      </c>
      <c r="IR12" s="133" t="n">
        <f aca="false">IF(OR(IR$4="",$B12=""),0,SUMIF('DADOS BRUTOS'!$A$3:$A$500,$B12,'DADOS BRUTOS'!FR$3:FR$500)+IF($C12="",0,SUMIF('DADOS BRUTOS'!$A$3:$A$500,$C12,'DADOS BRUTOS'!FR$3:FR$500)))</f>
        <v>0</v>
      </c>
      <c r="IS12" s="133" t="n">
        <f aca="false">IF(OR(IS$4="",$B12=""),0,SUMIF('DADOS BRUTOS'!$A$3:$A$500,$B12,'DADOS BRUTOS'!FS$3:FS$500)+IF($C12="",0,SUMIF('DADOS BRUTOS'!$A$3:$A$500,$C12,'DADOS BRUTOS'!FS$3:FS$500)))</f>
        <v>0</v>
      </c>
      <c r="IT12" s="133" t="n">
        <f aca="false">IF(OR(IT$4="",$B12=""),0,SUMIF('DADOS BRUTOS'!$A$3:$A$500,$B12,'DADOS BRUTOS'!FT$3:FT$500)+IF($C12="",0,SUMIF('DADOS BRUTOS'!$A$3:$A$500,$C12,'DADOS BRUTOS'!FT$3:FT$500)))</f>
        <v>0</v>
      </c>
      <c r="IU12" s="133" t="n">
        <f aca="false">IF(OR(IU$4="",$B12=""),0,SUMIF('DADOS BRUTOS'!$A$3:$A$500,$B12,'DADOS BRUTOS'!FU$3:FU$500)+IF($C12="",0,SUMIF('DADOS BRUTOS'!$A$3:$A$500,$C12,'DADOS BRUTOS'!FU$3:FU$500)))</f>
        <v>0</v>
      </c>
      <c r="IV12" s="133" t="n">
        <f aca="false">IF(OR(IV$4="",$B12=""),0,SUMIF('DADOS BRUTOS'!$A$3:$A$500,$B12,'DADOS BRUTOS'!FV$3:FV$500)+IF($C12="",0,SUMIF('DADOS BRUTOS'!$A$3:$A$500,$C12,'DADOS BRUTOS'!FV$3:FV$500)))</f>
        <v>0</v>
      </c>
      <c r="IW12" s="133" t="n">
        <f aca="false">IF(OR(IW$4="",$B12=""),0,SUMIF('DADOS BRUTOS'!$A$3:$A$500,$B12,'DADOS BRUTOS'!FW$3:FW$500)+IF($C12="",0,SUMIF('DADOS BRUTOS'!$A$3:$A$500,$C12,'DADOS BRUTOS'!FW$3:FW$500)))</f>
        <v>0</v>
      </c>
      <c r="IX12" s="133" t="n">
        <f aca="false">IF(OR(IX$4="",$B12=""),0,SUMIF('DADOS BRUTOS'!$A$3:$A$500,$B12,'DADOS BRUTOS'!FX$3:FX$500)+IF($C12="",0,SUMIF('DADOS BRUTOS'!$A$3:$A$500,$C12,'DADOS BRUTOS'!FX$3:FX$500)))</f>
        <v>0</v>
      </c>
      <c r="IY12" s="133" t="n">
        <f aca="false">IF(OR(IY$4="",$B12=""),0,SUMIF('DADOS BRUTOS'!$A$3:$A$500,$B12,'DADOS BRUTOS'!FY$3:FY$500)+IF($C12="",0,SUMIF('DADOS BRUTOS'!$A$3:$A$500,$C12,'DADOS BRUTOS'!FY$3:FY$500)))</f>
        <v>0</v>
      </c>
      <c r="IZ12" s="133" t="n">
        <f aca="false">IF(OR(IZ$4="",$B12=""),0,SUMIF('DADOS BRUTOS'!$A$3:$A$500,$B12,'DADOS BRUTOS'!FZ$3:FZ$500)+IF($C12="",0,SUMIF('DADOS BRUTOS'!$A$3:$A$500,$C12,'DADOS BRUTOS'!FZ$3:FZ$500)))</f>
        <v>0</v>
      </c>
      <c r="JA12" s="133" t="n">
        <f aca="false">IF(OR(JA$4="",$B12=""),0,SUMIF('DADOS BRUTOS'!$A$3:$A$500,$B12,'DADOS BRUTOS'!GA$3:GA$500)+IF($C12="",0,SUMIF('DADOS BRUTOS'!$A$3:$A$500,$C12,'DADOS BRUTOS'!GA$3:GA$500)))</f>
        <v>0</v>
      </c>
      <c r="JB12" s="133" t="n">
        <f aca="false">IF(OR(JB$4="",$B12=""),0,SUMIF('DADOS BRUTOS'!$A$3:$A$500,$B12,'DADOS BRUTOS'!GB$3:GB$500)+IF($C12="",0,SUMIF('DADOS BRUTOS'!$A$3:$A$500,$C12,'DADOS BRUTOS'!GB$3:GB$500)))</f>
        <v>0</v>
      </c>
      <c r="JC12" s="133" t="n">
        <f aca="false">IF(OR(JC$4="",$B12=""),0,SUMIF('DADOS BRUTOS'!$A$3:$A$500,$B12,'DADOS BRUTOS'!GC$3:GC$500)+IF($C12="",0,SUMIF('DADOS BRUTOS'!$A$3:$A$500,$C12,'DADOS BRUTOS'!GC$3:GC$500)))</f>
        <v>0</v>
      </c>
      <c r="JD12" s="133" t="n">
        <f aca="false">IF(OR(JD$4="",$B12=""),0,SUMIF('DADOS BRUTOS'!$A$3:$A$500,$B12,'DADOS BRUTOS'!GD$3:GD$500)+IF($C12="",0,SUMIF('DADOS BRUTOS'!$A$3:$A$500,$C12,'DADOS BRUTOS'!GD$3:GD$500)))</f>
        <v>0</v>
      </c>
      <c r="JE12" s="133" t="n">
        <f aca="false">IF(OR(JE$4="",$B12=""),0,SUMIF('DADOS BRUTOS'!$A$3:$A$500,$B12,'DADOS BRUTOS'!GE$3:GE$500)+IF($C12="",0,SUMIF('DADOS BRUTOS'!$A$3:$A$500,$C12,'DADOS BRUTOS'!GE$3:GE$500)))</f>
        <v>0</v>
      </c>
      <c r="JF12" s="133" t="n">
        <f aca="false">IF(OR(JF$4="",$B12=""),0,SUMIF('DADOS BRUTOS'!$A$3:$A$500,$B12,'DADOS BRUTOS'!GF$3:GF$500)+IF($C12="",0,SUMIF('DADOS BRUTOS'!$A$3:$A$500,$C12,'DADOS BRUTOS'!GF$3:GF$500)))</f>
        <v>0</v>
      </c>
      <c r="JG12" s="133" t="n">
        <f aca="false">IF(OR(JG$4="",$B12=""),0,SUMIF('DADOS BRUTOS'!$A$3:$A$500,$B12,'DADOS BRUTOS'!GG$3:GG$500)+IF($C12="",0,SUMIF('DADOS BRUTOS'!$A$3:$A$500,$C12,'DADOS BRUTOS'!GG$3:GG$500)))</f>
        <v>0</v>
      </c>
      <c r="JH12" s="133" t="n">
        <f aca="false">IF(OR(JH$4="",$B12=""),0,SUMIF('DADOS BRUTOS'!$A$3:$A$500,$B12,'DADOS BRUTOS'!GH$3:GH$500)+IF($C12="",0,SUMIF('DADOS BRUTOS'!$A$3:$A$500,$C12,'DADOS BRUTOS'!GH$3:GH$500)))</f>
        <v>0</v>
      </c>
      <c r="JI12" s="133" t="n">
        <f aca="false">IF(OR(JI$4="",$B12=""),0,SUMIF('DADOS BRUTOS'!$A$3:$A$500,$B12,'DADOS BRUTOS'!GI$3:GI$500)+IF($C12="",0,SUMIF('DADOS BRUTOS'!$A$3:$A$500,$C12,'DADOS BRUTOS'!GI$3:GI$500)))</f>
        <v>0</v>
      </c>
      <c r="JJ12" s="133" t="n">
        <f aca="false">IF(OR(JJ$4="",$B12=""),0,SUMIF('DADOS BRUTOS'!$A$3:$A$500,$B12,'DADOS BRUTOS'!GJ$3:GJ$500)+IF($C12="",0,SUMIF('DADOS BRUTOS'!$A$3:$A$500,$C12,'DADOS BRUTOS'!GJ$3:GJ$500)))</f>
        <v>0</v>
      </c>
      <c r="JK12" s="133" t="n">
        <f aca="false">IF(OR(JK$4="",$B12=""),0,SUMIF('DADOS BRUTOS'!$A$3:$A$500,$B12,'DADOS BRUTOS'!GK$3:GK$500)+IF($C12="",0,SUMIF('DADOS BRUTOS'!$A$3:$A$500,$C12,'DADOS BRUTOS'!GK$3:GK$500)))</f>
        <v>0</v>
      </c>
      <c r="JL12" s="133" t="n">
        <f aca="false">IF(OR(JL$4="",$B12=""),0,SUMIF('DADOS BRUTOS'!$A$3:$A$500,$B12,'DADOS BRUTOS'!GL$3:GL$500)+IF($C12="",0,SUMIF('DADOS BRUTOS'!$A$3:$A$500,$C12,'DADOS BRUTOS'!GL$3:GL$500)))</f>
        <v>0</v>
      </c>
      <c r="JM12" s="133" t="n">
        <f aca="false">IF(OR(JM$4="",$B12=""),0,SUMIF('DADOS BRUTOS'!$A$3:$A$500,$B12,'DADOS BRUTOS'!GM$3:GM$500)+IF($C12="",0,SUMIF('DADOS BRUTOS'!$A$3:$A$500,$C12,'DADOS BRUTOS'!GM$3:GM$500)))</f>
        <v>0</v>
      </c>
      <c r="JN12" s="133" t="n">
        <f aca="false">IF(OR(JN$4="",$B12=""),0,SUMIF('DADOS BRUTOS'!$A$3:$A$500,$B12,'DADOS BRUTOS'!GN$3:GN$500)+IF($C12="",0,SUMIF('DADOS BRUTOS'!$A$3:$A$500,$C12,'DADOS BRUTOS'!GN$3:GN$500)))</f>
        <v>0</v>
      </c>
      <c r="JO12" s="133" t="n">
        <f aca="false">IF(OR(JO$4="",$B12=""),0,SUMIF('DADOS BRUTOS'!$A$3:$A$500,$B12,'DADOS BRUTOS'!GO$3:GO$500)+IF($C12="",0,SUMIF('DADOS BRUTOS'!$A$3:$A$500,$C12,'DADOS BRUTOS'!GO$3:GO$500)))</f>
        <v>0</v>
      </c>
      <c r="JP12" s="133" t="n">
        <f aca="false">IF(OR(JP$4="",$B12=""),0,SUMIF('DADOS BRUTOS'!$A$3:$A$500,$B12,'DADOS BRUTOS'!GP$3:GP$500)+IF($C12="",0,SUMIF('DADOS BRUTOS'!$A$3:$A$500,$C12,'DADOS BRUTOS'!GP$3:GP$500)))</f>
        <v>0</v>
      </c>
      <c r="JQ12" s="133" t="n">
        <f aca="false">IF(OR(JQ$4="",$B12=""),0,SUMIF('DADOS BRUTOS'!$A$3:$A$500,$B12,'DADOS BRUTOS'!GQ$3:GQ$500)+IF($C12="",0,SUMIF('DADOS BRUTOS'!$A$3:$A$500,$C12,'DADOS BRUTOS'!GQ$3:GQ$500)))</f>
        <v>0</v>
      </c>
      <c r="JR12" s="133" t="n">
        <f aca="false">IF(OR(JR$4="",$B12=""),0,SUMIF('DADOS BRUTOS'!$A$3:$A$500,$B12,'DADOS BRUTOS'!GR$3:GR$500)+IF($C12="",0,SUMIF('DADOS BRUTOS'!$A$3:$A$500,$C12,'DADOS BRUTOS'!GR$3:GR$500)))</f>
        <v>0</v>
      </c>
      <c r="JS12" s="133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25880.78</v>
      </c>
      <c r="E13" s="50" t="n">
        <f aca="false">SUMIF($CB$4:$JS$4,E$4,$CB13:$JS13)</f>
        <v>2679.05</v>
      </c>
      <c r="F13" s="50" t="n">
        <f aca="false">SUMIF($CB$4:$JS$4,F$4,$CB13:$JS13)</f>
        <v>126909.7</v>
      </c>
      <c r="G13" s="50" t="n">
        <f aca="false">SUMIF($CB$4:$JS$4,G$4,$CB13:$JS13)</f>
        <v>146680.08</v>
      </c>
      <c r="H13" s="50" t="n">
        <f aca="false">SUMIF($CB$4:$JS$4,H$4,$CB13:$JS13)</f>
        <v>21272.38</v>
      </c>
      <c r="I13" s="50" t="n">
        <f aca="false">SUMIF($CB$4:$JS$4,I$4,$CB13:$JS13)</f>
        <v>12378.73</v>
      </c>
      <c r="J13" s="50" t="n">
        <f aca="false">SUMIF($CB$4:$JS$4,J$4,$CB13:$JS13)</f>
        <v>10621.02</v>
      </c>
      <c r="K13" s="50" t="n">
        <f aca="false">SUMIF($CB$4:$JS$4,K$4,$CB13:$JS13)</f>
        <v>25742.23</v>
      </c>
      <c r="L13" s="50" t="n">
        <f aca="false">SUMIF($CB$4:$JS$4,L$4,$CB13:$JS13)</f>
        <v>143972.58</v>
      </c>
      <c r="M13" s="50" t="n">
        <f aca="false">SUMIF($CB$4:$JS$4,M$4,$CB13:$JS13)</f>
        <v>131293.27</v>
      </c>
      <c r="N13" s="50" t="n">
        <f aca="false">SUMIF($CB$4:$JS$4,N$4,$CB13:$JS13)</f>
        <v>26251.42</v>
      </c>
      <c r="O13" s="50" t="n">
        <f aca="false">SUMIF($CB$4:$JS$4,O$4,$CB13:$JS13)</f>
        <v>36995.11</v>
      </c>
      <c r="P13" s="50" t="n">
        <f aca="false">SUMIF($CB$4:$JS$4,P$4,$CB13:$JS13)</f>
        <v>15498.77</v>
      </c>
      <c r="Q13" s="50" t="n">
        <f aca="false">SUMIF($CB$4:$JS$4,Q$4,$CB13:$JS13)</f>
        <v>16216.73</v>
      </c>
      <c r="R13" s="50" t="n">
        <f aca="false">SUMIF($CB$4:$JS$4,R$4,$CB13:$JS13)</f>
        <v>13976.19</v>
      </c>
      <c r="S13" s="50" t="n">
        <f aca="false">SUMIF($CB$4:$JS$4,S$4,$CB13:$JS13)</f>
        <v>25304.36</v>
      </c>
      <c r="T13" s="50" t="n">
        <f aca="false">SUMIF($CB$4:$JS$4,T$4,$CB13:$JS13)</f>
        <v>20634.6</v>
      </c>
      <c r="U13" s="50" t="n">
        <f aca="false">SUMIF($CB$4:$JS$4,U$4,$CB13:$JS13)</f>
        <v>9832.02</v>
      </c>
      <c r="V13" s="50" t="n">
        <f aca="false">SUMIF($CB$4:$JS$4,V$4,$CB13:$JS13)</f>
        <v>25296.98</v>
      </c>
      <c r="W13" s="50" t="n">
        <f aca="false">SUMIF($CB$4:$JS$4,W$4,$CB13:$JS13)</f>
        <v>28560.83</v>
      </c>
      <c r="X13" s="50" t="n">
        <f aca="false">SUMIF($CB$4:$JS$4,X$4,$CB13:$JS13)</f>
        <v>16509.8</v>
      </c>
      <c r="Y13" s="50" t="n">
        <f aca="false">SUMIF($CB$4:$JS$4,Y$4,$CB13:$JS13)</f>
        <v>19442.99</v>
      </c>
      <c r="Z13" s="50" t="n">
        <f aca="false">SUMIF($CB$4:$JS$4,Z$4,$CB13:$JS13)</f>
        <v>726.93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902676.55</v>
      </c>
      <c r="BZ13" s="45" t="n">
        <f aca="false">SUMPRODUCT(($CB$4:$JS$4&lt;&gt;"")*($CB$4:$JS$4&lt;=$D$4),$CB13:$JS13,$CB$1:$JS$1)</f>
        <v>22.9710599191341</v>
      </c>
      <c r="CB13" s="133" t="n">
        <f aca="false">IF(OR(CB$4="",$B13=""),0,SUMIF('DADOS BRUTOS'!$A$3:$A$500,$B13,'DADOS BRUTOS'!B$3:B$500)+IF($C13="",0,SUMIF('DADOS BRUTOS'!$A$3:$A$500,$C13,'DADOS BRUTOS'!B$3:B$500)))</f>
        <v>0</v>
      </c>
      <c r="CC13" s="133" t="n">
        <f aca="false">IF(OR(CC$4="",$B13=""),0,SUMIF('DADOS BRUTOS'!$A$3:$A$500,$B13,'DADOS BRUTOS'!C$3:C$500)+IF($C13="",0,SUMIF('DADOS BRUTOS'!$A$3:$A$500,$C13,'DADOS BRUTOS'!C$3:C$500)))</f>
        <v>0</v>
      </c>
      <c r="CD13" s="133" t="n">
        <f aca="false">IF(OR(CD$4="",$B13=""),0,SUMIF('DADOS BRUTOS'!$A$3:$A$500,$B13,'DADOS BRUTOS'!D$3:D$500)+IF($C13="",0,SUMIF('DADOS BRUTOS'!$A$3:$A$500,$C13,'DADOS BRUTOS'!D$3:D$500)))</f>
        <v>0</v>
      </c>
      <c r="CE13" s="133" t="n">
        <f aca="false">IF(OR(CE$4="",$B13=""),0,SUMIF('DADOS BRUTOS'!$A$3:$A$500,$B13,'DADOS BRUTOS'!E$3:E$500)+IF($C13="",0,SUMIF('DADOS BRUTOS'!$A$3:$A$500,$C13,'DADOS BRUTOS'!E$3:E$500)))</f>
        <v>0</v>
      </c>
      <c r="CF13" s="133" t="n">
        <f aca="false">IF(OR(CF$4="",$B13=""),0,SUMIF('DADOS BRUTOS'!$A$3:$A$500,$B13,'DADOS BRUTOS'!F$3:F$500)+IF($C13="",0,SUMIF('DADOS BRUTOS'!$A$3:$A$500,$C13,'DADOS BRUTOS'!F$3:F$500)))</f>
        <v>0</v>
      </c>
      <c r="CG13" s="133" t="n">
        <f aca="false">IF(OR(CG$4="",$B13=""),0,SUMIF('DADOS BRUTOS'!$A$3:$A$500,$B13,'DADOS BRUTOS'!G$3:G$500)+IF($C13="",0,SUMIF('DADOS BRUTOS'!$A$3:$A$500,$C13,'DADOS BRUTOS'!G$3:G$500)))</f>
        <v>0</v>
      </c>
      <c r="CH13" s="133" t="n">
        <f aca="false">IF(OR(CH$4="",$B13=""),0,SUMIF('DADOS BRUTOS'!$A$3:$A$500,$B13,'DADOS BRUTOS'!H$3:H$500)+IF($C13="",0,SUMIF('DADOS BRUTOS'!$A$3:$A$500,$C13,'DADOS BRUTOS'!H$3:H$500)))</f>
        <v>0</v>
      </c>
      <c r="CI13" s="133" t="n">
        <f aca="false">IF(OR(CI$4="",$B13=""),0,SUMIF('DADOS BRUTOS'!$A$3:$A$500,$B13,'DADOS BRUTOS'!I$3:I$500)+IF($C13="",0,SUMIF('DADOS BRUTOS'!$A$3:$A$500,$C13,'DADOS BRUTOS'!I$3:I$500)))</f>
        <v>0</v>
      </c>
      <c r="CJ13" s="133" t="n">
        <f aca="false">IF(OR(CJ$4="",$B13=""),0,SUMIF('DADOS BRUTOS'!$A$3:$A$500,$B13,'DADOS BRUTOS'!J$3:J$500)+IF($C13="",0,SUMIF('DADOS BRUTOS'!$A$3:$A$500,$C13,'DADOS BRUTOS'!J$3:J$500)))</f>
        <v>0</v>
      </c>
      <c r="CK13" s="133" t="n">
        <f aca="false">IF(OR(CK$4="",$B13=""),0,SUMIF('DADOS BRUTOS'!$A$3:$A$500,$B13,'DADOS BRUTOS'!K$3:K$500)+IF($C13="",0,SUMIF('DADOS BRUTOS'!$A$3:$A$500,$C13,'DADOS BRUTOS'!K$3:K$500)))</f>
        <v>0</v>
      </c>
      <c r="CL13" s="133" t="n">
        <f aca="false">IF(OR(CL$4="",$B13=""),0,SUMIF('DADOS BRUTOS'!$A$3:$A$500,$B13,'DADOS BRUTOS'!L$3:L$500)+IF($C13="",0,SUMIF('DADOS BRUTOS'!$A$3:$A$500,$C13,'DADOS BRUTOS'!L$3:L$500)))</f>
        <v>0</v>
      </c>
      <c r="CM13" s="133" t="n">
        <f aca="false">IF(OR(CM$4="",$B13=""),0,SUMIF('DADOS BRUTOS'!$A$3:$A$500,$B13,'DADOS BRUTOS'!M$3:M$500)+IF($C13="",0,SUMIF('DADOS BRUTOS'!$A$3:$A$500,$C13,'DADOS BRUTOS'!M$3:M$500)))</f>
        <v>0</v>
      </c>
      <c r="CN13" s="133" t="n">
        <f aca="false">IF(OR(CN$4="",$B13=""),0,SUMIF('DADOS BRUTOS'!$A$3:$A$500,$B13,'DADOS BRUTOS'!N$3:N$500)+IF($C13="",0,SUMIF('DADOS BRUTOS'!$A$3:$A$500,$C13,'DADOS BRUTOS'!N$3:N$500)))</f>
        <v>0</v>
      </c>
      <c r="CO13" s="133" t="n">
        <f aca="false">IF(OR(CO$4="",$B13=""),0,SUMIF('DADOS BRUTOS'!$A$3:$A$500,$B13,'DADOS BRUTOS'!O$3:O$500)+IF($C13="",0,SUMIF('DADOS BRUTOS'!$A$3:$A$500,$C13,'DADOS BRUTOS'!O$3:O$500)))</f>
        <v>0</v>
      </c>
      <c r="CP13" s="133" t="n">
        <f aca="false">IF(OR(CP$4="",$B13=""),0,SUMIF('DADOS BRUTOS'!$A$3:$A$500,$B13,'DADOS BRUTOS'!P$3:P$500)+IF($C13="",0,SUMIF('DADOS BRUTOS'!$A$3:$A$500,$C13,'DADOS BRUTOS'!P$3:P$500)))</f>
        <v>0</v>
      </c>
      <c r="CQ13" s="133" t="n">
        <f aca="false">IF(OR(CQ$4="",$B13=""),0,SUMIF('DADOS BRUTOS'!$A$3:$A$500,$B13,'DADOS BRUTOS'!Q$3:Q$500)+IF($C13="",0,SUMIF('DADOS BRUTOS'!$A$3:$A$500,$C13,'DADOS BRUTOS'!Q$3:Q$500)))</f>
        <v>0</v>
      </c>
      <c r="CR13" s="133" t="n">
        <f aca="false">IF(OR(CR$4="",$B13=""),0,SUMIF('DADOS BRUTOS'!$A$3:$A$500,$B13,'DADOS BRUTOS'!R$3:R$500)+IF($C13="",0,SUMIF('DADOS BRUTOS'!$A$3:$A$500,$C13,'DADOS BRUTOS'!R$3:R$500)))</f>
        <v>0</v>
      </c>
      <c r="CS13" s="133" t="n">
        <f aca="false">IF(OR(CS$4="",$B13=""),0,SUMIF('DADOS BRUTOS'!$A$3:$A$500,$B13,'DADOS BRUTOS'!S$3:S$500)+IF($C13="",0,SUMIF('DADOS BRUTOS'!$A$3:$A$500,$C13,'DADOS BRUTOS'!S$3:S$500)))</f>
        <v>0</v>
      </c>
      <c r="CT13" s="133" t="n">
        <f aca="false">IF(OR(CT$4="",$B13=""),0,SUMIF('DADOS BRUTOS'!$A$3:$A$500,$B13,'DADOS BRUTOS'!T$3:T$500)+IF($C13="",0,SUMIF('DADOS BRUTOS'!$A$3:$A$500,$C13,'DADOS BRUTOS'!T$3:T$500)))</f>
        <v>0</v>
      </c>
      <c r="CU13" s="133" t="n">
        <f aca="false">IF(OR(CU$4="",$B13=""),0,SUMIF('DADOS BRUTOS'!$A$3:$A$500,$B13,'DADOS BRUTOS'!U$3:U$500)+IF($C13="",0,SUMIF('DADOS BRUTOS'!$A$3:$A$500,$C13,'DADOS BRUTOS'!U$3:U$500)))</f>
        <v>0</v>
      </c>
      <c r="CV13" s="133" t="n">
        <f aca="false">IF(OR(CV$4="",$B13=""),0,SUMIF('DADOS BRUTOS'!$A$3:$A$500,$B13,'DADOS BRUTOS'!V$3:V$500)+IF($C13="",0,SUMIF('DADOS BRUTOS'!$A$3:$A$500,$C13,'DADOS BRUTOS'!V$3:V$500)))</f>
        <v>0</v>
      </c>
      <c r="CW13" s="133" t="n">
        <f aca="false">IF(OR(CW$4="",$B13=""),0,SUMIF('DADOS BRUTOS'!$A$3:$A$500,$B13,'DADOS BRUTOS'!W$3:W$500)+IF($C13="",0,SUMIF('DADOS BRUTOS'!$A$3:$A$500,$C13,'DADOS BRUTOS'!W$3:W$500)))</f>
        <v>0</v>
      </c>
      <c r="CX13" s="133" t="n">
        <f aca="false">IF(OR(CX$4="",$B13=""),0,SUMIF('DADOS BRUTOS'!$A$3:$A$500,$B13,'DADOS BRUTOS'!X$3:X$500)+IF($C13="",0,SUMIF('DADOS BRUTOS'!$A$3:$A$500,$C13,'DADOS BRUTOS'!X$3:X$500)))</f>
        <v>0</v>
      </c>
      <c r="CY13" s="133" t="n">
        <f aca="false">IF(OR(CY$4="",$B13=""),0,SUMIF('DADOS BRUTOS'!$A$3:$A$500,$B13,'DADOS BRUTOS'!Y$3:Y$500)+IF($C13="",0,SUMIF('DADOS BRUTOS'!$A$3:$A$500,$C13,'DADOS BRUTOS'!Y$3:Y$500)))</f>
        <v>0</v>
      </c>
      <c r="CZ13" s="133" t="n">
        <f aca="false">IF(OR(CZ$4="",$B13=""),0,SUMIF('DADOS BRUTOS'!$A$3:$A$500,$B13,'DADOS BRUTOS'!Z$3:Z$500)+IF($C13="",0,SUMIF('DADOS BRUTOS'!$A$3:$A$500,$C13,'DADOS BRUTOS'!Z$3:Z$500)))</f>
        <v>0</v>
      </c>
      <c r="DA13" s="133" t="n">
        <f aca="false">IF(OR(DA$4="",$B13=""),0,SUMIF('DADOS BRUTOS'!$A$3:$A$500,$B13,'DADOS BRUTOS'!AA$3:AA$500)+IF($C13="",0,SUMIF('DADOS BRUTOS'!$A$3:$A$500,$C13,'DADOS BRUTOS'!AA$3:AA$500)))</f>
        <v>0</v>
      </c>
      <c r="DB13" s="133" t="n">
        <f aca="false">IF(OR(DB$4="",$B13=""),0,SUMIF('DADOS BRUTOS'!$A$3:$A$500,$B13,'DADOS BRUTOS'!AB$3:AB$500)+IF($C13="",0,SUMIF('DADOS BRUTOS'!$A$3:$A$500,$C13,'DADOS BRUTOS'!AB$3:AB$500)))</f>
        <v>14540.91</v>
      </c>
      <c r="DC13" s="133" t="n">
        <f aca="false">IF(OR(DC$4="",$B13=""),0,SUMIF('DADOS BRUTOS'!$A$3:$A$500,$B13,'DADOS BRUTOS'!AC$3:AC$500)+IF($C13="",0,SUMIF('DADOS BRUTOS'!$A$3:$A$500,$C13,'DADOS BRUTOS'!AC$3:AC$500)))</f>
        <v>3569.5</v>
      </c>
      <c r="DD13" s="133" t="n">
        <f aca="false">IF(OR(DD$4="",$B13=""),0,SUMIF('DADOS BRUTOS'!$A$3:$A$500,$B13,'DADOS BRUTOS'!AD$3:AD$500)+IF($C13="",0,SUMIF('DADOS BRUTOS'!$A$3:$A$500,$C13,'DADOS BRUTOS'!AD$3:AD$500)))</f>
        <v>50.5</v>
      </c>
      <c r="DE13" s="133" t="n">
        <f aca="false">IF(OR(DE$4="",$B13=""),0,SUMIF('DADOS BRUTOS'!$A$3:$A$500,$B13,'DADOS BRUTOS'!AE$3:AE$500)+IF($C13="",0,SUMIF('DADOS BRUTOS'!$A$3:$A$500,$C13,'DADOS BRUTOS'!AE$3:AE$500)))</f>
        <v>7548.75</v>
      </c>
      <c r="DF13" s="133" t="n">
        <f aca="false">IF(OR(DF$4="",$B13=""),0,SUMIF('DADOS BRUTOS'!$A$3:$A$500,$B13,'DADOS BRUTOS'!AF$3:AF$500)+IF($C13="",0,SUMIF('DADOS BRUTOS'!$A$3:$A$500,$C13,'DADOS BRUTOS'!AF$3:AF$500)))</f>
        <v>167.87</v>
      </c>
      <c r="DG13" s="133" t="n">
        <f aca="false">IF(OR(DG$4="",$B13=""),0,SUMIF('DADOS BRUTOS'!$A$3:$A$500,$B13,'DADOS BRUTOS'!AG$3:AG$500)+IF($C13="",0,SUMIF('DADOS BRUTOS'!$A$3:$A$500,$C13,'DADOS BRUTOS'!AG$3:AG$500)))</f>
        <v>3.25</v>
      </c>
      <c r="DH13" s="133" t="n">
        <f aca="false">IF(OR(DH$4="",$B13=""),0,SUMIF('DADOS BRUTOS'!$A$3:$A$500,$B13,'DADOS BRUTOS'!AH$3:AH$500)+IF($C13="",0,SUMIF('DADOS BRUTOS'!$A$3:$A$500,$C13,'DADOS BRUTOS'!AH$3:AH$500)))</f>
        <v>0</v>
      </c>
      <c r="DI13" s="133" t="n">
        <f aca="false">IF(OR(DI$4="",$B13=""),0,SUMIF('DADOS BRUTOS'!$A$3:$A$500,$B13,'DADOS BRUTOS'!AI$3:AI$500)+IF($C13="",0,SUMIF('DADOS BRUTOS'!$A$3:$A$500,$C13,'DADOS BRUTOS'!AI$3:AI$500)))</f>
        <v>2679.05</v>
      </c>
      <c r="DJ13" s="133" t="n">
        <f aca="false">IF(OR(DJ$4="",$B13=""),0,SUMIF('DADOS BRUTOS'!$A$3:$A$500,$B13,'DADOS BRUTOS'!AJ$3:AJ$500)+IF($C13="",0,SUMIF('DADOS BRUTOS'!$A$3:$A$500,$C13,'DADOS BRUTOS'!AJ$3:AJ$500)))</f>
        <v>126909.7</v>
      </c>
      <c r="DK13" s="133" t="n">
        <f aca="false">IF(OR(DK$4="",$B13=""),0,SUMIF('DADOS BRUTOS'!$A$3:$A$500,$B13,'DADOS BRUTOS'!AK$3:AK$500)+IF($C13="",0,SUMIF('DADOS BRUTOS'!$A$3:$A$500,$C13,'DADOS BRUTOS'!AK$3:AK$500)))</f>
        <v>146680.08</v>
      </c>
      <c r="DL13" s="133" t="n">
        <f aca="false">IF(OR(DL$4="",$B13=""),0,SUMIF('DADOS BRUTOS'!$A$3:$A$500,$B13,'DADOS BRUTOS'!AL$3:AL$500)+IF($C13="",0,SUMIF('DADOS BRUTOS'!$A$3:$A$500,$C13,'DADOS BRUTOS'!AL$3:AL$500)))</f>
        <v>21272.38</v>
      </c>
      <c r="DM13" s="133" t="n">
        <f aca="false">IF(OR(DM$4="",$B13=""),0,SUMIF('DADOS BRUTOS'!$A$3:$A$500,$B13,'DADOS BRUTOS'!AM$3:AM$500)+IF($C13="",0,SUMIF('DADOS BRUTOS'!$A$3:$A$500,$C13,'DADOS BRUTOS'!AM$3:AM$500)))</f>
        <v>12378.73</v>
      </c>
      <c r="DN13" s="133" t="n">
        <f aca="false">IF(OR(DN$4="",$B13=""),0,SUMIF('DADOS BRUTOS'!$A$3:$A$500,$B13,'DADOS BRUTOS'!AN$3:AN$500)+IF($C13="",0,SUMIF('DADOS BRUTOS'!$A$3:$A$500,$C13,'DADOS BRUTOS'!AN$3:AN$500)))</f>
        <v>10621.02</v>
      </c>
      <c r="DO13" s="133" t="n">
        <f aca="false">IF(OR(DO$4="",$B13=""),0,SUMIF('DADOS BRUTOS'!$A$3:$A$500,$B13,'DADOS BRUTOS'!AO$3:AO$500)+IF($C13="",0,SUMIF('DADOS BRUTOS'!$A$3:$A$500,$C13,'DADOS BRUTOS'!AO$3:AO$500)))</f>
        <v>25742.23</v>
      </c>
      <c r="DP13" s="133" t="n">
        <f aca="false">IF(OR(DP$4="",$B13=""),0,SUMIF('DADOS BRUTOS'!$A$3:$A$500,$B13,'DADOS BRUTOS'!AP$3:AP$500)+IF($C13="",0,SUMIF('DADOS BRUTOS'!$A$3:$A$500,$C13,'DADOS BRUTOS'!AP$3:AP$500)))</f>
        <v>143972.58</v>
      </c>
      <c r="DQ13" s="133" t="n">
        <f aca="false">IF(OR(DQ$4="",$B13=""),0,SUMIF('DADOS BRUTOS'!$A$3:$A$500,$B13,'DADOS BRUTOS'!AQ$3:AQ$500)+IF($C13="",0,SUMIF('DADOS BRUTOS'!$A$3:$A$500,$C13,'DADOS BRUTOS'!AQ$3:AQ$500)))</f>
        <v>131293.27</v>
      </c>
      <c r="DR13" s="133" t="n">
        <f aca="false">IF(OR(DR$4="",$B13=""),0,SUMIF('DADOS BRUTOS'!$A$3:$A$500,$B13,'DADOS BRUTOS'!AR$3:AR$500)+IF($C13="",0,SUMIF('DADOS BRUTOS'!$A$3:$A$500,$C13,'DADOS BRUTOS'!AR$3:AR$500)))</f>
        <v>26251.42</v>
      </c>
      <c r="DS13" s="133" t="n">
        <f aca="false">IF(OR(DS$4="",$B13=""),0,SUMIF('DADOS BRUTOS'!$A$3:$A$500,$B13,'DADOS BRUTOS'!AS$3:AS$500)+IF($C13="",0,SUMIF('DADOS BRUTOS'!$A$3:$A$500,$C13,'DADOS BRUTOS'!AS$3:AS$500)))</f>
        <v>36995.11</v>
      </c>
      <c r="DT13" s="133" t="n">
        <f aca="false">IF(OR(DT$4="",$B13=""),0,SUMIF('DADOS BRUTOS'!$A$3:$A$500,$B13,'DADOS BRUTOS'!AT$3:AT$500)+IF($C13="",0,SUMIF('DADOS BRUTOS'!$A$3:$A$500,$C13,'DADOS BRUTOS'!AT$3:AT$500)))</f>
        <v>15498.77</v>
      </c>
      <c r="DU13" s="133" t="n">
        <f aca="false">IF(OR(DU$4="",$B13=""),0,SUMIF('DADOS BRUTOS'!$A$3:$A$500,$B13,'DADOS BRUTOS'!AU$3:AU$500)+IF($C13="",0,SUMIF('DADOS BRUTOS'!$A$3:$A$500,$C13,'DADOS BRUTOS'!AU$3:AU$500)))</f>
        <v>16216.73</v>
      </c>
      <c r="DV13" s="133" t="n">
        <f aca="false">IF(OR(DV$4="",$B13=""),0,SUMIF('DADOS BRUTOS'!$A$3:$A$500,$B13,'DADOS BRUTOS'!AV$3:AV$500)+IF($C13="",0,SUMIF('DADOS BRUTOS'!$A$3:$A$500,$C13,'DADOS BRUTOS'!AV$3:AV$500)))</f>
        <v>13976.19</v>
      </c>
      <c r="DW13" s="133" t="n">
        <f aca="false">IF(OR(DW$4="",$B13=""),0,SUMIF('DADOS BRUTOS'!$A$3:$A$500,$B13,'DADOS BRUTOS'!AW$3:AW$500)+IF($C13="",0,SUMIF('DADOS BRUTOS'!$A$3:$A$500,$C13,'DADOS BRUTOS'!AW$3:AW$500)))</f>
        <v>25304.36</v>
      </c>
      <c r="DX13" s="133" t="n">
        <f aca="false">IF(OR(DX$4="",$B13=""),0,SUMIF('DADOS BRUTOS'!$A$3:$A$500,$B13,'DADOS BRUTOS'!AX$3:AX$500)+IF($C13="",0,SUMIF('DADOS BRUTOS'!$A$3:$A$500,$C13,'DADOS BRUTOS'!AX$3:AX$500)))</f>
        <v>20634.6</v>
      </c>
      <c r="DY13" s="133" t="n">
        <f aca="false">IF(OR(DY$4="",$B13=""),0,SUMIF('DADOS BRUTOS'!$A$3:$A$500,$B13,'DADOS BRUTOS'!AY$3:AY$500)+IF($C13="",0,SUMIF('DADOS BRUTOS'!$A$3:$A$500,$C13,'DADOS BRUTOS'!AY$3:AY$500)))</f>
        <v>9832.02</v>
      </c>
      <c r="DZ13" s="133" t="n">
        <f aca="false">IF(OR(DZ$4="",$B13=""),0,SUMIF('DADOS BRUTOS'!$A$3:$A$500,$B13,'DADOS BRUTOS'!AZ$3:AZ$500)+IF($C13="",0,SUMIF('DADOS BRUTOS'!$A$3:$A$500,$C13,'DADOS BRUTOS'!AZ$3:AZ$500)))</f>
        <v>25296.98</v>
      </c>
      <c r="EA13" s="133" t="n">
        <f aca="false">IF(OR(EA$4="",$B13=""),0,SUMIF('DADOS BRUTOS'!$A$3:$A$500,$B13,'DADOS BRUTOS'!BA$3:BA$500)+IF($C13="",0,SUMIF('DADOS BRUTOS'!$A$3:$A$500,$C13,'DADOS BRUTOS'!BA$3:BA$500)))</f>
        <v>28560.83</v>
      </c>
      <c r="EB13" s="133" t="n">
        <f aca="false">IF(OR(EB$4="",$B13=""),0,SUMIF('DADOS BRUTOS'!$A$3:$A$500,$B13,'DADOS BRUTOS'!BB$3:BB$500)+IF($C13="",0,SUMIF('DADOS BRUTOS'!$A$3:$A$500,$C13,'DADOS BRUTOS'!BB$3:BB$500)))</f>
        <v>16509.8</v>
      </c>
      <c r="EC13" s="133" t="n">
        <f aca="false">IF(OR(EC$4="",$B13=""),0,SUMIF('DADOS BRUTOS'!$A$3:$A$500,$B13,'DADOS BRUTOS'!BC$3:BC$500)+IF($C13="",0,SUMIF('DADOS BRUTOS'!$A$3:$A$500,$C13,'DADOS BRUTOS'!BC$3:BC$500)))</f>
        <v>19442.99</v>
      </c>
      <c r="ED13" s="133" t="n">
        <f aca="false">IF(OR(ED$4="",$B13=""),0,SUMIF('DADOS BRUTOS'!$A$3:$A$500,$B13,'DADOS BRUTOS'!BD$3:BD$500)+IF($C13="",0,SUMIF('DADOS BRUTOS'!$A$3:$A$500,$C13,'DADOS BRUTOS'!BD$3:BD$500)))</f>
        <v>726.93</v>
      </c>
      <c r="EE13" s="133" t="n">
        <f aca="false">IF(OR(EE$4="",$B13=""),0,SUMIF('DADOS BRUTOS'!$A$3:$A$500,$B13,'DADOS BRUTOS'!BE$3:BE$500)+IF($C13="",0,SUMIF('DADOS BRUTOS'!$A$3:$A$500,$C13,'DADOS BRUTOS'!BE$3:BE$500)))</f>
        <v>0</v>
      </c>
      <c r="EF13" s="133" t="n">
        <f aca="false">IF(OR(EF$4="",$B13=""),0,SUMIF('DADOS BRUTOS'!$A$3:$A$500,$B13,'DADOS BRUTOS'!BF$3:BF$500)+IF($C13="",0,SUMIF('DADOS BRUTOS'!$A$3:$A$500,$C13,'DADOS BRUTOS'!BF$3:BF$500)))</f>
        <v>0</v>
      </c>
      <c r="EG13" s="133" t="n">
        <f aca="false">IF(OR(EG$4="",$B13=""),0,SUMIF('DADOS BRUTOS'!$A$3:$A$500,$B13,'DADOS BRUTOS'!BG$3:BG$500)+IF($C13="",0,SUMIF('DADOS BRUTOS'!$A$3:$A$500,$C13,'DADOS BRUTOS'!BG$3:BG$500)))</f>
        <v>0</v>
      </c>
      <c r="EH13" s="133" t="n">
        <f aca="false">IF(OR(EH$4="",$B13=""),0,SUMIF('DADOS BRUTOS'!$A$3:$A$500,$B13,'DADOS BRUTOS'!BH$3:BH$500)+IF($C13="",0,SUMIF('DADOS BRUTOS'!$A$3:$A$500,$C13,'DADOS BRUTOS'!BH$3:BH$500)))</f>
        <v>0</v>
      </c>
      <c r="EI13" s="133" t="n">
        <f aca="false">IF(OR(EI$4="",$B13=""),0,SUMIF('DADOS BRUTOS'!$A$3:$A$500,$B13,'DADOS BRUTOS'!BI$3:BI$500)+IF($C13="",0,SUMIF('DADOS BRUTOS'!$A$3:$A$500,$C13,'DADOS BRUTOS'!BI$3:BI$500)))</f>
        <v>0</v>
      </c>
      <c r="EJ13" s="133" t="n">
        <f aca="false">IF(OR(EJ$4="",$B13=""),0,SUMIF('DADOS BRUTOS'!$A$3:$A$500,$B13,'DADOS BRUTOS'!BJ$3:BJ$500)+IF($C13="",0,SUMIF('DADOS BRUTOS'!$A$3:$A$500,$C13,'DADOS BRUTOS'!BJ$3:BJ$500)))</f>
        <v>0</v>
      </c>
      <c r="EK13" s="133" t="n">
        <f aca="false">IF(OR(EK$4="",$B13=""),0,SUMIF('DADOS BRUTOS'!$A$3:$A$500,$B13,'DADOS BRUTOS'!BK$3:BK$500)+IF($C13="",0,SUMIF('DADOS BRUTOS'!$A$3:$A$500,$C13,'DADOS BRUTOS'!BK$3:BK$500)))</f>
        <v>0</v>
      </c>
      <c r="EL13" s="133" t="n">
        <f aca="false">IF(OR(EL$4="",$B13=""),0,SUMIF('DADOS BRUTOS'!$A$3:$A$500,$B13,'DADOS BRUTOS'!BL$3:BL$500)+IF($C13="",0,SUMIF('DADOS BRUTOS'!$A$3:$A$500,$C13,'DADOS BRUTOS'!BL$3:BL$500)))</f>
        <v>0</v>
      </c>
      <c r="EM13" s="133" t="n">
        <f aca="false">IF(OR(EM$4="",$B13=""),0,SUMIF('DADOS BRUTOS'!$A$3:$A$500,$B13,'DADOS BRUTOS'!BM$3:BM$500)+IF($C13="",0,SUMIF('DADOS BRUTOS'!$A$3:$A$500,$C13,'DADOS BRUTOS'!BM$3:BM$500)))</f>
        <v>0</v>
      </c>
      <c r="EN13" s="133" t="n">
        <f aca="false">IF(OR(EN$4="",$B13=""),0,SUMIF('DADOS BRUTOS'!$A$3:$A$500,$B13,'DADOS BRUTOS'!BN$3:BN$500)+IF($C13="",0,SUMIF('DADOS BRUTOS'!$A$3:$A$500,$C13,'DADOS BRUTOS'!BN$3:BN$500)))</f>
        <v>0</v>
      </c>
      <c r="EO13" s="133" t="n">
        <f aca="false">IF(OR(EO$4="",$B13=""),0,SUMIF('DADOS BRUTOS'!$A$3:$A$500,$B13,'DADOS BRUTOS'!BO$3:BO$500)+IF($C13="",0,SUMIF('DADOS BRUTOS'!$A$3:$A$500,$C13,'DADOS BRUTOS'!BO$3:BO$500)))</f>
        <v>0</v>
      </c>
      <c r="EP13" s="133" t="n">
        <f aca="false">IF(OR(EP$4="",$B13=""),0,SUMIF('DADOS BRUTOS'!$A$3:$A$500,$B13,'DADOS BRUTOS'!BP$3:BP$500)+IF($C13="",0,SUMIF('DADOS BRUTOS'!$A$3:$A$500,$C13,'DADOS BRUTOS'!BP$3:BP$500)))</f>
        <v>0</v>
      </c>
      <c r="EQ13" s="133" t="n">
        <f aca="false">IF(OR(EQ$4="",$B13=""),0,SUMIF('DADOS BRUTOS'!$A$3:$A$500,$B13,'DADOS BRUTOS'!BQ$3:BQ$500)+IF($C13="",0,SUMIF('DADOS BRUTOS'!$A$3:$A$500,$C13,'DADOS BRUTOS'!BQ$3:BQ$500)))</f>
        <v>0</v>
      </c>
      <c r="ER13" s="133" t="n">
        <f aca="false">IF(OR(ER$4="",$B13=""),0,SUMIF('DADOS BRUTOS'!$A$3:$A$500,$B13,'DADOS BRUTOS'!BR$3:BR$500)+IF($C13="",0,SUMIF('DADOS BRUTOS'!$A$3:$A$500,$C13,'DADOS BRUTOS'!BR$3:BR$500)))</f>
        <v>0</v>
      </c>
      <c r="ES13" s="133" t="n">
        <f aca="false">IF(OR(ES$4="",$B13=""),0,SUMIF('DADOS BRUTOS'!$A$3:$A$500,$B13,'DADOS BRUTOS'!BS$3:BS$500)+IF($C13="",0,SUMIF('DADOS BRUTOS'!$A$3:$A$500,$C13,'DADOS BRUTOS'!BS$3:BS$500)))</f>
        <v>0</v>
      </c>
      <c r="ET13" s="133" t="n">
        <f aca="false">IF(OR(ET$4="",$B13=""),0,SUMIF('DADOS BRUTOS'!$A$3:$A$500,$B13,'DADOS BRUTOS'!BT$3:BT$500)+IF($C13="",0,SUMIF('DADOS BRUTOS'!$A$3:$A$500,$C13,'DADOS BRUTOS'!BT$3:BT$500)))</f>
        <v>0</v>
      </c>
      <c r="EU13" s="133" t="n">
        <f aca="false">IF(OR(EU$4="",$B13=""),0,SUMIF('DADOS BRUTOS'!$A$3:$A$500,$B13,'DADOS BRUTOS'!BU$3:BU$500)+IF($C13="",0,SUMIF('DADOS BRUTOS'!$A$3:$A$500,$C13,'DADOS BRUTOS'!BU$3:BU$500)))</f>
        <v>0</v>
      </c>
      <c r="EV13" s="133" t="n">
        <f aca="false">IF(OR(EV$4="",$B13=""),0,SUMIF('DADOS BRUTOS'!$A$3:$A$500,$B13,'DADOS BRUTOS'!BV$3:BV$500)+IF($C13="",0,SUMIF('DADOS BRUTOS'!$A$3:$A$500,$C13,'DADOS BRUTOS'!BV$3:BV$500)))</f>
        <v>0</v>
      </c>
      <c r="EW13" s="133" t="n">
        <f aca="false">IF(OR(EW$4="",$B13=""),0,SUMIF('DADOS BRUTOS'!$A$3:$A$500,$B13,'DADOS BRUTOS'!BW$3:BW$500)+IF($C13="",0,SUMIF('DADOS BRUTOS'!$A$3:$A$500,$C13,'DADOS BRUTOS'!BW$3:BW$500)))</f>
        <v>0</v>
      </c>
      <c r="EX13" s="133" t="n">
        <f aca="false">IF(OR(EX$4="",$B13=""),0,SUMIF('DADOS BRUTOS'!$A$3:$A$500,$B13,'DADOS BRUTOS'!BX$3:BX$500)+IF($C13="",0,SUMIF('DADOS BRUTOS'!$A$3:$A$500,$C13,'DADOS BRUTOS'!BX$3:BX$500)))</f>
        <v>0</v>
      </c>
      <c r="EY13" s="133" t="n">
        <f aca="false">IF(OR(EY$4="",$B13=""),0,SUMIF('DADOS BRUTOS'!$A$3:$A$500,$B13,'DADOS BRUTOS'!BY$3:BY$500)+IF($C13="",0,SUMIF('DADOS BRUTOS'!$A$3:$A$500,$C13,'DADOS BRUTOS'!BY$3:BY$500)))</f>
        <v>0</v>
      </c>
      <c r="EZ13" s="133" t="n">
        <f aca="false">IF(OR(EZ$4="",$B13=""),0,SUMIF('DADOS BRUTOS'!$A$3:$A$500,$B13,'DADOS BRUTOS'!BZ$3:BZ$500)+IF($C13="",0,SUMIF('DADOS BRUTOS'!$A$3:$A$500,$C13,'DADOS BRUTOS'!BZ$3:BZ$500)))</f>
        <v>0</v>
      </c>
      <c r="FA13" s="133" t="n">
        <f aca="false">IF(OR(FA$4="",$B13=""),0,SUMIF('DADOS BRUTOS'!$A$3:$A$500,$B13,'DADOS BRUTOS'!CA$3:CA$500)+IF($C13="",0,SUMIF('DADOS BRUTOS'!$A$3:$A$500,$C13,'DADOS BRUTOS'!CA$3:CA$500)))</f>
        <v>0</v>
      </c>
      <c r="FB13" s="133" t="n">
        <f aca="false">IF(OR(FB$4="",$B13=""),0,SUMIF('DADOS BRUTOS'!$A$3:$A$500,$B13,'DADOS BRUTOS'!CB$3:CB$500)+IF($C13="",0,SUMIF('DADOS BRUTOS'!$A$3:$A$500,$C13,'DADOS BRUTOS'!CB$3:CB$500)))</f>
        <v>0</v>
      </c>
      <c r="FC13" s="133" t="n">
        <f aca="false">IF(OR(FC$4="",$B13=""),0,SUMIF('DADOS BRUTOS'!$A$3:$A$500,$B13,'DADOS BRUTOS'!CC$3:CC$500)+IF($C13="",0,SUMIF('DADOS BRUTOS'!$A$3:$A$500,$C13,'DADOS BRUTOS'!CC$3:CC$500)))</f>
        <v>0</v>
      </c>
      <c r="FD13" s="133" t="n">
        <f aca="false">IF(OR(FD$4="",$B13=""),0,SUMIF('DADOS BRUTOS'!$A$3:$A$500,$B13,'DADOS BRUTOS'!CD$3:CD$500)+IF($C13="",0,SUMIF('DADOS BRUTOS'!$A$3:$A$500,$C13,'DADOS BRUTOS'!CD$3:CD$500)))</f>
        <v>0</v>
      </c>
      <c r="FE13" s="133" t="n">
        <f aca="false">IF(OR(FE$4="",$B13=""),0,SUMIF('DADOS BRUTOS'!$A$3:$A$500,$B13,'DADOS BRUTOS'!CE$3:CE$500)+IF($C13="",0,SUMIF('DADOS BRUTOS'!$A$3:$A$500,$C13,'DADOS BRUTOS'!CE$3:CE$500)))</f>
        <v>0</v>
      </c>
      <c r="FF13" s="133" t="n">
        <f aca="false">IF(OR(FF$4="",$B13=""),0,SUMIF('DADOS BRUTOS'!$A$3:$A$500,$B13,'DADOS BRUTOS'!CF$3:CF$500)+IF($C13="",0,SUMIF('DADOS BRUTOS'!$A$3:$A$500,$C13,'DADOS BRUTOS'!CF$3:CF$500)))</f>
        <v>0</v>
      </c>
      <c r="FG13" s="133" t="n">
        <f aca="false">IF(OR(FG$4="",$B13=""),0,SUMIF('DADOS BRUTOS'!$A$3:$A$500,$B13,'DADOS BRUTOS'!CG$3:CG$500)+IF($C13="",0,SUMIF('DADOS BRUTOS'!$A$3:$A$500,$C13,'DADOS BRUTOS'!CG$3:CG$500)))</f>
        <v>0</v>
      </c>
      <c r="FH13" s="133" t="n">
        <f aca="false">IF(OR(FH$4="",$B13=""),0,SUMIF('DADOS BRUTOS'!$A$3:$A$500,$B13,'DADOS BRUTOS'!CH$3:CH$500)+IF($C13="",0,SUMIF('DADOS BRUTOS'!$A$3:$A$500,$C13,'DADOS BRUTOS'!CH$3:CH$500)))</f>
        <v>0</v>
      </c>
      <c r="FI13" s="133" t="n">
        <f aca="false">IF(OR(FI$4="",$B13=""),0,SUMIF('DADOS BRUTOS'!$A$3:$A$500,$B13,'DADOS BRUTOS'!CI$3:CI$500)+IF($C13="",0,SUMIF('DADOS BRUTOS'!$A$3:$A$500,$C13,'DADOS BRUTOS'!CI$3:CI$500)))</f>
        <v>0</v>
      </c>
      <c r="FJ13" s="133" t="n">
        <f aca="false">IF(OR(FJ$4="",$B13=""),0,SUMIF('DADOS BRUTOS'!$A$3:$A$500,$B13,'DADOS BRUTOS'!CJ$3:CJ$500)+IF($C13="",0,SUMIF('DADOS BRUTOS'!$A$3:$A$500,$C13,'DADOS BRUTOS'!CJ$3:CJ$500)))</f>
        <v>0</v>
      </c>
      <c r="FK13" s="133" t="n">
        <f aca="false">IF(OR(FK$4="",$B13=""),0,SUMIF('DADOS BRUTOS'!$A$3:$A$500,$B13,'DADOS BRUTOS'!CK$3:CK$500)+IF($C13="",0,SUMIF('DADOS BRUTOS'!$A$3:$A$500,$C13,'DADOS BRUTOS'!CK$3:CK$500)))</f>
        <v>0</v>
      </c>
      <c r="FL13" s="133" t="n">
        <f aca="false">IF(OR(FL$4="",$B13=""),0,SUMIF('DADOS BRUTOS'!$A$3:$A$500,$B13,'DADOS BRUTOS'!CL$3:CL$500)+IF($C13="",0,SUMIF('DADOS BRUTOS'!$A$3:$A$500,$C13,'DADOS BRUTOS'!CL$3:CL$500)))</f>
        <v>0</v>
      </c>
      <c r="FM13" s="133" t="n">
        <f aca="false">IF(OR(FM$4="",$B13=""),0,SUMIF('DADOS BRUTOS'!$A$3:$A$500,$B13,'DADOS BRUTOS'!CM$3:CM$500)+IF($C13="",0,SUMIF('DADOS BRUTOS'!$A$3:$A$500,$C13,'DADOS BRUTOS'!CM$3:CM$500)))</f>
        <v>0</v>
      </c>
      <c r="FN13" s="133" t="n">
        <f aca="false">IF(OR(FN$4="",$B13=""),0,SUMIF('DADOS BRUTOS'!$A$3:$A$500,$B13,'DADOS BRUTOS'!CN$3:CN$500)+IF($C13="",0,SUMIF('DADOS BRUTOS'!$A$3:$A$500,$C13,'DADOS BRUTOS'!CN$3:CN$500)))</f>
        <v>0</v>
      </c>
      <c r="FO13" s="133" t="n">
        <f aca="false">IF(OR(FO$4="",$B13=""),0,SUMIF('DADOS BRUTOS'!$A$3:$A$500,$B13,'DADOS BRUTOS'!CO$3:CO$500)+IF($C13="",0,SUMIF('DADOS BRUTOS'!$A$3:$A$500,$C13,'DADOS BRUTOS'!CO$3:CO$500)))</f>
        <v>0</v>
      </c>
      <c r="FP13" s="133" t="n">
        <f aca="false">IF(OR(FP$4="",$B13=""),0,SUMIF('DADOS BRUTOS'!$A$3:$A$500,$B13,'DADOS BRUTOS'!CP$3:CP$500)+IF($C13="",0,SUMIF('DADOS BRUTOS'!$A$3:$A$500,$C13,'DADOS BRUTOS'!CP$3:CP$500)))</f>
        <v>0</v>
      </c>
      <c r="FQ13" s="133" t="n">
        <f aca="false">IF(OR(FQ$4="",$B13=""),0,SUMIF('DADOS BRUTOS'!$A$3:$A$500,$B13,'DADOS BRUTOS'!CQ$3:CQ$500)+IF($C13="",0,SUMIF('DADOS BRUTOS'!$A$3:$A$500,$C13,'DADOS BRUTOS'!CQ$3:CQ$500)))</f>
        <v>0</v>
      </c>
      <c r="FR13" s="133" t="n">
        <f aca="false">IF(OR(FR$4="",$B13=""),0,SUMIF('DADOS BRUTOS'!$A$3:$A$500,$B13,'DADOS BRUTOS'!CR$3:CR$500)+IF($C13="",0,SUMIF('DADOS BRUTOS'!$A$3:$A$500,$C13,'DADOS BRUTOS'!CR$3:CR$500)))</f>
        <v>0</v>
      </c>
      <c r="FS13" s="133" t="n">
        <f aca="false">IF(OR(FS$4="",$B13=""),0,SUMIF('DADOS BRUTOS'!$A$3:$A$500,$B13,'DADOS BRUTOS'!CS$3:CS$500)+IF($C13="",0,SUMIF('DADOS BRUTOS'!$A$3:$A$500,$C13,'DADOS BRUTOS'!CS$3:CS$500)))</f>
        <v>0</v>
      </c>
      <c r="FT13" s="133" t="n">
        <f aca="false">IF(OR(FT$4="",$B13=""),0,SUMIF('DADOS BRUTOS'!$A$3:$A$500,$B13,'DADOS BRUTOS'!CT$3:CT$500)+IF($C13="",0,SUMIF('DADOS BRUTOS'!$A$3:$A$500,$C13,'DADOS BRUTOS'!CT$3:CT$500)))</f>
        <v>0</v>
      </c>
      <c r="FU13" s="133" t="n">
        <f aca="false">IF(OR(FU$4="",$B13=""),0,SUMIF('DADOS BRUTOS'!$A$3:$A$500,$B13,'DADOS BRUTOS'!CU$3:CU$500)+IF($C13="",0,SUMIF('DADOS BRUTOS'!$A$3:$A$500,$C13,'DADOS BRUTOS'!CU$3:CU$500)))</f>
        <v>0</v>
      </c>
      <c r="FV13" s="133" t="n">
        <f aca="false">IF(OR(FV$4="",$B13=""),0,SUMIF('DADOS BRUTOS'!$A$3:$A$500,$B13,'DADOS BRUTOS'!CV$3:CV$500)+IF($C13="",0,SUMIF('DADOS BRUTOS'!$A$3:$A$500,$C13,'DADOS BRUTOS'!CV$3:CV$500)))</f>
        <v>0</v>
      </c>
      <c r="FW13" s="133" t="n">
        <f aca="false">IF(OR(FW$4="",$B13=""),0,SUMIF('DADOS BRUTOS'!$A$3:$A$500,$B13,'DADOS BRUTOS'!CW$3:CW$500)+IF($C13="",0,SUMIF('DADOS BRUTOS'!$A$3:$A$500,$C13,'DADOS BRUTOS'!CW$3:CW$500)))</f>
        <v>0</v>
      </c>
      <c r="FX13" s="133" t="n">
        <f aca="false">IF(OR(FX$4="",$B13=""),0,SUMIF('DADOS BRUTOS'!$A$3:$A$500,$B13,'DADOS BRUTOS'!CX$3:CX$500)+IF($C13="",0,SUMIF('DADOS BRUTOS'!$A$3:$A$500,$C13,'DADOS BRUTOS'!CX$3:CX$500)))</f>
        <v>0</v>
      </c>
      <c r="FY13" s="133" t="n">
        <f aca="false">IF(OR(FY$4="",$B13=""),0,SUMIF('DADOS BRUTOS'!$A$3:$A$500,$B13,'DADOS BRUTOS'!CY$3:CY$500)+IF($C13="",0,SUMIF('DADOS BRUTOS'!$A$3:$A$500,$C13,'DADOS BRUTOS'!CY$3:CY$500)))</f>
        <v>0</v>
      </c>
      <c r="FZ13" s="133" t="n">
        <f aca="false">IF(OR(FZ$4="",$B13=""),0,SUMIF('DADOS BRUTOS'!$A$3:$A$500,$B13,'DADOS BRUTOS'!CZ$3:CZ$500)+IF($C13="",0,SUMIF('DADOS BRUTOS'!$A$3:$A$500,$C13,'DADOS BRUTOS'!CZ$3:CZ$500)))</f>
        <v>0</v>
      </c>
      <c r="GA13" s="133" t="n">
        <f aca="false">IF(OR(GA$4="",$B13=""),0,SUMIF('DADOS BRUTOS'!$A$3:$A$500,$B13,'DADOS BRUTOS'!DA$3:DA$500)+IF($C13="",0,SUMIF('DADOS BRUTOS'!$A$3:$A$500,$C13,'DADOS BRUTOS'!DA$3:DA$500)))</f>
        <v>0</v>
      </c>
      <c r="GB13" s="133" t="n">
        <f aca="false">IF(OR(GB$4="",$B13=""),0,SUMIF('DADOS BRUTOS'!$A$3:$A$500,$B13,'DADOS BRUTOS'!DB$3:DB$500)+IF($C13="",0,SUMIF('DADOS BRUTOS'!$A$3:$A$500,$C13,'DADOS BRUTOS'!DB$3:DB$500)))</f>
        <v>0</v>
      </c>
      <c r="GC13" s="133" t="n">
        <f aca="false">IF(OR(GC$4="",$B13=""),0,SUMIF('DADOS BRUTOS'!$A$3:$A$500,$B13,'DADOS BRUTOS'!DC$3:DC$500)+IF($C13="",0,SUMIF('DADOS BRUTOS'!$A$3:$A$500,$C13,'DADOS BRUTOS'!DC$3:DC$500)))</f>
        <v>0</v>
      </c>
      <c r="GD13" s="133" t="n">
        <f aca="false">IF(OR(GD$4="",$B13=""),0,SUMIF('DADOS BRUTOS'!$A$3:$A$500,$B13,'DADOS BRUTOS'!DD$3:DD$500)+IF($C13="",0,SUMIF('DADOS BRUTOS'!$A$3:$A$500,$C13,'DADOS BRUTOS'!DD$3:DD$500)))</f>
        <v>0</v>
      </c>
      <c r="GE13" s="133" t="n">
        <f aca="false">IF(OR(GE$4="",$B13=""),0,SUMIF('DADOS BRUTOS'!$A$3:$A$500,$B13,'DADOS BRUTOS'!DE$3:DE$500)+IF($C13="",0,SUMIF('DADOS BRUTOS'!$A$3:$A$500,$C13,'DADOS BRUTOS'!DE$3:DE$500)))</f>
        <v>0</v>
      </c>
      <c r="GF13" s="133" t="n">
        <f aca="false">IF(OR(GF$4="",$B13=""),0,SUMIF('DADOS BRUTOS'!$A$3:$A$500,$B13,'DADOS BRUTOS'!DF$3:DF$500)+IF($C13="",0,SUMIF('DADOS BRUTOS'!$A$3:$A$500,$C13,'DADOS BRUTOS'!DF$3:DF$500)))</f>
        <v>0</v>
      </c>
      <c r="GG13" s="133" t="n">
        <f aca="false">IF(OR(GG$4="",$B13=""),0,SUMIF('DADOS BRUTOS'!$A$3:$A$500,$B13,'DADOS BRUTOS'!DG$3:DG$500)+IF($C13="",0,SUMIF('DADOS BRUTOS'!$A$3:$A$500,$C13,'DADOS BRUTOS'!DG$3:DG$500)))</f>
        <v>0</v>
      </c>
      <c r="GH13" s="133" t="n">
        <f aca="false">IF(OR(GH$4="",$B13=""),0,SUMIF('DADOS BRUTOS'!$A$3:$A$500,$B13,'DADOS BRUTOS'!DH$3:DH$500)+IF($C13="",0,SUMIF('DADOS BRUTOS'!$A$3:$A$500,$C13,'DADOS BRUTOS'!DH$3:DH$500)))</f>
        <v>0</v>
      </c>
      <c r="GI13" s="133" t="n">
        <f aca="false">IF(OR(GI$4="",$B13=""),0,SUMIF('DADOS BRUTOS'!$A$3:$A$500,$B13,'DADOS BRUTOS'!DI$3:DI$500)+IF($C13="",0,SUMIF('DADOS BRUTOS'!$A$3:$A$500,$C13,'DADOS BRUTOS'!DI$3:DI$500)))</f>
        <v>0</v>
      </c>
      <c r="GJ13" s="133" t="n">
        <f aca="false">IF(OR(GJ$4="",$B13=""),0,SUMIF('DADOS BRUTOS'!$A$3:$A$500,$B13,'DADOS BRUTOS'!DJ$3:DJ$500)+IF($C13="",0,SUMIF('DADOS BRUTOS'!$A$3:$A$500,$C13,'DADOS BRUTOS'!DJ$3:DJ$500)))</f>
        <v>0</v>
      </c>
      <c r="GK13" s="133" t="n">
        <f aca="false">IF(OR(GK$4="",$B13=""),0,SUMIF('DADOS BRUTOS'!$A$3:$A$500,$B13,'DADOS BRUTOS'!DK$3:DK$500)+IF($C13="",0,SUMIF('DADOS BRUTOS'!$A$3:$A$500,$C13,'DADOS BRUTOS'!DK$3:DK$500)))</f>
        <v>0</v>
      </c>
      <c r="GL13" s="133" t="n">
        <f aca="false">IF(OR(GL$4="",$B13=""),0,SUMIF('DADOS BRUTOS'!$A$3:$A$500,$B13,'DADOS BRUTOS'!DL$3:DL$500)+IF($C13="",0,SUMIF('DADOS BRUTOS'!$A$3:$A$500,$C13,'DADOS BRUTOS'!DL$3:DL$500)))</f>
        <v>0</v>
      </c>
      <c r="GM13" s="133" t="n">
        <f aca="false">IF(OR(GM$4="",$B13=""),0,SUMIF('DADOS BRUTOS'!$A$3:$A$500,$B13,'DADOS BRUTOS'!DM$3:DM$500)+IF($C13="",0,SUMIF('DADOS BRUTOS'!$A$3:$A$500,$C13,'DADOS BRUTOS'!DM$3:DM$500)))</f>
        <v>0</v>
      </c>
      <c r="GN13" s="133" t="n">
        <f aca="false">IF(OR(GN$4="",$B13=""),0,SUMIF('DADOS BRUTOS'!$A$3:$A$500,$B13,'DADOS BRUTOS'!DN$3:DN$500)+IF($C13="",0,SUMIF('DADOS BRUTOS'!$A$3:$A$500,$C13,'DADOS BRUTOS'!DN$3:DN$500)))</f>
        <v>0</v>
      </c>
      <c r="GO13" s="133" t="n">
        <f aca="false">IF(OR(GO$4="",$B13=""),0,SUMIF('DADOS BRUTOS'!$A$3:$A$500,$B13,'DADOS BRUTOS'!DO$3:DO$500)+IF($C13="",0,SUMIF('DADOS BRUTOS'!$A$3:$A$500,$C13,'DADOS BRUTOS'!DO$3:DO$500)))</f>
        <v>0</v>
      </c>
      <c r="GP13" s="133" t="n">
        <f aca="false">IF(OR(GP$4="",$B13=""),0,SUMIF('DADOS BRUTOS'!$A$3:$A$500,$B13,'DADOS BRUTOS'!DP$3:DP$500)+IF($C13="",0,SUMIF('DADOS BRUTOS'!$A$3:$A$500,$C13,'DADOS BRUTOS'!DP$3:DP$500)))</f>
        <v>0</v>
      </c>
      <c r="GQ13" s="133" t="n">
        <f aca="false">IF(OR(GQ$4="",$B13=""),0,SUMIF('DADOS BRUTOS'!$A$3:$A$500,$B13,'DADOS BRUTOS'!DQ$3:DQ$500)+IF($C13="",0,SUMIF('DADOS BRUTOS'!$A$3:$A$500,$C13,'DADOS BRUTOS'!DQ$3:DQ$500)))</f>
        <v>0</v>
      </c>
      <c r="GR13" s="133" t="n">
        <f aca="false">IF(OR(GR$4="",$B13=""),0,SUMIF('DADOS BRUTOS'!$A$3:$A$500,$B13,'DADOS BRUTOS'!DR$3:DR$500)+IF($C13="",0,SUMIF('DADOS BRUTOS'!$A$3:$A$500,$C13,'DADOS BRUTOS'!DR$3:DR$500)))</f>
        <v>0</v>
      </c>
      <c r="GS13" s="133" t="n">
        <f aca="false">IF(OR(GS$4="",$B13=""),0,SUMIF('DADOS BRUTOS'!$A$3:$A$500,$B13,'DADOS BRUTOS'!DS$3:DS$500)+IF($C13="",0,SUMIF('DADOS BRUTOS'!$A$3:$A$500,$C13,'DADOS BRUTOS'!DS$3:DS$500)))</f>
        <v>0</v>
      </c>
      <c r="GT13" s="133" t="n">
        <f aca="false">IF(OR(GT$4="",$B13=""),0,SUMIF('DADOS BRUTOS'!$A$3:$A$500,$B13,'DADOS BRUTOS'!DT$3:DT$500)+IF($C13="",0,SUMIF('DADOS BRUTOS'!$A$3:$A$500,$C13,'DADOS BRUTOS'!DT$3:DT$500)))</f>
        <v>0</v>
      </c>
      <c r="GU13" s="133" t="n">
        <f aca="false">IF(OR(GU$4="",$B13=""),0,SUMIF('DADOS BRUTOS'!$A$3:$A$500,$B13,'DADOS BRUTOS'!DU$3:DU$500)+IF($C13="",0,SUMIF('DADOS BRUTOS'!$A$3:$A$500,$C13,'DADOS BRUTOS'!DU$3:DU$500)))</f>
        <v>0</v>
      </c>
      <c r="GV13" s="133" t="n">
        <f aca="false">IF(OR(GV$4="",$B13=""),0,SUMIF('DADOS BRUTOS'!$A$3:$A$500,$B13,'DADOS BRUTOS'!DV$3:DV$500)+IF($C13="",0,SUMIF('DADOS BRUTOS'!$A$3:$A$500,$C13,'DADOS BRUTOS'!DV$3:DV$500)))</f>
        <v>0</v>
      </c>
      <c r="GW13" s="133" t="n">
        <f aca="false">IF(OR(GW$4="",$B13=""),0,SUMIF('DADOS BRUTOS'!$A$3:$A$500,$B13,'DADOS BRUTOS'!DW$3:DW$500)+IF($C13="",0,SUMIF('DADOS BRUTOS'!$A$3:$A$500,$C13,'DADOS BRUTOS'!DW$3:DW$500)))</f>
        <v>0</v>
      </c>
      <c r="GX13" s="133" t="n">
        <f aca="false">IF(OR(GX$4="",$B13=""),0,SUMIF('DADOS BRUTOS'!$A$3:$A$500,$B13,'DADOS BRUTOS'!DX$3:DX$500)+IF($C13="",0,SUMIF('DADOS BRUTOS'!$A$3:$A$500,$C13,'DADOS BRUTOS'!DX$3:DX$500)))</f>
        <v>0</v>
      </c>
      <c r="GY13" s="133" t="n">
        <f aca="false">IF(OR(GY$4="",$B13=""),0,SUMIF('DADOS BRUTOS'!$A$3:$A$500,$B13,'DADOS BRUTOS'!DY$3:DY$500)+IF($C13="",0,SUMIF('DADOS BRUTOS'!$A$3:$A$500,$C13,'DADOS BRUTOS'!DY$3:DY$500)))</f>
        <v>0</v>
      </c>
      <c r="GZ13" s="133" t="n">
        <f aca="false">IF(OR(GZ$4="",$B13=""),0,SUMIF('DADOS BRUTOS'!$A$3:$A$500,$B13,'DADOS BRUTOS'!DZ$3:DZ$500)+IF($C13="",0,SUMIF('DADOS BRUTOS'!$A$3:$A$500,$C13,'DADOS BRUTOS'!DZ$3:DZ$500)))</f>
        <v>0</v>
      </c>
      <c r="HA13" s="133" t="n">
        <f aca="false">IF(OR(HA$4="",$B13=""),0,SUMIF('DADOS BRUTOS'!$A$3:$A$500,$B13,'DADOS BRUTOS'!EA$3:EA$500)+IF($C13="",0,SUMIF('DADOS BRUTOS'!$A$3:$A$500,$C13,'DADOS BRUTOS'!EA$3:EA$500)))</f>
        <v>0</v>
      </c>
      <c r="HB13" s="133" t="n">
        <f aca="false">IF(OR(HB$4="",$B13=""),0,SUMIF('DADOS BRUTOS'!$A$3:$A$500,$B13,'DADOS BRUTOS'!EB$3:EB$500)+IF($C13="",0,SUMIF('DADOS BRUTOS'!$A$3:$A$500,$C13,'DADOS BRUTOS'!EB$3:EB$500)))</f>
        <v>0</v>
      </c>
      <c r="HC13" s="133" t="n">
        <f aca="false">IF(OR(HC$4="",$B13=""),0,SUMIF('DADOS BRUTOS'!$A$3:$A$500,$B13,'DADOS BRUTOS'!EC$3:EC$500)+IF($C13="",0,SUMIF('DADOS BRUTOS'!$A$3:$A$500,$C13,'DADOS BRUTOS'!EC$3:EC$500)))</f>
        <v>0</v>
      </c>
      <c r="HD13" s="133" t="n">
        <f aca="false">IF(OR(HD$4="",$B13=""),0,SUMIF('DADOS BRUTOS'!$A$3:$A$500,$B13,'DADOS BRUTOS'!ED$3:ED$500)+IF($C13="",0,SUMIF('DADOS BRUTOS'!$A$3:$A$500,$C13,'DADOS BRUTOS'!ED$3:ED$500)))</f>
        <v>0</v>
      </c>
      <c r="HE13" s="133" t="n">
        <f aca="false">IF(OR(HE$4="",$B13=""),0,SUMIF('DADOS BRUTOS'!$A$3:$A$500,$B13,'DADOS BRUTOS'!EE$3:EE$500)+IF($C13="",0,SUMIF('DADOS BRUTOS'!$A$3:$A$500,$C13,'DADOS BRUTOS'!EE$3:EE$500)))</f>
        <v>0</v>
      </c>
      <c r="HF13" s="133" t="n">
        <f aca="false">IF(OR(HF$4="",$B13=""),0,SUMIF('DADOS BRUTOS'!$A$3:$A$500,$B13,'DADOS BRUTOS'!EF$3:EF$500)+IF($C13="",0,SUMIF('DADOS BRUTOS'!$A$3:$A$500,$C13,'DADOS BRUTOS'!EF$3:EF$500)))</f>
        <v>0</v>
      </c>
      <c r="HG13" s="133" t="n">
        <f aca="false">IF(OR(HG$4="",$B13=""),0,SUMIF('DADOS BRUTOS'!$A$3:$A$500,$B13,'DADOS BRUTOS'!EG$3:EG$500)+IF($C13="",0,SUMIF('DADOS BRUTOS'!$A$3:$A$500,$C13,'DADOS BRUTOS'!EG$3:EG$500)))</f>
        <v>0</v>
      </c>
      <c r="HH13" s="133" t="n">
        <f aca="false">IF(OR(HH$4="",$B13=""),0,SUMIF('DADOS BRUTOS'!$A$3:$A$500,$B13,'DADOS BRUTOS'!EH$3:EH$500)+IF($C13="",0,SUMIF('DADOS BRUTOS'!$A$3:$A$500,$C13,'DADOS BRUTOS'!EH$3:EH$500)))</f>
        <v>0</v>
      </c>
      <c r="HI13" s="133" t="n">
        <f aca="false">IF(OR(HI$4="",$B13=""),0,SUMIF('DADOS BRUTOS'!$A$3:$A$500,$B13,'DADOS BRUTOS'!EI$3:EI$500)+IF($C13="",0,SUMIF('DADOS BRUTOS'!$A$3:$A$500,$C13,'DADOS BRUTOS'!EI$3:EI$500)))</f>
        <v>0</v>
      </c>
      <c r="HJ13" s="133" t="n">
        <f aca="false">IF(OR(HJ$4="",$B13=""),0,SUMIF('DADOS BRUTOS'!$A$3:$A$500,$B13,'DADOS BRUTOS'!EJ$3:EJ$500)+IF($C13="",0,SUMIF('DADOS BRUTOS'!$A$3:$A$500,$C13,'DADOS BRUTOS'!EJ$3:EJ$500)))</f>
        <v>0</v>
      </c>
      <c r="HK13" s="133" t="n">
        <f aca="false">IF(OR(HK$4="",$B13=""),0,SUMIF('DADOS BRUTOS'!$A$3:$A$500,$B13,'DADOS BRUTOS'!EK$3:EK$500)+IF($C13="",0,SUMIF('DADOS BRUTOS'!$A$3:$A$500,$C13,'DADOS BRUTOS'!EK$3:EK$500)))</f>
        <v>0</v>
      </c>
      <c r="HL13" s="133" t="n">
        <f aca="false">IF(OR(HL$4="",$B13=""),0,SUMIF('DADOS BRUTOS'!$A$3:$A$500,$B13,'DADOS BRUTOS'!EL$3:EL$500)+IF($C13="",0,SUMIF('DADOS BRUTOS'!$A$3:$A$500,$C13,'DADOS BRUTOS'!EL$3:EL$500)))</f>
        <v>0</v>
      </c>
      <c r="HM13" s="133" t="n">
        <f aca="false">IF(OR(HM$4="",$B13=""),0,SUMIF('DADOS BRUTOS'!$A$3:$A$500,$B13,'DADOS BRUTOS'!EM$3:EM$500)+IF($C13="",0,SUMIF('DADOS BRUTOS'!$A$3:$A$500,$C13,'DADOS BRUTOS'!EM$3:EM$500)))</f>
        <v>0</v>
      </c>
      <c r="HN13" s="133" t="n">
        <f aca="false">IF(OR(HN$4="",$B13=""),0,SUMIF('DADOS BRUTOS'!$A$3:$A$500,$B13,'DADOS BRUTOS'!EN$3:EN$500)+IF($C13="",0,SUMIF('DADOS BRUTOS'!$A$3:$A$500,$C13,'DADOS BRUTOS'!EN$3:EN$500)))</f>
        <v>0</v>
      </c>
      <c r="HO13" s="133" t="n">
        <f aca="false">IF(OR(HO$4="",$B13=""),0,SUMIF('DADOS BRUTOS'!$A$3:$A$500,$B13,'DADOS BRUTOS'!EO$3:EO$500)+IF($C13="",0,SUMIF('DADOS BRUTOS'!$A$3:$A$500,$C13,'DADOS BRUTOS'!EO$3:EO$500)))</f>
        <v>0</v>
      </c>
      <c r="HP13" s="133" t="n">
        <f aca="false">IF(OR(HP$4="",$B13=""),0,SUMIF('DADOS BRUTOS'!$A$3:$A$500,$B13,'DADOS BRUTOS'!EP$3:EP$500)+IF($C13="",0,SUMIF('DADOS BRUTOS'!$A$3:$A$500,$C13,'DADOS BRUTOS'!EP$3:EP$500)))</f>
        <v>0</v>
      </c>
      <c r="HQ13" s="133" t="n">
        <f aca="false">IF(OR(HQ$4="",$B13=""),0,SUMIF('DADOS BRUTOS'!$A$3:$A$500,$B13,'DADOS BRUTOS'!EQ$3:EQ$500)+IF($C13="",0,SUMIF('DADOS BRUTOS'!$A$3:$A$500,$C13,'DADOS BRUTOS'!EQ$3:EQ$500)))</f>
        <v>0</v>
      </c>
      <c r="HR13" s="133" t="n">
        <f aca="false">IF(OR(HR$4="",$B13=""),0,SUMIF('DADOS BRUTOS'!$A$3:$A$500,$B13,'DADOS BRUTOS'!ER$3:ER$500)+IF($C13="",0,SUMIF('DADOS BRUTOS'!$A$3:$A$500,$C13,'DADOS BRUTOS'!ER$3:ER$500)))</f>
        <v>0</v>
      </c>
      <c r="HS13" s="133" t="n">
        <f aca="false">IF(OR(HS$4="",$B13=""),0,SUMIF('DADOS BRUTOS'!$A$3:$A$500,$B13,'DADOS BRUTOS'!ES$3:ES$500)+IF($C13="",0,SUMIF('DADOS BRUTOS'!$A$3:$A$500,$C13,'DADOS BRUTOS'!ES$3:ES$500)))</f>
        <v>0</v>
      </c>
      <c r="HT13" s="133" t="n">
        <f aca="false">IF(OR(HT$4="",$B13=""),0,SUMIF('DADOS BRUTOS'!$A$3:$A$500,$B13,'DADOS BRUTOS'!ET$3:ET$500)+IF($C13="",0,SUMIF('DADOS BRUTOS'!$A$3:$A$500,$C13,'DADOS BRUTOS'!ET$3:ET$500)))</f>
        <v>0</v>
      </c>
      <c r="HU13" s="133" t="n">
        <f aca="false">IF(OR(HU$4="",$B13=""),0,SUMIF('DADOS BRUTOS'!$A$3:$A$500,$B13,'DADOS BRUTOS'!EU$3:EU$500)+IF($C13="",0,SUMIF('DADOS BRUTOS'!$A$3:$A$500,$C13,'DADOS BRUTOS'!EU$3:EU$500)))</f>
        <v>0</v>
      </c>
      <c r="HV13" s="133" t="n">
        <f aca="false">IF(OR(HV$4="",$B13=""),0,SUMIF('DADOS BRUTOS'!$A$3:$A$500,$B13,'DADOS BRUTOS'!EV$3:EV$500)+IF($C13="",0,SUMIF('DADOS BRUTOS'!$A$3:$A$500,$C13,'DADOS BRUTOS'!EV$3:EV$500)))</f>
        <v>0</v>
      </c>
      <c r="HW13" s="133" t="n">
        <f aca="false">IF(OR(HW$4="",$B13=""),0,SUMIF('DADOS BRUTOS'!$A$3:$A$500,$B13,'DADOS BRUTOS'!EW$3:EW$500)+IF($C13="",0,SUMIF('DADOS BRUTOS'!$A$3:$A$500,$C13,'DADOS BRUTOS'!EW$3:EW$500)))</f>
        <v>0</v>
      </c>
      <c r="HX13" s="133" t="n">
        <f aca="false">IF(OR(HX$4="",$B13=""),0,SUMIF('DADOS BRUTOS'!$A$3:$A$500,$B13,'DADOS BRUTOS'!EX$3:EX$500)+IF($C13="",0,SUMIF('DADOS BRUTOS'!$A$3:$A$500,$C13,'DADOS BRUTOS'!EX$3:EX$500)))</f>
        <v>0</v>
      </c>
      <c r="HY13" s="133" t="n">
        <f aca="false">IF(OR(HY$4="",$B13=""),0,SUMIF('DADOS BRUTOS'!$A$3:$A$500,$B13,'DADOS BRUTOS'!EY$3:EY$500)+IF($C13="",0,SUMIF('DADOS BRUTOS'!$A$3:$A$500,$C13,'DADOS BRUTOS'!EY$3:EY$500)))</f>
        <v>0</v>
      </c>
      <c r="HZ13" s="133" t="n">
        <f aca="false">IF(OR(HZ$4="",$B13=""),0,SUMIF('DADOS BRUTOS'!$A$3:$A$500,$B13,'DADOS BRUTOS'!EZ$3:EZ$500)+IF($C13="",0,SUMIF('DADOS BRUTOS'!$A$3:$A$500,$C13,'DADOS BRUTOS'!EZ$3:EZ$500)))</f>
        <v>0</v>
      </c>
      <c r="IA13" s="133" t="n">
        <f aca="false">IF(OR(IA$4="",$B13=""),0,SUMIF('DADOS BRUTOS'!$A$3:$A$500,$B13,'DADOS BRUTOS'!FA$3:FA$500)+IF($C13="",0,SUMIF('DADOS BRUTOS'!$A$3:$A$500,$C13,'DADOS BRUTOS'!FA$3:FA$500)))</f>
        <v>0</v>
      </c>
      <c r="IB13" s="133" t="n">
        <f aca="false">IF(OR(IB$4="",$B13=""),0,SUMIF('DADOS BRUTOS'!$A$3:$A$500,$B13,'DADOS BRUTOS'!FB$3:FB$500)+IF($C13="",0,SUMIF('DADOS BRUTOS'!$A$3:$A$500,$C13,'DADOS BRUTOS'!FB$3:FB$500)))</f>
        <v>0</v>
      </c>
      <c r="IC13" s="133" t="n">
        <f aca="false">IF(OR(IC$4="",$B13=""),0,SUMIF('DADOS BRUTOS'!$A$3:$A$500,$B13,'DADOS BRUTOS'!FC$3:FC$500)+IF($C13="",0,SUMIF('DADOS BRUTOS'!$A$3:$A$500,$C13,'DADOS BRUTOS'!FC$3:FC$500)))</f>
        <v>0</v>
      </c>
      <c r="ID13" s="133" t="n">
        <f aca="false">IF(OR(ID$4="",$B13=""),0,SUMIF('DADOS BRUTOS'!$A$3:$A$500,$B13,'DADOS BRUTOS'!FD$3:FD$500)+IF($C13="",0,SUMIF('DADOS BRUTOS'!$A$3:$A$500,$C13,'DADOS BRUTOS'!FD$3:FD$500)))</f>
        <v>0</v>
      </c>
      <c r="IE13" s="133" t="n">
        <f aca="false">IF(OR(IE$4="",$B13=""),0,SUMIF('DADOS BRUTOS'!$A$3:$A$500,$B13,'DADOS BRUTOS'!FE$3:FE$500)+IF($C13="",0,SUMIF('DADOS BRUTOS'!$A$3:$A$500,$C13,'DADOS BRUTOS'!FE$3:FE$500)))</f>
        <v>0</v>
      </c>
      <c r="IF13" s="133" t="n">
        <f aca="false">IF(OR(IF$4="",$B13=""),0,SUMIF('DADOS BRUTOS'!$A$3:$A$500,$B13,'DADOS BRUTOS'!FF$3:FF$500)+IF($C13="",0,SUMIF('DADOS BRUTOS'!$A$3:$A$500,$C13,'DADOS BRUTOS'!FF$3:FF$500)))</f>
        <v>0</v>
      </c>
      <c r="IG13" s="133" t="n">
        <f aca="false">IF(OR(IG$4="",$B13=""),0,SUMIF('DADOS BRUTOS'!$A$3:$A$500,$B13,'DADOS BRUTOS'!FG$3:FG$500)+IF($C13="",0,SUMIF('DADOS BRUTOS'!$A$3:$A$500,$C13,'DADOS BRUTOS'!FG$3:FG$500)))</f>
        <v>0</v>
      </c>
      <c r="IH13" s="133" t="n">
        <f aca="false">IF(OR(IH$4="",$B13=""),0,SUMIF('DADOS BRUTOS'!$A$3:$A$500,$B13,'DADOS BRUTOS'!FH$3:FH$500)+IF($C13="",0,SUMIF('DADOS BRUTOS'!$A$3:$A$500,$C13,'DADOS BRUTOS'!FH$3:FH$500)))</f>
        <v>0</v>
      </c>
      <c r="II13" s="133" t="n">
        <f aca="false">IF(OR(II$4="",$B13=""),0,SUMIF('DADOS BRUTOS'!$A$3:$A$500,$B13,'DADOS BRUTOS'!FI$3:FI$500)+IF($C13="",0,SUMIF('DADOS BRUTOS'!$A$3:$A$500,$C13,'DADOS BRUTOS'!FI$3:FI$500)))</f>
        <v>0</v>
      </c>
      <c r="IJ13" s="133" t="n">
        <f aca="false">IF(OR(IJ$4="",$B13=""),0,SUMIF('DADOS BRUTOS'!$A$3:$A$500,$B13,'DADOS BRUTOS'!FJ$3:FJ$500)+IF($C13="",0,SUMIF('DADOS BRUTOS'!$A$3:$A$500,$C13,'DADOS BRUTOS'!FJ$3:FJ$500)))</f>
        <v>0</v>
      </c>
      <c r="IK13" s="133" t="n">
        <f aca="false">IF(OR(IK$4="",$B13=""),0,SUMIF('DADOS BRUTOS'!$A$3:$A$500,$B13,'DADOS BRUTOS'!FK$3:FK$500)+IF($C13="",0,SUMIF('DADOS BRUTOS'!$A$3:$A$500,$C13,'DADOS BRUTOS'!FK$3:FK$500)))</f>
        <v>0</v>
      </c>
      <c r="IL13" s="133" t="n">
        <f aca="false">IF(OR(IL$4="",$B13=""),0,SUMIF('DADOS BRUTOS'!$A$3:$A$500,$B13,'DADOS BRUTOS'!FL$3:FL$500)+IF($C13="",0,SUMIF('DADOS BRUTOS'!$A$3:$A$500,$C13,'DADOS BRUTOS'!FL$3:FL$500)))</f>
        <v>0</v>
      </c>
      <c r="IM13" s="133" t="n">
        <f aca="false">IF(OR(IM$4="",$B13=""),0,SUMIF('DADOS BRUTOS'!$A$3:$A$500,$B13,'DADOS BRUTOS'!FM$3:FM$500)+IF($C13="",0,SUMIF('DADOS BRUTOS'!$A$3:$A$500,$C13,'DADOS BRUTOS'!FM$3:FM$500)))</f>
        <v>0</v>
      </c>
      <c r="IN13" s="133" t="n">
        <f aca="false">IF(OR(IN$4="",$B13=""),0,SUMIF('DADOS BRUTOS'!$A$3:$A$500,$B13,'DADOS BRUTOS'!FN$3:FN$500)+IF($C13="",0,SUMIF('DADOS BRUTOS'!$A$3:$A$500,$C13,'DADOS BRUTOS'!FN$3:FN$500)))</f>
        <v>0</v>
      </c>
      <c r="IO13" s="133" t="n">
        <f aca="false">IF(OR(IO$4="",$B13=""),0,SUMIF('DADOS BRUTOS'!$A$3:$A$500,$B13,'DADOS BRUTOS'!FO$3:FO$500)+IF($C13="",0,SUMIF('DADOS BRUTOS'!$A$3:$A$500,$C13,'DADOS BRUTOS'!FO$3:FO$500)))</f>
        <v>0</v>
      </c>
      <c r="IP13" s="133" t="n">
        <f aca="false">IF(OR(IP$4="",$B13=""),0,SUMIF('DADOS BRUTOS'!$A$3:$A$500,$B13,'DADOS BRUTOS'!FP$3:FP$500)+IF($C13="",0,SUMIF('DADOS BRUTOS'!$A$3:$A$500,$C13,'DADOS BRUTOS'!FP$3:FP$500)))</f>
        <v>0</v>
      </c>
      <c r="IQ13" s="133" t="n">
        <f aca="false">IF(OR(IQ$4="",$B13=""),0,SUMIF('DADOS BRUTOS'!$A$3:$A$500,$B13,'DADOS BRUTOS'!FQ$3:FQ$500)+IF($C13="",0,SUMIF('DADOS BRUTOS'!$A$3:$A$500,$C13,'DADOS BRUTOS'!FQ$3:FQ$500)))</f>
        <v>0</v>
      </c>
      <c r="IR13" s="133" t="n">
        <f aca="false">IF(OR(IR$4="",$B13=""),0,SUMIF('DADOS BRUTOS'!$A$3:$A$500,$B13,'DADOS BRUTOS'!FR$3:FR$500)+IF($C13="",0,SUMIF('DADOS BRUTOS'!$A$3:$A$500,$C13,'DADOS BRUTOS'!FR$3:FR$500)))</f>
        <v>0</v>
      </c>
      <c r="IS13" s="133" t="n">
        <f aca="false">IF(OR(IS$4="",$B13=""),0,SUMIF('DADOS BRUTOS'!$A$3:$A$500,$B13,'DADOS BRUTOS'!FS$3:FS$500)+IF($C13="",0,SUMIF('DADOS BRUTOS'!$A$3:$A$500,$C13,'DADOS BRUTOS'!FS$3:FS$500)))</f>
        <v>0</v>
      </c>
      <c r="IT13" s="133" t="n">
        <f aca="false">IF(OR(IT$4="",$B13=""),0,SUMIF('DADOS BRUTOS'!$A$3:$A$500,$B13,'DADOS BRUTOS'!FT$3:FT$500)+IF($C13="",0,SUMIF('DADOS BRUTOS'!$A$3:$A$500,$C13,'DADOS BRUTOS'!FT$3:FT$500)))</f>
        <v>0</v>
      </c>
      <c r="IU13" s="133" t="n">
        <f aca="false">IF(OR(IU$4="",$B13=""),0,SUMIF('DADOS BRUTOS'!$A$3:$A$500,$B13,'DADOS BRUTOS'!FU$3:FU$500)+IF($C13="",0,SUMIF('DADOS BRUTOS'!$A$3:$A$500,$C13,'DADOS BRUTOS'!FU$3:FU$500)))</f>
        <v>0</v>
      </c>
      <c r="IV13" s="133" t="n">
        <f aca="false">IF(OR(IV$4="",$B13=""),0,SUMIF('DADOS BRUTOS'!$A$3:$A$500,$B13,'DADOS BRUTOS'!FV$3:FV$500)+IF($C13="",0,SUMIF('DADOS BRUTOS'!$A$3:$A$500,$C13,'DADOS BRUTOS'!FV$3:FV$500)))</f>
        <v>0</v>
      </c>
      <c r="IW13" s="133" t="n">
        <f aca="false">IF(OR(IW$4="",$B13=""),0,SUMIF('DADOS BRUTOS'!$A$3:$A$500,$B13,'DADOS BRUTOS'!FW$3:FW$500)+IF($C13="",0,SUMIF('DADOS BRUTOS'!$A$3:$A$500,$C13,'DADOS BRUTOS'!FW$3:FW$500)))</f>
        <v>0</v>
      </c>
      <c r="IX13" s="133" t="n">
        <f aca="false">IF(OR(IX$4="",$B13=""),0,SUMIF('DADOS BRUTOS'!$A$3:$A$500,$B13,'DADOS BRUTOS'!FX$3:FX$500)+IF($C13="",0,SUMIF('DADOS BRUTOS'!$A$3:$A$500,$C13,'DADOS BRUTOS'!FX$3:FX$500)))</f>
        <v>0</v>
      </c>
      <c r="IY13" s="133" t="n">
        <f aca="false">IF(OR(IY$4="",$B13=""),0,SUMIF('DADOS BRUTOS'!$A$3:$A$500,$B13,'DADOS BRUTOS'!FY$3:FY$500)+IF($C13="",0,SUMIF('DADOS BRUTOS'!$A$3:$A$500,$C13,'DADOS BRUTOS'!FY$3:FY$500)))</f>
        <v>0</v>
      </c>
      <c r="IZ13" s="133" t="n">
        <f aca="false">IF(OR(IZ$4="",$B13=""),0,SUMIF('DADOS BRUTOS'!$A$3:$A$500,$B13,'DADOS BRUTOS'!FZ$3:FZ$500)+IF($C13="",0,SUMIF('DADOS BRUTOS'!$A$3:$A$500,$C13,'DADOS BRUTOS'!FZ$3:FZ$500)))</f>
        <v>0</v>
      </c>
      <c r="JA13" s="133" t="n">
        <f aca="false">IF(OR(JA$4="",$B13=""),0,SUMIF('DADOS BRUTOS'!$A$3:$A$500,$B13,'DADOS BRUTOS'!GA$3:GA$500)+IF($C13="",0,SUMIF('DADOS BRUTOS'!$A$3:$A$500,$C13,'DADOS BRUTOS'!GA$3:GA$500)))</f>
        <v>0</v>
      </c>
      <c r="JB13" s="133" t="n">
        <f aca="false">IF(OR(JB$4="",$B13=""),0,SUMIF('DADOS BRUTOS'!$A$3:$A$500,$B13,'DADOS BRUTOS'!GB$3:GB$500)+IF($C13="",0,SUMIF('DADOS BRUTOS'!$A$3:$A$500,$C13,'DADOS BRUTOS'!GB$3:GB$500)))</f>
        <v>0</v>
      </c>
      <c r="JC13" s="133" t="n">
        <f aca="false">IF(OR(JC$4="",$B13=""),0,SUMIF('DADOS BRUTOS'!$A$3:$A$500,$B13,'DADOS BRUTOS'!GC$3:GC$500)+IF($C13="",0,SUMIF('DADOS BRUTOS'!$A$3:$A$500,$C13,'DADOS BRUTOS'!GC$3:GC$500)))</f>
        <v>0</v>
      </c>
      <c r="JD13" s="133" t="n">
        <f aca="false">IF(OR(JD$4="",$B13=""),0,SUMIF('DADOS BRUTOS'!$A$3:$A$500,$B13,'DADOS BRUTOS'!GD$3:GD$500)+IF($C13="",0,SUMIF('DADOS BRUTOS'!$A$3:$A$500,$C13,'DADOS BRUTOS'!GD$3:GD$500)))</f>
        <v>0</v>
      </c>
      <c r="JE13" s="133" t="n">
        <f aca="false">IF(OR(JE$4="",$B13=""),0,SUMIF('DADOS BRUTOS'!$A$3:$A$500,$B13,'DADOS BRUTOS'!GE$3:GE$500)+IF($C13="",0,SUMIF('DADOS BRUTOS'!$A$3:$A$500,$C13,'DADOS BRUTOS'!GE$3:GE$500)))</f>
        <v>0</v>
      </c>
      <c r="JF13" s="133" t="n">
        <f aca="false">IF(OR(JF$4="",$B13=""),0,SUMIF('DADOS BRUTOS'!$A$3:$A$500,$B13,'DADOS BRUTOS'!GF$3:GF$500)+IF($C13="",0,SUMIF('DADOS BRUTOS'!$A$3:$A$500,$C13,'DADOS BRUTOS'!GF$3:GF$500)))</f>
        <v>0</v>
      </c>
      <c r="JG13" s="133" t="n">
        <f aca="false">IF(OR(JG$4="",$B13=""),0,SUMIF('DADOS BRUTOS'!$A$3:$A$500,$B13,'DADOS BRUTOS'!GG$3:GG$500)+IF($C13="",0,SUMIF('DADOS BRUTOS'!$A$3:$A$500,$C13,'DADOS BRUTOS'!GG$3:GG$500)))</f>
        <v>0</v>
      </c>
      <c r="JH13" s="133" t="n">
        <f aca="false">IF(OR(JH$4="",$B13=""),0,SUMIF('DADOS BRUTOS'!$A$3:$A$500,$B13,'DADOS BRUTOS'!GH$3:GH$500)+IF($C13="",0,SUMIF('DADOS BRUTOS'!$A$3:$A$500,$C13,'DADOS BRUTOS'!GH$3:GH$500)))</f>
        <v>0</v>
      </c>
      <c r="JI13" s="133" t="n">
        <f aca="false">IF(OR(JI$4="",$B13=""),0,SUMIF('DADOS BRUTOS'!$A$3:$A$500,$B13,'DADOS BRUTOS'!GI$3:GI$500)+IF($C13="",0,SUMIF('DADOS BRUTOS'!$A$3:$A$500,$C13,'DADOS BRUTOS'!GI$3:GI$500)))</f>
        <v>0</v>
      </c>
      <c r="JJ13" s="133" t="n">
        <f aca="false">IF(OR(JJ$4="",$B13=""),0,SUMIF('DADOS BRUTOS'!$A$3:$A$500,$B13,'DADOS BRUTOS'!GJ$3:GJ$500)+IF($C13="",0,SUMIF('DADOS BRUTOS'!$A$3:$A$500,$C13,'DADOS BRUTOS'!GJ$3:GJ$500)))</f>
        <v>0</v>
      </c>
      <c r="JK13" s="133" t="n">
        <f aca="false">IF(OR(JK$4="",$B13=""),0,SUMIF('DADOS BRUTOS'!$A$3:$A$500,$B13,'DADOS BRUTOS'!GK$3:GK$500)+IF($C13="",0,SUMIF('DADOS BRUTOS'!$A$3:$A$500,$C13,'DADOS BRUTOS'!GK$3:GK$500)))</f>
        <v>0</v>
      </c>
      <c r="JL13" s="133" t="n">
        <f aca="false">IF(OR(JL$4="",$B13=""),0,SUMIF('DADOS BRUTOS'!$A$3:$A$500,$B13,'DADOS BRUTOS'!GL$3:GL$500)+IF($C13="",0,SUMIF('DADOS BRUTOS'!$A$3:$A$500,$C13,'DADOS BRUTOS'!GL$3:GL$500)))</f>
        <v>0</v>
      </c>
      <c r="JM13" s="133" t="n">
        <f aca="false">IF(OR(JM$4="",$B13=""),0,SUMIF('DADOS BRUTOS'!$A$3:$A$500,$B13,'DADOS BRUTOS'!GM$3:GM$500)+IF($C13="",0,SUMIF('DADOS BRUTOS'!$A$3:$A$500,$C13,'DADOS BRUTOS'!GM$3:GM$500)))</f>
        <v>0</v>
      </c>
      <c r="JN13" s="133" t="n">
        <f aca="false">IF(OR(JN$4="",$B13=""),0,SUMIF('DADOS BRUTOS'!$A$3:$A$500,$B13,'DADOS BRUTOS'!GN$3:GN$500)+IF($C13="",0,SUMIF('DADOS BRUTOS'!$A$3:$A$500,$C13,'DADOS BRUTOS'!GN$3:GN$500)))</f>
        <v>0</v>
      </c>
      <c r="JO13" s="133" t="n">
        <f aca="false">IF(OR(JO$4="",$B13=""),0,SUMIF('DADOS BRUTOS'!$A$3:$A$500,$B13,'DADOS BRUTOS'!GO$3:GO$500)+IF($C13="",0,SUMIF('DADOS BRUTOS'!$A$3:$A$500,$C13,'DADOS BRUTOS'!GO$3:GO$500)))</f>
        <v>0</v>
      </c>
      <c r="JP13" s="133" t="n">
        <f aca="false">IF(OR(JP$4="",$B13=""),0,SUMIF('DADOS BRUTOS'!$A$3:$A$500,$B13,'DADOS BRUTOS'!GP$3:GP$500)+IF($C13="",0,SUMIF('DADOS BRUTOS'!$A$3:$A$500,$C13,'DADOS BRUTOS'!GP$3:GP$500)))</f>
        <v>0</v>
      </c>
      <c r="JQ13" s="133" t="n">
        <f aca="false">IF(OR(JQ$4="",$B13=""),0,SUMIF('DADOS BRUTOS'!$A$3:$A$500,$B13,'DADOS BRUTOS'!GQ$3:GQ$500)+IF($C13="",0,SUMIF('DADOS BRUTOS'!$A$3:$A$500,$C13,'DADOS BRUTOS'!GQ$3:GQ$500)))</f>
        <v>0</v>
      </c>
      <c r="JR13" s="133" t="n">
        <f aca="false">IF(OR(JR$4="",$B13=""),0,SUMIF('DADOS BRUTOS'!$A$3:$A$500,$B13,'DADOS BRUTOS'!GR$3:GR$500)+IF($C13="",0,SUMIF('DADOS BRUTOS'!$A$3:$A$500,$C13,'DADOS BRUTOS'!GR$3:GR$500)))</f>
        <v>0</v>
      </c>
      <c r="JS13" s="133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89150.95</v>
      </c>
      <c r="E14" s="50" t="n">
        <f aca="false">SUMIF($CB$4:$JS$4,E$4,$CB14:$JS14)</f>
        <v>10175.14</v>
      </c>
      <c r="F14" s="50" t="n">
        <f aca="false">SUMIF($CB$4:$JS$4,F$4,$CB14:$JS14)</f>
        <v>44807.63</v>
      </c>
      <c r="G14" s="50" t="n">
        <f aca="false">SUMIF($CB$4:$JS$4,G$4,$CB14:$JS14)</f>
        <v>70530.72</v>
      </c>
      <c r="H14" s="50" t="n">
        <f aca="false">SUMIF($CB$4:$JS$4,H$4,$CB14:$JS14)</f>
        <v>133478</v>
      </c>
      <c r="I14" s="50" t="n">
        <f aca="false">SUMIF($CB$4:$JS$4,I$4,$CB14:$JS14)</f>
        <v>189027.71</v>
      </c>
      <c r="J14" s="50" t="n">
        <f aca="false">SUMIF($CB$4:$JS$4,J$4,$CB14:$JS14)</f>
        <v>222221.58</v>
      </c>
      <c r="K14" s="50" t="n">
        <f aca="false">SUMIF($CB$4:$JS$4,K$4,$CB14:$JS14)</f>
        <v>271532.86</v>
      </c>
      <c r="L14" s="50" t="n">
        <f aca="false">SUMIF($CB$4:$JS$4,L$4,$CB14:$JS14)</f>
        <v>277064.12</v>
      </c>
      <c r="M14" s="50" t="n">
        <f aca="false">SUMIF($CB$4:$JS$4,M$4,$CB14:$JS14)</f>
        <v>276496.21</v>
      </c>
      <c r="N14" s="50" t="n">
        <f aca="false">SUMIF($CB$4:$JS$4,N$4,$CB14:$JS14)</f>
        <v>339373.99</v>
      </c>
      <c r="O14" s="50" t="n">
        <f aca="false">SUMIF($CB$4:$JS$4,O$4,$CB14:$JS14)</f>
        <v>363581.49</v>
      </c>
      <c r="P14" s="50" t="n">
        <f aca="false">SUMIF($CB$4:$JS$4,P$4,$CB14:$JS14)</f>
        <v>382985.27</v>
      </c>
      <c r="Q14" s="50" t="n">
        <f aca="false">SUMIF($CB$4:$JS$4,Q$4,$CB14:$JS14)</f>
        <v>324044.68</v>
      </c>
      <c r="R14" s="50" t="n">
        <f aca="false">SUMIF($CB$4:$JS$4,R$4,$CB14:$JS14)</f>
        <v>303003.19</v>
      </c>
      <c r="S14" s="50" t="n">
        <f aca="false">SUMIF($CB$4:$JS$4,S$4,$CB14:$JS14)</f>
        <v>294497.6</v>
      </c>
      <c r="T14" s="50" t="n">
        <f aca="false">SUMIF($CB$4:$JS$4,T$4,$CB14:$JS14)</f>
        <v>280936.72</v>
      </c>
      <c r="U14" s="50" t="n">
        <f aca="false">SUMIF($CB$4:$JS$4,U$4,$CB14:$JS14)</f>
        <v>334753.8</v>
      </c>
      <c r="V14" s="50" t="n">
        <f aca="false">SUMIF($CB$4:$JS$4,V$4,$CB14:$JS14)</f>
        <v>338422.41</v>
      </c>
      <c r="W14" s="50" t="n">
        <f aca="false">SUMIF($CB$4:$JS$4,W$4,$CB14:$JS14)</f>
        <v>338968.52</v>
      </c>
      <c r="X14" s="50" t="n">
        <f aca="false">SUMIF($CB$4:$JS$4,X$4,$CB14:$JS14)</f>
        <v>388922.2</v>
      </c>
      <c r="Y14" s="50" t="n">
        <f aca="false">SUMIF($CB$4:$JS$4,Y$4,$CB14:$JS14)</f>
        <v>362747</v>
      </c>
      <c r="Z14" s="50" t="n">
        <f aca="false">SUMIF($CB$4:$JS$4,Z$4,$CB14:$JS14)</f>
        <v>185473.02</v>
      </c>
      <c r="AA14" s="50" t="n">
        <f aca="false">SUMIF($CB$4:$JS$4,AA$4,$CB14:$JS14)</f>
        <v>80478.41</v>
      </c>
      <c r="AB14" s="50" t="n">
        <f aca="false">SUMIF($CB$4:$JS$4,AB$4,$CB14:$JS14)</f>
        <v>76889.41</v>
      </c>
      <c r="AC14" s="50" t="n">
        <f aca="false">SUMIF($CB$4:$JS$4,AC$4,$CB14:$JS14)</f>
        <v>0</v>
      </c>
      <c r="AD14" s="50" t="n">
        <f aca="false">SUMIF($CB$4:$JS$4,AD$4,$CB14:$JS14)</f>
        <v>0</v>
      </c>
      <c r="AE14" s="50" t="n">
        <f aca="false">SUMIF($CB$4:$JS$4,AE$4,$CB14:$JS14)</f>
        <v>1253.15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0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1511.82</v>
      </c>
      <c r="AM14" s="50" t="n">
        <f aca="false">SUMIF($CB$4:$JS$4,AM$4,$CB14:$JS14)</f>
        <v>230.44</v>
      </c>
      <c r="AN14" s="50" t="n">
        <f aca="false">SUMIF($CB$4:$JS$4,AN$4,$CB14:$JS14)</f>
        <v>0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7602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5990160.04</v>
      </c>
      <c r="BZ14" s="45" t="n">
        <f aca="false">SUMPRODUCT(($CB$4:$JS$4&lt;&gt;"")*($CB$4:$JS$4&lt;=$D$4),$CB14:$JS14,$CB$1:$JS$1)</f>
        <v>77.9302475744883</v>
      </c>
      <c r="CB14" s="133" t="n">
        <f aca="false">IF(OR(CB$4="",$B14=""),0,SUMIF('DADOS BRUTOS'!$A$3:$A$500,$B14,'DADOS BRUTOS'!B$3:B$500)+IF($C14="",0,SUMIF('DADOS BRUTOS'!$A$3:$A$500,$C14,'DADOS BRUTOS'!B$3:B$500)))</f>
        <v>0</v>
      </c>
      <c r="CC14" s="133" t="n">
        <f aca="false">IF(OR(CC$4="",$B14=""),0,SUMIF('DADOS BRUTOS'!$A$3:$A$500,$B14,'DADOS BRUTOS'!C$3:C$500)+IF($C14="",0,SUMIF('DADOS BRUTOS'!$A$3:$A$500,$C14,'DADOS BRUTOS'!C$3:C$500)))</f>
        <v>0</v>
      </c>
      <c r="CD14" s="133" t="n">
        <f aca="false">IF(OR(CD$4="",$B14=""),0,SUMIF('DADOS BRUTOS'!$A$3:$A$500,$B14,'DADOS BRUTOS'!D$3:D$500)+IF($C14="",0,SUMIF('DADOS BRUTOS'!$A$3:$A$500,$C14,'DADOS BRUTOS'!D$3:D$500)))</f>
        <v>0</v>
      </c>
      <c r="CE14" s="133" t="n">
        <f aca="false">IF(OR(CE$4="",$B14=""),0,SUMIF('DADOS BRUTOS'!$A$3:$A$500,$B14,'DADOS BRUTOS'!E$3:E$500)+IF($C14="",0,SUMIF('DADOS BRUTOS'!$A$3:$A$500,$C14,'DADOS BRUTOS'!E$3:E$500)))</f>
        <v>0</v>
      </c>
      <c r="CF14" s="133" t="n">
        <f aca="false">IF(OR(CF$4="",$B14=""),0,SUMIF('DADOS BRUTOS'!$A$3:$A$500,$B14,'DADOS BRUTOS'!F$3:F$500)+IF($C14="",0,SUMIF('DADOS BRUTOS'!$A$3:$A$500,$C14,'DADOS BRUTOS'!F$3:F$500)))</f>
        <v>0</v>
      </c>
      <c r="CG14" s="133" t="n">
        <f aca="false">IF(OR(CG$4="",$B14=""),0,SUMIF('DADOS BRUTOS'!$A$3:$A$500,$B14,'DADOS BRUTOS'!G$3:G$500)+IF($C14="",0,SUMIF('DADOS BRUTOS'!$A$3:$A$500,$C14,'DADOS BRUTOS'!G$3:G$500)))</f>
        <v>0</v>
      </c>
      <c r="CH14" s="133" t="n">
        <f aca="false">IF(OR(CH$4="",$B14=""),0,SUMIF('DADOS BRUTOS'!$A$3:$A$500,$B14,'DADOS BRUTOS'!H$3:H$500)+IF($C14="",0,SUMIF('DADOS BRUTOS'!$A$3:$A$500,$C14,'DADOS BRUTOS'!H$3:H$500)))</f>
        <v>0</v>
      </c>
      <c r="CI14" s="133" t="n">
        <f aca="false">IF(OR(CI$4="",$B14=""),0,SUMIF('DADOS BRUTOS'!$A$3:$A$500,$B14,'DADOS BRUTOS'!I$3:I$500)+IF($C14="",0,SUMIF('DADOS BRUTOS'!$A$3:$A$500,$C14,'DADOS BRUTOS'!I$3:I$500)))</f>
        <v>0</v>
      </c>
      <c r="CJ14" s="133" t="n">
        <f aca="false">IF(OR(CJ$4="",$B14=""),0,SUMIF('DADOS BRUTOS'!$A$3:$A$500,$B14,'DADOS BRUTOS'!J$3:J$500)+IF($C14="",0,SUMIF('DADOS BRUTOS'!$A$3:$A$500,$C14,'DADOS BRUTOS'!J$3:J$500)))</f>
        <v>0</v>
      </c>
      <c r="CK14" s="133" t="n">
        <f aca="false">IF(OR(CK$4="",$B14=""),0,SUMIF('DADOS BRUTOS'!$A$3:$A$500,$B14,'DADOS BRUTOS'!K$3:K$500)+IF($C14="",0,SUMIF('DADOS BRUTOS'!$A$3:$A$500,$C14,'DADOS BRUTOS'!K$3:K$500)))</f>
        <v>0</v>
      </c>
      <c r="CL14" s="133" t="n">
        <f aca="false">IF(OR(CL$4="",$B14=""),0,SUMIF('DADOS BRUTOS'!$A$3:$A$500,$B14,'DADOS BRUTOS'!L$3:L$500)+IF($C14="",0,SUMIF('DADOS BRUTOS'!$A$3:$A$500,$C14,'DADOS BRUTOS'!L$3:L$500)))</f>
        <v>0</v>
      </c>
      <c r="CM14" s="133" t="n">
        <f aca="false">IF(OR(CM$4="",$B14=""),0,SUMIF('DADOS BRUTOS'!$A$3:$A$500,$B14,'DADOS BRUTOS'!M$3:M$500)+IF($C14="",0,SUMIF('DADOS BRUTOS'!$A$3:$A$500,$C14,'DADOS BRUTOS'!M$3:M$500)))</f>
        <v>0</v>
      </c>
      <c r="CN14" s="133" t="n">
        <f aca="false">IF(OR(CN$4="",$B14=""),0,SUMIF('DADOS BRUTOS'!$A$3:$A$500,$B14,'DADOS BRUTOS'!N$3:N$500)+IF($C14="",0,SUMIF('DADOS BRUTOS'!$A$3:$A$500,$C14,'DADOS BRUTOS'!N$3:N$500)))</f>
        <v>0</v>
      </c>
      <c r="CO14" s="133" t="n">
        <f aca="false">IF(OR(CO$4="",$B14=""),0,SUMIF('DADOS BRUTOS'!$A$3:$A$500,$B14,'DADOS BRUTOS'!O$3:O$500)+IF($C14="",0,SUMIF('DADOS BRUTOS'!$A$3:$A$500,$C14,'DADOS BRUTOS'!O$3:O$500)))</f>
        <v>0</v>
      </c>
      <c r="CP14" s="133" t="n">
        <f aca="false">IF(OR(CP$4="",$B14=""),0,SUMIF('DADOS BRUTOS'!$A$3:$A$500,$B14,'DADOS BRUTOS'!P$3:P$500)+IF($C14="",0,SUMIF('DADOS BRUTOS'!$A$3:$A$500,$C14,'DADOS BRUTOS'!P$3:P$500)))</f>
        <v>0</v>
      </c>
      <c r="CQ14" s="133" t="n">
        <f aca="false">IF(OR(CQ$4="",$B14=""),0,SUMIF('DADOS BRUTOS'!$A$3:$A$500,$B14,'DADOS BRUTOS'!Q$3:Q$500)+IF($C14="",0,SUMIF('DADOS BRUTOS'!$A$3:$A$500,$C14,'DADOS BRUTOS'!Q$3:Q$500)))</f>
        <v>0</v>
      </c>
      <c r="CR14" s="133" t="n">
        <f aca="false">IF(OR(CR$4="",$B14=""),0,SUMIF('DADOS BRUTOS'!$A$3:$A$500,$B14,'DADOS BRUTOS'!R$3:R$500)+IF($C14="",0,SUMIF('DADOS BRUTOS'!$A$3:$A$500,$C14,'DADOS BRUTOS'!R$3:R$500)))</f>
        <v>0</v>
      </c>
      <c r="CS14" s="133" t="n">
        <f aca="false">IF(OR(CS$4="",$B14=""),0,SUMIF('DADOS BRUTOS'!$A$3:$A$500,$B14,'DADOS BRUTOS'!S$3:S$500)+IF($C14="",0,SUMIF('DADOS BRUTOS'!$A$3:$A$500,$C14,'DADOS BRUTOS'!S$3:S$500)))</f>
        <v>0</v>
      </c>
      <c r="CT14" s="133" t="n">
        <f aca="false">IF(OR(CT$4="",$B14=""),0,SUMIF('DADOS BRUTOS'!$A$3:$A$500,$B14,'DADOS BRUTOS'!T$3:T$500)+IF($C14="",0,SUMIF('DADOS BRUTOS'!$A$3:$A$500,$C14,'DADOS BRUTOS'!T$3:T$500)))</f>
        <v>0</v>
      </c>
      <c r="CU14" s="133" t="n">
        <f aca="false">IF(OR(CU$4="",$B14=""),0,SUMIF('DADOS BRUTOS'!$A$3:$A$500,$B14,'DADOS BRUTOS'!U$3:U$500)+IF($C14="",0,SUMIF('DADOS BRUTOS'!$A$3:$A$500,$C14,'DADOS BRUTOS'!U$3:U$500)))</f>
        <v>0</v>
      </c>
      <c r="CV14" s="133" t="n">
        <f aca="false">IF(OR(CV$4="",$B14=""),0,SUMIF('DADOS BRUTOS'!$A$3:$A$500,$B14,'DADOS BRUTOS'!V$3:V$500)+IF($C14="",0,SUMIF('DADOS BRUTOS'!$A$3:$A$500,$C14,'DADOS BRUTOS'!V$3:V$500)))</f>
        <v>0</v>
      </c>
      <c r="CW14" s="133" t="n">
        <f aca="false">IF(OR(CW$4="",$B14=""),0,SUMIF('DADOS BRUTOS'!$A$3:$A$500,$B14,'DADOS BRUTOS'!W$3:W$500)+IF($C14="",0,SUMIF('DADOS BRUTOS'!$A$3:$A$500,$C14,'DADOS BRUTOS'!W$3:W$500)))</f>
        <v>0</v>
      </c>
      <c r="CX14" s="133" t="n">
        <f aca="false">IF(OR(CX$4="",$B14=""),0,SUMIF('DADOS BRUTOS'!$A$3:$A$500,$B14,'DADOS BRUTOS'!X$3:X$500)+IF($C14="",0,SUMIF('DADOS BRUTOS'!$A$3:$A$500,$C14,'DADOS BRUTOS'!X$3:X$500)))</f>
        <v>0</v>
      </c>
      <c r="CY14" s="133" t="n">
        <f aca="false">IF(OR(CY$4="",$B14=""),0,SUMIF('DADOS BRUTOS'!$A$3:$A$500,$B14,'DADOS BRUTOS'!Y$3:Y$500)+IF($C14="",0,SUMIF('DADOS BRUTOS'!$A$3:$A$500,$C14,'DADOS BRUTOS'!Y$3:Y$500)))</f>
        <v>0</v>
      </c>
      <c r="CZ14" s="133" t="n">
        <f aca="false">IF(OR(CZ$4="",$B14=""),0,SUMIF('DADOS BRUTOS'!$A$3:$A$500,$B14,'DADOS BRUTOS'!Z$3:Z$500)+IF($C14="",0,SUMIF('DADOS BRUTOS'!$A$3:$A$500,$C14,'DADOS BRUTOS'!Z$3:Z$500)))</f>
        <v>0</v>
      </c>
      <c r="DA14" s="133" t="n">
        <f aca="false">IF(OR(DA$4="",$B14=""),0,SUMIF('DADOS BRUTOS'!$A$3:$A$500,$B14,'DADOS BRUTOS'!AA$3:AA$500)+IF($C14="",0,SUMIF('DADOS BRUTOS'!$A$3:$A$500,$C14,'DADOS BRUTOS'!AA$3:AA$500)))</f>
        <v>0</v>
      </c>
      <c r="DB14" s="133" t="n">
        <f aca="false">IF(OR(DB$4="",$B14=""),0,SUMIF('DADOS BRUTOS'!$A$3:$A$500,$B14,'DADOS BRUTOS'!AB$3:AB$500)+IF($C14="",0,SUMIF('DADOS BRUTOS'!$A$3:$A$500,$C14,'DADOS BRUTOS'!AB$3:AB$500)))</f>
        <v>1066.36</v>
      </c>
      <c r="DC14" s="133" t="n">
        <f aca="false">IF(OR(DC$4="",$B14=""),0,SUMIF('DADOS BRUTOS'!$A$3:$A$500,$B14,'DADOS BRUTOS'!AC$3:AC$500)+IF($C14="",0,SUMIF('DADOS BRUTOS'!$A$3:$A$500,$C14,'DADOS BRUTOS'!AC$3:AC$500)))</f>
        <v>2852.85</v>
      </c>
      <c r="DD14" s="133" t="n">
        <f aca="false">IF(OR(DD$4="",$B14=""),0,SUMIF('DADOS BRUTOS'!$A$3:$A$500,$B14,'DADOS BRUTOS'!AD$3:AD$500)+IF($C14="",0,SUMIF('DADOS BRUTOS'!$A$3:$A$500,$C14,'DADOS BRUTOS'!AD$3:AD$500)))</f>
        <v>27830.04</v>
      </c>
      <c r="DE14" s="133" t="n">
        <f aca="false">IF(OR(DE$4="",$B14=""),0,SUMIF('DADOS BRUTOS'!$A$3:$A$500,$B14,'DADOS BRUTOS'!AE$3:AE$500)+IF($C14="",0,SUMIF('DADOS BRUTOS'!$A$3:$A$500,$C14,'DADOS BRUTOS'!AE$3:AE$500)))</f>
        <v>19384.45</v>
      </c>
      <c r="DF14" s="133" t="n">
        <f aca="false">IF(OR(DF$4="",$B14=""),0,SUMIF('DADOS BRUTOS'!$A$3:$A$500,$B14,'DADOS BRUTOS'!AF$3:AF$500)+IF($C14="",0,SUMIF('DADOS BRUTOS'!$A$3:$A$500,$C14,'DADOS BRUTOS'!AF$3:AF$500)))</f>
        <v>10763.56</v>
      </c>
      <c r="DG14" s="133" t="n">
        <f aca="false">IF(OR(DG$4="",$B14=""),0,SUMIF('DADOS BRUTOS'!$A$3:$A$500,$B14,'DADOS BRUTOS'!AG$3:AG$500)+IF($C14="",0,SUMIF('DADOS BRUTOS'!$A$3:$A$500,$C14,'DADOS BRUTOS'!AG$3:AG$500)))</f>
        <v>15528.08</v>
      </c>
      <c r="DH14" s="133" t="n">
        <f aca="false">IF(OR(DH$4="",$B14=""),0,SUMIF('DADOS BRUTOS'!$A$3:$A$500,$B14,'DADOS BRUTOS'!AH$3:AH$500)+IF($C14="",0,SUMIF('DADOS BRUTOS'!$A$3:$A$500,$C14,'DADOS BRUTOS'!AH$3:AH$500)))</f>
        <v>11725.61</v>
      </c>
      <c r="DI14" s="133" t="n">
        <f aca="false">IF(OR(DI$4="",$B14=""),0,SUMIF('DADOS BRUTOS'!$A$3:$A$500,$B14,'DADOS BRUTOS'!AI$3:AI$500)+IF($C14="",0,SUMIF('DADOS BRUTOS'!$A$3:$A$500,$C14,'DADOS BRUTOS'!AI$3:AI$500)))</f>
        <v>10175.14</v>
      </c>
      <c r="DJ14" s="133" t="n">
        <f aca="false">IF(OR(DJ$4="",$B14=""),0,SUMIF('DADOS BRUTOS'!$A$3:$A$500,$B14,'DADOS BRUTOS'!AJ$3:AJ$500)+IF($C14="",0,SUMIF('DADOS BRUTOS'!$A$3:$A$500,$C14,'DADOS BRUTOS'!AJ$3:AJ$500)))</f>
        <v>44807.63</v>
      </c>
      <c r="DK14" s="133" t="n">
        <f aca="false">IF(OR(DK$4="",$B14=""),0,SUMIF('DADOS BRUTOS'!$A$3:$A$500,$B14,'DADOS BRUTOS'!AK$3:AK$500)+IF($C14="",0,SUMIF('DADOS BRUTOS'!$A$3:$A$500,$C14,'DADOS BRUTOS'!AK$3:AK$500)))</f>
        <v>70530.72</v>
      </c>
      <c r="DL14" s="133" t="n">
        <f aca="false">IF(OR(DL$4="",$B14=""),0,SUMIF('DADOS BRUTOS'!$A$3:$A$500,$B14,'DADOS BRUTOS'!AL$3:AL$500)+IF($C14="",0,SUMIF('DADOS BRUTOS'!$A$3:$A$500,$C14,'DADOS BRUTOS'!AL$3:AL$500)))</f>
        <v>133478</v>
      </c>
      <c r="DM14" s="133" t="n">
        <f aca="false">IF(OR(DM$4="",$B14=""),0,SUMIF('DADOS BRUTOS'!$A$3:$A$500,$B14,'DADOS BRUTOS'!AM$3:AM$500)+IF($C14="",0,SUMIF('DADOS BRUTOS'!$A$3:$A$500,$C14,'DADOS BRUTOS'!AM$3:AM$500)))</f>
        <v>189027.71</v>
      </c>
      <c r="DN14" s="133" t="n">
        <f aca="false">IF(OR(DN$4="",$B14=""),0,SUMIF('DADOS BRUTOS'!$A$3:$A$500,$B14,'DADOS BRUTOS'!AN$3:AN$500)+IF($C14="",0,SUMIF('DADOS BRUTOS'!$A$3:$A$500,$C14,'DADOS BRUTOS'!AN$3:AN$500)))</f>
        <v>222221.58</v>
      </c>
      <c r="DO14" s="133" t="n">
        <f aca="false">IF(OR(DO$4="",$B14=""),0,SUMIF('DADOS BRUTOS'!$A$3:$A$500,$B14,'DADOS BRUTOS'!AO$3:AO$500)+IF($C14="",0,SUMIF('DADOS BRUTOS'!$A$3:$A$500,$C14,'DADOS BRUTOS'!AO$3:AO$500)))</f>
        <v>271532.86</v>
      </c>
      <c r="DP14" s="133" t="n">
        <f aca="false">IF(OR(DP$4="",$B14=""),0,SUMIF('DADOS BRUTOS'!$A$3:$A$500,$B14,'DADOS BRUTOS'!AP$3:AP$500)+IF($C14="",0,SUMIF('DADOS BRUTOS'!$A$3:$A$500,$C14,'DADOS BRUTOS'!AP$3:AP$500)))</f>
        <v>277064.12</v>
      </c>
      <c r="DQ14" s="133" t="n">
        <f aca="false">IF(OR(DQ$4="",$B14=""),0,SUMIF('DADOS BRUTOS'!$A$3:$A$500,$B14,'DADOS BRUTOS'!AQ$3:AQ$500)+IF($C14="",0,SUMIF('DADOS BRUTOS'!$A$3:$A$500,$C14,'DADOS BRUTOS'!AQ$3:AQ$500)))</f>
        <v>276496.21</v>
      </c>
      <c r="DR14" s="133" t="n">
        <f aca="false">IF(OR(DR$4="",$B14=""),0,SUMIF('DADOS BRUTOS'!$A$3:$A$500,$B14,'DADOS BRUTOS'!AR$3:AR$500)+IF($C14="",0,SUMIF('DADOS BRUTOS'!$A$3:$A$500,$C14,'DADOS BRUTOS'!AR$3:AR$500)))</f>
        <v>339373.99</v>
      </c>
      <c r="DS14" s="133" t="n">
        <f aca="false">IF(OR(DS$4="",$B14=""),0,SUMIF('DADOS BRUTOS'!$A$3:$A$500,$B14,'DADOS BRUTOS'!AS$3:AS$500)+IF($C14="",0,SUMIF('DADOS BRUTOS'!$A$3:$A$500,$C14,'DADOS BRUTOS'!AS$3:AS$500)))</f>
        <v>363581.49</v>
      </c>
      <c r="DT14" s="133" t="n">
        <f aca="false">IF(OR(DT$4="",$B14=""),0,SUMIF('DADOS BRUTOS'!$A$3:$A$500,$B14,'DADOS BRUTOS'!AT$3:AT$500)+IF($C14="",0,SUMIF('DADOS BRUTOS'!$A$3:$A$500,$C14,'DADOS BRUTOS'!AT$3:AT$500)))</f>
        <v>382985.27</v>
      </c>
      <c r="DU14" s="133" t="n">
        <f aca="false">IF(OR(DU$4="",$B14=""),0,SUMIF('DADOS BRUTOS'!$A$3:$A$500,$B14,'DADOS BRUTOS'!AU$3:AU$500)+IF($C14="",0,SUMIF('DADOS BRUTOS'!$A$3:$A$500,$C14,'DADOS BRUTOS'!AU$3:AU$500)))</f>
        <v>324044.68</v>
      </c>
      <c r="DV14" s="133" t="n">
        <f aca="false">IF(OR(DV$4="",$B14=""),0,SUMIF('DADOS BRUTOS'!$A$3:$A$500,$B14,'DADOS BRUTOS'!AV$3:AV$500)+IF($C14="",0,SUMIF('DADOS BRUTOS'!$A$3:$A$500,$C14,'DADOS BRUTOS'!AV$3:AV$500)))</f>
        <v>303003.19</v>
      </c>
      <c r="DW14" s="133" t="n">
        <f aca="false">IF(OR(DW$4="",$B14=""),0,SUMIF('DADOS BRUTOS'!$A$3:$A$500,$B14,'DADOS BRUTOS'!AW$3:AW$500)+IF($C14="",0,SUMIF('DADOS BRUTOS'!$A$3:$A$500,$C14,'DADOS BRUTOS'!AW$3:AW$500)))</f>
        <v>294497.6</v>
      </c>
      <c r="DX14" s="133" t="n">
        <f aca="false">IF(OR(DX$4="",$B14=""),0,SUMIF('DADOS BRUTOS'!$A$3:$A$500,$B14,'DADOS BRUTOS'!AX$3:AX$500)+IF($C14="",0,SUMIF('DADOS BRUTOS'!$A$3:$A$500,$C14,'DADOS BRUTOS'!AX$3:AX$500)))</f>
        <v>280936.72</v>
      </c>
      <c r="DY14" s="133" t="n">
        <f aca="false">IF(OR(DY$4="",$B14=""),0,SUMIF('DADOS BRUTOS'!$A$3:$A$500,$B14,'DADOS BRUTOS'!AY$3:AY$500)+IF($C14="",0,SUMIF('DADOS BRUTOS'!$A$3:$A$500,$C14,'DADOS BRUTOS'!AY$3:AY$500)))</f>
        <v>334753.8</v>
      </c>
      <c r="DZ14" s="133" t="n">
        <f aca="false">IF(OR(DZ$4="",$B14=""),0,SUMIF('DADOS BRUTOS'!$A$3:$A$500,$B14,'DADOS BRUTOS'!AZ$3:AZ$500)+IF($C14="",0,SUMIF('DADOS BRUTOS'!$A$3:$A$500,$C14,'DADOS BRUTOS'!AZ$3:AZ$500)))</f>
        <v>338422.41</v>
      </c>
      <c r="EA14" s="133" t="n">
        <f aca="false">IF(OR(EA$4="",$B14=""),0,SUMIF('DADOS BRUTOS'!$A$3:$A$500,$B14,'DADOS BRUTOS'!BA$3:BA$500)+IF($C14="",0,SUMIF('DADOS BRUTOS'!$A$3:$A$500,$C14,'DADOS BRUTOS'!BA$3:BA$500)))</f>
        <v>338968.52</v>
      </c>
      <c r="EB14" s="133" t="n">
        <f aca="false">IF(OR(EB$4="",$B14=""),0,SUMIF('DADOS BRUTOS'!$A$3:$A$500,$B14,'DADOS BRUTOS'!BB$3:BB$500)+IF($C14="",0,SUMIF('DADOS BRUTOS'!$A$3:$A$500,$C14,'DADOS BRUTOS'!BB$3:BB$500)))</f>
        <v>388922.2</v>
      </c>
      <c r="EC14" s="133" t="n">
        <f aca="false">IF(OR(EC$4="",$B14=""),0,SUMIF('DADOS BRUTOS'!$A$3:$A$500,$B14,'DADOS BRUTOS'!BC$3:BC$500)+IF($C14="",0,SUMIF('DADOS BRUTOS'!$A$3:$A$500,$C14,'DADOS BRUTOS'!BC$3:BC$500)))</f>
        <v>362747</v>
      </c>
      <c r="ED14" s="133" t="n">
        <f aca="false">IF(OR(ED$4="",$B14=""),0,SUMIF('DADOS BRUTOS'!$A$3:$A$500,$B14,'DADOS BRUTOS'!BD$3:BD$500)+IF($C14="",0,SUMIF('DADOS BRUTOS'!$A$3:$A$500,$C14,'DADOS BRUTOS'!BD$3:BD$500)))</f>
        <v>185473.02</v>
      </c>
      <c r="EE14" s="133" t="n">
        <f aca="false">IF(OR(EE$4="",$B14=""),0,SUMIF('DADOS BRUTOS'!$A$3:$A$500,$B14,'DADOS BRUTOS'!BE$3:BE$500)+IF($C14="",0,SUMIF('DADOS BRUTOS'!$A$3:$A$500,$C14,'DADOS BRUTOS'!BE$3:BE$500)))</f>
        <v>80478.41</v>
      </c>
      <c r="EF14" s="133" t="n">
        <f aca="false">IF(OR(EF$4="",$B14=""),0,SUMIF('DADOS BRUTOS'!$A$3:$A$500,$B14,'DADOS BRUTOS'!BF$3:BF$500)+IF($C14="",0,SUMIF('DADOS BRUTOS'!$A$3:$A$500,$C14,'DADOS BRUTOS'!BF$3:BF$500)))</f>
        <v>76889.41</v>
      </c>
      <c r="EG14" s="133" t="n">
        <f aca="false">IF(OR(EG$4="",$B14=""),0,SUMIF('DADOS BRUTOS'!$A$3:$A$500,$B14,'DADOS BRUTOS'!BG$3:BG$500)+IF($C14="",0,SUMIF('DADOS BRUTOS'!$A$3:$A$500,$C14,'DADOS BRUTOS'!BG$3:BG$500)))</f>
        <v>0</v>
      </c>
      <c r="EH14" s="133" t="n">
        <f aca="false">IF(OR(EH$4="",$B14=""),0,SUMIF('DADOS BRUTOS'!$A$3:$A$500,$B14,'DADOS BRUTOS'!BH$3:BH$500)+IF($C14="",0,SUMIF('DADOS BRUTOS'!$A$3:$A$500,$C14,'DADOS BRUTOS'!BH$3:BH$500)))</f>
        <v>0</v>
      </c>
      <c r="EI14" s="133" t="n">
        <f aca="false">IF(OR(EI$4="",$B14=""),0,SUMIF('DADOS BRUTOS'!$A$3:$A$500,$B14,'DADOS BRUTOS'!BI$3:BI$500)+IF($C14="",0,SUMIF('DADOS BRUTOS'!$A$3:$A$500,$C14,'DADOS BRUTOS'!BI$3:BI$500)))</f>
        <v>1253.15</v>
      </c>
      <c r="EJ14" s="133" t="n">
        <f aca="false">IF(OR(EJ$4="",$B14=""),0,SUMIF('DADOS BRUTOS'!$A$3:$A$500,$B14,'DADOS BRUTOS'!BJ$3:BJ$500)+IF($C14="",0,SUMIF('DADOS BRUTOS'!$A$3:$A$500,$C14,'DADOS BRUTOS'!BJ$3:BJ$500)))</f>
        <v>0</v>
      </c>
      <c r="EK14" s="133" t="n">
        <f aca="false">IF(OR(EK$4="",$B14=""),0,SUMIF('DADOS BRUTOS'!$A$3:$A$500,$B14,'DADOS BRUTOS'!BK$3:BK$500)+IF($C14="",0,SUMIF('DADOS BRUTOS'!$A$3:$A$500,$C14,'DADOS BRUTOS'!BK$3:BK$500)))</f>
        <v>0</v>
      </c>
      <c r="EL14" s="133" t="n">
        <f aca="false">IF(OR(EL$4="",$B14=""),0,SUMIF('DADOS BRUTOS'!$A$3:$A$500,$B14,'DADOS BRUTOS'!BL$3:BL$500)+IF($C14="",0,SUMIF('DADOS BRUTOS'!$A$3:$A$500,$C14,'DADOS BRUTOS'!BL$3:BL$500)))</f>
        <v>0</v>
      </c>
      <c r="EM14" s="133" t="n">
        <f aca="false">IF(OR(EM$4="",$B14=""),0,SUMIF('DADOS BRUTOS'!$A$3:$A$500,$B14,'DADOS BRUTOS'!BM$3:BM$500)+IF($C14="",0,SUMIF('DADOS BRUTOS'!$A$3:$A$500,$C14,'DADOS BRUTOS'!BM$3:BM$500)))</f>
        <v>0</v>
      </c>
      <c r="EN14" s="133" t="n">
        <f aca="false">IF(OR(EN$4="",$B14=""),0,SUMIF('DADOS BRUTOS'!$A$3:$A$500,$B14,'DADOS BRUTOS'!BN$3:BN$500)+IF($C14="",0,SUMIF('DADOS BRUTOS'!$A$3:$A$500,$C14,'DADOS BRUTOS'!BN$3:BN$500)))</f>
        <v>0</v>
      </c>
      <c r="EO14" s="133" t="n">
        <f aca="false">IF(OR(EO$4="",$B14=""),0,SUMIF('DADOS BRUTOS'!$A$3:$A$500,$B14,'DADOS BRUTOS'!BO$3:BO$500)+IF($C14="",0,SUMIF('DADOS BRUTOS'!$A$3:$A$500,$C14,'DADOS BRUTOS'!BO$3:BO$500)))</f>
        <v>0</v>
      </c>
      <c r="EP14" s="133" t="n">
        <f aca="false">IF(OR(EP$4="",$B14=""),0,SUMIF('DADOS BRUTOS'!$A$3:$A$500,$B14,'DADOS BRUTOS'!BP$3:BP$500)+IF($C14="",0,SUMIF('DADOS BRUTOS'!$A$3:$A$500,$C14,'DADOS BRUTOS'!BP$3:BP$500)))</f>
        <v>1511.82</v>
      </c>
      <c r="EQ14" s="133" t="n">
        <f aca="false">IF(OR(EQ$4="",$B14=""),0,SUMIF('DADOS BRUTOS'!$A$3:$A$500,$B14,'DADOS BRUTOS'!BQ$3:BQ$500)+IF($C14="",0,SUMIF('DADOS BRUTOS'!$A$3:$A$500,$C14,'DADOS BRUTOS'!BQ$3:BQ$500)))</f>
        <v>230.44</v>
      </c>
      <c r="ER14" s="133" t="n">
        <f aca="false">IF(OR(ER$4="",$B14=""),0,SUMIF('DADOS BRUTOS'!$A$3:$A$500,$B14,'DADOS BRUTOS'!BR$3:BR$500)+IF($C14="",0,SUMIF('DADOS BRUTOS'!$A$3:$A$500,$C14,'DADOS BRUTOS'!BR$3:BR$500)))</f>
        <v>0</v>
      </c>
      <c r="ES14" s="133" t="n">
        <f aca="false">IF(OR(ES$4="",$B14=""),0,SUMIF('DADOS BRUTOS'!$A$3:$A$500,$B14,'DADOS BRUTOS'!BS$3:BS$500)+IF($C14="",0,SUMIF('DADOS BRUTOS'!$A$3:$A$500,$C14,'DADOS BRUTOS'!BS$3:BS$500)))</f>
        <v>0</v>
      </c>
      <c r="ET14" s="133" t="n">
        <f aca="false">IF(OR(ET$4="",$B14=""),0,SUMIF('DADOS BRUTOS'!$A$3:$A$500,$B14,'DADOS BRUTOS'!BT$3:BT$500)+IF($C14="",0,SUMIF('DADOS BRUTOS'!$A$3:$A$500,$C14,'DADOS BRUTOS'!BT$3:BT$500)))</f>
        <v>0</v>
      </c>
      <c r="EU14" s="133" t="n">
        <f aca="false">IF(OR(EU$4="",$B14=""),0,SUMIF('DADOS BRUTOS'!$A$3:$A$500,$B14,'DADOS BRUTOS'!BU$3:BU$500)+IF($C14="",0,SUMIF('DADOS BRUTOS'!$A$3:$A$500,$C14,'DADOS BRUTOS'!BU$3:BU$500)))</f>
        <v>0</v>
      </c>
      <c r="EV14" s="133" t="n">
        <f aca="false">IF(OR(EV$4="",$B14=""),0,SUMIF('DADOS BRUTOS'!$A$3:$A$500,$B14,'DADOS BRUTOS'!BV$3:BV$500)+IF($C14="",0,SUMIF('DADOS BRUTOS'!$A$3:$A$500,$C14,'DADOS BRUTOS'!BV$3:BV$500)))</f>
        <v>0</v>
      </c>
      <c r="EW14" s="133" t="n">
        <f aca="false">IF(OR(EW$4="",$B14=""),0,SUMIF('DADOS BRUTOS'!$A$3:$A$500,$B14,'DADOS BRUTOS'!BW$3:BW$500)+IF($C14="",0,SUMIF('DADOS BRUTOS'!$A$3:$A$500,$C14,'DADOS BRUTOS'!BW$3:BW$500)))</f>
        <v>0</v>
      </c>
      <c r="EX14" s="133" t="n">
        <f aca="false">IF(OR(EX$4="",$B14=""),0,SUMIF('DADOS BRUTOS'!$A$3:$A$500,$B14,'DADOS BRUTOS'!BX$3:BX$500)+IF($C14="",0,SUMIF('DADOS BRUTOS'!$A$3:$A$500,$C14,'DADOS BRUTOS'!BX$3:BX$500)))</f>
        <v>0</v>
      </c>
      <c r="EY14" s="133" t="n">
        <f aca="false">IF(OR(EY$4="",$B14=""),0,SUMIF('DADOS BRUTOS'!$A$3:$A$500,$B14,'DADOS BRUTOS'!BY$3:BY$500)+IF($C14="",0,SUMIF('DADOS BRUTOS'!$A$3:$A$500,$C14,'DADOS BRUTOS'!BY$3:BY$500)))</f>
        <v>0</v>
      </c>
      <c r="EZ14" s="133" t="n">
        <f aca="false">IF(OR(EZ$4="",$B14=""),0,SUMIF('DADOS BRUTOS'!$A$3:$A$500,$B14,'DADOS BRUTOS'!BZ$3:BZ$500)+IF($C14="",0,SUMIF('DADOS BRUTOS'!$A$3:$A$500,$C14,'DADOS BRUTOS'!BZ$3:BZ$500)))</f>
        <v>0</v>
      </c>
      <c r="FA14" s="133" t="n">
        <f aca="false">IF(OR(FA$4="",$B14=""),0,SUMIF('DADOS BRUTOS'!$A$3:$A$500,$B14,'DADOS BRUTOS'!CA$3:CA$500)+IF($C14="",0,SUMIF('DADOS BRUTOS'!$A$3:$A$500,$C14,'DADOS BRUTOS'!CA$3:CA$500)))</f>
        <v>0</v>
      </c>
      <c r="FB14" s="133" t="n">
        <f aca="false">IF(OR(FB$4="",$B14=""),0,SUMIF('DADOS BRUTOS'!$A$3:$A$500,$B14,'DADOS BRUTOS'!CB$3:CB$500)+IF($C14="",0,SUMIF('DADOS BRUTOS'!$A$3:$A$500,$C14,'DADOS BRUTOS'!CB$3:CB$500)))</f>
        <v>0</v>
      </c>
      <c r="FC14" s="133" t="n">
        <f aca="false">IF(OR(FC$4="",$B14=""),0,SUMIF('DADOS BRUTOS'!$A$3:$A$500,$B14,'DADOS BRUTOS'!CC$3:CC$500)+IF($C14="",0,SUMIF('DADOS BRUTOS'!$A$3:$A$500,$C14,'DADOS BRUTOS'!CC$3:CC$500)))</f>
        <v>0</v>
      </c>
      <c r="FD14" s="133" t="n">
        <f aca="false">IF(OR(FD$4="",$B14=""),0,SUMIF('DADOS BRUTOS'!$A$3:$A$500,$B14,'DADOS BRUTOS'!CD$3:CD$500)+IF($C14="",0,SUMIF('DADOS BRUTOS'!$A$3:$A$500,$C14,'DADOS BRUTOS'!CD$3:CD$500)))</f>
        <v>0</v>
      </c>
      <c r="FE14" s="133" t="n">
        <f aca="false">IF(OR(FE$4="",$B14=""),0,SUMIF('DADOS BRUTOS'!$A$3:$A$500,$B14,'DADOS BRUTOS'!CE$3:CE$500)+IF($C14="",0,SUMIF('DADOS BRUTOS'!$A$3:$A$500,$C14,'DADOS BRUTOS'!CE$3:CE$500)))</f>
        <v>0</v>
      </c>
      <c r="FF14" s="133" t="n">
        <f aca="false">IF(OR(FF$4="",$B14=""),0,SUMIF('DADOS BRUTOS'!$A$3:$A$500,$B14,'DADOS BRUTOS'!CF$3:CF$500)+IF($C14="",0,SUMIF('DADOS BRUTOS'!$A$3:$A$500,$C14,'DADOS BRUTOS'!CF$3:CF$500)))</f>
        <v>0</v>
      </c>
      <c r="FG14" s="133" t="n">
        <f aca="false">IF(OR(FG$4="",$B14=""),0,SUMIF('DADOS BRUTOS'!$A$3:$A$500,$B14,'DADOS BRUTOS'!CG$3:CG$500)+IF($C14="",0,SUMIF('DADOS BRUTOS'!$A$3:$A$500,$C14,'DADOS BRUTOS'!CG$3:CG$500)))</f>
        <v>0</v>
      </c>
      <c r="FH14" s="133" t="n">
        <f aca="false">IF(OR(FH$4="",$B14=""),0,SUMIF('DADOS BRUTOS'!$A$3:$A$500,$B14,'DADOS BRUTOS'!CH$3:CH$500)+IF($C14="",0,SUMIF('DADOS BRUTOS'!$A$3:$A$500,$C14,'DADOS BRUTOS'!CH$3:CH$500)))</f>
        <v>0</v>
      </c>
      <c r="FI14" s="133" t="n">
        <f aca="false">IF(OR(FI$4="",$B14=""),0,SUMIF('DADOS BRUTOS'!$A$3:$A$500,$B14,'DADOS BRUTOS'!CI$3:CI$500)+IF($C14="",0,SUMIF('DADOS BRUTOS'!$A$3:$A$500,$C14,'DADOS BRUTOS'!CI$3:CI$500)))</f>
        <v>0</v>
      </c>
      <c r="FJ14" s="133" t="n">
        <f aca="false">IF(OR(FJ$4="",$B14=""),0,SUMIF('DADOS BRUTOS'!$A$3:$A$500,$B14,'DADOS BRUTOS'!CJ$3:CJ$500)+IF($C14="",0,SUMIF('DADOS BRUTOS'!$A$3:$A$500,$C14,'DADOS BRUTOS'!CJ$3:CJ$500)))</f>
        <v>0</v>
      </c>
      <c r="FK14" s="133" t="n">
        <f aca="false">IF(OR(FK$4="",$B14=""),0,SUMIF('DADOS BRUTOS'!$A$3:$A$500,$B14,'DADOS BRUTOS'!CK$3:CK$500)+IF($C14="",0,SUMIF('DADOS BRUTOS'!$A$3:$A$500,$C14,'DADOS BRUTOS'!CK$3:CK$500)))</f>
        <v>0</v>
      </c>
      <c r="FL14" s="133" t="n">
        <f aca="false">IF(OR(FL$4="",$B14=""),0,SUMIF('DADOS BRUTOS'!$A$3:$A$500,$B14,'DADOS BRUTOS'!CL$3:CL$500)+IF($C14="",0,SUMIF('DADOS BRUTOS'!$A$3:$A$500,$C14,'DADOS BRUTOS'!CL$3:CL$500)))</f>
        <v>7602</v>
      </c>
      <c r="FM14" s="133" t="n">
        <f aca="false">IF(OR(FM$4="",$B14=""),0,SUMIF('DADOS BRUTOS'!$A$3:$A$500,$B14,'DADOS BRUTOS'!CM$3:CM$500)+IF($C14="",0,SUMIF('DADOS BRUTOS'!$A$3:$A$500,$C14,'DADOS BRUTOS'!CM$3:CM$500)))</f>
        <v>0</v>
      </c>
      <c r="FN14" s="133" t="n">
        <f aca="false">IF(OR(FN$4="",$B14=""),0,SUMIF('DADOS BRUTOS'!$A$3:$A$500,$B14,'DADOS BRUTOS'!CN$3:CN$500)+IF($C14="",0,SUMIF('DADOS BRUTOS'!$A$3:$A$500,$C14,'DADOS BRUTOS'!CN$3:CN$500)))</f>
        <v>0</v>
      </c>
      <c r="FO14" s="133" t="n">
        <f aca="false">IF(OR(FO$4="",$B14=""),0,SUMIF('DADOS BRUTOS'!$A$3:$A$500,$B14,'DADOS BRUTOS'!CO$3:CO$500)+IF($C14="",0,SUMIF('DADOS BRUTOS'!$A$3:$A$500,$C14,'DADOS BRUTOS'!CO$3:CO$500)))</f>
        <v>0</v>
      </c>
      <c r="FP14" s="133" t="n">
        <f aca="false">IF(OR(FP$4="",$B14=""),0,SUMIF('DADOS BRUTOS'!$A$3:$A$500,$B14,'DADOS BRUTOS'!CP$3:CP$500)+IF($C14="",0,SUMIF('DADOS BRUTOS'!$A$3:$A$500,$C14,'DADOS BRUTOS'!CP$3:CP$500)))</f>
        <v>0</v>
      </c>
      <c r="FQ14" s="133" t="n">
        <f aca="false">IF(OR(FQ$4="",$B14=""),0,SUMIF('DADOS BRUTOS'!$A$3:$A$500,$B14,'DADOS BRUTOS'!CQ$3:CQ$500)+IF($C14="",0,SUMIF('DADOS BRUTOS'!$A$3:$A$500,$C14,'DADOS BRUTOS'!CQ$3:CQ$500)))</f>
        <v>0</v>
      </c>
      <c r="FR14" s="133" t="n">
        <f aca="false">IF(OR(FR$4="",$B14=""),0,SUMIF('DADOS BRUTOS'!$A$3:$A$500,$B14,'DADOS BRUTOS'!CR$3:CR$500)+IF($C14="",0,SUMIF('DADOS BRUTOS'!$A$3:$A$500,$C14,'DADOS BRUTOS'!CR$3:CR$500)))</f>
        <v>0</v>
      </c>
      <c r="FS14" s="133" t="n">
        <f aca="false">IF(OR(FS$4="",$B14=""),0,SUMIF('DADOS BRUTOS'!$A$3:$A$500,$B14,'DADOS BRUTOS'!CS$3:CS$500)+IF($C14="",0,SUMIF('DADOS BRUTOS'!$A$3:$A$500,$C14,'DADOS BRUTOS'!CS$3:CS$500)))</f>
        <v>0</v>
      </c>
      <c r="FT14" s="133" t="n">
        <f aca="false">IF(OR(FT$4="",$B14=""),0,SUMIF('DADOS BRUTOS'!$A$3:$A$500,$B14,'DADOS BRUTOS'!CT$3:CT$500)+IF($C14="",0,SUMIF('DADOS BRUTOS'!$A$3:$A$500,$C14,'DADOS BRUTOS'!CT$3:CT$500)))</f>
        <v>0</v>
      </c>
      <c r="FU14" s="133" t="n">
        <f aca="false">IF(OR(FU$4="",$B14=""),0,SUMIF('DADOS BRUTOS'!$A$3:$A$500,$B14,'DADOS BRUTOS'!CU$3:CU$500)+IF($C14="",0,SUMIF('DADOS BRUTOS'!$A$3:$A$500,$C14,'DADOS BRUTOS'!CU$3:CU$500)))</f>
        <v>0</v>
      </c>
      <c r="FV14" s="133" t="n">
        <f aca="false">IF(OR(FV$4="",$B14=""),0,SUMIF('DADOS BRUTOS'!$A$3:$A$500,$B14,'DADOS BRUTOS'!CV$3:CV$500)+IF($C14="",0,SUMIF('DADOS BRUTOS'!$A$3:$A$500,$C14,'DADOS BRUTOS'!CV$3:CV$500)))</f>
        <v>0</v>
      </c>
      <c r="FW14" s="133" t="n">
        <f aca="false">IF(OR(FW$4="",$B14=""),0,SUMIF('DADOS BRUTOS'!$A$3:$A$500,$B14,'DADOS BRUTOS'!CW$3:CW$500)+IF($C14="",0,SUMIF('DADOS BRUTOS'!$A$3:$A$500,$C14,'DADOS BRUTOS'!CW$3:CW$500)))</f>
        <v>0</v>
      </c>
      <c r="FX14" s="133" t="n">
        <f aca="false">IF(OR(FX$4="",$B14=""),0,SUMIF('DADOS BRUTOS'!$A$3:$A$500,$B14,'DADOS BRUTOS'!CX$3:CX$500)+IF($C14="",0,SUMIF('DADOS BRUTOS'!$A$3:$A$500,$C14,'DADOS BRUTOS'!CX$3:CX$500)))</f>
        <v>0</v>
      </c>
      <c r="FY14" s="133" t="n">
        <f aca="false">IF(OR(FY$4="",$B14=""),0,SUMIF('DADOS BRUTOS'!$A$3:$A$500,$B14,'DADOS BRUTOS'!CY$3:CY$500)+IF($C14="",0,SUMIF('DADOS BRUTOS'!$A$3:$A$500,$C14,'DADOS BRUTOS'!CY$3:CY$500)))</f>
        <v>0</v>
      </c>
      <c r="FZ14" s="133" t="n">
        <f aca="false">IF(OR(FZ$4="",$B14=""),0,SUMIF('DADOS BRUTOS'!$A$3:$A$500,$B14,'DADOS BRUTOS'!CZ$3:CZ$500)+IF($C14="",0,SUMIF('DADOS BRUTOS'!$A$3:$A$500,$C14,'DADOS BRUTOS'!CZ$3:CZ$500)))</f>
        <v>0</v>
      </c>
      <c r="GA14" s="133" t="n">
        <f aca="false">IF(OR(GA$4="",$B14=""),0,SUMIF('DADOS BRUTOS'!$A$3:$A$500,$B14,'DADOS BRUTOS'!DA$3:DA$500)+IF($C14="",0,SUMIF('DADOS BRUTOS'!$A$3:$A$500,$C14,'DADOS BRUTOS'!DA$3:DA$500)))</f>
        <v>0</v>
      </c>
      <c r="GB14" s="133" t="n">
        <f aca="false">IF(OR(GB$4="",$B14=""),0,SUMIF('DADOS BRUTOS'!$A$3:$A$500,$B14,'DADOS BRUTOS'!DB$3:DB$500)+IF($C14="",0,SUMIF('DADOS BRUTOS'!$A$3:$A$500,$C14,'DADOS BRUTOS'!DB$3:DB$500)))</f>
        <v>0</v>
      </c>
      <c r="GC14" s="133" t="n">
        <f aca="false">IF(OR(GC$4="",$B14=""),0,SUMIF('DADOS BRUTOS'!$A$3:$A$500,$B14,'DADOS BRUTOS'!DC$3:DC$500)+IF($C14="",0,SUMIF('DADOS BRUTOS'!$A$3:$A$500,$C14,'DADOS BRUTOS'!DC$3:DC$500)))</f>
        <v>0</v>
      </c>
      <c r="GD14" s="133" t="n">
        <f aca="false">IF(OR(GD$4="",$B14=""),0,SUMIF('DADOS BRUTOS'!$A$3:$A$500,$B14,'DADOS BRUTOS'!DD$3:DD$500)+IF($C14="",0,SUMIF('DADOS BRUTOS'!$A$3:$A$500,$C14,'DADOS BRUTOS'!DD$3:DD$500)))</f>
        <v>0</v>
      </c>
      <c r="GE14" s="133" t="n">
        <f aca="false">IF(OR(GE$4="",$B14=""),0,SUMIF('DADOS BRUTOS'!$A$3:$A$500,$B14,'DADOS BRUTOS'!DE$3:DE$500)+IF($C14="",0,SUMIF('DADOS BRUTOS'!$A$3:$A$500,$C14,'DADOS BRUTOS'!DE$3:DE$500)))</f>
        <v>0</v>
      </c>
      <c r="GF14" s="133" t="n">
        <f aca="false">IF(OR(GF$4="",$B14=""),0,SUMIF('DADOS BRUTOS'!$A$3:$A$500,$B14,'DADOS BRUTOS'!DF$3:DF$500)+IF($C14="",0,SUMIF('DADOS BRUTOS'!$A$3:$A$500,$C14,'DADOS BRUTOS'!DF$3:DF$500)))</f>
        <v>0</v>
      </c>
      <c r="GG14" s="133" t="n">
        <f aca="false">IF(OR(GG$4="",$B14=""),0,SUMIF('DADOS BRUTOS'!$A$3:$A$500,$B14,'DADOS BRUTOS'!DG$3:DG$500)+IF($C14="",0,SUMIF('DADOS BRUTOS'!$A$3:$A$500,$C14,'DADOS BRUTOS'!DG$3:DG$500)))</f>
        <v>0</v>
      </c>
      <c r="GH14" s="133" t="n">
        <f aca="false">IF(OR(GH$4="",$B14=""),0,SUMIF('DADOS BRUTOS'!$A$3:$A$500,$B14,'DADOS BRUTOS'!DH$3:DH$500)+IF($C14="",0,SUMIF('DADOS BRUTOS'!$A$3:$A$500,$C14,'DADOS BRUTOS'!DH$3:DH$500)))</f>
        <v>0</v>
      </c>
      <c r="GI14" s="133" t="n">
        <f aca="false">IF(OR(GI$4="",$B14=""),0,SUMIF('DADOS BRUTOS'!$A$3:$A$500,$B14,'DADOS BRUTOS'!DI$3:DI$500)+IF($C14="",0,SUMIF('DADOS BRUTOS'!$A$3:$A$500,$C14,'DADOS BRUTOS'!DI$3:DI$500)))</f>
        <v>0</v>
      </c>
      <c r="GJ14" s="133" t="n">
        <f aca="false">IF(OR(GJ$4="",$B14=""),0,SUMIF('DADOS BRUTOS'!$A$3:$A$500,$B14,'DADOS BRUTOS'!DJ$3:DJ$500)+IF($C14="",0,SUMIF('DADOS BRUTOS'!$A$3:$A$500,$C14,'DADOS BRUTOS'!DJ$3:DJ$500)))</f>
        <v>0</v>
      </c>
      <c r="GK14" s="133" t="n">
        <f aca="false">IF(OR(GK$4="",$B14=""),0,SUMIF('DADOS BRUTOS'!$A$3:$A$500,$B14,'DADOS BRUTOS'!DK$3:DK$500)+IF($C14="",0,SUMIF('DADOS BRUTOS'!$A$3:$A$500,$C14,'DADOS BRUTOS'!DK$3:DK$500)))</f>
        <v>0</v>
      </c>
      <c r="GL14" s="133" t="n">
        <f aca="false">IF(OR(GL$4="",$B14=""),0,SUMIF('DADOS BRUTOS'!$A$3:$A$500,$B14,'DADOS BRUTOS'!DL$3:DL$500)+IF($C14="",0,SUMIF('DADOS BRUTOS'!$A$3:$A$500,$C14,'DADOS BRUTOS'!DL$3:DL$500)))</f>
        <v>0</v>
      </c>
      <c r="GM14" s="133" t="n">
        <f aca="false">IF(OR(GM$4="",$B14=""),0,SUMIF('DADOS BRUTOS'!$A$3:$A$500,$B14,'DADOS BRUTOS'!DM$3:DM$500)+IF($C14="",0,SUMIF('DADOS BRUTOS'!$A$3:$A$500,$C14,'DADOS BRUTOS'!DM$3:DM$500)))</f>
        <v>0</v>
      </c>
      <c r="GN14" s="133" t="n">
        <f aca="false">IF(OR(GN$4="",$B14=""),0,SUMIF('DADOS BRUTOS'!$A$3:$A$500,$B14,'DADOS BRUTOS'!DN$3:DN$500)+IF($C14="",0,SUMIF('DADOS BRUTOS'!$A$3:$A$500,$C14,'DADOS BRUTOS'!DN$3:DN$500)))</f>
        <v>0</v>
      </c>
      <c r="GO14" s="133" t="n">
        <f aca="false">IF(OR(GO$4="",$B14=""),0,SUMIF('DADOS BRUTOS'!$A$3:$A$500,$B14,'DADOS BRUTOS'!DO$3:DO$500)+IF($C14="",0,SUMIF('DADOS BRUTOS'!$A$3:$A$500,$C14,'DADOS BRUTOS'!DO$3:DO$500)))</f>
        <v>0</v>
      </c>
      <c r="GP14" s="133" t="n">
        <f aca="false">IF(OR(GP$4="",$B14=""),0,SUMIF('DADOS BRUTOS'!$A$3:$A$500,$B14,'DADOS BRUTOS'!DP$3:DP$500)+IF($C14="",0,SUMIF('DADOS BRUTOS'!$A$3:$A$500,$C14,'DADOS BRUTOS'!DP$3:DP$500)))</f>
        <v>0</v>
      </c>
      <c r="GQ14" s="133" t="n">
        <f aca="false">IF(OR(GQ$4="",$B14=""),0,SUMIF('DADOS BRUTOS'!$A$3:$A$500,$B14,'DADOS BRUTOS'!DQ$3:DQ$500)+IF($C14="",0,SUMIF('DADOS BRUTOS'!$A$3:$A$500,$C14,'DADOS BRUTOS'!DQ$3:DQ$500)))</f>
        <v>0</v>
      </c>
      <c r="GR14" s="133" t="n">
        <f aca="false">IF(OR(GR$4="",$B14=""),0,SUMIF('DADOS BRUTOS'!$A$3:$A$500,$B14,'DADOS BRUTOS'!DR$3:DR$500)+IF($C14="",0,SUMIF('DADOS BRUTOS'!$A$3:$A$500,$C14,'DADOS BRUTOS'!DR$3:DR$500)))</f>
        <v>0</v>
      </c>
      <c r="GS14" s="133" t="n">
        <f aca="false">IF(OR(GS$4="",$B14=""),0,SUMIF('DADOS BRUTOS'!$A$3:$A$500,$B14,'DADOS BRUTOS'!DS$3:DS$500)+IF($C14="",0,SUMIF('DADOS BRUTOS'!$A$3:$A$500,$C14,'DADOS BRUTOS'!DS$3:DS$500)))</f>
        <v>0</v>
      </c>
      <c r="GT14" s="133" t="n">
        <f aca="false">IF(OR(GT$4="",$B14=""),0,SUMIF('DADOS BRUTOS'!$A$3:$A$500,$B14,'DADOS BRUTOS'!DT$3:DT$500)+IF($C14="",0,SUMIF('DADOS BRUTOS'!$A$3:$A$500,$C14,'DADOS BRUTOS'!DT$3:DT$500)))</f>
        <v>0</v>
      </c>
      <c r="GU14" s="133" t="n">
        <f aca="false">IF(OR(GU$4="",$B14=""),0,SUMIF('DADOS BRUTOS'!$A$3:$A$500,$B14,'DADOS BRUTOS'!DU$3:DU$500)+IF($C14="",0,SUMIF('DADOS BRUTOS'!$A$3:$A$500,$C14,'DADOS BRUTOS'!DU$3:DU$500)))</f>
        <v>0</v>
      </c>
      <c r="GV14" s="133" t="n">
        <f aca="false">IF(OR(GV$4="",$B14=""),0,SUMIF('DADOS BRUTOS'!$A$3:$A$500,$B14,'DADOS BRUTOS'!DV$3:DV$500)+IF($C14="",0,SUMIF('DADOS BRUTOS'!$A$3:$A$500,$C14,'DADOS BRUTOS'!DV$3:DV$500)))</f>
        <v>0</v>
      </c>
      <c r="GW14" s="133" t="n">
        <f aca="false">IF(OR(GW$4="",$B14=""),0,SUMIF('DADOS BRUTOS'!$A$3:$A$500,$B14,'DADOS BRUTOS'!DW$3:DW$500)+IF($C14="",0,SUMIF('DADOS BRUTOS'!$A$3:$A$500,$C14,'DADOS BRUTOS'!DW$3:DW$500)))</f>
        <v>0</v>
      </c>
      <c r="GX14" s="133" t="n">
        <f aca="false">IF(OR(GX$4="",$B14=""),0,SUMIF('DADOS BRUTOS'!$A$3:$A$500,$B14,'DADOS BRUTOS'!DX$3:DX$500)+IF($C14="",0,SUMIF('DADOS BRUTOS'!$A$3:$A$500,$C14,'DADOS BRUTOS'!DX$3:DX$500)))</f>
        <v>0</v>
      </c>
      <c r="GY14" s="133" t="n">
        <f aca="false">IF(OR(GY$4="",$B14=""),0,SUMIF('DADOS BRUTOS'!$A$3:$A$500,$B14,'DADOS BRUTOS'!DY$3:DY$500)+IF($C14="",0,SUMIF('DADOS BRUTOS'!$A$3:$A$500,$C14,'DADOS BRUTOS'!DY$3:DY$500)))</f>
        <v>0</v>
      </c>
      <c r="GZ14" s="133" t="n">
        <f aca="false">IF(OR(GZ$4="",$B14=""),0,SUMIF('DADOS BRUTOS'!$A$3:$A$500,$B14,'DADOS BRUTOS'!DZ$3:DZ$500)+IF($C14="",0,SUMIF('DADOS BRUTOS'!$A$3:$A$500,$C14,'DADOS BRUTOS'!DZ$3:DZ$500)))</f>
        <v>0</v>
      </c>
      <c r="HA14" s="133" t="n">
        <f aca="false">IF(OR(HA$4="",$B14=""),0,SUMIF('DADOS BRUTOS'!$A$3:$A$500,$B14,'DADOS BRUTOS'!EA$3:EA$500)+IF($C14="",0,SUMIF('DADOS BRUTOS'!$A$3:$A$500,$C14,'DADOS BRUTOS'!EA$3:EA$500)))</f>
        <v>0</v>
      </c>
      <c r="HB14" s="133" t="n">
        <f aca="false">IF(OR(HB$4="",$B14=""),0,SUMIF('DADOS BRUTOS'!$A$3:$A$500,$B14,'DADOS BRUTOS'!EB$3:EB$500)+IF($C14="",0,SUMIF('DADOS BRUTOS'!$A$3:$A$500,$C14,'DADOS BRUTOS'!EB$3:EB$500)))</f>
        <v>0</v>
      </c>
      <c r="HC14" s="133" t="n">
        <f aca="false">IF(OR(HC$4="",$B14=""),0,SUMIF('DADOS BRUTOS'!$A$3:$A$500,$B14,'DADOS BRUTOS'!EC$3:EC$500)+IF($C14="",0,SUMIF('DADOS BRUTOS'!$A$3:$A$500,$C14,'DADOS BRUTOS'!EC$3:EC$500)))</f>
        <v>0</v>
      </c>
      <c r="HD14" s="133" t="n">
        <f aca="false">IF(OR(HD$4="",$B14=""),0,SUMIF('DADOS BRUTOS'!$A$3:$A$500,$B14,'DADOS BRUTOS'!ED$3:ED$500)+IF($C14="",0,SUMIF('DADOS BRUTOS'!$A$3:$A$500,$C14,'DADOS BRUTOS'!ED$3:ED$500)))</f>
        <v>0</v>
      </c>
      <c r="HE14" s="133" t="n">
        <f aca="false">IF(OR(HE$4="",$B14=""),0,SUMIF('DADOS BRUTOS'!$A$3:$A$500,$B14,'DADOS BRUTOS'!EE$3:EE$500)+IF($C14="",0,SUMIF('DADOS BRUTOS'!$A$3:$A$500,$C14,'DADOS BRUTOS'!EE$3:EE$500)))</f>
        <v>0</v>
      </c>
      <c r="HF14" s="133" t="n">
        <f aca="false">IF(OR(HF$4="",$B14=""),0,SUMIF('DADOS BRUTOS'!$A$3:$A$500,$B14,'DADOS BRUTOS'!EF$3:EF$500)+IF($C14="",0,SUMIF('DADOS BRUTOS'!$A$3:$A$500,$C14,'DADOS BRUTOS'!EF$3:EF$500)))</f>
        <v>0</v>
      </c>
      <c r="HG14" s="133" t="n">
        <f aca="false">IF(OR(HG$4="",$B14=""),0,SUMIF('DADOS BRUTOS'!$A$3:$A$500,$B14,'DADOS BRUTOS'!EG$3:EG$500)+IF($C14="",0,SUMIF('DADOS BRUTOS'!$A$3:$A$500,$C14,'DADOS BRUTOS'!EG$3:EG$500)))</f>
        <v>0</v>
      </c>
      <c r="HH14" s="133" t="n">
        <f aca="false">IF(OR(HH$4="",$B14=""),0,SUMIF('DADOS BRUTOS'!$A$3:$A$500,$B14,'DADOS BRUTOS'!EH$3:EH$500)+IF($C14="",0,SUMIF('DADOS BRUTOS'!$A$3:$A$500,$C14,'DADOS BRUTOS'!EH$3:EH$500)))</f>
        <v>0</v>
      </c>
      <c r="HI14" s="133" t="n">
        <f aca="false">IF(OR(HI$4="",$B14=""),0,SUMIF('DADOS BRUTOS'!$A$3:$A$500,$B14,'DADOS BRUTOS'!EI$3:EI$500)+IF($C14="",0,SUMIF('DADOS BRUTOS'!$A$3:$A$500,$C14,'DADOS BRUTOS'!EI$3:EI$500)))</f>
        <v>0</v>
      </c>
      <c r="HJ14" s="133" t="n">
        <f aca="false">IF(OR(HJ$4="",$B14=""),0,SUMIF('DADOS BRUTOS'!$A$3:$A$500,$B14,'DADOS BRUTOS'!EJ$3:EJ$500)+IF($C14="",0,SUMIF('DADOS BRUTOS'!$A$3:$A$500,$C14,'DADOS BRUTOS'!EJ$3:EJ$500)))</f>
        <v>0</v>
      </c>
      <c r="HK14" s="133" t="n">
        <f aca="false">IF(OR(HK$4="",$B14=""),0,SUMIF('DADOS BRUTOS'!$A$3:$A$500,$B14,'DADOS BRUTOS'!EK$3:EK$500)+IF($C14="",0,SUMIF('DADOS BRUTOS'!$A$3:$A$500,$C14,'DADOS BRUTOS'!EK$3:EK$500)))</f>
        <v>0</v>
      </c>
      <c r="HL14" s="133" t="n">
        <f aca="false">IF(OR(HL$4="",$B14=""),0,SUMIF('DADOS BRUTOS'!$A$3:$A$500,$B14,'DADOS BRUTOS'!EL$3:EL$500)+IF($C14="",0,SUMIF('DADOS BRUTOS'!$A$3:$A$500,$C14,'DADOS BRUTOS'!EL$3:EL$500)))</f>
        <v>0</v>
      </c>
      <c r="HM14" s="133" t="n">
        <f aca="false">IF(OR(HM$4="",$B14=""),0,SUMIF('DADOS BRUTOS'!$A$3:$A$500,$B14,'DADOS BRUTOS'!EM$3:EM$500)+IF($C14="",0,SUMIF('DADOS BRUTOS'!$A$3:$A$500,$C14,'DADOS BRUTOS'!EM$3:EM$500)))</f>
        <v>0</v>
      </c>
      <c r="HN14" s="133" t="n">
        <f aca="false">IF(OR(HN$4="",$B14=""),0,SUMIF('DADOS BRUTOS'!$A$3:$A$500,$B14,'DADOS BRUTOS'!EN$3:EN$500)+IF($C14="",0,SUMIF('DADOS BRUTOS'!$A$3:$A$500,$C14,'DADOS BRUTOS'!EN$3:EN$500)))</f>
        <v>0</v>
      </c>
      <c r="HO14" s="133" t="n">
        <f aca="false">IF(OR(HO$4="",$B14=""),0,SUMIF('DADOS BRUTOS'!$A$3:$A$500,$B14,'DADOS BRUTOS'!EO$3:EO$500)+IF($C14="",0,SUMIF('DADOS BRUTOS'!$A$3:$A$500,$C14,'DADOS BRUTOS'!EO$3:EO$500)))</f>
        <v>0</v>
      </c>
      <c r="HP14" s="133" t="n">
        <f aca="false">IF(OR(HP$4="",$B14=""),0,SUMIF('DADOS BRUTOS'!$A$3:$A$500,$B14,'DADOS BRUTOS'!EP$3:EP$500)+IF($C14="",0,SUMIF('DADOS BRUTOS'!$A$3:$A$500,$C14,'DADOS BRUTOS'!EP$3:EP$500)))</f>
        <v>0</v>
      </c>
      <c r="HQ14" s="133" t="n">
        <f aca="false">IF(OR(HQ$4="",$B14=""),0,SUMIF('DADOS BRUTOS'!$A$3:$A$500,$B14,'DADOS BRUTOS'!EQ$3:EQ$500)+IF($C14="",0,SUMIF('DADOS BRUTOS'!$A$3:$A$500,$C14,'DADOS BRUTOS'!EQ$3:EQ$500)))</f>
        <v>0</v>
      </c>
      <c r="HR14" s="133" t="n">
        <f aca="false">IF(OR(HR$4="",$B14=""),0,SUMIF('DADOS BRUTOS'!$A$3:$A$500,$B14,'DADOS BRUTOS'!ER$3:ER$500)+IF($C14="",0,SUMIF('DADOS BRUTOS'!$A$3:$A$500,$C14,'DADOS BRUTOS'!ER$3:ER$500)))</f>
        <v>0</v>
      </c>
      <c r="HS14" s="133" t="n">
        <f aca="false">IF(OR(HS$4="",$B14=""),0,SUMIF('DADOS BRUTOS'!$A$3:$A$500,$B14,'DADOS BRUTOS'!ES$3:ES$500)+IF($C14="",0,SUMIF('DADOS BRUTOS'!$A$3:$A$500,$C14,'DADOS BRUTOS'!ES$3:ES$500)))</f>
        <v>0</v>
      </c>
      <c r="HT14" s="133" t="n">
        <f aca="false">IF(OR(HT$4="",$B14=""),0,SUMIF('DADOS BRUTOS'!$A$3:$A$500,$B14,'DADOS BRUTOS'!ET$3:ET$500)+IF($C14="",0,SUMIF('DADOS BRUTOS'!$A$3:$A$500,$C14,'DADOS BRUTOS'!ET$3:ET$500)))</f>
        <v>0</v>
      </c>
      <c r="HU14" s="133" t="n">
        <f aca="false">IF(OR(HU$4="",$B14=""),0,SUMIF('DADOS BRUTOS'!$A$3:$A$500,$B14,'DADOS BRUTOS'!EU$3:EU$500)+IF($C14="",0,SUMIF('DADOS BRUTOS'!$A$3:$A$500,$C14,'DADOS BRUTOS'!EU$3:EU$500)))</f>
        <v>0</v>
      </c>
      <c r="HV14" s="133" t="n">
        <f aca="false">IF(OR(HV$4="",$B14=""),0,SUMIF('DADOS BRUTOS'!$A$3:$A$500,$B14,'DADOS BRUTOS'!EV$3:EV$500)+IF($C14="",0,SUMIF('DADOS BRUTOS'!$A$3:$A$500,$C14,'DADOS BRUTOS'!EV$3:EV$500)))</f>
        <v>0</v>
      </c>
      <c r="HW14" s="133" t="n">
        <f aca="false">IF(OR(HW$4="",$B14=""),0,SUMIF('DADOS BRUTOS'!$A$3:$A$500,$B14,'DADOS BRUTOS'!EW$3:EW$500)+IF($C14="",0,SUMIF('DADOS BRUTOS'!$A$3:$A$500,$C14,'DADOS BRUTOS'!EW$3:EW$500)))</f>
        <v>0</v>
      </c>
      <c r="HX14" s="133" t="n">
        <f aca="false">IF(OR(HX$4="",$B14=""),0,SUMIF('DADOS BRUTOS'!$A$3:$A$500,$B14,'DADOS BRUTOS'!EX$3:EX$500)+IF($C14="",0,SUMIF('DADOS BRUTOS'!$A$3:$A$500,$C14,'DADOS BRUTOS'!EX$3:EX$500)))</f>
        <v>0</v>
      </c>
      <c r="HY14" s="133" t="n">
        <f aca="false">IF(OR(HY$4="",$B14=""),0,SUMIF('DADOS BRUTOS'!$A$3:$A$500,$B14,'DADOS BRUTOS'!EY$3:EY$500)+IF($C14="",0,SUMIF('DADOS BRUTOS'!$A$3:$A$500,$C14,'DADOS BRUTOS'!EY$3:EY$500)))</f>
        <v>0</v>
      </c>
      <c r="HZ14" s="133" t="n">
        <f aca="false">IF(OR(HZ$4="",$B14=""),0,SUMIF('DADOS BRUTOS'!$A$3:$A$500,$B14,'DADOS BRUTOS'!EZ$3:EZ$500)+IF($C14="",0,SUMIF('DADOS BRUTOS'!$A$3:$A$500,$C14,'DADOS BRUTOS'!EZ$3:EZ$500)))</f>
        <v>0</v>
      </c>
      <c r="IA14" s="133" t="n">
        <f aca="false">IF(OR(IA$4="",$B14=""),0,SUMIF('DADOS BRUTOS'!$A$3:$A$500,$B14,'DADOS BRUTOS'!FA$3:FA$500)+IF($C14="",0,SUMIF('DADOS BRUTOS'!$A$3:$A$500,$C14,'DADOS BRUTOS'!FA$3:FA$500)))</f>
        <v>0</v>
      </c>
      <c r="IB14" s="133" t="n">
        <f aca="false">IF(OR(IB$4="",$B14=""),0,SUMIF('DADOS BRUTOS'!$A$3:$A$500,$B14,'DADOS BRUTOS'!FB$3:FB$500)+IF($C14="",0,SUMIF('DADOS BRUTOS'!$A$3:$A$500,$C14,'DADOS BRUTOS'!FB$3:FB$500)))</f>
        <v>0</v>
      </c>
      <c r="IC14" s="133" t="n">
        <f aca="false">IF(OR(IC$4="",$B14=""),0,SUMIF('DADOS BRUTOS'!$A$3:$A$500,$B14,'DADOS BRUTOS'!FC$3:FC$500)+IF($C14="",0,SUMIF('DADOS BRUTOS'!$A$3:$A$500,$C14,'DADOS BRUTOS'!FC$3:FC$500)))</f>
        <v>0</v>
      </c>
      <c r="ID14" s="133" t="n">
        <f aca="false">IF(OR(ID$4="",$B14=""),0,SUMIF('DADOS BRUTOS'!$A$3:$A$500,$B14,'DADOS BRUTOS'!FD$3:FD$500)+IF($C14="",0,SUMIF('DADOS BRUTOS'!$A$3:$A$500,$C14,'DADOS BRUTOS'!FD$3:FD$500)))</f>
        <v>0</v>
      </c>
      <c r="IE14" s="133" t="n">
        <f aca="false">IF(OR(IE$4="",$B14=""),0,SUMIF('DADOS BRUTOS'!$A$3:$A$500,$B14,'DADOS BRUTOS'!FE$3:FE$500)+IF($C14="",0,SUMIF('DADOS BRUTOS'!$A$3:$A$500,$C14,'DADOS BRUTOS'!FE$3:FE$500)))</f>
        <v>0</v>
      </c>
      <c r="IF14" s="133" t="n">
        <f aca="false">IF(OR(IF$4="",$B14=""),0,SUMIF('DADOS BRUTOS'!$A$3:$A$500,$B14,'DADOS BRUTOS'!FF$3:FF$500)+IF($C14="",0,SUMIF('DADOS BRUTOS'!$A$3:$A$500,$C14,'DADOS BRUTOS'!FF$3:FF$500)))</f>
        <v>0</v>
      </c>
      <c r="IG14" s="133" t="n">
        <f aca="false">IF(OR(IG$4="",$B14=""),0,SUMIF('DADOS BRUTOS'!$A$3:$A$500,$B14,'DADOS BRUTOS'!FG$3:FG$500)+IF($C14="",0,SUMIF('DADOS BRUTOS'!$A$3:$A$500,$C14,'DADOS BRUTOS'!FG$3:FG$500)))</f>
        <v>0</v>
      </c>
      <c r="IH14" s="133" t="n">
        <f aca="false">IF(OR(IH$4="",$B14=""),0,SUMIF('DADOS BRUTOS'!$A$3:$A$500,$B14,'DADOS BRUTOS'!FH$3:FH$500)+IF($C14="",0,SUMIF('DADOS BRUTOS'!$A$3:$A$500,$C14,'DADOS BRUTOS'!FH$3:FH$500)))</f>
        <v>0</v>
      </c>
      <c r="II14" s="133" t="n">
        <f aca="false">IF(OR(II$4="",$B14=""),0,SUMIF('DADOS BRUTOS'!$A$3:$A$500,$B14,'DADOS BRUTOS'!FI$3:FI$500)+IF($C14="",0,SUMIF('DADOS BRUTOS'!$A$3:$A$500,$C14,'DADOS BRUTOS'!FI$3:FI$500)))</f>
        <v>0</v>
      </c>
      <c r="IJ14" s="133" t="n">
        <f aca="false">IF(OR(IJ$4="",$B14=""),0,SUMIF('DADOS BRUTOS'!$A$3:$A$500,$B14,'DADOS BRUTOS'!FJ$3:FJ$500)+IF($C14="",0,SUMIF('DADOS BRUTOS'!$A$3:$A$500,$C14,'DADOS BRUTOS'!FJ$3:FJ$500)))</f>
        <v>0</v>
      </c>
      <c r="IK14" s="133" t="n">
        <f aca="false">IF(OR(IK$4="",$B14=""),0,SUMIF('DADOS BRUTOS'!$A$3:$A$500,$B14,'DADOS BRUTOS'!FK$3:FK$500)+IF($C14="",0,SUMIF('DADOS BRUTOS'!$A$3:$A$500,$C14,'DADOS BRUTOS'!FK$3:FK$500)))</f>
        <v>0</v>
      </c>
      <c r="IL14" s="133" t="n">
        <f aca="false">IF(OR(IL$4="",$B14=""),0,SUMIF('DADOS BRUTOS'!$A$3:$A$500,$B14,'DADOS BRUTOS'!FL$3:FL$500)+IF($C14="",0,SUMIF('DADOS BRUTOS'!$A$3:$A$500,$C14,'DADOS BRUTOS'!FL$3:FL$500)))</f>
        <v>0</v>
      </c>
      <c r="IM14" s="133" t="n">
        <f aca="false">IF(OR(IM$4="",$B14=""),0,SUMIF('DADOS BRUTOS'!$A$3:$A$500,$B14,'DADOS BRUTOS'!FM$3:FM$500)+IF($C14="",0,SUMIF('DADOS BRUTOS'!$A$3:$A$500,$C14,'DADOS BRUTOS'!FM$3:FM$500)))</f>
        <v>0</v>
      </c>
      <c r="IN14" s="133" t="n">
        <f aca="false">IF(OR(IN$4="",$B14=""),0,SUMIF('DADOS BRUTOS'!$A$3:$A$500,$B14,'DADOS BRUTOS'!FN$3:FN$500)+IF($C14="",0,SUMIF('DADOS BRUTOS'!$A$3:$A$500,$C14,'DADOS BRUTOS'!FN$3:FN$500)))</f>
        <v>0</v>
      </c>
      <c r="IO14" s="133" t="n">
        <f aca="false">IF(OR(IO$4="",$B14=""),0,SUMIF('DADOS BRUTOS'!$A$3:$A$500,$B14,'DADOS BRUTOS'!FO$3:FO$500)+IF($C14="",0,SUMIF('DADOS BRUTOS'!$A$3:$A$500,$C14,'DADOS BRUTOS'!FO$3:FO$500)))</f>
        <v>0</v>
      </c>
      <c r="IP14" s="133" t="n">
        <f aca="false">IF(OR(IP$4="",$B14=""),0,SUMIF('DADOS BRUTOS'!$A$3:$A$500,$B14,'DADOS BRUTOS'!FP$3:FP$500)+IF($C14="",0,SUMIF('DADOS BRUTOS'!$A$3:$A$500,$C14,'DADOS BRUTOS'!FP$3:FP$500)))</f>
        <v>0</v>
      </c>
      <c r="IQ14" s="133" t="n">
        <f aca="false">IF(OR(IQ$4="",$B14=""),0,SUMIF('DADOS BRUTOS'!$A$3:$A$500,$B14,'DADOS BRUTOS'!FQ$3:FQ$500)+IF($C14="",0,SUMIF('DADOS BRUTOS'!$A$3:$A$500,$C14,'DADOS BRUTOS'!FQ$3:FQ$500)))</f>
        <v>0</v>
      </c>
      <c r="IR14" s="133" t="n">
        <f aca="false">IF(OR(IR$4="",$B14=""),0,SUMIF('DADOS BRUTOS'!$A$3:$A$500,$B14,'DADOS BRUTOS'!FR$3:FR$500)+IF($C14="",0,SUMIF('DADOS BRUTOS'!$A$3:$A$500,$C14,'DADOS BRUTOS'!FR$3:FR$500)))</f>
        <v>0</v>
      </c>
      <c r="IS14" s="133" t="n">
        <f aca="false">IF(OR(IS$4="",$B14=""),0,SUMIF('DADOS BRUTOS'!$A$3:$A$500,$B14,'DADOS BRUTOS'!FS$3:FS$500)+IF($C14="",0,SUMIF('DADOS BRUTOS'!$A$3:$A$500,$C14,'DADOS BRUTOS'!FS$3:FS$500)))</f>
        <v>0</v>
      </c>
      <c r="IT14" s="133" t="n">
        <f aca="false">IF(OR(IT$4="",$B14=""),0,SUMIF('DADOS BRUTOS'!$A$3:$A$500,$B14,'DADOS BRUTOS'!FT$3:FT$500)+IF($C14="",0,SUMIF('DADOS BRUTOS'!$A$3:$A$500,$C14,'DADOS BRUTOS'!FT$3:FT$500)))</f>
        <v>0</v>
      </c>
      <c r="IU14" s="133" t="n">
        <f aca="false">IF(OR(IU$4="",$B14=""),0,SUMIF('DADOS BRUTOS'!$A$3:$A$500,$B14,'DADOS BRUTOS'!FU$3:FU$500)+IF($C14="",0,SUMIF('DADOS BRUTOS'!$A$3:$A$500,$C14,'DADOS BRUTOS'!FU$3:FU$500)))</f>
        <v>0</v>
      </c>
      <c r="IV14" s="133" t="n">
        <f aca="false">IF(OR(IV$4="",$B14=""),0,SUMIF('DADOS BRUTOS'!$A$3:$A$500,$B14,'DADOS BRUTOS'!FV$3:FV$500)+IF($C14="",0,SUMIF('DADOS BRUTOS'!$A$3:$A$500,$C14,'DADOS BRUTOS'!FV$3:FV$500)))</f>
        <v>0</v>
      </c>
      <c r="IW14" s="133" t="n">
        <f aca="false">IF(OR(IW$4="",$B14=""),0,SUMIF('DADOS BRUTOS'!$A$3:$A$500,$B14,'DADOS BRUTOS'!FW$3:FW$500)+IF($C14="",0,SUMIF('DADOS BRUTOS'!$A$3:$A$500,$C14,'DADOS BRUTOS'!FW$3:FW$500)))</f>
        <v>0</v>
      </c>
      <c r="IX14" s="133" t="n">
        <f aca="false">IF(OR(IX$4="",$B14=""),0,SUMIF('DADOS BRUTOS'!$A$3:$A$500,$B14,'DADOS BRUTOS'!FX$3:FX$500)+IF($C14="",0,SUMIF('DADOS BRUTOS'!$A$3:$A$500,$C14,'DADOS BRUTOS'!FX$3:FX$500)))</f>
        <v>0</v>
      </c>
      <c r="IY14" s="133" t="n">
        <f aca="false">IF(OR(IY$4="",$B14=""),0,SUMIF('DADOS BRUTOS'!$A$3:$A$500,$B14,'DADOS BRUTOS'!FY$3:FY$500)+IF($C14="",0,SUMIF('DADOS BRUTOS'!$A$3:$A$500,$C14,'DADOS BRUTOS'!FY$3:FY$500)))</f>
        <v>0</v>
      </c>
      <c r="IZ14" s="133" t="n">
        <f aca="false">IF(OR(IZ$4="",$B14=""),0,SUMIF('DADOS BRUTOS'!$A$3:$A$500,$B14,'DADOS BRUTOS'!FZ$3:FZ$500)+IF($C14="",0,SUMIF('DADOS BRUTOS'!$A$3:$A$500,$C14,'DADOS BRUTOS'!FZ$3:FZ$500)))</f>
        <v>0</v>
      </c>
      <c r="JA14" s="133" t="n">
        <f aca="false">IF(OR(JA$4="",$B14=""),0,SUMIF('DADOS BRUTOS'!$A$3:$A$500,$B14,'DADOS BRUTOS'!GA$3:GA$500)+IF($C14="",0,SUMIF('DADOS BRUTOS'!$A$3:$A$500,$C14,'DADOS BRUTOS'!GA$3:GA$500)))</f>
        <v>0</v>
      </c>
      <c r="JB14" s="133" t="n">
        <f aca="false">IF(OR(JB$4="",$B14=""),0,SUMIF('DADOS BRUTOS'!$A$3:$A$500,$B14,'DADOS BRUTOS'!GB$3:GB$500)+IF($C14="",0,SUMIF('DADOS BRUTOS'!$A$3:$A$500,$C14,'DADOS BRUTOS'!GB$3:GB$500)))</f>
        <v>0</v>
      </c>
      <c r="JC14" s="133" t="n">
        <f aca="false">IF(OR(JC$4="",$B14=""),0,SUMIF('DADOS BRUTOS'!$A$3:$A$500,$B14,'DADOS BRUTOS'!GC$3:GC$500)+IF($C14="",0,SUMIF('DADOS BRUTOS'!$A$3:$A$500,$C14,'DADOS BRUTOS'!GC$3:GC$500)))</f>
        <v>0</v>
      </c>
      <c r="JD14" s="133" t="n">
        <f aca="false">IF(OR(JD$4="",$B14=""),0,SUMIF('DADOS BRUTOS'!$A$3:$A$500,$B14,'DADOS BRUTOS'!GD$3:GD$500)+IF($C14="",0,SUMIF('DADOS BRUTOS'!$A$3:$A$500,$C14,'DADOS BRUTOS'!GD$3:GD$500)))</f>
        <v>0</v>
      </c>
      <c r="JE14" s="133" t="n">
        <f aca="false">IF(OR(JE$4="",$B14=""),0,SUMIF('DADOS BRUTOS'!$A$3:$A$500,$B14,'DADOS BRUTOS'!GE$3:GE$500)+IF($C14="",0,SUMIF('DADOS BRUTOS'!$A$3:$A$500,$C14,'DADOS BRUTOS'!GE$3:GE$500)))</f>
        <v>0</v>
      </c>
      <c r="JF14" s="133" t="n">
        <f aca="false">IF(OR(JF$4="",$B14=""),0,SUMIF('DADOS BRUTOS'!$A$3:$A$500,$B14,'DADOS BRUTOS'!GF$3:GF$500)+IF($C14="",0,SUMIF('DADOS BRUTOS'!$A$3:$A$500,$C14,'DADOS BRUTOS'!GF$3:GF$500)))</f>
        <v>0</v>
      </c>
      <c r="JG14" s="133" t="n">
        <f aca="false">IF(OR(JG$4="",$B14=""),0,SUMIF('DADOS BRUTOS'!$A$3:$A$500,$B14,'DADOS BRUTOS'!GG$3:GG$500)+IF($C14="",0,SUMIF('DADOS BRUTOS'!$A$3:$A$500,$C14,'DADOS BRUTOS'!GG$3:GG$500)))</f>
        <v>0</v>
      </c>
      <c r="JH14" s="133" t="n">
        <f aca="false">IF(OR(JH$4="",$B14=""),0,SUMIF('DADOS BRUTOS'!$A$3:$A$500,$B14,'DADOS BRUTOS'!GH$3:GH$500)+IF($C14="",0,SUMIF('DADOS BRUTOS'!$A$3:$A$500,$C14,'DADOS BRUTOS'!GH$3:GH$500)))</f>
        <v>0</v>
      </c>
      <c r="JI14" s="133" t="n">
        <f aca="false">IF(OR(JI$4="",$B14=""),0,SUMIF('DADOS BRUTOS'!$A$3:$A$500,$B14,'DADOS BRUTOS'!GI$3:GI$500)+IF($C14="",0,SUMIF('DADOS BRUTOS'!$A$3:$A$500,$C14,'DADOS BRUTOS'!GI$3:GI$500)))</f>
        <v>0</v>
      </c>
      <c r="JJ14" s="133" t="n">
        <f aca="false">IF(OR(JJ$4="",$B14=""),0,SUMIF('DADOS BRUTOS'!$A$3:$A$500,$B14,'DADOS BRUTOS'!GJ$3:GJ$500)+IF($C14="",0,SUMIF('DADOS BRUTOS'!$A$3:$A$500,$C14,'DADOS BRUTOS'!GJ$3:GJ$500)))</f>
        <v>0</v>
      </c>
      <c r="JK14" s="133" t="n">
        <f aca="false">IF(OR(JK$4="",$B14=""),0,SUMIF('DADOS BRUTOS'!$A$3:$A$500,$B14,'DADOS BRUTOS'!GK$3:GK$500)+IF($C14="",0,SUMIF('DADOS BRUTOS'!$A$3:$A$500,$C14,'DADOS BRUTOS'!GK$3:GK$500)))</f>
        <v>0</v>
      </c>
      <c r="JL14" s="133" t="n">
        <f aca="false">IF(OR(JL$4="",$B14=""),0,SUMIF('DADOS BRUTOS'!$A$3:$A$500,$B14,'DADOS BRUTOS'!GL$3:GL$500)+IF($C14="",0,SUMIF('DADOS BRUTOS'!$A$3:$A$500,$C14,'DADOS BRUTOS'!GL$3:GL$500)))</f>
        <v>0</v>
      </c>
      <c r="JM14" s="133" t="n">
        <f aca="false">IF(OR(JM$4="",$B14=""),0,SUMIF('DADOS BRUTOS'!$A$3:$A$500,$B14,'DADOS BRUTOS'!GM$3:GM$500)+IF($C14="",0,SUMIF('DADOS BRUTOS'!$A$3:$A$500,$C14,'DADOS BRUTOS'!GM$3:GM$500)))</f>
        <v>0</v>
      </c>
      <c r="JN14" s="133" t="n">
        <f aca="false">IF(OR(JN$4="",$B14=""),0,SUMIF('DADOS BRUTOS'!$A$3:$A$500,$B14,'DADOS BRUTOS'!GN$3:GN$500)+IF($C14="",0,SUMIF('DADOS BRUTOS'!$A$3:$A$500,$C14,'DADOS BRUTOS'!GN$3:GN$500)))</f>
        <v>0</v>
      </c>
      <c r="JO14" s="133" t="n">
        <f aca="false">IF(OR(JO$4="",$B14=""),0,SUMIF('DADOS BRUTOS'!$A$3:$A$500,$B14,'DADOS BRUTOS'!GO$3:GO$500)+IF($C14="",0,SUMIF('DADOS BRUTOS'!$A$3:$A$500,$C14,'DADOS BRUTOS'!GO$3:GO$500)))</f>
        <v>0</v>
      </c>
      <c r="JP14" s="133" t="n">
        <f aca="false">IF(OR(JP$4="",$B14=""),0,SUMIF('DADOS BRUTOS'!$A$3:$A$500,$B14,'DADOS BRUTOS'!GP$3:GP$500)+IF($C14="",0,SUMIF('DADOS BRUTOS'!$A$3:$A$500,$C14,'DADOS BRUTOS'!GP$3:GP$500)))</f>
        <v>0</v>
      </c>
      <c r="JQ14" s="133" t="n">
        <f aca="false">IF(OR(JQ$4="",$B14=""),0,SUMIF('DADOS BRUTOS'!$A$3:$A$500,$B14,'DADOS BRUTOS'!GQ$3:GQ$500)+IF($C14="",0,SUMIF('DADOS BRUTOS'!$A$3:$A$500,$C14,'DADOS BRUTOS'!GQ$3:GQ$500)))</f>
        <v>0</v>
      </c>
      <c r="JR14" s="133" t="n">
        <f aca="false">IF(OR(JR$4="",$B14=""),0,SUMIF('DADOS BRUTOS'!$A$3:$A$500,$B14,'DADOS BRUTOS'!GR$3:GR$500)+IF($C14="",0,SUMIF('DADOS BRUTOS'!$A$3:$A$500,$C14,'DADOS BRUTOS'!GR$3:GR$500)))</f>
        <v>0</v>
      </c>
      <c r="JS14" s="133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8992.37</v>
      </c>
      <c r="E15" s="50" t="n">
        <f aca="false">SUMIF($CB$4:$JS$4,E$4,$CB15:$JS15)</f>
        <v>0</v>
      </c>
      <c r="F15" s="50" t="n">
        <f aca="false">SUMIF($CB$4:$JS$4,F$4,$CB15:$JS15)</f>
        <v>6150</v>
      </c>
      <c r="G15" s="50" t="n">
        <f aca="false">SUMIF($CB$4:$JS$4,G$4,$CB15:$JS15)</f>
        <v>36234.96</v>
      </c>
      <c r="H15" s="50" t="n">
        <f aca="false">SUMIF($CB$4:$JS$4,H$4,$CB15:$JS15)</f>
        <v>20280.07</v>
      </c>
      <c r="I15" s="50" t="n">
        <f aca="false">SUMIF($CB$4:$JS$4,I$4,$CB15:$JS15)</f>
        <v>63840.43</v>
      </c>
      <c r="J15" s="50" t="n">
        <f aca="false">SUMIF($CB$4:$JS$4,J$4,$CB15:$JS15)</f>
        <v>23229.91</v>
      </c>
      <c r="K15" s="50" t="n">
        <f aca="false">SUMIF($CB$4:$JS$4,K$4,$CB15:$JS15)</f>
        <v>36806</v>
      </c>
      <c r="L15" s="50" t="n">
        <f aca="false">SUMIF($CB$4:$JS$4,L$4,$CB15:$JS15)</f>
        <v>17148.68</v>
      </c>
      <c r="M15" s="50" t="n">
        <f aca="false">SUMIF($CB$4:$JS$4,M$4,$CB15:$JS15)</f>
        <v>21563.76</v>
      </c>
      <c r="N15" s="50" t="n">
        <f aca="false">SUMIF($CB$4:$JS$4,N$4,$CB15:$JS15)</f>
        <v>34597.8</v>
      </c>
      <c r="O15" s="50" t="n">
        <f aca="false">SUMIF($CB$4:$JS$4,O$4,$CB15:$JS15)</f>
        <v>100603.75</v>
      </c>
      <c r="P15" s="50" t="n">
        <f aca="false">SUMIF($CB$4:$JS$4,P$4,$CB15:$JS15)</f>
        <v>58690.57</v>
      </c>
      <c r="Q15" s="50" t="n">
        <f aca="false">SUMIF($CB$4:$JS$4,Q$4,$CB15:$JS15)</f>
        <v>55385.66</v>
      </c>
      <c r="R15" s="50" t="n">
        <f aca="false">SUMIF($CB$4:$JS$4,R$4,$CB15:$JS15)</f>
        <v>73367.92</v>
      </c>
      <c r="S15" s="50" t="n">
        <f aca="false">SUMIF($CB$4:$JS$4,S$4,$CB15:$JS15)</f>
        <v>160755.39</v>
      </c>
      <c r="T15" s="50" t="n">
        <f aca="false">SUMIF($CB$4:$JS$4,T$4,$CB15:$JS15)</f>
        <v>353104.5</v>
      </c>
      <c r="U15" s="50" t="n">
        <f aca="false">SUMIF($CB$4:$JS$4,U$4,$CB15:$JS15)</f>
        <v>181064.72</v>
      </c>
      <c r="V15" s="50" t="n">
        <f aca="false">SUMIF($CB$4:$JS$4,V$4,$CB15:$JS15)</f>
        <v>192488.66</v>
      </c>
      <c r="W15" s="50" t="n">
        <f aca="false">SUMIF($CB$4:$JS$4,W$4,$CB15:$JS15)</f>
        <v>227238.92</v>
      </c>
      <c r="X15" s="50" t="n">
        <f aca="false">SUMIF($CB$4:$JS$4,X$4,$CB15:$JS15)</f>
        <v>207373.28</v>
      </c>
      <c r="Y15" s="50" t="n">
        <f aca="false">SUMIF($CB$4:$JS$4,Y$4,$CB15:$JS15)</f>
        <v>276382.65</v>
      </c>
      <c r="Z15" s="50" t="n">
        <f aca="false">SUMIF($CB$4:$JS$4,Z$4,$CB15:$JS15)</f>
        <v>121913.73</v>
      </c>
      <c r="AA15" s="50" t="n">
        <f aca="false">SUMIF($CB$4:$JS$4,AA$4,$CB15:$JS15)</f>
        <v>69406.09</v>
      </c>
      <c r="AB15" s="50" t="n">
        <f aca="false">SUMIF($CB$4:$JS$4,AB$4,$CB15:$JS15)</f>
        <v>17182.87</v>
      </c>
      <c r="AC15" s="50" t="n">
        <f aca="false">SUMIF($CB$4:$JS$4,AC$4,$CB15:$JS15)</f>
        <v>16426</v>
      </c>
      <c r="AD15" s="50" t="n">
        <f aca="false">SUMIF($CB$4:$JS$4,AD$4,$CB15:$JS15)</f>
        <v>16426</v>
      </c>
      <c r="AE15" s="50" t="n">
        <f aca="false">SUMIF($CB$4:$JS$4,AE$4,$CB15:$JS15)</f>
        <v>16426</v>
      </c>
      <c r="AF15" s="50" t="n">
        <f aca="false">SUMIF($CB$4:$JS$4,AF$4,$CB15:$JS15)</f>
        <v>16426</v>
      </c>
      <c r="AG15" s="50" t="n">
        <f aca="false">SUMIF($CB$4:$JS$4,AG$4,$CB15:$JS15)</f>
        <v>16426</v>
      </c>
      <c r="AH15" s="50" t="n">
        <f aca="false">SUMIF($CB$4:$JS$4,AH$4,$CB15:$JS15)</f>
        <v>16426</v>
      </c>
      <c r="AI15" s="50" t="n">
        <f aca="false">SUMIF($CB$4:$JS$4,AI$4,$CB15:$JS15)</f>
        <v>16916</v>
      </c>
      <c r="AJ15" s="50" t="n">
        <f aca="false">SUMIF($CB$4:$JS$4,AJ$4,$CB15:$JS15)</f>
        <v>16426</v>
      </c>
      <c r="AK15" s="50" t="n">
        <f aca="false">SUMIF($CB$4:$JS$4,AK$4,$CB15:$JS15)</f>
        <v>16426</v>
      </c>
      <c r="AL15" s="50" t="n">
        <f aca="false">SUMIF($CB$4:$JS$4,AL$4,$CB15:$JS15)</f>
        <v>16426</v>
      </c>
      <c r="AM15" s="50" t="n">
        <f aca="false">SUMIF($CB$4:$JS$4,AM$4,$CB15:$JS15)</f>
        <v>16426</v>
      </c>
      <c r="AN15" s="50" t="n">
        <f aca="false">SUMIF($CB$4:$JS$4,AN$4,$CB15:$JS15)</f>
        <v>16426</v>
      </c>
      <c r="AO15" s="50" t="n">
        <f aca="false">SUMIF($CB$4:$JS$4,AO$4,$CB15:$JS15)</f>
        <v>16426</v>
      </c>
      <c r="AP15" s="50" t="n">
        <f aca="false">SUMIF($CB$4:$JS$4,AP$4,$CB15:$JS15)</f>
        <v>16426</v>
      </c>
      <c r="AQ15" s="50" t="n">
        <f aca="false">SUMIF($CB$4:$JS$4,AQ$4,$CB15:$JS15)</f>
        <v>16426</v>
      </c>
      <c r="AR15" s="50" t="n">
        <f aca="false">SUMIF($CB$4:$JS$4,AR$4,$CB15:$JS15)</f>
        <v>16426</v>
      </c>
      <c r="AS15" s="50" t="n">
        <f aca="false">SUMIF($CB$4:$JS$4,AS$4,$CB15:$JS15)</f>
        <v>25397.79</v>
      </c>
      <c r="AT15" s="50" t="n">
        <f aca="false">SUMIF($CB$4:$JS$4,AT$4,$CB15:$JS15)</f>
        <v>16426</v>
      </c>
      <c r="AU15" s="50" t="n">
        <f aca="false">SUMIF($CB$4:$JS$4,AU$4,$CB15:$JS15)</f>
        <v>27381.74</v>
      </c>
      <c r="AV15" s="50" t="n">
        <f aca="false">SUMIF($CB$4:$JS$4,AV$4,$CB15:$JS15)</f>
        <v>16876</v>
      </c>
      <c r="AW15" s="50" t="n">
        <f aca="false">SUMIF($CB$4:$JS$4,AW$4,$CB15:$JS15)</f>
        <v>16426</v>
      </c>
      <c r="AX15" s="50" t="n">
        <f aca="false">SUMIF($CB$4:$JS$4,AX$4,$CB15:$JS15)</f>
        <v>16426</v>
      </c>
      <c r="AY15" s="50" t="n">
        <f aca="false">SUMIF($CB$4:$JS$4,AY$4,$CB15:$JS15)</f>
        <v>16426</v>
      </c>
      <c r="AZ15" s="50" t="n">
        <f aca="false">SUMIF($CB$4:$JS$4,AZ$4,$CB15:$JS15)</f>
        <v>16426</v>
      </c>
      <c r="BA15" s="50" t="n">
        <f aca="false">SUMIF($CB$4:$JS$4,BA$4,$CB15:$JS15)</f>
        <v>16426</v>
      </c>
      <c r="BB15" s="50" t="n">
        <f aca="false">SUMIF($CB$4:$JS$4,BB$4,$CB15:$JS15)</f>
        <v>16426</v>
      </c>
      <c r="BC15" s="50" t="n">
        <f aca="false">SUMIF($CB$4:$JS$4,BC$4,$CB15:$JS15)</f>
        <v>16426</v>
      </c>
      <c r="BD15" s="50" t="n">
        <f aca="false">SUMIF($CB$4:$JS$4,BD$4,$CB15:$JS15)</f>
        <v>16426</v>
      </c>
      <c r="BE15" s="50" t="n">
        <f aca="false">SUMIF($CB$4:$JS$4,BE$4,$CB15:$JS15)</f>
        <v>16426</v>
      </c>
      <c r="BF15" s="50" t="n">
        <f aca="false">SUMIF($CB$4:$JS$4,BF$4,$CB15:$JS15)</f>
        <v>16426</v>
      </c>
      <c r="BG15" s="50" t="n">
        <f aca="false">SUMIF($CB$4:$JS$4,BG$4,$CB15:$JS15)</f>
        <v>16428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2893878.22</v>
      </c>
      <c r="BZ15" s="45" t="n">
        <f aca="false">SUMPRODUCT(($CB$4:$JS$4&lt;&gt;"")*($CB$4:$JS$4&lt;=$D$4),$CB15:$JS15,$CB$1:$JS$1)</f>
        <v>7.9045391748915</v>
      </c>
      <c r="CB15" s="133" t="n">
        <f aca="false">IF(OR(CB$4="",$B15=""),0,SUMIF('DADOS BRUTOS'!$A$3:$A$500,$B15,'DADOS BRUTOS'!B$3:B$500)+IF($C15="",0,SUMIF('DADOS BRUTOS'!$A$3:$A$500,$C15,'DADOS BRUTOS'!B$3:B$500)))</f>
        <v>0</v>
      </c>
      <c r="CC15" s="133" t="n">
        <f aca="false">IF(OR(CC$4="",$B15=""),0,SUMIF('DADOS BRUTOS'!$A$3:$A$500,$B15,'DADOS BRUTOS'!C$3:C$500)+IF($C15="",0,SUMIF('DADOS BRUTOS'!$A$3:$A$500,$C15,'DADOS BRUTOS'!C$3:C$500)))</f>
        <v>0</v>
      </c>
      <c r="CD15" s="133" t="n">
        <f aca="false">IF(OR(CD$4="",$B15=""),0,SUMIF('DADOS BRUTOS'!$A$3:$A$500,$B15,'DADOS BRUTOS'!D$3:D$500)+IF($C15="",0,SUMIF('DADOS BRUTOS'!$A$3:$A$500,$C15,'DADOS BRUTOS'!D$3:D$500)))</f>
        <v>0</v>
      </c>
      <c r="CE15" s="133" t="n">
        <f aca="false">IF(OR(CE$4="",$B15=""),0,SUMIF('DADOS BRUTOS'!$A$3:$A$500,$B15,'DADOS BRUTOS'!E$3:E$500)+IF($C15="",0,SUMIF('DADOS BRUTOS'!$A$3:$A$500,$C15,'DADOS BRUTOS'!E$3:E$500)))</f>
        <v>0</v>
      </c>
      <c r="CF15" s="133" t="n">
        <f aca="false">IF(OR(CF$4="",$B15=""),0,SUMIF('DADOS BRUTOS'!$A$3:$A$500,$B15,'DADOS BRUTOS'!F$3:F$500)+IF($C15="",0,SUMIF('DADOS BRUTOS'!$A$3:$A$500,$C15,'DADOS BRUTOS'!F$3:F$500)))</f>
        <v>0</v>
      </c>
      <c r="CG15" s="133" t="n">
        <f aca="false">IF(OR(CG$4="",$B15=""),0,SUMIF('DADOS BRUTOS'!$A$3:$A$500,$B15,'DADOS BRUTOS'!G$3:G$500)+IF($C15="",0,SUMIF('DADOS BRUTOS'!$A$3:$A$500,$C15,'DADOS BRUTOS'!G$3:G$500)))</f>
        <v>0</v>
      </c>
      <c r="CH15" s="133" t="n">
        <f aca="false">IF(OR(CH$4="",$B15=""),0,SUMIF('DADOS BRUTOS'!$A$3:$A$500,$B15,'DADOS BRUTOS'!H$3:H$500)+IF($C15="",0,SUMIF('DADOS BRUTOS'!$A$3:$A$500,$C15,'DADOS BRUTOS'!H$3:H$500)))</f>
        <v>0</v>
      </c>
      <c r="CI15" s="133" t="n">
        <f aca="false">IF(OR(CI$4="",$B15=""),0,SUMIF('DADOS BRUTOS'!$A$3:$A$500,$B15,'DADOS BRUTOS'!I$3:I$500)+IF($C15="",0,SUMIF('DADOS BRUTOS'!$A$3:$A$500,$C15,'DADOS BRUTOS'!I$3:I$500)))</f>
        <v>0</v>
      </c>
      <c r="CJ15" s="133" t="n">
        <f aca="false">IF(OR(CJ$4="",$B15=""),0,SUMIF('DADOS BRUTOS'!$A$3:$A$500,$B15,'DADOS BRUTOS'!J$3:J$500)+IF($C15="",0,SUMIF('DADOS BRUTOS'!$A$3:$A$500,$C15,'DADOS BRUTOS'!J$3:J$500)))</f>
        <v>0</v>
      </c>
      <c r="CK15" s="133" t="n">
        <f aca="false">IF(OR(CK$4="",$B15=""),0,SUMIF('DADOS BRUTOS'!$A$3:$A$500,$B15,'DADOS BRUTOS'!K$3:K$500)+IF($C15="",0,SUMIF('DADOS BRUTOS'!$A$3:$A$500,$C15,'DADOS BRUTOS'!K$3:K$500)))</f>
        <v>0</v>
      </c>
      <c r="CL15" s="133" t="n">
        <f aca="false">IF(OR(CL$4="",$B15=""),0,SUMIF('DADOS BRUTOS'!$A$3:$A$500,$B15,'DADOS BRUTOS'!L$3:L$500)+IF($C15="",0,SUMIF('DADOS BRUTOS'!$A$3:$A$500,$C15,'DADOS BRUTOS'!L$3:L$500)))</f>
        <v>0</v>
      </c>
      <c r="CM15" s="133" t="n">
        <f aca="false">IF(OR(CM$4="",$B15=""),0,SUMIF('DADOS BRUTOS'!$A$3:$A$500,$B15,'DADOS BRUTOS'!M$3:M$500)+IF($C15="",0,SUMIF('DADOS BRUTOS'!$A$3:$A$500,$C15,'DADOS BRUTOS'!M$3:M$500)))</f>
        <v>0</v>
      </c>
      <c r="CN15" s="133" t="n">
        <f aca="false">IF(OR(CN$4="",$B15=""),0,SUMIF('DADOS BRUTOS'!$A$3:$A$500,$B15,'DADOS BRUTOS'!N$3:N$500)+IF($C15="",0,SUMIF('DADOS BRUTOS'!$A$3:$A$500,$C15,'DADOS BRUTOS'!N$3:N$500)))</f>
        <v>0</v>
      </c>
      <c r="CO15" s="133" t="n">
        <f aca="false">IF(OR(CO$4="",$B15=""),0,SUMIF('DADOS BRUTOS'!$A$3:$A$500,$B15,'DADOS BRUTOS'!O$3:O$500)+IF($C15="",0,SUMIF('DADOS BRUTOS'!$A$3:$A$500,$C15,'DADOS BRUTOS'!O$3:O$500)))</f>
        <v>0</v>
      </c>
      <c r="CP15" s="133" t="n">
        <f aca="false">IF(OR(CP$4="",$B15=""),0,SUMIF('DADOS BRUTOS'!$A$3:$A$500,$B15,'DADOS BRUTOS'!P$3:P$500)+IF($C15="",0,SUMIF('DADOS BRUTOS'!$A$3:$A$500,$C15,'DADOS BRUTOS'!P$3:P$500)))</f>
        <v>0</v>
      </c>
      <c r="CQ15" s="133" t="n">
        <f aca="false">IF(OR(CQ$4="",$B15=""),0,SUMIF('DADOS BRUTOS'!$A$3:$A$500,$B15,'DADOS BRUTOS'!Q$3:Q$500)+IF($C15="",0,SUMIF('DADOS BRUTOS'!$A$3:$A$500,$C15,'DADOS BRUTOS'!Q$3:Q$500)))</f>
        <v>0</v>
      </c>
      <c r="CR15" s="133" t="n">
        <f aca="false">IF(OR(CR$4="",$B15=""),0,SUMIF('DADOS BRUTOS'!$A$3:$A$500,$B15,'DADOS BRUTOS'!R$3:R$500)+IF($C15="",0,SUMIF('DADOS BRUTOS'!$A$3:$A$500,$C15,'DADOS BRUTOS'!R$3:R$500)))</f>
        <v>0</v>
      </c>
      <c r="CS15" s="133" t="n">
        <f aca="false">IF(OR(CS$4="",$B15=""),0,SUMIF('DADOS BRUTOS'!$A$3:$A$500,$B15,'DADOS BRUTOS'!S$3:S$500)+IF($C15="",0,SUMIF('DADOS BRUTOS'!$A$3:$A$500,$C15,'DADOS BRUTOS'!S$3:S$500)))</f>
        <v>0</v>
      </c>
      <c r="CT15" s="133" t="n">
        <f aca="false">IF(OR(CT$4="",$B15=""),0,SUMIF('DADOS BRUTOS'!$A$3:$A$500,$B15,'DADOS BRUTOS'!T$3:T$500)+IF($C15="",0,SUMIF('DADOS BRUTOS'!$A$3:$A$500,$C15,'DADOS BRUTOS'!T$3:T$500)))</f>
        <v>0</v>
      </c>
      <c r="CU15" s="133" t="n">
        <f aca="false">IF(OR(CU$4="",$B15=""),0,SUMIF('DADOS BRUTOS'!$A$3:$A$500,$B15,'DADOS BRUTOS'!U$3:U$500)+IF($C15="",0,SUMIF('DADOS BRUTOS'!$A$3:$A$500,$C15,'DADOS BRUTOS'!U$3:U$500)))</f>
        <v>0</v>
      </c>
      <c r="CV15" s="133" t="n">
        <f aca="false">IF(OR(CV$4="",$B15=""),0,SUMIF('DADOS BRUTOS'!$A$3:$A$500,$B15,'DADOS BRUTOS'!V$3:V$500)+IF($C15="",0,SUMIF('DADOS BRUTOS'!$A$3:$A$500,$C15,'DADOS BRUTOS'!V$3:V$500)))</f>
        <v>0</v>
      </c>
      <c r="CW15" s="133" t="n">
        <f aca="false">IF(OR(CW$4="",$B15=""),0,SUMIF('DADOS BRUTOS'!$A$3:$A$500,$B15,'DADOS BRUTOS'!W$3:W$500)+IF($C15="",0,SUMIF('DADOS BRUTOS'!$A$3:$A$500,$C15,'DADOS BRUTOS'!W$3:W$500)))</f>
        <v>0</v>
      </c>
      <c r="CX15" s="133" t="n">
        <f aca="false">IF(OR(CX$4="",$B15=""),0,SUMIF('DADOS BRUTOS'!$A$3:$A$500,$B15,'DADOS BRUTOS'!X$3:X$500)+IF($C15="",0,SUMIF('DADOS BRUTOS'!$A$3:$A$500,$C15,'DADOS BRUTOS'!X$3:X$500)))</f>
        <v>0</v>
      </c>
      <c r="CY15" s="133" t="n">
        <f aca="false">IF(OR(CY$4="",$B15=""),0,SUMIF('DADOS BRUTOS'!$A$3:$A$500,$B15,'DADOS BRUTOS'!Y$3:Y$500)+IF($C15="",0,SUMIF('DADOS BRUTOS'!$A$3:$A$500,$C15,'DADOS BRUTOS'!Y$3:Y$500)))</f>
        <v>0</v>
      </c>
      <c r="CZ15" s="133" t="n">
        <f aca="false">IF(OR(CZ$4="",$B15=""),0,SUMIF('DADOS BRUTOS'!$A$3:$A$500,$B15,'DADOS BRUTOS'!Z$3:Z$500)+IF($C15="",0,SUMIF('DADOS BRUTOS'!$A$3:$A$500,$C15,'DADOS BRUTOS'!Z$3:Z$500)))</f>
        <v>0</v>
      </c>
      <c r="DA15" s="133" t="n">
        <f aca="false">IF(OR(DA$4="",$B15=""),0,SUMIF('DADOS BRUTOS'!$A$3:$A$500,$B15,'DADOS BRUTOS'!AA$3:AA$500)+IF($C15="",0,SUMIF('DADOS BRUTOS'!$A$3:$A$500,$C15,'DADOS BRUTOS'!AA$3:AA$500)))</f>
        <v>0</v>
      </c>
      <c r="DB15" s="133" t="n">
        <f aca="false">IF(OR(DB$4="",$B15=""),0,SUMIF('DADOS BRUTOS'!$A$3:$A$500,$B15,'DADOS BRUTOS'!AB$3:AB$500)+IF($C15="",0,SUMIF('DADOS BRUTOS'!$A$3:$A$500,$C15,'DADOS BRUTOS'!AB$3:AB$500)))</f>
        <v>0</v>
      </c>
      <c r="DC15" s="133" t="n">
        <f aca="false">IF(OR(DC$4="",$B15=""),0,SUMIF('DADOS BRUTOS'!$A$3:$A$500,$B15,'DADOS BRUTOS'!AC$3:AC$500)+IF($C15="",0,SUMIF('DADOS BRUTOS'!$A$3:$A$500,$C15,'DADOS BRUTOS'!AC$3:AC$500)))</f>
        <v>2529.95</v>
      </c>
      <c r="DD15" s="133" t="n">
        <f aca="false">IF(OR(DD$4="",$B15=""),0,SUMIF('DADOS BRUTOS'!$A$3:$A$500,$B15,'DADOS BRUTOS'!AD$3:AD$500)+IF($C15="",0,SUMIF('DADOS BRUTOS'!$A$3:$A$500,$C15,'DADOS BRUTOS'!AD$3:AD$500)))</f>
        <v>1233.27</v>
      </c>
      <c r="DE15" s="133" t="n">
        <f aca="false">IF(OR(DE$4="",$B15=""),0,SUMIF('DADOS BRUTOS'!$A$3:$A$500,$B15,'DADOS BRUTOS'!AE$3:AE$500)+IF($C15="",0,SUMIF('DADOS BRUTOS'!$A$3:$A$500,$C15,'DADOS BRUTOS'!AE$3:AE$500)))</f>
        <v>4428.43</v>
      </c>
      <c r="DF15" s="133" t="n">
        <f aca="false">IF(OR(DF$4="",$B15=""),0,SUMIF('DADOS BRUTOS'!$A$3:$A$500,$B15,'DADOS BRUTOS'!AF$3:AF$500)+IF($C15="",0,SUMIF('DADOS BRUTOS'!$A$3:$A$500,$C15,'DADOS BRUTOS'!AF$3:AF$500)))</f>
        <v>300.72</v>
      </c>
      <c r="DG15" s="133" t="n">
        <f aca="false">IF(OR(DG$4="",$B15=""),0,SUMIF('DADOS BRUTOS'!$A$3:$A$500,$B15,'DADOS BRUTOS'!AG$3:AG$500)+IF($C15="",0,SUMIF('DADOS BRUTOS'!$A$3:$A$500,$C15,'DADOS BRUTOS'!AG$3:AG$500)))</f>
        <v>0</v>
      </c>
      <c r="DH15" s="133" t="n">
        <f aca="false">IF(OR(DH$4="",$B15=""),0,SUMIF('DADOS BRUTOS'!$A$3:$A$500,$B15,'DADOS BRUTOS'!AH$3:AH$500)+IF($C15="",0,SUMIF('DADOS BRUTOS'!$A$3:$A$500,$C15,'DADOS BRUTOS'!AH$3:AH$500)))</f>
        <v>500</v>
      </c>
      <c r="DI15" s="133" t="n">
        <f aca="false">IF(OR(DI$4="",$B15=""),0,SUMIF('DADOS BRUTOS'!$A$3:$A$500,$B15,'DADOS BRUTOS'!AI$3:AI$500)+IF($C15="",0,SUMIF('DADOS BRUTOS'!$A$3:$A$500,$C15,'DADOS BRUTOS'!AI$3:AI$500)))</f>
        <v>0</v>
      </c>
      <c r="DJ15" s="133" t="n">
        <f aca="false">IF(OR(DJ$4="",$B15=""),0,SUMIF('DADOS BRUTOS'!$A$3:$A$500,$B15,'DADOS BRUTOS'!AJ$3:AJ$500)+IF($C15="",0,SUMIF('DADOS BRUTOS'!$A$3:$A$500,$C15,'DADOS BRUTOS'!AJ$3:AJ$500)))</f>
        <v>6150</v>
      </c>
      <c r="DK15" s="133" t="n">
        <f aca="false">IF(OR(DK$4="",$B15=""),0,SUMIF('DADOS BRUTOS'!$A$3:$A$500,$B15,'DADOS BRUTOS'!AK$3:AK$500)+IF($C15="",0,SUMIF('DADOS BRUTOS'!$A$3:$A$500,$C15,'DADOS BRUTOS'!AK$3:AK$500)))</f>
        <v>36234.96</v>
      </c>
      <c r="DL15" s="133" t="n">
        <f aca="false">IF(OR(DL$4="",$B15=""),0,SUMIF('DADOS BRUTOS'!$A$3:$A$500,$B15,'DADOS BRUTOS'!AL$3:AL$500)+IF($C15="",0,SUMIF('DADOS BRUTOS'!$A$3:$A$500,$C15,'DADOS BRUTOS'!AL$3:AL$500)))</f>
        <v>20280.07</v>
      </c>
      <c r="DM15" s="133" t="n">
        <f aca="false">IF(OR(DM$4="",$B15=""),0,SUMIF('DADOS BRUTOS'!$A$3:$A$500,$B15,'DADOS BRUTOS'!AM$3:AM$500)+IF($C15="",0,SUMIF('DADOS BRUTOS'!$A$3:$A$500,$C15,'DADOS BRUTOS'!AM$3:AM$500)))</f>
        <v>63840.43</v>
      </c>
      <c r="DN15" s="133" t="n">
        <f aca="false">IF(OR(DN$4="",$B15=""),0,SUMIF('DADOS BRUTOS'!$A$3:$A$500,$B15,'DADOS BRUTOS'!AN$3:AN$500)+IF($C15="",0,SUMIF('DADOS BRUTOS'!$A$3:$A$500,$C15,'DADOS BRUTOS'!AN$3:AN$500)))</f>
        <v>23229.91</v>
      </c>
      <c r="DO15" s="133" t="n">
        <f aca="false">IF(OR(DO$4="",$B15=""),0,SUMIF('DADOS BRUTOS'!$A$3:$A$500,$B15,'DADOS BRUTOS'!AO$3:AO$500)+IF($C15="",0,SUMIF('DADOS BRUTOS'!$A$3:$A$500,$C15,'DADOS BRUTOS'!AO$3:AO$500)))</f>
        <v>36806</v>
      </c>
      <c r="DP15" s="133" t="n">
        <f aca="false">IF(OR(DP$4="",$B15=""),0,SUMIF('DADOS BRUTOS'!$A$3:$A$500,$B15,'DADOS BRUTOS'!AP$3:AP$500)+IF($C15="",0,SUMIF('DADOS BRUTOS'!$A$3:$A$500,$C15,'DADOS BRUTOS'!AP$3:AP$500)))</f>
        <v>17148.68</v>
      </c>
      <c r="DQ15" s="133" t="n">
        <f aca="false">IF(OR(DQ$4="",$B15=""),0,SUMIF('DADOS BRUTOS'!$A$3:$A$500,$B15,'DADOS BRUTOS'!AQ$3:AQ$500)+IF($C15="",0,SUMIF('DADOS BRUTOS'!$A$3:$A$500,$C15,'DADOS BRUTOS'!AQ$3:AQ$500)))</f>
        <v>21563.76</v>
      </c>
      <c r="DR15" s="133" t="n">
        <f aca="false">IF(OR(DR$4="",$B15=""),0,SUMIF('DADOS BRUTOS'!$A$3:$A$500,$B15,'DADOS BRUTOS'!AR$3:AR$500)+IF($C15="",0,SUMIF('DADOS BRUTOS'!$A$3:$A$500,$C15,'DADOS BRUTOS'!AR$3:AR$500)))</f>
        <v>34597.8</v>
      </c>
      <c r="DS15" s="133" t="n">
        <f aca="false">IF(OR(DS$4="",$B15=""),0,SUMIF('DADOS BRUTOS'!$A$3:$A$500,$B15,'DADOS BRUTOS'!AS$3:AS$500)+IF($C15="",0,SUMIF('DADOS BRUTOS'!$A$3:$A$500,$C15,'DADOS BRUTOS'!AS$3:AS$500)))</f>
        <v>100603.75</v>
      </c>
      <c r="DT15" s="133" t="n">
        <f aca="false">IF(OR(DT$4="",$B15=""),0,SUMIF('DADOS BRUTOS'!$A$3:$A$500,$B15,'DADOS BRUTOS'!AT$3:AT$500)+IF($C15="",0,SUMIF('DADOS BRUTOS'!$A$3:$A$500,$C15,'DADOS BRUTOS'!AT$3:AT$500)))</f>
        <v>58690.57</v>
      </c>
      <c r="DU15" s="133" t="n">
        <f aca="false">IF(OR(DU$4="",$B15=""),0,SUMIF('DADOS BRUTOS'!$A$3:$A$500,$B15,'DADOS BRUTOS'!AU$3:AU$500)+IF($C15="",0,SUMIF('DADOS BRUTOS'!$A$3:$A$500,$C15,'DADOS BRUTOS'!AU$3:AU$500)))</f>
        <v>55385.66</v>
      </c>
      <c r="DV15" s="133" t="n">
        <f aca="false">IF(OR(DV$4="",$B15=""),0,SUMIF('DADOS BRUTOS'!$A$3:$A$500,$B15,'DADOS BRUTOS'!AV$3:AV$500)+IF($C15="",0,SUMIF('DADOS BRUTOS'!$A$3:$A$500,$C15,'DADOS BRUTOS'!AV$3:AV$500)))</f>
        <v>73367.92</v>
      </c>
      <c r="DW15" s="133" t="n">
        <f aca="false">IF(OR(DW$4="",$B15=""),0,SUMIF('DADOS BRUTOS'!$A$3:$A$500,$B15,'DADOS BRUTOS'!AW$3:AW$500)+IF($C15="",0,SUMIF('DADOS BRUTOS'!$A$3:$A$500,$C15,'DADOS BRUTOS'!AW$3:AW$500)))</f>
        <v>160755.39</v>
      </c>
      <c r="DX15" s="133" t="n">
        <f aca="false">IF(OR(DX$4="",$B15=""),0,SUMIF('DADOS BRUTOS'!$A$3:$A$500,$B15,'DADOS BRUTOS'!AX$3:AX$500)+IF($C15="",0,SUMIF('DADOS BRUTOS'!$A$3:$A$500,$C15,'DADOS BRUTOS'!AX$3:AX$500)))</f>
        <v>353104.5</v>
      </c>
      <c r="DY15" s="133" t="n">
        <f aca="false">IF(OR(DY$4="",$B15=""),0,SUMIF('DADOS BRUTOS'!$A$3:$A$500,$B15,'DADOS BRUTOS'!AY$3:AY$500)+IF($C15="",0,SUMIF('DADOS BRUTOS'!$A$3:$A$500,$C15,'DADOS BRUTOS'!AY$3:AY$500)))</f>
        <v>181064.72</v>
      </c>
      <c r="DZ15" s="133" t="n">
        <f aca="false">IF(OR(DZ$4="",$B15=""),0,SUMIF('DADOS BRUTOS'!$A$3:$A$500,$B15,'DADOS BRUTOS'!AZ$3:AZ$500)+IF($C15="",0,SUMIF('DADOS BRUTOS'!$A$3:$A$500,$C15,'DADOS BRUTOS'!AZ$3:AZ$500)))</f>
        <v>192488.66</v>
      </c>
      <c r="EA15" s="133" t="n">
        <f aca="false">IF(OR(EA$4="",$B15=""),0,SUMIF('DADOS BRUTOS'!$A$3:$A$500,$B15,'DADOS BRUTOS'!BA$3:BA$500)+IF($C15="",0,SUMIF('DADOS BRUTOS'!$A$3:$A$500,$C15,'DADOS BRUTOS'!BA$3:BA$500)))</f>
        <v>227238.92</v>
      </c>
      <c r="EB15" s="133" t="n">
        <f aca="false">IF(OR(EB$4="",$B15=""),0,SUMIF('DADOS BRUTOS'!$A$3:$A$500,$B15,'DADOS BRUTOS'!BB$3:BB$500)+IF($C15="",0,SUMIF('DADOS BRUTOS'!$A$3:$A$500,$C15,'DADOS BRUTOS'!BB$3:BB$500)))</f>
        <v>207373.28</v>
      </c>
      <c r="EC15" s="133" t="n">
        <f aca="false">IF(OR(EC$4="",$B15=""),0,SUMIF('DADOS BRUTOS'!$A$3:$A$500,$B15,'DADOS BRUTOS'!BC$3:BC$500)+IF($C15="",0,SUMIF('DADOS BRUTOS'!$A$3:$A$500,$C15,'DADOS BRUTOS'!BC$3:BC$500)))</f>
        <v>276382.65</v>
      </c>
      <c r="ED15" s="133" t="n">
        <f aca="false">IF(OR(ED$4="",$B15=""),0,SUMIF('DADOS BRUTOS'!$A$3:$A$500,$B15,'DADOS BRUTOS'!BD$3:BD$500)+IF($C15="",0,SUMIF('DADOS BRUTOS'!$A$3:$A$500,$C15,'DADOS BRUTOS'!BD$3:BD$500)))</f>
        <v>121913.73</v>
      </c>
      <c r="EE15" s="133" t="n">
        <f aca="false">IF(OR(EE$4="",$B15=""),0,SUMIF('DADOS BRUTOS'!$A$3:$A$500,$B15,'DADOS BRUTOS'!BE$3:BE$500)+IF($C15="",0,SUMIF('DADOS BRUTOS'!$A$3:$A$500,$C15,'DADOS BRUTOS'!BE$3:BE$500)))</f>
        <v>69406.09</v>
      </c>
      <c r="EF15" s="133" t="n">
        <f aca="false">IF(OR(EF$4="",$B15=""),0,SUMIF('DADOS BRUTOS'!$A$3:$A$500,$B15,'DADOS BRUTOS'!BF$3:BF$500)+IF($C15="",0,SUMIF('DADOS BRUTOS'!$A$3:$A$500,$C15,'DADOS BRUTOS'!BF$3:BF$500)))</f>
        <v>17182.87</v>
      </c>
      <c r="EG15" s="133" t="n">
        <f aca="false">IF(OR(EG$4="",$B15=""),0,SUMIF('DADOS BRUTOS'!$A$3:$A$500,$B15,'DADOS BRUTOS'!BG$3:BG$500)+IF($C15="",0,SUMIF('DADOS BRUTOS'!$A$3:$A$500,$C15,'DADOS BRUTOS'!BG$3:BG$500)))</f>
        <v>16426</v>
      </c>
      <c r="EH15" s="133" t="n">
        <f aca="false">IF(OR(EH$4="",$B15=""),0,SUMIF('DADOS BRUTOS'!$A$3:$A$500,$B15,'DADOS BRUTOS'!BH$3:BH$500)+IF($C15="",0,SUMIF('DADOS BRUTOS'!$A$3:$A$500,$C15,'DADOS BRUTOS'!BH$3:BH$500)))</f>
        <v>16426</v>
      </c>
      <c r="EI15" s="133" t="n">
        <f aca="false">IF(OR(EI$4="",$B15=""),0,SUMIF('DADOS BRUTOS'!$A$3:$A$500,$B15,'DADOS BRUTOS'!BI$3:BI$500)+IF($C15="",0,SUMIF('DADOS BRUTOS'!$A$3:$A$500,$C15,'DADOS BRUTOS'!BI$3:BI$500)))</f>
        <v>16426</v>
      </c>
      <c r="EJ15" s="133" t="n">
        <f aca="false">IF(OR(EJ$4="",$B15=""),0,SUMIF('DADOS BRUTOS'!$A$3:$A$500,$B15,'DADOS BRUTOS'!BJ$3:BJ$500)+IF($C15="",0,SUMIF('DADOS BRUTOS'!$A$3:$A$500,$C15,'DADOS BRUTOS'!BJ$3:BJ$500)))</f>
        <v>16426</v>
      </c>
      <c r="EK15" s="133" t="n">
        <f aca="false">IF(OR(EK$4="",$B15=""),0,SUMIF('DADOS BRUTOS'!$A$3:$A$500,$B15,'DADOS BRUTOS'!BK$3:BK$500)+IF($C15="",0,SUMIF('DADOS BRUTOS'!$A$3:$A$500,$C15,'DADOS BRUTOS'!BK$3:BK$500)))</f>
        <v>16426</v>
      </c>
      <c r="EL15" s="133" t="n">
        <f aca="false">IF(OR(EL$4="",$B15=""),0,SUMIF('DADOS BRUTOS'!$A$3:$A$500,$B15,'DADOS BRUTOS'!BL$3:BL$500)+IF($C15="",0,SUMIF('DADOS BRUTOS'!$A$3:$A$500,$C15,'DADOS BRUTOS'!BL$3:BL$500)))</f>
        <v>16426</v>
      </c>
      <c r="EM15" s="133" t="n">
        <f aca="false">IF(OR(EM$4="",$B15=""),0,SUMIF('DADOS BRUTOS'!$A$3:$A$500,$B15,'DADOS BRUTOS'!BM$3:BM$500)+IF($C15="",0,SUMIF('DADOS BRUTOS'!$A$3:$A$500,$C15,'DADOS BRUTOS'!BM$3:BM$500)))</f>
        <v>16916</v>
      </c>
      <c r="EN15" s="133" t="n">
        <f aca="false">IF(OR(EN$4="",$B15=""),0,SUMIF('DADOS BRUTOS'!$A$3:$A$500,$B15,'DADOS BRUTOS'!BN$3:BN$500)+IF($C15="",0,SUMIF('DADOS BRUTOS'!$A$3:$A$500,$C15,'DADOS BRUTOS'!BN$3:BN$500)))</f>
        <v>16426</v>
      </c>
      <c r="EO15" s="133" t="n">
        <f aca="false">IF(OR(EO$4="",$B15=""),0,SUMIF('DADOS BRUTOS'!$A$3:$A$500,$B15,'DADOS BRUTOS'!BO$3:BO$500)+IF($C15="",0,SUMIF('DADOS BRUTOS'!$A$3:$A$500,$C15,'DADOS BRUTOS'!BO$3:BO$500)))</f>
        <v>16426</v>
      </c>
      <c r="EP15" s="133" t="n">
        <f aca="false">IF(OR(EP$4="",$B15=""),0,SUMIF('DADOS BRUTOS'!$A$3:$A$500,$B15,'DADOS BRUTOS'!BP$3:BP$500)+IF($C15="",0,SUMIF('DADOS BRUTOS'!$A$3:$A$500,$C15,'DADOS BRUTOS'!BP$3:BP$500)))</f>
        <v>16426</v>
      </c>
      <c r="EQ15" s="133" t="n">
        <f aca="false">IF(OR(EQ$4="",$B15=""),0,SUMIF('DADOS BRUTOS'!$A$3:$A$500,$B15,'DADOS BRUTOS'!BQ$3:BQ$500)+IF($C15="",0,SUMIF('DADOS BRUTOS'!$A$3:$A$500,$C15,'DADOS BRUTOS'!BQ$3:BQ$500)))</f>
        <v>16426</v>
      </c>
      <c r="ER15" s="133" t="n">
        <f aca="false">IF(OR(ER$4="",$B15=""),0,SUMIF('DADOS BRUTOS'!$A$3:$A$500,$B15,'DADOS BRUTOS'!BR$3:BR$500)+IF($C15="",0,SUMIF('DADOS BRUTOS'!$A$3:$A$500,$C15,'DADOS BRUTOS'!BR$3:BR$500)))</f>
        <v>16426</v>
      </c>
      <c r="ES15" s="133" t="n">
        <f aca="false">IF(OR(ES$4="",$B15=""),0,SUMIF('DADOS BRUTOS'!$A$3:$A$500,$B15,'DADOS BRUTOS'!BS$3:BS$500)+IF($C15="",0,SUMIF('DADOS BRUTOS'!$A$3:$A$500,$C15,'DADOS BRUTOS'!BS$3:BS$500)))</f>
        <v>16426</v>
      </c>
      <c r="ET15" s="133" t="n">
        <f aca="false">IF(OR(ET$4="",$B15=""),0,SUMIF('DADOS BRUTOS'!$A$3:$A$500,$B15,'DADOS BRUTOS'!BT$3:BT$500)+IF($C15="",0,SUMIF('DADOS BRUTOS'!$A$3:$A$500,$C15,'DADOS BRUTOS'!BT$3:BT$500)))</f>
        <v>16426</v>
      </c>
      <c r="EU15" s="133" t="n">
        <f aca="false">IF(OR(EU$4="",$B15=""),0,SUMIF('DADOS BRUTOS'!$A$3:$A$500,$B15,'DADOS BRUTOS'!BU$3:BU$500)+IF($C15="",0,SUMIF('DADOS BRUTOS'!$A$3:$A$500,$C15,'DADOS BRUTOS'!BU$3:BU$500)))</f>
        <v>16426</v>
      </c>
      <c r="EV15" s="133" t="n">
        <f aca="false">IF(OR(EV$4="",$B15=""),0,SUMIF('DADOS BRUTOS'!$A$3:$A$500,$B15,'DADOS BRUTOS'!BV$3:BV$500)+IF($C15="",0,SUMIF('DADOS BRUTOS'!$A$3:$A$500,$C15,'DADOS BRUTOS'!BV$3:BV$500)))</f>
        <v>16426</v>
      </c>
      <c r="EW15" s="133" t="n">
        <f aca="false">IF(OR(EW$4="",$B15=""),0,SUMIF('DADOS BRUTOS'!$A$3:$A$500,$B15,'DADOS BRUTOS'!BW$3:BW$500)+IF($C15="",0,SUMIF('DADOS BRUTOS'!$A$3:$A$500,$C15,'DADOS BRUTOS'!BW$3:BW$500)))</f>
        <v>25397.79</v>
      </c>
      <c r="EX15" s="133" t="n">
        <f aca="false">IF(OR(EX$4="",$B15=""),0,SUMIF('DADOS BRUTOS'!$A$3:$A$500,$B15,'DADOS BRUTOS'!BX$3:BX$500)+IF($C15="",0,SUMIF('DADOS BRUTOS'!$A$3:$A$500,$C15,'DADOS BRUTOS'!BX$3:BX$500)))</f>
        <v>16426</v>
      </c>
      <c r="EY15" s="133" t="n">
        <f aca="false">IF(OR(EY$4="",$B15=""),0,SUMIF('DADOS BRUTOS'!$A$3:$A$500,$B15,'DADOS BRUTOS'!BY$3:BY$500)+IF($C15="",0,SUMIF('DADOS BRUTOS'!$A$3:$A$500,$C15,'DADOS BRUTOS'!BY$3:BY$500)))</f>
        <v>27381.74</v>
      </c>
      <c r="EZ15" s="133" t="n">
        <f aca="false">IF(OR(EZ$4="",$B15=""),0,SUMIF('DADOS BRUTOS'!$A$3:$A$500,$B15,'DADOS BRUTOS'!BZ$3:BZ$500)+IF($C15="",0,SUMIF('DADOS BRUTOS'!$A$3:$A$500,$C15,'DADOS BRUTOS'!BZ$3:BZ$500)))</f>
        <v>16876</v>
      </c>
      <c r="FA15" s="133" t="n">
        <f aca="false">IF(OR(FA$4="",$B15=""),0,SUMIF('DADOS BRUTOS'!$A$3:$A$500,$B15,'DADOS BRUTOS'!CA$3:CA$500)+IF($C15="",0,SUMIF('DADOS BRUTOS'!$A$3:$A$500,$C15,'DADOS BRUTOS'!CA$3:CA$500)))</f>
        <v>16426</v>
      </c>
      <c r="FB15" s="133" t="n">
        <f aca="false">IF(OR(FB$4="",$B15=""),0,SUMIF('DADOS BRUTOS'!$A$3:$A$500,$B15,'DADOS BRUTOS'!CB$3:CB$500)+IF($C15="",0,SUMIF('DADOS BRUTOS'!$A$3:$A$500,$C15,'DADOS BRUTOS'!CB$3:CB$500)))</f>
        <v>16426</v>
      </c>
      <c r="FC15" s="133" t="n">
        <f aca="false">IF(OR(FC$4="",$B15=""),0,SUMIF('DADOS BRUTOS'!$A$3:$A$500,$B15,'DADOS BRUTOS'!CC$3:CC$500)+IF($C15="",0,SUMIF('DADOS BRUTOS'!$A$3:$A$500,$C15,'DADOS BRUTOS'!CC$3:CC$500)))</f>
        <v>16426</v>
      </c>
      <c r="FD15" s="133" t="n">
        <f aca="false">IF(OR(FD$4="",$B15=""),0,SUMIF('DADOS BRUTOS'!$A$3:$A$500,$B15,'DADOS BRUTOS'!CD$3:CD$500)+IF($C15="",0,SUMIF('DADOS BRUTOS'!$A$3:$A$500,$C15,'DADOS BRUTOS'!CD$3:CD$500)))</f>
        <v>16426</v>
      </c>
      <c r="FE15" s="133" t="n">
        <f aca="false">IF(OR(FE$4="",$B15=""),0,SUMIF('DADOS BRUTOS'!$A$3:$A$500,$B15,'DADOS BRUTOS'!CE$3:CE$500)+IF($C15="",0,SUMIF('DADOS BRUTOS'!$A$3:$A$500,$C15,'DADOS BRUTOS'!CE$3:CE$500)))</f>
        <v>16426</v>
      </c>
      <c r="FF15" s="133" t="n">
        <f aca="false">IF(OR(FF$4="",$B15=""),0,SUMIF('DADOS BRUTOS'!$A$3:$A$500,$B15,'DADOS BRUTOS'!CF$3:CF$500)+IF($C15="",0,SUMIF('DADOS BRUTOS'!$A$3:$A$500,$C15,'DADOS BRUTOS'!CF$3:CF$500)))</f>
        <v>16426</v>
      </c>
      <c r="FG15" s="133" t="n">
        <f aca="false">IF(OR(FG$4="",$B15=""),0,SUMIF('DADOS BRUTOS'!$A$3:$A$500,$B15,'DADOS BRUTOS'!CG$3:CG$500)+IF($C15="",0,SUMIF('DADOS BRUTOS'!$A$3:$A$500,$C15,'DADOS BRUTOS'!CG$3:CG$500)))</f>
        <v>16426</v>
      </c>
      <c r="FH15" s="133" t="n">
        <f aca="false">IF(OR(FH$4="",$B15=""),0,SUMIF('DADOS BRUTOS'!$A$3:$A$500,$B15,'DADOS BRUTOS'!CH$3:CH$500)+IF($C15="",0,SUMIF('DADOS BRUTOS'!$A$3:$A$500,$C15,'DADOS BRUTOS'!CH$3:CH$500)))</f>
        <v>16426</v>
      </c>
      <c r="FI15" s="133" t="n">
        <f aca="false">IF(OR(FI$4="",$B15=""),0,SUMIF('DADOS BRUTOS'!$A$3:$A$500,$B15,'DADOS BRUTOS'!CI$3:CI$500)+IF($C15="",0,SUMIF('DADOS BRUTOS'!$A$3:$A$500,$C15,'DADOS BRUTOS'!CI$3:CI$500)))</f>
        <v>16426</v>
      </c>
      <c r="FJ15" s="133" t="n">
        <f aca="false">IF(OR(FJ$4="",$B15=""),0,SUMIF('DADOS BRUTOS'!$A$3:$A$500,$B15,'DADOS BRUTOS'!CJ$3:CJ$500)+IF($C15="",0,SUMIF('DADOS BRUTOS'!$A$3:$A$500,$C15,'DADOS BRUTOS'!CJ$3:CJ$500)))</f>
        <v>16426</v>
      </c>
      <c r="FK15" s="133" t="n">
        <f aca="false">IF(OR(FK$4="",$B15=""),0,SUMIF('DADOS BRUTOS'!$A$3:$A$500,$B15,'DADOS BRUTOS'!CK$3:CK$500)+IF($C15="",0,SUMIF('DADOS BRUTOS'!$A$3:$A$500,$C15,'DADOS BRUTOS'!CK$3:CK$500)))</f>
        <v>16428</v>
      </c>
      <c r="FL15" s="133" t="n">
        <f aca="false">IF(OR(FL$4="",$B15=""),0,SUMIF('DADOS BRUTOS'!$A$3:$A$500,$B15,'DADOS BRUTOS'!CL$3:CL$500)+IF($C15="",0,SUMIF('DADOS BRUTOS'!$A$3:$A$500,$C15,'DADOS BRUTOS'!CL$3:CL$500)))</f>
        <v>0</v>
      </c>
      <c r="FM15" s="133" t="n">
        <f aca="false">IF(OR(FM$4="",$B15=""),0,SUMIF('DADOS BRUTOS'!$A$3:$A$500,$B15,'DADOS BRUTOS'!CM$3:CM$500)+IF($C15="",0,SUMIF('DADOS BRUTOS'!$A$3:$A$500,$C15,'DADOS BRUTOS'!CM$3:CM$500)))</f>
        <v>0</v>
      </c>
      <c r="FN15" s="133" t="n">
        <f aca="false">IF(OR(FN$4="",$B15=""),0,SUMIF('DADOS BRUTOS'!$A$3:$A$500,$B15,'DADOS BRUTOS'!CN$3:CN$500)+IF($C15="",0,SUMIF('DADOS BRUTOS'!$A$3:$A$500,$C15,'DADOS BRUTOS'!CN$3:CN$500)))</f>
        <v>0</v>
      </c>
      <c r="FO15" s="133" t="n">
        <f aca="false">IF(OR(FO$4="",$B15=""),0,SUMIF('DADOS BRUTOS'!$A$3:$A$500,$B15,'DADOS BRUTOS'!CO$3:CO$500)+IF($C15="",0,SUMIF('DADOS BRUTOS'!$A$3:$A$500,$C15,'DADOS BRUTOS'!CO$3:CO$500)))</f>
        <v>0</v>
      </c>
      <c r="FP15" s="133" t="n">
        <f aca="false">IF(OR(FP$4="",$B15=""),0,SUMIF('DADOS BRUTOS'!$A$3:$A$500,$B15,'DADOS BRUTOS'!CP$3:CP$500)+IF($C15="",0,SUMIF('DADOS BRUTOS'!$A$3:$A$500,$C15,'DADOS BRUTOS'!CP$3:CP$500)))</f>
        <v>0</v>
      </c>
      <c r="FQ15" s="133" t="n">
        <f aca="false">IF(OR(FQ$4="",$B15=""),0,SUMIF('DADOS BRUTOS'!$A$3:$A$500,$B15,'DADOS BRUTOS'!CQ$3:CQ$500)+IF($C15="",0,SUMIF('DADOS BRUTOS'!$A$3:$A$500,$C15,'DADOS BRUTOS'!CQ$3:CQ$500)))</f>
        <v>0</v>
      </c>
      <c r="FR15" s="133" t="n">
        <f aca="false">IF(OR(FR$4="",$B15=""),0,SUMIF('DADOS BRUTOS'!$A$3:$A$500,$B15,'DADOS BRUTOS'!CR$3:CR$500)+IF($C15="",0,SUMIF('DADOS BRUTOS'!$A$3:$A$500,$C15,'DADOS BRUTOS'!CR$3:CR$500)))</f>
        <v>0</v>
      </c>
      <c r="FS15" s="133" t="n">
        <f aca="false">IF(OR(FS$4="",$B15=""),0,SUMIF('DADOS BRUTOS'!$A$3:$A$500,$B15,'DADOS BRUTOS'!CS$3:CS$500)+IF($C15="",0,SUMIF('DADOS BRUTOS'!$A$3:$A$500,$C15,'DADOS BRUTOS'!CS$3:CS$500)))</f>
        <v>0</v>
      </c>
      <c r="FT15" s="133" t="n">
        <f aca="false">IF(OR(FT$4="",$B15=""),0,SUMIF('DADOS BRUTOS'!$A$3:$A$500,$B15,'DADOS BRUTOS'!CT$3:CT$500)+IF($C15="",0,SUMIF('DADOS BRUTOS'!$A$3:$A$500,$C15,'DADOS BRUTOS'!CT$3:CT$500)))</f>
        <v>0</v>
      </c>
      <c r="FU15" s="133" t="n">
        <f aca="false">IF(OR(FU$4="",$B15=""),0,SUMIF('DADOS BRUTOS'!$A$3:$A$500,$B15,'DADOS BRUTOS'!CU$3:CU$500)+IF($C15="",0,SUMIF('DADOS BRUTOS'!$A$3:$A$500,$C15,'DADOS BRUTOS'!CU$3:CU$500)))</f>
        <v>0</v>
      </c>
      <c r="FV15" s="133" t="n">
        <f aca="false">IF(OR(FV$4="",$B15=""),0,SUMIF('DADOS BRUTOS'!$A$3:$A$500,$B15,'DADOS BRUTOS'!CV$3:CV$500)+IF($C15="",0,SUMIF('DADOS BRUTOS'!$A$3:$A$500,$C15,'DADOS BRUTOS'!CV$3:CV$500)))</f>
        <v>0</v>
      </c>
      <c r="FW15" s="133" t="n">
        <f aca="false">IF(OR(FW$4="",$B15=""),0,SUMIF('DADOS BRUTOS'!$A$3:$A$500,$B15,'DADOS BRUTOS'!CW$3:CW$500)+IF($C15="",0,SUMIF('DADOS BRUTOS'!$A$3:$A$500,$C15,'DADOS BRUTOS'!CW$3:CW$500)))</f>
        <v>0</v>
      </c>
      <c r="FX15" s="133" t="n">
        <f aca="false">IF(OR(FX$4="",$B15=""),0,SUMIF('DADOS BRUTOS'!$A$3:$A$500,$B15,'DADOS BRUTOS'!CX$3:CX$500)+IF($C15="",0,SUMIF('DADOS BRUTOS'!$A$3:$A$500,$C15,'DADOS BRUTOS'!CX$3:CX$500)))</f>
        <v>0</v>
      </c>
      <c r="FY15" s="133" t="n">
        <f aca="false">IF(OR(FY$4="",$B15=""),0,SUMIF('DADOS BRUTOS'!$A$3:$A$500,$B15,'DADOS BRUTOS'!CY$3:CY$500)+IF($C15="",0,SUMIF('DADOS BRUTOS'!$A$3:$A$500,$C15,'DADOS BRUTOS'!CY$3:CY$500)))</f>
        <v>0</v>
      </c>
      <c r="FZ15" s="133" t="n">
        <f aca="false">IF(OR(FZ$4="",$B15=""),0,SUMIF('DADOS BRUTOS'!$A$3:$A$500,$B15,'DADOS BRUTOS'!CZ$3:CZ$500)+IF($C15="",0,SUMIF('DADOS BRUTOS'!$A$3:$A$500,$C15,'DADOS BRUTOS'!CZ$3:CZ$500)))</f>
        <v>0</v>
      </c>
      <c r="GA15" s="133" t="n">
        <f aca="false">IF(OR(GA$4="",$B15=""),0,SUMIF('DADOS BRUTOS'!$A$3:$A$500,$B15,'DADOS BRUTOS'!DA$3:DA$500)+IF($C15="",0,SUMIF('DADOS BRUTOS'!$A$3:$A$500,$C15,'DADOS BRUTOS'!DA$3:DA$500)))</f>
        <v>0</v>
      </c>
      <c r="GB15" s="133" t="n">
        <f aca="false">IF(OR(GB$4="",$B15=""),0,SUMIF('DADOS BRUTOS'!$A$3:$A$500,$B15,'DADOS BRUTOS'!DB$3:DB$500)+IF($C15="",0,SUMIF('DADOS BRUTOS'!$A$3:$A$500,$C15,'DADOS BRUTOS'!DB$3:DB$500)))</f>
        <v>0</v>
      </c>
      <c r="GC15" s="133" t="n">
        <f aca="false">IF(OR(GC$4="",$B15=""),0,SUMIF('DADOS BRUTOS'!$A$3:$A$500,$B15,'DADOS BRUTOS'!DC$3:DC$500)+IF($C15="",0,SUMIF('DADOS BRUTOS'!$A$3:$A$500,$C15,'DADOS BRUTOS'!DC$3:DC$500)))</f>
        <v>0</v>
      </c>
      <c r="GD15" s="133" t="n">
        <f aca="false">IF(OR(GD$4="",$B15=""),0,SUMIF('DADOS BRUTOS'!$A$3:$A$500,$B15,'DADOS BRUTOS'!DD$3:DD$500)+IF($C15="",0,SUMIF('DADOS BRUTOS'!$A$3:$A$500,$C15,'DADOS BRUTOS'!DD$3:DD$500)))</f>
        <v>0</v>
      </c>
      <c r="GE15" s="133" t="n">
        <f aca="false">IF(OR(GE$4="",$B15=""),0,SUMIF('DADOS BRUTOS'!$A$3:$A$500,$B15,'DADOS BRUTOS'!DE$3:DE$500)+IF($C15="",0,SUMIF('DADOS BRUTOS'!$A$3:$A$500,$C15,'DADOS BRUTOS'!DE$3:DE$500)))</f>
        <v>0</v>
      </c>
      <c r="GF15" s="133" t="n">
        <f aca="false">IF(OR(GF$4="",$B15=""),0,SUMIF('DADOS BRUTOS'!$A$3:$A$500,$B15,'DADOS BRUTOS'!DF$3:DF$500)+IF($C15="",0,SUMIF('DADOS BRUTOS'!$A$3:$A$500,$C15,'DADOS BRUTOS'!DF$3:DF$500)))</f>
        <v>0</v>
      </c>
      <c r="GG15" s="133" t="n">
        <f aca="false">IF(OR(GG$4="",$B15=""),0,SUMIF('DADOS BRUTOS'!$A$3:$A$500,$B15,'DADOS BRUTOS'!DG$3:DG$500)+IF($C15="",0,SUMIF('DADOS BRUTOS'!$A$3:$A$500,$C15,'DADOS BRUTOS'!DG$3:DG$500)))</f>
        <v>0</v>
      </c>
      <c r="GH15" s="133" t="n">
        <f aca="false">IF(OR(GH$4="",$B15=""),0,SUMIF('DADOS BRUTOS'!$A$3:$A$500,$B15,'DADOS BRUTOS'!DH$3:DH$500)+IF($C15="",0,SUMIF('DADOS BRUTOS'!$A$3:$A$500,$C15,'DADOS BRUTOS'!DH$3:DH$500)))</f>
        <v>0</v>
      </c>
      <c r="GI15" s="133" t="n">
        <f aca="false">IF(OR(GI$4="",$B15=""),0,SUMIF('DADOS BRUTOS'!$A$3:$A$500,$B15,'DADOS BRUTOS'!DI$3:DI$500)+IF($C15="",0,SUMIF('DADOS BRUTOS'!$A$3:$A$500,$C15,'DADOS BRUTOS'!DI$3:DI$500)))</f>
        <v>0</v>
      </c>
      <c r="GJ15" s="133" t="n">
        <f aca="false">IF(OR(GJ$4="",$B15=""),0,SUMIF('DADOS BRUTOS'!$A$3:$A$500,$B15,'DADOS BRUTOS'!DJ$3:DJ$500)+IF($C15="",0,SUMIF('DADOS BRUTOS'!$A$3:$A$500,$C15,'DADOS BRUTOS'!DJ$3:DJ$500)))</f>
        <v>0</v>
      </c>
      <c r="GK15" s="133" t="n">
        <f aca="false">IF(OR(GK$4="",$B15=""),0,SUMIF('DADOS BRUTOS'!$A$3:$A$500,$B15,'DADOS BRUTOS'!DK$3:DK$500)+IF($C15="",0,SUMIF('DADOS BRUTOS'!$A$3:$A$500,$C15,'DADOS BRUTOS'!DK$3:DK$500)))</f>
        <v>0</v>
      </c>
      <c r="GL15" s="133" t="n">
        <f aca="false">IF(OR(GL$4="",$B15=""),0,SUMIF('DADOS BRUTOS'!$A$3:$A$500,$B15,'DADOS BRUTOS'!DL$3:DL$500)+IF($C15="",0,SUMIF('DADOS BRUTOS'!$A$3:$A$500,$C15,'DADOS BRUTOS'!DL$3:DL$500)))</f>
        <v>0</v>
      </c>
      <c r="GM15" s="133" t="n">
        <f aca="false">IF(OR(GM$4="",$B15=""),0,SUMIF('DADOS BRUTOS'!$A$3:$A$500,$B15,'DADOS BRUTOS'!DM$3:DM$500)+IF($C15="",0,SUMIF('DADOS BRUTOS'!$A$3:$A$500,$C15,'DADOS BRUTOS'!DM$3:DM$500)))</f>
        <v>0</v>
      </c>
      <c r="GN15" s="133" t="n">
        <f aca="false">IF(OR(GN$4="",$B15=""),0,SUMIF('DADOS BRUTOS'!$A$3:$A$500,$B15,'DADOS BRUTOS'!DN$3:DN$500)+IF($C15="",0,SUMIF('DADOS BRUTOS'!$A$3:$A$500,$C15,'DADOS BRUTOS'!DN$3:DN$500)))</f>
        <v>0</v>
      </c>
      <c r="GO15" s="133" t="n">
        <f aca="false">IF(OR(GO$4="",$B15=""),0,SUMIF('DADOS BRUTOS'!$A$3:$A$500,$B15,'DADOS BRUTOS'!DO$3:DO$500)+IF($C15="",0,SUMIF('DADOS BRUTOS'!$A$3:$A$500,$C15,'DADOS BRUTOS'!DO$3:DO$500)))</f>
        <v>0</v>
      </c>
      <c r="GP15" s="133" t="n">
        <f aca="false">IF(OR(GP$4="",$B15=""),0,SUMIF('DADOS BRUTOS'!$A$3:$A$500,$B15,'DADOS BRUTOS'!DP$3:DP$500)+IF($C15="",0,SUMIF('DADOS BRUTOS'!$A$3:$A$500,$C15,'DADOS BRUTOS'!DP$3:DP$500)))</f>
        <v>0</v>
      </c>
      <c r="GQ15" s="133" t="n">
        <f aca="false">IF(OR(GQ$4="",$B15=""),0,SUMIF('DADOS BRUTOS'!$A$3:$A$500,$B15,'DADOS BRUTOS'!DQ$3:DQ$500)+IF($C15="",0,SUMIF('DADOS BRUTOS'!$A$3:$A$500,$C15,'DADOS BRUTOS'!DQ$3:DQ$500)))</f>
        <v>0</v>
      </c>
      <c r="GR15" s="133" t="n">
        <f aca="false">IF(OR(GR$4="",$B15=""),0,SUMIF('DADOS BRUTOS'!$A$3:$A$500,$B15,'DADOS BRUTOS'!DR$3:DR$500)+IF($C15="",0,SUMIF('DADOS BRUTOS'!$A$3:$A$500,$C15,'DADOS BRUTOS'!DR$3:DR$500)))</f>
        <v>0</v>
      </c>
      <c r="GS15" s="133" t="n">
        <f aca="false">IF(OR(GS$4="",$B15=""),0,SUMIF('DADOS BRUTOS'!$A$3:$A$500,$B15,'DADOS BRUTOS'!DS$3:DS$500)+IF($C15="",0,SUMIF('DADOS BRUTOS'!$A$3:$A$500,$C15,'DADOS BRUTOS'!DS$3:DS$500)))</f>
        <v>0</v>
      </c>
      <c r="GT15" s="133" t="n">
        <f aca="false">IF(OR(GT$4="",$B15=""),0,SUMIF('DADOS BRUTOS'!$A$3:$A$500,$B15,'DADOS BRUTOS'!DT$3:DT$500)+IF($C15="",0,SUMIF('DADOS BRUTOS'!$A$3:$A$500,$C15,'DADOS BRUTOS'!DT$3:DT$500)))</f>
        <v>0</v>
      </c>
      <c r="GU15" s="133" t="n">
        <f aca="false">IF(OR(GU$4="",$B15=""),0,SUMIF('DADOS BRUTOS'!$A$3:$A$500,$B15,'DADOS BRUTOS'!DU$3:DU$500)+IF($C15="",0,SUMIF('DADOS BRUTOS'!$A$3:$A$500,$C15,'DADOS BRUTOS'!DU$3:DU$500)))</f>
        <v>0</v>
      </c>
      <c r="GV15" s="133" t="n">
        <f aca="false">IF(OR(GV$4="",$B15=""),0,SUMIF('DADOS BRUTOS'!$A$3:$A$500,$B15,'DADOS BRUTOS'!DV$3:DV$500)+IF($C15="",0,SUMIF('DADOS BRUTOS'!$A$3:$A$500,$C15,'DADOS BRUTOS'!DV$3:DV$500)))</f>
        <v>0</v>
      </c>
      <c r="GW15" s="133" t="n">
        <f aca="false">IF(OR(GW$4="",$B15=""),0,SUMIF('DADOS BRUTOS'!$A$3:$A$500,$B15,'DADOS BRUTOS'!DW$3:DW$500)+IF($C15="",0,SUMIF('DADOS BRUTOS'!$A$3:$A$500,$C15,'DADOS BRUTOS'!DW$3:DW$500)))</f>
        <v>0</v>
      </c>
      <c r="GX15" s="133" t="n">
        <f aca="false">IF(OR(GX$4="",$B15=""),0,SUMIF('DADOS BRUTOS'!$A$3:$A$500,$B15,'DADOS BRUTOS'!DX$3:DX$500)+IF($C15="",0,SUMIF('DADOS BRUTOS'!$A$3:$A$500,$C15,'DADOS BRUTOS'!DX$3:DX$500)))</f>
        <v>0</v>
      </c>
      <c r="GY15" s="133" t="n">
        <f aca="false">IF(OR(GY$4="",$B15=""),0,SUMIF('DADOS BRUTOS'!$A$3:$A$500,$B15,'DADOS BRUTOS'!DY$3:DY$500)+IF($C15="",0,SUMIF('DADOS BRUTOS'!$A$3:$A$500,$C15,'DADOS BRUTOS'!DY$3:DY$500)))</f>
        <v>0</v>
      </c>
      <c r="GZ15" s="133" t="n">
        <f aca="false">IF(OR(GZ$4="",$B15=""),0,SUMIF('DADOS BRUTOS'!$A$3:$A$500,$B15,'DADOS BRUTOS'!DZ$3:DZ$500)+IF($C15="",0,SUMIF('DADOS BRUTOS'!$A$3:$A$500,$C15,'DADOS BRUTOS'!DZ$3:DZ$500)))</f>
        <v>0</v>
      </c>
      <c r="HA15" s="133" t="n">
        <f aca="false">IF(OR(HA$4="",$B15=""),0,SUMIF('DADOS BRUTOS'!$A$3:$A$500,$B15,'DADOS BRUTOS'!EA$3:EA$500)+IF($C15="",0,SUMIF('DADOS BRUTOS'!$A$3:$A$500,$C15,'DADOS BRUTOS'!EA$3:EA$500)))</f>
        <v>0</v>
      </c>
      <c r="HB15" s="133" t="n">
        <f aca="false">IF(OR(HB$4="",$B15=""),0,SUMIF('DADOS BRUTOS'!$A$3:$A$500,$B15,'DADOS BRUTOS'!EB$3:EB$500)+IF($C15="",0,SUMIF('DADOS BRUTOS'!$A$3:$A$500,$C15,'DADOS BRUTOS'!EB$3:EB$500)))</f>
        <v>0</v>
      </c>
      <c r="HC15" s="133" t="n">
        <f aca="false">IF(OR(HC$4="",$B15=""),0,SUMIF('DADOS BRUTOS'!$A$3:$A$500,$B15,'DADOS BRUTOS'!EC$3:EC$500)+IF($C15="",0,SUMIF('DADOS BRUTOS'!$A$3:$A$500,$C15,'DADOS BRUTOS'!EC$3:EC$500)))</f>
        <v>0</v>
      </c>
      <c r="HD15" s="133" t="n">
        <f aca="false">IF(OR(HD$4="",$B15=""),0,SUMIF('DADOS BRUTOS'!$A$3:$A$500,$B15,'DADOS BRUTOS'!ED$3:ED$500)+IF($C15="",0,SUMIF('DADOS BRUTOS'!$A$3:$A$500,$C15,'DADOS BRUTOS'!ED$3:ED$500)))</f>
        <v>0</v>
      </c>
      <c r="HE15" s="133" t="n">
        <f aca="false">IF(OR(HE$4="",$B15=""),0,SUMIF('DADOS BRUTOS'!$A$3:$A$500,$B15,'DADOS BRUTOS'!EE$3:EE$500)+IF($C15="",0,SUMIF('DADOS BRUTOS'!$A$3:$A$500,$C15,'DADOS BRUTOS'!EE$3:EE$500)))</f>
        <v>0</v>
      </c>
      <c r="HF15" s="133" t="n">
        <f aca="false">IF(OR(HF$4="",$B15=""),0,SUMIF('DADOS BRUTOS'!$A$3:$A$500,$B15,'DADOS BRUTOS'!EF$3:EF$500)+IF($C15="",0,SUMIF('DADOS BRUTOS'!$A$3:$A$500,$C15,'DADOS BRUTOS'!EF$3:EF$500)))</f>
        <v>0</v>
      </c>
      <c r="HG15" s="133" t="n">
        <f aca="false">IF(OR(HG$4="",$B15=""),0,SUMIF('DADOS BRUTOS'!$A$3:$A$500,$B15,'DADOS BRUTOS'!EG$3:EG$500)+IF($C15="",0,SUMIF('DADOS BRUTOS'!$A$3:$A$500,$C15,'DADOS BRUTOS'!EG$3:EG$500)))</f>
        <v>0</v>
      </c>
      <c r="HH15" s="133" t="n">
        <f aca="false">IF(OR(HH$4="",$B15=""),0,SUMIF('DADOS BRUTOS'!$A$3:$A$500,$B15,'DADOS BRUTOS'!EH$3:EH$500)+IF($C15="",0,SUMIF('DADOS BRUTOS'!$A$3:$A$500,$C15,'DADOS BRUTOS'!EH$3:EH$500)))</f>
        <v>0</v>
      </c>
      <c r="HI15" s="133" t="n">
        <f aca="false">IF(OR(HI$4="",$B15=""),0,SUMIF('DADOS BRUTOS'!$A$3:$A$500,$B15,'DADOS BRUTOS'!EI$3:EI$500)+IF($C15="",0,SUMIF('DADOS BRUTOS'!$A$3:$A$500,$C15,'DADOS BRUTOS'!EI$3:EI$500)))</f>
        <v>0</v>
      </c>
      <c r="HJ15" s="133" t="n">
        <f aca="false">IF(OR(HJ$4="",$B15=""),0,SUMIF('DADOS BRUTOS'!$A$3:$A$500,$B15,'DADOS BRUTOS'!EJ$3:EJ$500)+IF($C15="",0,SUMIF('DADOS BRUTOS'!$A$3:$A$500,$C15,'DADOS BRUTOS'!EJ$3:EJ$500)))</f>
        <v>0</v>
      </c>
      <c r="HK15" s="133" t="n">
        <f aca="false">IF(OR(HK$4="",$B15=""),0,SUMIF('DADOS BRUTOS'!$A$3:$A$500,$B15,'DADOS BRUTOS'!EK$3:EK$500)+IF($C15="",0,SUMIF('DADOS BRUTOS'!$A$3:$A$500,$C15,'DADOS BRUTOS'!EK$3:EK$500)))</f>
        <v>0</v>
      </c>
      <c r="HL15" s="133" t="n">
        <f aca="false">IF(OR(HL$4="",$B15=""),0,SUMIF('DADOS BRUTOS'!$A$3:$A$500,$B15,'DADOS BRUTOS'!EL$3:EL$500)+IF($C15="",0,SUMIF('DADOS BRUTOS'!$A$3:$A$500,$C15,'DADOS BRUTOS'!EL$3:EL$500)))</f>
        <v>0</v>
      </c>
      <c r="HM15" s="133" t="n">
        <f aca="false">IF(OR(HM$4="",$B15=""),0,SUMIF('DADOS BRUTOS'!$A$3:$A$500,$B15,'DADOS BRUTOS'!EM$3:EM$500)+IF($C15="",0,SUMIF('DADOS BRUTOS'!$A$3:$A$500,$C15,'DADOS BRUTOS'!EM$3:EM$500)))</f>
        <v>0</v>
      </c>
      <c r="HN15" s="133" t="n">
        <f aca="false">IF(OR(HN$4="",$B15=""),0,SUMIF('DADOS BRUTOS'!$A$3:$A$500,$B15,'DADOS BRUTOS'!EN$3:EN$500)+IF($C15="",0,SUMIF('DADOS BRUTOS'!$A$3:$A$500,$C15,'DADOS BRUTOS'!EN$3:EN$500)))</f>
        <v>0</v>
      </c>
      <c r="HO15" s="133" t="n">
        <f aca="false">IF(OR(HO$4="",$B15=""),0,SUMIF('DADOS BRUTOS'!$A$3:$A$500,$B15,'DADOS BRUTOS'!EO$3:EO$500)+IF($C15="",0,SUMIF('DADOS BRUTOS'!$A$3:$A$500,$C15,'DADOS BRUTOS'!EO$3:EO$500)))</f>
        <v>0</v>
      </c>
      <c r="HP15" s="133" t="n">
        <f aca="false">IF(OR(HP$4="",$B15=""),0,SUMIF('DADOS BRUTOS'!$A$3:$A$500,$B15,'DADOS BRUTOS'!EP$3:EP$500)+IF($C15="",0,SUMIF('DADOS BRUTOS'!$A$3:$A$500,$C15,'DADOS BRUTOS'!EP$3:EP$500)))</f>
        <v>0</v>
      </c>
      <c r="HQ15" s="133" t="n">
        <f aca="false">IF(OR(HQ$4="",$B15=""),0,SUMIF('DADOS BRUTOS'!$A$3:$A$500,$B15,'DADOS BRUTOS'!EQ$3:EQ$500)+IF($C15="",0,SUMIF('DADOS BRUTOS'!$A$3:$A$500,$C15,'DADOS BRUTOS'!EQ$3:EQ$500)))</f>
        <v>0</v>
      </c>
      <c r="HR15" s="133" t="n">
        <f aca="false">IF(OR(HR$4="",$B15=""),0,SUMIF('DADOS BRUTOS'!$A$3:$A$500,$B15,'DADOS BRUTOS'!ER$3:ER$500)+IF($C15="",0,SUMIF('DADOS BRUTOS'!$A$3:$A$500,$C15,'DADOS BRUTOS'!ER$3:ER$500)))</f>
        <v>0</v>
      </c>
      <c r="HS15" s="133" t="n">
        <f aca="false">IF(OR(HS$4="",$B15=""),0,SUMIF('DADOS BRUTOS'!$A$3:$A$500,$B15,'DADOS BRUTOS'!ES$3:ES$500)+IF($C15="",0,SUMIF('DADOS BRUTOS'!$A$3:$A$500,$C15,'DADOS BRUTOS'!ES$3:ES$500)))</f>
        <v>0</v>
      </c>
      <c r="HT15" s="133" t="n">
        <f aca="false">IF(OR(HT$4="",$B15=""),0,SUMIF('DADOS BRUTOS'!$A$3:$A$500,$B15,'DADOS BRUTOS'!ET$3:ET$500)+IF($C15="",0,SUMIF('DADOS BRUTOS'!$A$3:$A$500,$C15,'DADOS BRUTOS'!ET$3:ET$500)))</f>
        <v>0</v>
      </c>
      <c r="HU15" s="133" t="n">
        <f aca="false">IF(OR(HU$4="",$B15=""),0,SUMIF('DADOS BRUTOS'!$A$3:$A$500,$B15,'DADOS BRUTOS'!EU$3:EU$500)+IF($C15="",0,SUMIF('DADOS BRUTOS'!$A$3:$A$500,$C15,'DADOS BRUTOS'!EU$3:EU$500)))</f>
        <v>0</v>
      </c>
      <c r="HV15" s="133" t="n">
        <f aca="false">IF(OR(HV$4="",$B15=""),0,SUMIF('DADOS BRUTOS'!$A$3:$A$500,$B15,'DADOS BRUTOS'!EV$3:EV$500)+IF($C15="",0,SUMIF('DADOS BRUTOS'!$A$3:$A$500,$C15,'DADOS BRUTOS'!EV$3:EV$500)))</f>
        <v>0</v>
      </c>
      <c r="HW15" s="133" t="n">
        <f aca="false">IF(OR(HW$4="",$B15=""),0,SUMIF('DADOS BRUTOS'!$A$3:$A$500,$B15,'DADOS BRUTOS'!EW$3:EW$500)+IF($C15="",0,SUMIF('DADOS BRUTOS'!$A$3:$A$500,$C15,'DADOS BRUTOS'!EW$3:EW$500)))</f>
        <v>0</v>
      </c>
      <c r="HX15" s="133" t="n">
        <f aca="false">IF(OR(HX$4="",$B15=""),0,SUMIF('DADOS BRUTOS'!$A$3:$A$500,$B15,'DADOS BRUTOS'!EX$3:EX$500)+IF($C15="",0,SUMIF('DADOS BRUTOS'!$A$3:$A$500,$C15,'DADOS BRUTOS'!EX$3:EX$500)))</f>
        <v>0</v>
      </c>
      <c r="HY15" s="133" t="n">
        <f aca="false">IF(OR(HY$4="",$B15=""),0,SUMIF('DADOS BRUTOS'!$A$3:$A$500,$B15,'DADOS BRUTOS'!EY$3:EY$500)+IF($C15="",0,SUMIF('DADOS BRUTOS'!$A$3:$A$500,$C15,'DADOS BRUTOS'!EY$3:EY$500)))</f>
        <v>0</v>
      </c>
      <c r="HZ15" s="133" t="n">
        <f aca="false">IF(OR(HZ$4="",$B15=""),0,SUMIF('DADOS BRUTOS'!$A$3:$A$500,$B15,'DADOS BRUTOS'!EZ$3:EZ$500)+IF($C15="",0,SUMIF('DADOS BRUTOS'!$A$3:$A$500,$C15,'DADOS BRUTOS'!EZ$3:EZ$500)))</f>
        <v>0</v>
      </c>
      <c r="IA15" s="133" t="n">
        <f aca="false">IF(OR(IA$4="",$B15=""),0,SUMIF('DADOS BRUTOS'!$A$3:$A$500,$B15,'DADOS BRUTOS'!FA$3:FA$500)+IF($C15="",0,SUMIF('DADOS BRUTOS'!$A$3:$A$500,$C15,'DADOS BRUTOS'!FA$3:FA$500)))</f>
        <v>0</v>
      </c>
      <c r="IB15" s="133" t="n">
        <f aca="false">IF(OR(IB$4="",$B15=""),0,SUMIF('DADOS BRUTOS'!$A$3:$A$500,$B15,'DADOS BRUTOS'!FB$3:FB$500)+IF($C15="",0,SUMIF('DADOS BRUTOS'!$A$3:$A$500,$C15,'DADOS BRUTOS'!FB$3:FB$500)))</f>
        <v>0</v>
      </c>
      <c r="IC15" s="133" t="n">
        <f aca="false">IF(OR(IC$4="",$B15=""),0,SUMIF('DADOS BRUTOS'!$A$3:$A$500,$B15,'DADOS BRUTOS'!FC$3:FC$500)+IF($C15="",0,SUMIF('DADOS BRUTOS'!$A$3:$A$500,$C15,'DADOS BRUTOS'!FC$3:FC$500)))</f>
        <v>0</v>
      </c>
      <c r="ID15" s="133" t="n">
        <f aca="false">IF(OR(ID$4="",$B15=""),0,SUMIF('DADOS BRUTOS'!$A$3:$A$500,$B15,'DADOS BRUTOS'!FD$3:FD$500)+IF($C15="",0,SUMIF('DADOS BRUTOS'!$A$3:$A$500,$C15,'DADOS BRUTOS'!FD$3:FD$500)))</f>
        <v>0</v>
      </c>
      <c r="IE15" s="133" t="n">
        <f aca="false">IF(OR(IE$4="",$B15=""),0,SUMIF('DADOS BRUTOS'!$A$3:$A$500,$B15,'DADOS BRUTOS'!FE$3:FE$500)+IF($C15="",0,SUMIF('DADOS BRUTOS'!$A$3:$A$500,$C15,'DADOS BRUTOS'!FE$3:FE$500)))</f>
        <v>0</v>
      </c>
      <c r="IF15" s="133" t="n">
        <f aca="false">IF(OR(IF$4="",$B15=""),0,SUMIF('DADOS BRUTOS'!$A$3:$A$500,$B15,'DADOS BRUTOS'!FF$3:FF$500)+IF($C15="",0,SUMIF('DADOS BRUTOS'!$A$3:$A$500,$C15,'DADOS BRUTOS'!FF$3:FF$500)))</f>
        <v>0</v>
      </c>
      <c r="IG15" s="133" t="n">
        <f aca="false">IF(OR(IG$4="",$B15=""),0,SUMIF('DADOS BRUTOS'!$A$3:$A$500,$B15,'DADOS BRUTOS'!FG$3:FG$500)+IF($C15="",0,SUMIF('DADOS BRUTOS'!$A$3:$A$500,$C15,'DADOS BRUTOS'!FG$3:FG$500)))</f>
        <v>0</v>
      </c>
      <c r="IH15" s="133" t="n">
        <f aca="false">IF(OR(IH$4="",$B15=""),0,SUMIF('DADOS BRUTOS'!$A$3:$A$500,$B15,'DADOS BRUTOS'!FH$3:FH$500)+IF($C15="",0,SUMIF('DADOS BRUTOS'!$A$3:$A$500,$C15,'DADOS BRUTOS'!FH$3:FH$500)))</f>
        <v>0</v>
      </c>
      <c r="II15" s="133" t="n">
        <f aca="false">IF(OR(II$4="",$B15=""),0,SUMIF('DADOS BRUTOS'!$A$3:$A$500,$B15,'DADOS BRUTOS'!FI$3:FI$500)+IF($C15="",0,SUMIF('DADOS BRUTOS'!$A$3:$A$500,$C15,'DADOS BRUTOS'!FI$3:FI$500)))</f>
        <v>0</v>
      </c>
      <c r="IJ15" s="133" t="n">
        <f aca="false">IF(OR(IJ$4="",$B15=""),0,SUMIF('DADOS BRUTOS'!$A$3:$A$500,$B15,'DADOS BRUTOS'!FJ$3:FJ$500)+IF($C15="",0,SUMIF('DADOS BRUTOS'!$A$3:$A$500,$C15,'DADOS BRUTOS'!FJ$3:FJ$500)))</f>
        <v>0</v>
      </c>
      <c r="IK15" s="133" t="n">
        <f aca="false">IF(OR(IK$4="",$B15=""),0,SUMIF('DADOS BRUTOS'!$A$3:$A$500,$B15,'DADOS BRUTOS'!FK$3:FK$500)+IF($C15="",0,SUMIF('DADOS BRUTOS'!$A$3:$A$500,$C15,'DADOS BRUTOS'!FK$3:FK$500)))</f>
        <v>0</v>
      </c>
      <c r="IL15" s="133" t="n">
        <f aca="false">IF(OR(IL$4="",$B15=""),0,SUMIF('DADOS BRUTOS'!$A$3:$A$500,$B15,'DADOS BRUTOS'!FL$3:FL$500)+IF($C15="",0,SUMIF('DADOS BRUTOS'!$A$3:$A$500,$C15,'DADOS BRUTOS'!FL$3:FL$500)))</f>
        <v>0</v>
      </c>
      <c r="IM15" s="133" t="n">
        <f aca="false">IF(OR(IM$4="",$B15=""),0,SUMIF('DADOS BRUTOS'!$A$3:$A$500,$B15,'DADOS BRUTOS'!FM$3:FM$500)+IF($C15="",0,SUMIF('DADOS BRUTOS'!$A$3:$A$500,$C15,'DADOS BRUTOS'!FM$3:FM$500)))</f>
        <v>0</v>
      </c>
      <c r="IN15" s="133" t="n">
        <f aca="false">IF(OR(IN$4="",$B15=""),0,SUMIF('DADOS BRUTOS'!$A$3:$A$500,$B15,'DADOS BRUTOS'!FN$3:FN$500)+IF($C15="",0,SUMIF('DADOS BRUTOS'!$A$3:$A$500,$C15,'DADOS BRUTOS'!FN$3:FN$500)))</f>
        <v>0</v>
      </c>
      <c r="IO15" s="133" t="n">
        <f aca="false">IF(OR(IO$4="",$B15=""),0,SUMIF('DADOS BRUTOS'!$A$3:$A$500,$B15,'DADOS BRUTOS'!FO$3:FO$500)+IF($C15="",0,SUMIF('DADOS BRUTOS'!$A$3:$A$500,$C15,'DADOS BRUTOS'!FO$3:FO$500)))</f>
        <v>0</v>
      </c>
      <c r="IP15" s="133" t="n">
        <f aca="false">IF(OR(IP$4="",$B15=""),0,SUMIF('DADOS BRUTOS'!$A$3:$A$500,$B15,'DADOS BRUTOS'!FP$3:FP$500)+IF($C15="",0,SUMIF('DADOS BRUTOS'!$A$3:$A$500,$C15,'DADOS BRUTOS'!FP$3:FP$500)))</f>
        <v>0</v>
      </c>
      <c r="IQ15" s="133" t="n">
        <f aca="false">IF(OR(IQ$4="",$B15=""),0,SUMIF('DADOS BRUTOS'!$A$3:$A$500,$B15,'DADOS BRUTOS'!FQ$3:FQ$500)+IF($C15="",0,SUMIF('DADOS BRUTOS'!$A$3:$A$500,$C15,'DADOS BRUTOS'!FQ$3:FQ$500)))</f>
        <v>0</v>
      </c>
      <c r="IR15" s="133" t="n">
        <f aca="false">IF(OR(IR$4="",$B15=""),0,SUMIF('DADOS BRUTOS'!$A$3:$A$500,$B15,'DADOS BRUTOS'!FR$3:FR$500)+IF($C15="",0,SUMIF('DADOS BRUTOS'!$A$3:$A$500,$C15,'DADOS BRUTOS'!FR$3:FR$500)))</f>
        <v>0</v>
      </c>
      <c r="IS15" s="133" t="n">
        <f aca="false">IF(OR(IS$4="",$B15=""),0,SUMIF('DADOS BRUTOS'!$A$3:$A$500,$B15,'DADOS BRUTOS'!FS$3:FS$500)+IF($C15="",0,SUMIF('DADOS BRUTOS'!$A$3:$A$500,$C15,'DADOS BRUTOS'!FS$3:FS$500)))</f>
        <v>0</v>
      </c>
      <c r="IT15" s="133" t="n">
        <f aca="false">IF(OR(IT$4="",$B15=""),0,SUMIF('DADOS BRUTOS'!$A$3:$A$500,$B15,'DADOS BRUTOS'!FT$3:FT$500)+IF($C15="",0,SUMIF('DADOS BRUTOS'!$A$3:$A$500,$C15,'DADOS BRUTOS'!FT$3:FT$500)))</f>
        <v>0</v>
      </c>
      <c r="IU15" s="133" t="n">
        <f aca="false">IF(OR(IU$4="",$B15=""),0,SUMIF('DADOS BRUTOS'!$A$3:$A$500,$B15,'DADOS BRUTOS'!FU$3:FU$500)+IF($C15="",0,SUMIF('DADOS BRUTOS'!$A$3:$A$500,$C15,'DADOS BRUTOS'!FU$3:FU$500)))</f>
        <v>0</v>
      </c>
      <c r="IV15" s="133" t="n">
        <f aca="false">IF(OR(IV$4="",$B15=""),0,SUMIF('DADOS BRUTOS'!$A$3:$A$500,$B15,'DADOS BRUTOS'!FV$3:FV$500)+IF($C15="",0,SUMIF('DADOS BRUTOS'!$A$3:$A$500,$C15,'DADOS BRUTOS'!FV$3:FV$500)))</f>
        <v>0</v>
      </c>
      <c r="IW15" s="133" t="n">
        <f aca="false">IF(OR(IW$4="",$B15=""),0,SUMIF('DADOS BRUTOS'!$A$3:$A$500,$B15,'DADOS BRUTOS'!FW$3:FW$500)+IF($C15="",0,SUMIF('DADOS BRUTOS'!$A$3:$A$500,$C15,'DADOS BRUTOS'!FW$3:FW$500)))</f>
        <v>0</v>
      </c>
      <c r="IX15" s="133" t="n">
        <f aca="false">IF(OR(IX$4="",$B15=""),0,SUMIF('DADOS BRUTOS'!$A$3:$A$500,$B15,'DADOS BRUTOS'!FX$3:FX$500)+IF($C15="",0,SUMIF('DADOS BRUTOS'!$A$3:$A$500,$C15,'DADOS BRUTOS'!FX$3:FX$500)))</f>
        <v>0</v>
      </c>
      <c r="IY15" s="133" t="n">
        <f aca="false">IF(OR(IY$4="",$B15=""),0,SUMIF('DADOS BRUTOS'!$A$3:$A$500,$B15,'DADOS BRUTOS'!FY$3:FY$500)+IF($C15="",0,SUMIF('DADOS BRUTOS'!$A$3:$A$500,$C15,'DADOS BRUTOS'!FY$3:FY$500)))</f>
        <v>0</v>
      </c>
      <c r="IZ15" s="133" t="n">
        <f aca="false">IF(OR(IZ$4="",$B15=""),0,SUMIF('DADOS BRUTOS'!$A$3:$A$500,$B15,'DADOS BRUTOS'!FZ$3:FZ$500)+IF($C15="",0,SUMIF('DADOS BRUTOS'!$A$3:$A$500,$C15,'DADOS BRUTOS'!FZ$3:FZ$500)))</f>
        <v>0</v>
      </c>
      <c r="JA15" s="133" t="n">
        <f aca="false">IF(OR(JA$4="",$B15=""),0,SUMIF('DADOS BRUTOS'!$A$3:$A$500,$B15,'DADOS BRUTOS'!GA$3:GA$500)+IF($C15="",0,SUMIF('DADOS BRUTOS'!$A$3:$A$500,$C15,'DADOS BRUTOS'!GA$3:GA$500)))</f>
        <v>0</v>
      </c>
      <c r="JB15" s="133" t="n">
        <f aca="false">IF(OR(JB$4="",$B15=""),0,SUMIF('DADOS BRUTOS'!$A$3:$A$500,$B15,'DADOS BRUTOS'!GB$3:GB$500)+IF($C15="",0,SUMIF('DADOS BRUTOS'!$A$3:$A$500,$C15,'DADOS BRUTOS'!GB$3:GB$500)))</f>
        <v>0</v>
      </c>
      <c r="JC15" s="133" t="n">
        <f aca="false">IF(OR(JC$4="",$B15=""),0,SUMIF('DADOS BRUTOS'!$A$3:$A$500,$B15,'DADOS BRUTOS'!GC$3:GC$500)+IF($C15="",0,SUMIF('DADOS BRUTOS'!$A$3:$A$500,$C15,'DADOS BRUTOS'!GC$3:GC$500)))</f>
        <v>0</v>
      </c>
      <c r="JD15" s="133" t="n">
        <f aca="false">IF(OR(JD$4="",$B15=""),0,SUMIF('DADOS BRUTOS'!$A$3:$A$500,$B15,'DADOS BRUTOS'!GD$3:GD$500)+IF($C15="",0,SUMIF('DADOS BRUTOS'!$A$3:$A$500,$C15,'DADOS BRUTOS'!GD$3:GD$500)))</f>
        <v>0</v>
      </c>
      <c r="JE15" s="133" t="n">
        <f aca="false">IF(OR(JE$4="",$B15=""),0,SUMIF('DADOS BRUTOS'!$A$3:$A$500,$B15,'DADOS BRUTOS'!GE$3:GE$500)+IF($C15="",0,SUMIF('DADOS BRUTOS'!$A$3:$A$500,$C15,'DADOS BRUTOS'!GE$3:GE$500)))</f>
        <v>0</v>
      </c>
      <c r="JF15" s="133" t="n">
        <f aca="false">IF(OR(JF$4="",$B15=""),0,SUMIF('DADOS BRUTOS'!$A$3:$A$500,$B15,'DADOS BRUTOS'!GF$3:GF$500)+IF($C15="",0,SUMIF('DADOS BRUTOS'!$A$3:$A$500,$C15,'DADOS BRUTOS'!GF$3:GF$500)))</f>
        <v>0</v>
      </c>
      <c r="JG15" s="133" t="n">
        <f aca="false">IF(OR(JG$4="",$B15=""),0,SUMIF('DADOS BRUTOS'!$A$3:$A$500,$B15,'DADOS BRUTOS'!GG$3:GG$500)+IF($C15="",0,SUMIF('DADOS BRUTOS'!$A$3:$A$500,$C15,'DADOS BRUTOS'!GG$3:GG$500)))</f>
        <v>0</v>
      </c>
      <c r="JH15" s="133" t="n">
        <f aca="false">IF(OR(JH$4="",$B15=""),0,SUMIF('DADOS BRUTOS'!$A$3:$A$500,$B15,'DADOS BRUTOS'!GH$3:GH$500)+IF($C15="",0,SUMIF('DADOS BRUTOS'!$A$3:$A$500,$C15,'DADOS BRUTOS'!GH$3:GH$500)))</f>
        <v>0</v>
      </c>
      <c r="JI15" s="133" t="n">
        <f aca="false">IF(OR(JI$4="",$B15=""),0,SUMIF('DADOS BRUTOS'!$A$3:$A$500,$B15,'DADOS BRUTOS'!GI$3:GI$500)+IF($C15="",0,SUMIF('DADOS BRUTOS'!$A$3:$A$500,$C15,'DADOS BRUTOS'!GI$3:GI$500)))</f>
        <v>0</v>
      </c>
      <c r="JJ15" s="133" t="n">
        <f aca="false">IF(OR(JJ$4="",$B15=""),0,SUMIF('DADOS BRUTOS'!$A$3:$A$500,$B15,'DADOS BRUTOS'!GJ$3:GJ$500)+IF($C15="",0,SUMIF('DADOS BRUTOS'!$A$3:$A$500,$C15,'DADOS BRUTOS'!GJ$3:GJ$500)))</f>
        <v>0</v>
      </c>
      <c r="JK15" s="133" t="n">
        <f aca="false">IF(OR(JK$4="",$B15=""),0,SUMIF('DADOS BRUTOS'!$A$3:$A$500,$B15,'DADOS BRUTOS'!GK$3:GK$500)+IF($C15="",0,SUMIF('DADOS BRUTOS'!$A$3:$A$500,$C15,'DADOS BRUTOS'!GK$3:GK$500)))</f>
        <v>0</v>
      </c>
      <c r="JL15" s="133" t="n">
        <f aca="false">IF(OR(JL$4="",$B15=""),0,SUMIF('DADOS BRUTOS'!$A$3:$A$500,$B15,'DADOS BRUTOS'!GL$3:GL$500)+IF($C15="",0,SUMIF('DADOS BRUTOS'!$A$3:$A$500,$C15,'DADOS BRUTOS'!GL$3:GL$500)))</f>
        <v>0</v>
      </c>
      <c r="JM15" s="133" t="n">
        <f aca="false">IF(OR(JM$4="",$B15=""),0,SUMIF('DADOS BRUTOS'!$A$3:$A$500,$B15,'DADOS BRUTOS'!GM$3:GM$500)+IF($C15="",0,SUMIF('DADOS BRUTOS'!$A$3:$A$500,$C15,'DADOS BRUTOS'!GM$3:GM$500)))</f>
        <v>0</v>
      </c>
      <c r="JN15" s="133" t="n">
        <f aca="false">IF(OR(JN$4="",$B15=""),0,SUMIF('DADOS BRUTOS'!$A$3:$A$500,$B15,'DADOS BRUTOS'!GN$3:GN$500)+IF($C15="",0,SUMIF('DADOS BRUTOS'!$A$3:$A$500,$C15,'DADOS BRUTOS'!GN$3:GN$500)))</f>
        <v>0</v>
      </c>
      <c r="JO15" s="133" t="n">
        <f aca="false">IF(OR(JO$4="",$B15=""),0,SUMIF('DADOS BRUTOS'!$A$3:$A$500,$B15,'DADOS BRUTOS'!GO$3:GO$500)+IF($C15="",0,SUMIF('DADOS BRUTOS'!$A$3:$A$500,$C15,'DADOS BRUTOS'!GO$3:GO$500)))</f>
        <v>0</v>
      </c>
      <c r="JP15" s="133" t="n">
        <f aca="false">IF(OR(JP$4="",$B15=""),0,SUMIF('DADOS BRUTOS'!$A$3:$A$500,$B15,'DADOS BRUTOS'!GP$3:GP$500)+IF($C15="",0,SUMIF('DADOS BRUTOS'!$A$3:$A$500,$C15,'DADOS BRUTOS'!GP$3:GP$500)))</f>
        <v>0</v>
      </c>
      <c r="JQ15" s="133" t="n">
        <f aca="false">IF(OR(JQ$4="",$B15=""),0,SUMIF('DADOS BRUTOS'!$A$3:$A$500,$B15,'DADOS BRUTOS'!GQ$3:GQ$500)+IF($C15="",0,SUMIF('DADOS BRUTOS'!$A$3:$A$500,$C15,'DADOS BRUTOS'!GQ$3:GQ$500)))</f>
        <v>0</v>
      </c>
      <c r="JR15" s="133" t="n">
        <f aca="false">IF(OR(JR$4="",$B15=""),0,SUMIF('DADOS BRUTOS'!$A$3:$A$500,$B15,'DADOS BRUTOS'!GR$3:GR$500)+IF($C15="",0,SUMIF('DADOS BRUTOS'!$A$3:$A$500,$C15,'DADOS BRUTOS'!GR$3:GR$500)))</f>
        <v>0</v>
      </c>
      <c r="JS15" s="133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 t="s">
        <v>86</v>
      </c>
      <c r="D16" s="50" t="n">
        <f aca="false">SUMIF($CB$4:$JS$4,"&lt;="&amp;D$4,$CB16:$JS16)</f>
        <v>4200.01</v>
      </c>
      <c r="E16" s="50" t="n">
        <f aca="false">SUMIF($CB$4:$JS$4,E$4,$CB16:$JS16)</f>
        <v>29638</v>
      </c>
      <c r="F16" s="50" t="n">
        <f aca="false">SUMIF($CB$4:$JS$4,F$4,$CB16:$JS16)</f>
        <v>13160.36</v>
      </c>
      <c r="G16" s="50" t="n">
        <f aca="false">SUMIF($CB$4:$JS$4,G$4,$CB16:$JS16)</f>
        <v>901.64</v>
      </c>
      <c r="H16" s="50" t="n">
        <f aca="false">SUMIF($CB$4:$JS$4,H$4,$CB16:$JS16)</f>
        <v>0</v>
      </c>
      <c r="I16" s="50" t="n">
        <f aca="false">SUMIF($CB$4:$JS$4,I$4,$CB16:$JS16)</f>
        <v>0</v>
      </c>
      <c r="J16" s="50" t="n">
        <f aca="false">SUMIF($CB$4:$JS$4,J$4,$CB16:$JS16)</f>
        <v>4350</v>
      </c>
      <c r="K16" s="50" t="n">
        <f aca="false">SUMIF($CB$4:$JS$4,K$4,$CB16:$JS16)</f>
        <v>0</v>
      </c>
      <c r="L16" s="50" t="n">
        <f aca="false">SUMIF($CB$4:$JS$4,L$4,$CB16:$JS16)</f>
        <v>0</v>
      </c>
      <c r="M16" s="50" t="n">
        <f aca="false">SUMIF($CB$4:$JS$4,M$4,$CB16:$JS16)</f>
        <v>0</v>
      </c>
      <c r="N16" s="50" t="n">
        <f aca="false">SUMIF($CB$4:$JS$4,N$4,$CB16:$JS16)</f>
        <v>0</v>
      </c>
      <c r="O16" s="50" t="n">
        <f aca="false">SUMIF($CB$4:$JS$4,O$4,$CB16:$JS16)</f>
        <v>0</v>
      </c>
      <c r="P16" s="50" t="n">
        <f aca="false">SUMIF($CB$4:$JS$4,P$4,$CB16:$JS16)</f>
        <v>0</v>
      </c>
      <c r="Q16" s="50" t="n">
        <f aca="false">SUMIF($CB$4:$JS$4,Q$4,$CB16:$JS16)</f>
        <v>0</v>
      </c>
      <c r="R16" s="50" t="n">
        <f aca="false">SUMIF($CB$4:$JS$4,R$4,$CB16:$JS16)</f>
        <v>0</v>
      </c>
      <c r="S16" s="50" t="n">
        <f aca="false">SUMIF($CB$4:$JS$4,S$4,$CB16:$JS16)</f>
        <v>0</v>
      </c>
      <c r="T16" s="50" t="n">
        <f aca="false">SUMIF($CB$4:$JS$4,T$4,$CB16:$JS16)</f>
        <v>0</v>
      </c>
      <c r="U16" s="50" t="n">
        <f aca="false">SUMIF($CB$4:$JS$4,U$4,$CB16:$JS16)</f>
        <v>0</v>
      </c>
      <c r="V16" s="50" t="n">
        <f aca="false">SUMIF($CB$4:$JS$4,V$4,$CB16:$JS16)</f>
        <v>0</v>
      </c>
      <c r="W16" s="50" t="n">
        <f aca="false">SUMIF($CB$4:$JS$4,W$4,$CB16:$JS16)</f>
        <v>0</v>
      </c>
      <c r="X16" s="50" t="n">
        <f aca="false">SUMIF($CB$4:$JS$4,X$4,$CB16:$JS16)</f>
        <v>0</v>
      </c>
      <c r="Y16" s="50" t="n">
        <f aca="false">SUMIF($CB$4:$JS$4,Y$4,$CB16:$JS16)</f>
        <v>0</v>
      </c>
      <c r="Z16" s="50" t="n">
        <f aca="false">SUMIF($CB$4:$JS$4,Z$4,$CB16:$JS16)</f>
        <v>0</v>
      </c>
      <c r="AA16" s="50" t="n">
        <f aca="false">SUMIF($CB$4:$JS$4,AA$4,$CB16:$JS16)</f>
        <v>0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0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0</v>
      </c>
      <c r="AM16" s="50" t="n">
        <f aca="false">SUMIF($CB$4:$JS$4,AM$4,$CB16:$JS16)</f>
        <v>0</v>
      </c>
      <c r="AN16" s="50" t="n">
        <f aca="false">SUMIF($CB$4:$JS$4,AN$4,$CB16:$JS16)</f>
        <v>0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52250.01</v>
      </c>
      <c r="BZ16" s="45" t="n">
        <f aca="false">SUMPRODUCT(($CB$4:$JS$4&lt;&gt;"")*($CB$4:$JS$4&lt;=$D$4),$CB16:$JS16,$CB$1:$JS$1)</f>
        <v>3.70579233334963</v>
      </c>
      <c r="CB16" s="133" t="n">
        <f aca="false">IF(OR(CB$4="",$B16=""),0,SUMIF('DADOS BRUTOS'!$A$3:$A$500,$B16,'DADOS BRUTOS'!B$3:B$500)+IF($C16="",0,SUMIF('DADOS BRUTOS'!$A$3:$A$500,$C16,'DADOS BRUTOS'!B$3:B$500)))</f>
        <v>0</v>
      </c>
      <c r="CC16" s="133" t="n">
        <f aca="false">IF(OR(CC$4="",$B16=""),0,SUMIF('DADOS BRUTOS'!$A$3:$A$500,$B16,'DADOS BRUTOS'!C$3:C$500)+IF($C16="",0,SUMIF('DADOS BRUTOS'!$A$3:$A$500,$C16,'DADOS BRUTOS'!C$3:C$500)))</f>
        <v>0</v>
      </c>
      <c r="CD16" s="133" t="n">
        <f aca="false">IF(OR(CD$4="",$B16=""),0,SUMIF('DADOS BRUTOS'!$A$3:$A$500,$B16,'DADOS BRUTOS'!D$3:D$500)+IF($C16="",0,SUMIF('DADOS BRUTOS'!$A$3:$A$500,$C16,'DADOS BRUTOS'!D$3:D$500)))</f>
        <v>0</v>
      </c>
      <c r="CE16" s="133" t="n">
        <f aca="false">IF(OR(CE$4="",$B16=""),0,SUMIF('DADOS BRUTOS'!$A$3:$A$500,$B16,'DADOS BRUTOS'!E$3:E$500)+IF($C16="",0,SUMIF('DADOS BRUTOS'!$A$3:$A$500,$C16,'DADOS BRUTOS'!E$3:E$500)))</f>
        <v>0</v>
      </c>
      <c r="CF16" s="133" t="n">
        <f aca="false">IF(OR(CF$4="",$B16=""),0,SUMIF('DADOS BRUTOS'!$A$3:$A$500,$B16,'DADOS BRUTOS'!F$3:F$500)+IF($C16="",0,SUMIF('DADOS BRUTOS'!$A$3:$A$500,$C16,'DADOS BRUTOS'!F$3:F$500)))</f>
        <v>0</v>
      </c>
      <c r="CG16" s="133" t="n">
        <f aca="false">IF(OR(CG$4="",$B16=""),0,SUMIF('DADOS BRUTOS'!$A$3:$A$500,$B16,'DADOS BRUTOS'!G$3:G$500)+IF($C16="",0,SUMIF('DADOS BRUTOS'!$A$3:$A$500,$C16,'DADOS BRUTOS'!G$3:G$500)))</f>
        <v>0</v>
      </c>
      <c r="CH16" s="133" t="n">
        <f aca="false">IF(OR(CH$4="",$B16=""),0,SUMIF('DADOS BRUTOS'!$A$3:$A$500,$B16,'DADOS BRUTOS'!H$3:H$500)+IF($C16="",0,SUMIF('DADOS BRUTOS'!$A$3:$A$500,$C16,'DADOS BRUTOS'!H$3:H$500)))</f>
        <v>0</v>
      </c>
      <c r="CI16" s="133" t="n">
        <f aca="false">IF(OR(CI$4="",$B16=""),0,SUMIF('DADOS BRUTOS'!$A$3:$A$500,$B16,'DADOS BRUTOS'!I$3:I$500)+IF($C16="",0,SUMIF('DADOS BRUTOS'!$A$3:$A$500,$C16,'DADOS BRUTOS'!I$3:I$500)))</f>
        <v>0</v>
      </c>
      <c r="CJ16" s="133" t="n">
        <f aca="false">IF(OR(CJ$4="",$B16=""),0,SUMIF('DADOS BRUTOS'!$A$3:$A$500,$B16,'DADOS BRUTOS'!J$3:J$500)+IF($C16="",0,SUMIF('DADOS BRUTOS'!$A$3:$A$500,$C16,'DADOS BRUTOS'!J$3:J$500)))</f>
        <v>0</v>
      </c>
      <c r="CK16" s="133" t="n">
        <f aca="false">IF(OR(CK$4="",$B16=""),0,SUMIF('DADOS BRUTOS'!$A$3:$A$500,$B16,'DADOS BRUTOS'!K$3:K$500)+IF($C16="",0,SUMIF('DADOS BRUTOS'!$A$3:$A$500,$C16,'DADOS BRUTOS'!K$3:K$500)))</f>
        <v>0</v>
      </c>
      <c r="CL16" s="133" t="n">
        <f aca="false">IF(OR(CL$4="",$B16=""),0,SUMIF('DADOS BRUTOS'!$A$3:$A$500,$B16,'DADOS BRUTOS'!L$3:L$500)+IF($C16="",0,SUMIF('DADOS BRUTOS'!$A$3:$A$500,$C16,'DADOS BRUTOS'!L$3:L$500)))</f>
        <v>0</v>
      </c>
      <c r="CM16" s="133" t="n">
        <f aca="false">IF(OR(CM$4="",$B16=""),0,SUMIF('DADOS BRUTOS'!$A$3:$A$500,$B16,'DADOS BRUTOS'!M$3:M$500)+IF($C16="",0,SUMIF('DADOS BRUTOS'!$A$3:$A$500,$C16,'DADOS BRUTOS'!M$3:M$500)))</f>
        <v>0</v>
      </c>
      <c r="CN16" s="133" t="n">
        <f aca="false">IF(OR(CN$4="",$B16=""),0,SUMIF('DADOS BRUTOS'!$A$3:$A$500,$B16,'DADOS BRUTOS'!N$3:N$500)+IF($C16="",0,SUMIF('DADOS BRUTOS'!$A$3:$A$500,$C16,'DADOS BRUTOS'!N$3:N$500)))</f>
        <v>0</v>
      </c>
      <c r="CO16" s="133" t="n">
        <f aca="false">IF(OR(CO$4="",$B16=""),0,SUMIF('DADOS BRUTOS'!$A$3:$A$500,$B16,'DADOS BRUTOS'!O$3:O$500)+IF($C16="",0,SUMIF('DADOS BRUTOS'!$A$3:$A$500,$C16,'DADOS BRUTOS'!O$3:O$500)))</f>
        <v>0</v>
      </c>
      <c r="CP16" s="133" t="n">
        <f aca="false">IF(OR(CP$4="",$B16=""),0,SUMIF('DADOS BRUTOS'!$A$3:$A$500,$B16,'DADOS BRUTOS'!P$3:P$500)+IF($C16="",0,SUMIF('DADOS BRUTOS'!$A$3:$A$500,$C16,'DADOS BRUTOS'!P$3:P$500)))</f>
        <v>0</v>
      </c>
      <c r="CQ16" s="133" t="n">
        <f aca="false">IF(OR(CQ$4="",$B16=""),0,SUMIF('DADOS BRUTOS'!$A$3:$A$500,$B16,'DADOS BRUTOS'!Q$3:Q$500)+IF($C16="",0,SUMIF('DADOS BRUTOS'!$A$3:$A$500,$C16,'DADOS BRUTOS'!Q$3:Q$500)))</f>
        <v>0</v>
      </c>
      <c r="CR16" s="133" t="n">
        <f aca="false">IF(OR(CR$4="",$B16=""),0,SUMIF('DADOS BRUTOS'!$A$3:$A$500,$B16,'DADOS BRUTOS'!R$3:R$500)+IF($C16="",0,SUMIF('DADOS BRUTOS'!$A$3:$A$500,$C16,'DADOS BRUTOS'!R$3:R$500)))</f>
        <v>0</v>
      </c>
      <c r="CS16" s="133" t="n">
        <f aca="false">IF(OR(CS$4="",$B16=""),0,SUMIF('DADOS BRUTOS'!$A$3:$A$500,$B16,'DADOS BRUTOS'!S$3:S$500)+IF($C16="",0,SUMIF('DADOS BRUTOS'!$A$3:$A$500,$C16,'DADOS BRUTOS'!S$3:S$500)))</f>
        <v>0</v>
      </c>
      <c r="CT16" s="133" t="n">
        <f aca="false">IF(OR(CT$4="",$B16=""),0,SUMIF('DADOS BRUTOS'!$A$3:$A$500,$B16,'DADOS BRUTOS'!T$3:T$500)+IF($C16="",0,SUMIF('DADOS BRUTOS'!$A$3:$A$500,$C16,'DADOS BRUTOS'!T$3:T$500)))</f>
        <v>0</v>
      </c>
      <c r="CU16" s="133" t="n">
        <f aca="false">IF(OR(CU$4="",$B16=""),0,SUMIF('DADOS BRUTOS'!$A$3:$A$500,$B16,'DADOS BRUTOS'!U$3:U$500)+IF($C16="",0,SUMIF('DADOS BRUTOS'!$A$3:$A$500,$C16,'DADOS BRUTOS'!U$3:U$500)))</f>
        <v>0</v>
      </c>
      <c r="CV16" s="133" t="n">
        <f aca="false">IF(OR(CV$4="",$B16=""),0,SUMIF('DADOS BRUTOS'!$A$3:$A$500,$B16,'DADOS BRUTOS'!V$3:V$500)+IF($C16="",0,SUMIF('DADOS BRUTOS'!$A$3:$A$500,$C16,'DADOS BRUTOS'!V$3:V$500)))</f>
        <v>0</v>
      </c>
      <c r="CW16" s="133" t="n">
        <f aca="false">IF(OR(CW$4="",$B16=""),0,SUMIF('DADOS BRUTOS'!$A$3:$A$500,$B16,'DADOS BRUTOS'!W$3:W$500)+IF($C16="",0,SUMIF('DADOS BRUTOS'!$A$3:$A$500,$C16,'DADOS BRUTOS'!W$3:W$500)))</f>
        <v>0</v>
      </c>
      <c r="CX16" s="133" t="n">
        <f aca="false">IF(OR(CX$4="",$B16=""),0,SUMIF('DADOS BRUTOS'!$A$3:$A$500,$B16,'DADOS BRUTOS'!X$3:X$500)+IF($C16="",0,SUMIF('DADOS BRUTOS'!$A$3:$A$500,$C16,'DADOS BRUTOS'!X$3:X$500)))</f>
        <v>0</v>
      </c>
      <c r="CY16" s="133" t="n">
        <f aca="false">IF(OR(CY$4="",$B16=""),0,SUMIF('DADOS BRUTOS'!$A$3:$A$500,$B16,'DADOS BRUTOS'!Y$3:Y$500)+IF($C16="",0,SUMIF('DADOS BRUTOS'!$A$3:$A$500,$C16,'DADOS BRUTOS'!Y$3:Y$500)))</f>
        <v>0</v>
      </c>
      <c r="CZ16" s="133" t="n">
        <f aca="false">IF(OR(CZ$4="",$B16=""),0,SUMIF('DADOS BRUTOS'!$A$3:$A$500,$B16,'DADOS BRUTOS'!Z$3:Z$500)+IF($C16="",0,SUMIF('DADOS BRUTOS'!$A$3:$A$500,$C16,'DADOS BRUTOS'!Z$3:Z$500)))</f>
        <v>0</v>
      </c>
      <c r="DA16" s="133" t="n">
        <f aca="false">IF(OR(DA$4="",$B16=""),0,SUMIF('DADOS BRUTOS'!$A$3:$A$500,$B16,'DADOS BRUTOS'!AA$3:AA$500)+IF($C16="",0,SUMIF('DADOS BRUTOS'!$A$3:$A$500,$C16,'DADOS BRUTOS'!AA$3:AA$500)))</f>
        <v>0</v>
      </c>
      <c r="DB16" s="133" t="n">
        <f aca="false">IF(OR(DB$4="",$B16=""),0,SUMIF('DADOS BRUTOS'!$A$3:$A$500,$B16,'DADOS BRUTOS'!AB$3:AB$500)+IF($C16="",0,SUMIF('DADOS BRUTOS'!$A$3:$A$500,$C16,'DADOS BRUTOS'!AB$3:AB$500)))</f>
        <v>0</v>
      </c>
      <c r="DC16" s="133" t="n">
        <f aca="false">IF(OR(DC$4="",$B16=""),0,SUMIF('DADOS BRUTOS'!$A$3:$A$500,$B16,'DADOS BRUTOS'!AC$3:AC$500)+IF($C16="",0,SUMIF('DADOS BRUTOS'!$A$3:$A$500,$C16,'DADOS BRUTOS'!AC$3:AC$500)))</f>
        <v>750.01</v>
      </c>
      <c r="DD16" s="133" t="n">
        <f aca="false">IF(OR(DD$4="",$B16=""),0,SUMIF('DADOS BRUTOS'!$A$3:$A$500,$B16,'DADOS BRUTOS'!AD$3:AD$500)+IF($C16="",0,SUMIF('DADOS BRUTOS'!$A$3:$A$500,$C16,'DADOS BRUTOS'!AD$3:AD$500)))</f>
        <v>3450</v>
      </c>
      <c r="DE16" s="133" t="n">
        <f aca="false">IF(OR(DE$4="",$B16=""),0,SUMIF('DADOS BRUTOS'!$A$3:$A$500,$B16,'DADOS BRUTOS'!AE$3:AE$500)+IF($C16="",0,SUMIF('DADOS BRUTOS'!$A$3:$A$500,$C16,'DADOS BRUTOS'!AE$3:AE$500)))</f>
        <v>0</v>
      </c>
      <c r="DF16" s="133" t="n">
        <f aca="false">IF(OR(DF$4="",$B16=""),0,SUMIF('DADOS BRUTOS'!$A$3:$A$500,$B16,'DADOS BRUTOS'!AF$3:AF$500)+IF($C16="",0,SUMIF('DADOS BRUTOS'!$A$3:$A$500,$C16,'DADOS BRUTOS'!AF$3:AF$500)))</f>
        <v>0</v>
      </c>
      <c r="DG16" s="133" t="n">
        <f aca="false">IF(OR(DG$4="",$B16=""),0,SUMIF('DADOS BRUTOS'!$A$3:$A$500,$B16,'DADOS BRUTOS'!AG$3:AG$500)+IF($C16="",0,SUMIF('DADOS BRUTOS'!$A$3:$A$500,$C16,'DADOS BRUTOS'!AG$3:AG$500)))</f>
        <v>0</v>
      </c>
      <c r="DH16" s="133" t="n">
        <f aca="false">IF(OR(DH$4="",$B16=""),0,SUMIF('DADOS BRUTOS'!$A$3:$A$500,$B16,'DADOS BRUTOS'!AH$3:AH$500)+IF($C16="",0,SUMIF('DADOS BRUTOS'!$A$3:$A$500,$C16,'DADOS BRUTOS'!AH$3:AH$500)))</f>
        <v>0</v>
      </c>
      <c r="DI16" s="133" t="n">
        <f aca="false">IF(OR(DI$4="",$B16=""),0,SUMIF('DADOS BRUTOS'!$A$3:$A$500,$B16,'DADOS BRUTOS'!AI$3:AI$500)+IF($C16="",0,SUMIF('DADOS BRUTOS'!$A$3:$A$500,$C16,'DADOS BRUTOS'!AI$3:AI$500)))</f>
        <v>29638</v>
      </c>
      <c r="DJ16" s="133" t="n">
        <f aca="false">IF(OR(DJ$4="",$B16=""),0,SUMIF('DADOS BRUTOS'!$A$3:$A$500,$B16,'DADOS BRUTOS'!AJ$3:AJ$500)+IF($C16="",0,SUMIF('DADOS BRUTOS'!$A$3:$A$500,$C16,'DADOS BRUTOS'!AJ$3:AJ$500)))</f>
        <v>13160.36</v>
      </c>
      <c r="DK16" s="133" t="n">
        <f aca="false">IF(OR(DK$4="",$B16=""),0,SUMIF('DADOS BRUTOS'!$A$3:$A$500,$B16,'DADOS BRUTOS'!AK$3:AK$500)+IF($C16="",0,SUMIF('DADOS BRUTOS'!$A$3:$A$500,$C16,'DADOS BRUTOS'!AK$3:AK$500)))</f>
        <v>901.64</v>
      </c>
      <c r="DL16" s="133" t="n">
        <f aca="false">IF(OR(DL$4="",$B16=""),0,SUMIF('DADOS BRUTOS'!$A$3:$A$500,$B16,'DADOS BRUTOS'!AL$3:AL$500)+IF($C16="",0,SUMIF('DADOS BRUTOS'!$A$3:$A$500,$C16,'DADOS BRUTOS'!AL$3:AL$500)))</f>
        <v>0</v>
      </c>
      <c r="DM16" s="133" t="n">
        <f aca="false">IF(OR(DM$4="",$B16=""),0,SUMIF('DADOS BRUTOS'!$A$3:$A$500,$B16,'DADOS BRUTOS'!AM$3:AM$500)+IF($C16="",0,SUMIF('DADOS BRUTOS'!$A$3:$A$500,$C16,'DADOS BRUTOS'!AM$3:AM$500)))</f>
        <v>0</v>
      </c>
      <c r="DN16" s="133" t="n">
        <f aca="false">IF(OR(DN$4="",$B16=""),0,SUMIF('DADOS BRUTOS'!$A$3:$A$500,$B16,'DADOS BRUTOS'!AN$3:AN$500)+IF($C16="",0,SUMIF('DADOS BRUTOS'!$A$3:$A$500,$C16,'DADOS BRUTOS'!AN$3:AN$500)))</f>
        <v>4350</v>
      </c>
      <c r="DO16" s="133" t="n">
        <f aca="false">IF(OR(DO$4="",$B16=""),0,SUMIF('DADOS BRUTOS'!$A$3:$A$500,$B16,'DADOS BRUTOS'!AO$3:AO$500)+IF($C16="",0,SUMIF('DADOS BRUTOS'!$A$3:$A$500,$C16,'DADOS BRUTOS'!AO$3:AO$500)))</f>
        <v>0</v>
      </c>
      <c r="DP16" s="133" t="n">
        <f aca="false">IF(OR(DP$4="",$B16=""),0,SUMIF('DADOS BRUTOS'!$A$3:$A$500,$B16,'DADOS BRUTOS'!AP$3:AP$500)+IF($C16="",0,SUMIF('DADOS BRUTOS'!$A$3:$A$500,$C16,'DADOS BRUTOS'!AP$3:AP$500)))</f>
        <v>0</v>
      </c>
      <c r="DQ16" s="133" t="n">
        <f aca="false">IF(OR(DQ$4="",$B16=""),0,SUMIF('DADOS BRUTOS'!$A$3:$A$500,$B16,'DADOS BRUTOS'!AQ$3:AQ$500)+IF($C16="",0,SUMIF('DADOS BRUTOS'!$A$3:$A$500,$C16,'DADOS BRUTOS'!AQ$3:AQ$500)))</f>
        <v>0</v>
      </c>
      <c r="DR16" s="133" t="n">
        <f aca="false">IF(OR(DR$4="",$B16=""),0,SUMIF('DADOS BRUTOS'!$A$3:$A$500,$B16,'DADOS BRUTOS'!AR$3:AR$500)+IF($C16="",0,SUMIF('DADOS BRUTOS'!$A$3:$A$500,$C16,'DADOS BRUTOS'!AR$3:AR$500)))</f>
        <v>0</v>
      </c>
      <c r="DS16" s="133" t="n">
        <f aca="false">IF(OR(DS$4="",$B16=""),0,SUMIF('DADOS BRUTOS'!$A$3:$A$500,$B16,'DADOS BRUTOS'!AS$3:AS$500)+IF($C16="",0,SUMIF('DADOS BRUTOS'!$A$3:$A$500,$C16,'DADOS BRUTOS'!AS$3:AS$500)))</f>
        <v>0</v>
      </c>
      <c r="DT16" s="133" t="n">
        <f aca="false">IF(OR(DT$4="",$B16=""),0,SUMIF('DADOS BRUTOS'!$A$3:$A$500,$B16,'DADOS BRUTOS'!AT$3:AT$500)+IF($C16="",0,SUMIF('DADOS BRUTOS'!$A$3:$A$500,$C16,'DADOS BRUTOS'!AT$3:AT$500)))</f>
        <v>0</v>
      </c>
      <c r="DU16" s="133" t="n">
        <f aca="false">IF(OR(DU$4="",$B16=""),0,SUMIF('DADOS BRUTOS'!$A$3:$A$500,$B16,'DADOS BRUTOS'!AU$3:AU$500)+IF($C16="",0,SUMIF('DADOS BRUTOS'!$A$3:$A$500,$C16,'DADOS BRUTOS'!AU$3:AU$500)))</f>
        <v>0</v>
      </c>
      <c r="DV16" s="133" t="n">
        <f aca="false">IF(OR(DV$4="",$B16=""),0,SUMIF('DADOS BRUTOS'!$A$3:$A$500,$B16,'DADOS BRUTOS'!AV$3:AV$500)+IF($C16="",0,SUMIF('DADOS BRUTOS'!$A$3:$A$500,$C16,'DADOS BRUTOS'!AV$3:AV$500)))</f>
        <v>0</v>
      </c>
      <c r="DW16" s="133" t="n">
        <f aca="false">IF(OR(DW$4="",$B16=""),0,SUMIF('DADOS BRUTOS'!$A$3:$A$500,$B16,'DADOS BRUTOS'!AW$3:AW$500)+IF($C16="",0,SUMIF('DADOS BRUTOS'!$A$3:$A$500,$C16,'DADOS BRUTOS'!AW$3:AW$500)))</f>
        <v>0</v>
      </c>
      <c r="DX16" s="133" t="n">
        <f aca="false">IF(OR(DX$4="",$B16=""),0,SUMIF('DADOS BRUTOS'!$A$3:$A$500,$B16,'DADOS BRUTOS'!AX$3:AX$500)+IF($C16="",0,SUMIF('DADOS BRUTOS'!$A$3:$A$500,$C16,'DADOS BRUTOS'!AX$3:AX$500)))</f>
        <v>0</v>
      </c>
      <c r="DY16" s="133" t="n">
        <f aca="false">IF(OR(DY$4="",$B16=""),0,SUMIF('DADOS BRUTOS'!$A$3:$A$500,$B16,'DADOS BRUTOS'!AY$3:AY$500)+IF($C16="",0,SUMIF('DADOS BRUTOS'!$A$3:$A$500,$C16,'DADOS BRUTOS'!AY$3:AY$500)))</f>
        <v>0</v>
      </c>
      <c r="DZ16" s="133" t="n">
        <f aca="false">IF(OR(DZ$4="",$B16=""),0,SUMIF('DADOS BRUTOS'!$A$3:$A$500,$B16,'DADOS BRUTOS'!AZ$3:AZ$500)+IF($C16="",0,SUMIF('DADOS BRUTOS'!$A$3:$A$500,$C16,'DADOS BRUTOS'!AZ$3:AZ$500)))</f>
        <v>0</v>
      </c>
      <c r="EA16" s="133" t="n">
        <f aca="false">IF(OR(EA$4="",$B16=""),0,SUMIF('DADOS BRUTOS'!$A$3:$A$500,$B16,'DADOS BRUTOS'!BA$3:BA$500)+IF($C16="",0,SUMIF('DADOS BRUTOS'!$A$3:$A$500,$C16,'DADOS BRUTOS'!BA$3:BA$500)))</f>
        <v>0</v>
      </c>
      <c r="EB16" s="133" t="n">
        <f aca="false">IF(OR(EB$4="",$B16=""),0,SUMIF('DADOS BRUTOS'!$A$3:$A$500,$B16,'DADOS BRUTOS'!BB$3:BB$500)+IF($C16="",0,SUMIF('DADOS BRUTOS'!$A$3:$A$500,$C16,'DADOS BRUTOS'!BB$3:BB$500)))</f>
        <v>0</v>
      </c>
      <c r="EC16" s="133" t="n">
        <f aca="false">IF(OR(EC$4="",$B16=""),0,SUMIF('DADOS BRUTOS'!$A$3:$A$500,$B16,'DADOS BRUTOS'!BC$3:BC$500)+IF($C16="",0,SUMIF('DADOS BRUTOS'!$A$3:$A$500,$C16,'DADOS BRUTOS'!BC$3:BC$500)))</f>
        <v>0</v>
      </c>
      <c r="ED16" s="133" t="n">
        <f aca="false">IF(OR(ED$4="",$B16=""),0,SUMIF('DADOS BRUTOS'!$A$3:$A$500,$B16,'DADOS BRUTOS'!BD$3:BD$500)+IF($C16="",0,SUMIF('DADOS BRUTOS'!$A$3:$A$500,$C16,'DADOS BRUTOS'!BD$3:BD$500)))</f>
        <v>0</v>
      </c>
      <c r="EE16" s="133" t="n">
        <f aca="false">IF(OR(EE$4="",$B16=""),0,SUMIF('DADOS BRUTOS'!$A$3:$A$500,$B16,'DADOS BRUTOS'!BE$3:BE$500)+IF($C16="",0,SUMIF('DADOS BRUTOS'!$A$3:$A$500,$C16,'DADOS BRUTOS'!BE$3:BE$500)))</f>
        <v>0</v>
      </c>
      <c r="EF16" s="133" t="n">
        <f aca="false">IF(OR(EF$4="",$B16=""),0,SUMIF('DADOS BRUTOS'!$A$3:$A$500,$B16,'DADOS BRUTOS'!BF$3:BF$500)+IF($C16="",0,SUMIF('DADOS BRUTOS'!$A$3:$A$500,$C16,'DADOS BRUTOS'!BF$3:BF$500)))</f>
        <v>0</v>
      </c>
      <c r="EG16" s="133" t="n">
        <f aca="false">IF(OR(EG$4="",$B16=""),0,SUMIF('DADOS BRUTOS'!$A$3:$A$500,$B16,'DADOS BRUTOS'!BG$3:BG$500)+IF($C16="",0,SUMIF('DADOS BRUTOS'!$A$3:$A$500,$C16,'DADOS BRUTOS'!BG$3:BG$500)))</f>
        <v>0</v>
      </c>
      <c r="EH16" s="133" t="n">
        <f aca="false">IF(OR(EH$4="",$B16=""),0,SUMIF('DADOS BRUTOS'!$A$3:$A$500,$B16,'DADOS BRUTOS'!BH$3:BH$500)+IF($C16="",0,SUMIF('DADOS BRUTOS'!$A$3:$A$500,$C16,'DADOS BRUTOS'!BH$3:BH$500)))</f>
        <v>0</v>
      </c>
      <c r="EI16" s="133" t="n">
        <f aca="false">IF(OR(EI$4="",$B16=""),0,SUMIF('DADOS BRUTOS'!$A$3:$A$500,$B16,'DADOS BRUTOS'!BI$3:BI$500)+IF($C16="",0,SUMIF('DADOS BRUTOS'!$A$3:$A$500,$C16,'DADOS BRUTOS'!BI$3:BI$500)))</f>
        <v>0</v>
      </c>
      <c r="EJ16" s="133" t="n">
        <f aca="false">IF(OR(EJ$4="",$B16=""),0,SUMIF('DADOS BRUTOS'!$A$3:$A$500,$B16,'DADOS BRUTOS'!BJ$3:BJ$500)+IF($C16="",0,SUMIF('DADOS BRUTOS'!$A$3:$A$500,$C16,'DADOS BRUTOS'!BJ$3:BJ$500)))</f>
        <v>0</v>
      </c>
      <c r="EK16" s="133" t="n">
        <f aca="false">IF(OR(EK$4="",$B16=""),0,SUMIF('DADOS BRUTOS'!$A$3:$A$500,$B16,'DADOS BRUTOS'!BK$3:BK$500)+IF($C16="",0,SUMIF('DADOS BRUTOS'!$A$3:$A$500,$C16,'DADOS BRUTOS'!BK$3:BK$500)))</f>
        <v>0</v>
      </c>
      <c r="EL16" s="133" t="n">
        <f aca="false">IF(OR(EL$4="",$B16=""),0,SUMIF('DADOS BRUTOS'!$A$3:$A$500,$B16,'DADOS BRUTOS'!BL$3:BL$500)+IF($C16="",0,SUMIF('DADOS BRUTOS'!$A$3:$A$500,$C16,'DADOS BRUTOS'!BL$3:BL$500)))</f>
        <v>0</v>
      </c>
      <c r="EM16" s="133" t="n">
        <f aca="false">IF(OR(EM$4="",$B16=""),0,SUMIF('DADOS BRUTOS'!$A$3:$A$500,$B16,'DADOS BRUTOS'!BM$3:BM$500)+IF($C16="",0,SUMIF('DADOS BRUTOS'!$A$3:$A$500,$C16,'DADOS BRUTOS'!BM$3:BM$500)))</f>
        <v>0</v>
      </c>
      <c r="EN16" s="133" t="n">
        <f aca="false">IF(OR(EN$4="",$B16=""),0,SUMIF('DADOS BRUTOS'!$A$3:$A$500,$B16,'DADOS BRUTOS'!BN$3:BN$500)+IF($C16="",0,SUMIF('DADOS BRUTOS'!$A$3:$A$500,$C16,'DADOS BRUTOS'!BN$3:BN$500)))</f>
        <v>0</v>
      </c>
      <c r="EO16" s="133" t="n">
        <f aca="false">IF(OR(EO$4="",$B16=""),0,SUMIF('DADOS BRUTOS'!$A$3:$A$500,$B16,'DADOS BRUTOS'!BO$3:BO$500)+IF($C16="",0,SUMIF('DADOS BRUTOS'!$A$3:$A$500,$C16,'DADOS BRUTOS'!BO$3:BO$500)))</f>
        <v>0</v>
      </c>
      <c r="EP16" s="133" t="n">
        <f aca="false">IF(OR(EP$4="",$B16=""),0,SUMIF('DADOS BRUTOS'!$A$3:$A$500,$B16,'DADOS BRUTOS'!BP$3:BP$500)+IF($C16="",0,SUMIF('DADOS BRUTOS'!$A$3:$A$500,$C16,'DADOS BRUTOS'!BP$3:BP$500)))</f>
        <v>0</v>
      </c>
      <c r="EQ16" s="133" t="n">
        <f aca="false">IF(OR(EQ$4="",$B16=""),0,SUMIF('DADOS BRUTOS'!$A$3:$A$500,$B16,'DADOS BRUTOS'!BQ$3:BQ$500)+IF($C16="",0,SUMIF('DADOS BRUTOS'!$A$3:$A$500,$C16,'DADOS BRUTOS'!BQ$3:BQ$500)))</f>
        <v>0</v>
      </c>
      <c r="ER16" s="133" t="n">
        <f aca="false">IF(OR(ER$4="",$B16=""),0,SUMIF('DADOS BRUTOS'!$A$3:$A$500,$B16,'DADOS BRUTOS'!BR$3:BR$500)+IF($C16="",0,SUMIF('DADOS BRUTOS'!$A$3:$A$500,$C16,'DADOS BRUTOS'!BR$3:BR$500)))</f>
        <v>0</v>
      </c>
      <c r="ES16" s="133" t="n">
        <f aca="false">IF(OR(ES$4="",$B16=""),0,SUMIF('DADOS BRUTOS'!$A$3:$A$500,$B16,'DADOS BRUTOS'!BS$3:BS$500)+IF($C16="",0,SUMIF('DADOS BRUTOS'!$A$3:$A$500,$C16,'DADOS BRUTOS'!BS$3:BS$500)))</f>
        <v>0</v>
      </c>
      <c r="ET16" s="133" t="n">
        <f aca="false">IF(OR(ET$4="",$B16=""),0,SUMIF('DADOS BRUTOS'!$A$3:$A$500,$B16,'DADOS BRUTOS'!BT$3:BT$500)+IF($C16="",0,SUMIF('DADOS BRUTOS'!$A$3:$A$500,$C16,'DADOS BRUTOS'!BT$3:BT$500)))</f>
        <v>0</v>
      </c>
      <c r="EU16" s="133" t="n">
        <f aca="false">IF(OR(EU$4="",$B16=""),0,SUMIF('DADOS BRUTOS'!$A$3:$A$500,$B16,'DADOS BRUTOS'!BU$3:BU$500)+IF($C16="",0,SUMIF('DADOS BRUTOS'!$A$3:$A$500,$C16,'DADOS BRUTOS'!BU$3:BU$500)))</f>
        <v>0</v>
      </c>
      <c r="EV16" s="133" t="n">
        <f aca="false">IF(OR(EV$4="",$B16=""),0,SUMIF('DADOS BRUTOS'!$A$3:$A$500,$B16,'DADOS BRUTOS'!BV$3:BV$500)+IF($C16="",0,SUMIF('DADOS BRUTOS'!$A$3:$A$500,$C16,'DADOS BRUTOS'!BV$3:BV$500)))</f>
        <v>0</v>
      </c>
      <c r="EW16" s="133" t="n">
        <f aca="false">IF(OR(EW$4="",$B16=""),0,SUMIF('DADOS BRUTOS'!$A$3:$A$500,$B16,'DADOS BRUTOS'!BW$3:BW$500)+IF($C16="",0,SUMIF('DADOS BRUTOS'!$A$3:$A$500,$C16,'DADOS BRUTOS'!BW$3:BW$500)))</f>
        <v>0</v>
      </c>
      <c r="EX16" s="133" t="n">
        <f aca="false">IF(OR(EX$4="",$B16=""),0,SUMIF('DADOS BRUTOS'!$A$3:$A$500,$B16,'DADOS BRUTOS'!BX$3:BX$500)+IF($C16="",0,SUMIF('DADOS BRUTOS'!$A$3:$A$500,$C16,'DADOS BRUTOS'!BX$3:BX$500)))</f>
        <v>0</v>
      </c>
      <c r="EY16" s="133" t="n">
        <f aca="false">IF(OR(EY$4="",$B16=""),0,SUMIF('DADOS BRUTOS'!$A$3:$A$500,$B16,'DADOS BRUTOS'!BY$3:BY$500)+IF($C16="",0,SUMIF('DADOS BRUTOS'!$A$3:$A$500,$C16,'DADOS BRUTOS'!BY$3:BY$500)))</f>
        <v>0</v>
      </c>
      <c r="EZ16" s="133" t="n">
        <f aca="false">IF(OR(EZ$4="",$B16=""),0,SUMIF('DADOS BRUTOS'!$A$3:$A$500,$B16,'DADOS BRUTOS'!BZ$3:BZ$500)+IF($C16="",0,SUMIF('DADOS BRUTOS'!$A$3:$A$500,$C16,'DADOS BRUTOS'!BZ$3:BZ$500)))</f>
        <v>0</v>
      </c>
      <c r="FA16" s="133" t="n">
        <f aca="false">IF(OR(FA$4="",$B16=""),0,SUMIF('DADOS BRUTOS'!$A$3:$A$500,$B16,'DADOS BRUTOS'!CA$3:CA$500)+IF($C16="",0,SUMIF('DADOS BRUTOS'!$A$3:$A$500,$C16,'DADOS BRUTOS'!CA$3:CA$500)))</f>
        <v>0</v>
      </c>
      <c r="FB16" s="133" t="n">
        <f aca="false">IF(OR(FB$4="",$B16=""),0,SUMIF('DADOS BRUTOS'!$A$3:$A$500,$B16,'DADOS BRUTOS'!CB$3:CB$500)+IF($C16="",0,SUMIF('DADOS BRUTOS'!$A$3:$A$500,$C16,'DADOS BRUTOS'!CB$3:CB$500)))</f>
        <v>0</v>
      </c>
      <c r="FC16" s="133" t="n">
        <f aca="false">IF(OR(FC$4="",$B16=""),0,SUMIF('DADOS BRUTOS'!$A$3:$A$500,$B16,'DADOS BRUTOS'!CC$3:CC$500)+IF($C16="",0,SUMIF('DADOS BRUTOS'!$A$3:$A$500,$C16,'DADOS BRUTOS'!CC$3:CC$500)))</f>
        <v>0</v>
      </c>
      <c r="FD16" s="133" t="n">
        <f aca="false">IF(OR(FD$4="",$B16=""),0,SUMIF('DADOS BRUTOS'!$A$3:$A$500,$B16,'DADOS BRUTOS'!CD$3:CD$500)+IF($C16="",0,SUMIF('DADOS BRUTOS'!$A$3:$A$500,$C16,'DADOS BRUTOS'!CD$3:CD$500)))</f>
        <v>0</v>
      </c>
      <c r="FE16" s="133" t="n">
        <f aca="false">IF(OR(FE$4="",$B16=""),0,SUMIF('DADOS BRUTOS'!$A$3:$A$500,$B16,'DADOS BRUTOS'!CE$3:CE$500)+IF($C16="",0,SUMIF('DADOS BRUTOS'!$A$3:$A$500,$C16,'DADOS BRUTOS'!CE$3:CE$500)))</f>
        <v>0</v>
      </c>
      <c r="FF16" s="133" t="n">
        <f aca="false">IF(OR(FF$4="",$B16=""),0,SUMIF('DADOS BRUTOS'!$A$3:$A$500,$B16,'DADOS BRUTOS'!CF$3:CF$500)+IF($C16="",0,SUMIF('DADOS BRUTOS'!$A$3:$A$500,$C16,'DADOS BRUTOS'!CF$3:CF$500)))</f>
        <v>0</v>
      </c>
      <c r="FG16" s="133" t="n">
        <f aca="false">IF(OR(FG$4="",$B16=""),0,SUMIF('DADOS BRUTOS'!$A$3:$A$500,$B16,'DADOS BRUTOS'!CG$3:CG$500)+IF($C16="",0,SUMIF('DADOS BRUTOS'!$A$3:$A$500,$C16,'DADOS BRUTOS'!CG$3:CG$500)))</f>
        <v>0</v>
      </c>
      <c r="FH16" s="133" t="n">
        <f aca="false">IF(OR(FH$4="",$B16=""),0,SUMIF('DADOS BRUTOS'!$A$3:$A$500,$B16,'DADOS BRUTOS'!CH$3:CH$500)+IF($C16="",0,SUMIF('DADOS BRUTOS'!$A$3:$A$500,$C16,'DADOS BRUTOS'!CH$3:CH$500)))</f>
        <v>0</v>
      </c>
      <c r="FI16" s="133" t="n">
        <f aca="false">IF(OR(FI$4="",$B16=""),0,SUMIF('DADOS BRUTOS'!$A$3:$A$500,$B16,'DADOS BRUTOS'!CI$3:CI$500)+IF($C16="",0,SUMIF('DADOS BRUTOS'!$A$3:$A$500,$C16,'DADOS BRUTOS'!CI$3:CI$500)))</f>
        <v>0</v>
      </c>
      <c r="FJ16" s="133" t="n">
        <f aca="false">IF(OR(FJ$4="",$B16=""),0,SUMIF('DADOS BRUTOS'!$A$3:$A$500,$B16,'DADOS BRUTOS'!CJ$3:CJ$500)+IF($C16="",0,SUMIF('DADOS BRUTOS'!$A$3:$A$500,$C16,'DADOS BRUTOS'!CJ$3:CJ$500)))</f>
        <v>0</v>
      </c>
      <c r="FK16" s="133" t="n">
        <f aca="false">IF(OR(FK$4="",$B16=""),0,SUMIF('DADOS BRUTOS'!$A$3:$A$500,$B16,'DADOS BRUTOS'!CK$3:CK$500)+IF($C16="",0,SUMIF('DADOS BRUTOS'!$A$3:$A$500,$C16,'DADOS BRUTOS'!CK$3:CK$500)))</f>
        <v>0</v>
      </c>
      <c r="FL16" s="133" t="n">
        <f aca="false">IF(OR(FL$4="",$B16=""),0,SUMIF('DADOS BRUTOS'!$A$3:$A$500,$B16,'DADOS BRUTOS'!CL$3:CL$500)+IF($C16="",0,SUMIF('DADOS BRUTOS'!$A$3:$A$500,$C16,'DADOS BRUTOS'!CL$3:CL$500)))</f>
        <v>0</v>
      </c>
      <c r="FM16" s="133" t="n">
        <f aca="false">IF(OR(FM$4="",$B16=""),0,SUMIF('DADOS BRUTOS'!$A$3:$A$500,$B16,'DADOS BRUTOS'!CM$3:CM$500)+IF($C16="",0,SUMIF('DADOS BRUTOS'!$A$3:$A$500,$C16,'DADOS BRUTOS'!CM$3:CM$500)))</f>
        <v>0</v>
      </c>
      <c r="FN16" s="133" t="n">
        <f aca="false">IF(OR(FN$4="",$B16=""),0,SUMIF('DADOS BRUTOS'!$A$3:$A$500,$B16,'DADOS BRUTOS'!CN$3:CN$500)+IF($C16="",0,SUMIF('DADOS BRUTOS'!$A$3:$A$500,$C16,'DADOS BRUTOS'!CN$3:CN$500)))</f>
        <v>0</v>
      </c>
      <c r="FO16" s="133" t="n">
        <f aca="false">IF(OR(FO$4="",$B16=""),0,SUMIF('DADOS BRUTOS'!$A$3:$A$500,$B16,'DADOS BRUTOS'!CO$3:CO$500)+IF($C16="",0,SUMIF('DADOS BRUTOS'!$A$3:$A$500,$C16,'DADOS BRUTOS'!CO$3:CO$500)))</f>
        <v>0</v>
      </c>
      <c r="FP16" s="133" t="n">
        <f aca="false">IF(OR(FP$4="",$B16=""),0,SUMIF('DADOS BRUTOS'!$A$3:$A$500,$B16,'DADOS BRUTOS'!CP$3:CP$500)+IF($C16="",0,SUMIF('DADOS BRUTOS'!$A$3:$A$500,$C16,'DADOS BRUTOS'!CP$3:CP$500)))</f>
        <v>0</v>
      </c>
      <c r="FQ16" s="133" t="n">
        <f aca="false">IF(OR(FQ$4="",$B16=""),0,SUMIF('DADOS BRUTOS'!$A$3:$A$500,$B16,'DADOS BRUTOS'!CQ$3:CQ$500)+IF($C16="",0,SUMIF('DADOS BRUTOS'!$A$3:$A$500,$C16,'DADOS BRUTOS'!CQ$3:CQ$500)))</f>
        <v>0</v>
      </c>
      <c r="FR16" s="133" t="n">
        <f aca="false">IF(OR(FR$4="",$B16=""),0,SUMIF('DADOS BRUTOS'!$A$3:$A$500,$B16,'DADOS BRUTOS'!CR$3:CR$500)+IF($C16="",0,SUMIF('DADOS BRUTOS'!$A$3:$A$500,$C16,'DADOS BRUTOS'!CR$3:CR$500)))</f>
        <v>0</v>
      </c>
      <c r="FS16" s="133" t="n">
        <f aca="false">IF(OR(FS$4="",$B16=""),0,SUMIF('DADOS BRUTOS'!$A$3:$A$500,$B16,'DADOS BRUTOS'!CS$3:CS$500)+IF($C16="",0,SUMIF('DADOS BRUTOS'!$A$3:$A$500,$C16,'DADOS BRUTOS'!CS$3:CS$500)))</f>
        <v>0</v>
      </c>
      <c r="FT16" s="133" t="n">
        <f aca="false">IF(OR(FT$4="",$B16=""),0,SUMIF('DADOS BRUTOS'!$A$3:$A$500,$B16,'DADOS BRUTOS'!CT$3:CT$500)+IF($C16="",0,SUMIF('DADOS BRUTOS'!$A$3:$A$500,$C16,'DADOS BRUTOS'!CT$3:CT$500)))</f>
        <v>0</v>
      </c>
      <c r="FU16" s="133" t="n">
        <f aca="false">IF(OR(FU$4="",$B16=""),0,SUMIF('DADOS BRUTOS'!$A$3:$A$500,$B16,'DADOS BRUTOS'!CU$3:CU$500)+IF($C16="",0,SUMIF('DADOS BRUTOS'!$A$3:$A$500,$C16,'DADOS BRUTOS'!CU$3:CU$500)))</f>
        <v>0</v>
      </c>
      <c r="FV16" s="133" t="n">
        <f aca="false">IF(OR(FV$4="",$B16=""),0,SUMIF('DADOS BRUTOS'!$A$3:$A$500,$B16,'DADOS BRUTOS'!CV$3:CV$500)+IF($C16="",0,SUMIF('DADOS BRUTOS'!$A$3:$A$500,$C16,'DADOS BRUTOS'!CV$3:CV$500)))</f>
        <v>0</v>
      </c>
      <c r="FW16" s="133" t="n">
        <f aca="false">IF(OR(FW$4="",$B16=""),0,SUMIF('DADOS BRUTOS'!$A$3:$A$500,$B16,'DADOS BRUTOS'!CW$3:CW$500)+IF($C16="",0,SUMIF('DADOS BRUTOS'!$A$3:$A$500,$C16,'DADOS BRUTOS'!CW$3:CW$500)))</f>
        <v>0</v>
      </c>
      <c r="FX16" s="133" t="n">
        <f aca="false">IF(OR(FX$4="",$B16=""),0,SUMIF('DADOS BRUTOS'!$A$3:$A$500,$B16,'DADOS BRUTOS'!CX$3:CX$500)+IF($C16="",0,SUMIF('DADOS BRUTOS'!$A$3:$A$500,$C16,'DADOS BRUTOS'!CX$3:CX$500)))</f>
        <v>0</v>
      </c>
      <c r="FY16" s="133" t="n">
        <f aca="false">IF(OR(FY$4="",$B16=""),0,SUMIF('DADOS BRUTOS'!$A$3:$A$500,$B16,'DADOS BRUTOS'!CY$3:CY$500)+IF($C16="",0,SUMIF('DADOS BRUTOS'!$A$3:$A$500,$C16,'DADOS BRUTOS'!CY$3:CY$500)))</f>
        <v>0</v>
      </c>
      <c r="FZ16" s="133" t="n">
        <f aca="false">IF(OR(FZ$4="",$B16=""),0,SUMIF('DADOS BRUTOS'!$A$3:$A$500,$B16,'DADOS BRUTOS'!CZ$3:CZ$500)+IF($C16="",0,SUMIF('DADOS BRUTOS'!$A$3:$A$500,$C16,'DADOS BRUTOS'!CZ$3:CZ$500)))</f>
        <v>0</v>
      </c>
      <c r="GA16" s="133" t="n">
        <f aca="false">IF(OR(GA$4="",$B16=""),0,SUMIF('DADOS BRUTOS'!$A$3:$A$500,$B16,'DADOS BRUTOS'!DA$3:DA$500)+IF($C16="",0,SUMIF('DADOS BRUTOS'!$A$3:$A$500,$C16,'DADOS BRUTOS'!DA$3:DA$500)))</f>
        <v>0</v>
      </c>
      <c r="GB16" s="133" t="n">
        <f aca="false">IF(OR(GB$4="",$B16=""),0,SUMIF('DADOS BRUTOS'!$A$3:$A$500,$B16,'DADOS BRUTOS'!DB$3:DB$500)+IF($C16="",0,SUMIF('DADOS BRUTOS'!$A$3:$A$500,$C16,'DADOS BRUTOS'!DB$3:DB$500)))</f>
        <v>0</v>
      </c>
      <c r="GC16" s="133" t="n">
        <f aca="false">IF(OR(GC$4="",$B16=""),0,SUMIF('DADOS BRUTOS'!$A$3:$A$500,$B16,'DADOS BRUTOS'!DC$3:DC$500)+IF($C16="",0,SUMIF('DADOS BRUTOS'!$A$3:$A$500,$C16,'DADOS BRUTOS'!DC$3:DC$500)))</f>
        <v>0</v>
      </c>
      <c r="GD16" s="133" t="n">
        <f aca="false">IF(OR(GD$4="",$B16=""),0,SUMIF('DADOS BRUTOS'!$A$3:$A$500,$B16,'DADOS BRUTOS'!DD$3:DD$500)+IF($C16="",0,SUMIF('DADOS BRUTOS'!$A$3:$A$500,$C16,'DADOS BRUTOS'!DD$3:DD$500)))</f>
        <v>0</v>
      </c>
      <c r="GE16" s="133" t="n">
        <f aca="false">IF(OR(GE$4="",$B16=""),0,SUMIF('DADOS BRUTOS'!$A$3:$A$500,$B16,'DADOS BRUTOS'!DE$3:DE$500)+IF($C16="",0,SUMIF('DADOS BRUTOS'!$A$3:$A$500,$C16,'DADOS BRUTOS'!DE$3:DE$500)))</f>
        <v>0</v>
      </c>
      <c r="GF16" s="133" t="n">
        <f aca="false">IF(OR(GF$4="",$B16=""),0,SUMIF('DADOS BRUTOS'!$A$3:$A$500,$B16,'DADOS BRUTOS'!DF$3:DF$500)+IF($C16="",0,SUMIF('DADOS BRUTOS'!$A$3:$A$500,$C16,'DADOS BRUTOS'!DF$3:DF$500)))</f>
        <v>0</v>
      </c>
      <c r="GG16" s="133" t="n">
        <f aca="false">IF(OR(GG$4="",$B16=""),0,SUMIF('DADOS BRUTOS'!$A$3:$A$500,$B16,'DADOS BRUTOS'!DG$3:DG$500)+IF($C16="",0,SUMIF('DADOS BRUTOS'!$A$3:$A$500,$C16,'DADOS BRUTOS'!DG$3:DG$500)))</f>
        <v>0</v>
      </c>
      <c r="GH16" s="133" t="n">
        <f aca="false">IF(OR(GH$4="",$B16=""),0,SUMIF('DADOS BRUTOS'!$A$3:$A$500,$B16,'DADOS BRUTOS'!DH$3:DH$500)+IF($C16="",0,SUMIF('DADOS BRUTOS'!$A$3:$A$500,$C16,'DADOS BRUTOS'!DH$3:DH$500)))</f>
        <v>0</v>
      </c>
      <c r="GI16" s="133" t="n">
        <f aca="false">IF(OR(GI$4="",$B16=""),0,SUMIF('DADOS BRUTOS'!$A$3:$A$500,$B16,'DADOS BRUTOS'!DI$3:DI$500)+IF($C16="",0,SUMIF('DADOS BRUTOS'!$A$3:$A$500,$C16,'DADOS BRUTOS'!DI$3:DI$500)))</f>
        <v>0</v>
      </c>
      <c r="GJ16" s="133" t="n">
        <f aca="false">IF(OR(GJ$4="",$B16=""),0,SUMIF('DADOS BRUTOS'!$A$3:$A$500,$B16,'DADOS BRUTOS'!DJ$3:DJ$500)+IF($C16="",0,SUMIF('DADOS BRUTOS'!$A$3:$A$500,$C16,'DADOS BRUTOS'!DJ$3:DJ$500)))</f>
        <v>0</v>
      </c>
      <c r="GK16" s="133" t="n">
        <f aca="false">IF(OR(GK$4="",$B16=""),0,SUMIF('DADOS BRUTOS'!$A$3:$A$500,$B16,'DADOS BRUTOS'!DK$3:DK$500)+IF($C16="",0,SUMIF('DADOS BRUTOS'!$A$3:$A$500,$C16,'DADOS BRUTOS'!DK$3:DK$500)))</f>
        <v>0</v>
      </c>
      <c r="GL16" s="133" t="n">
        <f aca="false">IF(OR(GL$4="",$B16=""),0,SUMIF('DADOS BRUTOS'!$A$3:$A$500,$B16,'DADOS BRUTOS'!DL$3:DL$500)+IF($C16="",0,SUMIF('DADOS BRUTOS'!$A$3:$A$500,$C16,'DADOS BRUTOS'!DL$3:DL$500)))</f>
        <v>0</v>
      </c>
      <c r="GM16" s="133" t="n">
        <f aca="false">IF(OR(GM$4="",$B16=""),0,SUMIF('DADOS BRUTOS'!$A$3:$A$500,$B16,'DADOS BRUTOS'!DM$3:DM$500)+IF($C16="",0,SUMIF('DADOS BRUTOS'!$A$3:$A$500,$C16,'DADOS BRUTOS'!DM$3:DM$500)))</f>
        <v>0</v>
      </c>
      <c r="GN16" s="133" t="n">
        <f aca="false">IF(OR(GN$4="",$B16=""),0,SUMIF('DADOS BRUTOS'!$A$3:$A$500,$B16,'DADOS BRUTOS'!DN$3:DN$500)+IF($C16="",0,SUMIF('DADOS BRUTOS'!$A$3:$A$500,$C16,'DADOS BRUTOS'!DN$3:DN$500)))</f>
        <v>0</v>
      </c>
      <c r="GO16" s="133" t="n">
        <f aca="false">IF(OR(GO$4="",$B16=""),0,SUMIF('DADOS BRUTOS'!$A$3:$A$500,$B16,'DADOS BRUTOS'!DO$3:DO$500)+IF($C16="",0,SUMIF('DADOS BRUTOS'!$A$3:$A$500,$C16,'DADOS BRUTOS'!DO$3:DO$500)))</f>
        <v>0</v>
      </c>
      <c r="GP16" s="133" t="n">
        <f aca="false">IF(OR(GP$4="",$B16=""),0,SUMIF('DADOS BRUTOS'!$A$3:$A$500,$B16,'DADOS BRUTOS'!DP$3:DP$500)+IF($C16="",0,SUMIF('DADOS BRUTOS'!$A$3:$A$500,$C16,'DADOS BRUTOS'!DP$3:DP$500)))</f>
        <v>0</v>
      </c>
      <c r="GQ16" s="133" t="n">
        <f aca="false">IF(OR(GQ$4="",$B16=""),0,SUMIF('DADOS BRUTOS'!$A$3:$A$500,$B16,'DADOS BRUTOS'!DQ$3:DQ$500)+IF($C16="",0,SUMIF('DADOS BRUTOS'!$A$3:$A$500,$C16,'DADOS BRUTOS'!DQ$3:DQ$500)))</f>
        <v>0</v>
      </c>
      <c r="GR16" s="133" t="n">
        <f aca="false">IF(OR(GR$4="",$B16=""),0,SUMIF('DADOS BRUTOS'!$A$3:$A$500,$B16,'DADOS BRUTOS'!DR$3:DR$500)+IF($C16="",0,SUMIF('DADOS BRUTOS'!$A$3:$A$500,$C16,'DADOS BRUTOS'!DR$3:DR$500)))</f>
        <v>0</v>
      </c>
      <c r="GS16" s="133" t="n">
        <f aca="false">IF(OR(GS$4="",$B16=""),0,SUMIF('DADOS BRUTOS'!$A$3:$A$500,$B16,'DADOS BRUTOS'!DS$3:DS$500)+IF($C16="",0,SUMIF('DADOS BRUTOS'!$A$3:$A$500,$C16,'DADOS BRUTOS'!DS$3:DS$500)))</f>
        <v>0</v>
      </c>
      <c r="GT16" s="133" t="n">
        <f aca="false">IF(OR(GT$4="",$B16=""),0,SUMIF('DADOS BRUTOS'!$A$3:$A$500,$B16,'DADOS BRUTOS'!DT$3:DT$500)+IF($C16="",0,SUMIF('DADOS BRUTOS'!$A$3:$A$500,$C16,'DADOS BRUTOS'!DT$3:DT$500)))</f>
        <v>0</v>
      </c>
      <c r="GU16" s="133" t="n">
        <f aca="false">IF(OR(GU$4="",$B16=""),0,SUMIF('DADOS BRUTOS'!$A$3:$A$500,$B16,'DADOS BRUTOS'!DU$3:DU$500)+IF($C16="",0,SUMIF('DADOS BRUTOS'!$A$3:$A$500,$C16,'DADOS BRUTOS'!DU$3:DU$500)))</f>
        <v>0</v>
      </c>
      <c r="GV16" s="133" t="n">
        <f aca="false">IF(OR(GV$4="",$B16=""),0,SUMIF('DADOS BRUTOS'!$A$3:$A$500,$B16,'DADOS BRUTOS'!DV$3:DV$500)+IF($C16="",0,SUMIF('DADOS BRUTOS'!$A$3:$A$500,$C16,'DADOS BRUTOS'!DV$3:DV$500)))</f>
        <v>0</v>
      </c>
      <c r="GW16" s="133" t="n">
        <f aca="false">IF(OR(GW$4="",$B16=""),0,SUMIF('DADOS BRUTOS'!$A$3:$A$500,$B16,'DADOS BRUTOS'!DW$3:DW$500)+IF($C16="",0,SUMIF('DADOS BRUTOS'!$A$3:$A$500,$C16,'DADOS BRUTOS'!DW$3:DW$500)))</f>
        <v>0</v>
      </c>
      <c r="GX16" s="133" t="n">
        <f aca="false">IF(OR(GX$4="",$B16=""),0,SUMIF('DADOS BRUTOS'!$A$3:$A$500,$B16,'DADOS BRUTOS'!DX$3:DX$500)+IF($C16="",0,SUMIF('DADOS BRUTOS'!$A$3:$A$500,$C16,'DADOS BRUTOS'!DX$3:DX$500)))</f>
        <v>0</v>
      </c>
      <c r="GY16" s="133" t="n">
        <f aca="false">IF(OR(GY$4="",$B16=""),0,SUMIF('DADOS BRUTOS'!$A$3:$A$500,$B16,'DADOS BRUTOS'!DY$3:DY$500)+IF($C16="",0,SUMIF('DADOS BRUTOS'!$A$3:$A$500,$C16,'DADOS BRUTOS'!DY$3:DY$500)))</f>
        <v>0</v>
      </c>
      <c r="GZ16" s="133" t="n">
        <f aca="false">IF(OR(GZ$4="",$B16=""),0,SUMIF('DADOS BRUTOS'!$A$3:$A$500,$B16,'DADOS BRUTOS'!DZ$3:DZ$500)+IF($C16="",0,SUMIF('DADOS BRUTOS'!$A$3:$A$500,$C16,'DADOS BRUTOS'!DZ$3:DZ$500)))</f>
        <v>0</v>
      </c>
      <c r="HA16" s="133" t="n">
        <f aca="false">IF(OR(HA$4="",$B16=""),0,SUMIF('DADOS BRUTOS'!$A$3:$A$500,$B16,'DADOS BRUTOS'!EA$3:EA$500)+IF($C16="",0,SUMIF('DADOS BRUTOS'!$A$3:$A$500,$C16,'DADOS BRUTOS'!EA$3:EA$500)))</f>
        <v>0</v>
      </c>
      <c r="HB16" s="133" t="n">
        <f aca="false">IF(OR(HB$4="",$B16=""),0,SUMIF('DADOS BRUTOS'!$A$3:$A$500,$B16,'DADOS BRUTOS'!EB$3:EB$500)+IF($C16="",0,SUMIF('DADOS BRUTOS'!$A$3:$A$500,$C16,'DADOS BRUTOS'!EB$3:EB$500)))</f>
        <v>0</v>
      </c>
      <c r="HC16" s="133" t="n">
        <f aca="false">IF(OR(HC$4="",$B16=""),0,SUMIF('DADOS BRUTOS'!$A$3:$A$500,$B16,'DADOS BRUTOS'!EC$3:EC$500)+IF($C16="",0,SUMIF('DADOS BRUTOS'!$A$3:$A$500,$C16,'DADOS BRUTOS'!EC$3:EC$500)))</f>
        <v>0</v>
      </c>
      <c r="HD16" s="133" t="n">
        <f aca="false">IF(OR(HD$4="",$B16=""),0,SUMIF('DADOS BRUTOS'!$A$3:$A$500,$B16,'DADOS BRUTOS'!ED$3:ED$500)+IF($C16="",0,SUMIF('DADOS BRUTOS'!$A$3:$A$500,$C16,'DADOS BRUTOS'!ED$3:ED$500)))</f>
        <v>0</v>
      </c>
      <c r="HE16" s="133" t="n">
        <f aca="false">IF(OR(HE$4="",$B16=""),0,SUMIF('DADOS BRUTOS'!$A$3:$A$500,$B16,'DADOS BRUTOS'!EE$3:EE$500)+IF($C16="",0,SUMIF('DADOS BRUTOS'!$A$3:$A$500,$C16,'DADOS BRUTOS'!EE$3:EE$500)))</f>
        <v>0</v>
      </c>
      <c r="HF16" s="133" t="n">
        <f aca="false">IF(OR(HF$4="",$B16=""),0,SUMIF('DADOS BRUTOS'!$A$3:$A$500,$B16,'DADOS BRUTOS'!EF$3:EF$500)+IF($C16="",0,SUMIF('DADOS BRUTOS'!$A$3:$A$500,$C16,'DADOS BRUTOS'!EF$3:EF$500)))</f>
        <v>0</v>
      </c>
      <c r="HG16" s="133" t="n">
        <f aca="false">IF(OR(HG$4="",$B16=""),0,SUMIF('DADOS BRUTOS'!$A$3:$A$500,$B16,'DADOS BRUTOS'!EG$3:EG$500)+IF($C16="",0,SUMIF('DADOS BRUTOS'!$A$3:$A$500,$C16,'DADOS BRUTOS'!EG$3:EG$500)))</f>
        <v>0</v>
      </c>
      <c r="HH16" s="133" t="n">
        <f aca="false">IF(OR(HH$4="",$B16=""),0,SUMIF('DADOS BRUTOS'!$A$3:$A$500,$B16,'DADOS BRUTOS'!EH$3:EH$500)+IF($C16="",0,SUMIF('DADOS BRUTOS'!$A$3:$A$500,$C16,'DADOS BRUTOS'!EH$3:EH$500)))</f>
        <v>0</v>
      </c>
      <c r="HI16" s="133" t="n">
        <f aca="false">IF(OR(HI$4="",$B16=""),0,SUMIF('DADOS BRUTOS'!$A$3:$A$500,$B16,'DADOS BRUTOS'!EI$3:EI$500)+IF($C16="",0,SUMIF('DADOS BRUTOS'!$A$3:$A$500,$C16,'DADOS BRUTOS'!EI$3:EI$500)))</f>
        <v>0</v>
      </c>
      <c r="HJ16" s="133" t="n">
        <f aca="false">IF(OR(HJ$4="",$B16=""),0,SUMIF('DADOS BRUTOS'!$A$3:$A$500,$B16,'DADOS BRUTOS'!EJ$3:EJ$500)+IF($C16="",0,SUMIF('DADOS BRUTOS'!$A$3:$A$500,$C16,'DADOS BRUTOS'!EJ$3:EJ$500)))</f>
        <v>0</v>
      </c>
      <c r="HK16" s="133" t="n">
        <f aca="false">IF(OR(HK$4="",$B16=""),0,SUMIF('DADOS BRUTOS'!$A$3:$A$500,$B16,'DADOS BRUTOS'!EK$3:EK$500)+IF($C16="",0,SUMIF('DADOS BRUTOS'!$A$3:$A$500,$C16,'DADOS BRUTOS'!EK$3:EK$500)))</f>
        <v>0</v>
      </c>
      <c r="HL16" s="133" t="n">
        <f aca="false">IF(OR(HL$4="",$B16=""),0,SUMIF('DADOS BRUTOS'!$A$3:$A$500,$B16,'DADOS BRUTOS'!EL$3:EL$500)+IF($C16="",0,SUMIF('DADOS BRUTOS'!$A$3:$A$500,$C16,'DADOS BRUTOS'!EL$3:EL$500)))</f>
        <v>0</v>
      </c>
      <c r="HM16" s="133" t="n">
        <f aca="false">IF(OR(HM$4="",$B16=""),0,SUMIF('DADOS BRUTOS'!$A$3:$A$500,$B16,'DADOS BRUTOS'!EM$3:EM$500)+IF($C16="",0,SUMIF('DADOS BRUTOS'!$A$3:$A$500,$C16,'DADOS BRUTOS'!EM$3:EM$500)))</f>
        <v>0</v>
      </c>
      <c r="HN16" s="133" t="n">
        <f aca="false">IF(OR(HN$4="",$B16=""),0,SUMIF('DADOS BRUTOS'!$A$3:$A$500,$B16,'DADOS BRUTOS'!EN$3:EN$500)+IF($C16="",0,SUMIF('DADOS BRUTOS'!$A$3:$A$500,$C16,'DADOS BRUTOS'!EN$3:EN$500)))</f>
        <v>0</v>
      </c>
      <c r="HO16" s="133" t="n">
        <f aca="false">IF(OR(HO$4="",$B16=""),0,SUMIF('DADOS BRUTOS'!$A$3:$A$500,$B16,'DADOS BRUTOS'!EO$3:EO$500)+IF($C16="",0,SUMIF('DADOS BRUTOS'!$A$3:$A$500,$C16,'DADOS BRUTOS'!EO$3:EO$500)))</f>
        <v>0</v>
      </c>
      <c r="HP16" s="133" t="n">
        <f aca="false">IF(OR(HP$4="",$B16=""),0,SUMIF('DADOS BRUTOS'!$A$3:$A$500,$B16,'DADOS BRUTOS'!EP$3:EP$500)+IF($C16="",0,SUMIF('DADOS BRUTOS'!$A$3:$A$500,$C16,'DADOS BRUTOS'!EP$3:EP$500)))</f>
        <v>0</v>
      </c>
      <c r="HQ16" s="133" t="n">
        <f aca="false">IF(OR(HQ$4="",$B16=""),0,SUMIF('DADOS BRUTOS'!$A$3:$A$500,$B16,'DADOS BRUTOS'!EQ$3:EQ$500)+IF($C16="",0,SUMIF('DADOS BRUTOS'!$A$3:$A$500,$C16,'DADOS BRUTOS'!EQ$3:EQ$500)))</f>
        <v>0</v>
      </c>
      <c r="HR16" s="133" t="n">
        <f aca="false">IF(OR(HR$4="",$B16=""),0,SUMIF('DADOS BRUTOS'!$A$3:$A$500,$B16,'DADOS BRUTOS'!ER$3:ER$500)+IF($C16="",0,SUMIF('DADOS BRUTOS'!$A$3:$A$500,$C16,'DADOS BRUTOS'!ER$3:ER$500)))</f>
        <v>0</v>
      </c>
      <c r="HS16" s="133" t="n">
        <f aca="false">IF(OR(HS$4="",$B16=""),0,SUMIF('DADOS BRUTOS'!$A$3:$A$500,$B16,'DADOS BRUTOS'!ES$3:ES$500)+IF($C16="",0,SUMIF('DADOS BRUTOS'!$A$3:$A$500,$C16,'DADOS BRUTOS'!ES$3:ES$500)))</f>
        <v>0</v>
      </c>
      <c r="HT16" s="133" t="n">
        <f aca="false">IF(OR(HT$4="",$B16=""),0,SUMIF('DADOS BRUTOS'!$A$3:$A$500,$B16,'DADOS BRUTOS'!ET$3:ET$500)+IF($C16="",0,SUMIF('DADOS BRUTOS'!$A$3:$A$500,$C16,'DADOS BRUTOS'!ET$3:ET$500)))</f>
        <v>0</v>
      </c>
      <c r="HU16" s="133" t="n">
        <f aca="false">IF(OR(HU$4="",$B16=""),0,SUMIF('DADOS BRUTOS'!$A$3:$A$500,$B16,'DADOS BRUTOS'!EU$3:EU$500)+IF($C16="",0,SUMIF('DADOS BRUTOS'!$A$3:$A$500,$C16,'DADOS BRUTOS'!EU$3:EU$500)))</f>
        <v>0</v>
      </c>
      <c r="HV16" s="133" t="n">
        <f aca="false">IF(OR(HV$4="",$B16=""),0,SUMIF('DADOS BRUTOS'!$A$3:$A$500,$B16,'DADOS BRUTOS'!EV$3:EV$500)+IF($C16="",0,SUMIF('DADOS BRUTOS'!$A$3:$A$500,$C16,'DADOS BRUTOS'!EV$3:EV$500)))</f>
        <v>0</v>
      </c>
      <c r="HW16" s="133" t="n">
        <f aca="false">IF(OR(HW$4="",$B16=""),0,SUMIF('DADOS BRUTOS'!$A$3:$A$500,$B16,'DADOS BRUTOS'!EW$3:EW$500)+IF($C16="",0,SUMIF('DADOS BRUTOS'!$A$3:$A$500,$C16,'DADOS BRUTOS'!EW$3:EW$500)))</f>
        <v>0</v>
      </c>
      <c r="HX16" s="133" t="n">
        <f aca="false">IF(OR(HX$4="",$B16=""),0,SUMIF('DADOS BRUTOS'!$A$3:$A$500,$B16,'DADOS BRUTOS'!EX$3:EX$500)+IF($C16="",0,SUMIF('DADOS BRUTOS'!$A$3:$A$500,$C16,'DADOS BRUTOS'!EX$3:EX$500)))</f>
        <v>0</v>
      </c>
      <c r="HY16" s="133" t="n">
        <f aca="false">IF(OR(HY$4="",$B16=""),0,SUMIF('DADOS BRUTOS'!$A$3:$A$500,$B16,'DADOS BRUTOS'!EY$3:EY$500)+IF($C16="",0,SUMIF('DADOS BRUTOS'!$A$3:$A$500,$C16,'DADOS BRUTOS'!EY$3:EY$500)))</f>
        <v>0</v>
      </c>
      <c r="HZ16" s="133" t="n">
        <f aca="false">IF(OR(HZ$4="",$B16=""),0,SUMIF('DADOS BRUTOS'!$A$3:$A$500,$B16,'DADOS BRUTOS'!EZ$3:EZ$500)+IF($C16="",0,SUMIF('DADOS BRUTOS'!$A$3:$A$500,$C16,'DADOS BRUTOS'!EZ$3:EZ$500)))</f>
        <v>0</v>
      </c>
      <c r="IA16" s="133" t="n">
        <f aca="false">IF(OR(IA$4="",$B16=""),0,SUMIF('DADOS BRUTOS'!$A$3:$A$500,$B16,'DADOS BRUTOS'!FA$3:FA$500)+IF($C16="",0,SUMIF('DADOS BRUTOS'!$A$3:$A$500,$C16,'DADOS BRUTOS'!FA$3:FA$500)))</f>
        <v>0</v>
      </c>
      <c r="IB16" s="133" t="n">
        <f aca="false">IF(OR(IB$4="",$B16=""),0,SUMIF('DADOS BRUTOS'!$A$3:$A$500,$B16,'DADOS BRUTOS'!FB$3:FB$500)+IF($C16="",0,SUMIF('DADOS BRUTOS'!$A$3:$A$500,$C16,'DADOS BRUTOS'!FB$3:FB$500)))</f>
        <v>0</v>
      </c>
      <c r="IC16" s="133" t="n">
        <f aca="false">IF(OR(IC$4="",$B16=""),0,SUMIF('DADOS BRUTOS'!$A$3:$A$500,$B16,'DADOS BRUTOS'!FC$3:FC$500)+IF($C16="",0,SUMIF('DADOS BRUTOS'!$A$3:$A$500,$C16,'DADOS BRUTOS'!FC$3:FC$500)))</f>
        <v>0</v>
      </c>
      <c r="ID16" s="133" t="n">
        <f aca="false">IF(OR(ID$4="",$B16=""),0,SUMIF('DADOS BRUTOS'!$A$3:$A$500,$B16,'DADOS BRUTOS'!FD$3:FD$500)+IF($C16="",0,SUMIF('DADOS BRUTOS'!$A$3:$A$500,$C16,'DADOS BRUTOS'!FD$3:FD$500)))</f>
        <v>0</v>
      </c>
      <c r="IE16" s="133" t="n">
        <f aca="false">IF(OR(IE$4="",$B16=""),0,SUMIF('DADOS BRUTOS'!$A$3:$A$500,$B16,'DADOS BRUTOS'!FE$3:FE$500)+IF($C16="",0,SUMIF('DADOS BRUTOS'!$A$3:$A$500,$C16,'DADOS BRUTOS'!FE$3:FE$500)))</f>
        <v>0</v>
      </c>
      <c r="IF16" s="133" t="n">
        <f aca="false">IF(OR(IF$4="",$B16=""),0,SUMIF('DADOS BRUTOS'!$A$3:$A$500,$B16,'DADOS BRUTOS'!FF$3:FF$500)+IF($C16="",0,SUMIF('DADOS BRUTOS'!$A$3:$A$500,$C16,'DADOS BRUTOS'!FF$3:FF$500)))</f>
        <v>0</v>
      </c>
      <c r="IG16" s="133" t="n">
        <f aca="false">IF(OR(IG$4="",$B16=""),0,SUMIF('DADOS BRUTOS'!$A$3:$A$500,$B16,'DADOS BRUTOS'!FG$3:FG$500)+IF($C16="",0,SUMIF('DADOS BRUTOS'!$A$3:$A$500,$C16,'DADOS BRUTOS'!FG$3:FG$500)))</f>
        <v>0</v>
      </c>
      <c r="IH16" s="133" t="n">
        <f aca="false">IF(OR(IH$4="",$B16=""),0,SUMIF('DADOS BRUTOS'!$A$3:$A$500,$B16,'DADOS BRUTOS'!FH$3:FH$500)+IF($C16="",0,SUMIF('DADOS BRUTOS'!$A$3:$A$500,$C16,'DADOS BRUTOS'!FH$3:FH$500)))</f>
        <v>0</v>
      </c>
      <c r="II16" s="133" t="n">
        <f aca="false">IF(OR(II$4="",$B16=""),0,SUMIF('DADOS BRUTOS'!$A$3:$A$500,$B16,'DADOS BRUTOS'!FI$3:FI$500)+IF($C16="",0,SUMIF('DADOS BRUTOS'!$A$3:$A$500,$C16,'DADOS BRUTOS'!FI$3:FI$500)))</f>
        <v>0</v>
      </c>
      <c r="IJ16" s="133" t="n">
        <f aca="false">IF(OR(IJ$4="",$B16=""),0,SUMIF('DADOS BRUTOS'!$A$3:$A$500,$B16,'DADOS BRUTOS'!FJ$3:FJ$500)+IF($C16="",0,SUMIF('DADOS BRUTOS'!$A$3:$A$500,$C16,'DADOS BRUTOS'!FJ$3:FJ$500)))</f>
        <v>0</v>
      </c>
      <c r="IK16" s="133" t="n">
        <f aca="false">IF(OR(IK$4="",$B16=""),0,SUMIF('DADOS BRUTOS'!$A$3:$A$500,$B16,'DADOS BRUTOS'!FK$3:FK$500)+IF($C16="",0,SUMIF('DADOS BRUTOS'!$A$3:$A$500,$C16,'DADOS BRUTOS'!FK$3:FK$500)))</f>
        <v>0</v>
      </c>
      <c r="IL16" s="133" t="n">
        <f aca="false">IF(OR(IL$4="",$B16=""),0,SUMIF('DADOS BRUTOS'!$A$3:$A$500,$B16,'DADOS BRUTOS'!FL$3:FL$500)+IF($C16="",0,SUMIF('DADOS BRUTOS'!$A$3:$A$500,$C16,'DADOS BRUTOS'!FL$3:FL$500)))</f>
        <v>0</v>
      </c>
      <c r="IM16" s="133" t="n">
        <f aca="false">IF(OR(IM$4="",$B16=""),0,SUMIF('DADOS BRUTOS'!$A$3:$A$500,$B16,'DADOS BRUTOS'!FM$3:FM$500)+IF($C16="",0,SUMIF('DADOS BRUTOS'!$A$3:$A$500,$C16,'DADOS BRUTOS'!FM$3:FM$500)))</f>
        <v>0</v>
      </c>
      <c r="IN16" s="133" t="n">
        <f aca="false">IF(OR(IN$4="",$B16=""),0,SUMIF('DADOS BRUTOS'!$A$3:$A$500,$B16,'DADOS BRUTOS'!FN$3:FN$500)+IF($C16="",0,SUMIF('DADOS BRUTOS'!$A$3:$A$500,$C16,'DADOS BRUTOS'!FN$3:FN$500)))</f>
        <v>0</v>
      </c>
      <c r="IO16" s="133" t="n">
        <f aca="false">IF(OR(IO$4="",$B16=""),0,SUMIF('DADOS BRUTOS'!$A$3:$A$500,$B16,'DADOS BRUTOS'!FO$3:FO$500)+IF($C16="",0,SUMIF('DADOS BRUTOS'!$A$3:$A$500,$C16,'DADOS BRUTOS'!FO$3:FO$500)))</f>
        <v>0</v>
      </c>
      <c r="IP16" s="133" t="n">
        <f aca="false">IF(OR(IP$4="",$B16=""),0,SUMIF('DADOS BRUTOS'!$A$3:$A$500,$B16,'DADOS BRUTOS'!FP$3:FP$500)+IF($C16="",0,SUMIF('DADOS BRUTOS'!$A$3:$A$500,$C16,'DADOS BRUTOS'!FP$3:FP$500)))</f>
        <v>0</v>
      </c>
      <c r="IQ16" s="133" t="n">
        <f aca="false">IF(OR(IQ$4="",$B16=""),0,SUMIF('DADOS BRUTOS'!$A$3:$A$500,$B16,'DADOS BRUTOS'!FQ$3:FQ$500)+IF($C16="",0,SUMIF('DADOS BRUTOS'!$A$3:$A$500,$C16,'DADOS BRUTOS'!FQ$3:FQ$500)))</f>
        <v>0</v>
      </c>
      <c r="IR16" s="133" t="n">
        <f aca="false">IF(OR(IR$4="",$B16=""),0,SUMIF('DADOS BRUTOS'!$A$3:$A$500,$B16,'DADOS BRUTOS'!FR$3:FR$500)+IF($C16="",0,SUMIF('DADOS BRUTOS'!$A$3:$A$500,$C16,'DADOS BRUTOS'!FR$3:FR$500)))</f>
        <v>0</v>
      </c>
      <c r="IS16" s="133" t="n">
        <f aca="false">IF(OR(IS$4="",$B16=""),0,SUMIF('DADOS BRUTOS'!$A$3:$A$500,$B16,'DADOS BRUTOS'!FS$3:FS$500)+IF($C16="",0,SUMIF('DADOS BRUTOS'!$A$3:$A$500,$C16,'DADOS BRUTOS'!FS$3:FS$500)))</f>
        <v>0</v>
      </c>
      <c r="IT16" s="133" t="n">
        <f aca="false">IF(OR(IT$4="",$B16=""),0,SUMIF('DADOS BRUTOS'!$A$3:$A$500,$B16,'DADOS BRUTOS'!FT$3:FT$500)+IF($C16="",0,SUMIF('DADOS BRUTOS'!$A$3:$A$500,$C16,'DADOS BRUTOS'!FT$3:FT$500)))</f>
        <v>0</v>
      </c>
      <c r="IU16" s="133" t="n">
        <f aca="false">IF(OR(IU$4="",$B16=""),0,SUMIF('DADOS BRUTOS'!$A$3:$A$500,$B16,'DADOS BRUTOS'!FU$3:FU$500)+IF($C16="",0,SUMIF('DADOS BRUTOS'!$A$3:$A$500,$C16,'DADOS BRUTOS'!FU$3:FU$500)))</f>
        <v>0</v>
      </c>
      <c r="IV16" s="133" t="n">
        <f aca="false">IF(OR(IV$4="",$B16=""),0,SUMIF('DADOS BRUTOS'!$A$3:$A$500,$B16,'DADOS BRUTOS'!FV$3:FV$500)+IF($C16="",0,SUMIF('DADOS BRUTOS'!$A$3:$A$500,$C16,'DADOS BRUTOS'!FV$3:FV$500)))</f>
        <v>0</v>
      </c>
      <c r="IW16" s="133" t="n">
        <f aca="false">IF(OR(IW$4="",$B16=""),0,SUMIF('DADOS BRUTOS'!$A$3:$A$500,$B16,'DADOS BRUTOS'!FW$3:FW$500)+IF($C16="",0,SUMIF('DADOS BRUTOS'!$A$3:$A$500,$C16,'DADOS BRUTOS'!FW$3:FW$500)))</f>
        <v>0</v>
      </c>
      <c r="IX16" s="133" t="n">
        <f aca="false">IF(OR(IX$4="",$B16=""),0,SUMIF('DADOS BRUTOS'!$A$3:$A$500,$B16,'DADOS BRUTOS'!FX$3:FX$500)+IF($C16="",0,SUMIF('DADOS BRUTOS'!$A$3:$A$500,$C16,'DADOS BRUTOS'!FX$3:FX$500)))</f>
        <v>0</v>
      </c>
      <c r="IY16" s="133" t="n">
        <f aca="false">IF(OR(IY$4="",$B16=""),0,SUMIF('DADOS BRUTOS'!$A$3:$A$500,$B16,'DADOS BRUTOS'!FY$3:FY$500)+IF($C16="",0,SUMIF('DADOS BRUTOS'!$A$3:$A$500,$C16,'DADOS BRUTOS'!FY$3:FY$500)))</f>
        <v>0</v>
      </c>
      <c r="IZ16" s="133" t="n">
        <f aca="false">IF(OR(IZ$4="",$B16=""),0,SUMIF('DADOS BRUTOS'!$A$3:$A$500,$B16,'DADOS BRUTOS'!FZ$3:FZ$500)+IF($C16="",0,SUMIF('DADOS BRUTOS'!$A$3:$A$500,$C16,'DADOS BRUTOS'!FZ$3:FZ$500)))</f>
        <v>0</v>
      </c>
      <c r="JA16" s="133" t="n">
        <f aca="false">IF(OR(JA$4="",$B16=""),0,SUMIF('DADOS BRUTOS'!$A$3:$A$500,$B16,'DADOS BRUTOS'!GA$3:GA$500)+IF($C16="",0,SUMIF('DADOS BRUTOS'!$A$3:$A$500,$C16,'DADOS BRUTOS'!GA$3:GA$500)))</f>
        <v>0</v>
      </c>
      <c r="JB16" s="133" t="n">
        <f aca="false">IF(OR(JB$4="",$B16=""),0,SUMIF('DADOS BRUTOS'!$A$3:$A$500,$B16,'DADOS BRUTOS'!GB$3:GB$500)+IF($C16="",0,SUMIF('DADOS BRUTOS'!$A$3:$A$500,$C16,'DADOS BRUTOS'!GB$3:GB$500)))</f>
        <v>0</v>
      </c>
      <c r="JC16" s="133" t="n">
        <f aca="false">IF(OR(JC$4="",$B16=""),0,SUMIF('DADOS BRUTOS'!$A$3:$A$500,$B16,'DADOS BRUTOS'!GC$3:GC$500)+IF($C16="",0,SUMIF('DADOS BRUTOS'!$A$3:$A$500,$C16,'DADOS BRUTOS'!GC$3:GC$500)))</f>
        <v>0</v>
      </c>
      <c r="JD16" s="133" t="n">
        <f aca="false">IF(OR(JD$4="",$B16=""),0,SUMIF('DADOS BRUTOS'!$A$3:$A$500,$B16,'DADOS BRUTOS'!GD$3:GD$500)+IF($C16="",0,SUMIF('DADOS BRUTOS'!$A$3:$A$500,$C16,'DADOS BRUTOS'!GD$3:GD$500)))</f>
        <v>0</v>
      </c>
      <c r="JE16" s="133" t="n">
        <f aca="false">IF(OR(JE$4="",$B16=""),0,SUMIF('DADOS BRUTOS'!$A$3:$A$500,$B16,'DADOS BRUTOS'!GE$3:GE$500)+IF($C16="",0,SUMIF('DADOS BRUTOS'!$A$3:$A$500,$C16,'DADOS BRUTOS'!GE$3:GE$500)))</f>
        <v>0</v>
      </c>
      <c r="JF16" s="133" t="n">
        <f aca="false">IF(OR(JF$4="",$B16=""),0,SUMIF('DADOS BRUTOS'!$A$3:$A$500,$B16,'DADOS BRUTOS'!GF$3:GF$500)+IF($C16="",0,SUMIF('DADOS BRUTOS'!$A$3:$A$500,$C16,'DADOS BRUTOS'!GF$3:GF$500)))</f>
        <v>0</v>
      </c>
      <c r="JG16" s="133" t="n">
        <f aca="false">IF(OR(JG$4="",$B16=""),0,SUMIF('DADOS BRUTOS'!$A$3:$A$500,$B16,'DADOS BRUTOS'!GG$3:GG$500)+IF($C16="",0,SUMIF('DADOS BRUTOS'!$A$3:$A$500,$C16,'DADOS BRUTOS'!GG$3:GG$500)))</f>
        <v>0</v>
      </c>
      <c r="JH16" s="133" t="n">
        <f aca="false">IF(OR(JH$4="",$B16=""),0,SUMIF('DADOS BRUTOS'!$A$3:$A$500,$B16,'DADOS BRUTOS'!GH$3:GH$500)+IF($C16="",0,SUMIF('DADOS BRUTOS'!$A$3:$A$500,$C16,'DADOS BRUTOS'!GH$3:GH$500)))</f>
        <v>0</v>
      </c>
      <c r="JI16" s="133" t="n">
        <f aca="false">IF(OR(JI$4="",$B16=""),0,SUMIF('DADOS BRUTOS'!$A$3:$A$500,$B16,'DADOS BRUTOS'!GI$3:GI$500)+IF($C16="",0,SUMIF('DADOS BRUTOS'!$A$3:$A$500,$C16,'DADOS BRUTOS'!GI$3:GI$500)))</f>
        <v>0</v>
      </c>
      <c r="JJ16" s="133" t="n">
        <f aca="false">IF(OR(JJ$4="",$B16=""),0,SUMIF('DADOS BRUTOS'!$A$3:$A$500,$B16,'DADOS BRUTOS'!GJ$3:GJ$500)+IF($C16="",0,SUMIF('DADOS BRUTOS'!$A$3:$A$500,$C16,'DADOS BRUTOS'!GJ$3:GJ$500)))</f>
        <v>0</v>
      </c>
      <c r="JK16" s="133" t="n">
        <f aca="false">IF(OR(JK$4="",$B16=""),0,SUMIF('DADOS BRUTOS'!$A$3:$A$500,$B16,'DADOS BRUTOS'!GK$3:GK$500)+IF($C16="",0,SUMIF('DADOS BRUTOS'!$A$3:$A$500,$C16,'DADOS BRUTOS'!GK$3:GK$500)))</f>
        <v>0</v>
      </c>
      <c r="JL16" s="133" t="n">
        <f aca="false">IF(OR(JL$4="",$B16=""),0,SUMIF('DADOS BRUTOS'!$A$3:$A$500,$B16,'DADOS BRUTOS'!GL$3:GL$500)+IF($C16="",0,SUMIF('DADOS BRUTOS'!$A$3:$A$500,$C16,'DADOS BRUTOS'!GL$3:GL$500)))</f>
        <v>0</v>
      </c>
      <c r="JM16" s="133" t="n">
        <f aca="false">IF(OR(JM$4="",$B16=""),0,SUMIF('DADOS BRUTOS'!$A$3:$A$500,$B16,'DADOS BRUTOS'!GM$3:GM$500)+IF($C16="",0,SUMIF('DADOS BRUTOS'!$A$3:$A$500,$C16,'DADOS BRUTOS'!GM$3:GM$500)))</f>
        <v>0</v>
      </c>
      <c r="JN16" s="133" t="n">
        <f aca="false">IF(OR(JN$4="",$B16=""),0,SUMIF('DADOS BRUTOS'!$A$3:$A$500,$B16,'DADOS BRUTOS'!GN$3:GN$500)+IF($C16="",0,SUMIF('DADOS BRUTOS'!$A$3:$A$500,$C16,'DADOS BRUTOS'!GN$3:GN$500)))</f>
        <v>0</v>
      </c>
      <c r="JO16" s="133" t="n">
        <f aca="false">IF(OR(JO$4="",$B16=""),0,SUMIF('DADOS BRUTOS'!$A$3:$A$500,$B16,'DADOS BRUTOS'!GO$3:GO$500)+IF($C16="",0,SUMIF('DADOS BRUTOS'!$A$3:$A$500,$C16,'DADOS BRUTOS'!GO$3:GO$500)))</f>
        <v>0</v>
      </c>
      <c r="JP16" s="133" t="n">
        <f aca="false">IF(OR(JP$4="",$B16=""),0,SUMIF('DADOS BRUTOS'!$A$3:$A$500,$B16,'DADOS BRUTOS'!GP$3:GP$500)+IF($C16="",0,SUMIF('DADOS BRUTOS'!$A$3:$A$500,$C16,'DADOS BRUTOS'!GP$3:GP$500)))</f>
        <v>0</v>
      </c>
      <c r="JQ16" s="133" t="n">
        <f aca="false">IF(OR(JQ$4="",$B16=""),0,SUMIF('DADOS BRUTOS'!$A$3:$A$500,$B16,'DADOS BRUTOS'!GQ$3:GQ$500)+IF($C16="",0,SUMIF('DADOS BRUTOS'!$A$3:$A$500,$C16,'DADOS BRUTOS'!GQ$3:GQ$500)))</f>
        <v>0</v>
      </c>
      <c r="JR16" s="133" t="n">
        <f aca="false">IF(OR(JR$4="",$B16=""),0,SUMIF('DADOS BRUTOS'!$A$3:$A$500,$B16,'DADOS BRUTOS'!GR$3:GR$500)+IF($C16="",0,SUMIF('DADOS BRUTOS'!$A$3:$A$500,$C16,'DADOS BRUTOS'!GR$3:GR$500)))</f>
        <v>0</v>
      </c>
      <c r="JS16" s="133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51793.14</v>
      </c>
      <c r="E17" s="50" t="n">
        <f aca="false">SUMIF($CB$4:$JS$4,E$4,$CB17:$JS17)</f>
        <v>0</v>
      </c>
      <c r="F17" s="50" t="n">
        <f aca="false">SUMIF($CB$4:$JS$4,F$4,$CB17:$JS17)</f>
        <v>34631.8</v>
      </c>
      <c r="G17" s="50" t="n">
        <f aca="false">SUMIF($CB$4:$JS$4,G$4,$CB17:$JS17)</f>
        <v>68777.66</v>
      </c>
      <c r="H17" s="50" t="n">
        <f aca="false">SUMIF($CB$4:$JS$4,H$4,$CB17:$JS17)</f>
        <v>289018.47</v>
      </c>
      <c r="I17" s="50" t="n">
        <f aca="false">SUMIF($CB$4:$JS$4,I$4,$CB17:$JS17)</f>
        <v>447931.23</v>
      </c>
      <c r="J17" s="50" t="n">
        <f aca="false">SUMIF($CB$4:$JS$4,J$4,$CB17:$JS17)</f>
        <v>307290.56</v>
      </c>
      <c r="K17" s="50" t="n">
        <f aca="false">SUMIF($CB$4:$JS$4,K$4,$CB17:$JS17)</f>
        <v>232883.87</v>
      </c>
      <c r="L17" s="50" t="n">
        <f aca="false">SUMIF($CB$4:$JS$4,L$4,$CB17:$JS17)</f>
        <v>529876.06</v>
      </c>
      <c r="M17" s="50" t="n">
        <f aca="false">SUMIF($CB$4:$JS$4,M$4,$CB17:$JS17)</f>
        <v>236869.43</v>
      </c>
      <c r="N17" s="50" t="n">
        <f aca="false">SUMIF($CB$4:$JS$4,N$4,$CB17:$JS17)</f>
        <v>612093.14</v>
      </c>
      <c r="O17" s="50" t="n">
        <f aca="false">SUMIF($CB$4:$JS$4,O$4,$CB17:$JS17)</f>
        <v>140976.31</v>
      </c>
      <c r="P17" s="50" t="n">
        <f aca="false">SUMIF($CB$4:$JS$4,P$4,$CB17:$JS17)</f>
        <v>15666.06</v>
      </c>
      <c r="Q17" s="50" t="n">
        <f aca="false">SUMIF($CB$4:$JS$4,Q$4,$CB17:$JS17)</f>
        <v>1819.26</v>
      </c>
      <c r="R17" s="50" t="n">
        <f aca="false">SUMIF($CB$4:$JS$4,R$4,$CB17:$JS17)</f>
        <v>0</v>
      </c>
      <c r="S17" s="50" t="n">
        <f aca="false">SUMIF($CB$4:$JS$4,S$4,$CB17:$JS17)</f>
        <v>768</v>
      </c>
      <c r="T17" s="50" t="n">
        <f aca="false">SUMIF($CB$4:$JS$4,T$4,$CB17:$JS17)</f>
        <v>7727.6</v>
      </c>
      <c r="U17" s="50" t="n">
        <f aca="false">SUMIF($CB$4:$JS$4,U$4,$CB17:$JS17)</f>
        <v>0</v>
      </c>
      <c r="V17" s="50" t="n">
        <f aca="false">SUMIF($CB$4:$JS$4,V$4,$CB17:$JS17)</f>
        <v>338.77</v>
      </c>
      <c r="W17" s="50" t="n">
        <f aca="false">SUMIF($CB$4:$JS$4,W$4,$CB17:$JS17)</f>
        <v>25731.24</v>
      </c>
      <c r="X17" s="50" t="n">
        <f aca="false">SUMIF($CB$4:$JS$4,X$4,$CB17:$JS17)</f>
        <v>24719.3</v>
      </c>
      <c r="Y17" s="50" t="n">
        <f aca="false">SUMIF($CB$4:$JS$4,Y$4,$CB17:$JS17)</f>
        <v>5053.1</v>
      </c>
      <c r="Z17" s="50" t="n">
        <f aca="false">SUMIF($CB$4:$JS$4,Z$4,$CB17:$JS17)</f>
        <v>18590.46</v>
      </c>
      <c r="AA17" s="50" t="n">
        <f aca="false">SUMIF($CB$4:$JS$4,AA$4,$CB17:$JS17)</f>
        <v>5078.5</v>
      </c>
      <c r="AB17" s="50" t="n">
        <f aca="false">SUMIF($CB$4:$JS$4,AB$4,$CB17:$JS17)</f>
        <v>5783.71</v>
      </c>
      <c r="AC17" s="50" t="n">
        <f aca="false">SUMIF($CB$4:$JS$4,AC$4,$CB17:$JS17)</f>
        <v>1523.01</v>
      </c>
      <c r="AD17" s="50" t="n">
        <f aca="false">SUMIF($CB$4:$JS$4,AD$4,$CB17:$JS17)</f>
        <v>0</v>
      </c>
      <c r="AE17" s="50" t="n">
        <f aca="false">SUMIF($CB$4:$JS$4,AE$4,$CB17:$JS17)</f>
        <v>27769.62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1668.81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3094379.11</v>
      </c>
      <c r="BZ17" s="45" t="n">
        <f aca="false">SUMPRODUCT(($CB$4:$JS$4&lt;&gt;"")*($CB$4:$JS$4&lt;=$D$4),$CB17:$JS17,$CB$1:$JS$1)</f>
        <v>45.8219273582619</v>
      </c>
      <c r="CB17" s="133" t="n">
        <f aca="false">IF(OR(CB$4="",$B17=""),0,SUMIF('DADOS BRUTOS'!$A$3:$A$500,$B17,'DADOS BRUTOS'!B$3:B$500)+IF($C17="",0,SUMIF('DADOS BRUTOS'!$A$3:$A$500,$C17,'DADOS BRUTOS'!B$3:B$500)))</f>
        <v>0</v>
      </c>
      <c r="CC17" s="133" t="n">
        <f aca="false">IF(OR(CC$4="",$B17=""),0,SUMIF('DADOS BRUTOS'!$A$3:$A$500,$B17,'DADOS BRUTOS'!C$3:C$500)+IF($C17="",0,SUMIF('DADOS BRUTOS'!$A$3:$A$500,$C17,'DADOS BRUTOS'!C$3:C$500)))</f>
        <v>0</v>
      </c>
      <c r="CD17" s="133" t="n">
        <f aca="false">IF(OR(CD$4="",$B17=""),0,SUMIF('DADOS BRUTOS'!$A$3:$A$500,$B17,'DADOS BRUTOS'!D$3:D$500)+IF($C17="",0,SUMIF('DADOS BRUTOS'!$A$3:$A$500,$C17,'DADOS BRUTOS'!D$3:D$500)))</f>
        <v>0</v>
      </c>
      <c r="CE17" s="133" t="n">
        <f aca="false">IF(OR(CE$4="",$B17=""),0,SUMIF('DADOS BRUTOS'!$A$3:$A$500,$B17,'DADOS BRUTOS'!E$3:E$500)+IF($C17="",0,SUMIF('DADOS BRUTOS'!$A$3:$A$500,$C17,'DADOS BRUTOS'!E$3:E$500)))</f>
        <v>0</v>
      </c>
      <c r="CF17" s="133" t="n">
        <f aca="false">IF(OR(CF$4="",$B17=""),0,SUMIF('DADOS BRUTOS'!$A$3:$A$500,$B17,'DADOS BRUTOS'!F$3:F$500)+IF($C17="",0,SUMIF('DADOS BRUTOS'!$A$3:$A$500,$C17,'DADOS BRUTOS'!F$3:F$500)))</f>
        <v>0</v>
      </c>
      <c r="CG17" s="133" t="n">
        <f aca="false">IF(OR(CG$4="",$B17=""),0,SUMIF('DADOS BRUTOS'!$A$3:$A$500,$B17,'DADOS BRUTOS'!G$3:G$500)+IF($C17="",0,SUMIF('DADOS BRUTOS'!$A$3:$A$500,$C17,'DADOS BRUTOS'!G$3:G$500)))</f>
        <v>0</v>
      </c>
      <c r="CH17" s="133" t="n">
        <f aca="false">IF(OR(CH$4="",$B17=""),0,SUMIF('DADOS BRUTOS'!$A$3:$A$500,$B17,'DADOS BRUTOS'!H$3:H$500)+IF($C17="",0,SUMIF('DADOS BRUTOS'!$A$3:$A$500,$C17,'DADOS BRUTOS'!H$3:H$500)))</f>
        <v>0</v>
      </c>
      <c r="CI17" s="133" t="n">
        <f aca="false">IF(OR(CI$4="",$B17=""),0,SUMIF('DADOS BRUTOS'!$A$3:$A$500,$B17,'DADOS BRUTOS'!I$3:I$500)+IF($C17="",0,SUMIF('DADOS BRUTOS'!$A$3:$A$500,$C17,'DADOS BRUTOS'!I$3:I$500)))</f>
        <v>0</v>
      </c>
      <c r="CJ17" s="133" t="n">
        <f aca="false">IF(OR(CJ$4="",$B17=""),0,SUMIF('DADOS BRUTOS'!$A$3:$A$500,$B17,'DADOS BRUTOS'!J$3:J$500)+IF($C17="",0,SUMIF('DADOS BRUTOS'!$A$3:$A$500,$C17,'DADOS BRUTOS'!J$3:J$500)))</f>
        <v>0</v>
      </c>
      <c r="CK17" s="133" t="n">
        <f aca="false">IF(OR(CK$4="",$B17=""),0,SUMIF('DADOS BRUTOS'!$A$3:$A$500,$B17,'DADOS BRUTOS'!K$3:K$500)+IF($C17="",0,SUMIF('DADOS BRUTOS'!$A$3:$A$500,$C17,'DADOS BRUTOS'!K$3:K$500)))</f>
        <v>0</v>
      </c>
      <c r="CL17" s="133" t="n">
        <f aca="false">IF(OR(CL$4="",$B17=""),0,SUMIF('DADOS BRUTOS'!$A$3:$A$500,$B17,'DADOS BRUTOS'!L$3:L$500)+IF($C17="",0,SUMIF('DADOS BRUTOS'!$A$3:$A$500,$C17,'DADOS BRUTOS'!L$3:L$500)))</f>
        <v>0</v>
      </c>
      <c r="CM17" s="133" t="n">
        <f aca="false">IF(OR(CM$4="",$B17=""),0,SUMIF('DADOS BRUTOS'!$A$3:$A$500,$B17,'DADOS BRUTOS'!M$3:M$500)+IF($C17="",0,SUMIF('DADOS BRUTOS'!$A$3:$A$500,$C17,'DADOS BRUTOS'!M$3:M$500)))</f>
        <v>0</v>
      </c>
      <c r="CN17" s="133" t="n">
        <f aca="false">IF(OR(CN$4="",$B17=""),0,SUMIF('DADOS BRUTOS'!$A$3:$A$500,$B17,'DADOS BRUTOS'!N$3:N$500)+IF($C17="",0,SUMIF('DADOS BRUTOS'!$A$3:$A$500,$C17,'DADOS BRUTOS'!N$3:N$500)))</f>
        <v>0</v>
      </c>
      <c r="CO17" s="133" t="n">
        <f aca="false">IF(OR(CO$4="",$B17=""),0,SUMIF('DADOS BRUTOS'!$A$3:$A$500,$B17,'DADOS BRUTOS'!O$3:O$500)+IF($C17="",0,SUMIF('DADOS BRUTOS'!$A$3:$A$500,$C17,'DADOS BRUTOS'!O$3:O$500)))</f>
        <v>0</v>
      </c>
      <c r="CP17" s="133" t="n">
        <f aca="false">IF(OR(CP$4="",$B17=""),0,SUMIF('DADOS BRUTOS'!$A$3:$A$500,$B17,'DADOS BRUTOS'!P$3:P$500)+IF($C17="",0,SUMIF('DADOS BRUTOS'!$A$3:$A$500,$C17,'DADOS BRUTOS'!P$3:P$500)))</f>
        <v>0</v>
      </c>
      <c r="CQ17" s="133" t="n">
        <f aca="false">IF(OR(CQ$4="",$B17=""),0,SUMIF('DADOS BRUTOS'!$A$3:$A$500,$B17,'DADOS BRUTOS'!Q$3:Q$500)+IF($C17="",0,SUMIF('DADOS BRUTOS'!$A$3:$A$500,$C17,'DADOS BRUTOS'!Q$3:Q$500)))</f>
        <v>0</v>
      </c>
      <c r="CR17" s="133" t="n">
        <f aca="false">IF(OR(CR$4="",$B17=""),0,SUMIF('DADOS BRUTOS'!$A$3:$A$500,$B17,'DADOS BRUTOS'!R$3:R$500)+IF($C17="",0,SUMIF('DADOS BRUTOS'!$A$3:$A$500,$C17,'DADOS BRUTOS'!R$3:R$500)))</f>
        <v>0</v>
      </c>
      <c r="CS17" s="133" t="n">
        <f aca="false">IF(OR(CS$4="",$B17=""),0,SUMIF('DADOS BRUTOS'!$A$3:$A$500,$B17,'DADOS BRUTOS'!S$3:S$500)+IF($C17="",0,SUMIF('DADOS BRUTOS'!$A$3:$A$500,$C17,'DADOS BRUTOS'!S$3:S$500)))</f>
        <v>0</v>
      </c>
      <c r="CT17" s="133" t="n">
        <f aca="false">IF(OR(CT$4="",$B17=""),0,SUMIF('DADOS BRUTOS'!$A$3:$A$500,$B17,'DADOS BRUTOS'!T$3:T$500)+IF($C17="",0,SUMIF('DADOS BRUTOS'!$A$3:$A$500,$C17,'DADOS BRUTOS'!T$3:T$500)))</f>
        <v>0</v>
      </c>
      <c r="CU17" s="133" t="n">
        <f aca="false">IF(OR(CU$4="",$B17=""),0,SUMIF('DADOS BRUTOS'!$A$3:$A$500,$B17,'DADOS BRUTOS'!U$3:U$500)+IF($C17="",0,SUMIF('DADOS BRUTOS'!$A$3:$A$500,$C17,'DADOS BRUTOS'!U$3:U$500)))</f>
        <v>0</v>
      </c>
      <c r="CV17" s="133" t="n">
        <f aca="false">IF(OR(CV$4="",$B17=""),0,SUMIF('DADOS BRUTOS'!$A$3:$A$500,$B17,'DADOS BRUTOS'!V$3:V$500)+IF($C17="",0,SUMIF('DADOS BRUTOS'!$A$3:$A$500,$C17,'DADOS BRUTOS'!V$3:V$500)))</f>
        <v>0</v>
      </c>
      <c r="CW17" s="133" t="n">
        <f aca="false">IF(OR(CW$4="",$B17=""),0,SUMIF('DADOS BRUTOS'!$A$3:$A$500,$B17,'DADOS BRUTOS'!W$3:W$500)+IF($C17="",0,SUMIF('DADOS BRUTOS'!$A$3:$A$500,$C17,'DADOS BRUTOS'!W$3:W$500)))</f>
        <v>0</v>
      </c>
      <c r="CX17" s="133" t="n">
        <f aca="false">IF(OR(CX$4="",$B17=""),0,SUMIF('DADOS BRUTOS'!$A$3:$A$500,$B17,'DADOS BRUTOS'!X$3:X$500)+IF($C17="",0,SUMIF('DADOS BRUTOS'!$A$3:$A$500,$C17,'DADOS BRUTOS'!X$3:X$500)))</f>
        <v>0</v>
      </c>
      <c r="CY17" s="133" t="n">
        <f aca="false">IF(OR(CY$4="",$B17=""),0,SUMIF('DADOS BRUTOS'!$A$3:$A$500,$B17,'DADOS BRUTOS'!Y$3:Y$500)+IF($C17="",0,SUMIF('DADOS BRUTOS'!$A$3:$A$500,$C17,'DADOS BRUTOS'!Y$3:Y$500)))</f>
        <v>0</v>
      </c>
      <c r="CZ17" s="133" t="n">
        <f aca="false">IF(OR(CZ$4="",$B17=""),0,SUMIF('DADOS BRUTOS'!$A$3:$A$500,$B17,'DADOS BRUTOS'!Z$3:Z$500)+IF($C17="",0,SUMIF('DADOS BRUTOS'!$A$3:$A$500,$C17,'DADOS BRUTOS'!Z$3:Z$500)))</f>
        <v>0</v>
      </c>
      <c r="DA17" s="133" t="n">
        <f aca="false">IF(OR(DA$4="",$B17=""),0,SUMIF('DADOS BRUTOS'!$A$3:$A$500,$B17,'DADOS BRUTOS'!AA$3:AA$500)+IF($C17="",0,SUMIF('DADOS BRUTOS'!$A$3:$A$500,$C17,'DADOS BRUTOS'!AA$3:AA$500)))</f>
        <v>0</v>
      </c>
      <c r="DB17" s="133" t="n">
        <f aca="false">IF(OR(DB$4="",$B17=""),0,SUMIF('DADOS BRUTOS'!$A$3:$A$500,$B17,'DADOS BRUTOS'!AB$3:AB$500)+IF($C17="",0,SUMIF('DADOS BRUTOS'!$A$3:$A$500,$C17,'DADOS BRUTOS'!AB$3:AB$500)))</f>
        <v>0</v>
      </c>
      <c r="DC17" s="133" t="n">
        <f aca="false">IF(OR(DC$4="",$B17=""),0,SUMIF('DADOS BRUTOS'!$A$3:$A$500,$B17,'DADOS BRUTOS'!AC$3:AC$500)+IF($C17="",0,SUMIF('DADOS BRUTOS'!$A$3:$A$500,$C17,'DADOS BRUTOS'!AC$3:AC$500)))</f>
        <v>30486.23</v>
      </c>
      <c r="DD17" s="133" t="n">
        <f aca="false">IF(OR(DD$4="",$B17=""),0,SUMIF('DADOS BRUTOS'!$A$3:$A$500,$B17,'DADOS BRUTOS'!AD$3:AD$500)+IF($C17="",0,SUMIF('DADOS BRUTOS'!$A$3:$A$500,$C17,'DADOS BRUTOS'!AD$3:AD$500)))</f>
        <v>19898.85</v>
      </c>
      <c r="DE17" s="133" t="n">
        <f aca="false">IF(OR(DE$4="",$B17=""),0,SUMIF('DADOS BRUTOS'!$A$3:$A$500,$B17,'DADOS BRUTOS'!AE$3:AE$500)+IF($C17="",0,SUMIF('DADOS BRUTOS'!$A$3:$A$500,$C17,'DADOS BRUTOS'!AE$3:AE$500)))</f>
        <v>1408.06</v>
      </c>
      <c r="DF17" s="133" t="n">
        <f aca="false">IF(OR(DF$4="",$B17=""),0,SUMIF('DADOS BRUTOS'!$A$3:$A$500,$B17,'DADOS BRUTOS'!AF$3:AF$500)+IF($C17="",0,SUMIF('DADOS BRUTOS'!$A$3:$A$500,$C17,'DADOS BRUTOS'!AF$3:AF$500)))</f>
        <v>0</v>
      </c>
      <c r="DG17" s="133" t="n">
        <f aca="false">IF(OR(DG$4="",$B17=""),0,SUMIF('DADOS BRUTOS'!$A$3:$A$500,$B17,'DADOS BRUTOS'!AG$3:AG$500)+IF($C17="",0,SUMIF('DADOS BRUTOS'!$A$3:$A$500,$C17,'DADOS BRUTOS'!AG$3:AG$500)))</f>
        <v>0</v>
      </c>
      <c r="DH17" s="133" t="n">
        <f aca="false">IF(OR(DH$4="",$B17=""),0,SUMIF('DADOS BRUTOS'!$A$3:$A$500,$B17,'DADOS BRUTOS'!AH$3:AH$500)+IF($C17="",0,SUMIF('DADOS BRUTOS'!$A$3:$A$500,$C17,'DADOS BRUTOS'!AH$3:AH$500)))</f>
        <v>0</v>
      </c>
      <c r="DI17" s="133" t="n">
        <f aca="false">IF(OR(DI$4="",$B17=""),0,SUMIF('DADOS BRUTOS'!$A$3:$A$500,$B17,'DADOS BRUTOS'!AI$3:AI$500)+IF($C17="",0,SUMIF('DADOS BRUTOS'!$A$3:$A$500,$C17,'DADOS BRUTOS'!AI$3:AI$500)))</f>
        <v>0</v>
      </c>
      <c r="DJ17" s="133" t="n">
        <f aca="false">IF(OR(DJ$4="",$B17=""),0,SUMIF('DADOS BRUTOS'!$A$3:$A$500,$B17,'DADOS BRUTOS'!AJ$3:AJ$500)+IF($C17="",0,SUMIF('DADOS BRUTOS'!$A$3:$A$500,$C17,'DADOS BRUTOS'!AJ$3:AJ$500)))</f>
        <v>34631.8</v>
      </c>
      <c r="DK17" s="133" t="n">
        <f aca="false">IF(OR(DK$4="",$B17=""),0,SUMIF('DADOS BRUTOS'!$A$3:$A$500,$B17,'DADOS BRUTOS'!AK$3:AK$500)+IF($C17="",0,SUMIF('DADOS BRUTOS'!$A$3:$A$500,$C17,'DADOS BRUTOS'!AK$3:AK$500)))</f>
        <v>68777.66</v>
      </c>
      <c r="DL17" s="133" t="n">
        <f aca="false">IF(OR(DL$4="",$B17=""),0,SUMIF('DADOS BRUTOS'!$A$3:$A$500,$B17,'DADOS BRUTOS'!AL$3:AL$500)+IF($C17="",0,SUMIF('DADOS BRUTOS'!$A$3:$A$500,$C17,'DADOS BRUTOS'!AL$3:AL$500)))</f>
        <v>289018.47</v>
      </c>
      <c r="DM17" s="133" t="n">
        <f aca="false">IF(OR(DM$4="",$B17=""),0,SUMIF('DADOS BRUTOS'!$A$3:$A$500,$B17,'DADOS BRUTOS'!AM$3:AM$500)+IF($C17="",0,SUMIF('DADOS BRUTOS'!$A$3:$A$500,$C17,'DADOS BRUTOS'!AM$3:AM$500)))</f>
        <v>447931.23</v>
      </c>
      <c r="DN17" s="133" t="n">
        <f aca="false">IF(OR(DN$4="",$B17=""),0,SUMIF('DADOS BRUTOS'!$A$3:$A$500,$B17,'DADOS BRUTOS'!AN$3:AN$500)+IF($C17="",0,SUMIF('DADOS BRUTOS'!$A$3:$A$500,$C17,'DADOS BRUTOS'!AN$3:AN$500)))</f>
        <v>307290.56</v>
      </c>
      <c r="DO17" s="133" t="n">
        <f aca="false">IF(OR(DO$4="",$B17=""),0,SUMIF('DADOS BRUTOS'!$A$3:$A$500,$B17,'DADOS BRUTOS'!AO$3:AO$500)+IF($C17="",0,SUMIF('DADOS BRUTOS'!$A$3:$A$500,$C17,'DADOS BRUTOS'!AO$3:AO$500)))</f>
        <v>232883.87</v>
      </c>
      <c r="DP17" s="133" t="n">
        <f aca="false">IF(OR(DP$4="",$B17=""),0,SUMIF('DADOS BRUTOS'!$A$3:$A$500,$B17,'DADOS BRUTOS'!AP$3:AP$500)+IF($C17="",0,SUMIF('DADOS BRUTOS'!$A$3:$A$500,$C17,'DADOS BRUTOS'!AP$3:AP$500)))</f>
        <v>529876.06</v>
      </c>
      <c r="DQ17" s="133" t="n">
        <f aca="false">IF(OR(DQ$4="",$B17=""),0,SUMIF('DADOS BRUTOS'!$A$3:$A$500,$B17,'DADOS BRUTOS'!AQ$3:AQ$500)+IF($C17="",0,SUMIF('DADOS BRUTOS'!$A$3:$A$500,$C17,'DADOS BRUTOS'!AQ$3:AQ$500)))</f>
        <v>236869.43</v>
      </c>
      <c r="DR17" s="133" t="n">
        <f aca="false">IF(OR(DR$4="",$B17=""),0,SUMIF('DADOS BRUTOS'!$A$3:$A$500,$B17,'DADOS BRUTOS'!AR$3:AR$500)+IF($C17="",0,SUMIF('DADOS BRUTOS'!$A$3:$A$500,$C17,'DADOS BRUTOS'!AR$3:AR$500)))</f>
        <v>612093.14</v>
      </c>
      <c r="DS17" s="133" t="n">
        <f aca="false">IF(OR(DS$4="",$B17=""),0,SUMIF('DADOS BRUTOS'!$A$3:$A$500,$B17,'DADOS BRUTOS'!AS$3:AS$500)+IF($C17="",0,SUMIF('DADOS BRUTOS'!$A$3:$A$500,$C17,'DADOS BRUTOS'!AS$3:AS$500)))</f>
        <v>140976.31</v>
      </c>
      <c r="DT17" s="133" t="n">
        <f aca="false">IF(OR(DT$4="",$B17=""),0,SUMIF('DADOS BRUTOS'!$A$3:$A$500,$B17,'DADOS BRUTOS'!AT$3:AT$500)+IF($C17="",0,SUMIF('DADOS BRUTOS'!$A$3:$A$500,$C17,'DADOS BRUTOS'!AT$3:AT$500)))</f>
        <v>15666.06</v>
      </c>
      <c r="DU17" s="133" t="n">
        <f aca="false">IF(OR(DU$4="",$B17=""),0,SUMIF('DADOS BRUTOS'!$A$3:$A$500,$B17,'DADOS BRUTOS'!AU$3:AU$500)+IF($C17="",0,SUMIF('DADOS BRUTOS'!$A$3:$A$500,$C17,'DADOS BRUTOS'!AU$3:AU$500)))</f>
        <v>1819.26</v>
      </c>
      <c r="DV17" s="133" t="n">
        <f aca="false">IF(OR(DV$4="",$B17=""),0,SUMIF('DADOS BRUTOS'!$A$3:$A$500,$B17,'DADOS BRUTOS'!AV$3:AV$500)+IF($C17="",0,SUMIF('DADOS BRUTOS'!$A$3:$A$500,$C17,'DADOS BRUTOS'!AV$3:AV$500)))</f>
        <v>0</v>
      </c>
      <c r="DW17" s="133" t="n">
        <f aca="false">IF(OR(DW$4="",$B17=""),0,SUMIF('DADOS BRUTOS'!$A$3:$A$500,$B17,'DADOS BRUTOS'!AW$3:AW$500)+IF($C17="",0,SUMIF('DADOS BRUTOS'!$A$3:$A$500,$C17,'DADOS BRUTOS'!AW$3:AW$500)))</f>
        <v>768</v>
      </c>
      <c r="DX17" s="133" t="n">
        <f aca="false">IF(OR(DX$4="",$B17=""),0,SUMIF('DADOS BRUTOS'!$A$3:$A$500,$B17,'DADOS BRUTOS'!AX$3:AX$500)+IF($C17="",0,SUMIF('DADOS BRUTOS'!$A$3:$A$500,$C17,'DADOS BRUTOS'!AX$3:AX$500)))</f>
        <v>7727.6</v>
      </c>
      <c r="DY17" s="133" t="n">
        <f aca="false">IF(OR(DY$4="",$B17=""),0,SUMIF('DADOS BRUTOS'!$A$3:$A$500,$B17,'DADOS BRUTOS'!AY$3:AY$500)+IF($C17="",0,SUMIF('DADOS BRUTOS'!$A$3:$A$500,$C17,'DADOS BRUTOS'!AY$3:AY$500)))</f>
        <v>0</v>
      </c>
      <c r="DZ17" s="133" t="n">
        <f aca="false">IF(OR(DZ$4="",$B17=""),0,SUMIF('DADOS BRUTOS'!$A$3:$A$500,$B17,'DADOS BRUTOS'!AZ$3:AZ$500)+IF($C17="",0,SUMIF('DADOS BRUTOS'!$A$3:$A$500,$C17,'DADOS BRUTOS'!AZ$3:AZ$500)))</f>
        <v>338.77</v>
      </c>
      <c r="EA17" s="133" t="n">
        <f aca="false">IF(OR(EA$4="",$B17=""),0,SUMIF('DADOS BRUTOS'!$A$3:$A$500,$B17,'DADOS BRUTOS'!BA$3:BA$500)+IF($C17="",0,SUMIF('DADOS BRUTOS'!$A$3:$A$500,$C17,'DADOS BRUTOS'!BA$3:BA$500)))</f>
        <v>25731.24</v>
      </c>
      <c r="EB17" s="133" t="n">
        <f aca="false">IF(OR(EB$4="",$B17=""),0,SUMIF('DADOS BRUTOS'!$A$3:$A$500,$B17,'DADOS BRUTOS'!BB$3:BB$500)+IF($C17="",0,SUMIF('DADOS BRUTOS'!$A$3:$A$500,$C17,'DADOS BRUTOS'!BB$3:BB$500)))</f>
        <v>24719.3</v>
      </c>
      <c r="EC17" s="133" t="n">
        <f aca="false">IF(OR(EC$4="",$B17=""),0,SUMIF('DADOS BRUTOS'!$A$3:$A$500,$B17,'DADOS BRUTOS'!BC$3:BC$500)+IF($C17="",0,SUMIF('DADOS BRUTOS'!$A$3:$A$500,$C17,'DADOS BRUTOS'!BC$3:BC$500)))</f>
        <v>5053.1</v>
      </c>
      <c r="ED17" s="133" t="n">
        <f aca="false">IF(OR(ED$4="",$B17=""),0,SUMIF('DADOS BRUTOS'!$A$3:$A$500,$B17,'DADOS BRUTOS'!BD$3:BD$500)+IF($C17="",0,SUMIF('DADOS BRUTOS'!$A$3:$A$500,$C17,'DADOS BRUTOS'!BD$3:BD$500)))</f>
        <v>18590.46</v>
      </c>
      <c r="EE17" s="133" t="n">
        <f aca="false">IF(OR(EE$4="",$B17=""),0,SUMIF('DADOS BRUTOS'!$A$3:$A$500,$B17,'DADOS BRUTOS'!BE$3:BE$500)+IF($C17="",0,SUMIF('DADOS BRUTOS'!$A$3:$A$500,$C17,'DADOS BRUTOS'!BE$3:BE$500)))</f>
        <v>5078.5</v>
      </c>
      <c r="EF17" s="133" t="n">
        <f aca="false">IF(OR(EF$4="",$B17=""),0,SUMIF('DADOS BRUTOS'!$A$3:$A$500,$B17,'DADOS BRUTOS'!BF$3:BF$500)+IF($C17="",0,SUMIF('DADOS BRUTOS'!$A$3:$A$500,$C17,'DADOS BRUTOS'!BF$3:BF$500)))</f>
        <v>5783.71</v>
      </c>
      <c r="EG17" s="133" t="n">
        <f aca="false">IF(OR(EG$4="",$B17=""),0,SUMIF('DADOS BRUTOS'!$A$3:$A$500,$B17,'DADOS BRUTOS'!BG$3:BG$500)+IF($C17="",0,SUMIF('DADOS BRUTOS'!$A$3:$A$500,$C17,'DADOS BRUTOS'!BG$3:BG$500)))</f>
        <v>1523.01</v>
      </c>
      <c r="EH17" s="133" t="n">
        <f aca="false">IF(OR(EH$4="",$B17=""),0,SUMIF('DADOS BRUTOS'!$A$3:$A$500,$B17,'DADOS BRUTOS'!BH$3:BH$500)+IF($C17="",0,SUMIF('DADOS BRUTOS'!$A$3:$A$500,$C17,'DADOS BRUTOS'!BH$3:BH$500)))</f>
        <v>0</v>
      </c>
      <c r="EI17" s="133" t="n">
        <f aca="false">IF(OR(EI$4="",$B17=""),0,SUMIF('DADOS BRUTOS'!$A$3:$A$500,$B17,'DADOS BRUTOS'!BI$3:BI$500)+IF($C17="",0,SUMIF('DADOS BRUTOS'!$A$3:$A$500,$C17,'DADOS BRUTOS'!BI$3:BI$500)))</f>
        <v>27769.62</v>
      </c>
      <c r="EJ17" s="133" t="n">
        <f aca="false">IF(OR(EJ$4="",$B17=""),0,SUMIF('DADOS BRUTOS'!$A$3:$A$500,$B17,'DADOS BRUTOS'!BJ$3:BJ$500)+IF($C17="",0,SUMIF('DADOS BRUTOS'!$A$3:$A$500,$C17,'DADOS BRUTOS'!BJ$3:BJ$500)))</f>
        <v>0</v>
      </c>
      <c r="EK17" s="133" t="n">
        <f aca="false">IF(OR(EK$4="",$B17=""),0,SUMIF('DADOS BRUTOS'!$A$3:$A$500,$B17,'DADOS BRUTOS'!BK$3:BK$500)+IF($C17="",0,SUMIF('DADOS BRUTOS'!$A$3:$A$500,$C17,'DADOS BRUTOS'!BK$3:BK$500)))</f>
        <v>0</v>
      </c>
      <c r="EL17" s="133" t="n">
        <f aca="false">IF(OR(EL$4="",$B17=""),0,SUMIF('DADOS BRUTOS'!$A$3:$A$500,$B17,'DADOS BRUTOS'!BL$3:BL$500)+IF($C17="",0,SUMIF('DADOS BRUTOS'!$A$3:$A$500,$C17,'DADOS BRUTOS'!BL$3:BL$500)))</f>
        <v>0</v>
      </c>
      <c r="EM17" s="133" t="n">
        <f aca="false">IF(OR(EM$4="",$B17=""),0,SUMIF('DADOS BRUTOS'!$A$3:$A$500,$B17,'DADOS BRUTOS'!BM$3:BM$500)+IF($C17="",0,SUMIF('DADOS BRUTOS'!$A$3:$A$500,$C17,'DADOS BRUTOS'!BM$3:BM$500)))</f>
        <v>0</v>
      </c>
      <c r="EN17" s="133" t="n">
        <f aca="false">IF(OR(EN$4="",$B17=""),0,SUMIF('DADOS BRUTOS'!$A$3:$A$500,$B17,'DADOS BRUTOS'!BN$3:BN$500)+IF($C17="",0,SUMIF('DADOS BRUTOS'!$A$3:$A$500,$C17,'DADOS BRUTOS'!BN$3:BN$500)))</f>
        <v>0</v>
      </c>
      <c r="EO17" s="133" t="n">
        <f aca="false">IF(OR(EO$4="",$B17=""),0,SUMIF('DADOS BRUTOS'!$A$3:$A$500,$B17,'DADOS BRUTOS'!BO$3:BO$500)+IF($C17="",0,SUMIF('DADOS BRUTOS'!$A$3:$A$500,$C17,'DADOS BRUTOS'!BO$3:BO$500)))</f>
        <v>0</v>
      </c>
      <c r="EP17" s="133" t="n">
        <f aca="false">IF(OR(EP$4="",$B17=""),0,SUMIF('DADOS BRUTOS'!$A$3:$A$500,$B17,'DADOS BRUTOS'!BP$3:BP$500)+IF($C17="",0,SUMIF('DADOS BRUTOS'!$A$3:$A$500,$C17,'DADOS BRUTOS'!BP$3:BP$500)))</f>
        <v>0</v>
      </c>
      <c r="EQ17" s="133" t="n">
        <f aca="false">IF(OR(EQ$4="",$B17=""),0,SUMIF('DADOS BRUTOS'!$A$3:$A$500,$B17,'DADOS BRUTOS'!BQ$3:BQ$500)+IF($C17="",0,SUMIF('DADOS BRUTOS'!$A$3:$A$500,$C17,'DADOS BRUTOS'!BQ$3:BQ$500)))</f>
        <v>0</v>
      </c>
      <c r="ER17" s="133" t="n">
        <f aca="false">IF(OR(ER$4="",$B17=""),0,SUMIF('DADOS BRUTOS'!$A$3:$A$500,$B17,'DADOS BRUTOS'!BR$3:BR$500)+IF($C17="",0,SUMIF('DADOS BRUTOS'!$A$3:$A$500,$C17,'DADOS BRUTOS'!BR$3:BR$500)))</f>
        <v>0</v>
      </c>
      <c r="ES17" s="133" t="n">
        <f aca="false">IF(OR(ES$4="",$B17=""),0,SUMIF('DADOS BRUTOS'!$A$3:$A$500,$B17,'DADOS BRUTOS'!BS$3:BS$500)+IF($C17="",0,SUMIF('DADOS BRUTOS'!$A$3:$A$500,$C17,'DADOS BRUTOS'!BS$3:BS$500)))</f>
        <v>0</v>
      </c>
      <c r="ET17" s="133" t="n">
        <f aca="false">IF(OR(ET$4="",$B17=""),0,SUMIF('DADOS BRUTOS'!$A$3:$A$500,$B17,'DADOS BRUTOS'!BT$3:BT$500)+IF($C17="",0,SUMIF('DADOS BRUTOS'!$A$3:$A$500,$C17,'DADOS BRUTOS'!BT$3:BT$500)))</f>
        <v>0</v>
      </c>
      <c r="EU17" s="133" t="n">
        <f aca="false">IF(OR(EU$4="",$B17=""),0,SUMIF('DADOS BRUTOS'!$A$3:$A$500,$B17,'DADOS BRUTOS'!BU$3:BU$500)+IF($C17="",0,SUMIF('DADOS BRUTOS'!$A$3:$A$500,$C17,'DADOS BRUTOS'!BU$3:BU$500)))</f>
        <v>0</v>
      </c>
      <c r="EV17" s="133" t="n">
        <f aca="false">IF(OR(EV$4="",$B17=""),0,SUMIF('DADOS BRUTOS'!$A$3:$A$500,$B17,'DADOS BRUTOS'!BV$3:BV$500)+IF($C17="",0,SUMIF('DADOS BRUTOS'!$A$3:$A$500,$C17,'DADOS BRUTOS'!BV$3:BV$500)))</f>
        <v>0</v>
      </c>
      <c r="EW17" s="133" t="n">
        <f aca="false">IF(OR(EW$4="",$B17=""),0,SUMIF('DADOS BRUTOS'!$A$3:$A$500,$B17,'DADOS BRUTOS'!BW$3:BW$500)+IF($C17="",0,SUMIF('DADOS BRUTOS'!$A$3:$A$500,$C17,'DADOS BRUTOS'!BW$3:BW$500)))</f>
        <v>1668.81</v>
      </c>
      <c r="EX17" s="133" t="n">
        <f aca="false">IF(OR(EX$4="",$B17=""),0,SUMIF('DADOS BRUTOS'!$A$3:$A$500,$B17,'DADOS BRUTOS'!BX$3:BX$500)+IF($C17="",0,SUMIF('DADOS BRUTOS'!$A$3:$A$500,$C17,'DADOS BRUTOS'!BX$3:BX$500)))</f>
        <v>0</v>
      </c>
      <c r="EY17" s="133" t="n">
        <f aca="false">IF(OR(EY$4="",$B17=""),0,SUMIF('DADOS BRUTOS'!$A$3:$A$500,$B17,'DADOS BRUTOS'!BY$3:BY$500)+IF($C17="",0,SUMIF('DADOS BRUTOS'!$A$3:$A$500,$C17,'DADOS BRUTOS'!BY$3:BY$500)))</f>
        <v>0</v>
      </c>
      <c r="EZ17" s="133" t="n">
        <f aca="false">IF(OR(EZ$4="",$B17=""),0,SUMIF('DADOS BRUTOS'!$A$3:$A$500,$B17,'DADOS BRUTOS'!BZ$3:BZ$500)+IF($C17="",0,SUMIF('DADOS BRUTOS'!$A$3:$A$500,$C17,'DADOS BRUTOS'!BZ$3:BZ$500)))</f>
        <v>0</v>
      </c>
      <c r="FA17" s="133" t="n">
        <f aca="false">IF(OR(FA$4="",$B17=""),0,SUMIF('DADOS BRUTOS'!$A$3:$A$500,$B17,'DADOS BRUTOS'!CA$3:CA$500)+IF($C17="",0,SUMIF('DADOS BRUTOS'!$A$3:$A$500,$C17,'DADOS BRUTOS'!CA$3:CA$500)))</f>
        <v>0</v>
      </c>
      <c r="FB17" s="133" t="n">
        <f aca="false">IF(OR(FB$4="",$B17=""),0,SUMIF('DADOS BRUTOS'!$A$3:$A$500,$B17,'DADOS BRUTOS'!CB$3:CB$500)+IF($C17="",0,SUMIF('DADOS BRUTOS'!$A$3:$A$500,$C17,'DADOS BRUTOS'!CB$3:CB$500)))</f>
        <v>0</v>
      </c>
      <c r="FC17" s="133" t="n">
        <f aca="false">IF(OR(FC$4="",$B17=""),0,SUMIF('DADOS BRUTOS'!$A$3:$A$500,$B17,'DADOS BRUTOS'!CC$3:CC$500)+IF($C17="",0,SUMIF('DADOS BRUTOS'!$A$3:$A$500,$C17,'DADOS BRUTOS'!CC$3:CC$500)))</f>
        <v>0</v>
      </c>
      <c r="FD17" s="133" t="n">
        <f aca="false">IF(OR(FD$4="",$B17=""),0,SUMIF('DADOS BRUTOS'!$A$3:$A$500,$B17,'DADOS BRUTOS'!CD$3:CD$500)+IF($C17="",0,SUMIF('DADOS BRUTOS'!$A$3:$A$500,$C17,'DADOS BRUTOS'!CD$3:CD$500)))</f>
        <v>0</v>
      </c>
      <c r="FE17" s="133" t="n">
        <f aca="false">IF(OR(FE$4="",$B17=""),0,SUMIF('DADOS BRUTOS'!$A$3:$A$500,$B17,'DADOS BRUTOS'!CE$3:CE$500)+IF($C17="",0,SUMIF('DADOS BRUTOS'!$A$3:$A$500,$C17,'DADOS BRUTOS'!CE$3:CE$500)))</f>
        <v>0</v>
      </c>
      <c r="FF17" s="133" t="n">
        <f aca="false">IF(OR(FF$4="",$B17=""),0,SUMIF('DADOS BRUTOS'!$A$3:$A$500,$B17,'DADOS BRUTOS'!CF$3:CF$500)+IF($C17="",0,SUMIF('DADOS BRUTOS'!$A$3:$A$500,$C17,'DADOS BRUTOS'!CF$3:CF$500)))</f>
        <v>0</v>
      </c>
      <c r="FG17" s="133" t="n">
        <f aca="false">IF(OR(FG$4="",$B17=""),0,SUMIF('DADOS BRUTOS'!$A$3:$A$500,$B17,'DADOS BRUTOS'!CG$3:CG$500)+IF($C17="",0,SUMIF('DADOS BRUTOS'!$A$3:$A$500,$C17,'DADOS BRUTOS'!CG$3:CG$500)))</f>
        <v>0</v>
      </c>
      <c r="FH17" s="133" t="n">
        <f aca="false">IF(OR(FH$4="",$B17=""),0,SUMIF('DADOS BRUTOS'!$A$3:$A$500,$B17,'DADOS BRUTOS'!CH$3:CH$500)+IF($C17="",0,SUMIF('DADOS BRUTOS'!$A$3:$A$500,$C17,'DADOS BRUTOS'!CH$3:CH$500)))</f>
        <v>0</v>
      </c>
      <c r="FI17" s="133" t="n">
        <f aca="false">IF(OR(FI$4="",$B17=""),0,SUMIF('DADOS BRUTOS'!$A$3:$A$500,$B17,'DADOS BRUTOS'!CI$3:CI$500)+IF($C17="",0,SUMIF('DADOS BRUTOS'!$A$3:$A$500,$C17,'DADOS BRUTOS'!CI$3:CI$500)))</f>
        <v>0</v>
      </c>
      <c r="FJ17" s="133" t="n">
        <f aca="false">IF(OR(FJ$4="",$B17=""),0,SUMIF('DADOS BRUTOS'!$A$3:$A$500,$B17,'DADOS BRUTOS'!CJ$3:CJ$500)+IF($C17="",0,SUMIF('DADOS BRUTOS'!$A$3:$A$500,$C17,'DADOS BRUTOS'!CJ$3:CJ$500)))</f>
        <v>0</v>
      </c>
      <c r="FK17" s="133" t="n">
        <f aca="false">IF(OR(FK$4="",$B17=""),0,SUMIF('DADOS BRUTOS'!$A$3:$A$500,$B17,'DADOS BRUTOS'!CK$3:CK$500)+IF($C17="",0,SUMIF('DADOS BRUTOS'!$A$3:$A$500,$C17,'DADOS BRUTOS'!CK$3:CK$500)))</f>
        <v>0</v>
      </c>
      <c r="FL17" s="133" t="n">
        <f aca="false">IF(OR(FL$4="",$B17=""),0,SUMIF('DADOS BRUTOS'!$A$3:$A$500,$B17,'DADOS BRUTOS'!CL$3:CL$500)+IF($C17="",0,SUMIF('DADOS BRUTOS'!$A$3:$A$500,$C17,'DADOS BRUTOS'!CL$3:CL$500)))</f>
        <v>0</v>
      </c>
      <c r="FM17" s="133" t="n">
        <f aca="false">IF(OR(FM$4="",$B17=""),0,SUMIF('DADOS BRUTOS'!$A$3:$A$500,$B17,'DADOS BRUTOS'!CM$3:CM$500)+IF($C17="",0,SUMIF('DADOS BRUTOS'!$A$3:$A$500,$C17,'DADOS BRUTOS'!CM$3:CM$500)))</f>
        <v>0</v>
      </c>
      <c r="FN17" s="133" t="n">
        <f aca="false">IF(OR(FN$4="",$B17=""),0,SUMIF('DADOS BRUTOS'!$A$3:$A$500,$B17,'DADOS BRUTOS'!CN$3:CN$500)+IF($C17="",0,SUMIF('DADOS BRUTOS'!$A$3:$A$500,$C17,'DADOS BRUTOS'!CN$3:CN$500)))</f>
        <v>0</v>
      </c>
      <c r="FO17" s="133" t="n">
        <f aca="false">IF(OR(FO$4="",$B17=""),0,SUMIF('DADOS BRUTOS'!$A$3:$A$500,$B17,'DADOS BRUTOS'!CO$3:CO$500)+IF($C17="",0,SUMIF('DADOS BRUTOS'!$A$3:$A$500,$C17,'DADOS BRUTOS'!CO$3:CO$500)))</f>
        <v>0</v>
      </c>
      <c r="FP17" s="133" t="n">
        <f aca="false">IF(OR(FP$4="",$B17=""),0,SUMIF('DADOS BRUTOS'!$A$3:$A$500,$B17,'DADOS BRUTOS'!CP$3:CP$500)+IF($C17="",0,SUMIF('DADOS BRUTOS'!$A$3:$A$500,$C17,'DADOS BRUTOS'!CP$3:CP$500)))</f>
        <v>0</v>
      </c>
      <c r="FQ17" s="133" t="n">
        <f aca="false">IF(OR(FQ$4="",$B17=""),0,SUMIF('DADOS BRUTOS'!$A$3:$A$500,$B17,'DADOS BRUTOS'!CQ$3:CQ$500)+IF($C17="",0,SUMIF('DADOS BRUTOS'!$A$3:$A$500,$C17,'DADOS BRUTOS'!CQ$3:CQ$500)))</f>
        <v>0</v>
      </c>
      <c r="FR17" s="133" t="n">
        <f aca="false">IF(OR(FR$4="",$B17=""),0,SUMIF('DADOS BRUTOS'!$A$3:$A$500,$B17,'DADOS BRUTOS'!CR$3:CR$500)+IF($C17="",0,SUMIF('DADOS BRUTOS'!$A$3:$A$500,$C17,'DADOS BRUTOS'!CR$3:CR$500)))</f>
        <v>0</v>
      </c>
      <c r="FS17" s="133" t="n">
        <f aca="false">IF(OR(FS$4="",$B17=""),0,SUMIF('DADOS BRUTOS'!$A$3:$A$500,$B17,'DADOS BRUTOS'!CS$3:CS$500)+IF($C17="",0,SUMIF('DADOS BRUTOS'!$A$3:$A$500,$C17,'DADOS BRUTOS'!CS$3:CS$500)))</f>
        <v>0</v>
      </c>
      <c r="FT17" s="133" t="n">
        <f aca="false">IF(OR(FT$4="",$B17=""),0,SUMIF('DADOS BRUTOS'!$A$3:$A$500,$B17,'DADOS BRUTOS'!CT$3:CT$500)+IF($C17="",0,SUMIF('DADOS BRUTOS'!$A$3:$A$500,$C17,'DADOS BRUTOS'!CT$3:CT$500)))</f>
        <v>0</v>
      </c>
      <c r="FU17" s="133" t="n">
        <f aca="false">IF(OR(FU$4="",$B17=""),0,SUMIF('DADOS BRUTOS'!$A$3:$A$500,$B17,'DADOS BRUTOS'!CU$3:CU$500)+IF($C17="",0,SUMIF('DADOS BRUTOS'!$A$3:$A$500,$C17,'DADOS BRUTOS'!CU$3:CU$500)))</f>
        <v>0</v>
      </c>
      <c r="FV17" s="133" t="n">
        <f aca="false">IF(OR(FV$4="",$B17=""),0,SUMIF('DADOS BRUTOS'!$A$3:$A$500,$B17,'DADOS BRUTOS'!CV$3:CV$500)+IF($C17="",0,SUMIF('DADOS BRUTOS'!$A$3:$A$500,$C17,'DADOS BRUTOS'!CV$3:CV$500)))</f>
        <v>0</v>
      </c>
      <c r="FW17" s="133" t="n">
        <f aca="false">IF(OR(FW$4="",$B17=""),0,SUMIF('DADOS BRUTOS'!$A$3:$A$500,$B17,'DADOS BRUTOS'!CW$3:CW$500)+IF($C17="",0,SUMIF('DADOS BRUTOS'!$A$3:$A$500,$C17,'DADOS BRUTOS'!CW$3:CW$500)))</f>
        <v>0</v>
      </c>
      <c r="FX17" s="133" t="n">
        <f aca="false">IF(OR(FX$4="",$B17=""),0,SUMIF('DADOS BRUTOS'!$A$3:$A$500,$B17,'DADOS BRUTOS'!CX$3:CX$500)+IF($C17="",0,SUMIF('DADOS BRUTOS'!$A$3:$A$500,$C17,'DADOS BRUTOS'!CX$3:CX$500)))</f>
        <v>0</v>
      </c>
      <c r="FY17" s="133" t="n">
        <f aca="false">IF(OR(FY$4="",$B17=""),0,SUMIF('DADOS BRUTOS'!$A$3:$A$500,$B17,'DADOS BRUTOS'!CY$3:CY$500)+IF($C17="",0,SUMIF('DADOS BRUTOS'!$A$3:$A$500,$C17,'DADOS BRUTOS'!CY$3:CY$500)))</f>
        <v>0</v>
      </c>
      <c r="FZ17" s="133" t="n">
        <f aca="false">IF(OR(FZ$4="",$B17=""),0,SUMIF('DADOS BRUTOS'!$A$3:$A$500,$B17,'DADOS BRUTOS'!CZ$3:CZ$500)+IF($C17="",0,SUMIF('DADOS BRUTOS'!$A$3:$A$500,$C17,'DADOS BRUTOS'!CZ$3:CZ$500)))</f>
        <v>0</v>
      </c>
      <c r="GA17" s="133" t="n">
        <f aca="false">IF(OR(GA$4="",$B17=""),0,SUMIF('DADOS BRUTOS'!$A$3:$A$500,$B17,'DADOS BRUTOS'!DA$3:DA$500)+IF($C17="",0,SUMIF('DADOS BRUTOS'!$A$3:$A$500,$C17,'DADOS BRUTOS'!DA$3:DA$500)))</f>
        <v>0</v>
      </c>
      <c r="GB17" s="133" t="n">
        <f aca="false">IF(OR(GB$4="",$B17=""),0,SUMIF('DADOS BRUTOS'!$A$3:$A$500,$B17,'DADOS BRUTOS'!DB$3:DB$500)+IF($C17="",0,SUMIF('DADOS BRUTOS'!$A$3:$A$500,$C17,'DADOS BRUTOS'!DB$3:DB$500)))</f>
        <v>0</v>
      </c>
      <c r="GC17" s="133" t="n">
        <f aca="false">IF(OR(GC$4="",$B17=""),0,SUMIF('DADOS BRUTOS'!$A$3:$A$500,$B17,'DADOS BRUTOS'!DC$3:DC$500)+IF($C17="",0,SUMIF('DADOS BRUTOS'!$A$3:$A$500,$C17,'DADOS BRUTOS'!DC$3:DC$500)))</f>
        <v>0</v>
      </c>
      <c r="GD17" s="133" t="n">
        <f aca="false">IF(OR(GD$4="",$B17=""),0,SUMIF('DADOS BRUTOS'!$A$3:$A$500,$B17,'DADOS BRUTOS'!DD$3:DD$500)+IF($C17="",0,SUMIF('DADOS BRUTOS'!$A$3:$A$500,$C17,'DADOS BRUTOS'!DD$3:DD$500)))</f>
        <v>0</v>
      </c>
      <c r="GE17" s="133" t="n">
        <f aca="false">IF(OR(GE$4="",$B17=""),0,SUMIF('DADOS BRUTOS'!$A$3:$A$500,$B17,'DADOS BRUTOS'!DE$3:DE$500)+IF($C17="",0,SUMIF('DADOS BRUTOS'!$A$3:$A$500,$C17,'DADOS BRUTOS'!DE$3:DE$500)))</f>
        <v>0</v>
      </c>
      <c r="GF17" s="133" t="n">
        <f aca="false">IF(OR(GF$4="",$B17=""),0,SUMIF('DADOS BRUTOS'!$A$3:$A$500,$B17,'DADOS BRUTOS'!DF$3:DF$500)+IF($C17="",0,SUMIF('DADOS BRUTOS'!$A$3:$A$500,$C17,'DADOS BRUTOS'!DF$3:DF$500)))</f>
        <v>0</v>
      </c>
      <c r="GG17" s="133" t="n">
        <f aca="false">IF(OR(GG$4="",$B17=""),0,SUMIF('DADOS BRUTOS'!$A$3:$A$500,$B17,'DADOS BRUTOS'!DG$3:DG$500)+IF($C17="",0,SUMIF('DADOS BRUTOS'!$A$3:$A$500,$C17,'DADOS BRUTOS'!DG$3:DG$500)))</f>
        <v>0</v>
      </c>
      <c r="GH17" s="133" t="n">
        <f aca="false">IF(OR(GH$4="",$B17=""),0,SUMIF('DADOS BRUTOS'!$A$3:$A$500,$B17,'DADOS BRUTOS'!DH$3:DH$500)+IF($C17="",0,SUMIF('DADOS BRUTOS'!$A$3:$A$500,$C17,'DADOS BRUTOS'!DH$3:DH$500)))</f>
        <v>0</v>
      </c>
      <c r="GI17" s="133" t="n">
        <f aca="false">IF(OR(GI$4="",$B17=""),0,SUMIF('DADOS BRUTOS'!$A$3:$A$500,$B17,'DADOS BRUTOS'!DI$3:DI$500)+IF($C17="",0,SUMIF('DADOS BRUTOS'!$A$3:$A$500,$C17,'DADOS BRUTOS'!DI$3:DI$500)))</f>
        <v>0</v>
      </c>
      <c r="GJ17" s="133" t="n">
        <f aca="false">IF(OR(GJ$4="",$B17=""),0,SUMIF('DADOS BRUTOS'!$A$3:$A$500,$B17,'DADOS BRUTOS'!DJ$3:DJ$500)+IF($C17="",0,SUMIF('DADOS BRUTOS'!$A$3:$A$500,$C17,'DADOS BRUTOS'!DJ$3:DJ$500)))</f>
        <v>0</v>
      </c>
      <c r="GK17" s="133" t="n">
        <f aca="false">IF(OR(GK$4="",$B17=""),0,SUMIF('DADOS BRUTOS'!$A$3:$A$500,$B17,'DADOS BRUTOS'!DK$3:DK$500)+IF($C17="",0,SUMIF('DADOS BRUTOS'!$A$3:$A$500,$C17,'DADOS BRUTOS'!DK$3:DK$500)))</f>
        <v>0</v>
      </c>
      <c r="GL17" s="133" t="n">
        <f aca="false">IF(OR(GL$4="",$B17=""),0,SUMIF('DADOS BRUTOS'!$A$3:$A$500,$B17,'DADOS BRUTOS'!DL$3:DL$500)+IF($C17="",0,SUMIF('DADOS BRUTOS'!$A$3:$A$500,$C17,'DADOS BRUTOS'!DL$3:DL$500)))</f>
        <v>0</v>
      </c>
      <c r="GM17" s="133" t="n">
        <f aca="false">IF(OR(GM$4="",$B17=""),0,SUMIF('DADOS BRUTOS'!$A$3:$A$500,$B17,'DADOS BRUTOS'!DM$3:DM$500)+IF($C17="",0,SUMIF('DADOS BRUTOS'!$A$3:$A$500,$C17,'DADOS BRUTOS'!DM$3:DM$500)))</f>
        <v>0</v>
      </c>
      <c r="GN17" s="133" t="n">
        <f aca="false">IF(OR(GN$4="",$B17=""),0,SUMIF('DADOS BRUTOS'!$A$3:$A$500,$B17,'DADOS BRUTOS'!DN$3:DN$500)+IF($C17="",0,SUMIF('DADOS BRUTOS'!$A$3:$A$500,$C17,'DADOS BRUTOS'!DN$3:DN$500)))</f>
        <v>0</v>
      </c>
      <c r="GO17" s="133" t="n">
        <f aca="false">IF(OR(GO$4="",$B17=""),0,SUMIF('DADOS BRUTOS'!$A$3:$A$500,$B17,'DADOS BRUTOS'!DO$3:DO$500)+IF($C17="",0,SUMIF('DADOS BRUTOS'!$A$3:$A$500,$C17,'DADOS BRUTOS'!DO$3:DO$500)))</f>
        <v>0</v>
      </c>
      <c r="GP17" s="133" t="n">
        <f aca="false">IF(OR(GP$4="",$B17=""),0,SUMIF('DADOS BRUTOS'!$A$3:$A$500,$B17,'DADOS BRUTOS'!DP$3:DP$500)+IF($C17="",0,SUMIF('DADOS BRUTOS'!$A$3:$A$500,$C17,'DADOS BRUTOS'!DP$3:DP$500)))</f>
        <v>0</v>
      </c>
      <c r="GQ17" s="133" t="n">
        <f aca="false">IF(OR(GQ$4="",$B17=""),0,SUMIF('DADOS BRUTOS'!$A$3:$A$500,$B17,'DADOS BRUTOS'!DQ$3:DQ$500)+IF($C17="",0,SUMIF('DADOS BRUTOS'!$A$3:$A$500,$C17,'DADOS BRUTOS'!DQ$3:DQ$500)))</f>
        <v>0</v>
      </c>
      <c r="GR17" s="133" t="n">
        <f aca="false">IF(OR(GR$4="",$B17=""),0,SUMIF('DADOS BRUTOS'!$A$3:$A$500,$B17,'DADOS BRUTOS'!DR$3:DR$500)+IF($C17="",0,SUMIF('DADOS BRUTOS'!$A$3:$A$500,$C17,'DADOS BRUTOS'!DR$3:DR$500)))</f>
        <v>0</v>
      </c>
      <c r="GS17" s="133" t="n">
        <f aca="false">IF(OR(GS$4="",$B17=""),0,SUMIF('DADOS BRUTOS'!$A$3:$A$500,$B17,'DADOS BRUTOS'!DS$3:DS$500)+IF($C17="",0,SUMIF('DADOS BRUTOS'!$A$3:$A$500,$C17,'DADOS BRUTOS'!DS$3:DS$500)))</f>
        <v>0</v>
      </c>
      <c r="GT17" s="133" t="n">
        <f aca="false">IF(OR(GT$4="",$B17=""),0,SUMIF('DADOS BRUTOS'!$A$3:$A$500,$B17,'DADOS BRUTOS'!DT$3:DT$500)+IF($C17="",0,SUMIF('DADOS BRUTOS'!$A$3:$A$500,$C17,'DADOS BRUTOS'!DT$3:DT$500)))</f>
        <v>0</v>
      </c>
      <c r="GU17" s="133" t="n">
        <f aca="false">IF(OR(GU$4="",$B17=""),0,SUMIF('DADOS BRUTOS'!$A$3:$A$500,$B17,'DADOS BRUTOS'!DU$3:DU$500)+IF($C17="",0,SUMIF('DADOS BRUTOS'!$A$3:$A$500,$C17,'DADOS BRUTOS'!DU$3:DU$500)))</f>
        <v>0</v>
      </c>
      <c r="GV17" s="133" t="n">
        <f aca="false">IF(OR(GV$4="",$B17=""),0,SUMIF('DADOS BRUTOS'!$A$3:$A$500,$B17,'DADOS BRUTOS'!DV$3:DV$500)+IF($C17="",0,SUMIF('DADOS BRUTOS'!$A$3:$A$500,$C17,'DADOS BRUTOS'!DV$3:DV$500)))</f>
        <v>0</v>
      </c>
      <c r="GW17" s="133" t="n">
        <f aca="false">IF(OR(GW$4="",$B17=""),0,SUMIF('DADOS BRUTOS'!$A$3:$A$500,$B17,'DADOS BRUTOS'!DW$3:DW$500)+IF($C17="",0,SUMIF('DADOS BRUTOS'!$A$3:$A$500,$C17,'DADOS BRUTOS'!DW$3:DW$500)))</f>
        <v>0</v>
      </c>
      <c r="GX17" s="133" t="n">
        <f aca="false">IF(OR(GX$4="",$B17=""),0,SUMIF('DADOS BRUTOS'!$A$3:$A$500,$B17,'DADOS BRUTOS'!DX$3:DX$500)+IF($C17="",0,SUMIF('DADOS BRUTOS'!$A$3:$A$500,$C17,'DADOS BRUTOS'!DX$3:DX$500)))</f>
        <v>0</v>
      </c>
      <c r="GY17" s="133" t="n">
        <f aca="false">IF(OR(GY$4="",$B17=""),0,SUMIF('DADOS BRUTOS'!$A$3:$A$500,$B17,'DADOS BRUTOS'!DY$3:DY$500)+IF($C17="",0,SUMIF('DADOS BRUTOS'!$A$3:$A$500,$C17,'DADOS BRUTOS'!DY$3:DY$500)))</f>
        <v>0</v>
      </c>
      <c r="GZ17" s="133" t="n">
        <f aca="false">IF(OR(GZ$4="",$B17=""),0,SUMIF('DADOS BRUTOS'!$A$3:$A$500,$B17,'DADOS BRUTOS'!DZ$3:DZ$500)+IF($C17="",0,SUMIF('DADOS BRUTOS'!$A$3:$A$500,$C17,'DADOS BRUTOS'!DZ$3:DZ$500)))</f>
        <v>0</v>
      </c>
      <c r="HA17" s="133" t="n">
        <f aca="false">IF(OR(HA$4="",$B17=""),0,SUMIF('DADOS BRUTOS'!$A$3:$A$500,$B17,'DADOS BRUTOS'!EA$3:EA$500)+IF($C17="",0,SUMIF('DADOS BRUTOS'!$A$3:$A$500,$C17,'DADOS BRUTOS'!EA$3:EA$500)))</f>
        <v>0</v>
      </c>
      <c r="HB17" s="133" t="n">
        <f aca="false">IF(OR(HB$4="",$B17=""),0,SUMIF('DADOS BRUTOS'!$A$3:$A$500,$B17,'DADOS BRUTOS'!EB$3:EB$500)+IF($C17="",0,SUMIF('DADOS BRUTOS'!$A$3:$A$500,$C17,'DADOS BRUTOS'!EB$3:EB$500)))</f>
        <v>0</v>
      </c>
      <c r="HC17" s="133" t="n">
        <f aca="false">IF(OR(HC$4="",$B17=""),0,SUMIF('DADOS BRUTOS'!$A$3:$A$500,$B17,'DADOS BRUTOS'!EC$3:EC$500)+IF($C17="",0,SUMIF('DADOS BRUTOS'!$A$3:$A$500,$C17,'DADOS BRUTOS'!EC$3:EC$500)))</f>
        <v>0</v>
      </c>
      <c r="HD17" s="133" t="n">
        <f aca="false">IF(OR(HD$4="",$B17=""),0,SUMIF('DADOS BRUTOS'!$A$3:$A$500,$B17,'DADOS BRUTOS'!ED$3:ED$500)+IF($C17="",0,SUMIF('DADOS BRUTOS'!$A$3:$A$500,$C17,'DADOS BRUTOS'!ED$3:ED$500)))</f>
        <v>0</v>
      </c>
      <c r="HE17" s="133" t="n">
        <f aca="false">IF(OR(HE$4="",$B17=""),0,SUMIF('DADOS BRUTOS'!$A$3:$A$500,$B17,'DADOS BRUTOS'!EE$3:EE$500)+IF($C17="",0,SUMIF('DADOS BRUTOS'!$A$3:$A$500,$C17,'DADOS BRUTOS'!EE$3:EE$500)))</f>
        <v>0</v>
      </c>
      <c r="HF17" s="133" t="n">
        <f aca="false">IF(OR(HF$4="",$B17=""),0,SUMIF('DADOS BRUTOS'!$A$3:$A$500,$B17,'DADOS BRUTOS'!EF$3:EF$500)+IF($C17="",0,SUMIF('DADOS BRUTOS'!$A$3:$A$500,$C17,'DADOS BRUTOS'!EF$3:EF$500)))</f>
        <v>0</v>
      </c>
      <c r="HG17" s="133" t="n">
        <f aca="false">IF(OR(HG$4="",$B17=""),0,SUMIF('DADOS BRUTOS'!$A$3:$A$500,$B17,'DADOS BRUTOS'!EG$3:EG$500)+IF($C17="",0,SUMIF('DADOS BRUTOS'!$A$3:$A$500,$C17,'DADOS BRUTOS'!EG$3:EG$500)))</f>
        <v>0</v>
      </c>
      <c r="HH17" s="133" t="n">
        <f aca="false">IF(OR(HH$4="",$B17=""),0,SUMIF('DADOS BRUTOS'!$A$3:$A$500,$B17,'DADOS BRUTOS'!EH$3:EH$500)+IF($C17="",0,SUMIF('DADOS BRUTOS'!$A$3:$A$500,$C17,'DADOS BRUTOS'!EH$3:EH$500)))</f>
        <v>0</v>
      </c>
      <c r="HI17" s="133" t="n">
        <f aca="false">IF(OR(HI$4="",$B17=""),0,SUMIF('DADOS BRUTOS'!$A$3:$A$500,$B17,'DADOS BRUTOS'!EI$3:EI$500)+IF($C17="",0,SUMIF('DADOS BRUTOS'!$A$3:$A$500,$C17,'DADOS BRUTOS'!EI$3:EI$500)))</f>
        <v>0</v>
      </c>
      <c r="HJ17" s="133" t="n">
        <f aca="false">IF(OR(HJ$4="",$B17=""),0,SUMIF('DADOS BRUTOS'!$A$3:$A$500,$B17,'DADOS BRUTOS'!EJ$3:EJ$500)+IF($C17="",0,SUMIF('DADOS BRUTOS'!$A$3:$A$500,$C17,'DADOS BRUTOS'!EJ$3:EJ$500)))</f>
        <v>0</v>
      </c>
      <c r="HK17" s="133" t="n">
        <f aca="false">IF(OR(HK$4="",$B17=""),0,SUMIF('DADOS BRUTOS'!$A$3:$A$500,$B17,'DADOS BRUTOS'!EK$3:EK$500)+IF($C17="",0,SUMIF('DADOS BRUTOS'!$A$3:$A$500,$C17,'DADOS BRUTOS'!EK$3:EK$500)))</f>
        <v>0</v>
      </c>
      <c r="HL17" s="133" t="n">
        <f aca="false">IF(OR(HL$4="",$B17=""),0,SUMIF('DADOS BRUTOS'!$A$3:$A$500,$B17,'DADOS BRUTOS'!EL$3:EL$500)+IF($C17="",0,SUMIF('DADOS BRUTOS'!$A$3:$A$500,$C17,'DADOS BRUTOS'!EL$3:EL$500)))</f>
        <v>0</v>
      </c>
      <c r="HM17" s="133" t="n">
        <f aca="false">IF(OR(HM$4="",$B17=""),0,SUMIF('DADOS BRUTOS'!$A$3:$A$500,$B17,'DADOS BRUTOS'!EM$3:EM$500)+IF($C17="",0,SUMIF('DADOS BRUTOS'!$A$3:$A$500,$C17,'DADOS BRUTOS'!EM$3:EM$500)))</f>
        <v>0</v>
      </c>
      <c r="HN17" s="133" t="n">
        <f aca="false">IF(OR(HN$4="",$B17=""),0,SUMIF('DADOS BRUTOS'!$A$3:$A$500,$B17,'DADOS BRUTOS'!EN$3:EN$500)+IF($C17="",0,SUMIF('DADOS BRUTOS'!$A$3:$A$500,$C17,'DADOS BRUTOS'!EN$3:EN$500)))</f>
        <v>0</v>
      </c>
      <c r="HO17" s="133" t="n">
        <f aca="false">IF(OR(HO$4="",$B17=""),0,SUMIF('DADOS BRUTOS'!$A$3:$A$500,$B17,'DADOS BRUTOS'!EO$3:EO$500)+IF($C17="",0,SUMIF('DADOS BRUTOS'!$A$3:$A$500,$C17,'DADOS BRUTOS'!EO$3:EO$500)))</f>
        <v>0</v>
      </c>
      <c r="HP17" s="133" t="n">
        <f aca="false">IF(OR(HP$4="",$B17=""),0,SUMIF('DADOS BRUTOS'!$A$3:$A$500,$B17,'DADOS BRUTOS'!EP$3:EP$500)+IF($C17="",0,SUMIF('DADOS BRUTOS'!$A$3:$A$500,$C17,'DADOS BRUTOS'!EP$3:EP$500)))</f>
        <v>0</v>
      </c>
      <c r="HQ17" s="133" t="n">
        <f aca="false">IF(OR(HQ$4="",$B17=""),0,SUMIF('DADOS BRUTOS'!$A$3:$A$500,$B17,'DADOS BRUTOS'!EQ$3:EQ$500)+IF($C17="",0,SUMIF('DADOS BRUTOS'!$A$3:$A$500,$C17,'DADOS BRUTOS'!EQ$3:EQ$500)))</f>
        <v>0</v>
      </c>
      <c r="HR17" s="133" t="n">
        <f aca="false">IF(OR(HR$4="",$B17=""),0,SUMIF('DADOS BRUTOS'!$A$3:$A$500,$B17,'DADOS BRUTOS'!ER$3:ER$500)+IF($C17="",0,SUMIF('DADOS BRUTOS'!$A$3:$A$500,$C17,'DADOS BRUTOS'!ER$3:ER$500)))</f>
        <v>0</v>
      </c>
      <c r="HS17" s="133" t="n">
        <f aca="false">IF(OR(HS$4="",$B17=""),0,SUMIF('DADOS BRUTOS'!$A$3:$A$500,$B17,'DADOS BRUTOS'!ES$3:ES$500)+IF($C17="",0,SUMIF('DADOS BRUTOS'!$A$3:$A$500,$C17,'DADOS BRUTOS'!ES$3:ES$500)))</f>
        <v>0</v>
      </c>
      <c r="HT17" s="133" t="n">
        <f aca="false">IF(OR(HT$4="",$B17=""),0,SUMIF('DADOS BRUTOS'!$A$3:$A$500,$B17,'DADOS BRUTOS'!ET$3:ET$500)+IF($C17="",0,SUMIF('DADOS BRUTOS'!$A$3:$A$500,$C17,'DADOS BRUTOS'!ET$3:ET$500)))</f>
        <v>0</v>
      </c>
      <c r="HU17" s="133" t="n">
        <f aca="false">IF(OR(HU$4="",$B17=""),0,SUMIF('DADOS BRUTOS'!$A$3:$A$500,$B17,'DADOS BRUTOS'!EU$3:EU$500)+IF($C17="",0,SUMIF('DADOS BRUTOS'!$A$3:$A$500,$C17,'DADOS BRUTOS'!EU$3:EU$500)))</f>
        <v>0</v>
      </c>
      <c r="HV17" s="133" t="n">
        <f aca="false">IF(OR(HV$4="",$B17=""),0,SUMIF('DADOS BRUTOS'!$A$3:$A$500,$B17,'DADOS BRUTOS'!EV$3:EV$500)+IF($C17="",0,SUMIF('DADOS BRUTOS'!$A$3:$A$500,$C17,'DADOS BRUTOS'!EV$3:EV$500)))</f>
        <v>0</v>
      </c>
      <c r="HW17" s="133" t="n">
        <f aca="false">IF(OR(HW$4="",$B17=""),0,SUMIF('DADOS BRUTOS'!$A$3:$A$500,$B17,'DADOS BRUTOS'!EW$3:EW$500)+IF($C17="",0,SUMIF('DADOS BRUTOS'!$A$3:$A$500,$C17,'DADOS BRUTOS'!EW$3:EW$500)))</f>
        <v>0</v>
      </c>
      <c r="HX17" s="133" t="n">
        <f aca="false">IF(OR(HX$4="",$B17=""),0,SUMIF('DADOS BRUTOS'!$A$3:$A$500,$B17,'DADOS BRUTOS'!EX$3:EX$500)+IF($C17="",0,SUMIF('DADOS BRUTOS'!$A$3:$A$500,$C17,'DADOS BRUTOS'!EX$3:EX$500)))</f>
        <v>0</v>
      </c>
      <c r="HY17" s="133" t="n">
        <f aca="false">IF(OR(HY$4="",$B17=""),0,SUMIF('DADOS BRUTOS'!$A$3:$A$500,$B17,'DADOS BRUTOS'!EY$3:EY$500)+IF($C17="",0,SUMIF('DADOS BRUTOS'!$A$3:$A$500,$C17,'DADOS BRUTOS'!EY$3:EY$500)))</f>
        <v>0</v>
      </c>
      <c r="HZ17" s="133" t="n">
        <f aca="false">IF(OR(HZ$4="",$B17=""),0,SUMIF('DADOS BRUTOS'!$A$3:$A$500,$B17,'DADOS BRUTOS'!EZ$3:EZ$500)+IF($C17="",0,SUMIF('DADOS BRUTOS'!$A$3:$A$500,$C17,'DADOS BRUTOS'!EZ$3:EZ$500)))</f>
        <v>0</v>
      </c>
      <c r="IA17" s="133" t="n">
        <f aca="false">IF(OR(IA$4="",$B17=""),0,SUMIF('DADOS BRUTOS'!$A$3:$A$500,$B17,'DADOS BRUTOS'!FA$3:FA$500)+IF($C17="",0,SUMIF('DADOS BRUTOS'!$A$3:$A$500,$C17,'DADOS BRUTOS'!FA$3:FA$500)))</f>
        <v>0</v>
      </c>
      <c r="IB17" s="133" t="n">
        <f aca="false">IF(OR(IB$4="",$B17=""),0,SUMIF('DADOS BRUTOS'!$A$3:$A$500,$B17,'DADOS BRUTOS'!FB$3:FB$500)+IF($C17="",0,SUMIF('DADOS BRUTOS'!$A$3:$A$500,$C17,'DADOS BRUTOS'!FB$3:FB$500)))</f>
        <v>0</v>
      </c>
      <c r="IC17" s="133" t="n">
        <f aca="false">IF(OR(IC$4="",$B17=""),0,SUMIF('DADOS BRUTOS'!$A$3:$A$500,$B17,'DADOS BRUTOS'!FC$3:FC$500)+IF($C17="",0,SUMIF('DADOS BRUTOS'!$A$3:$A$500,$C17,'DADOS BRUTOS'!FC$3:FC$500)))</f>
        <v>0</v>
      </c>
      <c r="ID17" s="133" t="n">
        <f aca="false">IF(OR(ID$4="",$B17=""),0,SUMIF('DADOS BRUTOS'!$A$3:$A$500,$B17,'DADOS BRUTOS'!FD$3:FD$500)+IF($C17="",0,SUMIF('DADOS BRUTOS'!$A$3:$A$500,$C17,'DADOS BRUTOS'!FD$3:FD$500)))</f>
        <v>0</v>
      </c>
      <c r="IE17" s="133" t="n">
        <f aca="false">IF(OR(IE$4="",$B17=""),0,SUMIF('DADOS BRUTOS'!$A$3:$A$500,$B17,'DADOS BRUTOS'!FE$3:FE$500)+IF($C17="",0,SUMIF('DADOS BRUTOS'!$A$3:$A$500,$C17,'DADOS BRUTOS'!FE$3:FE$500)))</f>
        <v>0</v>
      </c>
      <c r="IF17" s="133" t="n">
        <f aca="false">IF(OR(IF$4="",$B17=""),0,SUMIF('DADOS BRUTOS'!$A$3:$A$500,$B17,'DADOS BRUTOS'!FF$3:FF$500)+IF($C17="",0,SUMIF('DADOS BRUTOS'!$A$3:$A$500,$C17,'DADOS BRUTOS'!FF$3:FF$500)))</f>
        <v>0</v>
      </c>
      <c r="IG17" s="133" t="n">
        <f aca="false">IF(OR(IG$4="",$B17=""),0,SUMIF('DADOS BRUTOS'!$A$3:$A$500,$B17,'DADOS BRUTOS'!FG$3:FG$500)+IF($C17="",0,SUMIF('DADOS BRUTOS'!$A$3:$A$500,$C17,'DADOS BRUTOS'!FG$3:FG$500)))</f>
        <v>0</v>
      </c>
      <c r="IH17" s="133" t="n">
        <f aca="false">IF(OR(IH$4="",$B17=""),0,SUMIF('DADOS BRUTOS'!$A$3:$A$500,$B17,'DADOS BRUTOS'!FH$3:FH$500)+IF($C17="",0,SUMIF('DADOS BRUTOS'!$A$3:$A$500,$C17,'DADOS BRUTOS'!FH$3:FH$500)))</f>
        <v>0</v>
      </c>
      <c r="II17" s="133" t="n">
        <f aca="false">IF(OR(II$4="",$B17=""),0,SUMIF('DADOS BRUTOS'!$A$3:$A$500,$B17,'DADOS BRUTOS'!FI$3:FI$500)+IF($C17="",0,SUMIF('DADOS BRUTOS'!$A$3:$A$500,$C17,'DADOS BRUTOS'!FI$3:FI$500)))</f>
        <v>0</v>
      </c>
      <c r="IJ17" s="133" t="n">
        <f aca="false">IF(OR(IJ$4="",$B17=""),0,SUMIF('DADOS BRUTOS'!$A$3:$A$500,$B17,'DADOS BRUTOS'!FJ$3:FJ$500)+IF($C17="",0,SUMIF('DADOS BRUTOS'!$A$3:$A$500,$C17,'DADOS BRUTOS'!FJ$3:FJ$500)))</f>
        <v>0</v>
      </c>
      <c r="IK17" s="133" t="n">
        <f aca="false">IF(OR(IK$4="",$B17=""),0,SUMIF('DADOS BRUTOS'!$A$3:$A$500,$B17,'DADOS BRUTOS'!FK$3:FK$500)+IF($C17="",0,SUMIF('DADOS BRUTOS'!$A$3:$A$500,$C17,'DADOS BRUTOS'!FK$3:FK$500)))</f>
        <v>0</v>
      </c>
      <c r="IL17" s="133" t="n">
        <f aca="false">IF(OR(IL$4="",$B17=""),0,SUMIF('DADOS BRUTOS'!$A$3:$A$500,$B17,'DADOS BRUTOS'!FL$3:FL$500)+IF($C17="",0,SUMIF('DADOS BRUTOS'!$A$3:$A$500,$C17,'DADOS BRUTOS'!FL$3:FL$500)))</f>
        <v>0</v>
      </c>
      <c r="IM17" s="133" t="n">
        <f aca="false">IF(OR(IM$4="",$B17=""),0,SUMIF('DADOS BRUTOS'!$A$3:$A$500,$B17,'DADOS BRUTOS'!FM$3:FM$500)+IF($C17="",0,SUMIF('DADOS BRUTOS'!$A$3:$A$500,$C17,'DADOS BRUTOS'!FM$3:FM$500)))</f>
        <v>0</v>
      </c>
      <c r="IN17" s="133" t="n">
        <f aca="false">IF(OR(IN$4="",$B17=""),0,SUMIF('DADOS BRUTOS'!$A$3:$A$500,$B17,'DADOS BRUTOS'!FN$3:FN$500)+IF($C17="",0,SUMIF('DADOS BRUTOS'!$A$3:$A$500,$C17,'DADOS BRUTOS'!FN$3:FN$500)))</f>
        <v>0</v>
      </c>
      <c r="IO17" s="133" t="n">
        <f aca="false">IF(OR(IO$4="",$B17=""),0,SUMIF('DADOS BRUTOS'!$A$3:$A$500,$B17,'DADOS BRUTOS'!FO$3:FO$500)+IF($C17="",0,SUMIF('DADOS BRUTOS'!$A$3:$A$500,$C17,'DADOS BRUTOS'!FO$3:FO$500)))</f>
        <v>0</v>
      </c>
      <c r="IP17" s="133" t="n">
        <f aca="false">IF(OR(IP$4="",$B17=""),0,SUMIF('DADOS BRUTOS'!$A$3:$A$500,$B17,'DADOS BRUTOS'!FP$3:FP$500)+IF($C17="",0,SUMIF('DADOS BRUTOS'!$A$3:$A$500,$C17,'DADOS BRUTOS'!FP$3:FP$500)))</f>
        <v>0</v>
      </c>
      <c r="IQ17" s="133" t="n">
        <f aca="false">IF(OR(IQ$4="",$B17=""),0,SUMIF('DADOS BRUTOS'!$A$3:$A$500,$B17,'DADOS BRUTOS'!FQ$3:FQ$500)+IF($C17="",0,SUMIF('DADOS BRUTOS'!$A$3:$A$500,$C17,'DADOS BRUTOS'!FQ$3:FQ$500)))</f>
        <v>0</v>
      </c>
      <c r="IR17" s="133" t="n">
        <f aca="false">IF(OR(IR$4="",$B17=""),0,SUMIF('DADOS BRUTOS'!$A$3:$A$500,$B17,'DADOS BRUTOS'!FR$3:FR$500)+IF($C17="",0,SUMIF('DADOS BRUTOS'!$A$3:$A$500,$C17,'DADOS BRUTOS'!FR$3:FR$500)))</f>
        <v>0</v>
      </c>
      <c r="IS17" s="133" t="n">
        <f aca="false">IF(OR(IS$4="",$B17=""),0,SUMIF('DADOS BRUTOS'!$A$3:$A$500,$B17,'DADOS BRUTOS'!FS$3:FS$500)+IF($C17="",0,SUMIF('DADOS BRUTOS'!$A$3:$A$500,$C17,'DADOS BRUTOS'!FS$3:FS$500)))</f>
        <v>0</v>
      </c>
      <c r="IT17" s="133" t="n">
        <f aca="false">IF(OR(IT$4="",$B17=""),0,SUMIF('DADOS BRUTOS'!$A$3:$A$500,$B17,'DADOS BRUTOS'!FT$3:FT$500)+IF($C17="",0,SUMIF('DADOS BRUTOS'!$A$3:$A$500,$C17,'DADOS BRUTOS'!FT$3:FT$500)))</f>
        <v>0</v>
      </c>
      <c r="IU17" s="133" t="n">
        <f aca="false">IF(OR(IU$4="",$B17=""),0,SUMIF('DADOS BRUTOS'!$A$3:$A$500,$B17,'DADOS BRUTOS'!FU$3:FU$500)+IF($C17="",0,SUMIF('DADOS BRUTOS'!$A$3:$A$500,$C17,'DADOS BRUTOS'!FU$3:FU$500)))</f>
        <v>0</v>
      </c>
      <c r="IV17" s="133" t="n">
        <f aca="false">IF(OR(IV$4="",$B17=""),0,SUMIF('DADOS BRUTOS'!$A$3:$A$500,$B17,'DADOS BRUTOS'!FV$3:FV$500)+IF($C17="",0,SUMIF('DADOS BRUTOS'!$A$3:$A$500,$C17,'DADOS BRUTOS'!FV$3:FV$500)))</f>
        <v>0</v>
      </c>
      <c r="IW17" s="133" t="n">
        <f aca="false">IF(OR(IW$4="",$B17=""),0,SUMIF('DADOS BRUTOS'!$A$3:$A$500,$B17,'DADOS BRUTOS'!FW$3:FW$500)+IF($C17="",0,SUMIF('DADOS BRUTOS'!$A$3:$A$500,$C17,'DADOS BRUTOS'!FW$3:FW$500)))</f>
        <v>0</v>
      </c>
      <c r="IX17" s="133" t="n">
        <f aca="false">IF(OR(IX$4="",$B17=""),0,SUMIF('DADOS BRUTOS'!$A$3:$A$500,$B17,'DADOS BRUTOS'!FX$3:FX$500)+IF($C17="",0,SUMIF('DADOS BRUTOS'!$A$3:$A$500,$C17,'DADOS BRUTOS'!FX$3:FX$500)))</f>
        <v>0</v>
      </c>
      <c r="IY17" s="133" t="n">
        <f aca="false">IF(OR(IY$4="",$B17=""),0,SUMIF('DADOS BRUTOS'!$A$3:$A$500,$B17,'DADOS BRUTOS'!FY$3:FY$500)+IF($C17="",0,SUMIF('DADOS BRUTOS'!$A$3:$A$500,$C17,'DADOS BRUTOS'!FY$3:FY$500)))</f>
        <v>0</v>
      </c>
      <c r="IZ17" s="133" t="n">
        <f aca="false">IF(OR(IZ$4="",$B17=""),0,SUMIF('DADOS BRUTOS'!$A$3:$A$500,$B17,'DADOS BRUTOS'!FZ$3:FZ$500)+IF($C17="",0,SUMIF('DADOS BRUTOS'!$A$3:$A$500,$C17,'DADOS BRUTOS'!FZ$3:FZ$500)))</f>
        <v>0</v>
      </c>
      <c r="JA17" s="133" t="n">
        <f aca="false">IF(OR(JA$4="",$B17=""),0,SUMIF('DADOS BRUTOS'!$A$3:$A$500,$B17,'DADOS BRUTOS'!GA$3:GA$500)+IF($C17="",0,SUMIF('DADOS BRUTOS'!$A$3:$A$500,$C17,'DADOS BRUTOS'!GA$3:GA$500)))</f>
        <v>0</v>
      </c>
      <c r="JB17" s="133" t="n">
        <f aca="false">IF(OR(JB$4="",$B17=""),0,SUMIF('DADOS BRUTOS'!$A$3:$A$500,$B17,'DADOS BRUTOS'!GB$3:GB$500)+IF($C17="",0,SUMIF('DADOS BRUTOS'!$A$3:$A$500,$C17,'DADOS BRUTOS'!GB$3:GB$500)))</f>
        <v>0</v>
      </c>
      <c r="JC17" s="133" t="n">
        <f aca="false">IF(OR(JC$4="",$B17=""),0,SUMIF('DADOS BRUTOS'!$A$3:$A$500,$B17,'DADOS BRUTOS'!GC$3:GC$500)+IF($C17="",0,SUMIF('DADOS BRUTOS'!$A$3:$A$500,$C17,'DADOS BRUTOS'!GC$3:GC$500)))</f>
        <v>0</v>
      </c>
      <c r="JD17" s="133" t="n">
        <f aca="false">IF(OR(JD$4="",$B17=""),0,SUMIF('DADOS BRUTOS'!$A$3:$A$500,$B17,'DADOS BRUTOS'!GD$3:GD$500)+IF($C17="",0,SUMIF('DADOS BRUTOS'!$A$3:$A$500,$C17,'DADOS BRUTOS'!GD$3:GD$500)))</f>
        <v>0</v>
      </c>
      <c r="JE17" s="133" t="n">
        <f aca="false">IF(OR(JE$4="",$B17=""),0,SUMIF('DADOS BRUTOS'!$A$3:$A$500,$B17,'DADOS BRUTOS'!GE$3:GE$500)+IF($C17="",0,SUMIF('DADOS BRUTOS'!$A$3:$A$500,$C17,'DADOS BRUTOS'!GE$3:GE$500)))</f>
        <v>0</v>
      </c>
      <c r="JF17" s="133" t="n">
        <f aca="false">IF(OR(JF$4="",$B17=""),0,SUMIF('DADOS BRUTOS'!$A$3:$A$500,$B17,'DADOS BRUTOS'!GF$3:GF$500)+IF($C17="",0,SUMIF('DADOS BRUTOS'!$A$3:$A$500,$C17,'DADOS BRUTOS'!GF$3:GF$500)))</f>
        <v>0</v>
      </c>
      <c r="JG17" s="133" t="n">
        <f aca="false">IF(OR(JG$4="",$B17=""),0,SUMIF('DADOS BRUTOS'!$A$3:$A$500,$B17,'DADOS BRUTOS'!GG$3:GG$500)+IF($C17="",0,SUMIF('DADOS BRUTOS'!$A$3:$A$500,$C17,'DADOS BRUTOS'!GG$3:GG$500)))</f>
        <v>0</v>
      </c>
      <c r="JH17" s="133" t="n">
        <f aca="false">IF(OR(JH$4="",$B17=""),0,SUMIF('DADOS BRUTOS'!$A$3:$A$500,$B17,'DADOS BRUTOS'!GH$3:GH$500)+IF($C17="",0,SUMIF('DADOS BRUTOS'!$A$3:$A$500,$C17,'DADOS BRUTOS'!GH$3:GH$500)))</f>
        <v>0</v>
      </c>
      <c r="JI17" s="133" t="n">
        <f aca="false">IF(OR(JI$4="",$B17=""),0,SUMIF('DADOS BRUTOS'!$A$3:$A$500,$B17,'DADOS BRUTOS'!GI$3:GI$500)+IF($C17="",0,SUMIF('DADOS BRUTOS'!$A$3:$A$500,$C17,'DADOS BRUTOS'!GI$3:GI$500)))</f>
        <v>0</v>
      </c>
      <c r="JJ17" s="133" t="n">
        <f aca="false">IF(OR(JJ$4="",$B17=""),0,SUMIF('DADOS BRUTOS'!$A$3:$A$500,$B17,'DADOS BRUTOS'!GJ$3:GJ$500)+IF($C17="",0,SUMIF('DADOS BRUTOS'!$A$3:$A$500,$C17,'DADOS BRUTOS'!GJ$3:GJ$500)))</f>
        <v>0</v>
      </c>
      <c r="JK17" s="133" t="n">
        <f aca="false">IF(OR(JK$4="",$B17=""),0,SUMIF('DADOS BRUTOS'!$A$3:$A$500,$B17,'DADOS BRUTOS'!GK$3:GK$500)+IF($C17="",0,SUMIF('DADOS BRUTOS'!$A$3:$A$500,$C17,'DADOS BRUTOS'!GK$3:GK$500)))</f>
        <v>0</v>
      </c>
      <c r="JL17" s="133" t="n">
        <f aca="false">IF(OR(JL$4="",$B17=""),0,SUMIF('DADOS BRUTOS'!$A$3:$A$500,$B17,'DADOS BRUTOS'!GL$3:GL$500)+IF($C17="",0,SUMIF('DADOS BRUTOS'!$A$3:$A$500,$C17,'DADOS BRUTOS'!GL$3:GL$500)))</f>
        <v>0</v>
      </c>
      <c r="JM17" s="133" t="n">
        <f aca="false">IF(OR(JM$4="",$B17=""),0,SUMIF('DADOS BRUTOS'!$A$3:$A$500,$B17,'DADOS BRUTOS'!GM$3:GM$500)+IF($C17="",0,SUMIF('DADOS BRUTOS'!$A$3:$A$500,$C17,'DADOS BRUTOS'!GM$3:GM$500)))</f>
        <v>0</v>
      </c>
      <c r="JN17" s="133" t="n">
        <f aca="false">IF(OR(JN$4="",$B17=""),0,SUMIF('DADOS BRUTOS'!$A$3:$A$500,$B17,'DADOS BRUTOS'!GN$3:GN$500)+IF($C17="",0,SUMIF('DADOS BRUTOS'!$A$3:$A$500,$C17,'DADOS BRUTOS'!GN$3:GN$500)))</f>
        <v>0</v>
      </c>
      <c r="JO17" s="133" t="n">
        <f aca="false">IF(OR(JO$4="",$B17=""),0,SUMIF('DADOS BRUTOS'!$A$3:$A$500,$B17,'DADOS BRUTOS'!GO$3:GO$500)+IF($C17="",0,SUMIF('DADOS BRUTOS'!$A$3:$A$500,$C17,'DADOS BRUTOS'!GO$3:GO$500)))</f>
        <v>0</v>
      </c>
      <c r="JP17" s="133" t="n">
        <f aca="false">IF(OR(JP$4="",$B17=""),0,SUMIF('DADOS BRUTOS'!$A$3:$A$500,$B17,'DADOS BRUTOS'!GP$3:GP$500)+IF($C17="",0,SUMIF('DADOS BRUTOS'!$A$3:$A$500,$C17,'DADOS BRUTOS'!GP$3:GP$500)))</f>
        <v>0</v>
      </c>
      <c r="JQ17" s="133" t="n">
        <f aca="false">IF(OR(JQ$4="",$B17=""),0,SUMIF('DADOS BRUTOS'!$A$3:$A$500,$B17,'DADOS BRUTOS'!GQ$3:GQ$500)+IF($C17="",0,SUMIF('DADOS BRUTOS'!$A$3:$A$500,$C17,'DADOS BRUTOS'!GQ$3:GQ$500)))</f>
        <v>0</v>
      </c>
      <c r="JR17" s="133" t="n">
        <f aca="false">IF(OR(JR$4="",$B17=""),0,SUMIF('DADOS BRUTOS'!$A$3:$A$500,$B17,'DADOS BRUTOS'!GR$3:GR$500)+IF($C17="",0,SUMIF('DADOS BRUTOS'!$A$3:$A$500,$C17,'DADOS BRUTOS'!GR$3:GR$500)))</f>
        <v>0</v>
      </c>
      <c r="JS17" s="133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65353.89</v>
      </c>
      <c r="E18" s="50" t="n">
        <f aca="false">SUMIF($CB$4:$JS$4,E$4,$CB18:$JS18)</f>
        <v>1300</v>
      </c>
      <c r="F18" s="50" t="n">
        <f aca="false">SUMIF($CB$4:$JS$4,F$4,$CB18:$JS18)</f>
        <v>0</v>
      </c>
      <c r="G18" s="50" t="n">
        <f aca="false">SUMIF($CB$4:$JS$4,G$4,$CB18:$JS18)</f>
        <v>0</v>
      </c>
      <c r="H18" s="50" t="n">
        <f aca="false">SUMIF($CB$4:$JS$4,H$4,$CB18:$JS18)</f>
        <v>0</v>
      </c>
      <c r="I18" s="50" t="n">
        <f aca="false">SUMIF($CB$4:$JS$4,I$4,$CB18:$JS18)</f>
        <v>58031.16</v>
      </c>
      <c r="J18" s="50" t="n">
        <f aca="false">SUMIF($CB$4:$JS$4,J$4,$CB18:$JS18)</f>
        <v>244429.38</v>
      </c>
      <c r="K18" s="50" t="n">
        <f aca="false">SUMIF($CB$4:$JS$4,K$4,$CB18:$JS18)</f>
        <v>369031.98</v>
      </c>
      <c r="L18" s="50" t="n">
        <f aca="false">SUMIF($CB$4:$JS$4,L$4,$CB18:$JS18)</f>
        <v>540521.81</v>
      </c>
      <c r="M18" s="50" t="n">
        <f aca="false">SUMIF($CB$4:$JS$4,M$4,$CB18:$JS18)</f>
        <v>338988.81</v>
      </c>
      <c r="N18" s="50" t="n">
        <f aca="false">SUMIF($CB$4:$JS$4,N$4,$CB18:$JS18)</f>
        <v>160988.83</v>
      </c>
      <c r="O18" s="50" t="n">
        <f aca="false">SUMIF($CB$4:$JS$4,O$4,$CB18:$JS18)</f>
        <v>168047.95</v>
      </c>
      <c r="P18" s="50" t="n">
        <f aca="false">SUMIF($CB$4:$JS$4,P$4,$CB18:$JS18)</f>
        <v>29778.78</v>
      </c>
      <c r="Q18" s="50" t="n">
        <f aca="false">SUMIF($CB$4:$JS$4,Q$4,$CB18:$JS18)</f>
        <v>0</v>
      </c>
      <c r="R18" s="50" t="n">
        <f aca="false">SUMIF($CB$4:$JS$4,R$4,$CB18:$JS18)</f>
        <v>0</v>
      </c>
      <c r="S18" s="50" t="n">
        <f aca="false">SUMIF($CB$4:$JS$4,S$4,$CB18:$JS18)</f>
        <v>0</v>
      </c>
      <c r="T18" s="50" t="n">
        <f aca="false">SUMIF($CB$4:$JS$4,T$4,$CB18:$JS18)</f>
        <v>0</v>
      </c>
      <c r="U18" s="50" t="n">
        <f aca="false">SUMIF($CB$4:$JS$4,U$4,$CB18:$JS18)</f>
        <v>44436.66</v>
      </c>
      <c r="V18" s="50" t="n">
        <f aca="false">SUMIF($CB$4:$JS$4,V$4,$CB18:$JS18)</f>
        <v>13562.69</v>
      </c>
      <c r="W18" s="50" t="n">
        <f aca="false">SUMIF($CB$4:$JS$4,W$4,$CB18:$JS18)</f>
        <v>14325.63</v>
      </c>
      <c r="X18" s="50" t="n">
        <f aca="false">SUMIF($CB$4:$JS$4,X$4,$CB18:$JS18)</f>
        <v>11354.11</v>
      </c>
      <c r="Y18" s="50" t="n">
        <f aca="false">SUMIF($CB$4:$JS$4,Y$4,$CB18:$JS18)</f>
        <v>18991.44</v>
      </c>
      <c r="Z18" s="50" t="n">
        <f aca="false">SUMIF($CB$4:$JS$4,Z$4,$CB18:$JS18)</f>
        <v>13096</v>
      </c>
      <c r="AA18" s="50" t="n">
        <f aca="false">SUMIF($CB$4:$JS$4,AA$4,$CB18:$JS18)</f>
        <v>657.3</v>
      </c>
      <c r="AB18" s="50" t="n">
        <f aca="false">SUMIF($CB$4:$JS$4,AB$4,$CB18:$JS18)</f>
        <v>0</v>
      </c>
      <c r="AC18" s="50" t="n">
        <f aca="false">SUMIF($CB$4:$JS$4,AC$4,$CB18:$JS18)</f>
        <v>835.15</v>
      </c>
      <c r="AD18" s="50" t="n">
        <f aca="false">SUMIF($CB$4:$JS$4,AD$4,$CB18:$JS18)</f>
        <v>0</v>
      </c>
      <c r="AE18" s="50" t="n">
        <f aca="false">SUMIF($CB$4:$JS$4,AE$4,$CB18:$JS18)</f>
        <v>2789.42</v>
      </c>
      <c r="AF18" s="50" t="n">
        <f aca="false">SUMIF($CB$4:$JS$4,AF$4,$CB18:$JS18)</f>
        <v>0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2096520.99</v>
      </c>
      <c r="BZ18" s="45" t="n">
        <f aca="false">SUMPRODUCT(($CB$4:$JS$4&lt;&gt;"")*($CB$4:$JS$4&lt;=$D$4),$CB18:$JS18,$CB$1:$JS$1)</f>
        <v>57.0585464215989</v>
      </c>
      <c r="CB18" s="133" t="n">
        <f aca="false">IF(OR(CB$4="",$B18=""),0,SUMIF('DADOS BRUTOS'!$A$3:$A$500,$B18,'DADOS BRUTOS'!B$3:B$500)+IF($C18="",0,SUMIF('DADOS BRUTOS'!$A$3:$A$500,$C18,'DADOS BRUTOS'!B$3:B$500)))</f>
        <v>0</v>
      </c>
      <c r="CC18" s="133" t="n">
        <f aca="false">IF(OR(CC$4="",$B18=""),0,SUMIF('DADOS BRUTOS'!$A$3:$A$500,$B18,'DADOS BRUTOS'!C$3:C$500)+IF($C18="",0,SUMIF('DADOS BRUTOS'!$A$3:$A$500,$C18,'DADOS BRUTOS'!C$3:C$500)))</f>
        <v>0</v>
      </c>
      <c r="CD18" s="133" t="n">
        <f aca="false">IF(OR(CD$4="",$B18=""),0,SUMIF('DADOS BRUTOS'!$A$3:$A$500,$B18,'DADOS BRUTOS'!D$3:D$500)+IF($C18="",0,SUMIF('DADOS BRUTOS'!$A$3:$A$500,$C18,'DADOS BRUTOS'!D$3:D$500)))</f>
        <v>0</v>
      </c>
      <c r="CE18" s="133" t="n">
        <f aca="false">IF(OR(CE$4="",$B18=""),0,SUMIF('DADOS BRUTOS'!$A$3:$A$500,$B18,'DADOS BRUTOS'!E$3:E$500)+IF($C18="",0,SUMIF('DADOS BRUTOS'!$A$3:$A$500,$C18,'DADOS BRUTOS'!E$3:E$500)))</f>
        <v>0</v>
      </c>
      <c r="CF18" s="133" t="n">
        <f aca="false">IF(OR(CF$4="",$B18=""),0,SUMIF('DADOS BRUTOS'!$A$3:$A$500,$B18,'DADOS BRUTOS'!F$3:F$500)+IF($C18="",0,SUMIF('DADOS BRUTOS'!$A$3:$A$500,$C18,'DADOS BRUTOS'!F$3:F$500)))</f>
        <v>0</v>
      </c>
      <c r="CG18" s="133" t="n">
        <f aca="false">IF(OR(CG$4="",$B18=""),0,SUMIF('DADOS BRUTOS'!$A$3:$A$500,$B18,'DADOS BRUTOS'!G$3:G$500)+IF($C18="",0,SUMIF('DADOS BRUTOS'!$A$3:$A$500,$C18,'DADOS BRUTOS'!G$3:G$500)))</f>
        <v>0</v>
      </c>
      <c r="CH18" s="133" t="n">
        <f aca="false">IF(OR(CH$4="",$B18=""),0,SUMIF('DADOS BRUTOS'!$A$3:$A$500,$B18,'DADOS BRUTOS'!H$3:H$500)+IF($C18="",0,SUMIF('DADOS BRUTOS'!$A$3:$A$500,$C18,'DADOS BRUTOS'!H$3:H$500)))</f>
        <v>0</v>
      </c>
      <c r="CI18" s="133" t="n">
        <f aca="false">IF(OR(CI$4="",$B18=""),0,SUMIF('DADOS BRUTOS'!$A$3:$A$500,$B18,'DADOS BRUTOS'!I$3:I$500)+IF($C18="",0,SUMIF('DADOS BRUTOS'!$A$3:$A$500,$C18,'DADOS BRUTOS'!I$3:I$500)))</f>
        <v>0</v>
      </c>
      <c r="CJ18" s="133" t="n">
        <f aca="false">IF(OR(CJ$4="",$B18=""),0,SUMIF('DADOS BRUTOS'!$A$3:$A$500,$B18,'DADOS BRUTOS'!J$3:J$500)+IF($C18="",0,SUMIF('DADOS BRUTOS'!$A$3:$A$500,$C18,'DADOS BRUTOS'!J$3:J$500)))</f>
        <v>0</v>
      </c>
      <c r="CK18" s="133" t="n">
        <f aca="false">IF(OR(CK$4="",$B18=""),0,SUMIF('DADOS BRUTOS'!$A$3:$A$500,$B18,'DADOS BRUTOS'!K$3:K$500)+IF($C18="",0,SUMIF('DADOS BRUTOS'!$A$3:$A$500,$C18,'DADOS BRUTOS'!K$3:K$500)))</f>
        <v>0</v>
      </c>
      <c r="CL18" s="133" t="n">
        <f aca="false">IF(OR(CL$4="",$B18=""),0,SUMIF('DADOS BRUTOS'!$A$3:$A$500,$B18,'DADOS BRUTOS'!L$3:L$500)+IF($C18="",0,SUMIF('DADOS BRUTOS'!$A$3:$A$500,$C18,'DADOS BRUTOS'!L$3:L$500)))</f>
        <v>0</v>
      </c>
      <c r="CM18" s="133" t="n">
        <f aca="false">IF(OR(CM$4="",$B18=""),0,SUMIF('DADOS BRUTOS'!$A$3:$A$500,$B18,'DADOS BRUTOS'!M$3:M$500)+IF($C18="",0,SUMIF('DADOS BRUTOS'!$A$3:$A$500,$C18,'DADOS BRUTOS'!M$3:M$500)))</f>
        <v>0</v>
      </c>
      <c r="CN18" s="133" t="n">
        <f aca="false">IF(OR(CN$4="",$B18=""),0,SUMIF('DADOS BRUTOS'!$A$3:$A$500,$B18,'DADOS BRUTOS'!N$3:N$500)+IF($C18="",0,SUMIF('DADOS BRUTOS'!$A$3:$A$500,$C18,'DADOS BRUTOS'!N$3:N$500)))</f>
        <v>0</v>
      </c>
      <c r="CO18" s="133" t="n">
        <f aca="false">IF(OR(CO$4="",$B18=""),0,SUMIF('DADOS BRUTOS'!$A$3:$A$500,$B18,'DADOS BRUTOS'!O$3:O$500)+IF($C18="",0,SUMIF('DADOS BRUTOS'!$A$3:$A$500,$C18,'DADOS BRUTOS'!O$3:O$500)))</f>
        <v>0</v>
      </c>
      <c r="CP18" s="133" t="n">
        <f aca="false">IF(OR(CP$4="",$B18=""),0,SUMIF('DADOS BRUTOS'!$A$3:$A$500,$B18,'DADOS BRUTOS'!P$3:P$500)+IF($C18="",0,SUMIF('DADOS BRUTOS'!$A$3:$A$500,$C18,'DADOS BRUTOS'!P$3:P$500)))</f>
        <v>0</v>
      </c>
      <c r="CQ18" s="133" t="n">
        <f aca="false">IF(OR(CQ$4="",$B18=""),0,SUMIF('DADOS BRUTOS'!$A$3:$A$500,$B18,'DADOS BRUTOS'!Q$3:Q$500)+IF($C18="",0,SUMIF('DADOS BRUTOS'!$A$3:$A$500,$C18,'DADOS BRUTOS'!Q$3:Q$500)))</f>
        <v>0</v>
      </c>
      <c r="CR18" s="133" t="n">
        <f aca="false">IF(OR(CR$4="",$B18=""),0,SUMIF('DADOS BRUTOS'!$A$3:$A$500,$B18,'DADOS BRUTOS'!R$3:R$500)+IF($C18="",0,SUMIF('DADOS BRUTOS'!$A$3:$A$500,$C18,'DADOS BRUTOS'!R$3:R$500)))</f>
        <v>0</v>
      </c>
      <c r="CS18" s="133" t="n">
        <f aca="false">IF(OR(CS$4="",$B18=""),0,SUMIF('DADOS BRUTOS'!$A$3:$A$500,$B18,'DADOS BRUTOS'!S$3:S$500)+IF($C18="",0,SUMIF('DADOS BRUTOS'!$A$3:$A$500,$C18,'DADOS BRUTOS'!S$3:S$500)))</f>
        <v>0</v>
      </c>
      <c r="CT18" s="133" t="n">
        <f aca="false">IF(OR(CT$4="",$B18=""),0,SUMIF('DADOS BRUTOS'!$A$3:$A$500,$B18,'DADOS BRUTOS'!T$3:T$500)+IF($C18="",0,SUMIF('DADOS BRUTOS'!$A$3:$A$500,$C18,'DADOS BRUTOS'!T$3:T$500)))</f>
        <v>0</v>
      </c>
      <c r="CU18" s="133" t="n">
        <f aca="false">IF(OR(CU$4="",$B18=""),0,SUMIF('DADOS BRUTOS'!$A$3:$A$500,$B18,'DADOS BRUTOS'!U$3:U$500)+IF($C18="",0,SUMIF('DADOS BRUTOS'!$A$3:$A$500,$C18,'DADOS BRUTOS'!U$3:U$500)))</f>
        <v>0</v>
      </c>
      <c r="CV18" s="133" t="n">
        <f aca="false">IF(OR(CV$4="",$B18=""),0,SUMIF('DADOS BRUTOS'!$A$3:$A$500,$B18,'DADOS BRUTOS'!V$3:V$500)+IF($C18="",0,SUMIF('DADOS BRUTOS'!$A$3:$A$500,$C18,'DADOS BRUTOS'!V$3:V$500)))</f>
        <v>0</v>
      </c>
      <c r="CW18" s="133" t="n">
        <f aca="false">IF(OR(CW$4="",$B18=""),0,SUMIF('DADOS BRUTOS'!$A$3:$A$500,$B18,'DADOS BRUTOS'!W$3:W$500)+IF($C18="",0,SUMIF('DADOS BRUTOS'!$A$3:$A$500,$C18,'DADOS BRUTOS'!W$3:W$500)))</f>
        <v>0</v>
      </c>
      <c r="CX18" s="133" t="n">
        <f aca="false">IF(OR(CX$4="",$B18=""),0,SUMIF('DADOS BRUTOS'!$A$3:$A$500,$B18,'DADOS BRUTOS'!X$3:X$500)+IF($C18="",0,SUMIF('DADOS BRUTOS'!$A$3:$A$500,$C18,'DADOS BRUTOS'!X$3:X$500)))</f>
        <v>0</v>
      </c>
      <c r="CY18" s="133" t="n">
        <f aca="false">IF(OR(CY$4="",$B18=""),0,SUMIF('DADOS BRUTOS'!$A$3:$A$500,$B18,'DADOS BRUTOS'!Y$3:Y$500)+IF($C18="",0,SUMIF('DADOS BRUTOS'!$A$3:$A$500,$C18,'DADOS BRUTOS'!Y$3:Y$500)))</f>
        <v>0</v>
      </c>
      <c r="CZ18" s="133" t="n">
        <f aca="false">IF(OR(CZ$4="",$B18=""),0,SUMIF('DADOS BRUTOS'!$A$3:$A$500,$B18,'DADOS BRUTOS'!Z$3:Z$500)+IF($C18="",0,SUMIF('DADOS BRUTOS'!$A$3:$A$500,$C18,'DADOS BRUTOS'!Z$3:Z$500)))</f>
        <v>0</v>
      </c>
      <c r="DA18" s="133" t="n">
        <f aca="false">IF(OR(DA$4="",$B18=""),0,SUMIF('DADOS BRUTOS'!$A$3:$A$500,$B18,'DADOS BRUTOS'!AA$3:AA$500)+IF($C18="",0,SUMIF('DADOS BRUTOS'!$A$3:$A$500,$C18,'DADOS BRUTOS'!AA$3:AA$500)))</f>
        <v>0</v>
      </c>
      <c r="DB18" s="133" t="n">
        <f aca="false">IF(OR(DB$4="",$B18=""),0,SUMIF('DADOS BRUTOS'!$A$3:$A$500,$B18,'DADOS BRUTOS'!AB$3:AB$500)+IF($C18="",0,SUMIF('DADOS BRUTOS'!$A$3:$A$500,$C18,'DADOS BRUTOS'!AB$3:AB$500)))</f>
        <v>0</v>
      </c>
      <c r="DC18" s="133" t="n">
        <f aca="false">IF(OR(DC$4="",$B18=""),0,SUMIF('DADOS BRUTOS'!$A$3:$A$500,$B18,'DADOS BRUTOS'!AC$3:AC$500)+IF($C18="",0,SUMIF('DADOS BRUTOS'!$A$3:$A$500,$C18,'DADOS BRUTOS'!AC$3:AC$500)))</f>
        <v>686.62</v>
      </c>
      <c r="DD18" s="133" t="n">
        <f aca="false">IF(OR(DD$4="",$B18=""),0,SUMIF('DADOS BRUTOS'!$A$3:$A$500,$B18,'DADOS BRUTOS'!AD$3:AD$500)+IF($C18="",0,SUMIF('DADOS BRUTOS'!$A$3:$A$500,$C18,'DADOS BRUTOS'!AD$3:AD$500)))</f>
        <v>13178.37</v>
      </c>
      <c r="DE18" s="133" t="n">
        <f aca="false">IF(OR(DE$4="",$B18=""),0,SUMIF('DADOS BRUTOS'!$A$3:$A$500,$B18,'DADOS BRUTOS'!AE$3:AE$500)+IF($C18="",0,SUMIF('DADOS BRUTOS'!$A$3:$A$500,$C18,'DADOS BRUTOS'!AE$3:AE$500)))</f>
        <v>5833.37</v>
      </c>
      <c r="DF18" s="133" t="n">
        <f aca="false">IF(OR(DF$4="",$B18=""),0,SUMIF('DADOS BRUTOS'!$A$3:$A$500,$B18,'DADOS BRUTOS'!AF$3:AF$500)+IF($C18="",0,SUMIF('DADOS BRUTOS'!$A$3:$A$500,$C18,'DADOS BRUTOS'!AF$3:AF$500)))</f>
        <v>44548.17</v>
      </c>
      <c r="DG18" s="133" t="n">
        <f aca="false">IF(OR(DG$4="",$B18=""),0,SUMIF('DADOS BRUTOS'!$A$3:$A$500,$B18,'DADOS BRUTOS'!AG$3:AG$500)+IF($C18="",0,SUMIF('DADOS BRUTOS'!$A$3:$A$500,$C18,'DADOS BRUTOS'!AG$3:AG$500)))</f>
        <v>1107.36</v>
      </c>
      <c r="DH18" s="133" t="n">
        <f aca="false">IF(OR(DH$4="",$B18=""),0,SUMIF('DADOS BRUTOS'!$A$3:$A$500,$B18,'DADOS BRUTOS'!AH$3:AH$500)+IF($C18="",0,SUMIF('DADOS BRUTOS'!$A$3:$A$500,$C18,'DADOS BRUTOS'!AH$3:AH$500)))</f>
        <v>0</v>
      </c>
      <c r="DI18" s="133" t="n">
        <f aca="false">IF(OR(DI$4="",$B18=""),0,SUMIF('DADOS BRUTOS'!$A$3:$A$500,$B18,'DADOS BRUTOS'!AI$3:AI$500)+IF($C18="",0,SUMIF('DADOS BRUTOS'!$A$3:$A$500,$C18,'DADOS BRUTOS'!AI$3:AI$500)))</f>
        <v>1300</v>
      </c>
      <c r="DJ18" s="133" t="n">
        <f aca="false">IF(OR(DJ$4="",$B18=""),0,SUMIF('DADOS BRUTOS'!$A$3:$A$500,$B18,'DADOS BRUTOS'!AJ$3:AJ$500)+IF($C18="",0,SUMIF('DADOS BRUTOS'!$A$3:$A$500,$C18,'DADOS BRUTOS'!AJ$3:AJ$500)))</f>
        <v>0</v>
      </c>
      <c r="DK18" s="133" t="n">
        <f aca="false">IF(OR(DK$4="",$B18=""),0,SUMIF('DADOS BRUTOS'!$A$3:$A$500,$B18,'DADOS BRUTOS'!AK$3:AK$500)+IF($C18="",0,SUMIF('DADOS BRUTOS'!$A$3:$A$500,$C18,'DADOS BRUTOS'!AK$3:AK$500)))</f>
        <v>0</v>
      </c>
      <c r="DL18" s="133" t="n">
        <f aca="false">IF(OR(DL$4="",$B18=""),0,SUMIF('DADOS BRUTOS'!$A$3:$A$500,$B18,'DADOS BRUTOS'!AL$3:AL$500)+IF($C18="",0,SUMIF('DADOS BRUTOS'!$A$3:$A$500,$C18,'DADOS BRUTOS'!AL$3:AL$500)))</f>
        <v>0</v>
      </c>
      <c r="DM18" s="133" t="n">
        <f aca="false">IF(OR(DM$4="",$B18=""),0,SUMIF('DADOS BRUTOS'!$A$3:$A$500,$B18,'DADOS BRUTOS'!AM$3:AM$500)+IF($C18="",0,SUMIF('DADOS BRUTOS'!$A$3:$A$500,$C18,'DADOS BRUTOS'!AM$3:AM$500)))</f>
        <v>58031.16</v>
      </c>
      <c r="DN18" s="133" t="n">
        <f aca="false">IF(OR(DN$4="",$B18=""),0,SUMIF('DADOS BRUTOS'!$A$3:$A$500,$B18,'DADOS BRUTOS'!AN$3:AN$500)+IF($C18="",0,SUMIF('DADOS BRUTOS'!$A$3:$A$500,$C18,'DADOS BRUTOS'!AN$3:AN$500)))</f>
        <v>244429.38</v>
      </c>
      <c r="DO18" s="133" t="n">
        <f aca="false">IF(OR(DO$4="",$B18=""),0,SUMIF('DADOS BRUTOS'!$A$3:$A$500,$B18,'DADOS BRUTOS'!AO$3:AO$500)+IF($C18="",0,SUMIF('DADOS BRUTOS'!$A$3:$A$500,$C18,'DADOS BRUTOS'!AO$3:AO$500)))</f>
        <v>369031.98</v>
      </c>
      <c r="DP18" s="133" t="n">
        <f aca="false">IF(OR(DP$4="",$B18=""),0,SUMIF('DADOS BRUTOS'!$A$3:$A$500,$B18,'DADOS BRUTOS'!AP$3:AP$500)+IF($C18="",0,SUMIF('DADOS BRUTOS'!$A$3:$A$500,$C18,'DADOS BRUTOS'!AP$3:AP$500)))</f>
        <v>540521.81</v>
      </c>
      <c r="DQ18" s="133" t="n">
        <f aca="false">IF(OR(DQ$4="",$B18=""),0,SUMIF('DADOS BRUTOS'!$A$3:$A$500,$B18,'DADOS BRUTOS'!AQ$3:AQ$500)+IF($C18="",0,SUMIF('DADOS BRUTOS'!$A$3:$A$500,$C18,'DADOS BRUTOS'!AQ$3:AQ$500)))</f>
        <v>338988.81</v>
      </c>
      <c r="DR18" s="133" t="n">
        <f aca="false">IF(OR(DR$4="",$B18=""),0,SUMIF('DADOS BRUTOS'!$A$3:$A$500,$B18,'DADOS BRUTOS'!AR$3:AR$500)+IF($C18="",0,SUMIF('DADOS BRUTOS'!$A$3:$A$500,$C18,'DADOS BRUTOS'!AR$3:AR$500)))</f>
        <v>160988.83</v>
      </c>
      <c r="DS18" s="133" t="n">
        <f aca="false">IF(OR(DS$4="",$B18=""),0,SUMIF('DADOS BRUTOS'!$A$3:$A$500,$B18,'DADOS BRUTOS'!AS$3:AS$500)+IF($C18="",0,SUMIF('DADOS BRUTOS'!$A$3:$A$500,$C18,'DADOS BRUTOS'!AS$3:AS$500)))</f>
        <v>168047.95</v>
      </c>
      <c r="DT18" s="133" t="n">
        <f aca="false">IF(OR(DT$4="",$B18=""),0,SUMIF('DADOS BRUTOS'!$A$3:$A$500,$B18,'DADOS BRUTOS'!AT$3:AT$500)+IF($C18="",0,SUMIF('DADOS BRUTOS'!$A$3:$A$500,$C18,'DADOS BRUTOS'!AT$3:AT$500)))</f>
        <v>29778.78</v>
      </c>
      <c r="DU18" s="133" t="n">
        <f aca="false">IF(OR(DU$4="",$B18=""),0,SUMIF('DADOS BRUTOS'!$A$3:$A$500,$B18,'DADOS BRUTOS'!AU$3:AU$500)+IF($C18="",0,SUMIF('DADOS BRUTOS'!$A$3:$A$500,$C18,'DADOS BRUTOS'!AU$3:AU$500)))</f>
        <v>0</v>
      </c>
      <c r="DV18" s="133" t="n">
        <f aca="false">IF(OR(DV$4="",$B18=""),0,SUMIF('DADOS BRUTOS'!$A$3:$A$500,$B18,'DADOS BRUTOS'!AV$3:AV$500)+IF($C18="",0,SUMIF('DADOS BRUTOS'!$A$3:$A$500,$C18,'DADOS BRUTOS'!AV$3:AV$500)))</f>
        <v>0</v>
      </c>
      <c r="DW18" s="133" t="n">
        <f aca="false">IF(OR(DW$4="",$B18=""),0,SUMIF('DADOS BRUTOS'!$A$3:$A$500,$B18,'DADOS BRUTOS'!AW$3:AW$500)+IF($C18="",0,SUMIF('DADOS BRUTOS'!$A$3:$A$500,$C18,'DADOS BRUTOS'!AW$3:AW$500)))</f>
        <v>0</v>
      </c>
      <c r="DX18" s="133" t="n">
        <f aca="false">IF(OR(DX$4="",$B18=""),0,SUMIF('DADOS BRUTOS'!$A$3:$A$500,$B18,'DADOS BRUTOS'!AX$3:AX$500)+IF($C18="",0,SUMIF('DADOS BRUTOS'!$A$3:$A$500,$C18,'DADOS BRUTOS'!AX$3:AX$500)))</f>
        <v>0</v>
      </c>
      <c r="DY18" s="133" t="n">
        <f aca="false">IF(OR(DY$4="",$B18=""),0,SUMIF('DADOS BRUTOS'!$A$3:$A$500,$B18,'DADOS BRUTOS'!AY$3:AY$500)+IF($C18="",0,SUMIF('DADOS BRUTOS'!$A$3:$A$500,$C18,'DADOS BRUTOS'!AY$3:AY$500)))</f>
        <v>44436.66</v>
      </c>
      <c r="DZ18" s="133" t="n">
        <f aca="false">IF(OR(DZ$4="",$B18=""),0,SUMIF('DADOS BRUTOS'!$A$3:$A$500,$B18,'DADOS BRUTOS'!AZ$3:AZ$500)+IF($C18="",0,SUMIF('DADOS BRUTOS'!$A$3:$A$500,$C18,'DADOS BRUTOS'!AZ$3:AZ$500)))</f>
        <v>13562.69</v>
      </c>
      <c r="EA18" s="133" t="n">
        <f aca="false">IF(OR(EA$4="",$B18=""),0,SUMIF('DADOS BRUTOS'!$A$3:$A$500,$B18,'DADOS BRUTOS'!BA$3:BA$500)+IF($C18="",0,SUMIF('DADOS BRUTOS'!$A$3:$A$500,$C18,'DADOS BRUTOS'!BA$3:BA$500)))</f>
        <v>14325.63</v>
      </c>
      <c r="EB18" s="133" t="n">
        <f aca="false">IF(OR(EB$4="",$B18=""),0,SUMIF('DADOS BRUTOS'!$A$3:$A$500,$B18,'DADOS BRUTOS'!BB$3:BB$500)+IF($C18="",0,SUMIF('DADOS BRUTOS'!$A$3:$A$500,$C18,'DADOS BRUTOS'!BB$3:BB$500)))</f>
        <v>11354.11</v>
      </c>
      <c r="EC18" s="133" t="n">
        <f aca="false">IF(OR(EC$4="",$B18=""),0,SUMIF('DADOS BRUTOS'!$A$3:$A$500,$B18,'DADOS BRUTOS'!BC$3:BC$500)+IF($C18="",0,SUMIF('DADOS BRUTOS'!$A$3:$A$500,$C18,'DADOS BRUTOS'!BC$3:BC$500)))</f>
        <v>18991.44</v>
      </c>
      <c r="ED18" s="133" t="n">
        <f aca="false">IF(OR(ED$4="",$B18=""),0,SUMIF('DADOS BRUTOS'!$A$3:$A$500,$B18,'DADOS BRUTOS'!BD$3:BD$500)+IF($C18="",0,SUMIF('DADOS BRUTOS'!$A$3:$A$500,$C18,'DADOS BRUTOS'!BD$3:BD$500)))</f>
        <v>13096</v>
      </c>
      <c r="EE18" s="133" t="n">
        <f aca="false">IF(OR(EE$4="",$B18=""),0,SUMIF('DADOS BRUTOS'!$A$3:$A$500,$B18,'DADOS BRUTOS'!BE$3:BE$500)+IF($C18="",0,SUMIF('DADOS BRUTOS'!$A$3:$A$500,$C18,'DADOS BRUTOS'!BE$3:BE$500)))</f>
        <v>657.3</v>
      </c>
      <c r="EF18" s="133" t="n">
        <f aca="false">IF(OR(EF$4="",$B18=""),0,SUMIF('DADOS BRUTOS'!$A$3:$A$500,$B18,'DADOS BRUTOS'!BF$3:BF$500)+IF($C18="",0,SUMIF('DADOS BRUTOS'!$A$3:$A$500,$C18,'DADOS BRUTOS'!BF$3:BF$500)))</f>
        <v>0</v>
      </c>
      <c r="EG18" s="133" t="n">
        <f aca="false">IF(OR(EG$4="",$B18=""),0,SUMIF('DADOS BRUTOS'!$A$3:$A$500,$B18,'DADOS BRUTOS'!BG$3:BG$500)+IF($C18="",0,SUMIF('DADOS BRUTOS'!$A$3:$A$500,$C18,'DADOS BRUTOS'!BG$3:BG$500)))</f>
        <v>835.15</v>
      </c>
      <c r="EH18" s="133" t="n">
        <f aca="false">IF(OR(EH$4="",$B18=""),0,SUMIF('DADOS BRUTOS'!$A$3:$A$500,$B18,'DADOS BRUTOS'!BH$3:BH$500)+IF($C18="",0,SUMIF('DADOS BRUTOS'!$A$3:$A$500,$C18,'DADOS BRUTOS'!BH$3:BH$500)))</f>
        <v>0</v>
      </c>
      <c r="EI18" s="133" t="n">
        <f aca="false">IF(OR(EI$4="",$B18=""),0,SUMIF('DADOS BRUTOS'!$A$3:$A$500,$B18,'DADOS BRUTOS'!BI$3:BI$500)+IF($C18="",0,SUMIF('DADOS BRUTOS'!$A$3:$A$500,$C18,'DADOS BRUTOS'!BI$3:BI$500)))</f>
        <v>2789.42</v>
      </c>
      <c r="EJ18" s="133" t="n">
        <f aca="false">IF(OR(EJ$4="",$B18=""),0,SUMIF('DADOS BRUTOS'!$A$3:$A$500,$B18,'DADOS BRUTOS'!BJ$3:BJ$500)+IF($C18="",0,SUMIF('DADOS BRUTOS'!$A$3:$A$500,$C18,'DADOS BRUTOS'!BJ$3:BJ$500)))</f>
        <v>0</v>
      </c>
      <c r="EK18" s="133" t="n">
        <f aca="false">IF(OR(EK$4="",$B18=""),0,SUMIF('DADOS BRUTOS'!$A$3:$A$500,$B18,'DADOS BRUTOS'!BK$3:BK$500)+IF($C18="",0,SUMIF('DADOS BRUTOS'!$A$3:$A$500,$C18,'DADOS BRUTOS'!BK$3:BK$500)))</f>
        <v>0</v>
      </c>
      <c r="EL18" s="133" t="n">
        <f aca="false">IF(OR(EL$4="",$B18=""),0,SUMIF('DADOS BRUTOS'!$A$3:$A$500,$B18,'DADOS BRUTOS'!BL$3:BL$500)+IF($C18="",0,SUMIF('DADOS BRUTOS'!$A$3:$A$500,$C18,'DADOS BRUTOS'!BL$3:BL$500)))</f>
        <v>0</v>
      </c>
      <c r="EM18" s="133" t="n">
        <f aca="false">IF(OR(EM$4="",$B18=""),0,SUMIF('DADOS BRUTOS'!$A$3:$A$500,$B18,'DADOS BRUTOS'!BM$3:BM$500)+IF($C18="",0,SUMIF('DADOS BRUTOS'!$A$3:$A$500,$C18,'DADOS BRUTOS'!BM$3:BM$500)))</f>
        <v>0</v>
      </c>
      <c r="EN18" s="133" t="n">
        <f aca="false">IF(OR(EN$4="",$B18=""),0,SUMIF('DADOS BRUTOS'!$A$3:$A$500,$B18,'DADOS BRUTOS'!BN$3:BN$500)+IF($C18="",0,SUMIF('DADOS BRUTOS'!$A$3:$A$500,$C18,'DADOS BRUTOS'!BN$3:BN$500)))</f>
        <v>0</v>
      </c>
      <c r="EO18" s="133" t="n">
        <f aca="false">IF(OR(EO$4="",$B18=""),0,SUMIF('DADOS BRUTOS'!$A$3:$A$500,$B18,'DADOS BRUTOS'!BO$3:BO$500)+IF($C18="",0,SUMIF('DADOS BRUTOS'!$A$3:$A$500,$C18,'DADOS BRUTOS'!BO$3:BO$500)))</f>
        <v>0</v>
      </c>
      <c r="EP18" s="133" t="n">
        <f aca="false">IF(OR(EP$4="",$B18=""),0,SUMIF('DADOS BRUTOS'!$A$3:$A$500,$B18,'DADOS BRUTOS'!BP$3:BP$500)+IF($C18="",0,SUMIF('DADOS BRUTOS'!$A$3:$A$500,$C18,'DADOS BRUTOS'!BP$3:BP$500)))</f>
        <v>0</v>
      </c>
      <c r="EQ18" s="133" t="n">
        <f aca="false">IF(OR(EQ$4="",$B18=""),0,SUMIF('DADOS BRUTOS'!$A$3:$A$500,$B18,'DADOS BRUTOS'!BQ$3:BQ$500)+IF($C18="",0,SUMIF('DADOS BRUTOS'!$A$3:$A$500,$C18,'DADOS BRUTOS'!BQ$3:BQ$500)))</f>
        <v>0</v>
      </c>
      <c r="ER18" s="133" t="n">
        <f aca="false">IF(OR(ER$4="",$B18=""),0,SUMIF('DADOS BRUTOS'!$A$3:$A$500,$B18,'DADOS BRUTOS'!BR$3:BR$500)+IF($C18="",0,SUMIF('DADOS BRUTOS'!$A$3:$A$500,$C18,'DADOS BRUTOS'!BR$3:BR$500)))</f>
        <v>0</v>
      </c>
      <c r="ES18" s="133" t="n">
        <f aca="false">IF(OR(ES$4="",$B18=""),0,SUMIF('DADOS BRUTOS'!$A$3:$A$500,$B18,'DADOS BRUTOS'!BS$3:BS$500)+IF($C18="",0,SUMIF('DADOS BRUTOS'!$A$3:$A$500,$C18,'DADOS BRUTOS'!BS$3:BS$500)))</f>
        <v>0</v>
      </c>
      <c r="ET18" s="133" t="n">
        <f aca="false">IF(OR(ET$4="",$B18=""),0,SUMIF('DADOS BRUTOS'!$A$3:$A$500,$B18,'DADOS BRUTOS'!BT$3:BT$500)+IF($C18="",0,SUMIF('DADOS BRUTOS'!$A$3:$A$500,$C18,'DADOS BRUTOS'!BT$3:BT$500)))</f>
        <v>0</v>
      </c>
      <c r="EU18" s="133" t="n">
        <f aca="false">IF(OR(EU$4="",$B18=""),0,SUMIF('DADOS BRUTOS'!$A$3:$A$500,$B18,'DADOS BRUTOS'!BU$3:BU$500)+IF($C18="",0,SUMIF('DADOS BRUTOS'!$A$3:$A$500,$C18,'DADOS BRUTOS'!BU$3:BU$500)))</f>
        <v>0</v>
      </c>
      <c r="EV18" s="133" t="n">
        <f aca="false">IF(OR(EV$4="",$B18=""),0,SUMIF('DADOS BRUTOS'!$A$3:$A$500,$B18,'DADOS BRUTOS'!BV$3:BV$500)+IF($C18="",0,SUMIF('DADOS BRUTOS'!$A$3:$A$500,$C18,'DADOS BRUTOS'!BV$3:BV$500)))</f>
        <v>0</v>
      </c>
      <c r="EW18" s="133" t="n">
        <f aca="false">IF(OR(EW$4="",$B18=""),0,SUMIF('DADOS BRUTOS'!$A$3:$A$500,$B18,'DADOS BRUTOS'!BW$3:BW$500)+IF($C18="",0,SUMIF('DADOS BRUTOS'!$A$3:$A$500,$C18,'DADOS BRUTOS'!BW$3:BW$500)))</f>
        <v>0</v>
      </c>
      <c r="EX18" s="133" t="n">
        <f aca="false">IF(OR(EX$4="",$B18=""),0,SUMIF('DADOS BRUTOS'!$A$3:$A$500,$B18,'DADOS BRUTOS'!BX$3:BX$500)+IF($C18="",0,SUMIF('DADOS BRUTOS'!$A$3:$A$500,$C18,'DADOS BRUTOS'!BX$3:BX$500)))</f>
        <v>0</v>
      </c>
      <c r="EY18" s="133" t="n">
        <f aca="false">IF(OR(EY$4="",$B18=""),0,SUMIF('DADOS BRUTOS'!$A$3:$A$500,$B18,'DADOS BRUTOS'!BY$3:BY$500)+IF($C18="",0,SUMIF('DADOS BRUTOS'!$A$3:$A$500,$C18,'DADOS BRUTOS'!BY$3:BY$500)))</f>
        <v>0</v>
      </c>
      <c r="EZ18" s="133" t="n">
        <f aca="false">IF(OR(EZ$4="",$B18=""),0,SUMIF('DADOS BRUTOS'!$A$3:$A$500,$B18,'DADOS BRUTOS'!BZ$3:BZ$500)+IF($C18="",0,SUMIF('DADOS BRUTOS'!$A$3:$A$500,$C18,'DADOS BRUTOS'!BZ$3:BZ$500)))</f>
        <v>0</v>
      </c>
      <c r="FA18" s="133" t="n">
        <f aca="false">IF(OR(FA$4="",$B18=""),0,SUMIF('DADOS BRUTOS'!$A$3:$A$500,$B18,'DADOS BRUTOS'!CA$3:CA$500)+IF($C18="",0,SUMIF('DADOS BRUTOS'!$A$3:$A$500,$C18,'DADOS BRUTOS'!CA$3:CA$500)))</f>
        <v>0</v>
      </c>
      <c r="FB18" s="133" t="n">
        <f aca="false">IF(OR(FB$4="",$B18=""),0,SUMIF('DADOS BRUTOS'!$A$3:$A$500,$B18,'DADOS BRUTOS'!CB$3:CB$500)+IF($C18="",0,SUMIF('DADOS BRUTOS'!$A$3:$A$500,$C18,'DADOS BRUTOS'!CB$3:CB$500)))</f>
        <v>0</v>
      </c>
      <c r="FC18" s="133" t="n">
        <f aca="false">IF(OR(FC$4="",$B18=""),0,SUMIF('DADOS BRUTOS'!$A$3:$A$500,$B18,'DADOS BRUTOS'!CC$3:CC$500)+IF($C18="",0,SUMIF('DADOS BRUTOS'!$A$3:$A$500,$C18,'DADOS BRUTOS'!CC$3:CC$500)))</f>
        <v>0</v>
      </c>
      <c r="FD18" s="133" t="n">
        <f aca="false">IF(OR(FD$4="",$B18=""),0,SUMIF('DADOS BRUTOS'!$A$3:$A$500,$B18,'DADOS BRUTOS'!CD$3:CD$500)+IF($C18="",0,SUMIF('DADOS BRUTOS'!$A$3:$A$500,$C18,'DADOS BRUTOS'!CD$3:CD$500)))</f>
        <v>0</v>
      </c>
      <c r="FE18" s="133" t="n">
        <f aca="false">IF(OR(FE$4="",$B18=""),0,SUMIF('DADOS BRUTOS'!$A$3:$A$500,$B18,'DADOS BRUTOS'!CE$3:CE$500)+IF($C18="",0,SUMIF('DADOS BRUTOS'!$A$3:$A$500,$C18,'DADOS BRUTOS'!CE$3:CE$500)))</f>
        <v>0</v>
      </c>
      <c r="FF18" s="133" t="n">
        <f aca="false">IF(OR(FF$4="",$B18=""),0,SUMIF('DADOS BRUTOS'!$A$3:$A$500,$B18,'DADOS BRUTOS'!CF$3:CF$500)+IF($C18="",0,SUMIF('DADOS BRUTOS'!$A$3:$A$500,$C18,'DADOS BRUTOS'!CF$3:CF$500)))</f>
        <v>0</v>
      </c>
      <c r="FG18" s="133" t="n">
        <f aca="false">IF(OR(FG$4="",$B18=""),0,SUMIF('DADOS BRUTOS'!$A$3:$A$500,$B18,'DADOS BRUTOS'!CG$3:CG$500)+IF($C18="",0,SUMIF('DADOS BRUTOS'!$A$3:$A$500,$C18,'DADOS BRUTOS'!CG$3:CG$500)))</f>
        <v>0</v>
      </c>
      <c r="FH18" s="133" t="n">
        <f aca="false">IF(OR(FH$4="",$B18=""),0,SUMIF('DADOS BRUTOS'!$A$3:$A$500,$B18,'DADOS BRUTOS'!CH$3:CH$500)+IF($C18="",0,SUMIF('DADOS BRUTOS'!$A$3:$A$500,$C18,'DADOS BRUTOS'!CH$3:CH$500)))</f>
        <v>0</v>
      </c>
      <c r="FI18" s="133" t="n">
        <f aca="false">IF(OR(FI$4="",$B18=""),0,SUMIF('DADOS BRUTOS'!$A$3:$A$500,$B18,'DADOS BRUTOS'!CI$3:CI$500)+IF($C18="",0,SUMIF('DADOS BRUTOS'!$A$3:$A$500,$C18,'DADOS BRUTOS'!CI$3:CI$500)))</f>
        <v>0</v>
      </c>
      <c r="FJ18" s="133" t="n">
        <f aca="false">IF(OR(FJ$4="",$B18=""),0,SUMIF('DADOS BRUTOS'!$A$3:$A$500,$B18,'DADOS BRUTOS'!CJ$3:CJ$500)+IF($C18="",0,SUMIF('DADOS BRUTOS'!$A$3:$A$500,$C18,'DADOS BRUTOS'!CJ$3:CJ$500)))</f>
        <v>0</v>
      </c>
      <c r="FK18" s="133" t="n">
        <f aca="false">IF(OR(FK$4="",$B18=""),0,SUMIF('DADOS BRUTOS'!$A$3:$A$500,$B18,'DADOS BRUTOS'!CK$3:CK$500)+IF($C18="",0,SUMIF('DADOS BRUTOS'!$A$3:$A$500,$C18,'DADOS BRUTOS'!CK$3:CK$500)))</f>
        <v>0</v>
      </c>
      <c r="FL18" s="133" t="n">
        <f aca="false">IF(OR(FL$4="",$B18=""),0,SUMIF('DADOS BRUTOS'!$A$3:$A$500,$B18,'DADOS BRUTOS'!CL$3:CL$500)+IF($C18="",0,SUMIF('DADOS BRUTOS'!$A$3:$A$500,$C18,'DADOS BRUTOS'!CL$3:CL$500)))</f>
        <v>0</v>
      </c>
      <c r="FM18" s="133" t="n">
        <f aca="false">IF(OR(FM$4="",$B18=""),0,SUMIF('DADOS BRUTOS'!$A$3:$A$500,$B18,'DADOS BRUTOS'!CM$3:CM$500)+IF($C18="",0,SUMIF('DADOS BRUTOS'!$A$3:$A$500,$C18,'DADOS BRUTOS'!CM$3:CM$500)))</f>
        <v>0</v>
      </c>
      <c r="FN18" s="133" t="n">
        <f aca="false">IF(OR(FN$4="",$B18=""),0,SUMIF('DADOS BRUTOS'!$A$3:$A$500,$B18,'DADOS BRUTOS'!CN$3:CN$500)+IF($C18="",0,SUMIF('DADOS BRUTOS'!$A$3:$A$500,$C18,'DADOS BRUTOS'!CN$3:CN$500)))</f>
        <v>0</v>
      </c>
      <c r="FO18" s="133" t="n">
        <f aca="false">IF(OR(FO$4="",$B18=""),0,SUMIF('DADOS BRUTOS'!$A$3:$A$500,$B18,'DADOS BRUTOS'!CO$3:CO$500)+IF($C18="",0,SUMIF('DADOS BRUTOS'!$A$3:$A$500,$C18,'DADOS BRUTOS'!CO$3:CO$500)))</f>
        <v>0</v>
      </c>
      <c r="FP18" s="133" t="n">
        <f aca="false">IF(OR(FP$4="",$B18=""),0,SUMIF('DADOS BRUTOS'!$A$3:$A$500,$B18,'DADOS BRUTOS'!CP$3:CP$500)+IF($C18="",0,SUMIF('DADOS BRUTOS'!$A$3:$A$500,$C18,'DADOS BRUTOS'!CP$3:CP$500)))</f>
        <v>0</v>
      </c>
      <c r="FQ18" s="133" t="n">
        <f aca="false">IF(OR(FQ$4="",$B18=""),0,SUMIF('DADOS BRUTOS'!$A$3:$A$500,$B18,'DADOS BRUTOS'!CQ$3:CQ$500)+IF($C18="",0,SUMIF('DADOS BRUTOS'!$A$3:$A$500,$C18,'DADOS BRUTOS'!CQ$3:CQ$500)))</f>
        <v>0</v>
      </c>
      <c r="FR18" s="133" t="n">
        <f aca="false">IF(OR(FR$4="",$B18=""),0,SUMIF('DADOS BRUTOS'!$A$3:$A$500,$B18,'DADOS BRUTOS'!CR$3:CR$500)+IF($C18="",0,SUMIF('DADOS BRUTOS'!$A$3:$A$500,$C18,'DADOS BRUTOS'!CR$3:CR$500)))</f>
        <v>0</v>
      </c>
      <c r="FS18" s="133" t="n">
        <f aca="false">IF(OR(FS$4="",$B18=""),0,SUMIF('DADOS BRUTOS'!$A$3:$A$500,$B18,'DADOS BRUTOS'!CS$3:CS$500)+IF($C18="",0,SUMIF('DADOS BRUTOS'!$A$3:$A$500,$C18,'DADOS BRUTOS'!CS$3:CS$500)))</f>
        <v>0</v>
      </c>
      <c r="FT18" s="133" t="n">
        <f aca="false">IF(OR(FT$4="",$B18=""),0,SUMIF('DADOS BRUTOS'!$A$3:$A$500,$B18,'DADOS BRUTOS'!CT$3:CT$500)+IF($C18="",0,SUMIF('DADOS BRUTOS'!$A$3:$A$500,$C18,'DADOS BRUTOS'!CT$3:CT$500)))</f>
        <v>0</v>
      </c>
      <c r="FU18" s="133" t="n">
        <f aca="false">IF(OR(FU$4="",$B18=""),0,SUMIF('DADOS BRUTOS'!$A$3:$A$500,$B18,'DADOS BRUTOS'!CU$3:CU$500)+IF($C18="",0,SUMIF('DADOS BRUTOS'!$A$3:$A$500,$C18,'DADOS BRUTOS'!CU$3:CU$500)))</f>
        <v>0</v>
      </c>
      <c r="FV18" s="133" t="n">
        <f aca="false">IF(OR(FV$4="",$B18=""),0,SUMIF('DADOS BRUTOS'!$A$3:$A$500,$B18,'DADOS BRUTOS'!CV$3:CV$500)+IF($C18="",0,SUMIF('DADOS BRUTOS'!$A$3:$A$500,$C18,'DADOS BRUTOS'!CV$3:CV$500)))</f>
        <v>0</v>
      </c>
      <c r="FW18" s="133" t="n">
        <f aca="false">IF(OR(FW$4="",$B18=""),0,SUMIF('DADOS BRUTOS'!$A$3:$A$500,$B18,'DADOS BRUTOS'!CW$3:CW$500)+IF($C18="",0,SUMIF('DADOS BRUTOS'!$A$3:$A$500,$C18,'DADOS BRUTOS'!CW$3:CW$500)))</f>
        <v>0</v>
      </c>
      <c r="FX18" s="133" t="n">
        <f aca="false">IF(OR(FX$4="",$B18=""),0,SUMIF('DADOS BRUTOS'!$A$3:$A$500,$B18,'DADOS BRUTOS'!CX$3:CX$500)+IF($C18="",0,SUMIF('DADOS BRUTOS'!$A$3:$A$500,$C18,'DADOS BRUTOS'!CX$3:CX$500)))</f>
        <v>0</v>
      </c>
      <c r="FY18" s="133" t="n">
        <f aca="false">IF(OR(FY$4="",$B18=""),0,SUMIF('DADOS BRUTOS'!$A$3:$A$500,$B18,'DADOS BRUTOS'!CY$3:CY$500)+IF($C18="",0,SUMIF('DADOS BRUTOS'!$A$3:$A$500,$C18,'DADOS BRUTOS'!CY$3:CY$500)))</f>
        <v>0</v>
      </c>
      <c r="FZ18" s="133" t="n">
        <f aca="false">IF(OR(FZ$4="",$B18=""),0,SUMIF('DADOS BRUTOS'!$A$3:$A$500,$B18,'DADOS BRUTOS'!CZ$3:CZ$500)+IF($C18="",0,SUMIF('DADOS BRUTOS'!$A$3:$A$500,$C18,'DADOS BRUTOS'!CZ$3:CZ$500)))</f>
        <v>0</v>
      </c>
      <c r="GA18" s="133" t="n">
        <f aca="false">IF(OR(GA$4="",$B18=""),0,SUMIF('DADOS BRUTOS'!$A$3:$A$500,$B18,'DADOS BRUTOS'!DA$3:DA$500)+IF($C18="",0,SUMIF('DADOS BRUTOS'!$A$3:$A$500,$C18,'DADOS BRUTOS'!DA$3:DA$500)))</f>
        <v>0</v>
      </c>
      <c r="GB18" s="133" t="n">
        <f aca="false">IF(OR(GB$4="",$B18=""),0,SUMIF('DADOS BRUTOS'!$A$3:$A$500,$B18,'DADOS BRUTOS'!DB$3:DB$500)+IF($C18="",0,SUMIF('DADOS BRUTOS'!$A$3:$A$500,$C18,'DADOS BRUTOS'!DB$3:DB$500)))</f>
        <v>0</v>
      </c>
      <c r="GC18" s="133" t="n">
        <f aca="false">IF(OR(GC$4="",$B18=""),0,SUMIF('DADOS BRUTOS'!$A$3:$A$500,$B18,'DADOS BRUTOS'!DC$3:DC$500)+IF($C18="",0,SUMIF('DADOS BRUTOS'!$A$3:$A$500,$C18,'DADOS BRUTOS'!DC$3:DC$500)))</f>
        <v>0</v>
      </c>
      <c r="GD18" s="133" t="n">
        <f aca="false">IF(OR(GD$4="",$B18=""),0,SUMIF('DADOS BRUTOS'!$A$3:$A$500,$B18,'DADOS BRUTOS'!DD$3:DD$500)+IF($C18="",0,SUMIF('DADOS BRUTOS'!$A$3:$A$500,$C18,'DADOS BRUTOS'!DD$3:DD$500)))</f>
        <v>0</v>
      </c>
      <c r="GE18" s="133" t="n">
        <f aca="false">IF(OR(GE$4="",$B18=""),0,SUMIF('DADOS BRUTOS'!$A$3:$A$500,$B18,'DADOS BRUTOS'!DE$3:DE$500)+IF($C18="",0,SUMIF('DADOS BRUTOS'!$A$3:$A$500,$C18,'DADOS BRUTOS'!DE$3:DE$500)))</f>
        <v>0</v>
      </c>
      <c r="GF18" s="133" t="n">
        <f aca="false">IF(OR(GF$4="",$B18=""),0,SUMIF('DADOS BRUTOS'!$A$3:$A$500,$B18,'DADOS BRUTOS'!DF$3:DF$500)+IF($C18="",0,SUMIF('DADOS BRUTOS'!$A$3:$A$500,$C18,'DADOS BRUTOS'!DF$3:DF$500)))</f>
        <v>0</v>
      </c>
      <c r="GG18" s="133" t="n">
        <f aca="false">IF(OR(GG$4="",$B18=""),0,SUMIF('DADOS BRUTOS'!$A$3:$A$500,$B18,'DADOS BRUTOS'!DG$3:DG$500)+IF($C18="",0,SUMIF('DADOS BRUTOS'!$A$3:$A$500,$C18,'DADOS BRUTOS'!DG$3:DG$500)))</f>
        <v>0</v>
      </c>
      <c r="GH18" s="133" t="n">
        <f aca="false">IF(OR(GH$4="",$B18=""),0,SUMIF('DADOS BRUTOS'!$A$3:$A$500,$B18,'DADOS BRUTOS'!DH$3:DH$500)+IF($C18="",0,SUMIF('DADOS BRUTOS'!$A$3:$A$500,$C18,'DADOS BRUTOS'!DH$3:DH$500)))</f>
        <v>0</v>
      </c>
      <c r="GI18" s="133" t="n">
        <f aca="false">IF(OR(GI$4="",$B18=""),0,SUMIF('DADOS BRUTOS'!$A$3:$A$500,$B18,'DADOS BRUTOS'!DI$3:DI$500)+IF($C18="",0,SUMIF('DADOS BRUTOS'!$A$3:$A$500,$C18,'DADOS BRUTOS'!DI$3:DI$500)))</f>
        <v>0</v>
      </c>
      <c r="GJ18" s="133" t="n">
        <f aca="false">IF(OR(GJ$4="",$B18=""),0,SUMIF('DADOS BRUTOS'!$A$3:$A$500,$B18,'DADOS BRUTOS'!DJ$3:DJ$500)+IF($C18="",0,SUMIF('DADOS BRUTOS'!$A$3:$A$500,$C18,'DADOS BRUTOS'!DJ$3:DJ$500)))</f>
        <v>0</v>
      </c>
      <c r="GK18" s="133" t="n">
        <f aca="false">IF(OR(GK$4="",$B18=""),0,SUMIF('DADOS BRUTOS'!$A$3:$A$500,$B18,'DADOS BRUTOS'!DK$3:DK$500)+IF($C18="",0,SUMIF('DADOS BRUTOS'!$A$3:$A$500,$C18,'DADOS BRUTOS'!DK$3:DK$500)))</f>
        <v>0</v>
      </c>
      <c r="GL18" s="133" t="n">
        <f aca="false">IF(OR(GL$4="",$B18=""),0,SUMIF('DADOS BRUTOS'!$A$3:$A$500,$B18,'DADOS BRUTOS'!DL$3:DL$500)+IF($C18="",0,SUMIF('DADOS BRUTOS'!$A$3:$A$500,$C18,'DADOS BRUTOS'!DL$3:DL$500)))</f>
        <v>0</v>
      </c>
      <c r="GM18" s="133" t="n">
        <f aca="false">IF(OR(GM$4="",$B18=""),0,SUMIF('DADOS BRUTOS'!$A$3:$A$500,$B18,'DADOS BRUTOS'!DM$3:DM$500)+IF($C18="",0,SUMIF('DADOS BRUTOS'!$A$3:$A$500,$C18,'DADOS BRUTOS'!DM$3:DM$500)))</f>
        <v>0</v>
      </c>
      <c r="GN18" s="133" t="n">
        <f aca="false">IF(OR(GN$4="",$B18=""),0,SUMIF('DADOS BRUTOS'!$A$3:$A$500,$B18,'DADOS BRUTOS'!DN$3:DN$500)+IF($C18="",0,SUMIF('DADOS BRUTOS'!$A$3:$A$500,$C18,'DADOS BRUTOS'!DN$3:DN$500)))</f>
        <v>0</v>
      </c>
      <c r="GO18" s="133" t="n">
        <f aca="false">IF(OR(GO$4="",$B18=""),0,SUMIF('DADOS BRUTOS'!$A$3:$A$500,$B18,'DADOS BRUTOS'!DO$3:DO$500)+IF($C18="",0,SUMIF('DADOS BRUTOS'!$A$3:$A$500,$C18,'DADOS BRUTOS'!DO$3:DO$500)))</f>
        <v>0</v>
      </c>
      <c r="GP18" s="133" t="n">
        <f aca="false">IF(OR(GP$4="",$B18=""),0,SUMIF('DADOS BRUTOS'!$A$3:$A$500,$B18,'DADOS BRUTOS'!DP$3:DP$500)+IF($C18="",0,SUMIF('DADOS BRUTOS'!$A$3:$A$500,$C18,'DADOS BRUTOS'!DP$3:DP$500)))</f>
        <v>0</v>
      </c>
      <c r="GQ18" s="133" t="n">
        <f aca="false">IF(OR(GQ$4="",$B18=""),0,SUMIF('DADOS BRUTOS'!$A$3:$A$500,$B18,'DADOS BRUTOS'!DQ$3:DQ$500)+IF($C18="",0,SUMIF('DADOS BRUTOS'!$A$3:$A$500,$C18,'DADOS BRUTOS'!DQ$3:DQ$500)))</f>
        <v>0</v>
      </c>
      <c r="GR18" s="133" t="n">
        <f aca="false">IF(OR(GR$4="",$B18=""),0,SUMIF('DADOS BRUTOS'!$A$3:$A$500,$B18,'DADOS BRUTOS'!DR$3:DR$500)+IF($C18="",0,SUMIF('DADOS BRUTOS'!$A$3:$A$500,$C18,'DADOS BRUTOS'!DR$3:DR$500)))</f>
        <v>0</v>
      </c>
      <c r="GS18" s="133" t="n">
        <f aca="false">IF(OR(GS$4="",$B18=""),0,SUMIF('DADOS BRUTOS'!$A$3:$A$500,$B18,'DADOS BRUTOS'!DS$3:DS$500)+IF($C18="",0,SUMIF('DADOS BRUTOS'!$A$3:$A$500,$C18,'DADOS BRUTOS'!DS$3:DS$500)))</f>
        <v>0</v>
      </c>
      <c r="GT18" s="133" t="n">
        <f aca="false">IF(OR(GT$4="",$B18=""),0,SUMIF('DADOS BRUTOS'!$A$3:$A$500,$B18,'DADOS BRUTOS'!DT$3:DT$500)+IF($C18="",0,SUMIF('DADOS BRUTOS'!$A$3:$A$500,$C18,'DADOS BRUTOS'!DT$3:DT$500)))</f>
        <v>0</v>
      </c>
      <c r="GU18" s="133" t="n">
        <f aca="false">IF(OR(GU$4="",$B18=""),0,SUMIF('DADOS BRUTOS'!$A$3:$A$500,$B18,'DADOS BRUTOS'!DU$3:DU$500)+IF($C18="",0,SUMIF('DADOS BRUTOS'!$A$3:$A$500,$C18,'DADOS BRUTOS'!DU$3:DU$500)))</f>
        <v>0</v>
      </c>
      <c r="GV18" s="133" t="n">
        <f aca="false">IF(OR(GV$4="",$B18=""),0,SUMIF('DADOS BRUTOS'!$A$3:$A$500,$B18,'DADOS BRUTOS'!DV$3:DV$500)+IF($C18="",0,SUMIF('DADOS BRUTOS'!$A$3:$A$500,$C18,'DADOS BRUTOS'!DV$3:DV$500)))</f>
        <v>0</v>
      </c>
      <c r="GW18" s="133" t="n">
        <f aca="false">IF(OR(GW$4="",$B18=""),0,SUMIF('DADOS BRUTOS'!$A$3:$A$500,$B18,'DADOS BRUTOS'!DW$3:DW$500)+IF($C18="",0,SUMIF('DADOS BRUTOS'!$A$3:$A$500,$C18,'DADOS BRUTOS'!DW$3:DW$500)))</f>
        <v>0</v>
      </c>
      <c r="GX18" s="133" t="n">
        <f aca="false">IF(OR(GX$4="",$B18=""),0,SUMIF('DADOS BRUTOS'!$A$3:$A$500,$B18,'DADOS BRUTOS'!DX$3:DX$500)+IF($C18="",0,SUMIF('DADOS BRUTOS'!$A$3:$A$500,$C18,'DADOS BRUTOS'!DX$3:DX$500)))</f>
        <v>0</v>
      </c>
      <c r="GY18" s="133" t="n">
        <f aca="false">IF(OR(GY$4="",$B18=""),0,SUMIF('DADOS BRUTOS'!$A$3:$A$500,$B18,'DADOS BRUTOS'!DY$3:DY$500)+IF($C18="",0,SUMIF('DADOS BRUTOS'!$A$3:$A$500,$C18,'DADOS BRUTOS'!DY$3:DY$500)))</f>
        <v>0</v>
      </c>
      <c r="GZ18" s="133" t="n">
        <f aca="false">IF(OR(GZ$4="",$B18=""),0,SUMIF('DADOS BRUTOS'!$A$3:$A$500,$B18,'DADOS BRUTOS'!DZ$3:DZ$500)+IF($C18="",0,SUMIF('DADOS BRUTOS'!$A$3:$A$500,$C18,'DADOS BRUTOS'!DZ$3:DZ$500)))</f>
        <v>0</v>
      </c>
      <c r="HA18" s="133" t="n">
        <f aca="false">IF(OR(HA$4="",$B18=""),0,SUMIF('DADOS BRUTOS'!$A$3:$A$500,$B18,'DADOS BRUTOS'!EA$3:EA$500)+IF($C18="",0,SUMIF('DADOS BRUTOS'!$A$3:$A$500,$C18,'DADOS BRUTOS'!EA$3:EA$500)))</f>
        <v>0</v>
      </c>
      <c r="HB18" s="133" t="n">
        <f aca="false">IF(OR(HB$4="",$B18=""),0,SUMIF('DADOS BRUTOS'!$A$3:$A$500,$B18,'DADOS BRUTOS'!EB$3:EB$500)+IF($C18="",0,SUMIF('DADOS BRUTOS'!$A$3:$A$500,$C18,'DADOS BRUTOS'!EB$3:EB$500)))</f>
        <v>0</v>
      </c>
      <c r="HC18" s="133" t="n">
        <f aca="false">IF(OR(HC$4="",$B18=""),0,SUMIF('DADOS BRUTOS'!$A$3:$A$500,$B18,'DADOS BRUTOS'!EC$3:EC$500)+IF($C18="",0,SUMIF('DADOS BRUTOS'!$A$3:$A$500,$C18,'DADOS BRUTOS'!EC$3:EC$500)))</f>
        <v>0</v>
      </c>
      <c r="HD18" s="133" t="n">
        <f aca="false">IF(OR(HD$4="",$B18=""),0,SUMIF('DADOS BRUTOS'!$A$3:$A$500,$B18,'DADOS BRUTOS'!ED$3:ED$500)+IF($C18="",0,SUMIF('DADOS BRUTOS'!$A$3:$A$500,$C18,'DADOS BRUTOS'!ED$3:ED$500)))</f>
        <v>0</v>
      </c>
      <c r="HE18" s="133" t="n">
        <f aca="false">IF(OR(HE$4="",$B18=""),0,SUMIF('DADOS BRUTOS'!$A$3:$A$500,$B18,'DADOS BRUTOS'!EE$3:EE$500)+IF($C18="",0,SUMIF('DADOS BRUTOS'!$A$3:$A$500,$C18,'DADOS BRUTOS'!EE$3:EE$500)))</f>
        <v>0</v>
      </c>
      <c r="HF18" s="133" t="n">
        <f aca="false">IF(OR(HF$4="",$B18=""),0,SUMIF('DADOS BRUTOS'!$A$3:$A$500,$B18,'DADOS BRUTOS'!EF$3:EF$500)+IF($C18="",0,SUMIF('DADOS BRUTOS'!$A$3:$A$500,$C18,'DADOS BRUTOS'!EF$3:EF$500)))</f>
        <v>0</v>
      </c>
      <c r="HG18" s="133" t="n">
        <f aca="false">IF(OR(HG$4="",$B18=""),0,SUMIF('DADOS BRUTOS'!$A$3:$A$500,$B18,'DADOS BRUTOS'!EG$3:EG$500)+IF($C18="",0,SUMIF('DADOS BRUTOS'!$A$3:$A$500,$C18,'DADOS BRUTOS'!EG$3:EG$500)))</f>
        <v>0</v>
      </c>
      <c r="HH18" s="133" t="n">
        <f aca="false">IF(OR(HH$4="",$B18=""),0,SUMIF('DADOS BRUTOS'!$A$3:$A$500,$B18,'DADOS BRUTOS'!EH$3:EH$500)+IF($C18="",0,SUMIF('DADOS BRUTOS'!$A$3:$A$500,$C18,'DADOS BRUTOS'!EH$3:EH$500)))</f>
        <v>0</v>
      </c>
      <c r="HI18" s="133" t="n">
        <f aca="false">IF(OR(HI$4="",$B18=""),0,SUMIF('DADOS BRUTOS'!$A$3:$A$500,$B18,'DADOS BRUTOS'!EI$3:EI$500)+IF($C18="",0,SUMIF('DADOS BRUTOS'!$A$3:$A$500,$C18,'DADOS BRUTOS'!EI$3:EI$500)))</f>
        <v>0</v>
      </c>
      <c r="HJ18" s="133" t="n">
        <f aca="false">IF(OR(HJ$4="",$B18=""),0,SUMIF('DADOS BRUTOS'!$A$3:$A$500,$B18,'DADOS BRUTOS'!EJ$3:EJ$500)+IF($C18="",0,SUMIF('DADOS BRUTOS'!$A$3:$A$500,$C18,'DADOS BRUTOS'!EJ$3:EJ$500)))</f>
        <v>0</v>
      </c>
      <c r="HK18" s="133" t="n">
        <f aca="false">IF(OR(HK$4="",$B18=""),0,SUMIF('DADOS BRUTOS'!$A$3:$A$500,$B18,'DADOS BRUTOS'!EK$3:EK$500)+IF($C18="",0,SUMIF('DADOS BRUTOS'!$A$3:$A$500,$C18,'DADOS BRUTOS'!EK$3:EK$500)))</f>
        <v>0</v>
      </c>
      <c r="HL18" s="133" t="n">
        <f aca="false">IF(OR(HL$4="",$B18=""),0,SUMIF('DADOS BRUTOS'!$A$3:$A$500,$B18,'DADOS BRUTOS'!EL$3:EL$500)+IF($C18="",0,SUMIF('DADOS BRUTOS'!$A$3:$A$500,$C18,'DADOS BRUTOS'!EL$3:EL$500)))</f>
        <v>0</v>
      </c>
      <c r="HM18" s="133" t="n">
        <f aca="false">IF(OR(HM$4="",$B18=""),0,SUMIF('DADOS BRUTOS'!$A$3:$A$500,$B18,'DADOS BRUTOS'!EM$3:EM$500)+IF($C18="",0,SUMIF('DADOS BRUTOS'!$A$3:$A$500,$C18,'DADOS BRUTOS'!EM$3:EM$500)))</f>
        <v>0</v>
      </c>
      <c r="HN18" s="133" t="n">
        <f aca="false">IF(OR(HN$4="",$B18=""),0,SUMIF('DADOS BRUTOS'!$A$3:$A$500,$B18,'DADOS BRUTOS'!EN$3:EN$500)+IF($C18="",0,SUMIF('DADOS BRUTOS'!$A$3:$A$500,$C18,'DADOS BRUTOS'!EN$3:EN$500)))</f>
        <v>0</v>
      </c>
      <c r="HO18" s="133" t="n">
        <f aca="false">IF(OR(HO$4="",$B18=""),0,SUMIF('DADOS BRUTOS'!$A$3:$A$500,$B18,'DADOS BRUTOS'!EO$3:EO$500)+IF($C18="",0,SUMIF('DADOS BRUTOS'!$A$3:$A$500,$C18,'DADOS BRUTOS'!EO$3:EO$500)))</f>
        <v>0</v>
      </c>
      <c r="HP18" s="133" t="n">
        <f aca="false">IF(OR(HP$4="",$B18=""),0,SUMIF('DADOS BRUTOS'!$A$3:$A$500,$B18,'DADOS BRUTOS'!EP$3:EP$500)+IF($C18="",0,SUMIF('DADOS BRUTOS'!$A$3:$A$500,$C18,'DADOS BRUTOS'!EP$3:EP$500)))</f>
        <v>0</v>
      </c>
      <c r="HQ18" s="133" t="n">
        <f aca="false">IF(OR(HQ$4="",$B18=""),0,SUMIF('DADOS BRUTOS'!$A$3:$A$500,$B18,'DADOS BRUTOS'!EQ$3:EQ$500)+IF($C18="",0,SUMIF('DADOS BRUTOS'!$A$3:$A$500,$C18,'DADOS BRUTOS'!EQ$3:EQ$500)))</f>
        <v>0</v>
      </c>
      <c r="HR18" s="133" t="n">
        <f aca="false">IF(OR(HR$4="",$B18=""),0,SUMIF('DADOS BRUTOS'!$A$3:$A$500,$B18,'DADOS BRUTOS'!ER$3:ER$500)+IF($C18="",0,SUMIF('DADOS BRUTOS'!$A$3:$A$500,$C18,'DADOS BRUTOS'!ER$3:ER$500)))</f>
        <v>0</v>
      </c>
      <c r="HS18" s="133" t="n">
        <f aca="false">IF(OR(HS$4="",$B18=""),0,SUMIF('DADOS BRUTOS'!$A$3:$A$500,$B18,'DADOS BRUTOS'!ES$3:ES$500)+IF($C18="",0,SUMIF('DADOS BRUTOS'!$A$3:$A$500,$C18,'DADOS BRUTOS'!ES$3:ES$500)))</f>
        <v>0</v>
      </c>
      <c r="HT18" s="133" t="n">
        <f aca="false">IF(OR(HT$4="",$B18=""),0,SUMIF('DADOS BRUTOS'!$A$3:$A$500,$B18,'DADOS BRUTOS'!ET$3:ET$500)+IF($C18="",0,SUMIF('DADOS BRUTOS'!$A$3:$A$500,$C18,'DADOS BRUTOS'!ET$3:ET$500)))</f>
        <v>0</v>
      </c>
      <c r="HU18" s="133" t="n">
        <f aca="false">IF(OR(HU$4="",$B18=""),0,SUMIF('DADOS BRUTOS'!$A$3:$A$500,$B18,'DADOS BRUTOS'!EU$3:EU$500)+IF($C18="",0,SUMIF('DADOS BRUTOS'!$A$3:$A$500,$C18,'DADOS BRUTOS'!EU$3:EU$500)))</f>
        <v>0</v>
      </c>
      <c r="HV18" s="133" t="n">
        <f aca="false">IF(OR(HV$4="",$B18=""),0,SUMIF('DADOS BRUTOS'!$A$3:$A$500,$B18,'DADOS BRUTOS'!EV$3:EV$500)+IF($C18="",0,SUMIF('DADOS BRUTOS'!$A$3:$A$500,$C18,'DADOS BRUTOS'!EV$3:EV$500)))</f>
        <v>0</v>
      </c>
      <c r="HW18" s="133" t="n">
        <f aca="false">IF(OR(HW$4="",$B18=""),0,SUMIF('DADOS BRUTOS'!$A$3:$A$500,$B18,'DADOS BRUTOS'!EW$3:EW$500)+IF($C18="",0,SUMIF('DADOS BRUTOS'!$A$3:$A$500,$C18,'DADOS BRUTOS'!EW$3:EW$500)))</f>
        <v>0</v>
      </c>
      <c r="HX18" s="133" t="n">
        <f aca="false">IF(OR(HX$4="",$B18=""),0,SUMIF('DADOS BRUTOS'!$A$3:$A$500,$B18,'DADOS BRUTOS'!EX$3:EX$500)+IF($C18="",0,SUMIF('DADOS BRUTOS'!$A$3:$A$500,$C18,'DADOS BRUTOS'!EX$3:EX$500)))</f>
        <v>0</v>
      </c>
      <c r="HY18" s="133" t="n">
        <f aca="false">IF(OR(HY$4="",$B18=""),0,SUMIF('DADOS BRUTOS'!$A$3:$A$500,$B18,'DADOS BRUTOS'!EY$3:EY$500)+IF($C18="",0,SUMIF('DADOS BRUTOS'!$A$3:$A$500,$C18,'DADOS BRUTOS'!EY$3:EY$500)))</f>
        <v>0</v>
      </c>
      <c r="HZ18" s="133" t="n">
        <f aca="false">IF(OR(HZ$4="",$B18=""),0,SUMIF('DADOS BRUTOS'!$A$3:$A$500,$B18,'DADOS BRUTOS'!EZ$3:EZ$500)+IF($C18="",0,SUMIF('DADOS BRUTOS'!$A$3:$A$500,$C18,'DADOS BRUTOS'!EZ$3:EZ$500)))</f>
        <v>0</v>
      </c>
      <c r="IA18" s="133" t="n">
        <f aca="false">IF(OR(IA$4="",$B18=""),0,SUMIF('DADOS BRUTOS'!$A$3:$A$500,$B18,'DADOS BRUTOS'!FA$3:FA$500)+IF($C18="",0,SUMIF('DADOS BRUTOS'!$A$3:$A$500,$C18,'DADOS BRUTOS'!FA$3:FA$500)))</f>
        <v>0</v>
      </c>
      <c r="IB18" s="133" t="n">
        <f aca="false">IF(OR(IB$4="",$B18=""),0,SUMIF('DADOS BRUTOS'!$A$3:$A$500,$B18,'DADOS BRUTOS'!FB$3:FB$500)+IF($C18="",0,SUMIF('DADOS BRUTOS'!$A$3:$A$500,$C18,'DADOS BRUTOS'!FB$3:FB$500)))</f>
        <v>0</v>
      </c>
      <c r="IC18" s="133" t="n">
        <f aca="false">IF(OR(IC$4="",$B18=""),0,SUMIF('DADOS BRUTOS'!$A$3:$A$500,$B18,'DADOS BRUTOS'!FC$3:FC$500)+IF($C18="",0,SUMIF('DADOS BRUTOS'!$A$3:$A$500,$C18,'DADOS BRUTOS'!FC$3:FC$500)))</f>
        <v>0</v>
      </c>
      <c r="ID18" s="133" t="n">
        <f aca="false">IF(OR(ID$4="",$B18=""),0,SUMIF('DADOS BRUTOS'!$A$3:$A$500,$B18,'DADOS BRUTOS'!FD$3:FD$500)+IF($C18="",0,SUMIF('DADOS BRUTOS'!$A$3:$A$500,$C18,'DADOS BRUTOS'!FD$3:FD$500)))</f>
        <v>0</v>
      </c>
      <c r="IE18" s="133" t="n">
        <f aca="false">IF(OR(IE$4="",$B18=""),0,SUMIF('DADOS BRUTOS'!$A$3:$A$500,$B18,'DADOS BRUTOS'!FE$3:FE$500)+IF($C18="",0,SUMIF('DADOS BRUTOS'!$A$3:$A$500,$C18,'DADOS BRUTOS'!FE$3:FE$500)))</f>
        <v>0</v>
      </c>
      <c r="IF18" s="133" t="n">
        <f aca="false">IF(OR(IF$4="",$B18=""),0,SUMIF('DADOS BRUTOS'!$A$3:$A$500,$B18,'DADOS BRUTOS'!FF$3:FF$500)+IF($C18="",0,SUMIF('DADOS BRUTOS'!$A$3:$A$500,$C18,'DADOS BRUTOS'!FF$3:FF$500)))</f>
        <v>0</v>
      </c>
      <c r="IG18" s="133" t="n">
        <f aca="false">IF(OR(IG$4="",$B18=""),0,SUMIF('DADOS BRUTOS'!$A$3:$A$500,$B18,'DADOS BRUTOS'!FG$3:FG$500)+IF($C18="",0,SUMIF('DADOS BRUTOS'!$A$3:$A$500,$C18,'DADOS BRUTOS'!FG$3:FG$500)))</f>
        <v>0</v>
      </c>
      <c r="IH18" s="133" t="n">
        <f aca="false">IF(OR(IH$4="",$B18=""),0,SUMIF('DADOS BRUTOS'!$A$3:$A$500,$B18,'DADOS BRUTOS'!FH$3:FH$500)+IF($C18="",0,SUMIF('DADOS BRUTOS'!$A$3:$A$500,$C18,'DADOS BRUTOS'!FH$3:FH$500)))</f>
        <v>0</v>
      </c>
      <c r="II18" s="133" t="n">
        <f aca="false">IF(OR(II$4="",$B18=""),0,SUMIF('DADOS BRUTOS'!$A$3:$A$500,$B18,'DADOS BRUTOS'!FI$3:FI$500)+IF($C18="",0,SUMIF('DADOS BRUTOS'!$A$3:$A$500,$C18,'DADOS BRUTOS'!FI$3:FI$500)))</f>
        <v>0</v>
      </c>
      <c r="IJ18" s="133" t="n">
        <f aca="false">IF(OR(IJ$4="",$B18=""),0,SUMIF('DADOS BRUTOS'!$A$3:$A$500,$B18,'DADOS BRUTOS'!FJ$3:FJ$500)+IF($C18="",0,SUMIF('DADOS BRUTOS'!$A$3:$A$500,$C18,'DADOS BRUTOS'!FJ$3:FJ$500)))</f>
        <v>0</v>
      </c>
      <c r="IK18" s="133" t="n">
        <f aca="false">IF(OR(IK$4="",$B18=""),0,SUMIF('DADOS BRUTOS'!$A$3:$A$500,$B18,'DADOS BRUTOS'!FK$3:FK$500)+IF($C18="",0,SUMIF('DADOS BRUTOS'!$A$3:$A$500,$C18,'DADOS BRUTOS'!FK$3:FK$500)))</f>
        <v>0</v>
      </c>
      <c r="IL18" s="133" t="n">
        <f aca="false">IF(OR(IL$4="",$B18=""),0,SUMIF('DADOS BRUTOS'!$A$3:$A$500,$B18,'DADOS BRUTOS'!FL$3:FL$500)+IF($C18="",0,SUMIF('DADOS BRUTOS'!$A$3:$A$500,$C18,'DADOS BRUTOS'!FL$3:FL$500)))</f>
        <v>0</v>
      </c>
      <c r="IM18" s="133" t="n">
        <f aca="false">IF(OR(IM$4="",$B18=""),0,SUMIF('DADOS BRUTOS'!$A$3:$A$500,$B18,'DADOS BRUTOS'!FM$3:FM$500)+IF($C18="",0,SUMIF('DADOS BRUTOS'!$A$3:$A$500,$C18,'DADOS BRUTOS'!FM$3:FM$500)))</f>
        <v>0</v>
      </c>
      <c r="IN18" s="133" t="n">
        <f aca="false">IF(OR(IN$4="",$B18=""),0,SUMIF('DADOS BRUTOS'!$A$3:$A$500,$B18,'DADOS BRUTOS'!FN$3:FN$500)+IF($C18="",0,SUMIF('DADOS BRUTOS'!$A$3:$A$500,$C18,'DADOS BRUTOS'!FN$3:FN$500)))</f>
        <v>0</v>
      </c>
      <c r="IO18" s="133" t="n">
        <f aca="false">IF(OR(IO$4="",$B18=""),0,SUMIF('DADOS BRUTOS'!$A$3:$A$500,$B18,'DADOS BRUTOS'!FO$3:FO$500)+IF($C18="",0,SUMIF('DADOS BRUTOS'!$A$3:$A$500,$C18,'DADOS BRUTOS'!FO$3:FO$500)))</f>
        <v>0</v>
      </c>
      <c r="IP18" s="133" t="n">
        <f aca="false">IF(OR(IP$4="",$B18=""),0,SUMIF('DADOS BRUTOS'!$A$3:$A$500,$B18,'DADOS BRUTOS'!FP$3:FP$500)+IF($C18="",0,SUMIF('DADOS BRUTOS'!$A$3:$A$500,$C18,'DADOS BRUTOS'!FP$3:FP$500)))</f>
        <v>0</v>
      </c>
      <c r="IQ18" s="133" t="n">
        <f aca="false">IF(OR(IQ$4="",$B18=""),0,SUMIF('DADOS BRUTOS'!$A$3:$A$500,$B18,'DADOS BRUTOS'!FQ$3:FQ$500)+IF($C18="",0,SUMIF('DADOS BRUTOS'!$A$3:$A$500,$C18,'DADOS BRUTOS'!FQ$3:FQ$500)))</f>
        <v>0</v>
      </c>
      <c r="IR18" s="133" t="n">
        <f aca="false">IF(OR(IR$4="",$B18=""),0,SUMIF('DADOS BRUTOS'!$A$3:$A$500,$B18,'DADOS BRUTOS'!FR$3:FR$500)+IF($C18="",0,SUMIF('DADOS BRUTOS'!$A$3:$A$500,$C18,'DADOS BRUTOS'!FR$3:FR$500)))</f>
        <v>0</v>
      </c>
      <c r="IS18" s="133" t="n">
        <f aca="false">IF(OR(IS$4="",$B18=""),0,SUMIF('DADOS BRUTOS'!$A$3:$A$500,$B18,'DADOS BRUTOS'!FS$3:FS$500)+IF($C18="",0,SUMIF('DADOS BRUTOS'!$A$3:$A$500,$C18,'DADOS BRUTOS'!FS$3:FS$500)))</f>
        <v>0</v>
      </c>
      <c r="IT18" s="133" t="n">
        <f aca="false">IF(OR(IT$4="",$B18=""),0,SUMIF('DADOS BRUTOS'!$A$3:$A$500,$B18,'DADOS BRUTOS'!FT$3:FT$500)+IF($C18="",0,SUMIF('DADOS BRUTOS'!$A$3:$A$500,$C18,'DADOS BRUTOS'!FT$3:FT$500)))</f>
        <v>0</v>
      </c>
      <c r="IU18" s="133" t="n">
        <f aca="false">IF(OR(IU$4="",$B18=""),0,SUMIF('DADOS BRUTOS'!$A$3:$A$500,$B18,'DADOS BRUTOS'!FU$3:FU$500)+IF($C18="",0,SUMIF('DADOS BRUTOS'!$A$3:$A$500,$C18,'DADOS BRUTOS'!FU$3:FU$500)))</f>
        <v>0</v>
      </c>
      <c r="IV18" s="133" t="n">
        <f aca="false">IF(OR(IV$4="",$B18=""),0,SUMIF('DADOS BRUTOS'!$A$3:$A$500,$B18,'DADOS BRUTOS'!FV$3:FV$500)+IF($C18="",0,SUMIF('DADOS BRUTOS'!$A$3:$A$500,$C18,'DADOS BRUTOS'!FV$3:FV$500)))</f>
        <v>0</v>
      </c>
      <c r="IW18" s="133" t="n">
        <f aca="false">IF(OR(IW$4="",$B18=""),0,SUMIF('DADOS BRUTOS'!$A$3:$A$500,$B18,'DADOS BRUTOS'!FW$3:FW$500)+IF($C18="",0,SUMIF('DADOS BRUTOS'!$A$3:$A$500,$C18,'DADOS BRUTOS'!FW$3:FW$500)))</f>
        <v>0</v>
      </c>
      <c r="IX18" s="133" t="n">
        <f aca="false">IF(OR(IX$4="",$B18=""),0,SUMIF('DADOS BRUTOS'!$A$3:$A$500,$B18,'DADOS BRUTOS'!FX$3:FX$500)+IF($C18="",0,SUMIF('DADOS BRUTOS'!$A$3:$A$500,$C18,'DADOS BRUTOS'!FX$3:FX$500)))</f>
        <v>0</v>
      </c>
      <c r="IY18" s="133" t="n">
        <f aca="false">IF(OR(IY$4="",$B18=""),0,SUMIF('DADOS BRUTOS'!$A$3:$A$500,$B18,'DADOS BRUTOS'!FY$3:FY$500)+IF($C18="",0,SUMIF('DADOS BRUTOS'!$A$3:$A$500,$C18,'DADOS BRUTOS'!FY$3:FY$500)))</f>
        <v>0</v>
      </c>
      <c r="IZ18" s="133" t="n">
        <f aca="false">IF(OR(IZ$4="",$B18=""),0,SUMIF('DADOS BRUTOS'!$A$3:$A$500,$B18,'DADOS BRUTOS'!FZ$3:FZ$500)+IF($C18="",0,SUMIF('DADOS BRUTOS'!$A$3:$A$500,$C18,'DADOS BRUTOS'!FZ$3:FZ$500)))</f>
        <v>0</v>
      </c>
      <c r="JA18" s="133" t="n">
        <f aca="false">IF(OR(JA$4="",$B18=""),0,SUMIF('DADOS BRUTOS'!$A$3:$A$500,$B18,'DADOS BRUTOS'!GA$3:GA$500)+IF($C18="",0,SUMIF('DADOS BRUTOS'!$A$3:$A$500,$C18,'DADOS BRUTOS'!GA$3:GA$500)))</f>
        <v>0</v>
      </c>
      <c r="JB18" s="133" t="n">
        <f aca="false">IF(OR(JB$4="",$B18=""),0,SUMIF('DADOS BRUTOS'!$A$3:$A$500,$B18,'DADOS BRUTOS'!GB$3:GB$500)+IF($C18="",0,SUMIF('DADOS BRUTOS'!$A$3:$A$500,$C18,'DADOS BRUTOS'!GB$3:GB$500)))</f>
        <v>0</v>
      </c>
      <c r="JC18" s="133" t="n">
        <f aca="false">IF(OR(JC$4="",$B18=""),0,SUMIF('DADOS BRUTOS'!$A$3:$A$500,$B18,'DADOS BRUTOS'!GC$3:GC$500)+IF($C18="",0,SUMIF('DADOS BRUTOS'!$A$3:$A$500,$C18,'DADOS BRUTOS'!GC$3:GC$500)))</f>
        <v>0</v>
      </c>
      <c r="JD18" s="133" t="n">
        <f aca="false">IF(OR(JD$4="",$B18=""),0,SUMIF('DADOS BRUTOS'!$A$3:$A$500,$B18,'DADOS BRUTOS'!GD$3:GD$500)+IF($C18="",0,SUMIF('DADOS BRUTOS'!$A$3:$A$500,$C18,'DADOS BRUTOS'!GD$3:GD$500)))</f>
        <v>0</v>
      </c>
      <c r="JE18" s="133" t="n">
        <f aca="false">IF(OR(JE$4="",$B18=""),0,SUMIF('DADOS BRUTOS'!$A$3:$A$500,$B18,'DADOS BRUTOS'!GE$3:GE$500)+IF($C18="",0,SUMIF('DADOS BRUTOS'!$A$3:$A$500,$C18,'DADOS BRUTOS'!GE$3:GE$500)))</f>
        <v>0</v>
      </c>
      <c r="JF18" s="133" t="n">
        <f aca="false">IF(OR(JF$4="",$B18=""),0,SUMIF('DADOS BRUTOS'!$A$3:$A$500,$B18,'DADOS BRUTOS'!GF$3:GF$500)+IF($C18="",0,SUMIF('DADOS BRUTOS'!$A$3:$A$500,$C18,'DADOS BRUTOS'!GF$3:GF$500)))</f>
        <v>0</v>
      </c>
      <c r="JG18" s="133" t="n">
        <f aca="false">IF(OR(JG$4="",$B18=""),0,SUMIF('DADOS BRUTOS'!$A$3:$A$500,$B18,'DADOS BRUTOS'!GG$3:GG$500)+IF($C18="",0,SUMIF('DADOS BRUTOS'!$A$3:$A$500,$C18,'DADOS BRUTOS'!GG$3:GG$500)))</f>
        <v>0</v>
      </c>
      <c r="JH18" s="133" t="n">
        <f aca="false">IF(OR(JH$4="",$B18=""),0,SUMIF('DADOS BRUTOS'!$A$3:$A$500,$B18,'DADOS BRUTOS'!GH$3:GH$500)+IF($C18="",0,SUMIF('DADOS BRUTOS'!$A$3:$A$500,$C18,'DADOS BRUTOS'!GH$3:GH$500)))</f>
        <v>0</v>
      </c>
      <c r="JI18" s="133" t="n">
        <f aca="false">IF(OR(JI$4="",$B18=""),0,SUMIF('DADOS BRUTOS'!$A$3:$A$500,$B18,'DADOS BRUTOS'!GI$3:GI$500)+IF($C18="",0,SUMIF('DADOS BRUTOS'!$A$3:$A$500,$C18,'DADOS BRUTOS'!GI$3:GI$500)))</f>
        <v>0</v>
      </c>
      <c r="JJ18" s="133" t="n">
        <f aca="false">IF(OR(JJ$4="",$B18=""),0,SUMIF('DADOS BRUTOS'!$A$3:$A$500,$B18,'DADOS BRUTOS'!GJ$3:GJ$500)+IF($C18="",0,SUMIF('DADOS BRUTOS'!$A$3:$A$500,$C18,'DADOS BRUTOS'!GJ$3:GJ$500)))</f>
        <v>0</v>
      </c>
      <c r="JK18" s="133" t="n">
        <f aca="false">IF(OR(JK$4="",$B18=""),0,SUMIF('DADOS BRUTOS'!$A$3:$A$500,$B18,'DADOS BRUTOS'!GK$3:GK$500)+IF($C18="",0,SUMIF('DADOS BRUTOS'!$A$3:$A$500,$C18,'DADOS BRUTOS'!GK$3:GK$500)))</f>
        <v>0</v>
      </c>
      <c r="JL18" s="133" t="n">
        <f aca="false">IF(OR(JL$4="",$B18=""),0,SUMIF('DADOS BRUTOS'!$A$3:$A$500,$B18,'DADOS BRUTOS'!GL$3:GL$500)+IF($C18="",0,SUMIF('DADOS BRUTOS'!$A$3:$A$500,$C18,'DADOS BRUTOS'!GL$3:GL$500)))</f>
        <v>0</v>
      </c>
      <c r="JM18" s="133" t="n">
        <f aca="false">IF(OR(JM$4="",$B18=""),0,SUMIF('DADOS BRUTOS'!$A$3:$A$500,$B18,'DADOS BRUTOS'!GM$3:GM$500)+IF($C18="",0,SUMIF('DADOS BRUTOS'!$A$3:$A$500,$C18,'DADOS BRUTOS'!GM$3:GM$500)))</f>
        <v>0</v>
      </c>
      <c r="JN18" s="133" t="n">
        <f aca="false">IF(OR(JN$4="",$B18=""),0,SUMIF('DADOS BRUTOS'!$A$3:$A$500,$B18,'DADOS BRUTOS'!GN$3:GN$500)+IF($C18="",0,SUMIF('DADOS BRUTOS'!$A$3:$A$500,$C18,'DADOS BRUTOS'!GN$3:GN$500)))</f>
        <v>0</v>
      </c>
      <c r="JO18" s="133" t="n">
        <f aca="false">IF(OR(JO$4="",$B18=""),0,SUMIF('DADOS BRUTOS'!$A$3:$A$500,$B18,'DADOS BRUTOS'!GO$3:GO$500)+IF($C18="",0,SUMIF('DADOS BRUTOS'!$A$3:$A$500,$C18,'DADOS BRUTOS'!GO$3:GO$500)))</f>
        <v>0</v>
      </c>
      <c r="JP18" s="133" t="n">
        <f aca="false">IF(OR(JP$4="",$B18=""),0,SUMIF('DADOS BRUTOS'!$A$3:$A$500,$B18,'DADOS BRUTOS'!GP$3:GP$500)+IF($C18="",0,SUMIF('DADOS BRUTOS'!$A$3:$A$500,$C18,'DADOS BRUTOS'!GP$3:GP$500)))</f>
        <v>0</v>
      </c>
      <c r="JQ18" s="133" t="n">
        <f aca="false">IF(OR(JQ$4="",$B18=""),0,SUMIF('DADOS BRUTOS'!$A$3:$A$500,$B18,'DADOS BRUTOS'!GQ$3:GQ$500)+IF($C18="",0,SUMIF('DADOS BRUTOS'!$A$3:$A$500,$C18,'DADOS BRUTOS'!GQ$3:GQ$500)))</f>
        <v>0</v>
      </c>
      <c r="JR18" s="133" t="n">
        <f aca="false">IF(OR(JR$4="",$B18=""),0,SUMIF('DADOS BRUTOS'!$A$3:$A$500,$B18,'DADOS BRUTOS'!GR$3:GR$500)+IF($C18="",0,SUMIF('DADOS BRUTOS'!$A$3:$A$500,$C18,'DADOS BRUTOS'!GR$3:GR$500)))</f>
        <v>0</v>
      </c>
      <c r="JS18" s="133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187028.3</v>
      </c>
      <c r="E19" s="50" t="n">
        <f aca="false">SUMIF($CB$4:$JS$4,E$4,$CB19:$JS19)</f>
        <v>0</v>
      </c>
      <c r="F19" s="50" t="n">
        <f aca="false">SUMIF($CB$4:$JS$4,F$4,$CB19:$JS19)</f>
        <v>0</v>
      </c>
      <c r="G19" s="50" t="n">
        <f aca="false">SUMIF($CB$4:$JS$4,G$4,$CB19:$JS19)</f>
        <v>970</v>
      </c>
      <c r="H19" s="50" t="n">
        <f aca="false">SUMIF($CB$4:$JS$4,H$4,$CB19:$JS19)</f>
        <v>47804</v>
      </c>
      <c r="I19" s="50" t="n">
        <f aca="false">SUMIF($CB$4:$JS$4,I$4,$CB19:$JS19)</f>
        <v>294931.18</v>
      </c>
      <c r="J19" s="50" t="n">
        <f aca="false">SUMIF($CB$4:$JS$4,J$4,$CB19:$JS19)</f>
        <v>291652.53</v>
      </c>
      <c r="K19" s="50" t="n">
        <f aca="false">SUMIF($CB$4:$JS$4,K$4,$CB19:$JS19)</f>
        <v>759436.3</v>
      </c>
      <c r="L19" s="50" t="n">
        <f aca="false">SUMIF($CB$4:$JS$4,L$4,$CB19:$JS19)</f>
        <v>665952.26</v>
      </c>
      <c r="M19" s="50" t="n">
        <f aca="false">SUMIF($CB$4:$JS$4,M$4,$CB19:$JS19)</f>
        <v>1223686.02</v>
      </c>
      <c r="N19" s="50" t="n">
        <f aca="false">SUMIF($CB$4:$JS$4,N$4,$CB19:$JS19)</f>
        <v>942534.48</v>
      </c>
      <c r="O19" s="50" t="n">
        <f aca="false">SUMIF($CB$4:$JS$4,O$4,$CB19:$JS19)</f>
        <v>446747.23</v>
      </c>
      <c r="P19" s="50" t="n">
        <f aca="false">SUMIF($CB$4:$JS$4,P$4,$CB19:$JS19)</f>
        <v>31432.02</v>
      </c>
      <c r="Q19" s="50" t="n">
        <f aca="false">SUMIF($CB$4:$JS$4,Q$4,$CB19:$JS19)</f>
        <v>15362.5</v>
      </c>
      <c r="R19" s="50" t="n">
        <f aca="false">SUMIF($CB$4:$JS$4,R$4,$CB19:$JS19)</f>
        <v>4557</v>
      </c>
      <c r="S19" s="50" t="n">
        <f aca="false">SUMIF($CB$4:$JS$4,S$4,$CB19:$JS19)</f>
        <v>0</v>
      </c>
      <c r="T19" s="50" t="n">
        <f aca="false">SUMIF($CB$4:$JS$4,T$4,$CB19:$JS19)</f>
        <v>22570.21</v>
      </c>
      <c r="U19" s="50" t="n">
        <f aca="false">SUMIF($CB$4:$JS$4,U$4,$CB19:$JS19)</f>
        <v>0</v>
      </c>
      <c r="V19" s="50" t="n">
        <f aca="false">SUMIF($CB$4:$JS$4,V$4,$CB19:$JS19)</f>
        <v>28521.92</v>
      </c>
      <c r="W19" s="50" t="n">
        <f aca="false">SUMIF($CB$4:$JS$4,W$4,$CB19:$JS19)</f>
        <v>19057.7</v>
      </c>
      <c r="X19" s="50" t="n">
        <f aca="false">SUMIF($CB$4:$JS$4,X$4,$CB19:$JS19)</f>
        <v>0</v>
      </c>
      <c r="Y19" s="50" t="n">
        <f aca="false">SUMIF($CB$4:$JS$4,Y$4,$CB19:$JS19)</f>
        <v>4000</v>
      </c>
      <c r="Z19" s="50" t="n">
        <f aca="false">SUMIF($CB$4:$JS$4,Z$4,$CB19:$JS19)</f>
        <v>0</v>
      </c>
      <c r="AA19" s="50" t="n">
        <f aca="false">SUMIF($CB$4:$JS$4,AA$4,$CB19:$JS19)</f>
        <v>0</v>
      </c>
      <c r="AB19" s="50" t="n">
        <f aca="false">SUMIF($CB$4:$JS$4,AB$4,$CB19:$JS19)</f>
        <v>402.83</v>
      </c>
      <c r="AC19" s="50" t="n">
        <f aca="false">SUMIF($CB$4:$JS$4,AC$4,$CB19:$JS19)</f>
        <v>0</v>
      </c>
      <c r="AD19" s="50" t="n">
        <f aca="false">SUMIF($CB$4:$JS$4,AD$4,$CB19:$JS19)</f>
        <v>0</v>
      </c>
      <c r="AE19" s="50" t="n">
        <f aca="false">SUMIF($CB$4:$JS$4,AE$4,$CB19:$JS19)</f>
        <v>12016.19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1367.1</v>
      </c>
      <c r="AU19" s="50" t="n">
        <f aca="false">SUMIF($CB$4:$JS$4,AU$4,$CB19:$JS19)</f>
        <v>0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5000029.77</v>
      </c>
      <c r="BZ19" s="45" t="n">
        <f aca="false">SUMPRODUCT(($CB$4:$JS$4&lt;&gt;"")*($CB$4:$JS$4&lt;=$D$4),$CB19:$JS19,$CB$1:$JS$1)</f>
        <v>164.967872781245</v>
      </c>
      <c r="CB19" s="133" t="n">
        <f aca="false">IF(OR(CB$4="",$B19=""),0,SUMIF('DADOS BRUTOS'!$A$3:$A$500,$B19,'DADOS BRUTOS'!B$3:B$500)+IF($C19="",0,SUMIF('DADOS BRUTOS'!$A$3:$A$500,$C19,'DADOS BRUTOS'!B$3:B$500)))</f>
        <v>0</v>
      </c>
      <c r="CC19" s="133" t="n">
        <f aca="false">IF(OR(CC$4="",$B19=""),0,SUMIF('DADOS BRUTOS'!$A$3:$A$500,$B19,'DADOS BRUTOS'!C$3:C$500)+IF($C19="",0,SUMIF('DADOS BRUTOS'!$A$3:$A$500,$C19,'DADOS BRUTOS'!C$3:C$500)))</f>
        <v>0</v>
      </c>
      <c r="CD19" s="133" t="n">
        <f aca="false">IF(OR(CD$4="",$B19=""),0,SUMIF('DADOS BRUTOS'!$A$3:$A$500,$B19,'DADOS BRUTOS'!D$3:D$500)+IF($C19="",0,SUMIF('DADOS BRUTOS'!$A$3:$A$500,$C19,'DADOS BRUTOS'!D$3:D$500)))</f>
        <v>0</v>
      </c>
      <c r="CE19" s="133" t="n">
        <f aca="false">IF(OR(CE$4="",$B19=""),0,SUMIF('DADOS BRUTOS'!$A$3:$A$500,$B19,'DADOS BRUTOS'!E$3:E$500)+IF($C19="",0,SUMIF('DADOS BRUTOS'!$A$3:$A$500,$C19,'DADOS BRUTOS'!E$3:E$500)))</f>
        <v>0</v>
      </c>
      <c r="CF19" s="133" t="n">
        <f aca="false">IF(OR(CF$4="",$B19=""),0,SUMIF('DADOS BRUTOS'!$A$3:$A$500,$B19,'DADOS BRUTOS'!F$3:F$500)+IF($C19="",0,SUMIF('DADOS BRUTOS'!$A$3:$A$500,$C19,'DADOS BRUTOS'!F$3:F$500)))</f>
        <v>0</v>
      </c>
      <c r="CG19" s="133" t="n">
        <f aca="false">IF(OR(CG$4="",$B19=""),0,SUMIF('DADOS BRUTOS'!$A$3:$A$500,$B19,'DADOS BRUTOS'!G$3:G$500)+IF($C19="",0,SUMIF('DADOS BRUTOS'!$A$3:$A$500,$C19,'DADOS BRUTOS'!G$3:G$500)))</f>
        <v>0</v>
      </c>
      <c r="CH19" s="133" t="n">
        <f aca="false">IF(OR(CH$4="",$B19=""),0,SUMIF('DADOS BRUTOS'!$A$3:$A$500,$B19,'DADOS BRUTOS'!H$3:H$500)+IF($C19="",0,SUMIF('DADOS BRUTOS'!$A$3:$A$500,$C19,'DADOS BRUTOS'!H$3:H$500)))</f>
        <v>0</v>
      </c>
      <c r="CI19" s="133" t="n">
        <f aca="false">IF(OR(CI$4="",$B19=""),0,SUMIF('DADOS BRUTOS'!$A$3:$A$500,$B19,'DADOS BRUTOS'!I$3:I$500)+IF($C19="",0,SUMIF('DADOS BRUTOS'!$A$3:$A$500,$C19,'DADOS BRUTOS'!I$3:I$500)))</f>
        <v>0</v>
      </c>
      <c r="CJ19" s="133" t="n">
        <f aca="false">IF(OR(CJ$4="",$B19=""),0,SUMIF('DADOS BRUTOS'!$A$3:$A$500,$B19,'DADOS BRUTOS'!J$3:J$500)+IF($C19="",0,SUMIF('DADOS BRUTOS'!$A$3:$A$500,$C19,'DADOS BRUTOS'!J$3:J$500)))</f>
        <v>0</v>
      </c>
      <c r="CK19" s="133" t="n">
        <f aca="false">IF(OR(CK$4="",$B19=""),0,SUMIF('DADOS BRUTOS'!$A$3:$A$500,$B19,'DADOS BRUTOS'!K$3:K$500)+IF($C19="",0,SUMIF('DADOS BRUTOS'!$A$3:$A$500,$C19,'DADOS BRUTOS'!K$3:K$500)))</f>
        <v>0</v>
      </c>
      <c r="CL19" s="133" t="n">
        <f aca="false">IF(OR(CL$4="",$B19=""),0,SUMIF('DADOS BRUTOS'!$A$3:$A$500,$B19,'DADOS BRUTOS'!L$3:L$500)+IF($C19="",0,SUMIF('DADOS BRUTOS'!$A$3:$A$500,$C19,'DADOS BRUTOS'!L$3:L$500)))</f>
        <v>0</v>
      </c>
      <c r="CM19" s="133" t="n">
        <f aca="false">IF(OR(CM$4="",$B19=""),0,SUMIF('DADOS BRUTOS'!$A$3:$A$500,$B19,'DADOS BRUTOS'!M$3:M$500)+IF($C19="",0,SUMIF('DADOS BRUTOS'!$A$3:$A$500,$C19,'DADOS BRUTOS'!M$3:M$500)))</f>
        <v>0</v>
      </c>
      <c r="CN19" s="133" t="n">
        <f aca="false">IF(OR(CN$4="",$B19=""),0,SUMIF('DADOS BRUTOS'!$A$3:$A$500,$B19,'DADOS BRUTOS'!N$3:N$500)+IF($C19="",0,SUMIF('DADOS BRUTOS'!$A$3:$A$500,$C19,'DADOS BRUTOS'!N$3:N$500)))</f>
        <v>0</v>
      </c>
      <c r="CO19" s="133" t="n">
        <f aca="false">IF(OR(CO$4="",$B19=""),0,SUMIF('DADOS BRUTOS'!$A$3:$A$500,$B19,'DADOS BRUTOS'!O$3:O$500)+IF($C19="",0,SUMIF('DADOS BRUTOS'!$A$3:$A$500,$C19,'DADOS BRUTOS'!O$3:O$500)))</f>
        <v>0</v>
      </c>
      <c r="CP19" s="133" t="n">
        <f aca="false">IF(OR(CP$4="",$B19=""),0,SUMIF('DADOS BRUTOS'!$A$3:$A$500,$B19,'DADOS BRUTOS'!P$3:P$500)+IF($C19="",0,SUMIF('DADOS BRUTOS'!$A$3:$A$500,$C19,'DADOS BRUTOS'!P$3:P$500)))</f>
        <v>0</v>
      </c>
      <c r="CQ19" s="133" t="n">
        <f aca="false">IF(OR(CQ$4="",$B19=""),0,SUMIF('DADOS BRUTOS'!$A$3:$A$500,$B19,'DADOS BRUTOS'!Q$3:Q$500)+IF($C19="",0,SUMIF('DADOS BRUTOS'!$A$3:$A$500,$C19,'DADOS BRUTOS'!Q$3:Q$500)))</f>
        <v>0</v>
      </c>
      <c r="CR19" s="133" t="n">
        <f aca="false">IF(OR(CR$4="",$B19=""),0,SUMIF('DADOS BRUTOS'!$A$3:$A$500,$B19,'DADOS BRUTOS'!R$3:R$500)+IF($C19="",0,SUMIF('DADOS BRUTOS'!$A$3:$A$500,$C19,'DADOS BRUTOS'!R$3:R$500)))</f>
        <v>0</v>
      </c>
      <c r="CS19" s="133" t="n">
        <f aca="false">IF(OR(CS$4="",$B19=""),0,SUMIF('DADOS BRUTOS'!$A$3:$A$500,$B19,'DADOS BRUTOS'!S$3:S$500)+IF($C19="",0,SUMIF('DADOS BRUTOS'!$A$3:$A$500,$C19,'DADOS BRUTOS'!S$3:S$500)))</f>
        <v>0</v>
      </c>
      <c r="CT19" s="133" t="n">
        <f aca="false">IF(OR(CT$4="",$B19=""),0,SUMIF('DADOS BRUTOS'!$A$3:$A$500,$B19,'DADOS BRUTOS'!T$3:T$500)+IF($C19="",0,SUMIF('DADOS BRUTOS'!$A$3:$A$500,$C19,'DADOS BRUTOS'!T$3:T$500)))</f>
        <v>0</v>
      </c>
      <c r="CU19" s="133" t="n">
        <f aca="false">IF(OR(CU$4="",$B19=""),0,SUMIF('DADOS BRUTOS'!$A$3:$A$500,$B19,'DADOS BRUTOS'!U$3:U$500)+IF($C19="",0,SUMIF('DADOS BRUTOS'!$A$3:$A$500,$C19,'DADOS BRUTOS'!U$3:U$500)))</f>
        <v>0</v>
      </c>
      <c r="CV19" s="133" t="n">
        <f aca="false">IF(OR(CV$4="",$B19=""),0,SUMIF('DADOS BRUTOS'!$A$3:$A$500,$B19,'DADOS BRUTOS'!V$3:V$500)+IF($C19="",0,SUMIF('DADOS BRUTOS'!$A$3:$A$500,$C19,'DADOS BRUTOS'!V$3:V$500)))</f>
        <v>0</v>
      </c>
      <c r="CW19" s="133" t="n">
        <f aca="false">IF(OR(CW$4="",$B19=""),0,SUMIF('DADOS BRUTOS'!$A$3:$A$500,$B19,'DADOS BRUTOS'!W$3:W$500)+IF($C19="",0,SUMIF('DADOS BRUTOS'!$A$3:$A$500,$C19,'DADOS BRUTOS'!W$3:W$500)))</f>
        <v>0</v>
      </c>
      <c r="CX19" s="133" t="n">
        <f aca="false">IF(OR(CX$4="",$B19=""),0,SUMIF('DADOS BRUTOS'!$A$3:$A$500,$B19,'DADOS BRUTOS'!X$3:X$500)+IF($C19="",0,SUMIF('DADOS BRUTOS'!$A$3:$A$500,$C19,'DADOS BRUTOS'!X$3:X$500)))</f>
        <v>0</v>
      </c>
      <c r="CY19" s="133" t="n">
        <f aca="false">IF(OR(CY$4="",$B19=""),0,SUMIF('DADOS BRUTOS'!$A$3:$A$500,$B19,'DADOS BRUTOS'!Y$3:Y$500)+IF($C19="",0,SUMIF('DADOS BRUTOS'!$A$3:$A$500,$C19,'DADOS BRUTOS'!Y$3:Y$500)))</f>
        <v>0</v>
      </c>
      <c r="CZ19" s="133" t="n">
        <f aca="false">IF(OR(CZ$4="",$B19=""),0,SUMIF('DADOS BRUTOS'!$A$3:$A$500,$B19,'DADOS BRUTOS'!Z$3:Z$500)+IF($C19="",0,SUMIF('DADOS BRUTOS'!$A$3:$A$500,$C19,'DADOS BRUTOS'!Z$3:Z$500)))</f>
        <v>0</v>
      </c>
      <c r="DA19" s="133" t="n">
        <f aca="false">IF(OR(DA$4="",$B19=""),0,SUMIF('DADOS BRUTOS'!$A$3:$A$500,$B19,'DADOS BRUTOS'!AA$3:AA$500)+IF($C19="",0,SUMIF('DADOS BRUTOS'!$A$3:$A$500,$C19,'DADOS BRUTOS'!AA$3:AA$500)))</f>
        <v>0</v>
      </c>
      <c r="DB19" s="133" t="n">
        <f aca="false">IF(OR(DB$4="",$B19=""),0,SUMIF('DADOS BRUTOS'!$A$3:$A$500,$B19,'DADOS BRUTOS'!AB$3:AB$500)+IF($C19="",0,SUMIF('DADOS BRUTOS'!$A$3:$A$500,$C19,'DADOS BRUTOS'!AB$3:AB$500)))</f>
        <v>677</v>
      </c>
      <c r="DC19" s="133" t="n">
        <f aca="false">IF(OR(DC$4="",$B19=""),0,SUMIF('DADOS BRUTOS'!$A$3:$A$500,$B19,'DADOS BRUTOS'!AC$3:AC$500)+IF($C19="",0,SUMIF('DADOS BRUTOS'!$A$3:$A$500,$C19,'DADOS BRUTOS'!AC$3:AC$500)))</f>
        <v>70758.51</v>
      </c>
      <c r="DD19" s="133" t="n">
        <f aca="false">IF(OR(DD$4="",$B19=""),0,SUMIF('DADOS BRUTOS'!$A$3:$A$500,$B19,'DADOS BRUTOS'!AD$3:AD$500)+IF($C19="",0,SUMIF('DADOS BRUTOS'!$A$3:$A$500,$C19,'DADOS BRUTOS'!AD$3:AD$500)))</f>
        <v>71097.67</v>
      </c>
      <c r="DE19" s="133" t="n">
        <f aca="false">IF(OR(DE$4="",$B19=""),0,SUMIF('DADOS BRUTOS'!$A$3:$A$500,$B19,'DADOS BRUTOS'!AE$3:AE$500)+IF($C19="",0,SUMIF('DADOS BRUTOS'!$A$3:$A$500,$C19,'DADOS BRUTOS'!AE$3:AE$500)))</f>
        <v>34274.12</v>
      </c>
      <c r="DF19" s="133" t="n">
        <f aca="false">IF(OR(DF$4="",$B19=""),0,SUMIF('DADOS BRUTOS'!$A$3:$A$500,$B19,'DADOS BRUTOS'!AF$3:AF$500)+IF($C19="",0,SUMIF('DADOS BRUTOS'!$A$3:$A$500,$C19,'DADOS BRUTOS'!AF$3:AF$500)))</f>
        <v>9429.52</v>
      </c>
      <c r="DG19" s="133" t="n">
        <f aca="false">IF(OR(DG$4="",$B19=""),0,SUMIF('DADOS BRUTOS'!$A$3:$A$500,$B19,'DADOS BRUTOS'!AG$3:AG$500)+IF($C19="",0,SUMIF('DADOS BRUTOS'!$A$3:$A$500,$C19,'DADOS BRUTOS'!AG$3:AG$500)))</f>
        <v>791.48</v>
      </c>
      <c r="DH19" s="133" t="n">
        <f aca="false">IF(OR(DH$4="",$B19=""),0,SUMIF('DADOS BRUTOS'!$A$3:$A$500,$B19,'DADOS BRUTOS'!AH$3:AH$500)+IF($C19="",0,SUMIF('DADOS BRUTOS'!$A$3:$A$500,$C19,'DADOS BRUTOS'!AH$3:AH$500)))</f>
        <v>0</v>
      </c>
      <c r="DI19" s="133" t="n">
        <f aca="false">IF(OR(DI$4="",$B19=""),0,SUMIF('DADOS BRUTOS'!$A$3:$A$500,$B19,'DADOS BRUTOS'!AI$3:AI$500)+IF($C19="",0,SUMIF('DADOS BRUTOS'!$A$3:$A$500,$C19,'DADOS BRUTOS'!AI$3:AI$500)))</f>
        <v>0</v>
      </c>
      <c r="DJ19" s="133" t="n">
        <f aca="false">IF(OR(DJ$4="",$B19=""),0,SUMIF('DADOS BRUTOS'!$A$3:$A$500,$B19,'DADOS BRUTOS'!AJ$3:AJ$500)+IF($C19="",0,SUMIF('DADOS BRUTOS'!$A$3:$A$500,$C19,'DADOS BRUTOS'!AJ$3:AJ$500)))</f>
        <v>0</v>
      </c>
      <c r="DK19" s="133" t="n">
        <f aca="false">IF(OR(DK$4="",$B19=""),0,SUMIF('DADOS BRUTOS'!$A$3:$A$500,$B19,'DADOS BRUTOS'!AK$3:AK$500)+IF($C19="",0,SUMIF('DADOS BRUTOS'!$A$3:$A$500,$C19,'DADOS BRUTOS'!AK$3:AK$500)))</f>
        <v>970</v>
      </c>
      <c r="DL19" s="133" t="n">
        <f aca="false">IF(OR(DL$4="",$B19=""),0,SUMIF('DADOS BRUTOS'!$A$3:$A$500,$B19,'DADOS BRUTOS'!AL$3:AL$500)+IF($C19="",0,SUMIF('DADOS BRUTOS'!$A$3:$A$500,$C19,'DADOS BRUTOS'!AL$3:AL$500)))</f>
        <v>47804</v>
      </c>
      <c r="DM19" s="133" t="n">
        <f aca="false">IF(OR(DM$4="",$B19=""),0,SUMIF('DADOS BRUTOS'!$A$3:$A$500,$B19,'DADOS BRUTOS'!AM$3:AM$500)+IF($C19="",0,SUMIF('DADOS BRUTOS'!$A$3:$A$500,$C19,'DADOS BRUTOS'!AM$3:AM$500)))</f>
        <v>294931.18</v>
      </c>
      <c r="DN19" s="133" t="n">
        <f aca="false">IF(OR(DN$4="",$B19=""),0,SUMIF('DADOS BRUTOS'!$A$3:$A$500,$B19,'DADOS BRUTOS'!AN$3:AN$500)+IF($C19="",0,SUMIF('DADOS BRUTOS'!$A$3:$A$500,$C19,'DADOS BRUTOS'!AN$3:AN$500)))</f>
        <v>291652.53</v>
      </c>
      <c r="DO19" s="133" t="n">
        <f aca="false">IF(OR(DO$4="",$B19=""),0,SUMIF('DADOS BRUTOS'!$A$3:$A$500,$B19,'DADOS BRUTOS'!AO$3:AO$500)+IF($C19="",0,SUMIF('DADOS BRUTOS'!$A$3:$A$500,$C19,'DADOS BRUTOS'!AO$3:AO$500)))</f>
        <v>759436.3</v>
      </c>
      <c r="DP19" s="133" t="n">
        <f aca="false">IF(OR(DP$4="",$B19=""),0,SUMIF('DADOS BRUTOS'!$A$3:$A$500,$B19,'DADOS BRUTOS'!AP$3:AP$500)+IF($C19="",0,SUMIF('DADOS BRUTOS'!$A$3:$A$500,$C19,'DADOS BRUTOS'!AP$3:AP$500)))</f>
        <v>665952.26</v>
      </c>
      <c r="DQ19" s="133" t="n">
        <f aca="false">IF(OR(DQ$4="",$B19=""),0,SUMIF('DADOS BRUTOS'!$A$3:$A$500,$B19,'DADOS BRUTOS'!AQ$3:AQ$500)+IF($C19="",0,SUMIF('DADOS BRUTOS'!$A$3:$A$500,$C19,'DADOS BRUTOS'!AQ$3:AQ$500)))</f>
        <v>1223686.02</v>
      </c>
      <c r="DR19" s="133" t="n">
        <f aca="false">IF(OR(DR$4="",$B19=""),0,SUMIF('DADOS BRUTOS'!$A$3:$A$500,$B19,'DADOS BRUTOS'!AR$3:AR$500)+IF($C19="",0,SUMIF('DADOS BRUTOS'!$A$3:$A$500,$C19,'DADOS BRUTOS'!AR$3:AR$500)))</f>
        <v>942534.48</v>
      </c>
      <c r="DS19" s="133" t="n">
        <f aca="false">IF(OR(DS$4="",$B19=""),0,SUMIF('DADOS BRUTOS'!$A$3:$A$500,$B19,'DADOS BRUTOS'!AS$3:AS$500)+IF($C19="",0,SUMIF('DADOS BRUTOS'!$A$3:$A$500,$C19,'DADOS BRUTOS'!AS$3:AS$500)))</f>
        <v>446747.23</v>
      </c>
      <c r="DT19" s="133" t="n">
        <f aca="false">IF(OR(DT$4="",$B19=""),0,SUMIF('DADOS BRUTOS'!$A$3:$A$500,$B19,'DADOS BRUTOS'!AT$3:AT$500)+IF($C19="",0,SUMIF('DADOS BRUTOS'!$A$3:$A$500,$C19,'DADOS BRUTOS'!AT$3:AT$500)))</f>
        <v>31432.02</v>
      </c>
      <c r="DU19" s="133" t="n">
        <f aca="false">IF(OR(DU$4="",$B19=""),0,SUMIF('DADOS BRUTOS'!$A$3:$A$500,$B19,'DADOS BRUTOS'!AU$3:AU$500)+IF($C19="",0,SUMIF('DADOS BRUTOS'!$A$3:$A$500,$C19,'DADOS BRUTOS'!AU$3:AU$500)))</f>
        <v>15362.5</v>
      </c>
      <c r="DV19" s="133" t="n">
        <f aca="false">IF(OR(DV$4="",$B19=""),0,SUMIF('DADOS BRUTOS'!$A$3:$A$500,$B19,'DADOS BRUTOS'!AV$3:AV$500)+IF($C19="",0,SUMIF('DADOS BRUTOS'!$A$3:$A$500,$C19,'DADOS BRUTOS'!AV$3:AV$500)))</f>
        <v>4557</v>
      </c>
      <c r="DW19" s="133" t="n">
        <f aca="false">IF(OR(DW$4="",$B19=""),0,SUMIF('DADOS BRUTOS'!$A$3:$A$500,$B19,'DADOS BRUTOS'!AW$3:AW$500)+IF($C19="",0,SUMIF('DADOS BRUTOS'!$A$3:$A$500,$C19,'DADOS BRUTOS'!AW$3:AW$500)))</f>
        <v>0</v>
      </c>
      <c r="DX19" s="133" t="n">
        <f aca="false">IF(OR(DX$4="",$B19=""),0,SUMIF('DADOS BRUTOS'!$A$3:$A$500,$B19,'DADOS BRUTOS'!AX$3:AX$500)+IF($C19="",0,SUMIF('DADOS BRUTOS'!$A$3:$A$500,$C19,'DADOS BRUTOS'!AX$3:AX$500)))</f>
        <v>22570.21</v>
      </c>
      <c r="DY19" s="133" t="n">
        <f aca="false">IF(OR(DY$4="",$B19=""),0,SUMIF('DADOS BRUTOS'!$A$3:$A$500,$B19,'DADOS BRUTOS'!AY$3:AY$500)+IF($C19="",0,SUMIF('DADOS BRUTOS'!$A$3:$A$500,$C19,'DADOS BRUTOS'!AY$3:AY$500)))</f>
        <v>0</v>
      </c>
      <c r="DZ19" s="133" t="n">
        <f aca="false">IF(OR(DZ$4="",$B19=""),0,SUMIF('DADOS BRUTOS'!$A$3:$A$500,$B19,'DADOS BRUTOS'!AZ$3:AZ$500)+IF($C19="",0,SUMIF('DADOS BRUTOS'!$A$3:$A$500,$C19,'DADOS BRUTOS'!AZ$3:AZ$500)))</f>
        <v>28521.92</v>
      </c>
      <c r="EA19" s="133" t="n">
        <f aca="false">IF(OR(EA$4="",$B19=""),0,SUMIF('DADOS BRUTOS'!$A$3:$A$500,$B19,'DADOS BRUTOS'!BA$3:BA$500)+IF($C19="",0,SUMIF('DADOS BRUTOS'!$A$3:$A$500,$C19,'DADOS BRUTOS'!BA$3:BA$500)))</f>
        <v>19057.7</v>
      </c>
      <c r="EB19" s="133" t="n">
        <f aca="false">IF(OR(EB$4="",$B19=""),0,SUMIF('DADOS BRUTOS'!$A$3:$A$500,$B19,'DADOS BRUTOS'!BB$3:BB$500)+IF($C19="",0,SUMIF('DADOS BRUTOS'!$A$3:$A$500,$C19,'DADOS BRUTOS'!BB$3:BB$500)))</f>
        <v>0</v>
      </c>
      <c r="EC19" s="133" t="n">
        <f aca="false">IF(OR(EC$4="",$B19=""),0,SUMIF('DADOS BRUTOS'!$A$3:$A$500,$B19,'DADOS BRUTOS'!BC$3:BC$500)+IF($C19="",0,SUMIF('DADOS BRUTOS'!$A$3:$A$500,$C19,'DADOS BRUTOS'!BC$3:BC$500)))</f>
        <v>4000</v>
      </c>
      <c r="ED19" s="133" t="n">
        <f aca="false">IF(OR(ED$4="",$B19=""),0,SUMIF('DADOS BRUTOS'!$A$3:$A$500,$B19,'DADOS BRUTOS'!BD$3:BD$500)+IF($C19="",0,SUMIF('DADOS BRUTOS'!$A$3:$A$500,$C19,'DADOS BRUTOS'!BD$3:BD$500)))</f>
        <v>0</v>
      </c>
      <c r="EE19" s="133" t="n">
        <f aca="false">IF(OR(EE$4="",$B19=""),0,SUMIF('DADOS BRUTOS'!$A$3:$A$500,$B19,'DADOS BRUTOS'!BE$3:BE$500)+IF($C19="",0,SUMIF('DADOS BRUTOS'!$A$3:$A$500,$C19,'DADOS BRUTOS'!BE$3:BE$500)))</f>
        <v>0</v>
      </c>
      <c r="EF19" s="133" t="n">
        <f aca="false">IF(OR(EF$4="",$B19=""),0,SUMIF('DADOS BRUTOS'!$A$3:$A$500,$B19,'DADOS BRUTOS'!BF$3:BF$500)+IF($C19="",0,SUMIF('DADOS BRUTOS'!$A$3:$A$500,$C19,'DADOS BRUTOS'!BF$3:BF$500)))</f>
        <v>402.83</v>
      </c>
      <c r="EG19" s="133" t="n">
        <f aca="false">IF(OR(EG$4="",$B19=""),0,SUMIF('DADOS BRUTOS'!$A$3:$A$500,$B19,'DADOS BRUTOS'!BG$3:BG$500)+IF($C19="",0,SUMIF('DADOS BRUTOS'!$A$3:$A$500,$C19,'DADOS BRUTOS'!BG$3:BG$500)))</f>
        <v>0</v>
      </c>
      <c r="EH19" s="133" t="n">
        <f aca="false">IF(OR(EH$4="",$B19=""),0,SUMIF('DADOS BRUTOS'!$A$3:$A$500,$B19,'DADOS BRUTOS'!BH$3:BH$500)+IF($C19="",0,SUMIF('DADOS BRUTOS'!$A$3:$A$500,$C19,'DADOS BRUTOS'!BH$3:BH$500)))</f>
        <v>0</v>
      </c>
      <c r="EI19" s="133" t="n">
        <f aca="false">IF(OR(EI$4="",$B19=""),0,SUMIF('DADOS BRUTOS'!$A$3:$A$500,$B19,'DADOS BRUTOS'!BI$3:BI$500)+IF($C19="",0,SUMIF('DADOS BRUTOS'!$A$3:$A$500,$C19,'DADOS BRUTOS'!BI$3:BI$500)))</f>
        <v>12016.19</v>
      </c>
      <c r="EJ19" s="133" t="n">
        <f aca="false">IF(OR(EJ$4="",$B19=""),0,SUMIF('DADOS BRUTOS'!$A$3:$A$500,$B19,'DADOS BRUTOS'!BJ$3:BJ$500)+IF($C19="",0,SUMIF('DADOS BRUTOS'!$A$3:$A$500,$C19,'DADOS BRUTOS'!BJ$3:BJ$500)))</f>
        <v>0</v>
      </c>
      <c r="EK19" s="133" t="n">
        <f aca="false">IF(OR(EK$4="",$B19=""),0,SUMIF('DADOS BRUTOS'!$A$3:$A$500,$B19,'DADOS BRUTOS'!BK$3:BK$500)+IF($C19="",0,SUMIF('DADOS BRUTOS'!$A$3:$A$500,$C19,'DADOS BRUTOS'!BK$3:BK$500)))</f>
        <v>0</v>
      </c>
      <c r="EL19" s="133" t="n">
        <f aca="false">IF(OR(EL$4="",$B19=""),0,SUMIF('DADOS BRUTOS'!$A$3:$A$500,$B19,'DADOS BRUTOS'!BL$3:BL$500)+IF($C19="",0,SUMIF('DADOS BRUTOS'!$A$3:$A$500,$C19,'DADOS BRUTOS'!BL$3:BL$500)))</f>
        <v>0</v>
      </c>
      <c r="EM19" s="133" t="n">
        <f aca="false">IF(OR(EM$4="",$B19=""),0,SUMIF('DADOS BRUTOS'!$A$3:$A$500,$B19,'DADOS BRUTOS'!BM$3:BM$500)+IF($C19="",0,SUMIF('DADOS BRUTOS'!$A$3:$A$500,$C19,'DADOS BRUTOS'!BM$3:BM$500)))</f>
        <v>0</v>
      </c>
      <c r="EN19" s="133" t="n">
        <f aca="false">IF(OR(EN$4="",$B19=""),0,SUMIF('DADOS BRUTOS'!$A$3:$A$500,$B19,'DADOS BRUTOS'!BN$3:BN$500)+IF($C19="",0,SUMIF('DADOS BRUTOS'!$A$3:$A$500,$C19,'DADOS BRUTOS'!BN$3:BN$500)))</f>
        <v>0</v>
      </c>
      <c r="EO19" s="133" t="n">
        <f aca="false">IF(OR(EO$4="",$B19=""),0,SUMIF('DADOS BRUTOS'!$A$3:$A$500,$B19,'DADOS BRUTOS'!BO$3:BO$500)+IF($C19="",0,SUMIF('DADOS BRUTOS'!$A$3:$A$500,$C19,'DADOS BRUTOS'!BO$3:BO$500)))</f>
        <v>0</v>
      </c>
      <c r="EP19" s="133" t="n">
        <f aca="false">IF(OR(EP$4="",$B19=""),0,SUMIF('DADOS BRUTOS'!$A$3:$A$500,$B19,'DADOS BRUTOS'!BP$3:BP$500)+IF($C19="",0,SUMIF('DADOS BRUTOS'!$A$3:$A$500,$C19,'DADOS BRUTOS'!BP$3:BP$500)))</f>
        <v>0</v>
      </c>
      <c r="EQ19" s="133" t="n">
        <f aca="false">IF(OR(EQ$4="",$B19=""),0,SUMIF('DADOS BRUTOS'!$A$3:$A$500,$B19,'DADOS BRUTOS'!BQ$3:BQ$500)+IF($C19="",0,SUMIF('DADOS BRUTOS'!$A$3:$A$500,$C19,'DADOS BRUTOS'!BQ$3:BQ$500)))</f>
        <v>0</v>
      </c>
      <c r="ER19" s="133" t="n">
        <f aca="false">IF(OR(ER$4="",$B19=""),0,SUMIF('DADOS BRUTOS'!$A$3:$A$500,$B19,'DADOS BRUTOS'!BR$3:BR$500)+IF($C19="",0,SUMIF('DADOS BRUTOS'!$A$3:$A$500,$C19,'DADOS BRUTOS'!BR$3:BR$500)))</f>
        <v>0</v>
      </c>
      <c r="ES19" s="133" t="n">
        <f aca="false">IF(OR(ES$4="",$B19=""),0,SUMIF('DADOS BRUTOS'!$A$3:$A$500,$B19,'DADOS BRUTOS'!BS$3:BS$500)+IF($C19="",0,SUMIF('DADOS BRUTOS'!$A$3:$A$500,$C19,'DADOS BRUTOS'!BS$3:BS$500)))</f>
        <v>0</v>
      </c>
      <c r="ET19" s="133" t="n">
        <f aca="false">IF(OR(ET$4="",$B19=""),0,SUMIF('DADOS BRUTOS'!$A$3:$A$500,$B19,'DADOS BRUTOS'!BT$3:BT$500)+IF($C19="",0,SUMIF('DADOS BRUTOS'!$A$3:$A$500,$C19,'DADOS BRUTOS'!BT$3:BT$500)))</f>
        <v>0</v>
      </c>
      <c r="EU19" s="133" t="n">
        <f aca="false">IF(OR(EU$4="",$B19=""),0,SUMIF('DADOS BRUTOS'!$A$3:$A$500,$B19,'DADOS BRUTOS'!BU$3:BU$500)+IF($C19="",0,SUMIF('DADOS BRUTOS'!$A$3:$A$500,$C19,'DADOS BRUTOS'!BU$3:BU$500)))</f>
        <v>0</v>
      </c>
      <c r="EV19" s="133" t="n">
        <f aca="false">IF(OR(EV$4="",$B19=""),0,SUMIF('DADOS BRUTOS'!$A$3:$A$500,$B19,'DADOS BRUTOS'!BV$3:BV$500)+IF($C19="",0,SUMIF('DADOS BRUTOS'!$A$3:$A$500,$C19,'DADOS BRUTOS'!BV$3:BV$500)))</f>
        <v>0</v>
      </c>
      <c r="EW19" s="133" t="n">
        <f aca="false">IF(OR(EW$4="",$B19=""),0,SUMIF('DADOS BRUTOS'!$A$3:$A$500,$B19,'DADOS BRUTOS'!BW$3:BW$500)+IF($C19="",0,SUMIF('DADOS BRUTOS'!$A$3:$A$500,$C19,'DADOS BRUTOS'!BW$3:BW$500)))</f>
        <v>0</v>
      </c>
      <c r="EX19" s="133" t="n">
        <f aca="false">IF(OR(EX$4="",$B19=""),0,SUMIF('DADOS BRUTOS'!$A$3:$A$500,$B19,'DADOS BRUTOS'!BX$3:BX$500)+IF($C19="",0,SUMIF('DADOS BRUTOS'!$A$3:$A$500,$C19,'DADOS BRUTOS'!BX$3:BX$500)))</f>
        <v>1367.1</v>
      </c>
      <c r="EY19" s="133" t="n">
        <f aca="false">IF(OR(EY$4="",$B19=""),0,SUMIF('DADOS BRUTOS'!$A$3:$A$500,$B19,'DADOS BRUTOS'!BY$3:BY$500)+IF($C19="",0,SUMIF('DADOS BRUTOS'!$A$3:$A$500,$C19,'DADOS BRUTOS'!BY$3:BY$500)))</f>
        <v>0</v>
      </c>
      <c r="EZ19" s="133" t="n">
        <f aca="false">IF(OR(EZ$4="",$B19=""),0,SUMIF('DADOS BRUTOS'!$A$3:$A$500,$B19,'DADOS BRUTOS'!BZ$3:BZ$500)+IF($C19="",0,SUMIF('DADOS BRUTOS'!$A$3:$A$500,$C19,'DADOS BRUTOS'!BZ$3:BZ$500)))</f>
        <v>0</v>
      </c>
      <c r="FA19" s="133" t="n">
        <f aca="false">IF(OR(FA$4="",$B19=""),0,SUMIF('DADOS BRUTOS'!$A$3:$A$500,$B19,'DADOS BRUTOS'!CA$3:CA$500)+IF($C19="",0,SUMIF('DADOS BRUTOS'!$A$3:$A$500,$C19,'DADOS BRUTOS'!CA$3:CA$500)))</f>
        <v>0</v>
      </c>
      <c r="FB19" s="133" t="n">
        <f aca="false">IF(OR(FB$4="",$B19=""),0,SUMIF('DADOS BRUTOS'!$A$3:$A$500,$B19,'DADOS BRUTOS'!CB$3:CB$500)+IF($C19="",0,SUMIF('DADOS BRUTOS'!$A$3:$A$500,$C19,'DADOS BRUTOS'!CB$3:CB$500)))</f>
        <v>0</v>
      </c>
      <c r="FC19" s="133" t="n">
        <f aca="false">IF(OR(FC$4="",$B19=""),0,SUMIF('DADOS BRUTOS'!$A$3:$A$500,$B19,'DADOS BRUTOS'!CC$3:CC$500)+IF($C19="",0,SUMIF('DADOS BRUTOS'!$A$3:$A$500,$C19,'DADOS BRUTOS'!CC$3:CC$500)))</f>
        <v>0</v>
      </c>
      <c r="FD19" s="133" t="n">
        <f aca="false">IF(OR(FD$4="",$B19=""),0,SUMIF('DADOS BRUTOS'!$A$3:$A$500,$B19,'DADOS BRUTOS'!CD$3:CD$500)+IF($C19="",0,SUMIF('DADOS BRUTOS'!$A$3:$A$500,$C19,'DADOS BRUTOS'!CD$3:CD$500)))</f>
        <v>0</v>
      </c>
      <c r="FE19" s="133" t="n">
        <f aca="false">IF(OR(FE$4="",$B19=""),0,SUMIF('DADOS BRUTOS'!$A$3:$A$500,$B19,'DADOS BRUTOS'!CE$3:CE$500)+IF($C19="",0,SUMIF('DADOS BRUTOS'!$A$3:$A$500,$C19,'DADOS BRUTOS'!CE$3:CE$500)))</f>
        <v>0</v>
      </c>
      <c r="FF19" s="133" t="n">
        <f aca="false">IF(OR(FF$4="",$B19=""),0,SUMIF('DADOS BRUTOS'!$A$3:$A$500,$B19,'DADOS BRUTOS'!CF$3:CF$500)+IF($C19="",0,SUMIF('DADOS BRUTOS'!$A$3:$A$500,$C19,'DADOS BRUTOS'!CF$3:CF$500)))</f>
        <v>0</v>
      </c>
      <c r="FG19" s="133" t="n">
        <f aca="false">IF(OR(FG$4="",$B19=""),0,SUMIF('DADOS BRUTOS'!$A$3:$A$500,$B19,'DADOS BRUTOS'!CG$3:CG$500)+IF($C19="",0,SUMIF('DADOS BRUTOS'!$A$3:$A$500,$C19,'DADOS BRUTOS'!CG$3:CG$500)))</f>
        <v>0</v>
      </c>
      <c r="FH19" s="133" t="n">
        <f aca="false">IF(OR(FH$4="",$B19=""),0,SUMIF('DADOS BRUTOS'!$A$3:$A$500,$B19,'DADOS BRUTOS'!CH$3:CH$500)+IF($C19="",0,SUMIF('DADOS BRUTOS'!$A$3:$A$500,$C19,'DADOS BRUTOS'!CH$3:CH$500)))</f>
        <v>0</v>
      </c>
      <c r="FI19" s="133" t="n">
        <f aca="false">IF(OR(FI$4="",$B19=""),0,SUMIF('DADOS BRUTOS'!$A$3:$A$500,$B19,'DADOS BRUTOS'!CI$3:CI$500)+IF($C19="",0,SUMIF('DADOS BRUTOS'!$A$3:$A$500,$C19,'DADOS BRUTOS'!CI$3:CI$500)))</f>
        <v>0</v>
      </c>
      <c r="FJ19" s="133" t="n">
        <f aca="false">IF(OR(FJ$4="",$B19=""),0,SUMIF('DADOS BRUTOS'!$A$3:$A$500,$B19,'DADOS BRUTOS'!CJ$3:CJ$500)+IF($C19="",0,SUMIF('DADOS BRUTOS'!$A$3:$A$500,$C19,'DADOS BRUTOS'!CJ$3:CJ$500)))</f>
        <v>0</v>
      </c>
      <c r="FK19" s="133" t="n">
        <f aca="false">IF(OR(FK$4="",$B19=""),0,SUMIF('DADOS BRUTOS'!$A$3:$A$500,$B19,'DADOS BRUTOS'!CK$3:CK$500)+IF($C19="",0,SUMIF('DADOS BRUTOS'!$A$3:$A$500,$C19,'DADOS BRUTOS'!CK$3:CK$500)))</f>
        <v>0</v>
      </c>
      <c r="FL19" s="133" t="n">
        <f aca="false">IF(OR(FL$4="",$B19=""),0,SUMIF('DADOS BRUTOS'!$A$3:$A$500,$B19,'DADOS BRUTOS'!CL$3:CL$500)+IF($C19="",0,SUMIF('DADOS BRUTOS'!$A$3:$A$500,$C19,'DADOS BRUTOS'!CL$3:CL$500)))</f>
        <v>0</v>
      </c>
      <c r="FM19" s="133" t="n">
        <f aca="false">IF(OR(FM$4="",$B19=""),0,SUMIF('DADOS BRUTOS'!$A$3:$A$500,$B19,'DADOS BRUTOS'!CM$3:CM$500)+IF($C19="",0,SUMIF('DADOS BRUTOS'!$A$3:$A$500,$C19,'DADOS BRUTOS'!CM$3:CM$500)))</f>
        <v>0</v>
      </c>
      <c r="FN19" s="133" t="n">
        <f aca="false">IF(OR(FN$4="",$B19=""),0,SUMIF('DADOS BRUTOS'!$A$3:$A$500,$B19,'DADOS BRUTOS'!CN$3:CN$500)+IF($C19="",0,SUMIF('DADOS BRUTOS'!$A$3:$A$500,$C19,'DADOS BRUTOS'!CN$3:CN$500)))</f>
        <v>0</v>
      </c>
      <c r="FO19" s="133" t="n">
        <f aca="false">IF(OR(FO$4="",$B19=""),0,SUMIF('DADOS BRUTOS'!$A$3:$A$500,$B19,'DADOS BRUTOS'!CO$3:CO$500)+IF($C19="",0,SUMIF('DADOS BRUTOS'!$A$3:$A$500,$C19,'DADOS BRUTOS'!CO$3:CO$500)))</f>
        <v>0</v>
      </c>
      <c r="FP19" s="133" t="n">
        <f aca="false">IF(OR(FP$4="",$B19=""),0,SUMIF('DADOS BRUTOS'!$A$3:$A$500,$B19,'DADOS BRUTOS'!CP$3:CP$500)+IF($C19="",0,SUMIF('DADOS BRUTOS'!$A$3:$A$500,$C19,'DADOS BRUTOS'!CP$3:CP$500)))</f>
        <v>0</v>
      </c>
      <c r="FQ19" s="133" t="n">
        <f aca="false">IF(OR(FQ$4="",$B19=""),0,SUMIF('DADOS BRUTOS'!$A$3:$A$500,$B19,'DADOS BRUTOS'!CQ$3:CQ$500)+IF($C19="",0,SUMIF('DADOS BRUTOS'!$A$3:$A$500,$C19,'DADOS BRUTOS'!CQ$3:CQ$500)))</f>
        <v>0</v>
      </c>
      <c r="FR19" s="133" t="n">
        <f aca="false">IF(OR(FR$4="",$B19=""),0,SUMIF('DADOS BRUTOS'!$A$3:$A$500,$B19,'DADOS BRUTOS'!CR$3:CR$500)+IF($C19="",0,SUMIF('DADOS BRUTOS'!$A$3:$A$500,$C19,'DADOS BRUTOS'!CR$3:CR$500)))</f>
        <v>0</v>
      </c>
      <c r="FS19" s="133" t="n">
        <f aca="false">IF(OR(FS$4="",$B19=""),0,SUMIF('DADOS BRUTOS'!$A$3:$A$500,$B19,'DADOS BRUTOS'!CS$3:CS$500)+IF($C19="",0,SUMIF('DADOS BRUTOS'!$A$3:$A$500,$C19,'DADOS BRUTOS'!CS$3:CS$500)))</f>
        <v>0</v>
      </c>
      <c r="FT19" s="133" t="n">
        <f aca="false">IF(OR(FT$4="",$B19=""),0,SUMIF('DADOS BRUTOS'!$A$3:$A$500,$B19,'DADOS BRUTOS'!CT$3:CT$500)+IF($C19="",0,SUMIF('DADOS BRUTOS'!$A$3:$A$500,$C19,'DADOS BRUTOS'!CT$3:CT$500)))</f>
        <v>0</v>
      </c>
      <c r="FU19" s="133" t="n">
        <f aca="false">IF(OR(FU$4="",$B19=""),0,SUMIF('DADOS BRUTOS'!$A$3:$A$500,$B19,'DADOS BRUTOS'!CU$3:CU$500)+IF($C19="",0,SUMIF('DADOS BRUTOS'!$A$3:$A$500,$C19,'DADOS BRUTOS'!CU$3:CU$500)))</f>
        <v>0</v>
      </c>
      <c r="FV19" s="133" t="n">
        <f aca="false">IF(OR(FV$4="",$B19=""),0,SUMIF('DADOS BRUTOS'!$A$3:$A$500,$B19,'DADOS BRUTOS'!CV$3:CV$500)+IF($C19="",0,SUMIF('DADOS BRUTOS'!$A$3:$A$500,$C19,'DADOS BRUTOS'!CV$3:CV$500)))</f>
        <v>0</v>
      </c>
      <c r="FW19" s="133" t="n">
        <f aca="false">IF(OR(FW$4="",$B19=""),0,SUMIF('DADOS BRUTOS'!$A$3:$A$500,$B19,'DADOS BRUTOS'!CW$3:CW$500)+IF($C19="",0,SUMIF('DADOS BRUTOS'!$A$3:$A$500,$C19,'DADOS BRUTOS'!CW$3:CW$500)))</f>
        <v>0</v>
      </c>
      <c r="FX19" s="133" t="n">
        <f aca="false">IF(OR(FX$4="",$B19=""),0,SUMIF('DADOS BRUTOS'!$A$3:$A$500,$B19,'DADOS BRUTOS'!CX$3:CX$500)+IF($C19="",0,SUMIF('DADOS BRUTOS'!$A$3:$A$500,$C19,'DADOS BRUTOS'!CX$3:CX$500)))</f>
        <v>0</v>
      </c>
      <c r="FY19" s="133" t="n">
        <f aca="false">IF(OR(FY$4="",$B19=""),0,SUMIF('DADOS BRUTOS'!$A$3:$A$500,$B19,'DADOS BRUTOS'!CY$3:CY$500)+IF($C19="",0,SUMIF('DADOS BRUTOS'!$A$3:$A$500,$C19,'DADOS BRUTOS'!CY$3:CY$500)))</f>
        <v>0</v>
      </c>
      <c r="FZ19" s="133" t="n">
        <f aca="false">IF(OR(FZ$4="",$B19=""),0,SUMIF('DADOS BRUTOS'!$A$3:$A$500,$B19,'DADOS BRUTOS'!CZ$3:CZ$500)+IF($C19="",0,SUMIF('DADOS BRUTOS'!$A$3:$A$500,$C19,'DADOS BRUTOS'!CZ$3:CZ$500)))</f>
        <v>0</v>
      </c>
      <c r="GA19" s="133" t="n">
        <f aca="false">IF(OR(GA$4="",$B19=""),0,SUMIF('DADOS BRUTOS'!$A$3:$A$500,$B19,'DADOS BRUTOS'!DA$3:DA$500)+IF($C19="",0,SUMIF('DADOS BRUTOS'!$A$3:$A$500,$C19,'DADOS BRUTOS'!DA$3:DA$500)))</f>
        <v>0</v>
      </c>
      <c r="GB19" s="133" t="n">
        <f aca="false">IF(OR(GB$4="",$B19=""),0,SUMIF('DADOS BRUTOS'!$A$3:$A$500,$B19,'DADOS BRUTOS'!DB$3:DB$500)+IF($C19="",0,SUMIF('DADOS BRUTOS'!$A$3:$A$500,$C19,'DADOS BRUTOS'!DB$3:DB$500)))</f>
        <v>0</v>
      </c>
      <c r="GC19" s="133" t="n">
        <f aca="false">IF(OR(GC$4="",$B19=""),0,SUMIF('DADOS BRUTOS'!$A$3:$A$500,$B19,'DADOS BRUTOS'!DC$3:DC$500)+IF($C19="",0,SUMIF('DADOS BRUTOS'!$A$3:$A$500,$C19,'DADOS BRUTOS'!DC$3:DC$500)))</f>
        <v>0</v>
      </c>
      <c r="GD19" s="133" t="n">
        <f aca="false">IF(OR(GD$4="",$B19=""),0,SUMIF('DADOS BRUTOS'!$A$3:$A$500,$B19,'DADOS BRUTOS'!DD$3:DD$500)+IF($C19="",0,SUMIF('DADOS BRUTOS'!$A$3:$A$500,$C19,'DADOS BRUTOS'!DD$3:DD$500)))</f>
        <v>0</v>
      </c>
      <c r="GE19" s="133" t="n">
        <f aca="false">IF(OR(GE$4="",$B19=""),0,SUMIF('DADOS BRUTOS'!$A$3:$A$500,$B19,'DADOS BRUTOS'!DE$3:DE$500)+IF($C19="",0,SUMIF('DADOS BRUTOS'!$A$3:$A$500,$C19,'DADOS BRUTOS'!DE$3:DE$500)))</f>
        <v>0</v>
      </c>
      <c r="GF19" s="133" t="n">
        <f aca="false">IF(OR(GF$4="",$B19=""),0,SUMIF('DADOS BRUTOS'!$A$3:$A$500,$B19,'DADOS BRUTOS'!DF$3:DF$500)+IF($C19="",0,SUMIF('DADOS BRUTOS'!$A$3:$A$500,$C19,'DADOS BRUTOS'!DF$3:DF$500)))</f>
        <v>0</v>
      </c>
      <c r="GG19" s="133" t="n">
        <f aca="false">IF(OR(GG$4="",$B19=""),0,SUMIF('DADOS BRUTOS'!$A$3:$A$500,$B19,'DADOS BRUTOS'!DG$3:DG$500)+IF($C19="",0,SUMIF('DADOS BRUTOS'!$A$3:$A$500,$C19,'DADOS BRUTOS'!DG$3:DG$500)))</f>
        <v>0</v>
      </c>
      <c r="GH19" s="133" t="n">
        <f aca="false">IF(OR(GH$4="",$B19=""),0,SUMIF('DADOS BRUTOS'!$A$3:$A$500,$B19,'DADOS BRUTOS'!DH$3:DH$500)+IF($C19="",0,SUMIF('DADOS BRUTOS'!$A$3:$A$500,$C19,'DADOS BRUTOS'!DH$3:DH$500)))</f>
        <v>0</v>
      </c>
      <c r="GI19" s="133" t="n">
        <f aca="false">IF(OR(GI$4="",$B19=""),0,SUMIF('DADOS BRUTOS'!$A$3:$A$500,$B19,'DADOS BRUTOS'!DI$3:DI$500)+IF($C19="",0,SUMIF('DADOS BRUTOS'!$A$3:$A$500,$C19,'DADOS BRUTOS'!DI$3:DI$500)))</f>
        <v>0</v>
      </c>
      <c r="GJ19" s="133" t="n">
        <f aca="false">IF(OR(GJ$4="",$B19=""),0,SUMIF('DADOS BRUTOS'!$A$3:$A$500,$B19,'DADOS BRUTOS'!DJ$3:DJ$500)+IF($C19="",0,SUMIF('DADOS BRUTOS'!$A$3:$A$500,$C19,'DADOS BRUTOS'!DJ$3:DJ$500)))</f>
        <v>0</v>
      </c>
      <c r="GK19" s="133" t="n">
        <f aca="false">IF(OR(GK$4="",$B19=""),0,SUMIF('DADOS BRUTOS'!$A$3:$A$500,$B19,'DADOS BRUTOS'!DK$3:DK$500)+IF($C19="",0,SUMIF('DADOS BRUTOS'!$A$3:$A$500,$C19,'DADOS BRUTOS'!DK$3:DK$500)))</f>
        <v>0</v>
      </c>
      <c r="GL19" s="133" t="n">
        <f aca="false">IF(OR(GL$4="",$B19=""),0,SUMIF('DADOS BRUTOS'!$A$3:$A$500,$B19,'DADOS BRUTOS'!DL$3:DL$500)+IF($C19="",0,SUMIF('DADOS BRUTOS'!$A$3:$A$500,$C19,'DADOS BRUTOS'!DL$3:DL$500)))</f>
        <v>0</v>
      </c>
      <c r="GM19" s="133" t="n">
        <f aca="false">IF(OR(GM$4="",$B19=""),0,SUMIF('DADOS BRUTOS'!$A$3:$A$500,$B19,'DADOS BRUTOS'!DM$3:DM$500)+IF($C19="",0,SUMIF('DADOS BRUTOS'!$A$3:$A$500,$C19,'DADOS BRUTOS'!DM$3:DM$500)))</f>
        <v>0</v>
      </c>
      <c r="GN19" s="133" t="n">
        <f aca="false">IF(OR(GN$4="",$B19=""),0,SUMIF('DADOS BRUTOS'!$A$3:$A$500,$B19,'DADOS BRUTOS'!DN$3:DN$500)+IF($C19="",0,SUMIF('DADOS BRUTOS'!$A$3:$A$500,$C19,'DADOS BRUTOS'!DN$3:DN$500)))</f>
        <v>0</v>
      </c>
      <c r="GO19" s="133" t="n">
        <f aca="false">IF(OR(GO$4="",$B19=""),0,SUMIF('DADOS BRUTOS'!$A$3:$A$500,$B19,'DADOS BRUTOS'!DO$3:DO$500)+IF($C19="",0,SUMIF('DADOS BRUTOS'!$A$3:$A$500,$C19,'DADOS BRUTOS'!DO$3:DO$500)))</f>
        <v>0</v>
      </c>
      <c r="GP19" s="133" t="n">
        <f aca="false">IF(OR(GP$4="",$B19=""),0,SUMIF('DADOS BRUTOS'!$A$3:$A$500,$B19,'DADOS BRUTOS'!DP$3:DP$500)+IF($C19="",0,SUMIF('DADOS BRUTOS'!$A$3:$A$500,$C19,'DADOS BRUTOS'!DP$3:DP$500)))</f>
        <v>0</v>
      </c>
      <c r="GQ19" s="133" t="n">
        <f aca="false">IF(OR(GQ$4="",$B19=""),0,SUMIF('DADOS BRUTOS'!$A$3:$A$500,$B19,'DADOS BRUTOS'!DQ$3:DQ$500)+IF($C19="",0,SUMIF('DADOS BRUTOS'!$A$3:$A$500,$C19,'DADOS BRUTOS'!DQ$3:DQ$500)))</f>
        <v>0</v>
      </c>
      <c r="GR19" s="133" t="n">
        <f aca="false">IF(OR(GR$4="",$B19=""),0,SUMIF('DADOS BRUTOS'!$A$3:$A$500,$B19,'DADOS BRUTOS'!DR$3:DR$500)+IF($C19="",0,SUMIF('DADOS BRUTOS'!$A$3:$A$500,$C19,'DADOS BRUTOS'!DR$3:DR$500)))</f>
        <v>0</v>
      </c>
      <c r="GS19" s="133" t="n">
        <f aca="false">IF(OR(GS$4="",$B19=""),0,SUMIF('DADOS BRUTOS'!$A$3:$A$500,$B19,'DADOS BRUTOS'!DS$3:DS$500)+IF($C19="",0,SUMIF('DADOS BRUTOS'!$A$3:$A$500,$C19,'DADOS BRUTOS'!DS$3:DS$500)))</f>
        <v>0</v>
      </c>
      <c r="GT19" s="133" t="n">
        <f aca="false">IF(OR(GT$4="",$B19=""),0,SUMIF('DADOS BRUTOS'!$A$3:$A$500,$B19,'DADOS BRUTOS'!DT$3:DT$500)+IF($C19="",0,SUMIF('DADOS BRUTOS'!$A$3:$A$500,$C19,'DADOS BRUTOS'!DT$3:DT$500)))</f>
        <v>0</v>
      </c>
      <c r="GU19" s="133" t="n">
        <f aca="false">IF(OR(GU$4="",$B19=""),0,SUMIF('DADOS BRUTOS'!$A$3:$A$500,$B19,'DADOS BRUTOS'!DU$3:DU$500)+IF($C19="",0,SUMIF('DADOS BRUTOS'!$A$3:$A$500,$C19,'DADOS BRUTOS'!DU$3:DU$500)))</f>
        <v>0</v>
      </c>
      <c r="GV19" s="133" t="n">
        <f aca="false">IF(OR(GV$4="",$B19=""),0,SUMIF('DADOS BRUTOS'!$A$3:$A$500,$B19,'DADOS BRUTOS'!DV$3:DV$500)+IF($C19="",0,SUMIF('DADOS BRUTOS'!$A$3:$A$500,$C19,'DADOS BRUTOS'!DV$3:DV$500)))</f>
        <v>0</v>
      </c>
      <c r="GW19" s="133" t="n">
        <f aca="false">IF(OR(GW$4="",$B19=""),0,SUMIF('DADOS BRUTOS'!$A$3:$A$500,$B19,'DADOS BRUTOS'!DW$3:DW$500)+IF($C19="",0,SUMIF('DADOS BRUTOS'!$A$3:$A$500,$C19,'DADOS BRUTOS'!DW$3:DW$500)))</f>
        <v>0</v>
      </c>
      <c r="GX19" s="133" t="n">
        <f aca="false">IF(OR(GX$4="",$B19=""),0,SUMIF('DADOS BRUTOS'!$A$3:$A$500,$B19,'DADOS BRUTOS'!DX$3:DX$500)+IF($C19="",0,SUMIF('DADOS BRUTOS'!$A$3:$A$500,$C19,'DADOS BRUTOS'!DX$3:DX$500)))</f>
        <v>0</v>
      </c>
      <c r="GY19" s="133" t="n">
        <f aca="false">IF(OR(GY$4="",$B19=""),0,SUMIF('DADOS BRUTOS'!$A$3:$A$500,$B19,'DADOS BRUTOS'!DY$3:DY$500)+IF($C19="",0,SUMIF('DADOS BRUTOS'!$A$3:$A$500,$C19,'DADOS BRUTOS'!DY$3:DY$500)))</f>
        <v>0</v>
      </c>
      <c r="GZ19" s="133" t="n">
        <f aca="false">IF(OR(GZ$4="",$B19=""),0,SUMIF('DADOS BRUTOS'!$A$3:$A$500,$B19,'DADOS BRUTOS'!DZ$3:DZ$500)+IF($C19="",0,SUMIF('DADOS BRUTOS'!$A$3:$A$500,$C19,'DADOS BRUTOS'!DZ$3:DZ$500)))</f>
        <v>0</v>
      </c>
      <c r="HA19" s="133" t="n">
        <f aca="false">IF(OR(HA$4="",$B19=""),0,SUMIF('DADOS BRUTOS'!$A$3:$A$500,$B19,'DADOS BRUTOS'!EA$3:EA$500)+IF($C19="",0,SUMIF('DADOS BRUTOS'!$A$3:$A$500,$C19,'DADOS BRUTOS'!EA$3:EA$500)))</f>
        <v>0</v>
      </c>
      <c r="HB19" s="133" t="n">
        <f aca="false">IF(OR(HB$4="",$B19=""),0,SUMIF('DADOS BRUTOS'!$A$3:$A$500,$B19,'DADOS BRUTOS'!EB$3:EB$500)+IF($C19="",0,SUMIF('DADOS BRUTOS'!$A$3:$A$500,$C19,'DADOS BRUTOS'!EB$3:EB$500)))</f>
        <v>0</v>
      </c>
      <c r="HC19" s="133" t="n">
        <f aca="false">IF(OR(HC$4="",$B19=""),0,SUMIF('DADOS BRUTOS'!$A$3:$A$500,$B19,'DADOS BRUTOS'!EC$3:EC$500)+IF($C19="",0,SUMIF('DADOS BRUTOS'!$A$3:$A$500,$C19,'DADOS BRUTOS'!EC$3:EC$500)))</f>
        <v>0</v>
      </c>
      <c r="HD19" s="133" t="n">
        <f aca="false">IF(OR(HD$4="",$B19=""),0,SUMIF('DADOS BRUTOS'!$A$3:$A$500,$B19,'DADOS BRUTOS'!ED$3:ED$500)+IF($C19="",0,SUMIF('DADOS BRUTOS'!$A$3:$A$500,$C19,'DADOS BRUTOS'!ED$3:ED$500)))</f>
        <v>0</v>
      </c>
      <c r="HE19" s="133" t="n">
        <f aca="false">IF(OR(HE$4="",$B19=""),0,SUMIF('DADOS BRUTOS'!$A$3:$A$500,$B19,'DADOS BRUTOS'!EE$3:EE$500)+IF($C19="",0,SUMIF('DADOS BRUTOS'!$A$3:$A$500,$C19,'DADOS BRUTOS'!EE$3:EE$500)))</f>
        <v>0</v>
      </c>
      <c r="HF19" s="133" t="n">
        <f aca="false">IF(OR(HF$4="",$B19=""),0,SUMIF('DADOS BRUTOS'!$A$3:$A$500,$B19,'DADOS BRUTOS'!EF$3:EF$500)+IF($C19="",0,SUMIF('DADOS BRUTOS'!$A$3:$A$500,$C19,'DADOS BRUTOS'!EF$3:EF$500)))</f>
        <v>0</v>
      </c>
      <c r="HG19" s="133" t="n">
        <f aca="false">IF(OR(HG$4="",$B19=""),0,SUMIF('DADOS BRUTOS'!$A$3:$A$500,$B19,'DADOS BRUTOS'!EG$3:EG$500)+IF($C19="",0,SUMIF('DADOS BRUTOS'!$A$3:$A$500,$C19,'DADOS BRUTOS'!EG$3:EG$500)))</f>
        <v>0</v>
      </c>
      <c r="HH19" s="133" t="n">
        <f aca="false">IF(OR(HH$4="",$B19=""),0,SUMIF('DADOS BRUTOS'!$A$3:$A$500,$B19,'DADOS BRUTOS'!EH$3:EH$500)+IF($C19="",0,SUMIF('DADOS BRUTOS'!$A$3:$A$500,$C19,'DADOS BRUTOS'!EH$3:EH$500)))</f>
        <v>0</v>
      </c>
      <c r="HI19" s="133" t="n">
        <f aca="false">IF(OR(HI$4="",$B19=""),0,SUMIF('DADOS BRUTOS'!$A$3:$A$500,$B19,'DADOS BRUTOS'!EI$3:EI$500)+IF($C19="",0,SUMIF('DADOS BRUTOS'!$A$3:$A$500,$C19,'DADOS BRUTOS'!EI$3:EI$500)))</f>
        <v>0</v>
      </c>
      <c r="HJ19" s="133" t="n">
        <f aca="false">IF(OR(HJ$4="",$B19=""),0,SUMIF('DADOS BRUTOS'!$A$3:$A$500,$B19,'DADOS BRUTOS'!EJ$3:EJ$500)+IF($C19="",0,SUMIF('DADOS BRUTOS'!$A$3:$A$500,$C19,'DADOS BRUTOS'!EJ$3:EJ$500)))</f>
        <v>0</v>
      </c>
      <c r="HK19" s="133" t="n">
        <f aca="false">IF(OR(HK$4="",$B19=""),0,SUMIF('DADOS BRUTOS'!$A$3:$A$500,$B19,'DADOS BRUTOS'!EK$3:EK$500)+IF($C19="",0,SUMIF('DADOS BRUTOS'!$A$3:$A$500,$C19,'DADOS BRUTOS'!EK$3:EK$500)))</f>
        <v>0</v>
      </c>
      <c r="HL19" s="133" t="n">
        <f aca="false">IF(OR(HL$4="",$B19=""),0,SUMIF('DADOS BRUTOS'!$A$3:$A$500,$B19,'DADOS BRUTOS'!EL$3:EL$500)+IF($C19="",0,SUMIF('DADOS BRUTOS'!$A$3:$A$500,$C19,'DADOS BRUTOS'!EL$3:EL$500)))</f>
        <v>0</v>
      </c>
      <c r="HM19" s="133" t="n">
        <f aca="false">IF(OR(HM$4="",$B19=""),0,SUMIF('DADOS BRUTOS'!$A$3:$A$500,$B19,'DADOS BRUTOS'!EM$3:EM$500)+IF($C19="",0,SUMIF('DADOS BRUTOS'!$A$3:$A$500,$C19,'DADOS BRUTOS'!EM$3:EM$500)))</f>
        <v>0</v>
      </c>
      <c r="HN19" s="133" t="n">
        <f aca="false">IF(OR(HN$4="",$B19=""),0,SUMIF('DADOS BRUTOS'!$A$3:$A$500,$B19,'DADOS BRUTOS'!EN$3:EN$500)+IF($C19="",0,SUMIF('DADOS BRUTOS'!$A$3:$A$500,$C19,'DADOS BRUTOS'!EN$3:EN$500)))</f>
        <v>0</v>
      </c>
      <c r="HO19" s="133" t="n">
        <f aca="false">IF(OR(HO$4="",$B19=""),0,SUMIF('DADOS BRUTOS'!$A$3:$A$500,$B19,'DADOS BRUTOS'!EO$3:EO$500)+IF($C19="",0,SUMIF('DADOS BRUTOS'!$A$3:$A$500,$C19,'DADOS BRUTOS'!EO$3:EO$500)))</f>
        <v>0</v>
      </c>
      <c r="HP19" s="133" t="n">
        <f aca="false">IF(OR(HP$4="",$B19=""),0,SUMIF('DADOS BRUTOS'!$A$3:$A$500,$B19,'DADOS BRUTOS'!EP$3:EP$500)+IF($C19="",0,SUMIF('DADOS BRUTOS'!$A$3:$A$500,$C19,'DADOS BRUTOS'!EP$3:EP$500)))</f>
        <v>0</v>
      </c>
      <c r="HQ19" s="133" t="n">
        <f aca="false">IF(OR(HQ$4="",$B19=""),0,SUMIF('DADOS BRUTOS'!$A$3:$A$500,$B19,'DADOS BRUTOS'!EQ$3:EQ$500)+IF($C19="",0,SUMIF('DADOS BRUTOS'!$A$3:$A$500,$C19,'DADOS BRUTOS'!EQ$3:EQ$500)))</f>
        <v>0</v>
      </c>
      <c r="HR19" s="133" t="n">
        <f aca="false">IF(OR(HR$4="",$B19=""),0,SUMIF('DADOS BRUTOS'!$A$3:$A$500,$B19,'DADOS BRUTOS'!ER$3:ER$500)+IF($C19="",0,SUMIF('DADOS BRUTOS'!$A$3:$A$500,$C19,'DADOS BRUTOS'!ER$3:ER$500)))</f>
        <v>0</v>
      </c>
      <c r="HS19" s="133" t="n">
        <f aca="false">IF(OR(HS$4="",$B19=""),0,SUMIF('DADOS BRUTOS'!$A$3:$A$500,$B19,'DADOS BRUTOS'!ES$3:ES$500)+IF($C19="",0,SUMIF('DADOS BRUTOS'!$A$3:$A$500,$C19,'DADOS BRUTOS'!ES$3:ES$500)))</f>
        <v>0</v>
      </c>
      <c r="HT19" s="133" t="n">
        <f aca="false">IF(OR(HT$4="",$B19=""),0,SUMIF('DADOS BRUTOS'!$A$3:$A$500,$B19,'DADOS BRUTOS'!ET$3:ET$500)+IF($C19="",0,SUMIF('DADOS BRUTOS'!$A$3:$A$500,$C19,'DADOS BRUTOS'!ET$3:ET$500)))</f>
        <v>0</v>
      </c>
      <c r="HU19" s="133" t="n">
        <f aca="false">IF(OR(HU$4="",$B19=""),0,SUMIF('DADOS BRUTOS'!$A$3:$A$500,$B19,'DADOS BRUTOS'!EU$3:EU$500)+IF($C19="",0,SUMIF('DADOS BRUTOS'!$A$3:$A$500,$C19,'DADOS BRUTOS'!EU$3:EU$500)))</f>
        <v>0</v>
      </c>
      <c r="HV19" s="133" t="n">
        <f aca="false">IF(OR(HV$4="",$B19=""),0,SUMIF('DADOS BRUTOS'!$A$3:$A$500,$B19,'DADOS BRUTOS'!EV$3:EV$500)+IF($C19="",0,SUMIF('DADOS BRUTOS'!$A$3:$A$500,$C19,'DADOS BRUTOS'!EV$3:EV$500)))</f>
        <v>0</v>
      </c>
      <c r="HW19" s="133" t="n">
        <f aca="false">IF(OR(HW$4="",$B19=""),0,SUMIF('DADOS BRUTOS'!$A$3:$A$500,$B19,'DADOS BRUTOS'!EW$3:EW$500)+IF($C19="",0,SUMIF('DADOS BRUTOS'!$A$3:$A$500,$C19,'DADOS BRUTOS'!EW$3:EW$500)))</f>
        <v>0</v>
      </c>
      <c r="HX19" s="133" t="n">
        <f aca="false">IF(OR(HX$4="",$B19=""),0,SUMIF('DADOS BRUTOS'!$A$3:$A$500,$B19,'DADOS BRUTOS'!EX$3:EX$500)+IF($C19="",0,SUMIF('DADOS BRUTOS'!$A$3:$A$500,$C19,'DADOS BRUTOS'!EX$3:EX$500)))</f>
        <v>0</v>
      </c>
      <c r="HY19" s="133" t="n">
        <f aca="false">IF(OR(HY$4="",$B19=""),0,SUMIF('DADOS BRUTOS'!$A$3:$A$500,$B19,'DADOS BRUTOS'!EY$3:EY$500)+IF($C19="",0,SUMIF('DADOS BRUTOS'!$A$3:$A$500,$C19,'DADOS BRUTOS'!EY$3:EY$500)))</f>
        <v>0</v>
      </c>
      <c r="HZ19" s="133" t="n">
        <f aca="false">IF(OR(HZ$4="",$B19=""),0,SUMIF('DADOS BRUTOS'!$A$3:$A$500,$B19,'DADOS BRUTOS'!EZ$3:EZ$500)+IF($C19="",0,SUMIF('DADOS BRUTOS'!$A$3:$A$500,$C19,'DADOS BRUTOS'!EZ$3:EZ$500)))</f>
        <v>0</v>
      </c>
      <c r="IA19" s="133" t="n">
        <f aca="false">IF(OR(IA$4="",$B19=""),0,SUMIF('DADOS BRUTOS'!$A$3:$A$500,$B19,'DADOS BRUTOS'!FA$3:FA$500)+IF($C19="",0,SUMIF('DADOS BRUTOS'!$A$3:$A$500,$C19,'DADOS BRUTOS'!FA$3:FA$500)))</f>
        <v>0</v>
      </c>
      <c r="IB19" s="133" t="n">
        <f aca="false">IF(OR(IB$4="",$B19=""),0,SUMIF('DADOS BRUTOS'!$A$3:$A$500,$B19,'DADOS BRUTOS'!FB$3:FB$500)+IF($C19="",0,SUMIF('DADOS BRUTOS'!$A$3:$A$500,$C19,'DADOS BRUTOS'!FB$3:FB$500)))</f>
        <v>0</v>
      </c>
      <c r="IC19" s="133" t="n">
        <f aca="false">IF(OR(IC$4="",$B19=""),0,SUMIF('DADOS BRUTOS'!$A$3:$A$500,$B19,'DADOS BRUTOS'!FC$3:FC$500)+IF($C19="",0,SUMIF('DADOS BRUTOS'!$A$3:$A$500,$C19,'DADOS BRUTOS'!FC$3:FC$500)))</f>
        <v>0</v>
      </c>
      <c r="ID19" s="133" t="n">
        <f aca="false">IF(OR(ID$4="",$B19=""),0,SUMIF('DADOS BRUTOS'!$A$3:$A$500,$B19,'DADOS BRUTOS'!FD$3:FD$500)+IF($C19="",0,SUMIF('DADOS BRUTOS'!$A$3:$A$500,$C19,'DADOS BRUTOS'!FD$3:FD$500)))</f>
        <v>0</v>
      </c>
      <c r="IE19" s="133" t="n">
        <f aca="false">IF(OR(IE$4="",$B19=""),0,SUMIF('DADOS BRUTOS'!$A$3:$A$500,$B19,'DADOS BRUTOS'!FE$3:FE$500)+IF($C19="",0,SUMIF('DADOS BRUTOS'!$A$3:$A$500,$C19,'DADOS BRUTOS'!FE$3:FE$500)))</f>
        <v>0</v>
      </c>
      <c r="IF19" s="133" t="n">
        <f aca="false">IF(OR(IF$4="",$B19=""),0,SUMIF('DADOS BRUTOS'!$A$3:$A$500,$B19,'DADOS BRUTOS'!FF$3:FF$500)+IF($C19="",0,SUMIF('DADOS BRUTOS'!$A$3:$A$500,$C19,'DADOS BRUTOS'!FF$3:FF$500)))</f>
        <v>0</v>
      </c>
      <c r="IG19" s="133" t="n">
        <f aca="false">IF(OR(IG$4="",$B19=""),0,SUMIF('DADOS BRUTOS'!$A$3:$A$500,$B19,'DADOS BRUTOS'!FG$3:FG$500)+IF($C19="",0,SUMIF('DADOS BRUTOS'!$A$3:$A$500,$C19,'DADOS BRUTOS'!FG$3:FG$500)))</f>
        <v>0</v>
      </c>
      <c r="IH19" s="133" t="n">
        <f aca="false">IF(OR(IH$4="",$B19=""),0,SUMIF('DADOS BRUTOS'!$A$3:$A$500,$B19,'DADOS BRUTOS'!FH$3:FH$500)+IF($C19="",0,SUMIF('DADOS BRUTOS'!$A$3:$A$500,$C19,'DADOS BRUTOS'!FH$3:FH$500)))</f>
        <v>0</v>
      </c>
      <c r="II19" s="133" t="n">
        <f aca="false">IF(OR(II$4="",$B19=""),0,SUMIF('DADOS BRUTOS'!$A$3:$A$500,$B19,'DADOS BRUTOS'!FI$3:FI$500)+IF($C19="",0,SUMIF('DADOS BRUTOS'!$A$3:$A$500,$C19,'DADOS BRUTOS'!FI$3:FI$500)))</f>
        <v>0</v>
      </c>
      <c r="IJ19" s="133" t="n">
        <f aca="false">IF(OR(IJ$4="",$B19=""),0,SUMIF('DADOS BRUTOS'!$A$3:$A$500,$B19,'DADOS BRUTOS'!FJ$3:FJ$500)+IF($C19="",0,SUMIF('DADOS BRUTOS'!$A$3:$A$500,$C19,'DADOS BRUTOS'!FJ$3:FJ$500)))</f>
        <v>0</v>
      </c>
      <c r="IK19" s="133" t="n">
        <f aca="false">IF(OR(IK$4="",$B19=""),0,SUMIF('DADOS BRUTOS'!$A$3:$A$500,$B19,'DADOS BRUTOS'!FK$3:FK$500)+IF($C19="",0,SUMIF('DADOS BRUTOS'!$A$3:$A$500,$C19,'DADOS BRUTOS'!FK$3:FK$500)))</f>
        <v>0</v>
      </c>
      <c r="IL19" s="133" t="n">
        <f aca="false">IF(OR(IL$4="",$B19=""),0,SUMIF('DADOS BRUTOS'!$A$3:$A$500,$B19,'DADOS BRUTOS'!FL$3:FL$500)+IF($C19="",0,SUMIF('DADOS BRUTOS'!$A$3:$A$500,$C19,'DADOS BRUTOS'!FL$3:FL$500)))</f>
        <v>0</v>
      </c>
      <c r="IM19" s="133" t="n">
        <f aca="false">IF(OR(IM$4="",$B19=""),0,SUMIF('DADOS BRUTOS'!$A$3:$A$500,$B19,'DADOS BRUTOS'!FM$3:FM$500)+IF($C19="",0,SUMIF('DADOS BRUTOS'!$A$3:$A$500,$C19,'DADOS BRUTOS'!FM$3:FM$500)))</f>
        <v>0</v>
      </c>
      <c r="IN19" s="133" t="n">
        <f aca="false">IF(OR(IN$4="",$B19=""),0,SUMIF('DADOS BRUTOS'!$A$3:$A$500,$B19,'DADOS BRUTOS'!FN$3:FN$500)+IF($C19="",0,SUMIF('DADOS BRUTOS'!$A$3:$A$500,$C19,'DADOS BRUTOS'!FN$3:FN$500)))</f>
        <v>0</v>
      </c>
      <c r="IO19" s="133" t="n">
        <f aca="false">IF(OR(IO$4="",$B19=""),0,SUMIF('DADOS BRUTOS'!$A$3:$A$500,$B19,'DADOS BRUTOS'!FO$3:FO$500)+IF($C19="",0,SUMIF('DADOS BRUTOS'!$A$3:$A$500,$C19,'DADOS BRUTOS'!FO$3:FO$500)))</f>
        <v>0</v>
      </c>
      <c r="IP19" s="133" t="n">
        <f aca="false">IF(OR(IP$4="",$B19=""),0,SUMIF('DADOS BRUTOS'!$A$3:$A$500,$B19,'DADOS BRUTOS'!FP$3:FP$500)+IF($C19="",0,SUMIF('DADOS BRUTOS'!$A$3:$A$500,$C19,'DADOS BRUTOS'!FP$3:FP$500)))</f>
        <v>0</v>
      </c>
      <c r="IQ19" s="133" t="n">
        <f aca="false">IF(OR(IQ$4="",$B19=""),0,SUMIF('DADOS BRUTOS'!$A$3:$A$500,$B19,'DADOS BRUTOS'!FQ$3:FQ$500)+IF($C19="",0,SUMIF('DADOS BRUTOS'!$A$3:$A$500,$C19,'DADOS BRUTOS'!FQ$3:FQ$500)))</f>
        <v>0</v>
      </c>
      <c r="IR19" s="133" t="n">
        <f aca="false">IF(OR(IR$4="",$B19=""),0,SUMIF('DADOS BRUTOS'!$A$3:$A$500,$B19,'DADOS BRUTOS'!FR$3:FR$500)+IF($C19="",0,SUMIF('DADOS BRUTOS'!$A$3:$A$500,$C19,'DADOS BRUTOS'!FR$3:FR$500)))</f>
        <v>0</v>
      </c>
      <c r="IS19" s="133" t="n">
        <f aca="false">IF(OR(IS$4="",$B19=""),0,SUMIF('DADOS BRUTOS'!$A$3:$A$500,$B19,'DADOS BRUTOS'!FS$3:FS$500)+IF($C19="",0,SUMIF('DADOS BRUTOS'!$A$3:$A$500,$C19,'DADOS BRUTOS'!FS$3:FS$500)))</f>
        <v>0</v>
      </c>
      <c r="IT19" s="133" t="n">
        <f aca="false">IF(OR(IT$4="",$B19=""),0,SUMIF('DADOS BRUTOS'!$A$3:$A$500,$B19,'DADOS BRUTOS'!FT$3:FT$500)+IF($C19="",0,SUMIF('DADOS BRUTOS'!$A$3:$A$500,$C19,'DADOS BRUTOS'!FT$3:FT$500)))</f>
        <v>0</v>
      </c>
      <c r="IU19" s="133" t="n">
        <f aca="false">IF(OR(IU$4="",$B19=""),0,SUMIF('DADOS BRUTOS'!$A$3:$A$500,$B19,'DADOS BRUTOS'!FU$3:FU$500)+IF($C19="",0,SUMIF('DADOS BRUTOS'!$A$3:$A$500,$C19,'DADOS BRUTOS'!FU$3:FU$500)))</f>
        <v>0</v>
      </c>
      <c r="IV19" s="133" t="n">
        <f aca="false">IF(OR(IV$4="",$B19=""),0,SUMIF('DADOS BRUTOS'!$A$3:$A$500,$B19,'DADOS BRUTOS'!FV$3:FV$500)+IF($C19="",0,SUMIF('DADOS BRUTOS'!$A$3:$A$500,$C19,'DADOS BRUTOS'!FV$3:FV$500)))</f>
        <v>0</v>
      </c>
      <c r="IW19" s="133" t="n">
        <f aca="false">IF(OR(IW$4="",$B19=""),0,SUMIF('DADOS BRUTOS'!$A$3:$A$500,$B19,'DADOS BRUTOS'!FW$3:FW$500)+IF($C19="",0,SUMIF('DADOS BRUTOS'!$A$3:$A$500,$C19,'DADOS BRUTOS'!FW$3:FW$500)))</f>
        <v>0</v>
      </c>
      <c r="IX19" s="133" t="n">
        <f aca="false">IF(OR(IX$4="",$B19=""),0,SUMIF('DADOS BRUTOS'!$A$3:$A$500,$B19,'DADOS BRUTOS'!FX$3:FX$500)+IF($C19="",0,SUMIF('DADOS BRUTOS'!$A$3:$A$500,$C19,'DADOS BRUTOS'!FX$3:FX$500)))</f>
        <v>0</v>
      </c>
      <c r="IY19" s="133" t="n">
        <f aca="false">IF(OR(IY$4="",$B19=""),0,SUMIF('DADOS BRUTOS'!$A$3:$A$500,$B19,'DADOS BRUTOS'!FY$3:FY$500)+IF($C19="",0,SUMIF('DADOS BRUTOS'!$A$3:$A$500,$C19,'DADOS BRUTOS'!FY$3:FY$500)))</f>
        <v>0</v>
      </c>
      <c r="IZ19" s="133" t="n">
        <f aca="false">IF(OR(IZ$4="",$B19=""),0,SUMIF('DADOS BRUTOS'!$A$3:$A$500,$B19,'DADOS BRUTOS'!FZ$3:FZ$500)+IF($C19="",0,SUMIF('DADOS BRUTOS'!$A$3:$A$500,$C19,'DADOS BRUTOS'!FZ$3:FZ$500)))</f>
        <v>0</v>
      </c>
      <c r="JA19" s="133" t="n">
        <f aca="false">IF(OR(JA$4="",$B19=""),0,SUMIF('DADOS BRUTOS'!$A$3:$A$500,$B19,'DADOS BRUTOS'!GA$3:GA$500)+IF($C19="",0,SUMIF('DADOS BRUTOS'!$A$3:$A$500,$C19,'DADOS BRUTOS'!GA$3:GA$500)))</f>
        <v>0</v>
      </c>
      <c r="JB19" s="133" t="n">
        <f aca="false">IF(OR(JB$4="",$B19=""),0,SUMIF('DADOS BRUTOS'!$A$3:$A$500,$B19,'DADOS BRUTOS'!GB$3:GB$500)+IF($C19="",0,SUMIF('DADOS BRUTOS'!$A$3:$A$500,$C19,'DADOS BRUTOS'!GB$3:GB$500)))</f>
        <v>0</v>
      </c>
      <c r="JC19" s="133" t="n">
        <f aca="false">IF(OR(JC$4="",$B19=""),0,SUMIF('DADOS BRUTOS'!$A$3:$A$500,$B19,'DADOS BRUTOS'!GC$3:GC$500)+IF($C19="",0,SUMIF('DADOS BRUTOS'!$A$3:$A$500,$C19,'DADOS BRUTOS'!GC$3:GC$500)))</f>
        <v>0</v>
      </c>
      <c r="JD19" s="133" t="n">
        <f aca="false">IF(OR(JD$4="",$B19=""),0,SUMIF('DADOS BRUTOS'!$A$3:$A$500,$B19,'DADOS BRUTOS'!GD$3:GD$500)+IF($C19="",0,SUMIF('DADOS BRUTOS'!$A$3:$A$500,$C19,'DADOS BRUTOS'!GD$3:GD$500)))</f>
        <v>0</v>
      </c>
      <c r="JE19" s="133" t="n">
        <f aca="false">IF(OR(JE$4="",$B19=""),0,SUMIF('DADOS BRUTOS'!$A$3:$A$500,$B19,'DADOS BRUTOS'!GE$3:GE$500)+IF($C19="",0,SUMIF('DADOS BRUTOS'!$A$3:$A$500,$C19,'DADOS BRUTOS'!GE$3:GE$500)))</f>
        <v>0</v>
      </c>
      <c r="JF19" s="133" t="n">
        <f aca="false">IF(OR(JF$4="",$B19=""),0,SUMIF('DADOS BRUTOS'!$A$3:$A$500,$B19,'DADOS BRUTOS'!GF$3:GF$500)+IF($C19="",0,SUMIF('DADOS BRUTOS'!$A$3:$A$500,$C19,'DADOS BRUTOS'!GF$3:GF$500)))</f>
        <v>0</v>
      </c>
      <c r="JG19" s="133" t="n">
        <f aca="false">IF(OR(JG$4="",$B19=""),0,SUMIF('DADOS BRUTOS'!$A$3:$A$500,$B19,'DADOS BRUTOS'!GG$3:GG$500)+IF($C19="",0,SUMIF('DADOS BRUTOS'!$A$3:$A$500,$C19,'DADOS BRUTOS'!GG$3:GG$500)))</f>
        <v>0</v>
      </c>
      <c r="JH19" s="133" t="n">
        <f aca="false">IF(OR(JH$4="",$B19=""),0,SUMIF('DADOS BRUTOS'!$A$3:$A$500,$B19,'DADOS BRUTOS'!GH$3:GH$500)+IF($C19="",0,SUMIF('DADOS BRUTOS'!$A$3:$A$500,$C19,'DADOS BRUTOS'!GH$3:GH$500)))</f>
        <v>0</v>
      </c>
      <c r="JI19" s="133" t="n">
        <f aca="false">IF(OR(JI$4="",$B19=""),0,SUMIF('DADOS BRUTOS'!$A$3:$A$500,$B19,'DADOS BRUTOS'!GI$3:GI$500)+IF($C19="",0,SUMIF('DADOS BRUTOS'!$A$3:$A$500,$C19,'DADOS BRUTOS'!GI$3:GI$500)))</f>
        <v>0</v>
      </c>
      <c r="JJ19" s="133" t="n">
        <f aca="false">IF(OR(JJ$4="",$B19=""),0,SUMIF('DADOS BRUTOS'!$A$3:$A$500,$B19,'DADOS BRUTOS'!GJ$3:GJ$500)+IF($C19="",0,SUMIF('DADOS BRUTOS'!$A$3:$A$500,$C19,'DADOS BRUTOS'!GJ$3:GJ$500)))</f>
        <v>0</v>
      </c>
      <c r="JK19" s="133" t="n">
        <f aca="false">IF(OR(JK$4="",$B19=""),0,SUMIF('DADOS BRUTOS'!$A$3:$A$500,$B19,'DADOS BRUTOS'!GK$3:GK$500)+IF($C19="",0,SUMIF('DADOS BRUTOS'!$A$3:$A$500,$C19,'DADOS BRUTOS'!GK$3:GK$500)))</f>
        <v>0</v>
      </c>
      <c r="JL19" s="133" t="n">
        <f aca="false">IF(OR(JL$4="",$B19=""),0,SUMIF('DADOS BRUTOS'!$A$3:$A$500,$B19,'DADOS BRUTOS'!GL$3:GL$500)+IF($C19="",0,SUMIF('DADOS BRUTOS'!$A$3:$A$500,$C19,'DADOS BRUTOS'!GL$3:GL$500)))</f>
        <v>0</v>
      </c>
      <c r="JM19" s="133" t="n">
        <f aca="false">IF(OR(JM$4="",$B19=""),0,SUMIF('DADOS BRUTOS'!$A$3:$A$500,$B19,'DADOS BRUTOS'!GM$3:GM$500)+IF($C19="",0,SUMIF('DADOS BRUTOS'!$A$3:$A$500,$C19,'DADOS BRUTOS'!GM$3:GM$500)))</f>
        <v>0</v>
      </c>
      <c r="JN19" s="133" t="n">
        <f aca="false">IF(OR(JN$4="",$B19=""),0,SUMIF('DADOS BRUTOS'!$A$3:$A$500,$B19,'DADOS BRUTOS'!GN$3:GN$500)+IF($C19="",0,SUMIF('DADOS BRUTOS'!$A$3:$A$500,$C19,'DADOS BRUTOS'!GN$3:GN$500)))</f>
        <v>0</v>
      </c>
      <c r="JO19" s="133" t="n">
        <f aca="false">IF(OR(JO$4="",$B19=""),0,SUMIF('DADOS BRUTOS'!$A$3:$A$500,$B19,'DADOS BRUTOS'!GO$3:GO$500)+IF($C19="",0,SUMIF('DADOS BRUTOS'!$A$3:$A$500,$C19,'DADOS BRUTOS'!GO$3:GO$500)))</f>
        <v>0</v>
      </c>
      <c r="JP19" s="133" t="n">
        <f aca="false">IF(OR(JP$4="",$B19=""),0,SUMIF('DADOS BRUTOS'!$A$3:$A$500,$B19,'DADOS BRUTOS'!GP$3:GP$500)+IF($C19="",0,SUMIF('DADOS BRUTOS'!$A$3:$A$500,$C19,'DADOS BRUTOS'!GP$3:GP$500)))</f>
        <v>0</v>
      </c>
      <c r="JQ19" s="133" t="n">
        <f aca="false">IF(OR(JQ$4="",$B19=""),0,SUMIF('DADOS BRUTOS'!$A$3:$A$500,$B19,'DADOS BRUTOS'!GQ$3:GQ$500)+IF($C19="",0,SUMIF('DADOS BRUTOS'!$A$3:$A$500,$C19,'DADOS BRUTOS'!GQ$3:GQ$500)))</f>
        <v>0</v>
      </c>
      <c r="JR19" s="133" t="n">
        <f aca="false">IF(OR(JR$4="",$B19=""),0,SUMIF('DADOS BRUTOS'!$A$3:$A$500,$B19,'DADOS BRUTOS'!GR$3:GR$500)+IF($C19="",0,SUMIF('DADOS BRUTOS'!$A$3:$A$500,$C19,'DADOS BRUTOS'!GR$3:GR$500)))</f>
        <v>0</v>
      </c>
      <c r="JS19" s="133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44065.17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0</v>
      </c>
      <c r="H20" s="50" t="n">
        <f aca="false">SUMIF($CB$4:$JS$4,H$4,$CB20:$JS20)</f>
        <v>0</v>
      </c>
      <c r="I20" s="50" t="n">
        <f aca="false">SUMIF($CB$4:$JS$4,I$4,$CB20:$JS20)</f>
        <v>0</v>
      </c>
      <c r="J20" s="50" t="n">
        <f aca="false">SUMIF($CB$4:$JS$4,J$4,$CB20:$JS20)</f>
        <v>9788.63</v>
      </c>
      <c r="K20" s="50" t="n">
        <f aca="false">SUMIF($CB$4:$JS$4,K$4,$CB20:$JS20)</f>
        <v>94552.16</v>
      </c>
      <c r="L20" s="50" t="n">
        <f aca="false">SUMIF($CB$4:$JS$4,L$4,$CB20:$JS20)</f>
        <v>109831.95</v>
      </c>
      <c r="M20" s="50" t="n">
        <f aca="false">SUMIF($CB$4:$JS$4,M$4,$CB20:$JS20)</f>
        <v>85584.02</v>
      </c>
      <c r="N20" s="50" t="n">
        <f aca="false">SUMIF($CB$4:$JS$4,N$4,$CB20:$JS20)</f>
        <v>265948.17</v>
      </c>
      <c r="O20" s="50" t="n">
        <f aca="false">SUMIF($CB$4:$JS$4,O$4,$CB20:$JS20)</f>
        <v>1002170.99</v>
      </c>
      <c r="P20" s="50" t="n">
        <f aca="false">SUMIF($CB$4:$JS$4,P$4,$CB20:$JS20)</f>
        <v>320952.69</v>
      </c>
      <c r="Q20" s="50" t="n">
        <f aca="false">SUMIF($CB$4:$JS$4,Q$4,$CB20:$JS20)</f>
        <v>74218.96</v>
      </c>
      <c r="R20" s="50" t="n">
        <f aca="false">SUMIF($CB$4:$JS$4,R$4,$CB20:$JS20)</f>
        <v>0</v>
      </c>
      <c r="S20" s="50" t="n">
        <f aca="false">SUMIF($CB$4:$JS$4,S$4,$CB20:$JS20)</f>
        <v>40087.65</v>
      </c>
      <c r="T20" s="50" t="n">
        <f aca="false">SUMIF($CB$4:$JS$4,T$4,$CB20:$JS20)</f>
        <v>1739.23</v>
      </c>
      <c r="U20" s="50" t="n">
        <f aca="false">SUMIF($CB$4:$JS$4,U$4,$CB20:$JS20)</f>
        <v>139157.18</v>
      </c>
      <c r="V20" s="50" t="n">
        <f aca="false">SUMIF($CB$4:$JS$4,V$4,$CB20:$JS20)</f>
        <v>40129.4</v>
      </c>
      <c r="W20" s="50" t="n">
        <f aca="false">SUMIF($CB$4:$JS$4,W$4,$CB20:$JS20)</f>
        <v>20378.96</v>
      </c>
      <c r="X20" s="50" t="n">
        <f aca="false">SUMIF($CB$4:$JS$4,X$4,$CB20:$JS20)</f>
        <v>60234.71</v>
      </c>
      <c r="Y20" s="50" t="n">
        <f aca="false">SUMIF($CB$4:$JS$4,Y$4,$CB20:$JS20)</f>
        <v>13754.49</v>
      </c>
      <c r="Z20" s="50" t="n">
        <f aca="false">SUMIF($CB$4:$JS$4,Z$4,$CB20:$JS20)</f>
        <v>17571.33</v>
      </c>
      <c r="AA20" s="50" t="n">
        <f aca="false">SUMIF($CB$4:$JS$4,AA$4,$CB20:$JS20)</f>
        <v>790.73</v>
      </c>
      <c r="AB20" s="50" t="n">
        <f aca="false">SUMIF($CB$4:$JS$4,AB$4,$CB20:$JS20)</f>
        <v>5760.51</v>
      </c>
      <c r="AC20" s="50" t="n">
        <f aca="false">SUMIF($CB$4:$JS$4,AC$4,$CB20:$JS20)</f>
        <v>18292.36</v>
      </c>
      <c r="AD20" s="50" t="n">
        <f aca="false">SUMIF($CB$4:$JS$4,AD$4,$CB20:$JS20)</f>
        <v>0</v>
      </c>
      <c r="AE20" s="50" t="n">
        <f aca="false">SUMIF($CB$4:$JS$4,AE$4,$CB20:$JS20)</f>
        <v>7631.35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419.58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0</v>
      </c>
      <c r="AL20" s="50" t="n">
        <f aca="false">SUMIF($CB$4:$JS$4,AL$4,$CB20:$JS20)</f>
        <v>0</v>
      </c>
      <c r="AM20" s="50" t="n">
        <f aca="false">SUMIF($CB$4:$JS$4,AM$4,$CB20:$JS20)</f>
        <v>443.52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7961.24</v>
      </c>
      <c r="AT20" s="50" t="n">
        <f aca="false">SUMIF($CB$4:$JS$4,AT$4,$CB20:$JS20)</f>
        <v>0</v>
      </c>
      <c r="AU20" s="50" t="n">
        <f aca="false">SUMIF($CB$4:$JS$4,AU$4,$CB20:$JS20)</f>
        <v>0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2381464.98</v>
      </c>
      <c r="BZ20" s="45" t="n">
        <f aca="false">SUMPRODUCT(($CB$4:$JS$4&lt;&gt;"")*($CB$4:$JS$4&lt;=$D$4),$CB20:$JS20,$CB$1:$JS$1)</f>
        <v>38.8691235933846</v>
      </c>
      <c r="CB20" s="133" t="n">
        <f aca="false">IF(OR(CB$4="",$B20=""),0,SUMIF('DADOS BRUTOS'!$A$3:$A$500,$B20,'DADOS BRUTOS'!B$3:B$500)+IF($C20="",0,SUMIF('DADOS BRUTOS'!$A$3:$A$500,$C20,'DADOS BRUTOS'!B$3:B$500)))</f>
        <v>0</v>
      </c>
      <c r="CC20" s="133" t="n">
        <f aca="false">IF(OR(CC$4="",$B20=""),0,SUMIF('DADOS BRUTOS'!$A$3:$A$500,$B20,'DADOS BRUTOS'!C$3:C$500)+IF($C20="",0,SUMIF('DADOS BRUTOS'!$A$3:$A$500,$C20,'DADOS BRUTOS'!C$3:C$500)))</f>
        <v>0</v>
      </c>
      <c r="CD20" s="133" t="n">
        <f aca="false">IF(OR(CD$4="",$B20=""),0,SUMIF('DADOS BRUTOS'!$A$3:$A$500,$B20,'DADOS BRUTOS'!D$3:D$500)+IF($C20="",0,SUMIF('DADOS BRUTOS'!$A$3:$A$500,$C20,'DADOS BRUTOS'!D$3:D$500)))</f>
        <v>0</v>
      </c>
      <c r="CE20" s="133" t="n">
        <f aca="false">IF(OR(CE$4="",$B20=""),0,SUMIF('DADOS BRUTOS'!$A$3:$A$500,$B20,'DADOS BRUTOS'!E$3:E$500)+IF($C20="",0,SUMIF('DADOS BRUTOS'!$A$3:$A$500,$C20,'DADOS BRUTOS'!E$3:E$500)))</f>
        <v>0</v>
      </c>
      <c r="CF20" s="133" t="n">
        <f aca="false">IF(OR(CF$4="",$B20=""),0,SUMIF('DADOS BRUTOS'!$A$3:$A$500,$B20,'DADOS BRUTOS'!F$3:F$500)+IF($C20="",0,SUMIF('DADOS BRUTOS'!$A$3:$A$500,$C20,'DADOS BRUTOS'!F$3:F$500)))</f>
        <v>0</v>
      </c>
      <c r="CG20" s="133" t="n">
        <f aca="false">IF(OR(CG$4="",$B20=""),0,SUMIF('DADOS BRUTOS'!$A$3:$A$500,$B20,'DADOS BRUTOS'!G$3:G$500)+IF($C20="",0,SUMIF('DADOS BRUTOS'!$A$3:$A$500,$C20,'DADOS BRUTOS'!G$3:G$500)))</f>
        <v>0</v>
      </c>
      <c r="CH20" s="133" t="n">
        <f aca="false">IF(OR(CH$4="",$B20=""),0,SUMIF('DADOS BRUTOS'!$A$3:$A$500,$B20,'DADOS BRUTOS'!H$3:H$500)+IF($C20="",0,SUMIF('DADOS BRUTOS'!$A$3:$A$500,$C20,'DADOS BRUTOS'!H$3:H$500)))</f>
        <v>0</v>
      </c>
      <c r="CI20" s="133" t="n">
        <f aca="false">IF(OR(CI$4="",$B20=""),0,SUMIF('DADOS BRUTOS'!$A$3:$A$500,$B20,'DADOS BRUTOS'!I$3:I$500)+IF($C20="",0,SUMIF('DADOS BRUTOS'!$A$3:$A$500,$C20,'DADOS BRUTOS'!I$3:I$500)))</f>
        <v>0</v>
      </c>
      <c r="CJ20" s="133" t="n">
        <f aca="false">IF(OR(CJ$4="",$B20=""),0,SUMIF('DADOS BRUTOS'!$A$3:$A$500,$B20,'DADOS BRUTOS'!J$3:J$500)+IF($C20="",0,SUMIF('DADOS BRUTOS'!$A$3:$A$500,$C20,'DADOS BRUTOS'!J$3:J$500)))</f>
        <v>0</v>
      </c>
      <c r="CK20" s="133" t="n">
        <f aca="false">IF(OR(CK$4="",$B20=""),0,SUMIF('DADOS BRUTOS'!$A$3:$A$500,$B20,'DADOS BRUTOS'!K$3:K$500)+IF($C20="",0,SUMIF('DADOS BRUTOS'!$A$3:$A$500,$C20,'DADOS BRUTOS'!K$3:K$500)))</f>
        <v>0</v>
      </c>
      <c r="CL20" s="133" t="n">
        <f aca="false">IF(OR(CL$4="",$B20=""),0,SUMIF('DADOS BRUTOS'!$A$3:$A$500,$B20,'DADOS BRUTOS'!L$3:L$500)+IF($C20="",0,SUMIF('DADOS BRUTOS'!$A$3:$A$500,$C20,'DADOS BRUTOS'!L$3:L$500)))</f>
        <v>0</v>
      </c>
      <c r="CM20" s="133" t="n">
        <f aca="false">IF(OR(CM$4="",$B20=""),0,SUMIF('DADOS BRUTOS'!$A$3:$A$500,$B20,'DADOS BRUTOS'!M$3:M$500)+IF($C20="",0,SUMIF('DADOS BRUTOS'!$A$3:$A$500,$C20,'DADOS BRUTOS'!M$3:M$500)))</f>
        <v>0</v>
      </c>
      <c r="CN20" s="133" t="n">
        <f aca="false">IF(OR(CN$4="",$B20=""),0,SUMIF('DADOS BRUTOS'!$A$3:$A$500,$B20,'DADOS BRUTOS'!N$3:N$500)+IF($C20="",0,SUMIF('DADOS BRUTOS'!$A$3:$A$500,$C20,'DADOS BRUTOS'!N$3:N$500)))</f>
        <v>0</v>
      </c>
      <c r="CO20" s="133" t="n">
        <f aca="false">IF(OR(CO$4="",$B20=""),0,SUMIF('DADOS BRUTOS'!$A$3:$A$500,$B20,'DADOS BRUTOS'!O$3:O$500)+IF($C20="",0,SUMIF('DADOS BRUTOS'!$A$3:$A$500,$C20,'DADOS BRUTOS'!O$3:O$500)))</f>
        <v>0</v>
      </c>
      <c r="CP20" s="133" t="n">
        <f aca="false">IF(OR(CP$4="",$B20=""),0,SUMIF('DADOS BRUTOS'!$A$3:$A$500,$B20,'DADOS BRUTOS'!P$3:P$500)+IF($C20="",0,SUMIF('DADOS BRUTOS'!$A$3:$A$500,$C20,'DADOS BRUTOS'!P$3:P$500)))</f>
        <v>0</v>
      </c>
      <c r="CQ20" s="133" t="n">
        <f aca="false">IF(OR(CQ$4="",$B20=""),0,SUMIF('DADOS BRUTOS'!$A$3:$A$500,$B20,'DADOS BRUTOS'!Q$3:Q$500)+IF($C20="",0,SUMIF('DADOS BRUTOS'!$A$3:$A$500,$C20,'DADOS BRUTOS'!Q$3:Q$500)))</f>
        <v>0</v>
      </c>
      <c r="CR20" s="133" t="n">
        <f aca="false">IF(OR(CR$4="",$B20=""),0,SUMIF('DADOS BRUTOS'!$A$3:$A$500,$B20,'DADOS BRUTOS'!R$3:R$500)+IF($C20="",0,SUMIF('DADOS BRUTOS'!$A$3:$A$500,$C20,'DADOS BRUTOS'!R$3:R$500)))</f>
        <v>0</v>
      </c>
      <c r="CS20" s="133" t="n">
        <f aca="false">IF(OR(CS$4="",$B20=""),0,SUMIF('DADOS BRUTOS'!$A$3:$A$500,$B20,'DADOS BRUTOS'!S$3:S$500)+IF($C20="",0,SUMIF('DADOS BRUTOS'!$A$3:$A$500,$C20,'DADOS BRUTOS'!S$3:S$500)))</f>
        <v>0</v>
      </c>
      <c r="CT20" s="133" t="n">
        <f aca="false">IF(OR(CT$4="",$B20=""),0,SUMIF('DADOS BRUTOS'!$A$3:$A$500,$B20,'DADOS BRUTOS'!T$3:T$500)+IF($C20="",0,SUMIF('DADOS BRUTOS'!$A$3:$A$500,$C20,'DADOS BRUTOS'!T$3:T$500)))</f>
        <v>0</v>
      </c>
      <c r="CU20" s="133" t="n">
        <f aca="false">IF(OR(CU$4="",$B20=""),0,SUMIF('DADOS BRUTOS'!$A$3:$A$500,$B20,'DADOS BRUTOS'!U$3:U$500)+IF($C20="",0,SUMIF('DADOS BRUTOS'!$A$3:$A$500,$C20,'DADOS BRUTOS'!U$3:U$500)))</f>
        <v>0</v>
      </c>
      <c r="CV20" s="133" t="n">
        <f aca="false">IF(OR(CV$4="",$B20=""),0,SUMIF('DADOS BRUTOS'!$A$3:$A$500,$B20,'DADOS BRUTOS'!V$3:V$500)+IF($C20="",0,SUMIF('DADOS BRUTOS'!$A$3:$A$500,$C20,'DADOS BRUTOS'!V$3:V$500)))</f>
        <v>0</v>
      </c>
      <c r="CW20" s="133" t="n">
        <f aca="false">IF(OR(CW$4="",$B20=""),0,SUMIF('DADOS BRUTOS'!$A$3:$A$500,$B20,'DADOS BRUTOS'!W$3:W$500)+IF($C20="",0,SUMIF('DADOS BRUTOS'!$A$3:$A$500,$C20,'DADOS BRUTOS'!W$3:W$500)))</f>
        <v>0</v>
      </c>
      <c r="CX20" s="133" t="n">
        <f aca="false">IF(OR(CX$4="",$B20=""),0,SUMIF('DADOS BRUTOS'!$A$3:$A$500,$B20,'DADOS BRUTOS'!X$3:X$500)+IF($C20="",0,SUMIF('DADOS BRUTOS'!$A$3:$A$500,$C20,'DADOS BRUTOS'!X$3:X$500)))</f>
        <v>0</v>
      </c>
      <c r="CY20" s="133" t="n">
        <f aca="false">IF(OR(CY$4="",$B20=""),0,SUMIF('DADOS BRUTOS'!$A$3:$A$500,$B20,'DADOS BRUTOS'!Y$3:Y$500)+IF($C20="",0,SUMIF('DADOS BRUTOS'!$A$3:$A$500,$C20,'DADOS BRUTOS'!Y$3:Y$500)))</f>
        <v>0</v>
      </c>
      <c r="CZ20" s="133" t="n">
        <f aca="false">IF(OR(CZ$4="",$B20=""),0,SUMIF('DADOS BRUTOS'!$A$3:$A$500,$B20,'DADOS BRUTOS'!Z$3:Z$500)+IF($C20="",0,SUMIF('DADOS BRUTOS'!$A$3:$A$500,$C20,'DADOS BRUTOS'!Z$3:Z$500)))</f>
        <v>0</v>
      </c>
      <c r="DA20" s="133" t="n">
        <f aca="false">IF(OR(DA$4="",$B20=""),0,SUMIF('DADOS BRUTOS'!$A$3:$A$500,$B20,'DADOS BRUTOS'!AA$3:AA$500)+IF($C20="",0,SUMIF('DADOS BRUTOS'!$A$3:$A$500,$C20,'DADOS BRUTOS'!AA$3:AA$500)))</f>
        <v>0</v>
      </c>
      <c r="DB20" s="133" t="n">
        <f aca="false">IF(OR(DB$4="",$B20=""),0,SUMIF('DADOS BRUTOS'!$A$3:$A$500,$B20,'DADOS BRUTOS'!AB$3:AB$500)+IF($C20="",0,SUMIF('DADOS BRUTOS'!$A$3:$A$500,$C20,'DADOS BRUTOS'!AB$3:AB$500)))</f>
        <v>0</v>
      </c>
      <c r="DC20" s="133" t="n">
        <f aca="false">IF(OR(DC$4="",$B20=""),0,SUMIF('DADOS BRUTOS'!$A$3:$A$500,$B20,'DADOS BRUTOS'!AC$3:AC$500)+IF($C20="",0,SUMIF('DADOS BRUTOS'!$A$3:$A$500,$C20,'DADOS BRUTOS'!AC$3:AC$500)))</f>
        <v>7425.08</v>
      </c>
      <c r="DD20" s="133" t="n">
        <f aca="false">IF(OR(DD$4="",$B20=""),0,SUMIF('DADOS BRUTOS'!$A$3:$A$500,$B20,'DADOS BRUTOS'!AD$3:AD$500)+IF($C20="",0,SUMIF('DADOS BRUTOS'!$A$3:$A$500,$C20,'DADOS BRUTOS'!AD$3:AD$500)))</f>
        <v>35047.33</v>
      </c>
      <c r="DE20" s="133" t="n">
        <f aca="false">IF(OR(DE$4="",$B20=""),0,SUMIF('DADOS BRUTOS'!$A$3:$A$500,$B20,'DADOS BRUTOS'!AE$3:AE$500)+IF($C20="",0,SUMIF('DADOS BRUTOS'!$A$3:$A$500,$C20,'DADOS BRUTOS'!AE$3:AE$500)))</f>
        <v>1592.76</v>
      </c>
      <c r="DF20" s="133" t="n">
        <f aca="false">IF(OR(DF$4="",$B20=""),0,SUMIF('DADOS BRUTOS'!$A$3:$A$500,$B20,'DADOS BRUTOS'!AF$3:AF$500)+IF($C20="",0,SUMIF('DADOS BRUTOS'!$A$3:$A$500,$C20,'DADOS BRUTOS'!AF$3:AF$500)))</f>
        <v>0</v>
      </c>
      <c r="DG20" s="133" t="n">
        <f aca="false">IF(OR(DG$4="",$B20=""),0,SUMIF('DADOS BRUTOS'!$A$3:$A$500,$B20,'DADOS BRUTOS'!AG$3:AG$500)+IF($C20="",0,SUMIF('DADOS BRUTOS'!$A$3:$A$500,$C20,'DADOS BRUTOS'!AG$3:AG$500)))</f>
        <v>0</v>
      </c>
      <c r="DH20" s="133" t="n">
        <f aca="false">IF(OR(DH$4="",$B20=""),0,SUMIF('DADOS BRUTOS'!$A$3:$A$500,$B20,'DADOS BRUTOS'!AH$3:AH$500)+IF($C20="",0,SUMIF('DADOS BRUTOS'!$A$3:$A$500,$C20,'DADOS BRUTOS'!AH$3:AH$500)))</f>
        <v>0</v>
      </c>
      <c r="DI20" s="133" t="n">
        <f aca="false">IF(OR(DI$4="",$B20=""),0,SUMIF('DADOS BRUTOS'!$A$3:$A$500,$B20,'DADOS BRUTOS'!AI$3:AI$500)+IF($C20="",0,SUMIF('DADOS BRUTOS'!$A$3:$A$500,$C20,'DADOS BRUTOS'!AI$3:AI$500)))</f>
        <v>0</v>
      </c>
      <c r="DJ20" s="133" t="n">
        <f aca="false">IF(OR(DJ$4="",$B20=""),0,SUMIF('DADOS BRUTOS'!$A$3:$A$500,$B20,'DADOS BRUTOS'!AJ$3:AJ$500)+IF($C20="",0,SUMIF('DADOS BRUTOS'!$A$3:$A$500,$C20,'DADOS BRUTOS'!AJ$3:AJ$500)))</f>
        <v>0</v>
      </c>
      <c r="DK20" s="133" t="n">
        <f aca="false">IF(OR(DK$4="",$B20=""),0,SUMIF('DADOS BRUTOS'!$A$3:$A$500,$B20,'DADOS BRUTOS'!AK$3:AK$500)+IF($C20="",0,SUMIF('DADOS BRUTOS'!$A$3:$A$500,$C20,'DADOS BRUTOS'!AK$3:AK$500)))</f>
        <v>0</v>
      </c>
      <c r="DL20" s="133" t="n">
        <f aca="false">IF(OR(DL$4="",$B20=""),0,SUMIF('DADOS BRUTOS'!$A$3:$A$500,$B20,'DADOS BRUTOS'!AL$3:AL$500)+IF($C20="",0,SUMIF('DADOS BRUTOS'!$A$3:$A$500,$C20,'DADOS BRUTOS'!AL$3:AL$500)))</f>
        <v>0</v>
      </c>
      <c r="DM20" s="133" t="n">
        <f aca="false">IF(OR(DM$4="",$B20=""),0,SUMIF('DADOS BRUTOS'!$A$3:$A$500,$B20,'DADOS BRUTOS'!AM$3:AM$500)+IF($C20="",0,SUMIF('DADOS BRUTOS'!$A$3:$A$500,$C20,'DADOS BRUTOS'!AM$3:AM$500)))</f>
        <v>0</v>
      </c>
      <c r="DN20" s="133" t="n">
        <f aca="false">IF(OR(DN$4="",$B20=""),0,SUMIF('DADOS BRUTOS'!$A$3:$A$500,$B20,'DADOS BRUTOS'!AN$3:AN$500)+IF($C20="",0,SUMIF('DADOS BRUTOS'!$A$3:$A$500,$C20,'DADOS BRUTOS'!AN$3:AN$500)))</f>
        <v>9788.63</v>
      </c>
      <c r="DO20" s="133" t="n">
        <f aca="false">IF(OR(DO$4="",$B20=""),0,SUMIF('DADOS BRUTOS'!$A$3:$A$500,$B20,'DADOS BRUTOS'!AO$3:AO$500)+IF($C20="",0,SUMIF('DADOS BRUTOS'!$A$3:$A$500,$C20,'DADOS BRUTOS'!AO$3:AO$500)))</f>
        <v>94552.16</v>
      </c>
      <c r="DP20" s="133" t="n">
        <f aca="false">IF(OR(DP$4="",$B20=""),0,SUMIF('DADOS BRUTOS'!$A$3:$A$500,$B20,'DADOS BRUTOS'!AP$3:AP$500)+IF($C20="",0,SUMIF('DADOS BRUTOS'!$A$3:$A$500,$C20,'DADOS BRUTOS'!AP$3:AP$500)))</f>
        <v>109831.95</v>
      </c>
      <c r="DQ20" s="133" t="n">
        <f aca="false">IF(OR(DQ$4="",$B20=""),0,SUMIF('DADOS BRUTOS'!$A$3:$A$500,$B20,'DADOS BRUTOS'!AQ$3:AQ$500)+IF($C20="",0,SUMIF('DADOS BRUTOS'!$A$3:$A$500,$C20,'DADOS BRUTOS'!AQ$3:AQ$500)))</f>
        <v>85584.02</v>
      </c>
      <c r="DR20" s="133" t="n">
        <f aca="false">IF(OR(DR$4="",$B20=""),0,SUMIF('DADOS BRUTOS'!$A$3:$A$500,$B20,'DADOS BRUTOS'!AR$3:AR$500)+IF($C20="",0,SUMIF('DADOS BRUTOS'!$A$3:$A$500,$C20,'DADOS BRUTOS'!AR$3:AR$500)))</f>
        <v>265948.17</v>
      </c>
      <c r="DS20" s="133" t="n">
        <f aca="false">IF(OR(DS$4="",$B20=""),0,SUMIF('DADOS BRUTOS'!$A$3:$A$500,$B20,'DADOS BRUTOS'!AS$3:AS$500)+IF($C20="",0,SUMIF('DADOS BRUTOS'!$A$3:$A$500,$C20,'DADOS BRUTOS'!AS$3:AS$500)))</f>
        <v>1002170.99</v>
      </c>
      <c r="DT20" s="133" t="n">
        <f aca="false">IF(OR(DT$4="",$B20=""),0,SUMIF('DADOS BRUTOS'!$A$3:$A$500,$B20,'DADOS BRUTOS'!AT$3:AT$500)+IF($C20="",0,SUMIF('DADOS BRUTOS'!$A$3:$A$500,$C20,'DADOS BRUTOS'!AT$3:AT$500)))</f>
        <v>320952.69</v>
      </c>
      <c r="DU20" s="133" t="n">
        <f aca="false">IF(OR(DU$4="",$B20=""),0,SUMIF('DADOS BRUTOS'!$A$3:$A$500,$B20,'DADOS BRUTOS'!AU$3:AU$500)+IF($C20="",0,SUMIF('DADOS BRUTOS'!$A$3:$A$500,$C20,'DADOS BRUTOS'!AU$3:AU$500)))</f>
        <v>74218.96</v>
      </c>
      <c r="DV20" s="133" t="n">
        <f aca="false">IF(OR(DV$4="",$B20=""),0,SUMIF('DADOS BRUTOS'!$A$3:$A$500,$B20,'DADOS BRUTOS'!AV$3:AV$500)+IF($C20="",0,SUMIF('DADOS BRUTOS'!$A$3:$A$500,$C20,'DADOS BRUTOS'!AV$3:AV$500)))</f>
        <v>0</v>
      </c>
      <c r="DW20" s="133" t="n">
        <f aca="false">IF(OR(DW$4="",$B20=""),0,SUMIF('DADOS BRUTOS'!$A$3:$A$500,$B20,'DADOS BRUTOS'!AW$3:AW$500)+IF($C20="",0,SUMIF('DADOS BRUTOS'!$A$3:$A$500,$C20,'DADOS BRUTOS'!AW$3:AW$500)))</f>
        <v>40087.65</v>
      </c>
      <c r="DX20" s="133" t="n">
        <f aca="false">IF(OR(DX$4="",$B20=""),0,SUMIF('DADOS BRUTOS'!$A$3:$A$500,$B20,'DADOS BRUTOS'!AX$3:AX$500)+IF($C20="",0,SUMIF('DADOS BRUTOS'!$A$3:$A$500,$C20,'DADOS BRUTOS'!AX$3:AX$500)))</f>
        <v>1739.23</v>
      </c>
      <c r="DY20" s="133" t="n">
        <f aca="false">IF(OR(DY$4="",$B20=""),0,SUMIF('DADOS BRUTOS'!$A$3:$A$500,$B20,'DADOS BRUTOS'!AY$3:AY$500)+IF($C20="",0,SUMIF('DADOS BRUTOS'!$A$3:$A$500,$C20,'DADOS BRUTOS'!AY$3:AY$500)))</f>
        <v>139157.18</v>
      </c>
      <c r="DZ20" s="133" t="n">
        <f aca="false">IF(OR(DZ$4="",$B20=""),0,SUMIF('DADOS BRUTOS'!$A$3:$A$500,$B20,'DADOS BRUTOS'!AZ$3:AZ$500)+IF($C20="",0,SUMIF('DADOS BRUTOS'!$A$3:$A$500,$C20,'DADOS BRUTOS'!AZ$3:AZ$500)))</f>
        <v>40129.4</v>
      </c>
      <c r="EA20" s="133" t="n">
        <f aca="false">IF(OR(EA$4="",$B20=""),0,SUMIF('DADOS BRUTOS'!$A$3:$A$500,$B20,'DADOS BRUTOS'!BA$3:BA$500)+IF($C20="",0,SUMIF('DADOS BRUTOS'!$A$3:$A$500,$C20,'DADOS BRUTOS'!BA$3:BA$500)))</f>
        <v>20378.96</v>
      </c>
      <c r="EB20" s="133" t="n">
        <f aca="false">IF(OR(EB$4="",$B20=""),0,SUMIF('DADOS BRUTOS'!$A$3:$A$500,$B20,'DADOS BRUTOS'!BB$3:BB$500)+IF($C20="",0,SUMIF('DADOS BRUTOS'!$A$3:$A$500,$C20,'DADOS BRUTOS'!BB$3:BB$500)))</f>
        <v>60234.71</v>
      </c>
      <c r="EC20" s="133" t="n">
        <f aca="false">IF(OR(EC$4="",$B20=""),0,SUMIF('DADOS BRUTOS'!$A$3:$A$500,$B20,'DADOS BRUTOS'!BC$3:BC$500)+IF($C20="",0,SUMIF('DADOS BRUTOS'!$A$3:$A$500,$C20,'DADOS BRUTOS'!BC$3:BC$500)))</f>
        <v>13754.49</v>
      </c>
      <c r="ED20" s="133" t="n">
        <f aca="false">IF(OR(ED$4="",$B20=""),0,SUMIF('DADOS BRUTOS'!$A$3:$A$500,$B20,'DADOS BRUTOS'!BD$3:BD$500)+IF($C20="",0,SUMIF('DADOS BRUTOS'!$A$3:$A$500,$C20,'DADOS BRUTOS'!BD$3:BD$500)))</f>
        <v>17571.33</v>
      </c>
      <c r="EE20" s="133" t="n">
        <f aca="false">IF(OR(EE$4="",$B20=""),0,SUMIF('DADOS BRUTOS'!$A$3:$A$500,$B20,'DADOS BRUTOS'!BE$3:BE$500)+IF($C20="",0,SUMIF('DADOS BRUTOS'!$A$3:$A$500,$C20,'DADOS BRUTOS'!BE$3:BE$500)))</f>
        <v>790.73</v>
      </c>
      <c r="EF20" s="133" t="n">
        <f aca="false">IF(OR(EF$4="",$B20=""),0,SUMIF('DADOS BRUTOS'!$A$3:$A$500,$B20,'DADOS BRUTOS'!BF$3:BF$500)+IF($C20="",0,SUMIF('DADOS BRUTOS'!$A$3:$A$500,$C20,'DADOS BRUTOS'!BF$3:BF$500)))</f>
        <v>5760.51</v>
      </c>
      <c r="EG20" s="133" t="n">
        <f aca="false">IF(OR(EG$4="",$B20=""),0,SUMIF('DADOS BRUTOS'!$A$3:$A$500,$B20,'DADOS BRUTOS'!BG$3:BG$500)+IF($C20="",0,SUMIF('DADOS BRUTOS'!$A$3:$A$500,$C20,'DADOS BRUTOS'!BG$3:BG$500)))</f>
        <v>18292.36</v>
      </c>
      <c r="EH20" s="133" t="n">
        <f aca="false">IF(OR(EH$4="",$B20=""),0,SUMIF('DADOS BRUTOS'!$A$3:$A$500,$B20,'DADOS BRUTOS'!BH$3:BH$500)+IF($C20="",0,SUMIF('DADOS BRUTOS'!$A$3:$A$500,$C20,'DADOS BRUTOS'!BH$3:BH$500)))</f>
        <v>0</v>
      </c>
      <c r="EI20" s="133" t="n">
        <f aca="false">IF(OR(EI$4="",$B20=""),0,SUMIF('DADOS BRUTOS'!$A$3:$A$500,$B20,'DADOS BRUTOS'!BI$3:BI$500)+IF($C20="",0,SUMIF('DADOS BRUTOS'!$A$3:$A$500,$C20,'DADOS BRUTOS'!BI$3:BI$500)))</f>
        <v>7631.35</v>
      </c>
      <c r="EJ20" s="133" t="n">
        <f aca="false">IF(OR(EJ$4="",$B20=""),0,SUMIF('DADOS BRUTOS'!$A$3:$A$500,$B20,'DADOS BRUTOS'!BJ$3:BJ$500)+IF($C20="",0,SUMIF('DADOS BRUTOS'!$A$3:$A$500,$C20,'DADOS BRUTOS'!BJ$3:BJ$500)))</f>
        <v>0</v>
      </c>
      <c r="EK20" s="133" t="n">
        <f aca="false">IF(OR(EK$4="",$B20=""),0,SUMIF('DADOS BRUTOS'!$A$3:$A$500,$B20,'DADOS BRUTOS'!BK$3:BK$500)+IF($C20="",0,SUMIF('DADOS BRUTOS'!$A$3:$A$500,$C20,'DADOS BRUTOS'!BK$3:BK$500)))</f>
        <v>0</v>
      </c>
      <c r="EL20" s="133" t="n">
        <f aca="false">IF(OR(EL$4="",$B20=""),0,SUMIF('DADOS BRUTOS'!$A$3:$A$500,$B20,'DADOS BRUTOS'!BL$3:BL$500)+IF($C20="",0,SUMIF('DADOS BRUTOS'!$A$3:$A$500,$C20,'DADOS BRUTOS'!BL$3:BL$500)))</f>
        <v>419.58</v>
      </c>
      <c r="EM20" s="133" t="n">
        <f aca="false">IF(OR(EM$4="",$B20=""),0,SUMIF('DADOS BRUTOS'!$A$3:$A$500,$B20,'DADOS BRUTOS'!BM$3:BM$500)+IF($C20="",0,SUMIF('DADOS BRUTOS'!$A$3:$A$500,$C20,'DADOS BRUTOS'!BM$3:BM$500)))</f>
        <v>0</v>
      </c>
      <c r="EN20" s="133" t="n">
        <f aca="false">IF(OR(EN$4="",$B20=""),0,SUMIF('DADOS BRUTOS'!$A$3:$A$500,$B20,'DADOS BRUTOS'!BN$3:BN$500)+IF($C20="",0,SUMIF('DADOS BRUTOS'!$A$3:$A$500,$C20,'DADOS BRUTOS'!BN$3:BN$500)))</f>
        <v>0</v>
      </c>
      <c r="EO20" s="133" t="n">
        <f aca="false">IF(OR(EO$4="",$B20=""),0,SUMIF('DADOS BRUTOS'!$A$3:$A$500,$B20,'DADOS BRUTOS'!BO$3:BO$500)+IF($C20="",0,SUMIF('DADOS BRUTOS'!$A$3:$A$500,$C20,'DADOS BRUTOS'!BO$3:BO$500)))</f>
        <v>0</v>
      </c>
      <c r="EP20" s="133" t="n">
        <f aca="false">IF(OR(EP$4="",$B20=""),0,SUMIF('DADOS BRUTOS'!$A$3:$A$500,$B20,'DADOS BRUTOS'!BP$3:BP$500)+IF($C20="",0,SUMIF('DADOS BRUTOS'!$A$3:$A$500,$C20,'DADOS BRUTOS'!BP$3:BP$500)))</f>
        <v>0</v>
      </c>
      <c r="EQ20" s="133" t="n">
        <f aca="false">IF(OR(EQ$4="",$B20=""),0,SUMIF('DADOS BRUTOS'!$A$3:$A$500,$B20,'DADOS BRUTOS'!BQ$3:BQ$500)+IF($C20="",0,SUMIF('DADOS BRUTOS'!$A$3:$A$500,$C20,'DADOS BRUTOS'!BQ$3:BQ$500)))</f>
        <v>443.52</v>
      </c>
      <c r="ER20" s="133" t="n">
        <f aca="false">IF(OR(ER$4="",$B20=""),0,SUMIF('DADOS BRUTOS'!$A$3:$A$500,$B20,'DADOS BRUTOS'!BR$3:BR$500)+IF($C20="",0,SUMIF('DADOS BRUTOS'!$A$3:$A$500,$C20,'DADOS BRUTOS'!BR$3:BR$500)))</f>
        <v>0</v>
      </c>
      <c r="ES20" s="133" t="n">
        <f aca="false">IF(OR(ES$4="",$B20=""),0,SUMIF('DADOS BRUTOS'!$A$3:$A$500,$B20,'DADOS BRUTOS'!BS$3:BS$500)+IF($C20="",0,SUMIF('DADOS BRUTOS'!$A$3:$A$500,$C20,'DADOS BRUTOS'!BS$3:BS$500)))</f>
        <v>0</v>
      </c>
      <c r="ET20" s="133" t="n">
        <f aca="false">IF(OR(ET$4="",$B20=""),0,SUMIF('DADOS BRUTOS'!$A$3:$A$500,$B20,'DADOS BRUTOS'!BT$3:BT$500)+IF($C20="",0,SUMIF('DADOS BRUTOS'!$A$3:$A$500,$C20,'DADOS BRUTOS'!BT$3:BT$500)))</f>
        <v>0</v>
      </c>
      <c r="EU20" s="133" t="n">
        <f aca="false">IF(OR(EU$4="",$B20=""),0,SUMIF('DADOS BRUTOS'!$A$3:$A$500,$B20,'DADOS BRUTOS'!BU$3:BU$500)+IF($C20="",0,SUMIF('DADOS BRUTOS'!$A$3:$A$500,$C20,'DADOS BRUTOS'!BU$3:BU$500)))</f>
        <v>0</v>
      </c>
      <c r="EV20" s="133" t="n">
        <f aca="false">IF(OR(EV$4="",$B20=""),0,SUMIF('DADOS BRUTOS'!$A$3:$A$500,$B20,'DADOS BRUTOS'!BV$3:BV$500)+IF($C20="",0,SUMIF('DADOS BRUTOS'!$A$3:$A$500,$C20,'DADOS BRUTOS'!BV$3:BV$500)))</f>
        <v>0</v>
      </c>
      <c r="EW20" s="133" t="n">
        <f aca="false">IF(OR(EW$4="",$B20=""),0,SUMIF('DADOS BRUTOS'!$A$3:$A$500,$B20,'DADOS BRUTOS'!BW$3:BW$500)+IF($C20="",0,SUMIF('DADOS BRUTOS'!$A$3:$A$500,$C20,'DADOS BRUTOS'!BW$3:BW$500)))</f>
        <v>7961.24</v>
      </c>
      <c r="EX20" s="133" t="n">
        <f aca="false">IF(OR(EX$4="",$B20=""),0,SUMIF('DADOS BRUTOS'!$A$3:$A$500,$B20,'DADOS BRUTOS'!BX$3:BX$500)+IF($C20="",0,SUMIF('DADOS BRUTOS'!$A$3:$A$500,$C20,'DADOS BRUTOS'!BX$3:BX$500)))</f>
        <v>0</v>
      </c>
      <c r="EY20" s="133" t="n">
        <f aca="false">IF(OR(EY$4="",$B20=""),0,SUMIF('DADOS BRUTOS'!$A$3:$A$500,$B20,'DADOS BRUTOS'!BY$3:BY$500)+IF($C20="",0,SUMIF('DADOS BRUTOS'!$A$3:$A$500,$C20,'DADOS BRUTOS'!BY$3:BY$500)))</f>
        <v>0</v>
      </c>
      <c r="EZ20" s="133" t="n">
        <f aca="false">IF(OR(EZ$4="",$B20=""),0,SUMIF('DADOS BRUTOS'!$A$3:$A$500,$B20,'DADOS BRUTOS'!BZ$3:BZ$500)+IF($C20="",0,SUMIF('DADOS BRUTOS'!$A$3:$A$500,$C20,'DADOS BRUTOS'!BZ$3:BZ$500)))</f>
        <v>0</v>
      </c>
      <c r="FA20" s="133" t="n">
        <f aca="false">IF(OR(FA$4="",$B20=""),0,SUMIF('DADOS BRUTOS'!$A$3:$A$500,$B20,'DADOS BRUTOS'!CA$3:CA$500)+IF($C20="",0,SUMIF('DADOS BRUTOS'!$A$3:$A$500,$C20,'DADOS BRUTOS'!CA$3:CA$500)))</f>
        <v>0</v>
      </c>
      <c r="FB20" s="133" t="n">
        <f aca="false">IF(OR(FB$4="",$B20=""),0,SUMIF('DADOS BRUTOS'!$A$3:$A$500,$B20,'DADOS BRUTOS'!CB$3:CB$500)+IF($C20="",0,SUMIF('DADOS BRUTOS'!$A$3:$A$500,$C20,'DADOS BRUTOS'!CB$3:CB$500)))</f>
        <v>0</v>
      </c>
      <c r="FC20" s="133" t="n">
        <f aca="false">IF(OR(FC$4="",$B20=""),0,SUMIF('DADOS BRUTOS'!$A$3:$A$500,$B20,'DADOS BRUTOS'!CC$3:CC$500)+IF($C20="",0,SUMIF('DADOS BRUTOS'!$A$3:$A$500,$C20,'DADOS BRUTOS'!CC$3:CC$500)))</f>
        <v>0</v>
      </c>
      <c r="FD20" s="133" t="n">
        <f aca="false">IF(OR(FD$4="",$B20=""),0,SUMIF('DADOS BRUTOS'!$A$3:$A$500,$B20,'DADOS BRUTOS'!CD$3:CD$500)+IF($C20="",0,SUMIF('DADOS BRUTOS'!$A$3:$A$500,$C20,'DADOS BRUTOS'!CD$3:CD$500)))</f>
        <v>0</v>
      </c>
      <c r="FE20" s="133" t="n">
        <f aca="false">IF(OR(FE$4="",$B20=""),0,SUMIF('DADOS BRUTOS'!$A$3:$A$500,$B20,'DADOS BRUTOS'!CE$3:CE$500)+IF($C20="",0,SUMIF('DADOS BRUTOS'!$A$3:$A$500,$C20,'DADOS BRUTOS'!CE$3:CE$500)))</f>
        <v>0</v>
      </c>
      <c r="FF20" s="133" t="n">
        <f aca="false">IF(OR(FF$4="",$B20=""),0,SUMIF('DADOS BRUTOS'!$A$3:$A$500,$B20,'DADOS BRUTOS'!CF$3:CF$500)+IF($C20="",0,SUMIF('DADOS BRUTOS'!$A$3:$A$500,$C20,'DADOS BRUTOS'!CF$3:CF$500)))</f>
        <v>0</v>
      </c>
      <c r="FG20" s="133" t="n">
        <f aca="false">IF(OR(FG$4="",$B20=""),0,SUMIF('DADOS BRUTOS'!$A$3:$A$500,$B20,'DADOS BRUTOS'!CG$3:CG$500)+IF($C20="",0,SUMIF('DADOS BRUTOS'!$A$3:$A$500,$C20,'DADOS BRUTOS'!CG$3:CG$500)))</f>
        <v>0</v>
      </c>
      <c r="FH20" s="133" t="n">
        <f aca="false">IF(OR(FH$4="",$B20=""),0,SUMIF('DADOS BRUTOS'!$A$3:$A$500,$B20,'DADOS BRUTOS'!CH$3:CH$500)+IF($C20="",0,SUMIF('DADOS BRUTOS'!$A$3:$A$500,$C20,'DADOS BRUTOS'!CH$3:CH$500)))</f>
        <v>0</v>
      </c>
      <c r="FI20" s="133" t="n">
        <f aca="false">IF(OR(FI$4="",$B20=""),0,SUMIF('DADOS BRUTOS'!$A$3:$A$500,$B20,'DADOS BRUTOS'!CI$3:CI$500)+IF($C20="",0,SUMIF('DADOS BRUTOS'!$A$3:$A$500,$C20,'DADOS BRUTOS'!CI$3:CI$500)))</f>
        <v>0</v>
      </c>
      <c r="FJ20" s="133" t="n">
        <f aca="false">IF(OR(FJ$4="",$B20=""),0,SUMIF('DADOS BRUTOS'!$A$3:$A$500,$B20,'DADOS BRUTOS'!CJ$3:CJ$500)+IF($C20="",0,SUMIF('DADOS BRUTOS'!$A$3:$A$500,$C20,'DADOS BRUTOS'!CJ$3:CJ$500)))</f>
        <v>0</v>
      </c>
      <c r="FK20" s="133" t="n">
        <f aca="false">IF(OR(FK$4="",$B20=""),0,SUMIF('DADOS BRUTOS'!$A$3:$A$500,$B20,'DADOS BRUTOS'!CK$3:CK$500)+IF($C20="",0,SUMIF('DADOS BRUTOS'!$A$3:$A$500,$C20,'DADOS BRUTOS'!CK$3:CK$500)))</f>
        <v>0</v>
      </c>
      <c r="FL20" s="133" t="n">
        <f aca="false">IF(OR(FL$4="",$B20=""),0,SUMIF('DADOS BRUTOS'!$A$3:$A$500,$B20,'DADOS BRUTOS'!CL$3:CL$500)+IF($C20="",0,SUMIF('DADOS BRUTOS'!$A$3:$A$500,$C20,'DADOS BRUTOS'!CL$3:CL$500)))</f>
        <v>0</v>
      </c>
      <c r="FM20" s="133" t="n">
        <f aca="false">IF(OR(FM$4="",$B20=""),0,SUMIF('DADOS BRUTOS'!$A$3:$A$500,$B20,'DADOS BRUTOS'!CM$3:CM$500)+IF($C20="",0,SUMIF('DADOS BRUTOS'!$A$3:$A$500,$C20,'DADOS BRUTOS'!CM$3:CM$500)))</f>
        <v>0</v>
      </c>
      <c r="FN20" s="133" t="n">
        <f aca="false">IF(OR(FN$4="",$B20=""),0,SUMIF('DADOS BRUTOS'!$A$3:$A$500,$B20,'DADOS BRUTOS'!CN$3:CN$500)+IF($C20="",0,SUMIF('DADOS BRUTOS'!$A$3:$A$500,$C20,'DADOS BRUTOS'!CN$3:CN$500)))</f>
        <v>0</v>
      </c>
      <c r="FO20" s="133" t="n">
        <f aca="false">IF(OR(FO$4="",$B20=""),0,SUMIF('DADOS BRUTOS'!$A$3:$A$500,$B20,'DADOS BRUTOS'!CO$3:CO$500)+IF($C20="",0,SUMIF('DADOS BRUTOS'!$A$3:$A$500,$C20,'DADOS BRUTOS'!CO$3:CO$500)))</f>
        <v>0</v>
      </c>
      <c r="FP20" s="133" t="n">
        <f aca="false">IF(OR(FP$4="",$B20=""),0,SUMIF('DADOS BRUTOS'!$A$3:$A$500,$B20,'DADOS BRUTOS'!CP$3:CP$500)+IF($C20="",0,SUMIF('DADOS BRUTOS'!$A$3:$A$500,$C20,'DADOS BRUTOS'!CP$3:CP$500)))</f>
        <v>0</v>
      </c>
      <c r="FQ20" s="133" t="n">
        <f aca="false">IF(OR(FQ$4="",$B20=""),0,SUMIF('DADOS BRUTOS'!$A$3:$A$500,$B20,'DADOS BRUTOS'!CQ$3:CQ$500)+IF($C20="",0,SUMIF('DADOS BRUTOS'!$A$3:$A$500,$C20,'DADOS BRUTOS'!CQ$3:CQ$500)))</f>
        <v>0</v>
      </c>
      <c r="FR20" s="133" t="n">
        <f aca="false">IF(OR(FR$4="",$B20=""),0,SUMIF('DADOS BRUTOS'!$A$3:$A$500,$B20,'DADOS BRUTOS'!CR$3:CR$500)+IF($C20="",0,SUMIF('DADOS BRUTOS'!$A$3:$A$500,$C20,'DADOS BRUTOS'!CR$3:CR$500)))</f>
        <v>0</v>
      </c>
      <c r="FS20" s="133" t="n">
        <f aca="false">IF(OR(FS$4="",$B20=""),0,SUMIF('DADOS BRUTOS'!$A$3:$A$500,$B20,'DADOS BRUTOS'!CS$3:CS$500)+IF($C20="",0,SUMIF('DADOS BRUTOS'!$A$3:$A$500,$C20,'DADOS BRUTOS'!CS$3:CS$500)))</f>
        <v>0</v>
      </c>
      <c r="FT20" s="133" t="n">
        <f aca="false">IF(OR(FT$4="",$B20=""),0,SUMIF('DADOS BRUTOS'!$A$3:$A$500,$B20,'DADOS BRUTOS'!CT$3:CT$500)+IF($C20="",0,SUMIF('DADOS BRUTOS'!$A$3:$A$500,$C20,'DADOS BRUTOS'!CT$3:CT$500)))</f>
        <v>0</v>
      </c>
      <c r="FU20" s="133" t="n">
        <f aca="false">IF(OR(FU$4="",$B20=""),0,SUMIF('DADOS BRUTOS'!$A$3:$A$500,$B20,'DADOS BRUTOS'!CU$3:CU$500)+IF($C20="",0,SUMIF('DADOS BRUTOS'!$A$3:$A$500,$C20,'DADOS BRUTOS'!CU$3:CU$500)))</f>
        <v>0</v>
      </c>
      <c r="FV20" s="133" t="n">
        <f aca="false">IF(OR(FV$4="",$B20=""),0,SUMIF('DADOS BRUTOS'!$A$3:$A$500,$B20,'DADOS BRUTOS'!CV$3:CV$500)+IF($C20="",0,SUMIF('DADOS BRUTOS'!$A$3:$A$500,$C20,'DADOS BRUTOS'!CV$3:CV$500)))</f>
        <v>0</v>
      </c>
      <c r="FW20" s="133" t="n">
        <f aca="false">IF(OR(FW$4="",$B20=""),0,SUMIF('DADOS BRUTOS'!$A$3:$A$500,$B20,'DADOS BRUTOS'!CW$3:CW$500)+IF($C20="",0,SUMIF('DADOS BRUTOS'!$A$3:$A$500,$C20,'DADOS BRUTOS'!CW$3:CW$500)))</f>
        <v>0</v>
      </c>
      <c r="FX20" s="133" t="n">
        <f aca="false">IF(OR(FX$4="",$B20=""),0,SUMIF('DADOS BRUTOS'!$A$3:$A$500,$B20,'DADOS BRUTOS'!CX$3:CX$500)+IF($C20="",0,SUMIF('DADOS BRUTOS'!$A$3:$A$500,$C20,'DADOS BRUTOS'!CX$3:CX$500)))</f>
        <v>0</v>
      </c>
      <c r="FY20" s="133" t="n">
        <f aca="false">IF(OR(FY$4="",$B20=""),0,SUMIF('DADOS BRUTOS'!$A$3:$A$500,$B20,'DADOS BRUTOS'!CY$3:CY$500)+IF($C20="",0,SUMIF('DADOS BRUTOS'!$A$3:$A$500,$C20,'DADOS BRUTOS'!CY$3:CY$500)))</f>
        <v>0</v>
      </c>
      <c r="FZ20" s="133" t="n">
        <f aca="false">IF(OR(FZ$4="",$B20=""),0,SUMIF('DADOS BRUTOS'!$A$3:$A$500,$B20,'DADOS BRUTOS'!CZ$3:CZ$500)+IF($C20="",0,SUMIF('DADOS BRUTOS'!$A$3:$A$500,$C20,'DADOS BRUTOS'!CZ$3:CZ$500)))</f>
        <v>0</v>
      </c>
      <c r="GA20" s="133" t="n">
        <f aca="false">IF(OR(GA$4="",$B20=""),0,SUMIF('DADOS BRUTOS'!$A$3:$A$500,$B20,'DADOS BRUTOS'!DA$3:DA$500)+IF($C20="",0,SUMIF('DADOS BRUTOS'!$A$3:$A$500,$C20,'DADOS BRUTOS'!DA$3:DA$500)))</f>
        <v>0</v>
      </c>
      <c r="GB20" s="133" t="n">
        <f aca="false">IF(OR(GB$4="",$B20=""),0,SUMIF('DADOS BRUTOS'!$A$3:$A$500,$B20,'DADOS BRUTOS'!DB$3:DB$500)+IF($C20="",0,SUMIF('DADOS BRUTOS'!$A$3:$A$500,$C20,'DADOS BRUTOS'!DB$3:DB$500)))</f>
        <v>0</v>
      </c>
      <c r="GC20" s="133" t="n">
        <f aca="false">IF(OR(GC$4="",$B20=""),0,SUMIF('DADOS BRUTOS'!$A$3:$A$500,$B20,'DADOS BRUTOS'!DC$3:DC$500)+IF($C20="",0,SUMIF('DADOS BRUTOS'!$A$3:$A$500,$C20,'DADOS BRUTOS'!DC$3:DC$500)))</f>
        <v>0</v>
      </c>
      <c r="GD20" s="133" t="n">
        <f aca="false">IF(OR(GD$4="",$B20=""),0,SUMIF('DADOS BRUTOS'!$A$3:$A$500,$B20,'DADOS BRUTOS'!DD$3:DD$500)+IF($C20="",0,SUMIF('DADOS BRUTOS'!$A$3:$A$500,$C20,'DADOS BRUTOS'!DD$3:DD$500)))</f>
        <v>0</v>
      </c>
      <c r="GE20" s="133" t="n">
        <f aca="false">IF(OR(GE$4="",$B20=""),0,SUMIF('DADOS BRUTOS'!$A$3:$A$500,$B20,'DADOS BRUTOS'!DE$3:DE$500)+IF($C20="",0,SUMIF('DADOS BRUTOS'!$A$3:$A$500,$C20,'DADOS BRUTOS'!DE$3:DE$500)))</f>
        <v>0</v>
      </c>
      <c r="GF20" s="133" t="n">
        <f aca="false">IF(OR(GF$4="",$B20=""),0,SUMIF('DADOS BRUTOS'!$A$3:$A$500,$B20,'DADOS BRUTOS'!DF$3:DF$500)+IF($C20="",0,SUMIF('DADOS BRUTOS'!$A$3:$A$500,$C20,'DADOS BRUTOS'!DF$3:DF$500)))</f>
        <v>0</v>
      </c>
      <c r="GG20" s="133" t="n">
        <f aca="false">IF(OR(GG$4="",$B20=""),0,SUMIF('DADOS BRUTOS'!$A$3:$A$500,$B20,'DADOS BRUTOS'!DG$3:DG$500)+IF($C20="",0,SUMIF('DADOS BRUTOS'!$A$3:$A$500,$C20,'DADOS BRUTOS'!DG$3:DG$500)))</f>
        <v>0</v>
      </c>
      <c r="GH20" s="133" t="n">
        <f aca="false">IF(OR(GH$4="",$B20=""),0,SUMIF('DADOS BRUTOS'!$A$3:$A$500,$B20,'DADOS BRUTOS'!DH$3:DH$500)+IF($C20="",0,SUMIF('DADOS BRUTOS'!$A$3:$A$500,$C20,'DADOS BRUTOS'!DH$3:DH$500)))</f>
        <v>0</v>
      </c>
      <c r="GI20" s="133" t="n">
        <f aca="false">IF(OR(GI$4="",$B20=""),0,SUMIF('DADOS BRUTOS'!$A$3:$A$500,$B20,'DADOS BRUTOS'!DI$3:DI$500)+IF($C20="",0,SUMIF('DADOS BRUTOS'!$A$3:$A$500,$C20,'DADOS BRUTOS'!DI$3:DI$500)))</f>
        <v>0</v>
      </c>
      <c r="GJ20" s="133" t="n">
        <f aca="false">IF(OR(GJ$4="",$B20=""),0,SUMIF('DADOS BRUTOS'!$A$3:$A$500,$B20,'DADOS BRUTOS'!DJ$3:DJ$500)+IF($C20="",0,SUMIF('DADOS BRUTOS'!$A$3:$A$500,$C20,'DADOS BRUTOS'!DJ$3:DJ$500)))</f>
        <v>0</v>
      </c>
      <c r="GK20" s="133" t="n">
        <f aca="false">IF(OR(GK$4="",$B20=""),0,SUMIF('DADOS BRUTOS'!$A$3:$A$500,$B20,'DADOS BRUTOS'!DK$3:DK$500)+IF($C20="",0,SUMIF('DADOS BRUTOS'!$A$3:$A$500,$C20,'DADOS BRUTOS'!DK$3:DK$500)))</f>
        <v>0</v>
      </c>
      <c r="GL20" s="133" t="n">
        <f aca="false">IF(OR(GL$4="",$B20=""),0,SUMIF('DADOS BRUTOS'!$A$3:$A$500,$B20,'DADOS BRUTOS'!DL$3:DL$500)+IF($C20="",0,SUMIF('DADOS BRUTOS'!$A$3:$A$500,$C20,'DADOS BRUTOS'!DL$3:DL$500)))</f>
        <v>0</v>
      </c>
      <c r="GM20" s="133" t="n">
        <f aca="false">IF(OR(GM$4="",$B20=""),0,SUMIF('DADOS BRUTOS'!$A$3:$A$500,$B20,'DADOS BRUTOS'!DM$3:DM$500)+IF($C20="",0,SUMIF('DADOS BRUTOS'!$A$3:$A$500,$C20,'DADOS BRUTOS'!DM$3:DM$500)))</f>
        <v>0</v>
      </c>
      <c r="GN20" s="133" t="n">
        <f aca="false">IF(OR(GN$4="",$B20=""),0,SUMIF('DADOS BRUTOS'!$A$3:$A$500,$B20,'DADOS BRUTOS'!DN$3:DN$500)+IF($C20="",0,SUMIF('DADOS BRUTOS'!$A$3:$A$500,$C20,'DADOS BRUTOS'!DN$3:DN$500)))</f>
        <v>0</v>
      </c>
      <c r="GO20" s="133" t="n">
        <f aca="false">IF(OR(GO$4="",$B20=""),0,SUMIF('DADOS BRUTOS'!$A$3:$A$500,$B20,'DADOS BRUTOS'!DO$3:DO$500)+IF($C20="",0,SUMIF('DADOS BRUTOS'!$A$3:$A$500,$C20,'DADOS BRUTOS'!DO$3:DO$500)))</f>
        <v>0</v>
      </c>
      <c r="GP20" s="133" t="n">
        <f aca="false">IF(OR(GP$4="",$B20=""),0,SUMIF('DADOS BRUTOS'!$A$3:$A$500,$B20,'DADOS BRUTOS'!DP$3:DP$500)+IF($C20="",0,SUMIF('DADOS BRUTOS'!$A$3:$A$500,$C20,'DADOS BRUTOS'!DP$3:DP$500)))</f>
        <v>0</v>
      </c>
      <c r="GQ20" s="133" t="n">
        <f aca="false">IF(OR(GQ$4="",$B20=""),0,SUMIF('DADOS BRUTOS'!$A$3:$A$500,$B20,'DADOS BRUTOS'!DQ$3:DQ$500)+IF($C20="",0,SUMIF('DADOS BRUTOS'!$A$3:$A$500,$C20,'DADOS BRUTOS'!DQ$3:DQ$500)))</f>
        <v>0</v>
      </c>
      <c r="GR20" s="133" t="n">
        <f aca="false">IF(OR(GR$4="",$B20=""),0,SUMIF('DADOS BRUTOS'!$A$3:$A$500,$B20,'DADOS BRUTOS'!DR$3:DR$500)+IF($C20="",0,SUMIF('DADOS BRUTOS'!$A$3:$A$500,$C20,'DADOS BRUTOS'!DR$3:DR$500)))</f>
        <v>0</v>
      </c>
      <c r="GS20" s="133" t="n">
        <f aca="false">IF(OR(GS$4="",$B20=""),0,SUMIF('DADOS BRUTOS'!$A$3:$A$500,$B20,'DADOS BRUTOS'!DS$3:DS$500)+IF($C20="",0,SUMIF('DADOS BRUTOS'!$A$3:$A$500,$C20,'DADOS BRUTOS'!DS$3:DS$500)))</f>
        <v>0</v>
      </c>
      <c r="GT20" s="133" t="n">
        <f aca="false">IF(OR(GT$4="",$B20=""),0,SUMIF('DADOS BRUTOS'!$A$3:$A$500,$B20,'DADOS BRUTOS'!DT$3:DT$500)+IF($C20="",0,SUMIF('DADOS BRUTOS'!$A$3:$A$500,$C20,'DADOS BRUTOS'!DT$3:DT$500)))</f>
        <v>0</v>
      </c>
      <c r="GU20" s="133" t="n">
        <f aca="false">IF(OR(GU$4="",$B20=""),0,SUMIF('DADOS BRUTOS'!$A$3:$A$500,$B20,'DADOS BRUTOS'!DU$3:DU$500)+IF($C20="",0,SUMIF('DADOS BRUTOS'!$A$3:$A$500,$C20,'DADOS BRUTOS'!DU$3:DU$500)))</f>
        <v>0</v>
      </c>
      <c r="GV20" s="133" t="n">
        <f aca="false">IF(OR(GV$4="",$B20=""),0,SUMIF('DADOS BRUTOS'!$A$3:$A$500,$B20,'DADOS BRUTOS'!DV$3:DV$500)+IF($C20="",0,SUMIF('DADOS BRUTOS'!$A$3:$A$500,$C20,'DADOS BRUTOS'!DV$3:DV$500)))</f>
        <v>0</v>
      </c>
      <c r="GW20" s="133" t="n">
        <f aca="false">IF(OR(GW$4="",$B20=""),0,SUMIF('DADOS BRUTOS'!$A$3:$A$500,$B20,'DADOS BRUTOS'!DW$3:DW$500)+IF($C20="",0,SUMIF('DADOS BRUTOS'!$A$3:$A$500,$C20,'DADOS BRUTOS'!DW$3:DW$500)))</f>
        <v>0</v>
      </c>
      <c r="GX20" s="133" t="n">
        <f aca="false">IF(OR(GX$4="",$B20=""),0,SUMIF('DADOS BRUTOS'!$A$3:$A$500,$B20,'DADOS BRUTOS'!DX$3:DX$500)+IF($C20="",0,SUMIF('DADOS BRUTOS'!$A$3:$A$500,$C20,'DADOS BRUTOS'!DX$3:DX$500)))</f>
        <v>0</v>
      </c>
      <c r="GY20" s="133" t="n">
        <f aca="false">IF(OR(GY$4="",$B20=""),0,SUMIF('DADOS BRUTOS'!$A$3:$A$500,$B20,'DADOS BRUTOS'!DY$3:DY$500)+IF($C20="",0,SUMIF('DADOS BRUTOS'!$A$3:$A$500,$C20,'DADOS BRUTOS'!DY$3:DY$500)))</f>
        <v>0</v>
      </c>
      <c r="GZ20" s="133" t="n">
        <f aca="false">IF(OR(GZ$4="",$B20=""),0,SUMIF('DADOS BRUTOS'!$A$3:$A$500,$B20,'DADOS BRUTOS'!DZ$3:DZ$500)+IF($C20="",0,SUMIF('DADOS BRUTOS'!$A$3:$A$500,$C20,'DADOS BRUTOS'!DZ$3:DZ$500)))</f>
        <v>0</v>
      </c>
      <c r="HA20" s="133" t="n">
        <f aca="false">IF(OR(HA$4="",$B20=""),0,SUMIF('DADOS BRUTOS'!$A$3:$A$500,$B20,'DADOS BRUTOS'!EA$3:EA$500)+IF($C20="",0,SUMIF('DADOS BRUTOS'!$A$3:$A$500,$C20,'DADOS BRUTOS'!EA$3:EA$500)))</f>
        <v>0</v>
      </c>
      <c r="HB20" s="133" t="n">
        <f aca="false">IF(OR(HB$4="",$B20=""),0,SUMIF('DADOS BRUTOS'!$A$3:$A$500,$B20,'DADOS BRUTOS'!EB$3:EB$500)+IF($C20="",0,SUMIF('DADOS BRUTOS'!$A$3:$A$500,$C20,'DADOS BRUTOS'!EB$3:EB$500)))</f>
        <v>0</v>
      </c>
      <c r="HC20" s="133" t="n">
        <f aca="false">IF(OR(HC$4="",$B20=""),0,SUMIF('DADOS BRUTOS'!$A$3:$A$500,$B20,'DADOS BRUTOS'!EC$3:EC$500)+IF($C20="",0,SUMIF('DADOS BRUTOS'!$A$3:$A$500,$C20,'DADOS BRUTOS'!EC$3:EC$500)))</f>
        <v>0</v>
      </c>
      <c r="HD20" s="133" t="n">
        <f aca="false">IF(OR(HD$4="",$B20=""),0,SUMIF('DADOS BRUTOS'!$A$3:$A$500,$B20,'DADOS BRUTOS'!ED$3:ED$500)+IF($C20="",0,SUMIF('DADOS BRUTOS'!$A$3:$A$500,$C20,'DADOS BRUTOS'!ED$3:ED$500)))</f>
        <v>0</v>
      </c>
      <c r="HE20" s="133" t="n">
        <f aca="false">IF(OR(HE$4="",$B20=""),0,SUMIF('DADOS BRUTOS'!$A$3:$A$500,$B20,'DADOS BRUTOS'!EE$3:EE$500)+IF($C20="",0,SUMIF('DADOS BRUTOS'!$A$3:$A$500,$C20,'DADOS BRUTOS'!EE$3:EE$500)))</f>
        <v>0</v>
      </c>
      <c r="HF20" s="133" t="n">
        <f aca="false">IF(OR(HF$4="",$B20=""),0,SUMIF('DADOS BRUTOS'!$A$3:$A$500,$B20,'DADOS BRUTOS'!EF$3:EF$500)+IF($C20="",0,SUMIF('DADOS BRUTOS'!$A$3:$A$500,$C20,'DADOS BRUTOS'!EF$3:EF$500)))</f>
        <v>0</v>
      </c>
      <c r="HG20" s="133" t="n">
        <f aca="false">IF(OR(HG$4="",$B20=""),0,SUMIF('DADOS BRUTOS'!$A$3:$A$500,$B20,'DADOS BRUTOS'!EG$3:EG$500)+IF($C20="",0,SUMIF('DADOS BRUTOS'!$A$3:$A$500,$C20,'DADOS BRUTOS'!EG$3:EG$500)))</f>
        <v>0</v>
      </c>
      <c r="HH20" s="133" t="n">
        <f aca="false">IF(OR(HH$4="",$B20=""),0,SUMIF('DADOS BRUTOS'!$A$3:$A$500,$B20,'DADOS BRUTOS'!EH$3:EH$500)+IF($C20="",0,SUMIF('DADOS BRUTOS'!$A$3:$A$500,$C20,'DADOS BRUTOS'!EH$3:EH$500)))</f>
        <v>0</v>
      </c>
      <c r="HI20" s="133" t="n">
        <f aca="false">IF(OR(HI$4="",$B20=""),0,SUMIF('DADOS BRUTOS'!$A$3:$A$500,$B20,'DADOS BRUTOS'!EI$3:EI$500)+IF($C20="",0,SUMIF('DADOS BRUTOS'!$A$3:$A$500,$C20,'DADOS BRUTOS'!EI$3:EI$500)))</f>
        <v>0</v>
      </c>
      <c r="HJ20" s="133" t="n">
        <f aca="false">IF(OR(HJ$4="",$B20=""),0,SUMIF('DADOS BRUTOS'!$A$3:$A$500,$B20,'DADOS BRUTOS'!EJ$3:EJ$500)+IF($C20="",0,SUMIF('DADOS BRUTOS'!$A$3:$A$500,$C20,'DADOS BRUTOS'!EJ$3:EJ$500)))</f>
        <v>0</v>
      </c>
      <c r="HK20" s="133" t="n">
        <f aca="false">IF(OR(HK$4="",$B20=""),0,SUMIF('DADOS BRUTOS'!$A$3:$A$500,$B20,'DADOS BRUTOS'!EK$3:EK$500)+IF($C20="",0,SUMIF('DADOS BRUTOS'!$A$3:$A$500,$C20,'DADOS BRUTOS'!EK$3:EK$500)))</f>
        <v>0</v>
      </c>
      <c r="HL20" s="133" t="n">
        <f aca="false">IF(OR(HL$4="",$B20=""),0,SUMIF('DADOS BRUTOS'!$A$3:$A$500,$B20,'DADOS BRUTOS'!EL$3:EL$500)+IF($C20="",0,SUMIF('DADOS BRUTOS'!$A$3:$A$500,$C20,'DADOS BRUTOS'!EL$3:EL$500)))</f>
        <v>0</v>
      </c>
      <c r="HM20" s="133" t="n">
        <f aca="false">IF(OR(HM$4="",$B20=""),0,SUMIF('DADOS BRUTOS'!$A$3:$A$500,$B20,'DADOS BRUTOS'!EM$3:EM$500)+IF($C20="",0,SUMIF('DADOS BRUTOS'!$A$3:$A$500,$C20,'DADOS BRUTOS'!EM$3:EM$500)))</f>
        <v>0</v>
      </c>
      <c r="HN20" s="133" t="n">
        <f aca="false">IF(OR(HN$4="",$B20=""),0,SUMIF('DADOS BRUTOS'!$A$3:$A$500,$B20,'DADOS BRUTOS'!EN$3:EN$500)+IF($C20="",0,SUMIF('DADOS BRUTOS'!$A$3:$A$500,$C20,'DADOS BRUTOS'!EN$3:EN$500)))</f>
        <v>0</v>
      </c>
      <c r="HO20" s="133" t="n">
        <f aca="false">IF(OR(HO$4="",$B20=""),0,SUMIF('DADOS BRUTOS'!$A$3:$A$500,$B20,'DADOS BRUTOS'!EO$3:EO$500)+IF($C20="",0,SUMIF('DADOS BRUTOS'!$A$3:$A$500,$C20,'DADOS BRUTOS'!EO$3:EO$500)))</f>
        <v>0</v>
      </c>
      <c r="HP20" s="133" t="n">
        <f aca="false">IF(OR(HP$4="",$B20=""),0,SUMIF('DADOS BRUTOS'!$A$3:$A$500,$B20,'DADOS BRUTOS'!EP$3:EP$500)+IF($C20="",0,SUMIF('DADOS BRUTOS'!$A$3:$A$500,$C20,'DADOS BRUTOS'!EP$3:EP$500)))</f>
        <v>0</v>
      </c>
      <c r="HQ20" s="133" t="n">
        <f aca="false">IF(OR(HQ$4="",$B20=""),0,SUMIF('DADOS BRUTOS'!$A$3:$A$500,$B20,'DADOS BRUTOS'!EQ$3:EQ$500)+IF($C20="",0,SUMIF('DADOS BRUTOS'!$A$3:$A$500,$C20,'DADOS BRUTOS'!EQ$3:EQ$500)))</f>
        <v>0</v>
      </c>
      <c r="HR20" s="133" t="n">
        <f aca="false">IF(OR(HR$4="",$B20=""),0,SUMIF('DADOS BRUTOS'!$A$3:$A$500,$B20,'DADOS BRUTOS'!ER$3:ER$500)+IF($C20="",0,SUMIF('DADOS BRUTOS'!$A$3:$A$500,$C20,'DADOS BRUTOS'!ER$3:ER$500)))</f>
        <v>0</v>
      </c>
      <c r="HS20" s="133" t="n">
        <f aca="false">IF(OR(HS$4="",$B20=""),0,SUMIF('DADOS BRUTOS'!$A$3:$A$500,$B20,'DADOS BRUTOS'!ES$3:ES$500)+IF($C20="",0,SUMIF('DADOS BRUTOS'!$A$3:$A$500,$C20,'DADOS BRUTOS'!ES$3:ES$500)))</f>
        <v>0</v>
      </c>
      <c r="HT20" s="133" t="n">
        <f aca="false">IF(OR(HT$4="",$B20=""),0,SUMIF('DADOS BRUTOS'!$A$3:$A$500,$B20,'DADOS BRUTOS'!ET$3:ET$500)+IF($C20="",0,SUMIF('DADOS BRUTOS'!$A$3:$A$500,$C20,'DADOS BRUTOS'!ET$3:ET$500)))</f>
        <v>0</v>
      </c>
      <c r="HU20" s="133" t="n">
        <f aca="false">IF(OR(HU$4="",$B20=""),0,SUMIF('DADOS BRUTOS'!$A$3:$A$500,$B20,'DADOS BRUTOS'!EU$3:EU$500)+IF($C20="",0,SUMIF('DADOS BRUTOS'!$A$3:$A$500,$C20,'DADOS BRUTOS'!EU$3:EU$500)))</f>
        <v>0</v>
      </c>
      <c r="HV20" s="133" t="n">
        <f aca="false">IF(OR(HV$4="",$B20=""),0,SUMIF('DADOS BRUTOS'!$A$3:$A$500,$B20,'DADOS BRUTOS'!EV$3:EV$500)+IF($C20="",0,SUMIF('DADOS BRUTOS'!$A$3:$A$500,$C20,'DADOS BRUTOS'!EV$3:EV$500)))</f>
        <v>0</v>
      </c>
      <c r="HW20" s="133" t="n">
        <f aca="false">IF(OR(HW$4="",$B20=""),0,SUMIF('DADOS BRUTOS'!$A$3:$A$500,$B20,'DADOS BRUTOS'!EW$3:EW$500)+IF($C20="",0,SUMIF('DADOS BRUTOS'!$A$3:$A$500,$C20,'DADOS BRUTOS'!EW$3:EW$500)))</f>
        <v>0</v>
      </c>
      <c r="HX20" s="133" t="n">
        <f aca="false">IF(OR(HX$4="",$B20=""),0,SUMIF('DADOS BRUTOS'!$A$3:$A$500,$B20,'DADOS BRUTOS'!EX$3:EX$500)+IF($C20="",0,SUMIF('DADOS BRUTOS'!$A$3:$A$500,$C20,'DADOS BRUTOS'!EX$3:EX$500)))</f>
        <v>0</v>
      </c>
      <c r="HY20" s="133" t="n">
        <f aca="false">IF(OR(HY$4="",$B20=""),0,SUMIF('DADOS BRUTOS'!$A$3:$A$500,$B20,'DADOS BRUTOS'!EY$3:EY$500)+IF($C20="",0,SUMIF('DADOS BRUTOS'!$A$3:$A$500,$C20,'DADOS BRUTOS'!EY$3:EY$500)))</f>
        <v>0</v>
      </c>
      <c r="HZ20" s="133" t="n">
        <f aca="false">IF(OR(HZ$4="",$B20=""),0,SUMIF('DADOS BRUTOS'!$A$3:$A$500,$B20,'DADOS BRUTOS'!EZ$3:EZ$500)+IF($C20="",0,SUMIF('DADOS BRUTOS'!$A$3:$A$500,$C20,'DADOS BRUTOS'!EZ$3:EZ$500)))</f>
        <v>0</v>
      </c>
      <c r="IA20" s="133" t="n">
        <f aca="false">IF(OR(IA$4="",$B20=""),0,SUMIF('DADOS BRUTOS'!$A$3:$A$500,$B20,'DADOS BRUTOS'!FA$3:FA$500)+IF($C20="",0,SUMIF('DADOS BRUTOS'!$A$3:$A$500,$C20,'DADOS BRUTOS'!FA$3:FA$500)))</f>
        <v>0</v>
      </c>
      <c r="IB20" s="133" t="n">
        <f aca="false">IF(OR(IB$4="",$B20=""),0,SUMIF('DADOS BRUTOS'!$A$3:$A$500,$B20,'DADOS BRUTOS'!FB$3:FB$500)+IF($C20="",0,SUMIF('DADOS BRUTOS'!$A$3:$A$500,$C20,'DADOS BRUTOS'!FB$3:FB$500)))</f>
        <v>0</v>
      </c>
      <c r="IC20" s="133" t="n">
        <f aca="false">IF(OR(IC$4="",$B20=""),0,SUMIF('DADOS BRUTOS'!$A$3:$A$500,$B20,'DADOS BRUTOS'!FC$3:FC$500)+IF($C20="",0,SUMIF('DADOS BRUTOS'!$A$3:$A$500,$C20,'DADOS BRUTOS'!FC$3:FC$500)))</f>
        <v>0</v>
      </c>
      <c r="ID20" s="133" t="n">
        <f aca="false">IF(OR(ID$4="",$B20=""),0,SUMIF('DADOS BRUTOS'!$A$3:$A$500,$B20,'DADOS BRUTOS'!FD$3:FD$500)+IF($C20="",0,SUMIF('DADOS BRUTOS'!$A$3:$A$500,$C20,'DADOS BRUTOS'!FD$3:FD$500)))</f>
        <v>0</v>
      </c>
      <c r="IE20" s="133" t="n">
        <f aca="false">IF(OR(IE$4="",$B20=""),0,SUMIF('DADOS BRUTOS'!$A$3:$A$500,$B20,'DADOS BRUTOS'!FE$3:FE$500)+IF($C20="",0,SUMIF('DADOS BRUTOS'!$A$3:$A$500,$C20,'DADOS BRUTOS'!FE$3:FE$500)))</f>
        <v>0</v>
      </c>
      <c r="IF20" s="133" t="n">
        <f aca="false">IF(OR(IF$4="",$B20=""),0,SUMIF('DADOS BRUTOS'!$A$3:$A$500,$B20,'DADOS BRUTOS'!FF$3:FF$500)+IF($C20="",0,SUMIF('DADOS BRUTOS'!$A$3:$A$500,$C20,'DADOS BRUTOS'!FF$3:FF$500)))</f>
        <v>0</v>
      </c>
      <c r="IG20" s="133" t="n">
        <f aca="false">IF(OR(IG$4="",$B20=""),0,SUMIF('DADOS BRUTOS'!$A$3:$A$500,$B20,'DADOS BRUTOS'!FG$3:FG$500)+IF($C20="",0,SUMIF('DADOS BRUTOS'!$A$3:$A$500,$C20,'DADOS BRUTOS'!FG$3:FG$500)))</f>
        <v>0</v>
      </c>
      <c r="IH20" s="133" t="n">
        <f aca="false">IF(OR(IH$4="",$B20=""),0,SUMIF('DADOS BRUTOS'!$A$3:$A$500,$B20,'DADOS BRUTOS'!FH$3:FH$500)+IF($C20="",0,SUMIF('DADOS BRUTOS'!$A$3:$A$500,$C20,'DADOS BRUTOS'!FH$3:FH$500)))</f>
        <v>0</v>
      </c>
      <c r="II20" s="133" t="n">
        <f aca="false">IF(OR(II$4="",$B20=""),0,SUMIF('DADOS BRUTOS'!$A$3:$A$500,$B20,'DADOS BRUTOS'!FI$3:FI$500)+IF($C20="",0,SUMIF('DADOS BRUTOS'!$A$3:$A$500,$C20,'DADOS BRUTOS'!FI$3:FI$500)))</f>
        <v>0</v>
      </c>
      <c r="IJ20" s="133" t="n">
        <f aca="false">IF(OR(IJ$4="",$B20=""),0,SUMIF('DADOS BRUTOS'!$A$3:$A$500,$B20,'DADOS BRUTOS'!FJ$3:FJ$500)+IF($C20="",0,SUMIF('DADOS BRUTOS'!$A$3:$A$500,$C20,'DADOS BRUTOS'!FJ$3:FJ$500)))</f>
        <v>0</v>
      </c>
      <c r="IK20" s="133" t="n">
        <f aca="false">IF(OR(IK$4="",$B20=""),0,SUMIF('DADOS BRUTOS'!$A$3:$A$500,$B20,'DADOS BRUTOS'!FK$3:FK$500)+IF($C20="",0,SUMIF('DADOS BRUTOS'!$A$3:$A$500,$C20,'DADOS BRUTOS'!FK$3:FK$500)))</f>
        <v>0</v>
      </c>
      <c r="IL20" s="133" t="n">
        <f aca="false">IF(OR(IL$4="",$B20=""),0,SUMIF('DADOS BRUTOS'!$A$3:$A$500,$B20,'DADOS BRUTOS'!FL$3:FL$500)+IF($C20="",0,SUMIF('DADOS BRUTOS'!$A$3:$A$500,$C20,'DADOS BRUTOS'!FL$3:FL$500)))</f>
        <v>0</v>
      </c>
      <c r="IM20" s="133" t="n">
        <f aca="false">IF(OR(IM$4="",$B20=""),0,SUMIF('DADOS BRUTOS'!$A$3:$A$500,$B20,'DADOS BRUTOS'!FM$3:FM$500)+IF($C20="",0,SUMIF('DADOS BRUTOS'!$A$3:$A$500,$C20,'DADOS BRUTOS'!FM$3:FM$500)))</f>
        <v>0</v>
      </c>
      <c r="IN20" s="133" t="n">
        <f aca="false">IF(OR(IN$4="",$B20=""),0,SUMIF('DADOS BRUTOS'!$A$3:$A$500,$B20,'DADOS BRUTOS'!FN$3:FN$500)+IF($C20="",0,SUMIF('DADOS BRUTOS'!$A$3:$A$500,$C20,'DADOS BRUTOS'!FN$3:FN$500)))</f>
        <v>0</v>
      </c>
      <c r="IO20" s="133" t="n">
        <f aca="false">IF(OR(IO$4="",$B20=""),0,SUMIF('DADOS BRUTOS'!$A$3:$A$500,$B20,'DADOS BRUTOS'!FO$3:FO$500)+IF($C20="",0,SUMIF('DADOS BRUTOS'!$A$3:$A$500,$C20,'DADOS BRUTOS'!FO$3:FO$500)))</f>
        <v>0</v>
      </c>
      <c r="IP20" s="133" t="n">
        <f aca="false">IF(OR(IP$4="",$B20=""),0,SUMIF('DADOS BRUTOS'!$A$3:$A$500,$B20,'DADOS BRUTOS'!FP$3:FP$500)+IF($C20="",0,SUMIF('DADOS BRUTOS'!$A$3:$A$500,$C20,'DADOS BRUTOS'!FP$3:FP$500)))</f>
        <v>0</v>
      </c>
      <c r="IQ20" s="133" t="n">
        <f aca="false">IF(OR(IQ$4="",$B20=""),0,SUMIF('DADOS BRUTOS'!$A$3:$A$500,$B20,'DADOS BRUTOS'!FQ$3:FQ$500)+IF($C20="",0,SUMIF('DADOS BRUTOS'!$A$3:$A$500,$C20,'DADOS BRUTOS'!FQ$3:FQ$500)))</f>
        <v>0</v>
      </c>
      <c r="IR20" s="133" t="n">
        <f aca="false">IF(OR(IR$4="",$B20=""),0,SUMIF('DADOS BRUTOS'!$A$3:$A$500,$B20,'DADOS BRUTOS'!FR$3:FR$500)+IF($C20="",0,SUMIF('DADOS BRUTOS'!$A$3:$A$500,$C20,'DADOS BRUTOS'!FR$3:FR$500)))</f>
        <v>0</v>
      </c>
      <c r="IS20" s="133" t="n">
        <f aca="false">IF(OR(IS$4="",$B20=""),0,SUMIF('DADOS BRUTOS'!$A$3:$A$500,$B20,'DADOS BRUTOS'!FS$3:FS$500)+IF($C20="",0,SUMIF('DADOS BRUTOS'!$A$3:$A$500,$C20,'DADOS BRUTOS'!FS$3:FS$500)))</f>
        <v>0</v>
      </c>
      <c r="IT20" s="133" t="n">
        <f aca="false">IF(OR(IT$4="",$B20=""),0,SUMIF('DADOS BRUTOS'!$A$3:$A$500,$B20,'DADOS BRUTOS'!FT$3:FT$500)+IF($C20="",0,SUMIF('DADOS BRUTOS'!$A$3:$A$500,$C20,'DADOS BRUTOS'!FT$3:FT$500)))</f>
        <v>0</v>
      </c>
      <c r="IU20" s="133" t="n">
        <f aca="false">IF(OR(IU$4="",$B20=""),0,SUMIF('DADOS BRUTOS'!$A$3:$A$500,$B20,'DADOS BRUTOS'!FU$3:FU$500)+IF($C20="",0,SUMIF('DADOS BRUTOS'!$A$3:$A$500,$C20,'DADOS BRUTOS'!FU$3:FU$500)))</f>
        <v>0</v>
      </c>
      <c r="IV20" s="133" t="n">
        <f aca="false">IF(OR(IV$4="",$B20=""),0,SUMIF('DADOS BRUTOS'!$A$3:$A$500,$B20,'DADOS BRUTOS'!FV$3:FV$500)+IF($C20="",0,SUMIF('DADOS BRUTOS'!$A$3:$A$500,$C20,'DADOS BRUTOS'!FV$3:FV$500)))</f>
        <v>0</v>
      </c>
      <c r="IW20" s="133" t="n">
        <f aca="false">IF(OR(IW$4="",$B20=""),0,SUMIF('DADOS BRUTOS'!$A$3:$A$500,$B20,'DADOS BRUTOS'!FW$3:FW$500)+IF($C20="",0,SUMIF('DADOS BRUTOS'!$A$3:$A$500,$C20,'DADOS BRUTOS'!FW$3:FW$500)))</f>
        <v>0</v>
      </c>
      <c r="IX20" s="133" t="n">
        <f aca="false">IF(OR(IX$4="",$B20=""),0,SUMIF('DADOS BRUTOS'!$A$3:$A$500,$B20,'DADOS BRUTOS'!FX$3:FX$500)+IF($C20="",0,SUMIF('DADOS BRUTOS'!$A$3:$A$500,$C20,'DADOS BRUTOS'!FX$3:FX$500)))</f>
        <v>0</v>
      </c>
      <c r="IY20" s="133" t="n">
        <f aca="false">IF(OR(IY$4="",$B20=""),0,SUMIF('DADOS BRUTOS'!$A$3:$A$500,$B20,'DADOS BRUTOS'!FY$3:FY$500)+IF($C20="",0,SUMIF('DADOS BRUTOS'!$A$3:$A$500,$C20,'DADOS BRUTOS'!FY$3:FY$500)))</f>
        <v>0</v>
      </c>
      <c r="IZ20" s="133" t="n">
        <f aca="false">IF(OR(IZ$4="",$B20=""),0,SUMIF('DADOS BRUTOS'!$A$3:$A$500,$B20,'DADOS BRUTOS'!FZ$3:FZ$500)+IF($C20="",0,SUMIF('DADOS BRUTOS'!$A$3:$A$500,$C20,'DADOS BRUTOS'!FZ$3:FZ$500)))</f>
        <v>0</v>
      </c>
      <c r="JA20" s="133" t="n">
        <f aca="false">IF(OR(JA$4="",$B20=""),0,SUMIF('DADOS BRUTOS'!$A$3:$A$500,$B20,'DADOS BRUTOS'!GA$3:GA$500)+IF($C20="",0,SUMIF('DADOS BRUTOS'!$A$3:$A$500,$C20,'DADOS BRUTOS'!GA$3:GA$500)))</f>
        <v>0</v>
      </c>
      <c r="JB20" s="133" t="n">
        <f aca="false">IF(OR(JB$4="",$B20=""),0,SUMIF('DADOS BRUTOS'!$A$3:$A$500,$B20,'DADOS BRUTOS'!GB$3:GB$500)+IF($C20="",0,SUMIF('DADOS BRUTOS'!$A$3:$A$500,$C20,'DADOS BRUTOS'!GB$3:GB$500)))</f>
        <v>0</v>
      </c>
      <c r="JC20" s="133" t="n">
        <f aca="false">IF(OR(JC$4="",$B20=""),0,SUMIF('DADOS BRUTOS'!$A$3:$A$500,$B20,'DADOS BRUTOS'!GC$3:GC$500)+IF($C20="",0,SUMIF('DADOS BRUTOS'!$A$3:$A$500,$C20,'DADOS BRUTOS'!GC$3:GC$500)))</f>
        <v>0</v>
      </c>
      <c r="JD20" s="133" t="n">
        <f aca="false">IF(OR(JD$4="",$B20=""),0,SUMIF('DADOS BRUTOS'!$A$3:$A$500,$B20,'DADOS BRUTOS'!GD$3:GD$500)+IF($C20="",0,SUMIF('DADOS BRUTOS'!$A$3:$A$500,$C20,'DADOS BRUTOS'!GD$3:GD$500)))</f>
        <v>0</v>
      </c>
      <c r="JE20" s="133" t="n">
        <f aca="false">IF(OR(JE$4="",$B20=""),0,SUMIF('DADOS BRUTOS'!$A$3:$A$500,$B20,'DADOS BRUTOS'!GE$3:GE$500)+IF($C20="",0,SUMIF('DADOS BRUTOS'!$A$3:$A$500,$C20,'DADOS BRUTOS'!GE$3:GE$500)))</f>
        <v>0</v>
      </c>
      <c r="JF20" s="133" t="n">
        <f aca="false">IF(OR(JF$4="",$B20=""),0,SUMIF('DADOS BRUTOS'!$A$3:$A$500,$B20,'DADOS BRUTOS'!GF$3:GF$500)+IF($C20="",0,SUMIF('DADOS BRUTOS'!$A$3:$A$500,$C20,'DADOS BRUTOS'!GF$3:GF$500)))</f>
        <v>0</v>
      </c>
      <c r="JG20" s="133" t="n">
        <f aca="false">IF(OR(JG$4="",$B20=""),0,SUMIF('DADOS BRUTOS'!$A$3:$A$500,$B20,'DADOS BRUTOS'!GG$3:GG$500)+IF($C20="",0,SUMIF('DADOS BRUTOS'!$A$3:$A$500,$C20,'DADOS BRUTOS'!GG$3:GG$500)))</f>
        <v>0</v>
      </c>
      <c r="JH20" s="133" t="n">
        <f aca="false">IF(OR(JH$4="",$B20=""),0,SUMIF('DADOS BRUTOS'!$A$3:$A$500,$B20,'DADOS BRUTOS'!GH$3:GH$500)+IF($C20="",0,SUMIF('DADOS BRUTOS'!$A$3:$A$500,$C20,'DADOS BRUTOS'!GH$3:GH$500)))</f>
        <v>0</v>
      </c>
      <c r="JI20" s="133" t="n">
        <f aca="false">IF(OR(JI$4="",$B20=""),0,SUMIF('DADOS BRUTOS'!$A$3:$A$500,$B20,'DADOS BRUTOS'!GI$3:GI$500)+IF($C20="",0,SUMIF('DADOS BRUTOS'!$A$3:$A$500,$C20,'DADOS BRUTOS'!GI$3:GI$500)))</f>
        <v>0</v>
      </c>
      <c r="JJ20" s="133" t="n">
        <f aca="false">IF(OR(JJ$4="",$B20=""),0,SUMIF('DADOS BRUTOS'!$A$3:$A$500,$B20,'DADOS BRUTOS'!GJ$3:GJ$500)+IF($C20="",0,SUMIF('DADOS BRUTOS'!$A$3:$A$500,$C20,'DADOS BRUTOS'!GJ$3:GJ$500)))</f>
        <v>0</v>
      </c>
      <c r="JK20" s="133" t="n">
        <f aca="false">IF(OR(JK$4="",$B20=""),0,SUMIF('DADOS BRUTOS'!$A$3:$A$500,$B20,'DADOS BRUTOS'!GK$3:GK$500)+IF($C20="",0,SUMIF('DADOS BRUTOS'!$A$3:$A$500,$C20,'DADOS BRUTOS'!GK$3:GK$500)))</f>
        <v>0</v>
      </c>
      <c r="JL20" s="133" t="n">
        <f aca="false">IF(OR(JL$4="",$B20=""),0,SUMIF('DADOS BRUTOS'!$A$3:$A$500,$B20,'DADOS BRUTOS'!GL$3:GL$500)+IF($C20="",0,SUMIF('DADOS BRUTOS'!$A$3:$A$500,$C20,'DADOS BRUTOS'!GL$3:GL$500)))</f>
        <v>0</v>
      </c>
      <c r="JM20" s="133" t="n">
        <f aca="false">IF(OR(JM$4="",$B20=""),0,SUMIF('DADOS BRUTOS'!$A$3:$A$500,$B20,'DADOS BRUTOS'!GM$3:GM$500)+IF($C20="",0,SUMIF('DADOS BRUTOS'!$A$3:$A$500,$C20,'DADOS BRUTOS'!GM$3:GM$500)))</f>
        <v>0</v>
      </c>
      <c r="JN20" s="133" t="n">
        <f aca="false">IF(OR(JN$4="",$B20=""),0,SUMIF('DADOS BRUTOS'!$A$3:$A$500,$B20,'DADOS BRUTOS'!GN$3:GN$500)+IF($C20="",0,SUMIF('DADOS BRUTOS'!$A$3:$A$500,$C20,'DADOS BRUTOS'!GN$3:GN$500)))</f>
        <v>0</v>
      </c>
      <c r="JO20" s="133" t="n">
        <f aca="false">IF(OR(JO$4="",$B20=""),0,SUMIF('DADOS BRUTOS'!$A$3:$A$500,$B20,'DADOS BRUTOS'!GO$3:GO$500)+IF($C20="",0,SUMIF('DADOS BRUTOS'!$A$3:$A$500,$C20,'DADOS BRUTOS'!GO$3:GO$500)))</f>
        <v>0</v>
      </c>
      <c r="JP20" s="133" t="n">
        <f aca="false">IF(OR(JP$4="",$B20=""),0,SUMIF('DADOS BRUTOS'!$A$3:$A$500,$B20,'DADOS BRUTOS'!GP$3:GP$500)+IF($C20="",0,SUMIF('DADOS BRUTOS'!$A$3:$A$500,$C20,'DADOS BRUTOS'!GP$3:GP$500)))</f>
        <v>0</v>
      </c>
      <c r="JQ20" s="133" t="n">
        <f aca="false">IF(OR(JQ$4="",$B20=""),0,SUMIF('DADOS BRUTOS'!$A$3:$A$500,$B20,'DADOS BRUTOS'!GQ$3:GQ$500)+IF($C20="",0,SUMIF('DADOS BRUTOS'!$A$3:$A$500,$C20,'DADOS BRUTOS'!GQ$3:GQ$500)))</f>
        <v>0</v>
      </c>
      <c r="JR20" s="133" t="n">
        <f aca="false">IF(OR(JR$4="",$B20=""),0,SUMIF('DADOS BRUTOS'!$A$3:$A$500,$B20,'DADOS BRUTOS'!GR$3:GR$500)+IF($C20="",0,SUMIF('DADOS BRUTOS'!$A$3:$A$500,$C20,'DADOS BRUTOS'!GR$3:GR$500)))</f>
        <v>0</v>
      </c>
      <c r="JS20" s="133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/>
      <c r="D21" s="50" t="n">
        <f aca="false">SUMIF($CB$4:$JS$4,"&lt;="&amp;D$4,$CB21:$JS21)</f>
        <v>154289.15</v>
      </c>
      <c r="E21" s="50" t="n">
        <f aca="false">SUMIF($CB$4:$JS$4,E$4,$CB21:$JS21)</f>
        <v>0</v>
      </c>
      <c r="F21" s="50" t="n">
        <f aca="false">SUMIF($CB$4:$JS$4,F$4,$CB21:$JS21)</f>
        <v>1352.4</v>
      </c>
      <c r="G21" s="50" t="n">
        <f aca="false">SUMIF($CB$4:$JS$4,G$4,$CB21:$JS21)</f>
        <v>7094.97</v>
      </c>
      <c r="H21" s="50" t="n">
        <f aca="false">SUMIF($CB$4:$JS$4,H$4,$CB21:$JS21)</f>
        <v>5516.1</v>
      </c>
      <c r="I21" s="50" t="n">
        <f aca="false">SUMIF($CB$4:$JS$4,I$4,$CB21:$JS21)</f>
        <v>3460.6</v>
      </c>
      <c r="J21" s="50" t="n">
        <f aca="false">SUMIF($CB$4:$JS$4,J$4,$CB21:$JS21)</f>
        <v>11932.23</v>
      </c>
      <c r="K21" s="50" t="n">
        <f aca="false">SUMIF($CB$4:$JS$4,K$4,$CB21:$JS21)</f>
        <v>46566.89</v>
      </c>
      <c r="L21" s="50" t="n">
        <f aca="false">SUMIF($CB$4:$JS$4,L$4,$CB21:$JS21)</f>
        <v>189195.17</v>
      </c>
      <c r="M21" s="50" t="n">
        <f aca="false">SUMIF($CB$4:$JS$4,M$4,$CB21:$JS21)</f>
        <v>282352.35</v>
      </c>
      <c r="N21" s="50" t="n">
        <f aca="false">SUMIF($CB$4:$JS$4,N$4,$CB21:$JS21)</f>
        <v>488907.9</v>
      </c>
      <c r="O21" s="50" t="n">
        <f aca="false">SUMIF($CB$4:$JS$4,O$4,$CB21:$JS21)</f>
        <v>759547.22</v>
      </c>
      <c r="P21" s="50" t="n">
        <f aca="false">SUMIF($CB$4:$JS$4,P$4,$CB21:$JS21)</f>
        <v>1210391.79</v>
      </c>
      <c r="Q21" s="50" t="n">
        <f aca="false">SUMIF($CB$4:$JS$4,Q$4,$CB21:$JS21)</f>
        <v>1025636.7</v>
      </c>
      <c r="R21" s="50" t="n">
        <f aca="false">SUMIF($CB$4:$JS$4,R$4,$CB21:$JS21)</f>
        <v>928706.83</v>
      </c>
      <c r="S21" s="50" t="n">
        <f aca="false">SUMIF($CB$4:$JS$4,S$4,$CB21:$JS21)</f>
        <v>1400160.04</v>
      </c>
      <c r="T21" s="50" t="n">
        <f aca="false">SUMIF($CB$4:$JS$4,T$4,$CB21:$JS21)</f>
        <v>940649.35</v>
      </c>
      <c r="U21" s="50" t="n">
        <f aca="false">SUMIF($CB$4:$JS$4,U$4,$CB21:$JS21)</f>
        <v>1499313.56</v>
      </c>
      <c r="V21" s="50" t="n">
        <f aca="false">SUMIF($CB$4:$JS$4,V$4,$CB21:$JS21)</f>
        <v>1378371.53</v>
      </c>
      <c r="W21" s="50" t="n">
        <f aca="false">SUMIF($CB$4:$JS$4,W$4,$CB21:$JS21)</f>
        <v>2181699.11</v>
      </c>
      <c r="X21" s="50" t="n">
        <f aca="false">SUMIF($CB$4:$JS$4,X$4,$CB21:$JS21)</f>
        <v>1406972.34</v>
      </c>
      <c r="Y21" s="50" t="n">
        <f aca="false">SUMIF($CB$4:$JS$4,Y$4,$CB21:$JS21)</f>
        <v>1568346.71</v>
      </c>
      <c r="Z21" s="50" t="n">
        <f aca="false">SUMIF($CB$4:$JS$4,Z$4,$CB21:$JS21)</f>
        <v>1027092.01</v>
      </c>
      <c r="AA21" s="50" t="n">
        <f aca="false">SUMIF($CB$4:$JS$4,AA$4,$CB21:$JS21)</f>
        <v>68947.56</v>
      </c>
      <c r="AB21" s="50" t="n">
        <f aca="false">SUMIF($CB$4:$JS$4,AB$4,$CB21:$JS21)</f>
        <v>4373.98</v>
      </c>
      <c r="AC21" s="50" t="n">
        <f aca="false">SUMIF($CB$4:$JS$4,AC$4,$CB21:$JS21)</f>
        <v>81622.54</v>
      </c>
      <c r="AD21" s="50" t="n">
        <f aca="false">SUMIF($CB$4:$JS$4,AD$4,$CB21:$JS21)</f>
        <v>370.41</v>
      </c>
      <c r="AE21" s="50" t="n">
        <f aca="false">SUMIF($CB$4:$JS$4,AE$4,$CB21:$JS21)</f>
        <v>1697.43</v>
      </c>
      <c r="AF21" s="50" t="n">
        <f aca="false">SUMIF($CB$4:$JS$4,AF$4,$CB21:$JS21)</f>
        <v>0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0</v>
      </c>
      <c r="AL21" s="50" t="n">
        <f aca="false">SUMIF($CB$4:$JS$4,AL$4,$CB21:$JS21)</f>
        <v>0</v>
      </c>
      <c r="AM21" s="50" t="n">
        <f aca="false">SUMIF($CB$4:$JS$4,AM$4,$CB21:$JS21)</f>
        <v>1469.74</v>
      </c>
      <c r="AN21" s="50" t="n">
        <f aca="false">SUMIF($CB$4:$JS$4,AN$4,$CB21:$JS21)</f>
        <v>68.6</v>
      </c>
      <c r="AO21" s="50" t="n">
        <f aca="false">SUMIF($CB$4:$JS$4,AO$4,$CB21:$JS21)</f>
        <v>31884.45</v>
      </c>
      <c r="AP21" s="50" t="n">
        <f aca="false">SUMIF($CB$4:$JS$4,AP$4,$CB21:$JS21)</f>
        <v>0</v>
      </c>
      <c r="AQ21" s="50" t="n">
        <f aca="false">SUMIF($CB$4:$JS$4,AQ$4,$CB21:$JS21)</f>
        <v>1272.28</v>
      </c>
      <c r="AR21" s="50" t="n">
        <f aca="false">SUMIF($CB$4:$JS$4,AR$4,$CB21:$JS21)</f>
        <v>0</v>
      </c>
      <c r="AS21" s="50" t="n">
        <f aca="false">SUMIF($CB$4:$JS$4,AS$4,$CB21:$JS21)</f>
        <v>181046.83</v>
      </c>
      <c r="AT21" s="50" t="n">
        <f aca="false">SUMIF($CB$4:$JS$4,AT$4,$CB21:$JS21)</f>
        <v>0</v>
      </c>
      <c r="AU21" s="50" t="n">
        <f aca="false">SUMIF($CB$4:$JS$4,AU$4,$CB21:$JS21)</f>
        <v>0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0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0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16890308.77</v>
      </c>
      <c r="BZ21" s="45" t="n">
        <f aca="false">SUMPRODUCT(($CB$4:$JS$4&lt;&gt;"")*($CB$4:$JS$4&lt;=$D$4),$CB21:$JS21,$CB$1:$JS$1)</f>
        <v>135.620043530569</v>
      </c>
      <c r="CB21" s="133" t="n">
        <f aca="false">IF(OR(CB$4="",$B21=""),0,SUMIF('DADOS BRUTOS'!$A$3:$A$500,$B21,'DADOS BRUTOS'!B$3:B$500)+IF($C21="",0,SUMIF('DADOS BRUTOS'!$A$3:$A$500,$C21,'DADOS BRUTOS'!B$3:B$500)))</f>
        <v>0</v>
      </c>
      <c r="CC21" s="133" t="n">
        <f aca="false">IF(OR(CC$4="",$B21=""),0,SUMIF('DADOS BRUTOS'!$A$3:$A$500,$B21,'DADOS BRUTOS'!C$3:C$500)+IF($C21="",0,SUMIF('DADOS BRUTOS'!$A$3:$A$500,$C21,'DADOS BRUTOS'!C$3:C$500)))</f>
        <v>0</v>
      </c>
      <c r="CD21" s="133" t="n">
        <f aca="false">IF(OR(CD$4="",$B21=""),0,SUMIF('DADOS BRUTOS'!$A$3:$A$500,$B21,'DADOS BRUTOS'!D$3:D$500)+IF($C21="",0,SUMIF('DADOS BRUTOS'!$A$3:$A$500,$C21,'DADOS BRUTOS'!D$3:D$500)))</f>
        <v>0</v>
      </c>
      <c r="CE21" s="133" t="n">
        <f aca="false">IF(OR(CE$4="",$B21=""),0,SUMIF('DADOS BRUTOS'!$A$3:$A$500,$B21,'DADOS BRUTOS'!E$3:E$500)+IF($C21="",0,SUMIF('DADOS BRUTOS'!$A$3:$A$500,$C21,'DADOS BRUTOS'!E$3:E$500)))</f>
        <v>0</v>
      </c>
      <c r="CF21" s="133" t="n">
        <f aca="false">IF(OR(CF$4="",$B21=""),0,SUMIF('DADOS BRUTOS'!$A$3:$A$500,$B21,'DADOS BRUTOS'!F$3:F$500)+IF($C21="",0,SUMIF('DADOS BRUTOS'!$A$3:$A$500,$C21,'DADOS BRUTOS'!F$3:F$500)))</f>
        <v>0</v>
      </c>
      <c r="CG21" s="133" t="n">
        <f aca="false">IF(OR(CG$4="",$B21=""),0,SUMIF('DADOS BRUTOS'!$A$3:$A$500,$B21,'DADOS BRUTOS'!G$3:G$500)+IF($C21="",0,SUMIF('DADOS BRUTOS'!$A$3:$A$500,$C21,'DADOS BRUTOS'!G$3:G$500)))</f>
        <v>0</v>
      </c>
      <c r="CH21" s="133" t="n">
        <f aca="false">IF(OR(CH$4="",$B21=""),0,SUMIF('DADOS BRUTOS'!$A$3:$A$500,$B21,'DADOS BRUTOS'!H$3:H$500)+IF($C21="",0,SUMIF('DADOS BRUTOS'!$A$3:$A$500,$C21,'DADOS BRUTOS'!H$3:H$500)))</f>
        <v>0</v>
      </c>
      <c r="CI21" s="133" t="n">
        <f aca="false">IF(OR(CI$4="",$B21=""),0,SUMIF('DADOS BRUTOS'!$A$3:$A$500,$B21,'DADOS BRUTOS'!I$3:I$500)+IF($C21="",0,SUMIF('DADOS BRUTOS'!$A$3:$A$500,$C21,'DADOS BRUTOS'!I$3:I$500)))</f>
        <v>0</v>
      </c>
      <c r="CJ21" s="133" t="n">
        <f aca="false">IF(OR(CJ$4="",$B21=""),0,SUMIF('DADOS BRUTOS'!$A$3:$A$500,$B21,'DADOS BRUTOS'!J$3:J$500)+IF($C21="",0,SUMIF('DADOS BRUTOS'!$A$3:$A$500,$C21,'DADOS BRUTOS'!J$3:J$500)))</f>
        <v>0</v>
      </c>
      <c r="CK21" s="133" t="n">
        <f aca="false">IF(OR(CK$4="",$B21=""),0,SUMIF('DADOS BRUTOS'!$A$3:$A$500,$B21,'DADOS BRUTOS'!K$3:K$500)+IF($C21="",0,SUMIF('DADOS BRUTOS'!$A$3:$A$500,$C21,'DADOS BRUTOS'!K$3:K$500)))</f>
        <v>0</v>
      </c>
      <c r="CL21" s="133" t="n">
        <f aca="false">IF(OR(CL$4="",$B21=""),0,SUMIF('DADOS BRUTOS'!$A$3:$A$500,$B21,'DADOS BRUTOS'!L$3:L$500)+IF($C21="",0,SUMIF('DADOS BRUTOS'!$A$3:$A$500,$C21,'DADOS BRUTOS'!L$3:L$500)))</f>
        <v>0</v>
      </c>
      <c r="CM21" s="133" t="n">
        <f aca="false">IF(OR(CM$4="",$B21=""),0,SUMIF('DADOS BRUTOS'!$A$3:$A$500,$B21,'DADOS BRUTOS'!M$3:M$500)+IF($C21="",0,SUMIF('DADOS BRUTOS'!$A$3:$A$500,$C21,'DADOS BRUTOS'!M$3:M$500)))</f>
        <v>0</v>
      </c>
      <c r="CN21" s="133" t="n">
        <f aca="false">IF(OR(CN$4="",$B21=""),0,SUMIF('DADOS BRUTOS'!$A$3:$A$500,$B21,'DADOS BRUTOS'!N$3:N$500)+IF($C21="",0,SUMIF('DADOS BRUTOS'!$A$3:$A$500,$C21,'DADOS BRUTOS'!N$3:N$500)))</f>
        <v>0</v>
      </c>
      <c r="CO21" s="133" t="n">
        <f aca="false">IF(OR(CO$4="",$B21=""),0,SUMIF('DADOS BRUTOS'!$A$3:$A$500,$B21,'DADOS BRUTOS'!O$3:O$500)+IF($C21="",0,SUMIF('DADOS BRUTOS'!$A$3:$A$500,$C21,'DADOS BRUTOS'!O$3:O$500)))</f>
        <v>0</v>
      </c>
      <c r="CP21" s="133" t="n">
        <f aca="false">IF(OR(CP$4="",$B21=""),0,SUMIF('DADOS BRUTOS'!$A$3:$A$500,$B21,'DADOS BRUTOS'!P$3:P$500)+IF($C21="",0,SUMIF('DADOS BRUTOS'!$A$3:$A$500,$C21,'DADOS BRUTOS'!P$3:P$500)))</f>
        <v>0</v>
      </c>
      <c r="CQ21" s="133" t="n">
        <f aca="false">IF(OR(CQ$4="",$B21=""),0,SUMIF('DADOS BRUTOS'!$A$3:$A$500,$B21,'DADOS BRUTOS'!Q$3:Q$500)+IF($C21="",0,SUMIF('DADOS BRUTOS'!$A$3:$A$500,$C21,'DADOS BRUTOS'!Q$3:Q$500)))</f>
        <v>0</v>
      </c>
      <c r="CR21" s="133" t="n">
        <f aca="false">IF(OR(CR$4="",$B21=""),0,SUMIF('DADOS BRUTOS'!$A$3:$A$500,$B21,'DADOS BRUTOS'!R$3:R$500)+IF($C21="",0,SUMIF('DADOS BRUTOS'!$A$3:$A$500,$C21,'DADOS BRUTOS'!R$3:R$500)))</f>
        <v>0</v>
      </c>
      <c r="CS21" s="133" t="n">
        <f aca="false">IF(OR(CS$4="",$B21=""),0,SUMIF('DADOS BRUTOS'!$A$3:$A$500,$B21,'DADOS BRUTOS'!S$3:S$500)+IF($C21="",0,SUMIF('DADOS BRUTOS'!$A$3:$A$500,$C21,'DADOS BRUTOS'!S$3:S$500)))</f>
        <v>0</v>
      </c>
      <c r="CT21" s="133" t="n">
        <f aca="false">IF(OR(CT$4="",$B21=""),0,SUMIF('DADOS BRUTOS'!$A$3:$A$500,$B21,'DADOS BRUTOS'!T$3:T$500)+IF($C21="",0,SUMIF('DADOS BRUTOS'!$A$3:$A$500,$C21,'DADOS BRUTOS'!T$3:T$500)))</f>
        <v>0</v>
      </c>
      <c r="CU21" s="133" t="n">
        <f aca="false">IF(OR(CU$4="",$B21=""),0,SUMIF('DADOS BRUTOS'!$A$3:$A$500,$B21,'DADOS BRUTOS'!U$3:U$500)+IF($C21="",0,SUMIF('DADOS BRUTOS'!$A$3:$A$500,$C21,'DADOS BRUTOS'!U$3:U$500)))</f>
        <v>0</v>
      </c>
      <c r="CV21" s="133" t="n">
        <f aca="false">IF(OR(CV$4="",$B21=""),0,SUMIF('DADOS BRUTOS'!$A$3:$A$500,$B21,'DADOS BRUTOS'!V$3:V$500)+IF($C21="",0,SUMIF('DADOS BRUTOS'!$A$3:$A$500,$C21,'DADOS BRUTOS'!V$3:V$500)))</f>
        <v>0</v>
      </c>
      <c r="CW21" s="133" t="n">
        <f aca="false">IF(OR(CW$4="",$B21=""),0,SUMIF('DADOS BRUTOS'!$A$3:$A$500,$B21,'DADOS BRUTOS'!W$3:W$500)+IF($C21="",0,SUMIF('DADOS BRUTOS'!$A$3:$A$500,$C21,'DADOS BRUTOS'!W$3:W$500)))</f>
        <v>0</v>
      </c>
      <c r="CX21" s="133" t="n">
        <f aca="false">IF(OR(CX$4="",$B21=""),0,SUMIF('DADOS BRUTOS'!$A$3:$A$500,$B21,'DADOS BRUTOS'!X$3:X$500)+IF($C21="",0,SUMIF('DADOS BRUTOS'!$A$3:$A$500,$C21,'DADOS BRUTOS'!X$3:X$500)))</f>
        <v>0</v>
      </c>
      <c r="CY21" s="133" t="n">
        <f aca="false">IF(OR(CY$4="",$B21=""),0,SUMIF('DADOS BRUTOS'!$A$3:$A$500,$B21,'DADOS BRUTOS'!Y$3:Y$500)+IF($C21="",0,SUMIF('DADOS BRUTOS'!$A$3:$A$500,$C21,'DADOS BRUTOS'!Y$3:Y$500)))</f>
        <v>0</v>
      </c>
      <c r="CZ21" s="133" t="n">
        <f aca="false">IF(OR(CZ$4="",$B21=""),0,SUMIF('DADOS BRUTOS'!$A$3:$A$500,$B21,'DADOS BRUTOS'!Z$3:Z$500)+IF($C21="",0,SUMIF('DADOS BRUTOS'!$A$3:$A$500,$C21,'DADOS BRUTOS'!Z$3:Z$500)))</f>
        <v>0</v>
      </c>
      <c r="DA21" s="133" t="n">
        <f aca="false">IF(OR(DA$4="",$B21=""),0,SUMIF('DADOS BRUTOS'!$A$3:$A$500,$B21,'DADOS BRUTOS'!AA$3:AA$500)+IF($C21="",0,SUMIF('DADOS BRUTOS'!$A$3:$A$500,$C21,'DADOS BRUTOS'!AA$3:AA$500)))</f>
        <v>0</v>
      </c>
      <c r="DB21" s="133" t="n">
        <f aca="false">IF(OR(DB$4="",$B21=""),0,SUMIF('DADOS BRUTOS'!$A$3:$A$500,$B21,'DADOS BRUTOS'!AB$3:AB$500)+IF($C21="",0,SUMIF('DADOS BRUTOS'!$A$3:$A$500,$C21,'DADOS BRUTOS'!AB$3:AB$500)))</f>
        <v>0</v>
      </c>
      <c r="DC21" s="133" t="n">
        <f aca="false">IF(OR(DC$4="",$B21=""),0,SUMIF('DADOS BRUTOS'!$A$3:$A$500,$B21,'DADOS BRUTOS'!AC$3:AC$500)+IF($C21="",0,SUMIF('DADOS BRUTOS'!$A$3:$A$500,$C21,'DADOS BRUTOS'!AC$3:AC$500)))</f>
        <v>7013.53</v>
      </c>
      <c r="DD21" s="133" t="n">
        <f aca="false">IF(OR(DD$4="",$B21=""),0,SUMIF('DADOS BRUTOS'!$A$3:$A$500,$B21,'DADOS BRUTOS'!AD$3:AD$500)+IF($C21="",0,SUMIF('DADOS BRUTOS'!$A$3:$A$500,$C21,'DADOS BRUTOS'!AD$3:AD$500)))</f>
        <v>87087.33</v>
      </c>
      <c r="DE21" s="133" t="n">
        <f aca="false">IF(OR(DE$4="",$B21=""),0,SUMIF('DADOS BRUTOS'!$A$3:$A$500,$B21,'DADOS BRUTOS'!AE$3:AE$500)+IF($C21="",0,SUMIF('DADOS BRUTOS'!$A$3:$A$500,$C21,'DADOS BRUTOS'!AE$3:AE$500)))</f>
        <v>49435.95</v>
      </c>
      <c r="DF21" s="133" t="n">
        <f aca="false">IF(OR(DF$4="",$B21=""),0,SUMIF('DADOS BRUTOS'!$A$3:$A$500,$B21,'DADOS BRUTOS'!AF$3:AF$500)+IF($C21="",0,SUMIF('DADOS BRUTOS'!$A$3:$A$500,$C21,'DADOS BRUTOS'!AF$3:AF$500)))</f>
        <v>6062.34</v>
      </c>
      <c r="DG21" s="133" t="n">
        <f aca="false">IF(OR(DG$4="",$B21=""),0,SUMIF('DADOS BRUTOS'!$A$3:$A$500,$B21,'DADOS BRUTOS'!AG$3:AG$500)+IF($C21="",0,SUMIF('DADOS BRUTOS'!$A$3:$A$500,$C21,'DADOS BRUTOS'!AG$3:AG$500)))</f>
        <v>4690</v>
      </c>
      <c r="DH21" s="133" t="n">
        <f aca="false">IF(OR(DH$4="",$B21=""),0,SUMIF('DADOS BRUTOS'!$A$3:$A$500,$B21,'DADOS BRUTOS'!AH$3:AH$500)+IF($C21="",0,SUMIF('DADOS BRUTOS'!$A$3:$A$500,$C21,'DADOS BRUTOS'!AH$3:AH$500)))</f>
        <v>0</v>
      </c>
      <c r="DI21" s="133" t="n">
        <f aca="false">IF(OR(DI$4="",$B21=""),0,SUMIF('DADOS BRUTOS'!$A$3:$A$500,$B21,'DADOS BRUTOS'!AI$3:AI$500)+IF($C21="",0,SUMIF('DADOS BRUTOS'!$A$3:$A$500,$C21,'DADOS BRUTOS'!AI$3:AI$500)))</f>
        <v>0</v>
      </c>
      <c r="DJ21" s="133" t="n">
        <f aca="false">IF(OR(DJ$4="",$B21=""),0,SUMIF('DADOS BRUTOS'!$A$3:$A$500,$B21,'DADOS BRUTOS'!AJ$3:AJ$500)+IF($C21="",0,SUMIF('DADOS BRUTOS'!$A$3:$A$500,$C21,'DADOS BRUTOS'!AJ$3:AJ$500)))</f>
        <v>1352.4</v>
      </c>
      <c r="DK21" s="133" t="n">
        <f aca="false">IF(OR(DK$4="",$B21=""),0,SUMIF('DADOS BRUTOS'!$A$3:$A$500,$B21,'DADOS BRUTOS'!AK$3:AK$500)+IF($C21="",0,SUMIF('DADOS BRUTOS'!$A$3:$A$500,$C21,'DADOS BRUTOS'!AK$3:AK$500)))</f>
        <v>7094.97</v>
      </c>
      <c r="DL21" s="133" t="n">
        <f aca="false">IF(OR(DL$4="",$B21=""),0,SUMIF('DADOS BRUTOS'!$A$3:$A$500,$B21,'DADOS BRUTOS'!AL$3:AL$500)+IF($C21="",0,SUMIF('DADOS BRUTOS'!$A$3:$A$500,$C21,'DADOS BRUTOS'!AL$3:AL$500)))</f>
        <v>5516.1</v>
      </c>
      <c r="DM21" s="133" t="n">
        <f aca="false">IF(OR(DM$4="",$B21=""),0,SUMIF('DADOS BRUTOS'!$A$3:$A$500,$B21,'DADOS BRUTOS'!AM$3:AM$500)+IF($C21="",0,SUMIF('DADOS BRUTOS'!$A$3:$A$500,$C21,'DADOS BRUTOS'!AM$3:AM$500)))</f>
        <v>3460.6</v>
      </c>
      <c r="DN21" s="133" t="n">
        <f aca="false">IF(OR(DN$4="",$B21=""),0,SUMIF('DADOS BRUTOS'!$A$3:$A$500,$B21,'DADOS BRUTOS'!AN$3:AN$500)+IF($C21="",0,SUMIF('DADOS BRUTOS'!$A$3:$A$500,$C21,'DADOS BRUTOS'!AN$3:AN$500)))</f>
        <v>11932.23</v>
      </c>
      <c r="DO21" s="133" t="n">
        <f aca="false">IF(OR(DO$4="",$B21=""),0,SUMIF('DADOS BRUTOS'!$A$3:$A$500,$B21,'DADOS BRUTOS'!AO$3:AO$500)+IF($C21="",0,SUMIF('DADOS BRUTOS'!$A$3:$A$500,$C21,'DADOS BRUTOS'!AO$3:AO$500)))</f>
        <v>46566.89</v>
      </c>
      <c r="DP21" s="133" t="n">
        <f aca="false">IF(OR(DP$4="",$B21=""),0,SUMIF('DADOS BRUTOS'!$A$3:$A$500,$B21,'DADOS BRUTOS'!AP$3:AP$500)+IF($C21="",0,SUMIF('DADOS BRUTOS'!$A$3:$A$500,$C21,'DADOS BRUTOS'!AP$3:AP$500)))</f>
        <v>189195.17</v>
      </c>
      <c r="DQ21" s="133" t="n">
        <f aca="false">IF(OR(DQ$4="",$B21=""),0,SUMIF('DADOS BRUTOS'!$A$3:$A$500,$B21,'DADOS BRUTOS'!AQ$3:AQ$500)+IF($C21="",0,SUMIF('DADOS BRUTOS'!$A$3:$A$500,$C21,'DADOS BRUTOS'!AQ$3:AQ$500)))</f>
        <v>282352.35</v>
      </c>
      <c r="DR21" s="133" t="n">
        <f aca="false">IF(OR(DR$4="",$B21=""),0,SUMIF('DADOS BRUTOS'!$A$3:$A$500,$B21,'DADOS BRUTOS'!AR$3:AR$500)+IF($C21="",0,SUMIF('DADOS BRUTOS'!$A$3:$A$500,$C21,'DADOS BRUTOS'!AR$3:AR$500)))</f>
        <v>488907.9</v>
      </c>
      <c r="DS21" s="133" t="n">
        <f aca="false">IF(OR(DS$4="",$B21=""),0,SUMIF('DADOS BRUTOS'!$A$3:$A$500,$B21,'DADOS BRUTOS'!AS$3:AS$500)+IF($C21="",0,SUMIF('DADOS BRUTOS'!$A$3:$A$500,$C21,'DADOS BRUTOS'!AS$3:AS$500)))</f>
        <v>759547.22</v>
      </c>
      <c r="DT21" s="133" t="n">
        <f aca="false">IF(OR(DT$4="",$B21=""),0,SUMIF('DADOS BRUTOS'!$A$3:$A$500,$B21,'DADOS BRUTOS'!AT$3:AT$500)+IF($C21="",0,SUMIF('DADOS BRUTOS'!$A$3:$A$500,$C21,'DADOS BRUTOS'!AT$3:AT$500)))</f>
        <v>1210391.79</v>
      </c>
      <c r="DU21" s="133" t="n">
        <f aca="false">IF(OR(DU$4="",$B21=""),0,SUMIF('DADOS BRUTOS'!$A$3:$A$500,$B21,'DADOS BRUTOS'!AU$3:AU$500)+IF($C21="",0,SUMIF('DADOS BRUTOS'!$A$3:$A$500,$C21,'DADOS BRUTOS'!AU$3:AU$500)))</f>
        <v>1025636.7</v>
      </c>
      <c r="DV21" s="133" t="n">
        <f aca="false">IF(OR(DV$4="",$B21=""),0,SUMIF('DADOS BRUTOS'!$A$3:$A$500,$B21,'DADOS BRUTOS'!AV$3:AV$500)+IF($C21="",0,SUMIF('DADOS BRUTOS'!$A$3:$A$500,$C21,'DADOS BRUTOS'!AV$3:AV$500)))</f>
        <v>928706.83</v>
      </c>
      <c r="DW21" s="133" t="n">
        <f aca="false">IF(OR(DW$4="",$B21=""),0,SUMIF('DADOS BRUTOS'!$A$3:$A$500,$B21,'DADOS BRUTOS'!AW$3:AW$500)+IF($C21="",0,SUMIF('DADOS BRUTOS'!$A$3:$A$500,$C21,'DADOS BRUTOS'!AW$3:AW$500)))</f>
        <v>1400160.04</v>
      </c>
      <c r="DX21" s="133" t="n">
        <f aca="false">IF(OR(DX$4="",$B21=""),0,SUMIF('DADOS BRUTOS'!$A$3:$A$500,$B21,'DADOS BRUTOS'!AX$3:AX$500)+IF($C21="",0,SUMIF('DADOS BRUTOS'!$A$3:$A$500,$C21,'DADOS BRUTOS'!AX$3:AX$500)))</f>
        <v>940649.35</v>
      </c>
      <c r="DY21" s="133" t="n">
        <f aca="false">IF(OR(DY$4="",$B21=""),0,SUMIF('DADOS BRUTOS'!$A$3:$A$500,$B21,'DADOS BRUTOS'!AY$3:AY$500)+IF($C21="",0,SUMIF('DADOS BRUTOS'!$A$3:$A$500,$C21,'DADOS BRUTOS'!AY$3:AY$500)))</f>
        <v>1499313.56</v>
      </c>
      <c r="DZ21" s="133" t="n">
        <f aca="false">IF(OR(DZ$4="",$B21=""),0,SUMIF('DADOS BRUTOS'!$A$3:$A$500,$B21,'DADOS BRUTOS'!AZ$3:AZ$500)+IF($C21="",0,SUMIF('DADOS BRUTOS'!$A$3:$A$500,$C21,'DADOS BRUTOS'!AZ$3:AZ$500)))</f>
        <v>1378371.53</v>
      </c>
      <c r="EA21" s="133" t="n">
        <f aca="false">IF(OR(EA$4="",$B21=""),0,SUMIF('DADOS BRUTOS'!$A$3:$A$500,$B21,'DADOS BRUTOS'!BA$3:BA$500)+IF($C21="",0,SUMIF('DADOS BRUTOS'!$A$3:$A$500,$C21,'DADOS BRUTOS'!BA$3:BA$500)))</f>
        <v>2181699.11</v>
      </c>
      <c r="EB21" s="133" t="n">
        <f aca="false">IF(OR(EB$4="",$B21=""),0,SUMIF('DADOS BRUTOS'!$A$3:$A$500,$B21,'DADOS BRUTOS'!BB$3:BB$500)+IF($C21="",0,SUMIF('DADOS BRUTOS'!$A$3:$A$500,$C21,'DADOS BRUTOS'!BB$3:BB$500)))</f>
        <v>1406972.34</v>
      </c>
      <c r="EC21" s="133" t="n">
        <f aca="false">IF(OR(EC$4="",$B21=""),0,SUMIF('DADOS BRUTOS'!$A$3:$A$500,$B21,'DADOS BRUTOS'!BC$3:BC$500)+IF($C21="",0,SUMIF('DADOS BRUTOS'!$A$3:$A$500,$C21,'DADOS BRUTOS'!BC$3:BC$500)))</f>
        <v>1568346.71</v>
      </c>
      <c r="ED21" s="133" t="n">
        <f aca="false">IF(OR(ED$4="",$B21=""),0,SUMIF('DADOS BRUTOS'!$A$3:$A$500,$B21,'DADOS BRUTOS'!BD$3:BD$500)+IF($C21="",0,SUMIF('DADOS BRUTOS'!$A$3:$A$500,$C21,'DADOS BRUTOS'!BD$3:BD$500)))</f>
        <v>1027092.01</v>
      </c>
      <c r="EE21" s="133" t="n">
        <f aca="false">IF(OR(EE$4="",$B21=""),0,SUMIF('DADOS BRUTOS'!$A$3:$A$500,$B21,'DADOS BRUTOS'!BE$3:BE$500)+IF($C21="",0,SUMIF('DADOS BRUTOS'!$A$3:$A$500,$C21,'DADOS BRUTOS'!BE$3:BE$500)))</f>
        <v>68947.56</v>
      </c>
      <c r="EF21" s="133" t="n">
        <f aca="false">IF(OR(EF$4="",$B21=""),0,SUMIF('DADOS BRUTOS'!$A$3:$A$500,$B21,'DADOS BRUTOS'!BF$3:BF$500)+IF($C21="",0,SUMIF('DADOS BRUTOS'!$A$3:$A$500,$C21,'DADOS BRUTOS'!BF$3:BF$500)))</f>
        <v>4373.98</v>
      </c>
      <c r="EG21" s="133" t="n">
        <f aca="false">IF(OR(EG$4="",$B21=""),0,SUMIF('DADOS BRUTOS'!$A$3:$A$500,$B21,'DADOS BRUTOS'!BG$3:BG$500)+IF($C21="",0,SUMIF('DADOS BRUTOS'!$A$3:$A$500,$C21,'DADOS BRUTOS'!BG$3:BG$500)))</f>
        <v>81622.54</v>
      </c>
      <c r="EH21" s="133" t="n">
        <f aca="false">IF(OR(EH$4="",$B21=""),0,SUMIF('DADOS BRUTOS'!$A$3:$A$500,$B21,'DADOS BRUTOS'!BH$3:BH$500)+IF($C21="",0,SUMIF('DADOS BRUTOS'!$A$3:$A$500,$C21,'DADOS BRUTOS'!BH$3:BH$500)))</f>
        <v>370.41</v>
      </c>
      <c r="EI21" s="133" t="n">
        <f aca="false">IF(OR(EI$4="",$B21=""),0,SUMIF('DADOS BRUTOS'!$A$3:$A$500,$B21,'DADOS BRUTOS'!BI$3:BI$500)+IF($C21="",0,SUMIF('DADOS BRUTOS'!$A$3:$A$500,$C21,'DADOS BRUTOS'!BI$3:BI$500)))</f>
        <v>1697.43</v>
      </c>
      <c r="EJ21" s="133" t="n">
        <f aca="false">IF(OR(EJ$4="",$B21=""),0,SUMIF('DADOS BRUTOS'!$A$3:$A$500,$B21,'DADOS BRUTOS'!BJ$3:BJ$500)+IF($C21="",0,SUMIF('DADOS BRUTOS'!$A$3:$A$500,$C21,'DADOS BRUTOS'!BJ$3:BJ$500)))</f>
        <v>0</v>
      </c>
      <c r="EK21" s="133" t="n">
        <f aca="false">IF(OR(EK$4="",$B21=""),0,SUMIF('DADOS BRUTOS'!$A$3:$A$500,$B21,'DADOS BRUTOS'!BK$3:BK$500)+IF($C21="",0,SUMIF('DADOS BRUTOS'!$A$3:$A$500,$C21,'DADOS BRUTOS'!BK$3:BK$500)))</f>
        <v>0</v>
      </c>
      <c r="EL21" s="133" t="n">
        <f aca="false">IF(OR(EL$4="",$B21=""),0,SUMIF('DADOS BRUTOS'!$A$3:$A$500,$B21,'DADOS BRUTOS'!BL$3:BL$500)+IF($C21="",0,SUMIF('DADOS BRUTOS'!$A$3:$A$500,$C21,'DADOS BRUTOS'!BL$3:BL$500)))</f>
        <v>0</v>
      </c>
      <c r="EM21" s="133" t="n">
        <f aca="false">IF(OR(EM$4="",$B21=""),0,SUMIF('DADOS BRUTOS'!$A$3:$A$500,$B21,'DADOS BRUTOS'!BM$3:BM$500)+IF($C21="",0,SUMIF('DADOS BRUTOS'!$A$3:$A$500,$C21,'DADOS BRUTOS'!BM$3:BM$500)))</f>
        <v>0</v>
      </c>
      <c r="EN21" s="133" t="n">
        <f aca="false">IF(OR(EN$4="",$B21=""),0,SUMIF('DADOS BRUTOS'!$A$3:$A$500,$B21,'DADOS BRUTOS'!BN$3:BN$500)+IF($C21="",0,SUMIF('DADOS BRUTOS'!$A$3:$A$500,$C21,'DADOS BRUTOS'!BN$3:BN$500)))</f>
        <v>0</v>
      </c>
      <c r="EO21" s="133" t="n">
        <f aca="false">IF(OR(EO$4="",$B21=""),0,SUMIF('DADOS BRUTOS'!$A$3:$A$500,$B21,'DADOS BRUTOS'!BO$3:BO$500)+IF($C21="",0,SUMIF('DADOS BRUTOS'!$A$3:$A$500,$C21,'DADOS BRUTOS'!BO$3:BO$500)))</f>
        <v>0</v>
      </c>
      <c r="EP21" s="133" t="n">
        <f aca="false">IF(OR(EP$4="",$B21=""),0,SUMIF('DADOS BRUTOS'!$A$3:$A$500,$B21,'DADOS BRUTOS'!BP$3:BP$500)+IF($C21="",0,SUMIF('DADOS BRUTOS'!$A$3:$A$500,$C21,'DADOS BRUTOS'!BP$3:BP$500)))</f>
        <v>0</v>
      </c>
      <c r="EQ21" s="133" t="n">
        <f aca="false">IF(OR(EQ$4="",$B21=""),0,SUMIF('DADOS BRUTOS'!$A$3:$A$500,$B21,'DADOS BRUTOS'!BQ$3:BQ$500)+IF($C21="",0,SUMIF('DADOS BRUTOS'!$A$3:$A$500,$C21,'DADOS BRUTOS'!BQ$3:BQ$500)))</f>
        <v>1469.74</v>
      </c>
      <c r="ER21" s="133" t="n">
        <f aca="false">IF(OR(ER$4="",$B21=""),0,SUMIF('DADOS BRUTOS'!$A$3:$A$500,$B21,'DADOS BRUTOS'!BR$3:BR$500)+IF($C21="",0,SUMIF('DADOS BRUTOS'!$A$3:$A$500,$C21,'DADOS BRUTOS'!BR$3:BR$500)))</f>
        <v>68.6</v>
      </c>
      <c r="ES21" s="133" t="n">
        <f aca="false">IF(OR(ES$4="",$B21=""),0,SUMIF('DADOS BRUTOS'!$A$3:$A$500,$B21,'DADOS BRUTOS'!BS$3:BS$500)+IF($C21="",0,SUMIF('DADOS BRUTOS'!$A$3:$A$500,$C21,'DADOS BRUTOS'!BS$3:BS$500)))</f>
        <v>31884.45</v>
      </c>
      <c r="ET21" s="133" t="n">
        <f aca="false">IF(OR(ET$4="",$B21=""),0,SUMIF('DADOS BRUTOS'!$A$3:$A$500,$B21,'DADOS BRUTOS'!BT$3:BT$500)+IF($C21="",0,SUMIF('DADOS BRUTOS'!$A$3:$A$500,$C21,'DADOS BRUTOS'!BT$3:BT$500)))</f>
        <v>0</v>
      </c>
      <c r="EU21" s="133" t="n">
        <f aca="false">IF(OR(EU$4="",$B21=""),0,SUMIF('DADOS BRUTOS'!$A$3:$A$500,$B21,'DADOS BRUTOS'!BU$3:BU$500)+IF($C21="",0,SUMIF('DADOS BRUTOS'!$A$3:$A$500,$C21,'DADOS BRUTOS'!BU$3:BU$500)))</f>
        <v>1272.28</v>
      </c>
      <c r="EV21" s="133" t="n">
        <f aca="false">IF(OR(EV$4="",$B21=""),0,SUMIF('DADOS BRUTOS'!$A$3:$A$500,$B21,'DADOS BRUTOS'!BV$3:BV$500)+IF($C21="",0,SUMIF('DADOS BRUTOS'!$A$3:$A$500,$C21,'DADOS BRUTOS'!BV$3:BV$500)))</f>
        <v>0</v>
      </c>
      <c r="EW21" s="133" t="n">
        <f aca="false">IF(OR(EW$4="",$B21=""),0,SUMIF('DADOS BRUTOS'!$A$3:$A$500,$B21,'DADOS BRUTOS'!BW$3:BW$500)+IF($C21="",0,SUMIF('DADOS BRUTOS'!$A$3:$A$500,$C21,'DADOS BRUTOS'!BW$3:BW$500)))</f>
        <v>181046.83</v>
      </c>
      <c r="EX21" s="133" t="n">
        <f aca="false">IF(OR(EX$4="",$B21=""),0,SUMIF('DADOS BRUTOS'!$A$3:$A$500,$B21,'DADOS BRUTOS'!BX$3:BX$500)+IF($C21="",0,SUMIF('DADOS BRUTOS'!$A$3:$A$500,$C21,'DADOS BRUTOS'!BX$3:BX$500)))</f>
        <v>0</v>
      </c>
      <c r="EY21" s="133" t="n">
        <f aca="false">IF(OR(EY$4="",$B21=""),0,SUMIF('DADOS BRUTOS'!$A$3:$A$500,$B21,'DADOS BRUTOS'!BY$3:BY$500)+IF($C21="",0,SUMIF('DADOS BRUTOS'!$A$3:$A$500,$C21,'DADOS BRUTOS'!BY$3:BY$500)))</f>
        <v>0</v>
      </c>
      <c r="EZ21" s="133" t="n">
        <f aca="false">IF(OR(EZ$4="",$B21=""),0,SUMIF('DADOS BRUTOS'!$A$3:$A$500,$B21,'DADOS BRUTOS'!BZ$3:BZ$500)+IF($C21="",0,SUMIF('DADOS BRUTOS'!$A$3:$A$500,$C21,'DADOS BRUTOS'!BZ$3:BZ$500)))</f>
        <v>0</v>
      </c>
      <c r="FA21" s="133" t="n">
        <f aca="false">IF(OR(FA$4="",$B21=""),0,SUMIF('DADOS BRUTOS'!$A$3:$A$500,$B21,'DADOS BRUTOS'!CA$3:CA$500)+IF($C21="",0,SUMIF('DADOS BRUTOS'!$A$3:$A$500,$C21,'DADOS BRUTOS'!CA$3:CA$500)))</f>
        <v>0</v>
      </c>
      <c r="FB21" s="133" t="n">
        <f aca="false">IF(OR(FB$4="",$B21=""),0,SUMIF('DADOS BRUTOS'!$A$3:$A$500,$B21,'DADOS BRUTOS'!CB$3:CB$500)+IF($C21="",0,SUMIF('DADOS BRUTOS'!$A$3:$A$500,$C21,'DADOS BRUTOS'!CB$3:CB$500)))</f>
        <v>0</v>
      </c>
      <c r="FC21" s="133" t="n">
        <f aca="false">IF(OR(FC$4="",$B21=""),0,SUMIF('DADOS BRUTOS'!$A$3:$A$500,$B21,'DADOS BRUTOS'!CC$3:CC$500)+IF($C21="",0,SUMIF('DADOS BRUTOS'!$A$3:$A$500,$C21,'DADOS BRUTOS'!CC$3:CC$500)))</f>
        <v>0</v>
      </c>
      <c r="FD21" s="133" t="n">
        <f aca="false">IF(OR(FD$4="",$B21=""),0,SUMIF('DADOS BRUTOS'!$A$3:$A$500,$B21,'DADOS BRUTOS'!CD$3:CD$500)+IF($C21="",0,SUMIF('DADOS BRUTOS'!$A$3:$A$500,$C21,'DADOS BRUTOS'!CD$3:CD$500)))</f>
        <v>0</v>
      </c>
      <c r="FE21" s="133" t="n">
        <f aca="false">IF(OR(FE$4="",$B21=""),0,SUMIF('DADOS BRUTOS'!$A$3:$A$500,$B21,'DADOS BRUTOS'!CE$3:CE$500)+IF($C21="",0,SUMIF('DADOS BRUTOS'!$A$3:$A$500,$C21,'DADOS BRUTOS'!CE$3:CE$500)))</f>
        <v>0</v>
      </c>
      <c r="FF21" s="133" t="n">
        <f aca="false">IF(OR(FF$4="",$B21=""),0,SUMIF('DADOS BRUTOS'!$A$3:$A$500,$B21,'DADOS BRUTOS'!CF$3:CF$500)+IF($C21="",0,SUMIF('DADOS BRUTOS'!$A$3:$A$500,$C21,'DADOS BRUTOS'!CF$3:CF$500)))</f>
        <v>0</v>
      </c>
      <c r="FG21" s="133" t="n">
        <f aca="false">IF(OR(FG$4="",$B21=""),0,SUMIF('DADOS BRUTOS'!$A$3:$A$500,$B21,'DADOS BRUTOS'!CG$3:CG$500)+IF($C21="",0,SUMIF('DADOS BRUTOS'!$A$3:$A$500,$C21,'DADOS BRUTOS'!CG$3:CG$500)))</f>
        <v>0</v>
      </c>
      <c r="FH21" s="133" t="n">
        <f aca="false">IF(OR(FH$4="",$B21=""),0,SUMIF('DADOS BRUTOS'!$A$3:$A$500,$B21,'DADOS BRUTOS'!CH$3:CH$500)+IF($C21="",0,SUMIF('DADOS BRUTOS'!$A$3:$A$500,$C21,'DADOS BRUTOS'!CH$3:CH$500)))</f>
        <v>0</v>
      </c>
      <c r="FI21" s="133" t="n">
        <f aca="false">IF(OR(FI$4="",$B21=""),0,SUMIF('DADOS BRUTOS'!$A$3:$A$500,$B21,'DADOS BRUTOS'!CI$3:CI$500)+IF($C21="",0,SUMIF('DADOS BRUTOS'!$A$3:$A$500,$C21,'DADOS BRUTOS'!CI$3:CI$500)))</f>
        <v>0</v>
      </c>
      <c r="FJ21" s="133" t="n">
        <f aca="false">IF(OR(FJ$4="",$B21=""),0,SUMIF('DADOS BRUTOS'!$A$3:$A$500,$B21,'DADOS BRUTOS'!CJ$3:CJ$500)+IF($C21="",0,SUMIF('DADOS BRUTOS'!$A$3:$A$500,$C21,'DADOS BRUTOS'!CJ$3:CJ$500)))</f>
        <v>0</v>
      </c>
      <c r="FK21" s="133" t="n">
        <f aca="false">IF(OR(FK$4="",$B21=""),0,SUMIF('DADOS BRUTOS'!$A$3:$A$500,$B21,'DADOS BRUTOS'!CK$3:CK$500)+IF($C21="",0,SUMIF('DADOS BRUTOS'!$A$3:$A$500,$C21,'DADOS BRUTOS'!CK$3:CK$500)))</f>
        <v>0</v>
      </c>
      <c r="FL21" s="133" t="n">
        <f aca="false">IF(OR(FL$4="",$B21=""),0,SUMIF('DADOS BRUTOS'!$A$3:$A$500,$B21,'DADOS BRUTOS'!CL$3:CL$500)+IF($C21="",0,SUMIF('DADOS BRUTOS'!$A$3:$A$500,$C21,'DADOS BRUTOS'!CL$3:CL$500)))</f>
        <v>0</v>
      </c>
      <c r="FM21" s="133" t="n">
        <f aca="false">IF(OR(FM$4="",$B21=""),0,SUMIF('DADOS BRUTOS'!$A$3:$A$500,$B21,'DADOS BRUTOS'!CM$3:CM$500)+IF($C21="",0,SUMIF('DADOS BRUTOS'!$A$3:$A$500,$C21,'DADOS BRUTOS'!CM$3:CM$500)))</f>
        <v>0</v>
      </c>
      <c r="FN21" s="133" t="n">
        <f aca="false">IF(OR(FN$4="",$B21=""),0,SUMIF('DADOS BRUTOS'!$A$3:$A$500,$B21,'DADOS BRUTOS'!CN$3:CN$500)+IF($C21="",0,SUMIF('DADOS BRUTOS'!$A$3:$A$500,$C21,'DADOS BRUTOS'!CN$3:CN$500)))</f>
        <v>0</v>
      </c>
      <c r="FO21" s="133" t="n">
        <f aca="false">IF(OR(FO$4="",$B21=""),0,SUMIF('DADOS BRUTOS'!$A$3:$A$500,$B21,'DADOS BRUTOS'!CO$3:CO$500)+IF($C21="",0,SUMIF('DADOS BRUTOS'!$A$3:$A$500,$C21,'DADOS BRUTOS'!CO$3:CO$500)))</f>
        <v>0</v>
      </c>
      <c r="FP21" s="133" t="n">
        <f aca="false">IF(OR(FP$4="",$B21=""),0,SUMIF('DADOS BRUTOS'!$A$3:$A$500,$B21,'DADOS BRUTOS'!CP$3:CP$500)+IF($C21="",0,SUMIF('DADOS BRUTOS'!$A$3:$A$500,$C21,'DADOS BRUTOS'!CP$3:CP$500)))</f>
        <v>0</v>
      </c>
      <c r="FQ21" s="133" t="n">
        <f aca="false">IF(OR(FQ$4="",$B21=""),0,SUMIF('DADOS BRUTOS'!$A$3:$A$500,$B21,'DADOS BRUTOS'!CQ$3:CQ$500)+IF($C21="",0,SUMIF('DADOS BRUTOS'!$A$3:$A$500,$C21,'DADOS BRUTOS'!CQ$3:CQ$500)))</f>
        <v>0</v>
      </c>
      <c r="FR21" s="133" t="n">
        <f aca="false">IF(OR(FR$4="",$B21=""),0,SUMIF('DADOS BRUTOS'!$A$3:$A$500,$B21,'DADOS BRUTOS'!CR$3:CR$500)+IF($C21="",0,SUMIF('DADOS BRUTOS'!$A$3:$A$500,$C21,'DADOS BRUTOS'!CR$3:CR$500)))</f>
        <v>0</v>
      </c>
      <c r="FS21" s="133" t="n">
        <f aca="false">IF(OR(FS$4="",$B21=""),0,SUMIF('DADOS BRUTOS'!$A$3:$A$500,$B21,'DADOS BRUTOS'!CS$3:CS$500)+IF($C21="",0,SUMIF('DADOS BRUTOS'!$A$3:$A$500,$C21,'DADOS BRUTOS'!CS$3:CS$500)))</f>
        <v>0</v>
      </c>
      <c r="FT21" s="133" t="n">
        <f aca="false">IF(OR(FT$4="",$B21=""),0,SUMIF('DADOS BRUTOS'!$A$3:$A$500,$B21,'DADOS BRUTOS'!CT$3:CT$500)+IF($C21="",0,SUMIF('DADOS BRUTOS'!$A$3:$A$500,$C21,'DADOS BRUTOS'!CT$3:CT$500)))</f>
        <v>0</v>
      </c>
      <c r="FU21" s="133" t="n">
        <f aca="false">IF(OR(FU$4="",$B21=""),0,SUMIF('DADOS BRUTOS'!$A$3:$A$500,$B21,'DADOS BRUTOS'!CU$3:CU$500)+IF($C21="",0,SUMIF('DADOS BRUTOS'!$A$3:$A$500,$C21,'DADOS BRUTOS'!CU$3:CU$500)))</f>
        <v>0</v>
      </c>
      <c r="FV21" s="133" t="n">
        <f aca="false">IF(OR(FV$4="",$B21=""),0,SUMIF('DADOS BRUTOS'!$A$3:$A$500,$B21,'DADOS BRUTOS'!CV$3:CV$500)+IF($C21="",0,SUMIF('DADOS BRUTOS'!$A$3:$A$500,$C21,'DADOS BRUTOS'!CV$3:CV$500)))</f>
        <v>0</v>
      </c>
      <c r="FW21" s="133" t="n">
        <f aca="false">IF(OR(FW$4="",$B21=""),0,SUMIF('DADOS BRUTOS'!$A$3:$A$500,$B21,'DADOS BRUTOS'!CW$3:CW$500)+IF($C21="",0,SUMIF('DADOS BRUTOS'!$A$3:$A$500,$C21,'DADOS BRUTOS'!CW$3:CW$500)))</f>
        <v>0</v>
      </c>
      <c r="FX21" s="133" t="n">
        <f aca="false">IF(OR(FX$4="",$B21=""),0,SUMIF('DADOS BRUTOS'!$A$3:$A$500,$B21,'DADOS BRUTOS'!CX$3:CX$500)+IF($C21="",0,SUMIF('DADOS BRUTOS'!$A$3:$A$500,$C21,'DADOS BRUTOS'!CX$3:CX$500)))</f>
        <v>0</v>
      </c>
      <c r="FY21" s="133" t="n">
        <f aca="false">IF(OR(FY$4="",$B21=""),0,SUMIF('DADOS BRUTOS'!$A$3:$A$500,$B21,'DADOS BRUTOS'!CY$3:CY$500)+IF($C21="",0,SUMIF('DADOS BRUTOS'!$A$3:$A$500,$C21,'DADOS BRUTOS'!CY$3:CY$500)))</f>
        <v>0</v>
      </c>
      <c r="FZ21" s="133" t="n">
        <f aca="false">IF(OR(FZ$4="",$B21=""),0,SUMIF('DADOS BRUTOS'!$A$3:$A$500,$B21,'DADOS BRUTOS'!CZ$3:CZ$500)+IF($C21="",0,SUMIF('DADOS BRUTOS'!$A$3:$A$500,$C21,'DADOS BRUTOS'!CZ$3:CZ$500)))</f>
        <v>0</v>
      </c>
      <c r="GA21" s="133" t="n">
        <f aca="false">IF(OR(GA$4="",$B21=""),0,SUMIF('DADOS BRUTOS'!$A$3:$A$500,$B21,'DADOS BRUTOS'!DA$3:DA$500)+IF($C21="",0,SUMIF('DADOS BRUTOS'!$A$3:$A$500,$C21,'DADOS BRUTOS'!DA$3:DA$500)))</f>
        <v>0</v>
      </c>
      <c r="GB21" s="133" t="n">
        <f aca="false">IF(OR(GB$4="",$B21=""),0,SUMIF('DADOS BRUTOS'!$A$3:$A$500,$B21,'DADOS BRUTOS'!DB$3:DB$500)+IF($C21="",0,SUMIF('DADOS BRUTOS'!$A$3:$A$500,$C21,'DADOS BRUTOS'!DB$3:DB$500)))</f>
        <v>0</v>
      </c>
      <c r="GC21" s="133" t="n">
        <f aca="false">IF(OR(GC$4="",$B21=""),0,SUMIF('DADOS BRUTOS'!$A$3:$A$500,$B21,'DADOS BRUTOS'!DC$3:DC$500)+IF($C21="",0,SUMIF('DADOS BRUTOS'!$A$3:$A$500,$C21,'DADOS BRUTOS'!DC$3:DC$500)))</f>
        <v>0</v>
      </c>
      <c r="GD21" s="133" t="n">
        <f aca="false">IF(OR(GD$4="",$B21=""),0,SUMIF('DADOS BRUTOS'!$A$3:$A$500,$B21,'DADOS BRUTOS'!DD$3:DD$500)+IF($C21="",0,SUMIF('DADOS BRUTOS'!$A$3:$A$500,$C21,'DADOS BRUTOS'!DD$3:DD$500)))</f>
        <v>0</v>
      </c>
      <c r="GE21" s="133" t="n">
        <f aca="false">IF(OR(GE$4="",$B21=""),0,SUMIF('DADOS BRUTOS'!$A$3:$A$500,$B21,'DADOS BRUTOS'!DE$3:DE$500)+IF($C21="",0,SUMIF('DADOS BRUTOS'!$A$3:$A$500,$C21,'DADOS BRUTOS'!DE$3:DE$500)))</f>
        <v>0</v>
      </c>
      <c r="GF21" s="133" t="n">
        <f aca="false">IF(OR(GF$4="",$B21=""),0,SUMIF('DADOS BRUTOS'!$A$3:$A$500,$B21,'DADOS BRUTOS'!DF$3:DF$500)+IF($C21="",0,SUMIF('DADOS BRUTOS'!$A$3:$A$500,$C21,'DADOS BRUTOS'!DF$3:DF$500)))</f>
        <v>0</v>
      </c>
      <c r="GG21" s="133" t="n">
        <f aca="false">IF(OR(GG$4="",$B21=""),0,SUMIF('DADOS BRUTOS'!$A$3:$A$500,$B21,'DADOS BRUTOS'!DG$3:DG$500)+IF($C21="",0,SUMIF('DADOS BRUTOS'!$A$3:$A$500,$C21,'DADOS BRUTOS'!DG$3:DG$500)))</f>
        <v>0</v>
      </c>
      <c r="GH21" s="133" t="n">
        <f aca="false">IF(OR(GH$4="",$B21=""),0,SUMIF('DADOS BRUTOS'!$A$3:$A$500,$B21,'DADOS BRUTOS'!DH$3:DH$500)+IF($C21="",0,SUMIF('DADOS BRUTOS'!$A$3:$A$500,$C21,'DADOS BRUTOS'!DH$3:DH$500)))</f>
        <v>0</v>
      </c>
      <c r="GI21" s="133" t="n">
        <f aca="false">IF(OR(GI$4="",$B21=""),0,SUMIF('DADOS BRUTOS'!$A$3:$A$500,$B21,'DADOS BRUTOS'!DI$3:DI$500)+IF($C21="",0,SUMIF('DADOS BRUTOS'!$A$3:$A$500,$C21,'DADOS BRUTOS'!DI$3:DI$500)))</f>
        <v>0</v>
      </c>
      <c r="GJ21" s="133" t="n">
        <f aca="false">IF(OR(GJ$4="",$B21=""),0,SUMIF('DADOS BRUTOS'!$A$3:$A$500,$B21,'DADOS BRUTOS'!DJ$3:DJ$500)+IF($C21="",0,SUMIF('DADOS BRUTOS'!$A$3:$A$500,$C21,'DADOS BRUTOS'!DJ$3:DJ$500)))</f>
        <v>0</v>
      </c>
      <c r="GK21" s="133" t="n">
        <f aca="false">IF(OR(GK$4="",$B21=""),0,SUMIF('DADOS BRUTOS'!$A$3:$A$500,$B21,'DADOS BRUTOS'!DK$3:DK$500)+IF($C21="",0,SUMIF('DADOS BRUTOS'!$A$3:$A$500,$C21,'DADOS BRUTOS'!DK$3:DK$500)))</f>
        <v>0</v>
      </c>
      <c r="GL21" s="133" t="n">
        <f aca="false">IF(OR(GL$4="",$B21=""),0,SUMIF('DADOS BRUTOS'!$A$3:$A$500,$B21,'DADOS BRUTOS'!DL$3:DL$500)+IF($C21="",0,SUMIF('DADOS BRUTOS'!$A$3:$A$500,$C21,'DADOS BRUTOS'!DL$3:DL$500)))</f>
        <v>0</v>
      </c>
      <c r="GM21" s="133" t="n">
        <f aca="false">IF(OR(GM$4="",$B21=""),0,SUMIF('DADOS BRUTOS'!$A$3:$A$500,$B21,'DADOS BRUTOS'!DM$3:DM$500)+IF($C21="",0,SUMIF('DADOS BRUTOS'!$A$3:$A$500,$C21,'DADOS BRUTOS'!DM$3:DM$500)))</f>
        <v>0</v>
      </c>
      <c r="GN21" s="133" t="n">
        <f aca="false">IF(OR(GN$4="",$B21=""),0,SUMIF('DADOS BRUTOS'!$A$3:$A$500,$B21,'DADOS BRUTOS'!DN$3:DN$500)+IF($C21="",0,SUMIF('DADOS BRUTOS'!$A$3:$A$500,$C21,'DADOS BRUTOS'!DN$3:DN$500)))</f>
        <v>0</v>
      </c>
      <c r="GO21" s="133" t="n">
        <f aca="false">IF(OR(GO$4="",$B21=""),0,SUMIF('DADOS BRUTOS'!$A$3:$A$500,$B21,'DADOS BRUTOS'!DO$3:DO$500)+IF($C21="",0,SUMIF('DADOS BRUTOS'!$A$3:$A$500,$C21,'DADOS BRUTOS'!DO$3:DO$500)))</f>
        <v>0</v>
      </c>
      <c r="GP21" s="133" t="n">
        <f aca="false">IF(OR(GP$4="",$B21=""),0,SUMIF('DADOS BRUTOS'!$A$3:$A$500,$B21,'DADOS BRUTOS'!DP$3:DP$500)+IF($C21="",0,SUMIF('DADOS BRUTOS'!$A$3:$A$500,$C21,'DADOS BRUTOS'!DP$3:DP$500)))</f>
        <v>0</v>
      </c>
      <c r="GQ21" s="133" t="n">
        <f aca="false">IF(OR(GQ$4="",$B21=""),0,SUMIF('DADOS BRUTOS'!$A$3:$A$500,$B21,'DADOS BRUTOS'!DQ$3:DQ$500)+IF($C21="",0,SUMIF('DADOS BRUTOS'!$A$3:$A$500,$C21,'DADOS BRUTOS'!DQ$3:DQ$500)))</f>
        <v>0</v>
      </c>
      <c r="GR21" s="133" t="n">
        <f aca="false">IF(OR(GR$4="",$B21=""),0,SUMIF('DADOS BRUTOS'!$A$3:$A$500,$B21,'DADOS BRUTOS'!DR$3:DR$500)+IF($C21="",0,SUMIF('DADOS BRUTOS'!$A$3:$A$500,$C21,'DADOS BRUTOS'!DR$3:DR$500)))</f>
        <v>0</v>
      </c>
      <c r="GS21" s="133" t="n">
        <f aca="false">IF(OR(GS$4="",$B21=""),0,SUMIF('DADOS BRUTOS'!$A$3:$A$500,$B21,'DADOS BRUTOS'!DS$3:DS$500)+IF($C21="",0,SUMIF('DADOS BRUTOS'!$A$3:$A$500,$C21,'DADOS BRUTOS'!DS$3:DS$500)))</f>
        <v>0</v>
      </c>
      <c r="GT21" s="133" t="n">
        <f aca="false">IF(OR(GT$4="",$B21=""),0,SUMIF('DADOS BRUTOS'!$A$3:$A$500,$B21,'DADOS BRUTOS'!DT$3:DT$500)+IF($C21="",0,SUMIF('DADOS BRUTOS'!$A$3:$A$500,$C21,'DADOS BRUTOS'!DT$3:DT$500)))</f>
        <v>0</v>
      </c>
      <c r="GU21" s="133" t="n">
        <f aca="false">IF(OR(GU$4="",$B21=""),0,SUMIF('DADOS BRUTOS'!$A$3:$A$500,$B21,'DADOS BRUTOS'!DU$3:DU$500)+IF($C21="",0,SUMIF('DADOS BRUTOS'!$A$3:$A$500,$C21,'DADOS BRUTOS'!DU$3:DU$500)))</f>
        <v>0</v>
      </c>
      <c r="GV21" s="133" t="n">
        <f aca="false">IF(OR(GV$4="",$B21=""),0,SUMIF('DADOS BRUTOS'!$A$3:$A$500,$B21,'DADOS BRUTOS'!DV$3:DV$500)+IF($C21="",0,SUMIF('DADOS BRUTOS'!$A$3:$A$500,$C21,'DADOS BRUTOS'!DV$3:DV$500)))</f>
        <v>0</v>
      </c>
      <c r="GW21" s="133" t="n">
        <f aca="false">IF(OR(GW$4="",$B21=""),0,SUMIF('DADOS BRUTOS'!$A$3:$A$500,$B21,'DADOS BRUTOS'!DW$3:DW$500)+IF($C21="",0,SUMIF('DADOS BRUTOS'!$A$3:$A$500,$C21,'DADOS BRUTOS'!DW$3:DW$500)))</f>
        <v>0</v>
      </c>
      <c r="GX21" s="133" t="n">
        <f aca="false">IF(OR(GX$4="",$B21=""),0,SUMIF('DADOS BRUTOS'!$A$3:$A$500,$B21,'DADOS BRUTOS'!DX$3:DX$500)+IF($C21="",0,SUMIF('DADOS BRUTOS'!$A$3:$A$500,$C21,'DADOS BRUTOS'!DX$3:DX$500)))</f>
        <v>0</v>
      </c>
      <c r="GY21" s="133" t="n">
        <f aca="false">IF(OR(GY$4="",$B21=""),0,SUMIF('DADOS BRUTOS'!$A$3:$A$500,$B21,'DADOS BRUTOS'!DY$3:DY$500)+IF($C21="",0,SUMIF('DADOS BRUTOS'!$A$3:$A$500,$C21,'DADOS BRUTOS'!DY$3:DY$500)))</f>
        <v>0</v>
      </c>
      <c r="GZ21" s="133" t="n">
        <f aca="false">IF(OR(GZ$4="",$B21=""),0,SUMIF('DADOS BRUTOS'!$A$3:$A$500,$B21,'DADOS BRUTOS'!DZ$3:DZ$500)+IF($C21="",0,SUMIF('DADOS BRUTOS'!$A$3:$A$500,$C21,'DADOS BRUTOS'!DZ$3:DZ$500)))</f>
        <v>0</v>
      </c>
      <c r="HA21" s="133" t="n">
        <f aca="false">IF(OR(HA$4="",$B21=""),0,SUMIF('DADOS BRUTOS'!$A$3:$A$500,$B21,'DADOS BRUTOS'!EA$3:EA$500)+IF($C21="",0,SUMIF('DADOS BRUTOS'!$A$3:$A$500,$C21,'DADOS BRUTOS'!EA$3:EA$500)))</f>
        <v>0</v>
      </c>
      <c r="HB21" s="133" t="n">
        <f aca="false">IF(OR(HB$4="",$B21=""),0,SUMIF('DADOS BRUTOS'!$A$3:$A$500,$B21,'DADOS BRUTOS'!EB$3:EB$500)+IF($C21="",0,SUMIF('DADOS BRUTOS'!$A$3:$A$500,$C21,'DADOS BRUTOS'!EB$3:EB$500)))</f>
        <v>0</v>
      </c>
      <c r="HC21" s="133" t="n">
        <f aca="false">IF(OR(HC$4="",$B21=""),0,SUMIF('DADOS BRUTOS'!$A$3:$A$500,$B21,'DADOS BRUTOS'!EC$3:EC$500)+IF($C21="",0,SUMIF('DADOS BRUTOS'!$A$3:$A$500,$C21,'DADOS BRUTOS'!EC$3:EC$500)))</f>
        <v>0</v>
      </c>
      <c r="HD21" s="133" t="n">
        <f aca="false">IF(OR(HD$4="",$B21=""),0,SUMIF('DADOS BRUTOS'!$A$3:$A$500,$B21,'DADOS BRUTOS'!ED$3:ED$500)+IF($C21="",0,SUMIF('DADOS BRUTOS'!$A$3:$A$500,$C21,'DADOS BRUTOS'!ED$3:ED$500)))</f>
        <v>0</v>
      </c>
      <c r="HE21" s="133" t="n">
        <f aca="false">IF(OR(HE$4="",$B21=""),0,SUMIF('DADOS BRUTOS'!$A$3:$A$500,$B21,'DADOS BRUTOS'!EE$3:EE$500)+IF($C21="",0,SUMIF('DADOS BRUTOS'!$A$3:$A$500,$C21,'DADOS BRUTOS'!EE$3:EE$500)))</f>
        <v>0</v>
      </c>
      <c r="HF21" s="133" t="n">
        <f aca="false">IF(OR(HF$4="",$B21=""),0,SUMIF('DADOS BRUTOS'!$A$3:$A$500,$B21,'DADOS BRUTOS'!EF$3:EF$500)+IF($C21="",0,SUMIF('DADOS BRUTOS'!$A$3:$A$500,$C21,'DADOS BRUTOS'!EF$3:EF$500)))</f>
        <v>0</v>
      </c>
      <c r="HG21" s="133" t="n">
        <f aca="false">IF(OR(HG$4="",$B21=""),0,SUMIF('DADOS BRUTOS'!$A$3:$A$500,$B21,'DADOS BRUTOS'!EG$3:EG$500)+IF($C21="",0,SUMIF('DADOS BRUTOS'!$A$3:$A$500,$C21,'DADOS BRUTOS'!EG$3:EG$500)))</f>
        <v>0</v>
      </c>
      <c r="HH21" s="133" t="n">
        <f aca="false">IF(OR(HH$4="",$B21=""),0,SUMIF('DADOS BRUTOS'!$A$3:$A$500,$B21,'DADOS BRUTOS'!EH$3:EH$500)+IF($C21="",0,SUMIF('DADOS BRUTOS'!$A$3:$A$500,$C21,'DADOS BRUTOS'!EH$3:EH$500)))</f>
        <v>0</v>
      </c>
      <c r="HI21" s="133" t="n">
        <f aca="false">IF(OR(HI$4="",$B21=""),0,SUMIF('DADOS BRUTOS'!$A$3:$A$500,$B21,'DADOS BRUTOS'!EI$3:EI$500)+IF($C21="",0,SUMIF('DADOS BRUTOS'!$A$3:$A$500,$C21,'DADOS BRUTOS'!EI$3:EI$500)))</f>
        <v>0</v>
      </c>
      <c r="HJ21" s="133" t="n">
        <f aca="false">IF(OR(HJ$4="",$B21=""),0,SUMIF('DADOS BRUTOS'!$A$3:$A$500,$B21,'DADOS BRUTOS'!EJ$3:EJ$500)+IF($C21="",0,SUMIF('DADOS BRUTOS'!$A$3:$A$500,$C21,'DADOS BRUTOS'!EJ$3:EJ$500)))</f>
        <v>0</v>
      </c>
      <c r="HK21" s="133" t="n">
        <f aca="false">IF(OR(HK$4="",$B21=""),0,SUMIF('DADOS BRUTOS'!$A$3:$A$500,$B21,'DADOS BRUTOS'!EK$3:EK$500)+IF($C21="",0,SUMIF('DADOS BRUTOS'!$A$3:$A$500,$C21,'DADOS BRUTOS'!EK$3:EK$500)))</f>
        <v>0</v>
      </c>
      <c r="HL21" s="133" t="n">
        <f aca="false">IF(OR(HL$4="",$B21=""),0,SUMIF('DADOS BRUTOS'!$A$3:$A$500,$B21,'DADOS BRUTOS'!EL$3:EL$500)+IF($C21="",0,SUMIF('DADOS BRUTOS'!$A$3:$A$500,$C21,'DADOS BRUTOS'!EL$3:EL$500)))</f>
        <v>0</v>
      </c>
      <c r="HM21" s="133" t="n">
        <f aca="false">IF(OR(HM$4="",$B21=""),0,SUMIF('DADOS BRUTOS'!$A$3:$A$500,$B21,'DADOS BRUTOS'!EM$3:EM$500)+IF($C21="",0,SUMIF('DADOS BRUTOS'!$A$3:$A$500,$C21,'DADOS BRUTOS'!EM$3:EM$500)))</f>
        <v>0</v>
      </c>
      <c r="HN21" s="133" t="n">
        <f aca="false">IF(OR(HN$4="",$B21=""),0,SUMIF('DADOS BRUTOS'!$A$3:$A$500,$B21,'DADOS BRUTOS'!EN$3:EN$500)+IF($C21="",0,SUMIF('DADOS BRUTOS'!$A$3:$A$500,$C21,'DADOS BRUTOS'!EN$3:EN$500)))</f>
        <v>0</v>
      </c>
      <c r="HO21" s="133" t="n">
        <f aca="false">IF(OR(HO$4="",$B21=""),0,SUMIF('DADOS BRUTOS'!$A$3:$A$500,$B21,'DADOS BRUTOS'!EO$3:EO$500)+IF($C21="",0,SUMIF('DADOS BRUTOS'!$A$3:$A$500,$C21,'DADOS BRUTOS'!EO$3:EO$500)))</f>
        <v>0</v>
      </c>
      <c r="HP21" s="133" t="n">
        <f aca="false">IF(OR(HP$4="",$B21=""),0,SUMIF('DADOS BRUTOS'!$A$3:$A$500,$B21,'DADOS BRUTOS'!EP$3:EP$500)+IF($C21="",0,SUMIF('DADOS BRUTOS'!$A$3:$A$500,$C21,'DADOS BRUTOS'!EP$3:EP$500)))</f>
        <v>0</v>
      </c>
      <c r="HQ21" s="133" t="n">
        <f aca="false">IF(OR(HQ$4="",$B21=""),0,SUMIF('DADOS BRUTOS'!$A$3:$A$500,$B21,'DADOS BRUTOS'!EQ$3:EQ$500)+IF($C21="",0,SUMIF('DADOS BRUTOS'!$A$3:$A$500,$C21,'DADOS BRUTOS'!EQ$3:EQ$500)))</f>
        <v>0</v>
      </c>
      <c r="HR21" s="133" t="n">
        <f aca="false">IF(OR(HR$4="",$B21=""),0,SUMIF('DADOS BRUTOS'!$A$3:$A$500,$B21,'DADOS BRUTOS'!ER$3:ER$500)+IF($C21="",0,SUMIF('DADOS BRUTOS'!$A$3:$A$500,$C21,'DADOS BRUTOS'!ER$3:ER$500)))</f>
        <v>0</v>
      </c>
      <c r="HS21" s="133" t="n">
        <f aca="false">IF(OR(HS$4="",$B21=""),0,SUMIF('DADOS BRUTOS'!$A$3:$A$500,$B21,'DADOS BRUTOS'!ES$3:ES$500)+IF($C21="",0,SUMIF('DADOS BRUTOS'!$A$3:$A$500,$C21,'DADOS BRUTOS'!ES$3:ES$500)))</f>
        <v>0</v>
      </c>
      <c r="HT21" s="133" t="n">
        <f aca="false">IF(OR(HT$4="",$B21=""),0,SUMIF('DADOS BRUTOS'!$A$3:$A$500,$B21,'DADOS BRUTOS'!ET$3:ET$500)+IF($C21="",0,SUMIF('DADOS BRUTOS'!$A$3:$A$500,$C21,'DADOS BRUTOS'!ET$3:ET$500)))</f>
        <v>0</v>
      </c>
      <c r="HU21" s="133" t="n">
        <f aca="false">IF(OR(HU$4="",$B21=""),0,SUMIF('DADOS BRUTOS'!$A$3:$A$500,$B21,'DADOS BRUTOS'!EU$3:EU$500)+IF($C21="",0,SUMIF('DADOS BRUTOS'!$A$3:$A$500,$C21,'DADOS BRUTOS'!EU$3:EU$500)))</f>
        <v>0</v>
      </c>
      <c r="HV21" s="133" t="n">
        <f aca="false">IF(OR(HV$4="",$B21=""),0,SUMIF('DADOS BRUTOS'!$A$3:$A$500,$B21,'DADOS BRUTOS'!EV$3:EV$500)+IF($C21="",0,SUMIF('DADOS BRUTOS'!$A$3:$A$500,$C21,'DADOS BRUTOS'!EV$3:EV$500)))</f>
        <v>0</v>
      </c>
      <c r="HW21" s="133" t="n">
        <f aca="false">IF(OR(HW$4="",$B21=""),0,SUMIF('DADOS BRUTOS'!$A$3:$A$500,$B21,'DADOS BRUTOS'!EW$3:EW$500)+IF($C21="",0,SUMIF('DADOS BRUTOS'!$A$3:$A$500,$C21,'DADOS BRUTOS'!EW$3:EW$500)))</f>
        <v>0</v>
      </c>
      <c r="HX21" s="133" t="n">
        <f aca="false">IF(OR(HX$4="",$B21=""),0,SUMIF('DADOS BRUTOS'!$A$3:$A$500,$B21,'DADOS BRUTOS'!EX$3:EX$500)+IF($C21="",0,SUMIF('DADOS BRUTOS'!$A$3:$A$500,$C21,'DADOS BRUTOS'!EX$3:EX$500)))</f>
        <v>0</v>
      </c>
      <c r="HY21" s="133" t="n">
        <f aca="false">IF(OR(HY$4="",$B21=""),0,SUMIF('DADOS BRUTOS'!$A$3:$A$500,$B21,'DADOS BRUTOS'!EY$3:EY$500)+IF($C21="",0,SUMIF('DADOS BRUTOS'!$A$3:$A$500,$C21,'DADOS BRUTOS'!EY$3:EY$500)))</f>
        <v>0</v>
      </c>
      <c r="HZ21" s="133" t="n">
        <f aca="false">IF(OR(HZ$4="",$B21=""),0,SUMIF('DADOS BRUTOS'!$A$3:$A$500,$B21,'DADOS BRUTOS'!EZ$3:EZ$500)+IF($C21="",0,SUMIF('DADOS BRUTOS'!$A$3:$A$500,$C21,'DADOS BRUTOS'!EZ$3:EZ$500)))</f>
        <v>0</v>
      </c>
      <c r="IA21" s="133" t="n">
        <f aca="false">IF(OR(IA$4="",$B21=""),0,SUMIF('DADOS BRUTOS'!$A$3:$A$500,$B21,'DADOS BRUTOS'!FA$3:FA$500)+IF($C21="",0,SUMIF('DADOS BRUTOS'!$A$3:$A$500,$C21,'DADOS BRUTOS'!FA$3:FA$500)))</f>
        <v>0</v>
      </c>
      <c r="IB21" s="133" t="n">
        <f aca="false">IF(OR(IB$4="",$B21=""),0,SUMIF('DADOS BRUTOS'!$A$3:$A$500,$B21,'DADOS BRUTOS'!FB$3:FB$500)+IF($C21="",0,SUMIF('DADOS BRUTOS'!$A$3:$A$500,$C21,'DADOS BRUTOS'!FB$3:FB$500)))</f>
        <v>0</v>
      </c>
      <c r="IC21" s="133" t="n">
        <f aca="false">IF(OR(IC$4="",$B21=""),0,SUMIF('DADOS BRUTOS'!$A$3:$A$500,$B21,'DADOS BRUTOS'!FC$3:FC$500)+IF($C21="",0,SUMIF('DADOS BRUTOS'!$A$3:$A$500,$C21,'DADOS BRUTOS'!FC$3:FC$500)))</f>
        <v>0</v>
      </c>
      <c r="ID21" s="133" t="n">
        <f aca="false">IF(OR(ID$4="",$B21=""),0,SUMIF('DADOS BRUTOS'!$A$3:$A$500,$B21,'DADOS BRUTOS'!FD$3:FD$500)+IF($C21="",0,SUMIF('DADOS BRUTOS'!$A$3:$A$500,$C21,'DADOS BRUTOS'!FD$3:FD$500)))</f>
        <v>0</v>
      </c>
      <c r="IE21" s="133" t="n">
        <f aca="false">IF(OR(IE$4="",$B21=""),0,SUMIF('DADOS BRUTOS'!$A$3:$A$500,$B21,'DADOS BRUTOS'!FE$3:FE$500)+IF($C21="",0,SUMIF('DADOS BRUTOS'!$A$3:$A$500,$C21,'DADOS BRUTOS'!FE$3:FE$500)))</f>
        <v>0</v>
      </c>
      <c r="IF21" s="133" t="n">
        <f aca="false">IF(OR(IF$4="",$B21=""),0,SUMIF('DADOS BRUTOS'!$A$3:$A$500,$B21,'DADOS BRUTOS'!FF$3:FF$500)+IF($C21="",0,SUMIF('DADOS BRUTOS'!$A$3:$A$500,$C21,'DADOS BRUTOS'!FF$3:FF$500)))</f>
        <v>0</v>
      </c>
      <c r="IG21" s="133" t="n">
        <f aca="false">IF(OR(IG$4="",$B21=""),0,SUMIF('DADOS BRUTOS'!$A$3:$A$500,$B21,'DADOS BRUTOS'!FG$3:FG$500)+IF($C21="",0,SUMIF('DADOS BRUTOS'!$A$3:$A$500,$C21,'DADOS BRUTOS'!FG$3:FG$500)))</f>
        <v>0</v>
      </c>
      <c r="IH21" s="133" t="n">
        <f aca="false">IF(OR(IH$4="",$B21=""),0,SUMIF('DADOS BRUTOS'!$A$3:$A$500,$B21,'DADOS BRUTOS'!FH$3:FH$500)+IF($C21="",0,SUMIF('DADOS BRUTOS'!$A$3:$A$500,$C21,'DADOS BRUTOS'!FH$3:FH$500)))</f>
        <v>0</v>
      </c>
      <c r="II21" s="133" t="n">
        <f aca="false">IF(OR(II$4="",$B21=""),0,SUMIF('DADOS BRUTOS'!$A$3:$A$500,$B21,'DADOS BRUTOS'!FI$3:FI$500)+IF($C21="",0,SUMIF('DADOS BRUTOS'!$A$3:$A$500,$C21,'DADOS BRUTOS'!FI$3:FI$500)))</f>
        <v>0</v>
      </c>
      <c r="IJ21" s="133" t="n">
        <f aca="false">IF(OR(IJ$4="",$B21=""),0,SUMIF('DADOS BRUTOS'!$A$3:$A$500,$B21,'DADOS BRUTOS'!FJ$3:FJ$500)+IF($C21="",0,SUMIF('DADOS BRUTOS'!$A$3:$A$500,$C21,'DADOS BRUTOS'!FJ$3:FJ$500)))</f>
        <v>0</v>
      </c>
      <c r="IK21" s="133" t="n">
        <f aca="false">IF(OR(IK$4="",$B21=""),0,SUMIF('DADOS BRUTOS'!$A$3:$A$500,$B21,'DADOS BRUTOS'!FK$3:FK$500)+IF($C21="",0,SUMIF('DADOS BRUTOS'!$A$3:$A$500,$C21,'DADOS BRUTOS'!FK$3:FK$500)))</f>
        <v>0</v>
      </c>
      <c r="IL21" s="133" t="n">
        <f aca="false">IF(OR(IL$4="",$B21=""),0,SUMIF('DADOS BRUTOS'!$A$3:$A$500,$B21,'DADOS BRUTOS'!FL$3:FL$500)+IF($C21="",0,SUMIF('DADOS BRUTOS'!$A$3:$A$500,$C21,'DADOS BRUTOS'!FL$3:FL$500)))</f>
        <v>0</v>
      </c>
      <c r="IM21" s="133" t="n">
        <f aca="false">IF(OR(IM$4="",$B21=""),0,SUMIF('DADOS BRUTOS'!$A$3:$A$500,$B21,'DADOS BRUTOS'!FM$3:FM$500)+IF($C21="",0,SUMIF('DADOS BRUTOS'!$A$3:$A$500,$C21,'DADOS BRUTOS'!FM$3:FM$500)))</f>
        <v>0</v>
      </c>
      <c r="IN21" s="133" t="n">
        <f aca="false">IF(OR(IN$4="",$B21=""),0,SUMIF('DADOS BRUTOS'!$A$3:$A$500,$B21,'DADOS BRUTOS'!FN$3:FN$500)+IF($C21="",0,SUMIF('DADOS BRUTOS'!$A$3:$A$500,$C21,'DADOS BRUTOS'!FN$3:FN$500)))</f>
        <v>0</v>
      </c>
      <c r="IO21" s="133" t="n">
        <f aca="false">IF(OR(IO$4="",$B21=""),0,SUMIF('DADOS BRUTOS'!$A$3:$A$500,$B21,'DADOS BRUTOS'!FO$3:FO$500)+IF($C21="",0,SUMIF('DADOS BRUTOS'!$A$3:$A$500,$C21,'DADOS BRUTOS'!FO$3:FO$500)))</f>
        <v>0</v>
      </c>
      <c r="IP21" s="133" t="n">
        <f aca="false">IF(OR(IP$4="",$B21=""),0,SUMIF('DADOS BRUTOS'!$A$3:$A$500,$B21,'DADOS BRUTOS'!FP$3:FP$500)+IF($C21="",0,SUMIF('DADOS BRUTOS'!$A$3:$A$500,$C21,'DADOS BRUTOS'!FP$3:FP$500)))</f>
        <v>0</v>
      </c>
      <c r="IQ21" s="133" t="n">
        <f aca="false">IF(OR(IQ$4="",$B21=""),0,SUMIF('DADOS BRUTOS'!$A$3:$A$500,$B21,'DADOS BRUTOS'!FQ$3:FQ$500)+IF($C21="",0,SUMIF('DADOS BRUTOS'!$A$3:$A$500,$C21,'DADOS BRUTOS'!FQ$3:FQ$500)))</f>
        <v>0</v>
      </c>
      <c r="IR21" s="133" t="n">
        <f aca="false">IF(OR(IR$4="",$B21=""),0,SUMIF('DADOS BRUTOS'!$A$3:$A$500,$B21,'DADOS BRUTOS'!FR$3:FR$500)+IF($C21="",0,SUMIF('DADOS BRUTOS'!$A$3:$A$500,$C21,'DADOS BRUTOS'!FR$3:FR$500)))</f>
        <v>0</v>
      </c>
      <c r="IS21" s="133" t="n">
        <f aca="false">IF(OR(IS$4="",$B21=""),0,SUMIF('DADOS BRUTOS'!$A$3:$A$500,$B21,'DADOS BRUTOS'!FS$3:FS$500)+IF($C21="",0,SUMIF('DADOS BRUTOS'!$A$3:$A$500,$C21,'DADOS BRUTOS'!FS$3:FS$500)))</f>
        <v>0</v>
      </c>
      <c r="IT21" s="133" t="n">
        <f aca="false">IF(OR(IT$4="",$B21=""),0,SUMIF('DADOS BRUTOS'!$A$3:$A$500,$B21,'DADOS BRUTOS'!FT$3:FT$500)+IF($C21="",0,SUMIF('DADOS BRUTOS'!$A$3:$A$500,$C21,'DADOS BRUTOS'!FT$3:FT$500)))</f>
        <v>0</v>
      </c>
      <c r="IU21" s="133" t="n">
        <f aca="false">IF(OR(IU$4="",$B21=""),0,SUMIF('DADOS BRUTOS'!$A$3:$A$500,$B21,'DADOS BRUTOS'!FU$3:FU$500)+IF($C21="",0,SUMIF('DADOS BRUTOS'!$A$3:$A$500,$C21,'DADOS BRUTOS'!FU$3:FU$500)))</f>
        <v>0</v>
      </c>
      <c r="IV21" s="133" t="n">
        <f aca="false">IF(OR(IV$4="",$B21=""),0,SUMIF('DADOS BRUTOS'!$A$3:$A$500,$B21,'DADOS BRUTOS'!FV$3:FV$500)+IF($C21="",0,SUMIF('DADOS BRUTOS'!$A$3:$A$500,$C21,'DADOS BRUTOS'!FV$3:FV$500)))</f>
        <v>0</v>
      </c>
      <c r="IW21" s="133" t="n">
        <f aca="false">IF(OR(IW$4="",$B21=""),0,SUMIF('DADOS BRUTOS'!$A$3:$A$500,$B21,'DADOS BRUTOS'!FW$3:FW$500)+IF($C21="",0,SUMIF('DADOS BRUTOS'!$A$3:$A$500,$C21,'DADOS BRUTOS'!FW$3:FW$500)))</f>
        <v>0</v>
      </c>
      <c r="IX21" s="133" t="n">
        <f aca="false">IF(OR(IX$4="",$B21=""),0,SUMIF('DADOS BRUTOS'!$A$3:$A$500,$B21,'DADOS BRUTOS'!FX$3:FX$500)+IF($C21="",0,SUMIF('DADOS BRUTOS'!$A$3:$A$500,$C21,'DADOS BRUTOS'!FX$3:FX$500)))</f>
        <v>0</v>
      </c>
      <c r="IY21" s="133" t="n">
        <f aca="false">IF(OR(IY$4="",$B21=""),0,SUMIF('DADOS BRUTOS'!$A$3:$A$500,$B21,'DADOS BRUTOS'!FY$3:FY$500)+IF($C21="",0,SUMIF('DADOS BRUTOS'!$A$3:$A$500,$C21,'DADOS BRUTOS'!FY$3:FY$500)))</f>
        <v>0</v>
      </c>
      <c r="IZ21" s="133" t="n">
        <f aca="false">IF(OR(IZ$4="",$B21=""),0,SUMIF('DADOS BRUTOS'!$A$3:$A$500,$B21,'DADOS BRUTOS'!FZ$3:FZ$500)+IF($C21="",0,SUMIF('DADOS BRUTOS'!$A$3:$A$500,$C21,'DADOS BRUTOS'!FZ$3:FZ$500)))</f>
        <v>0</v>
      </c>
      <c r="JA21" s="133" t="n">
        <f aca="false">IF(OR(JA$4="",$B21=""),0,SUMIF('DADOS BRUTOS'!$A$3:$A$500,$B21,'DADOS BRUTOS'!GA$3:GA$500)+IF($C21="",0,SUMIF('DADOS BRUTOS'!$A$3:$A$500,$C21,'DADOS BRUTOS'!GA$3:GA$500)))</f>
        <v>0</v>
      </c>
      <c r="JB21" s="133" t="n">
        <f aca="false">IF(OR(JB$4="",$B21=""),0,SUMIF('DADOS BRUTOS'!$A$3:$A$500,$B21,'DADOS BRUTOS'!GB$3:GB$500)+IF($C21="",0,SUMIF('DADOS BRUTOS'!$A$3:$A$500,$C21,'DADOS BRUTOS'!GB$3:GB$500)))</f>
        <v>0</v>
      </c>
      <c r="JC21" s="133" t="n">
        <f aca="false">IF(OR(JC$4="",$B21=""),0,SUMIF('DADOS BRUTOS'!$A$3:$A$500,$B21,'DADOS BRUTOS'!GC$3:GC$500)+IF($C21="",0,SUMIF('DADOS BRUTOS'!$A$3:$A$500,$C21,'DADOS BRUTOS'!GC$3:GC$500)))</f>
        <v>0</v>
      </c>
      <c r="JD21" s="133" t="n">
        <f aca="false">IF(OR(JD$4="",$B21=""),0,SUMIF('DADOS BRUTOS'!$A$3:$A$500,$B21,'DADOS BRUTOS'!GD$3:GD$500)+IF($C21="",0,SUMIF('DADOS BRUTOS'!$A$3:$A$500,$C21,'DADOS BRUTOS'!GD$3:GD$500)))</f>
        <v>0</v>
      </c>
      <c r="JE21" s="133" t="n">
        <f aca="false">IF(OR(JE$4="",$B21=""),0,SUMIF('DADOS BRUTOS'!$A$3:$A$500,$B21,'DADOS BRUTOS'!GE$3:GE$500)+IF($C21="",0,SUMIF('DADOS BRUTOS'!$A$3:$A$500,$C21,'DADOS BRUTOS'!GE$3:GE$500)))</f>
        <v>0</v>
      </c>
      <c r="JF21" s="133" t="n">
        <f aca="false">IF(OR(JF$4="",$B21=""),0,SUMIF('DADOS BRUTOS'!$A$3:$A$500,$B21,'DADOS BRUTOS'!GF$3:GF$500)+IF($C21="",0,SUMIF('DADOS BRUTOS'!$A$3:$A$500,$C21,'DADOS BRUTOS'!GF$3:GF$500)))</f>
        <v>0</v>
      </c>
      <c r="JG21" s="133" t="n">
        <f aca="false">IF(OR(JG$4="",$B21=""),0,SUMIF('DADOS BRUTOS'!$A$3:$A$500,$B21,'DADOS BRUTOS'!GG$3:GG$500)+IF($C21="",0,SUMIF('DADOS BRUTOS'!$A$3:$A$500,$C21,'DADOS BRUTOS'!GG$3:GG$500)))</f>
        <v>0</v>
      </c>
      <c r="JH21" s="133" t="n">
        <f aca="false">IF(OR(JH$4="",$B21=""),0,SUMIF('DADOS BRUTOS'!$A$3:$A$500,$B21,'DADOS BRUTOS'!GH$3:GH$500)+IF($C21="",0,SUMIF('DADOS BRUTOS'!$A$3:$A$500,$C21,'DADOS BRUTOS'!GH$3:GH$500)))</f>
        <v>0</v>
      </c>
      <c r="JI21" s="133" t="n">
        <f aca="false">IF(OR(JI$4="",$B21=""),0,SUMIF('DADOS BRUTOS'!$A$3:$A$500,$B21,'DADOS BRUTOS'!GI$3:GI$500)+IF($C21="",0,SUMIF('DADOS BRUTOS'!$A$3:$A$500,$C21,'DADOS BRUTOS'!GI$3:GI$500)))</f>
        <v>0</v>
      </c>
      <c r="JJ21" s="133" t="n">
        <f aca="false">IF(OR(JJ$4="",$B21=""),0,SUMIF('DADOS BRUTOS'!$A$3:$A$500,$B21,'DADOS BRUTOS'!GJ$3:GJ$500)+IF($C21="",0,SUMIF('DADOS BRUTOS'!$A$3:$A$500,$C21,'DADOS BRUTOS'!GJ$3:GJ$500)))</f>
        <v>0</v>
      </c>
      <c r="JK21" s="133" t="n">
        <f aca="false">IF(OR(JK$4="",$B21=""),0,SUMIF('DADOS BRUTOS'!$A$3:$A$500,$B21,'DADOS BRUTOS'!GK$3:GK$500)+IF($C21="",0,SUMIF('DADOS BRUTOS'!$A$3:$A$500,$C21,'DADOS BRUTOS'!GK$3:GK$500)))</f>
        <v>0</v>
      </c>
      <c r="JL21" s="133" t="n">
        <f aca="false">IF(OR(JL$4="",$B21=""),0,SUMIF('DADOS BRUTOS'!$A$3:$A$500,$B21,'DADOS BRUTOS'!GL$3:GL$500)+IF($C21="",0,SUMIF('DADOS BRUTOS'!$A$3:$A$500,$C21,'DADOS BRUTOS'!GL$3:GL$500)))</f>
        <v>0</v>
      </c>
      <c r="JM21" s="133" t="n">
        <f aca="false">IF(OR(JM$4="",$B21=""),0,SUMIF('DADOS BRUTOS'!$A$3:$A$500,$B21,'DADOS BRUTOS'!GM$3:GM$500)+IF($C21="",0,SUMIF('DADOS BRUTOS'!$A$3:$A$500,$C21,'DADOS BRUTOS'!GM$3:GM$500)))</f>
        <v>0</v>
      </c>
      <c r="JN21" s="133" t="n">
        <f aca="false">IF(OR(JN$4="",$B21=""),0,SUMIF('DADOS BRUTOS'!$A$3:$A$500,$B21,'DADOS BRUTOS'!GN$3:GN$500)+IF($C21="",0,SUMIF('DADOS BRUTOS'!$A$3:$A$500,$C21,'DADOS BRUTOS'!GN$3:GN$500)))</f>
        <v>0</v>
      </c>
      <c r="JO21" s="133" t="n">
        <f aca="false">IF(OR(JO$4="",$B21=""),0,SUMIF('DADOS BRUTOS'!$A$3:$A$500,$B21,'DADOS BRUTOS'!GO$3:GO$500)+IF($C21="",0,SUMIF('DADOS BRUTOS'!$A$3:$A$500,$C21,'DADOS BRUTOS'!GO$3:GO$500)))</f>
        <v>0</v>
      </c>
      <c r="JP21" s="133" t="n">
        <f aca="false">IF(OR(JP$4="",$B21=""),0,SUMIF('DADOS BRUTOS'!$A$3:$A$500,$B21,'DADOS BRUTOS'!GP$3:GP$500)+IF($C21="",0,SUMIF('DADOS BRUTOS'!$A$3:$A$500,$C21,'DADOS BRUTOS'!GP$3:GP$500)))</f>
        <v>0</v>
      </c>
      <c r="JQ21" s="133" t="n">
        <f aca="false">IF(OR(JQ$4="",$B21=""),0,SUMIF('DADOS BRUTOS'!$A$3:$A$500,$B21,'DADOS BRUTOS'!GQ$3:GQ$500)+IF($C21="",0,SUMIF('DADOS BRUTOS'!$A$3:$A$500,$C21,'DADOS BRUTOS'!GQ$3:GQ$500)))</f>
        <v>0</v>
      </c>
      <c r="JR21" s="133" t="n">
        <f aca="false">IF(OR(JR$4="",$B21=""),0,SUMIF('DADOS BRUTOS'!$A$3:$A$500,$B21,'DADOS BRUTOS'!GR$3:GR$500)+IF($C21="",0,SUMIF('DADOS BRUTOS'!$A$3:$A$500,$C21,'DADOS BRUTOS'!GR$3:GR$500)))</f>
        <v>0</v>
      </c>
      <c r="JS21" s="133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163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0</v>
      </c>
      <c r="Q22" s="50" t="n">
        <f aca="false">SUMIF($CB$4:$JS$4,Q$4,$CB22:$JS22)</f>
        <v>0</v>
      </c>
      <c r="R22" s="50" t="n">
        <f aca="false">SUMIF($CB$4:$JS$4,R$4,$CB22:$JS22)</f>
        <v>0</v>
      </c>
      <c r="S22" s="50" t="n">
        <f aca="false">SUMIF($CB$4:$JS$4,S$4,$CB22:$JS22)</f>
        <v>0</v>
      </c>
      <c r="T22" s="50" t="n">
        <f aca="false">SUMIF($CB$4:$JS$4,T$4,$CB22:$JS22)</f>
        <v>7706.5</v>
      </c>
      <c r="U22" s="50" t="n">
        <f aca="false">SUMIF($CB$4:$JS$4,U$4,$CB22:$JS22)</f>
        <v>14902.2</v>
      </c>
      <c r="V22" s="50" t="n">
        <f aca="false">SUMIF($CB$4:$JS$4,V$4,$CB22:$JS22)</f>
        <v>10188.56</v>
      </c>
      <c r="W22" s="50" t="n">
        <f aca="false">SUMIF($CB$4:$JS$4,W$4,$CB22:$JS22)</f>
        <v>79156.11</v>
      </c>
      <c r="X22" s="50" t="n">
        <f aca="false">SUMIF($CB$4:$JS$4,X$4,$CB22:$JS22)</f>
        <v>146083.04</v>
      </c>
      <c r="Y22" s="50" t="n">
        <f aca="false">SUMIF($CB$4:$JS$4,Y$4,$CB22:$JS22)</f>
        <v>141585.41</v>
      </c>
      <c r="Z22" s="50" t="n">
        <f aca="false">SUMIF($CB$4:$JS$4,Z$4,$CB22:$JS22)</f>
        <v>105967.94</v>
      </c>
      <c r="AA22" s="50" t="n">
        <f aca="false">SUMIF($CB$4:$JS$4,AA$4,$CB22:$JS22)</f>
        <v>10756.9</v>
      </c>
      <c r="AB22" s="50" t="n">
        <f aca="false">SUMIF($CB$4:$JS$4,AB$4,$CB22:$JS22)</f>
        <v>0</v>
      </c>
      <c r="AC22" s="50" t="n">
        <f aca="false">SUMIF($CB$4:$JS$4,AC$4,$CB22:$JS22)</f>
        <v>0</v>
      </c>
      <c r="AD22" s="50" t="n">
        <f aca="false">SUMIF($CB$4:$JS$4,AD$4,$CB22:$JS22)</f>
        <v>0</v>
      </c>
      <c r="AE22" s="50" t="n">
        <f aca="false">SUMIF($CB$4:$JS$4,AE$4,$CB22:$JS22)</f>
        <v>0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4832.65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0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0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9158.71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530338.02</v>
      </c>
      <c r="BZ22" s="45" t="n">
        <f aca="false">SUMPRODUCT(($CB$4:$JS$4&lt;&gt;"")*($CB$4:$JS$4&lt;=$D$4),$CB22:$JS22,$CB$1:$JS$1)</f>
        <v>0</v>
      </c>
      <c r="CB22" s="133" t="n">
        <f aca="false">IF(OR(CB$4="",$B22=""),0,SUMIF('DADOS BRUTOS'!$A$3:$A$500,$B22,'DADOS BRUTOS'!B$3:B$500)+IF($C22="",0,SUMIF('DADOS BRUTOS'!$A$3:$A$500,$C22,'DADOS BRUTOS'!B$3:B$500)))</f>
        <v>0</v>
      </c>
      <c r="CC22" s="133" t="n">
        <f aca="false">IF(OR(CC$4="",$B22=""),0,SUMIF('DADOS BRUTOS'!$A$3:$A$500,$B22,'DADOS BRUTOS'!C$3:C$500)+IF($C22="",0,SUMIF('DADOS BRUTOS'!$A$3:$A$500,$C22,'DADOS BRUTOS'!C$3:C$500)))</f>
        <v>0</v>
      </c>
      <c r="CD22" s="133" t="n">
        <f aca="false">IF(OR(CD$4="",$B22=""),0,SUMIF('DADOS BRUTOS'!$A$3:$A$500,$B22,'DADOS BRUTOS'!D$3:D$500)+IF($C22="",0,SUMIF('DADOS BRUTOS'!$A$3:$A$500,$C22,'DADOS BRUTOS'!D$3:D$500)))</f>
        <v>0</v>
      </c>
      <c r="CE22" s="133" t="n">
        <f aca="false">IF(OR(CE$4="",$B22=""),0,SUMIF('DADOS BRUTOS'!$A$3:$A$500,$B22,'DADOS BRUTOS'!E$3:E$500)+IF($C22="",0,SUMIF('DADOS BRUTOS'!$A$3:$A$500,$C22,'DADOS BRUTOS'!E$3:E$500)))</f>
        <v>0</v>
      </c>
      <c r="CF22" s="133" t="n">
        <f aca="false">IF(OR(CF$4="",$B22=""),0,SUMIF('DADOS BRUTOS'!$A$3:$A$500,$B22,'DADOS BRUTOS'!F$3:F$500)+IF($C22="",0,SUMIF('DADOS BRUTOS'!$A$3:$A$500,$C22,'DADOS BRUTOS'!F$3:F$500)))</f>
        <v>0</v>
      </c>
      <c r="CG22" s="133" t="n">
        <f aca="false">IF(OR(CG$4="",$B22=""),0,SUMIF('DADOS BRUTOS'!$A$3:$A$500,$B22,'DADOS BRUTOS'!G$3:G$500)+IF($C22="",0,SUMIF('DADOS BRUTOS'!$A$3:$A$500,$C22,'DADOS BRUTOS'!G$3:G$500)))</f>
        <v>0</v>
      </c>
      <c r="CH22" s="133" t="n">
        <f aca="false">IF(OR(CH$4="",$B22=""),0,SUMIF('DADOS BRUTOS'!$A$3:$A$500,$B22,'DADOS BRUTOS'!H$3:H$500)+IF($C22="",0,SUMIF('DADOS BRUTOS'!$A$3:$A$500,$C22,'DADOS BRUTOS'!H$3:H$500)))</f>
        <v>0</v>
      </c>
      <c r="CI22" s="133" t="n">
        <f aca="false">IF(OR(CI$4="",$B22=""),0,SUMIF('DADOS BRUTOS'!$A$3:$A$500,$B22,'DADOS BRUTOS'!I$3:I$500)+IF($C22="",0,SUMIF('DADOS BRUTOS'!$A$3:$A$500,$C22,'DADOS BRUTOS'!I$3:I$500)))</f>
        <v>0</v>
      </c>
      <c r="CJ22" s="133" t="n">
        <f aca="false">IF(OR(CJ$4="",$B22=""),0,SUMIF('DADOS BRUTOS'!$A$3:$A$500,$B22,'DADOS BRUTOS'!J$3:J$500)+IF($C22="",0,SUMIF('DADOS BRUTOS'!$A$3:$A$500,$C22,'DADOS BRUTOS'!J$3:J$500)))</f>
        <v>0</v>
      </c>
      <c r="CK22" s="133" t="n">
        <f aca="false">IF(OR(CK$4="",$B22=""),0,SUMIF('DADOS BRUTOS'!$A$3:$A$500,$B22,'DADOS BRUTOS'!K$3:K$500)+IF($C22="",0,SUMIF('DADOS BRUTOS'!$A$3:$A$500,$C22,'DADOS BRUTOS'!K$3:K$500)))</f>
        <v>0</v>
      </c>
      <c r="CL22" s="133" t="n">
        <f aca="false">IF(OR(CL$4="",$B22=""),0,SUMIF('DADOS BRUTOS'!$A$3:$A$500,$B22,'DADOS BRUTOS'!L$3:L$500)+IF($C22="",0,SUMIF('DADOS BRUTOS'!$A$3:$A$500,$C22,'DADOS BRUTOS'!L$3:L$500)))</f>
        <v>0</v>
      </c>
      <c r="CM22" s="133" t="n">
        <f aca="false">IF(OR(CM$4="",$B22=""),0,SUMIF('DADOS BRUTOS'!$A$3:$A$500,$B22,'DADOS BRUTOS'!M$3:M$500)+IF($C22="",0,SUMIF('DADOS BRUTOS'!$A$3:$A$500,$C22,'DADOS BRUTOS'!M$3:M$500)))</f>
        <v>0</v>
      </c>
      <c r="CN22" s="133" t="n">
        <f aca="false">IF(OR(CN$4="",$B22=""),0,SUMIF('DADOS BRUTOS'!$A$3:$A$500,$B22,'DADOS BRUTOS'!N$3:N$500)+IF($C22="",0,SUMIF('DADOS BRUTOS'!$A$3:$A$500,$C22,'DADOS BRUTOS'!N$3:N$500)))</f>
        <v>0</v>
      </c>
      <c r="CO22" s="133" t="n">
        <f aca="false">IF(OR(CO$4="",$B22=""),0,SUMIF('DADOS BRUTOS'!$A$3:$A$500,$B22,'DADOS BRUTOS'!O$3:O$500)+IF($C22="",0,SUMIF('DADOS BRUTOS'!$A$3:$A$500,$C22,'DADOS BRUTOS'!O$3:O$500)))</f>
        <v>0</v>
      </c>
      <c r="CP22" s="133" t="n">
        <f aca="false">IF(OR(CP$4="",$B22=""),0,SUMIF('DADOS BRUTOS'!$A$3:$A$500,$B22,'DADOS BRUTOS'!P$3:P$500)+IF($C22="",0,SUMIF('DADOS BRUTOS'!$A$3:$A$500,$C22,'DADOS BRUTOS'!P$3:P$500)))</f>
        <v>0</v>
      </c>
      <c r="CQ22" s="133" t="n">
        <f aca="false">IF(OR(CQ$4="",$B22=""),0,SUMIF('DADOS BRUTOS'!$A$3:$A$500,$B22,'DADOS BRUTOS'!Q$3:Q$500)+IF($C22="",0,SUMIF('DADOS BRUTOS'!$A$3:$A$500,$C22,'DADOS BRUTOS'!Q$3:Q$500)))</f>
        <v>0</v>
      </c>
      <c r="CR22" s="133" t="n">
        <f aca="false">IF(OR(CR$4="",$B22=""),0,SUMIF('DADOS BRUTOS'!$A$3:$A$500,$B22,'DADOS BRUTOS'!R$3:R$500)+IF($C22="",0,SUMIF('DADOS BRUTOS'!$A$3:$A$500,$C22,'DADOS BRUTOS'!R$3:R$500)))</f>
        <v>0</v>
      </c>
      <c r="CS22" s="133" t="n">
        <f aca="false">IF(OR(CS$4="",$B22=""),0,SUMIF('DADOS BRUTOS'!$A$3:$A$500,$B22,'DADOS BRUTOS'!S$3:S$500)+IF($C22="",0,SUMIF('DADOS BRUTOS'!$A$3:$A$500,$C22,'DADOS BRUTOS'!S$3:S$500)))</f>
        <v>0</v>
      </c>
      <c r="CT22" s="133" t="n">
        <f aca="false">IF(OR(CT$4="",$B22=""),0,SUMIF('DADOS BRUTOS'!$A$3:$A$500,$B22,'DADOS BRUTOS'!T$3:T$500)+IF($C22="",0,SUMIF('DADOS BRUTOS'!$A$3:$A$500,$C22,'DADOS BRUTOS'!T$3:T$500)))</f>
        <v>0</v>
      </c>
      <c r="CU22" s="133" t="n">
        <f aca="false">IF(OR(CU$4="",$B22=""),0,SUMIF('DADOS BRUTOS'!$A$3:$A$500,$B22,'DADOS BRUTOS'!U$3:U$500)+IF($C22="",0,SUMIF('DADOS BRUTOS'!$A$3:$A$500,$C22,'DADOS BRUTOS'!U$3:U$500)))</f>
        <v>0</v>
      </c>
      <c r="CV22" s="133" t="n">
        <f aca="false">IF(OR(CV$4="",$B22=""),0,SUMIF('DADOS BRUTOS'!$A$3:$A$500,$B22,'DADOS BRUTOS'!V$3:V$500)+IF($C22="",0,SUMIF('DADOS BRUTOS'!$A$3:$A$500,$C22,'DADOS BRUTOS'!V$3:V$500)))</f>
        <v>0</v>
      </c>
      <c r="CW22" s="133" t="n">
        <f aca="false">IF(OR(CW$4="",$B22=""),0,SUMIF('DADOS BRUTOS'!$A$3:$A$500,$B22,'DADOS BRUTOS'!W$3:W$500)+IF($C22="",0,SUMIF('DADOS BRUTOS'!$A$3:$A$500,$C22,'DADOS BRUTOS'!W$3:W$500)))</f>
        <v>0</v>
      </c>
      <c r="CX22" s="133" t="n">
        <f aca="false">IF(OR(CX$4="",$B22=""),0,SUMIF('DADOS BRUTOS'!$A$3:$A$500,$B22,'DADOS BRUTOS'!X$3:X$500)+IF($C22="",0,SUMIF('DADOS BRUTOS'!$A$3:$A$500,$C22,'DADOS BRUTOS'!X$3:X$500)))</f>
        <v>0</v>
      </c>
      <c r="CY22" s="133" t="n">
        <f aca="false">IF(OR(CY$4="",$B22=""),0,SUMIF('DADOS BRUTOS'!$A$3:$A$500,$B22,'DADOS BRUTOS'!Y$3:Y$500)+IF($C22="",0,SUMIF('DADOS BRUTOS'!$A$3:$A$500,$C22,'DADOS BRUTOS'!Y$3:Y$500)))</f>
        <v>0</v>
      </c>
      <c r="CZ22" s="133" t="n">
        <f aca="false">IF(OR(CZ$4="",$B22=""),0,SUMIF('DADOS BRUTOS'!$A$3:$A$500,$B22,'DADOS BRUTOS'!Z$3:Z$500)+IF($C22="",0,SUMIF('DADOS BRUTOS'!$A$3:$A$500,$C22,'DADOS BRUTOS'!Z$3:Z$500)))</f>
        <v>0</v>
      </c>
      <c r="DA22" s="133" t="n">
        <f aca="false">IF(OR(DA$4="",$B22=""),0,SUMIF('DADOS BRUTOS'!$A$3:$A$500,$B22,'DADOS BRUTOS'!AA$3:AA$500)+IF($C22="",0,SUMIF('DADOS BRUTOS'!$A$3:$A$500,$C22,'DADOS BRUTOS'!AA$3:AA$500)))</f>
        <v>0</v>
      </c>
      <c r="DB22" s="133" t="n">
        <f aca="false">IF(OR(DB$4="",$B22=""),0,SUMIF('DADOS BRUTOS'!$A$3:$A$500,$B22,'DADOS BRUTOS'!AB$3:AB$500)+IF($C22="",0,SUMIF('DADOS BRUTOS'!$A$3:$A$500,$C22,'DADOS BRUTOS'!AB$3:AB$500)))</f>
        <v>0</v>
      </c>
      <c r="DC22" s="133" t="n">
        <f aca="false">IF(OR(DC$4="",$B22=""),0,SUMIF('DADOS BRUTOS'!$A$3:$A$500,$B22,'DADOS BRUTOS'!AC$3:AC$500)+IF($C22="",0,SUMIF('DADOS BRUTOS'!$A$3:$A$500,$C22,'DADOS BRUTOS'!AC$3:AC$500)))</f>
        <v>0</v>
      </c>
      <c r="DD22" s="133" t="n">
        <f aca="false">IF(OR(DD$4="",$B22=""),0,SUMIF('DADOS BRUTOS'!$A$3:$A$500,$B22,'DADOS BRUTOS'!AD$3:AD$500)+IF($C22="",0,SUMIF('DADOS BRUTOS'!$A$3:$A$500,$C22,'DADOS BRUTOS'!AD$3:AD$500)))</f>
        <v>0</v>
      </c>
      <c r="DE22" s="133" t="n">
        <f aca="false">IF(OR(DE$4="",$B22=""),0,SUMIF('DADOS BRUTOS'!$A$3:$A$500,$B22,'DADOS BRUTOS'!AE$3:AE$500)+IF($C22="",0,SUMIF('DADOS BRUTOS'!$A$3:$A$500,$C22,'DADOS BRUTOS'!AE$3:AE$500)))</f>
        <v>0</v>
      </c>
      <c r="DF22" s="133" t="n">
        <f aca="false">IF(OR(DF$4="",$B22=""),0,SUMIF('DADOS BRUTOS'!$A$3:$A$500,$B22,'DADOS BRUTOS'!AF$3:AF$500)+IF($C22="",0,SUMIF('DADOS BRUTOS'!$A$3:$A$500,$C22,'DADOS BRUTOS'!AF$3:AF$500)))</f>
        <v>0</v>
      </c>
      <c r="DG22" s="133" t="n">
        <f aca="false">IF(OR(DG$4="",$B22=""),0,SUMIF('DADOS BRUTOS'!$A$3:$A$500,$B22,'DADOS BRUTOS'!AG$3:AG$500)+IF($C22="",0,SUMIF('DADOS BRUTOS'!$A$3:$A$500,$C22,'DADOS BRUTOS'!AG$3:AG$500)))</f>
        <v>0</v>
      </c>
      <c r="DH22" s="133" t="n">
        <f aca="false">IF(OR(DH$4="",$B22=""),0,SUMIF('DADOS BRUTOS'!$A$3:$A$500,$B22,'DADOS BRUTOS'!AH$3:AH$500)+IF($C22="",0,SUMIF('DADOS BRUTOS'!$A$3:$A$500,$C22,'DADOS BRUTOS'!AH$3:AH$500)))</f>
        <v>0</v>
      </c>
      <c r="DI22" s="133" t="n">
        <f aca="false">IF(OR(DI$4="",$B22=""),0,SUMIF('DADOS BRUTOS'!$A$3:$A$500,$B22,'DADOS BRUTOS'!AI$3:AI$500)+IF($C22="",0,SUMIF('DADOS BRUTOS'!$A$3:$A$500,$C22,'DADOS BRUTOS'!AI$3:AI$500)))</f>
        <v>0</v>
      </c>
      <c r="DJ22" s="133" t="n">
        <f aca="false">IF(OR(DJ$4="",$B22=""),0,SUMIF('DADOS BRUTOS'!$A$3:$A$500,$B22,'DADOS BRUTOS'!AJ$3:AJ$500)+IF($C22="",0,SUMIF('DADOS BRUTOS'!$A$3:$A$500,$C22,'DADOS BRUTOS'!AJ$3:AJ$500)))</f>
        <v>0</v>
      </c>
      <c r="DK22" s="133" t="n">
        <f aca="false">IF(OR(DK$4="",$B22=""),0,SUMIF('DADOS BRUTOS'!$A$3:$A$500,$B22,'DADOS BRUTOS'!AK$3:AK$500)+IF($C22="",0,SUMIF('DADOS BRUTOS'!$A$3:$A$500,$C22,'DADOS BRUTOS'!AK$3:AK$500)))</f>
        <v>0</v>
      </c>
      <c r="DL22" s="133" t="n">
        <f aca="false">IF(OR(DL$4="",$B22=""),0,SUMIF('DADOS BRUTOS'!$A$3:$A$500,$B22,'DADOS BRUTOS'!AL$3:AL$500)+IF($C22="",0,SUMIF('DADOS BRUTOS'!$A$3:$A$500,$C22,'DADOS BRUTOS'!AL$3:AL$500)))</f>
        <v>0</v>
      </c>
      <c r="DM22" s="133" t="n">
        <f aca="false">IF(OR(DM$4="",$B22=""),0,SUMIF('DADOS BRUTOS'!$A$3:$A$500,$B22,'DADOS BRUTOS'!AM$3:AM$500)+IF($C22="",0,SUMIF('DADOS BRUTOS'!$A$3:$A$500,$C22,'DADOS BRUTOS'!AM$3:AM$500)))</f>
        <v>0</v>
      </c>
      <c r="DN22" s="133" t="n">
        <f aca="false">IF(OR(DN$4="",$B22=""),0,SUMIF('DADOS BRUTOS'!$A$3:$A$500,$B22,'DADOS BRUTOS'!AN$3:AN$500)+IF($C22="",0,SUMIF('DADOS BRUTOS'!$A$3:$A$500,$C22,'DADOS BRUTOS'!AN$3:AN$500)))</f>
        <v>0</v>
      </c>
      <c r="DO22" s="133" t="n">
        <f aca="false">IF(OR(DO$4="",$B22=""),0,SUMIF('DADOS BRUTOS'!$A$3:$A$500,$B22,'DADOS BRUTOS'!AO$3:AO$500)+IF($C22="",0,SUMIF('DADOS BRUTOS'!$A$3:$A$500,$C22,'DADOS BRUTOS'!AO$3:AO$500)))</f>
        <v>0</v>
      </c>
      <c r="DP22" s="133" t="n">
        <f aca="false">IF(OR(DP$4="",$B22=""),0,SUMIF('DADOS BRUTOS'!$A$3:$A$500,$B22,'DADOS BRUTOS'!AP$3:AP$500)+IF($C22="",0,SUMIF('DADOS BRUTOS'!$A$3:$A$500,$C22,'DADOS BRUTOS'!AP$3:AP$500)))</f>
        <v>0</v>
      </c>
      <c r="DQ22" s="133" t="n">
        <f aca="false">IF(OR(DQ$4="",$B22=""),0,SUMIF('DADOS BRUTOS'!$A$3:$A$500,$B22,'DADOS BRUTOS'!AQ$3:AQ$500)+IF($C22="",0,SUMIF('DADOS BRUTOS'!$A$3:$A$500,$C22,'DADOS BRUTOS'!AQ$3:AQ$500)))</f>
        <v>0</v>
      </c>
      <c r="DR22" s="133" t="n">
        <f aca="false">IF(OR(DR$4="",$B22=""),0,SUMIF('DADOS BRUTOS'!$A$3:$A$500,$B22,'DADOS BRUTOS'!AR$3:AR$500)+IF($C22="",0,SUMIF('DADOS BRUTOS'!$A$3:$A$500,$C22,'DADOS BRUTOS'!AR$3:AR$500)))</f>
        <v>0</v>
      </c>
      <c r="DS22" s="133" t="n">
        <f aca="false">IF(OR(DS$4="",$B22=""),0,SUMIF('DADOS BRUTOS'!$A$3:$A$500,$B22,'DADOS BRUTOS'!AS$3:AS$500)+IF($C22="",0,SUMIF('DADOS BRUTOS'!$A$3:$A$500,$C22,'DADOS BRUTOS'!AS$3:AS$500)))</f>
        <v>0</v>
      </c>
      <c r="DT22" s="133" t="n">
        <f aca="false">IF(OR(DT$4="",$B22=""),0,SUMIF('DADOS BRUTOS'!$A$3:$A$500,$B22,'DADOS BRUTOS'!AT$3:AT$500)+IF($C22="",0,SUMIF('DADOS BRUTOS'!$A$3:$A$500,$C22,'DADOS BRUTOS'!AT$3:AT$500)))</f>
        <v>0</v>
      </c>
      <c r="DU22" s="133" t="n">
        <f aca="false">IF(OR(DU$4="",$B22=""),0,SUMIF('DADOS BRUTOS'!$A$3:$A$500,$B22,'DADOS BRUTOS'!AU$3:AU$500)+IF($C22="",0,SUMIF('DADOS BRUTOS'!$A$3:$A$500,$C22,'DADOS BRUTOS'!AU$3:AU$500)))</f>
        <v>0</v>
      </c>
      <c r="DV22" s="133" t="n">
        <f aca="false">IF(OR(DV$4="",$B22=""),0,SUMIF('DADOS BRUTOS'!$A$3:$A$500,$B22,'DADOS BRUTOS'!AV$3:AV$500)+IF($C22="",0,SUMIF('DADOS BRUTOS'!$A$3:$A$500,$C22,'DADOS BRUTOS'!AV$3:AV$500)))</f>
        <v>0</v>
      </c>
      <c r="DW22" s="133" t="n">
        <f aca="false">IF(OR(DW$4="",$B22=""),0,SUMIF('DADOS BRUTOS'!$A$3:$A$500,$B22,'DADOS BRUTOS'!AW$3:AW$500)+IF($C22="",0,SUMIF('DADOS BRUTOS'!$A$3:$A$500,$C22,'DADOS BRUTOS'!AW$3:AW$500)))</f>
        <v>0</v>
      </c>
      <c r="DX22" s="133" t="n">
        <f aca="false">IF(OR(DX$4="",$B22=""),0,SUMIF('DADOS BRUTOS'!$A$3:$A$500,$B22,'DADOS BRUTOS'!AX$3:AX$500)+IF($C22="",0,SUMIF('DADOS BRUTOS'!$A$3:$A$500,$C22,'DADOS BRUTOS'!AX$3:AX$500)))</f>
        <v>7706.5</v>
      </c>
      <c r="DY22" s="133" t="n">
        <f aca="false">IF(OR(DY$4="",$B22=""),0,SUMIF('DADOS BRUTOS'!$A$3:$A$500,$B22,'DADOS BRUTOS'!AY$3:AY$500)+IF($C22="",0,SUMIF('DADOS BRUTOS'!$A$3:$A$500,$C22,'DADOS BRUTOS'!AY$3:AY$500)))</f>
        <v>14902.2</v>
      </c>
      <c r="DZ22" s="133" t="n">
        <f aca="false">IF(OR(DZ$4="",$B22=""),0,SUMIF('DADOS BRUTOS'!$A$3:$A$500,$B22,'DADOS BRUTOS'!AZ$3:AZ$500)+IF($C22="",0,SUMIF('DADOS BRUTOS'!$A$3:$A$500,$C22,'DADOS BRUTOS'!AZ$3:AZ$500)))</f>
        <v>10188.56</v>
      </c>
      <c r="EA22" s="133" t="n">
        <f aca="false">IF(OR(EA$4="",$B22=""),0,SUMIF('DADOS BRUTOS'!$A$3:$A$500,$B22,'DADOS BRUTOS'!BA$3:BA$500)+IF($C22="",0,SUMIF('DADOS BRUTOS'!$A$3:$A$500,$C22,'DADOS BRUTOS'!BA$3:BA$500)))</f>
        <v>79156.11</v>
      </c>
      <c r="EB22" s="133" t="n">
        <f aca="false">IF(OR(EB$4="",$B22=""),0,SUMIF('DADOS BRUTOS'!$A$3:$A$500,$B22,'DADOS BRUTOS'!BB$3:BB$500)+IF($C22="",0,SUMIF('DADOS BRUTOS'!$A$3:$A$500,$C22,'DADOS BRUTOS'!BB$3:BB$500)))</f>
        <v>146083.04</v>
      </c>
      <c r="EC22" s="133" t="n">
        <f aca="false">IF(OR(EC$4="",$B22=""),0,SUMIF('DADOS BRUTOS'!$A$3:$A$500,$B22,'DADOS BRUTOS'!BC$3:BC$500)+IF($C22="",0,SUMIF('DADOS BRUTOS'!$A$3:$A$500,$C22,'DADOS BRUTOS'!BC$3:BC$500)))</f>
        <v>141585.41</v>
      </c>
      <c r="ED22" s="133" t="n">
        <f aca="false">IF(OR(ED$4="",$B22=""),0,SUMIF('DADOS BRUTOS'!$A$3:$A$500,$B22,'DADOS BRUTOS'!BD$3:BD$500)+IF($C22="",0,SUMIF('DADOS BRUTOS'!$A$3:$A$500,$C22,'DADOS BRUTOS'!BD$3:BD$500)))</f>
        <v>105967.94</v>
      </c>
      <c r="EE22" s="133" t="n">
        <f aca="false">IF(OR(EE$4="",$B22=""),0,SUMIF('DADOS BRUTOS'!$A$3:$A$500,$B22,'DADOS BRUTOS'!BE$3:BE$500)+IF($C22="",0,SUMIF('DADOS BRUTOS'!$A$3:$A$500,$C22,'DADOS BRUTOS'!BE$3:BE$500)))</f>
        <v>10756.9</v>
      </c>
      <c r="EF22" s="133" t="n">
        <f aca="false">IF(OR(EF$4="",$B22=""),0,SUMIF('DADOS BRUTOS'!$A$3:$A$500,$B22,'DADOS BRUTOS'!BF$3:BF$500)+IF($C22="",0,SUMIF('DADOS BRUTOS'!$A$3:$A$500,$C22,'DADOS BRUTOS'!BF$3:BF$500)))</f>
        <v>0</v>
      </c>
      <c r="EG22" s="133" t="n">
        <f aca="false">IF(OR(EG$4="",$B22=""),0,SUMIF('DADOS BRUTOS'!$A$3:$A$500,$B22,'DADOS BRUTOS'!BG$3:BG$500)+IF($C22="",0,SUMIF('DADOS BRUTOS'!$A$3:$A$500,$C22,'DADOS BRUTOS'!BG$3:BG$500)))</f>
        <v>0</v>
      </c>
      <c r="EH22" s="133" t="n">
        <f aca="false">IF(OR(EH$4="",$B22=""),0,SUMIF('DADOS BRUTOS'!$A$3:$A$500,$B22,'DADOS BRUTOS'!BH$3:BH$500)+IF($C22="",0,SUMIF('DADOS BRUTOS'!$A$3:$A$500,$C22,'DADOS BRUTOS'!BH$3:BH$500)))</f>
        <v>0</v>
      </c>
      <c r="EI22" s="133" t="n">
        <f aca="false">IF(OR(EI$4="",$B22=""),0,SUMIF('DADOS BRUTOS'!$A$3:$A$500,$B22,'DADOS BRUTOS'!BI$3:BI$500)+IF($C22="",0,SUMIF('DADOS BRUTOS'!$A$3:$A$500,$C22,'DADOS BRUTOS'!BI$3:BI$500)))</f>
        <v>0</v>
      </c>
      <c r="EJ22" s="133" t="n">
        <f aca="false">IF(OR(EJ$4="",$B22=""),0,SUMIF('DADOS BRUTOS'!$A$3:$A$500,$B22,'DADOS BRUTOS'!BJ$3:BJ$500)+IF($C22="",0,SUMIF('DADOS BRUTOS'!$A$3:$A$500,$C22,'DADOS BRUTOS'!BJ$3:BJ$500)))</f>
        <v>0</v>
      </c>
      <c r="EK22" s="133" t="n">
        <f aca="false">IF(OR(EK$4="",$B22=""),0,SUMIF('DADOS BRUTOS'!$A$3:$A$500,$B22,'DADOS BRUTOS'!BK$3:BK$500)+IF($C22="",0,SUMIF('DADOS BRUTOS'!$A$3:$A$500,$C22,'DADOS BRUTOS'!BK$3:BK$500)))</f>
        <v>0</v>
      </c>
      <c r="EL22" s="133" t="n">
        <f aca="false">IF(OR(EL$4="",$B22=""),0,SUMIF('DADOS BRUTOS'!$A$3:$A$500,$B22,'DADOS BRUTOS'!BL$3:BL$500)+IF($C22="",0,SUMIF('DADOS BRUTOS'!$A$3:$A$500,$C22,'DADOS BRUTOS'!BL$3:BL$500)))</f>
        <v>4832.65</v>
      </c>
      <c r="EM22" s="133" t="n">
        <f aca="false">IF(OR(EM$4="",$B22=""),0,SUMIF('DADOS BRUTOS'!$A$3:$A$500,$B22,'DADOS BRUTOS'!BM$3:BM$500)+IF($C22="",0,SUMIF('DADOS BRUTOS'!$A$3:$A$500,$C22,'DADOS BRUTOS'!BM$3:BM$500)))</f>
        <v>0</v>
      </c>
      <c r="EN22" s="133" t="n">
        <f aca="false">IF(OR(EN$4="",$B22=""),0,SUMIF('DADOS BRUTOS'!$A$3:$A$500,$B22,'DADOS BRUTOS'!BN$3:BN$500)+IF($C22="",0,SUMIF('DADOS BRUTOS'!$A$3:$A$500,$C22,'DADOS BRUTOS'!BN$3:BN$500)))</f>
        <v>0</v>
      </c>
      <c r="EO22" s="133" t="n">
        <f aca="false">IF(OR(EO$4="",$B22=""),0,SUMIF('DADOS BRUTOS'!$A$3:$A$500,$B22,'DADOS BRUTOS'!BO$3:BO$500)+IF($C22="",0,SUMIF('DADOS BRUTOS'!$A$3:$A$500,$C22,'DADOS BRUTOS'!BO$3:BO$500)))</f>
        <v>0</v>
      </c>
      <c r="EP22" s="133" t="n">
        <f aca="false">IF(OR(EP$4="",$B22=""),0,SUMIF('DADOS BRUTOS'!$A$3:$A$500,$B22,'DADOS BRUTOS'!BP$3:BP$500)+IF($C22="",0,SUMIF('DADOS BRUTOS'!$A$3:$A$500,$C22,'DADOS BRUTOS'!BP$3:BP$500)))</f>
        <v>0</v>
      </c>
      <c r="EQ22" s="133" t="n">
        <f aca="false">IF(OR(EQ$4="",$B22=""),0,SUMIF('DADOS BRUTOS'!$A$3:$A$500,$B22,'DADOS BRUTOS'!BQ$3:BQ$500)+IF($C22="",0,SUMIF('DADOS BRUTOS'!$A$3:$A$500,$C22,'DADOS BRUTOS'!BQ$3:BQ$500)))</f>
        <v>0</v>
      </c>
      <c r="ER22" s="133" t="n">
        <f aca="false">IF(OR(ER$4="",$B22=""),0,SUMIF('DADOS BRUTOS'!$A$3:$A$500,$B22,'DADOS BRUTOS'!BR$3:BR$500)+IF($C22="",0,SUMIF('DADOS BRUTOS'!$A$3:$A$500,$C22,'DADOS BRUTOS'!BR$3:BR$500)))</f>
        <v>0</v>
      </c>
      <c r="ES22" s="133" t="n">
        <f aca="false">IF(OR(ES$4="",$B22=""),0,SUMIF('DADOS BRUTOS'!$A$3:$A$500,$B22,'DADOS BRUTOS'!BS$3:BS$500)+IF($C22="",0,SUMIF('DADOS BRUTOS'!$A$3:$A$500,$C22,'DADOS BRUTOS'!BS$3:BS$500)))</f>
        <v>0</v>
      </c>
      <c r="ET22" s="133" t="n">
        <f aca="false">IF(OR(ET$4="",$B22=""),0,SUMIF('DADOS BRUTOS'!$A$3:$A$500,$B22,'DADOS BRUTOS'!BT$3:BT$500)+IF($C22="",0,SUMIF('DADOS BRUTOS'!$A$3:$A$500,$C22,'DADOS BRUTOS'!BT$3:BT$500)))</f>
        <v>0</v>
      </c>
      <c r="EU22" s="133" t="n">
        <f aca="false">IF(OR(EU$4="",$B22=""),0,SUMIF('DADOS BRUTOS'!$A$3:$A$500,$B22,'DADOS BRUTOS'!BU$3:BU$500)+IF($C22="",0,SUMIF('DADOS BRUTOS'!$A$3:$A$500,$C22,'DADOS BRUTOS'!BU$3:BU$500)))</f>
        <v>0</v>
      </c>
      <c r="EV22" s="133" t="n">
        <f aca="false">IF(OR(EV$4="",$B22=""),0,SUMIF('DADOS BRUTOS'!$A$3:$A$500,$B22,'DADOS BRUTOS'!BV$3:BV$500)+IF($C22="",0,SUMIF('DADOS BRUTOS'!$A$3:$A$500,$C22,'DADOS BRUTOS'!BV$3:BV$500)))</f>
        <v>0</v>
      </c>
      <c r="EW22" s="133" t="n">
        <f aca="false">IF(OR(EW$4="",$B22=""),0,SUMIF('DADOS BRUTOS'!$A$3:$A$500,$B22,'DADOS BRUTOS'!BW$3:BW$500)+IF($C22="",0,SUMIF('DADOS BRUTOS'!$A$3:$A$500,$C22,'DADOS BRUTOS'!BW$3:BW$500)))</f>
        <v>0</v>
      </c>
      <c r="EX22" s="133" t="n">
        <f aca="false">IF(OR(EX$4="",$B22=""),0,SUMIF('DADOS BRUTOS'!$A$3:$A$500,$B22,'DADOS BRUTOS'!BX$3:BX$500)+IF($C22="",0,SUMIF('DADOS BRUTOS'!$A$3:$A$500,$C22,'DADOS BRUTOS'!BX$3:BX$500)))</f>
        <v>0</v>
      </c>
      <c r="EY22" s="133" t="n">
        <f aca="false">IF(OR(EY$4="",$B22=""),0,SUMIF('DADOS BRUTOS'!$A$3:$A$500,$B22,'DADOS BRUTOS'!BY$3:BY$500)+IF($C22="",0,SUMIF('DADOS BRUTOS'!$A$3:$A$500,$C22,'DADOS BRUTOS'!BY$3:BY$500)))</f>
        <v>0</v>
      </c>
      <c r="EZ22" s="133" t="n">
        <f aca="false">IF(OR(EZ$4="",$B22=""),0,SUMIF('DADOS BRUTOS'!$A$3:$A$500,$B22,'DADOS BRUTOS'!BZ$3:BZ$500)+IF($C22="",0,SUMIF('DADOS BRUTOS'!$A$3:$A$500,$C22,'DADOS BRUTOS'!BZ$3:BZ$500)))</f>
        <v>0</v>
      </c>
      <c r="FA22" s="133" t="n">
        <f aca="false">IF(OR(FA$4="",$B22=""),0,SUMIF('DADOS BRUTOS'!$A$3:$A$500,$B22,'DADOS BRUTOS'!CA$3:CA$500)+IF($C22="",0,SUMIF('DADOS BRUTOS'!$A$3:$A$500,$C22,'DADOS BRUTOS'!CA$3:CA$500)))</f>
        <v>0</v>
      </c>
      <c r="FB22" s="133" t="n">
        <f aca="false">IF(OR(FB$4="",$B22=""),0,SUMIF('DADOS BRUTOS'!$A$3:$A$500,$B22,'DADOS BRUTOS'!CB$3:CB$500)+IF($C22="",0,SUMIF('DADOS BRUTOS'!$A$3:$A$500,$C22,'DADOS BRUTOS'!CB$3:CB$500)))</f>
        <v>9158.71</v>
      </c>
      <c r="FC22" s="133" t="n">
        <f aca="false">IF(OR(FC$4="",$B22=""),0,SUMIF('DADOS BRUTOS'!$A$3:$A$500,$B22,'DADOS BRUTOS'!CC$3:CC$500)+IF($C22="",0,SUMIF('DADOS BRUTOS'!$A$3:$A$500,$C22,'DADOS BRUTOS'!CC$3:CC$500)))</f>
        <v>0</v>
      </c>
      <c r="FD22" s="133" t="n">
        <f aca="false">IF(OR(FD$4="",$B22=""),0,SUMIF('DADOS BRUTOS'!$A$3:$A$500,$B22,'DADOS BRUTOS'!CD$3:CD$500)+IF($C22="",0,SUMIF('DADOS BRUTOS'!$A$3:$A$500,$C22,'DADOS BRUTOS'!CD$3:CD$500)))</f>
        <v>0</v>
      </c>
      <c r="FE22" s="133" t="n">
        <f aca="false">IF(OR(FE$4="",$B22=""),0,SUMIF('DADOS BRUTOS'!$A$3:$A$500,$B22,'DADOS BRUTOS'!CE$3:CE$500)+IF($C22="",0,SUMIF('DADOS BRUTOS'!$A$3:$A$500,$C22,'DADOS BRUTOS'!CE$3:CE$500)))</f>
        <v>0</v>
      </c>
      <c r="FF22" s="133" t="n">
        <f aca="false">IF(OR(FF$4="",$B22=""),0,SUMIF('DADOS BRUTOS'!$A$3:$A$500,$B22,'DADOS BRUTOS'!CF$3:CF$500)+IF($C22="",0,SUMIF('DADOS BRUTOS'!$A$3:$A$500,$C22,'DADOS BRUTOS'!CF$3:CF$500)))</f>
        <v>0</v>
      </c>
      <c r="FG22" s="133" t="n">
        <f aca="false">IF(OR(FG$4="",$B22=""),0,SUMIF('DADOS BRUTOS'!$A$3:$A$500,$B22,'DADOS BRUTOS'!CG$3:CG$500)+IF($C22="",0,SUMIF('DADOS BRUTOS'!$A$3:$A$500,$C22,'DADOS BRUTOS'!CG$3:CG$500)))</f>
        <v>0</v>
      </c>
      <c r="FH22" s="133" t="n">
        <f aca="false">IF(OR(FH$4="",$B22=""),0,SUMIF('DADOS BRUTOS'!$A$3:$A$500,$B22,'DADOS BRUTOS'!CH$3:CH$500)+IF($C22="",0,SUMIF('DADOS BRUTOS'!$A$3:$A$500,$C22,'DADOS BRUTOS'!CH$3:CH$500)))</f>
        <v>0</v>
      </c>
      <c r="FI22" s="133" t="n">
        <f aca="false">IF(OR(FI$4="",$B22=""),0,SUMIF('DADOS BRUTOS'!$A$3:$A$500,$B22,'DADOS BRUTOS'!CI$3:CI$500)+IF($C22="",0,SUMIF('DADOS BRUTOS'!$A$3:$A$500,$C22,'DADOS BRUTOS'!CI$3:CI$500)))</f>
        <v>0</v>
      </c>
      <c r="FJ22" s="133" t="n">
        <f aca="false">IF(OR(FJ$4="",$B22=""),0,SUMIF('DADOS BRUTOS'!$A$3:$A$500,$B22,'DADOS BRUTOS'!CJ$3:CJ$500)+IF($C22="",0,SUMIF('DADOS BRUTOS'!$A$3:$A$500,$C22,'DADOS BRUTOS'!CJ$3:CJ$500)))</f>
        <v>0</v>
      </c>
      <c r="FK22" s="133" t="n">
        <f aca="false">IF(OR(FK$4="",$B22=""),0,SUMIF('DADOS BRUTOS'!$A$3:$A$500,$B22,'DADOS BRUTOS'!CK$3:CK$500)+IF($C22="",0,SUMIF('DADOS BRUTOS'!$A$3:$A$500,$C22,'DADOS BRUTOS'!CK$3:CK$500)))</f>
        <v>0</v>
      </c>
      <c r="FL22" s="133" t="n">
        <f aca="false">IF(OR(FL$4="",$B22=""),0,SUMIF('DADOS BRUTOS'!$A$3:$A$500,$B22,'DADOS BRUTOS'!CL$3:CL$500)+IF($C22="",0,SUMIF('DADOS BRUTOS'!$A$3:$A$500,$C22,'DADOS BRUTOS'!CL$3:CL$500)))</f>
        <v>0</v>
      </c>
      <c r="FM22" s="133" t="n">
        <f aca="false">IF(OR(FM$4="",$B22=""),0,SUMIF('DADOS BRUTOS'!$A$3:$A$500,$B22,'DADOS BRUTOS'!CM$3:CM$500)+IF($C22="",0,SUMIF('DADOS BRUTOS'!$A$3:$A$500,$C22,'DADOS BRUTOS'!CM$3:CM$500)))</f>
        <v>0</v>
      </c>
      <c r="FN22" s="133" t="n">
        <f aca="false">IF(OR(FN$4="",$B22=""),0,SUMIF('DADOS BRUTOS'!$A$3:$A$500,$B22,'DADOS BRUTOS'!CN$3:CN$500)+IF($C22="",0,SUMIF('DADOS BRUTOS'!$A$3:$A$500,$C22,'DADOS BRUTOS'!CN$3:CN$500)))</f>
        <v>0</v>
      </c>
      <c r="FO22" s="133" t="n">
        <f aca="false">IF(OR(FO$4="",$B22=""),0,SUMIF('DADOS BRUTOS'!$A$3:$A$500,$B22,'DADOS BRUTOS'!CO$3:CO$500)+IF($C22="",0,SUMIF('DADOS BRUTOS'!$A$3:$A$500,$C22,'DADOS BRUTOS'!CO$3:CO$500)))</f>
        <v>0</v>
      </c>
      <c r="FP22" s="133" t="n">
        <f aca="false">IF(OR(FP$4="",$B22=""),0,SUMIF('DADOS BRUTOS'!$A$3:$A$500,$B22,'DADOS BRUTOS'!CP$3:CP$500)+IF($C22="",0,SUMIF('DADOS BRUTOS'!$A$3:$A$500,$C22,'DADOS BRUTOS'!CP$3:CP$500)))</f>
        <v>0</v>
      </c>
      <c r="FQ22" s="133" t="n">
        <f aca="false">IF(OR(FQ$4="",$B22=""),0,SUMIF('DADOS BRUTOS'!$A$3:$A$500,$B22,'DADOS BRUTOS'!CQ$3:CQ$500)+IF($C22="",0,SUMIF('DADOS BRUTOS'!$A$3:$A$500,$C22,'DADOS BRUTOS'!CQ$3:CQ$500)))</f>
        <v>0</v>
      </c>
      <c r="FR22" s="133" t="n">
        <f aca="false">IF(OR(FR$4="",$B22=""),0,SUMIF('DADOS BRUTOS'!$A$3:$A$500,$B22,'DADOS BRUTOS'!CR$3:CR$500)+IF($C22="",0,SUMIF('DADOS BRUTOS'!$A$3:$A$500,$C22,'DADOS BRUTOS'!CR$3:CR$500)))</f>
        <v>0</v>
      </c>
      <c r="FS22" s="133" t="n">
        <f aca="false">IF(OR(FS$4="",$B22=""),0,SUMIF('DADOS BRUTOS'!$A$3:$A$500,$B22,'DADOS BRUTOS'!CS$3:CS$500)+IF($C22="",0,SUMIF('DADOS BRUTOS'!$A$3:$A$500,$C22,'DADOS BRUTOS'!CS$3:CS$500)))</f>
        <v>0</v>
      </c>
      <c r="FT22" s="133" t="n">
        <f aca="false">IF(OR(FT$4="",$B22=""),0,SUMIF('DADOS BRUTOS'!$A$3:$A$500,$B22,'DADOS BRUTOS'!CT$3:CT$500)+IF($C22="",0,SUMIF('DADOS BRUTOS'!$A$3:$A$500,$C22,'DADOS BRUTOS'!CT$3:CT$500)))</f>
        <v>0</v>
      </c>
      <c r="FU22" s="133" t="n">
        <f aca="false">IF(OR(FU$4="",$B22=""),0,SUMIF('DADOS BRUTOS'!$A$3:$A$500,$B22,'DADOS BRUTOS'!CU$3:CU$500)+IF($C22="",0,SUMIF('DADOS BRUTOS'!$A$3:$A$500,$C22,'DADOS BRUTOS'!CU$3:CU$500)))</f>
        <v>0</v>
      </c>
      <c r="FV22" s="133" t="n">
        <f aca="false">IF(OR(FV$4="",$B22=""),0,SUMIF('DADOS BRUTOS'!$A$3:$A$500,$B22,'DADOS BRUTOS'!CV$3:CV$500)+IF($C22="",0,SUMIF('DADOS BRUTOS'!$A$3:$A$500,$C22,'DADOS BRUTOS'!CV$3:CV$500)))</f>
        <v>0</v>
      </c>
      <c r="FW22" s="133" t="n">
        <f aca="false">IF(OR(FW$4="",$B22=""),0,SUMIF('DADOS BRUTOS'!$A$3:$A$500,$B22,'DADOS BRUTOS'!CW$3:CW$500)+IF($C22="",0,SUMIF('DADOS BRUTOS'!$A$3:$A$500,$C22,'DADOS BRUTOS'!CW$3:CW$500)))</f>
        <v>0</v>
      </c>
      <c r="FX22" s="133" t="n">
        <f aca="false">IF(OR(FX$4="",$B22=""),0,SUMIF('DADOS BRUTOS'!$A$3:$A$500,$B22,'DADOS BRUTOS'!CX$3:CX$500)+IF($C22="",0,SUMIF('DADOS BRUTOS'!$A$3:$A$500,$C22,'DADOS BRUTOS'!CX$3:CX$500)))</f>
        <v>0</v>
      </c>
      <c r="FY22" s="133" t="n">
        <f aca="false">IF(OR(FY$4="",$B22=""),0,SUMIF('DADOS BRUTOS'!$A$3:$A$500,$B22,'DADOS BRUTOS'!CY$3:CY$500)+IF($C22="",0,SUMIF('DADOS BRUTOS'!$A$3:$A$500,$C22,'DADOS BRUTOS'!CY$3:CY$500)))</f>
        <v>0</v>
      </c>
      <c r="FZ22" s="133" t="n">
        <f aca="false">IF(OR(FZ$4="",$B22=""),0,SUMIF('DADOS BRUTOS'!$A$3:$A$500,$B22,'DADOS BRUTOS'!CZ$3:CZ$500)+IF($C22="",0,SUMIF('DADOS BRUTOS'!$A$3:$A$500,$C22,'DADOS BRUTOS'!CZ$3:CZ$500)))</f>
        <v>0</v>
      </c>
      <c r="GA22" s="133" t="n">
        <f aca="false">IF(OR(GA$4="",$B22=""),0,SUMIF('DADOS BRUTOS'!$A$3:$A$500,$B22,'DADOS BRUTOS'!DA$3:DA$500)+IF($C22="",0,SUMIF('DADOS BRUTOS'!$A$3:$A$500,$C22,'DADOS BRUTOS'!DA$3:DA$500)))</f>
        <v>0</v>
      </c>
      <c r="GB22" s="133" t="n">
        <f aca="false">IF(OR(GB$4="",$B22=""),0,SUMIF('DADOS BRUTOS'!$A$3:$A$500,$B22,'DADOS BRUTOS'!DB$3:DB$500)+IF($C22="",0,SUMIF('DADOS BRUTOS'!$A$3:$A$500,$C22,'DADOS BRUTOS'!DB$3:DB$500)))</f>
        <v>0</v>
      </c>
      <c r="GC22" s="133" t="n">
        <f aca="false">IF(OR(GC$4="",$B22=""),0,SUMIF('DADOS BRUTOS'!$A$3:$A$500,$B22,'DADOS BRUTOS'!DC$3:DC$500)+IF($C22="",0,SUMIF('DADOS BRUTOS'!$A$3:$A$500,$C22,'DADOS BRUTOS'!DC$3:DC$500)))</f>
        <v>0</v>
      </c>
      <c r="GD22" s="133" t="n">
        <f aca="false">IF(OR(GD$4="",$B22=""),0,SUMIF('DADOS BRUTOS'!$A$3:$A$500,$B22,'DADOS BRUTOS'!DD$3:DD$500)+IF($C22="",0,SUMIF('DADOS BRUTOS'!$A$3:$A$500,$C22,'DADOS BRUTOS'!DD$3:DD$500)))</f>
        <v>0</v>
      </c>
      <c r="GE22" s="133" t="n">
        <f aca="false">IF(OR(GE$4="",$B22=""),0,SUMIF('DADOS BRUTOS'!$A$3:$A$500,$B22,'DADOS BRUTOS'!DE$3:DE$500)+IF($C22="",0,SUMIF('DADOS BRUTOS'!$A$3:$A$500,$C22,'DADOS BRUTOS'!DE$3:DE$500)))</f>
        <v>0</v>
      </c>
      <c r="GF22" s="133" t="n">
        <f aca="false">IF(OR(GF$4="",$B22=""),0,SUMIF('DADOS BRUTOS'!$A$3:$A$500,$B22,'DADOS BRUTOS'!DF$3:DF$500)+IF($C22="",0,SUMIF('DADOS BRUTOS'!$A$3:$A$500,$C22,'DADOS BRUTOS'!DF$3:DF$500)))</f>
        <v>0</v>
      </c>
      <c r="GG22" s="133" t="n">
        <f aca="false">IF(OR(GG$4="",$B22=""),0,SUMIF('DADOS BRUTOS'!$A$3:$A$500,$B22,'DADOS BRUTOS'!DG$3:DG$500)+IF($C22="",0,SUMIF('DADOS BRUTOS'!$A$3:$A$500,$C22,'DADOS BRUTOS'!DG$3:DG$500)))</f>
        <v>0</v>
      </c>
      <c r="GH22" s="133" t="n">
        <f aca="false">IF(OR(GH$4="",$B22=""),0,SUMIF('DADOS BRUTOS'!$A$3:$A$500,$B22,'DADOS BRUTOS'!DH$3:DH$500)+IF($C22="",0,SUMIF('DADOS BRUTOS'!$A$3:$A$500,$C22,'DADOS BRUTOS'!DH$3:DH$500)))</f>
        <v>0</v>
      </c>
      <c r="GI22" s="133" t="n">
        <f aca="false">IF(OR(GI$4="",$B22=""),0,SUMIF('DADOS BRUTOS'!$A$3:$A$500,$B22,'DADOS BRUTOS'!DI$3:DI$500)+IF($C22="",0,SUMIF('DADOS BRUTOS'!$A$3:$A$500,$C22,'DADOS BRUTOS'!DI$3:DI$500)))</f>
        <v>0</v>
      </c>
      <c r="GJ22" s="133" t="n">
        <f aca="false">IF(OR(GJ$4="",$B22=""),0,SUMIF('DADOS BRUTOS'!$A$3:$A$500,$B22,'DADOS BRUTOS'!DJ$3:DJ$500)+IF($C22="",0,SUMIF('DADOS BRUTOS'!$A$3:$A$500,$C22,'DADOS BRUTOS'!DJ$3:DJ$500)))</f>
        <v>0</v>
      </c>
      <c r="GK22" s="133" t="n">
        <f aca="false">IF(OR(GK$4="",$B22=""),0,SUMIF('DADOS BRUTOS'!$A$3:$A$500,$B22,'DADOS BRUTOS'!DK$3:DK$500)+IF($C22="",0,SUMIF('DADOS BRUTOS'!$A$3:$A$500,$C22,'DADOS BRUTOS'!DK$3:DK$500)))</f>
        <v>0</v>
      </c>
      <c r="GL22" s="133" t="n">
        <f aca="false">IF(OR(GL$4="",$B22=""),0,SUMIF('DADOS BRUTOS'!$A$3:$A$500,$B22,'DADOS BRUTOS'!DL$3:DL$500)+IF($C22="",0,SUMIF('DADOS BRUTOS'!$A$3:$A$500,$C22,'DADOS BRUTOS'!DL$3:DL$500)))</f>
        <v>0</v>
      </c>
      <c r="GM22" s="133" t="n">
        <f aca="false">IF(OR(GM$4="",$B22=""),0,SUMIF('DADOS BRUTOS'!$A$3:$A$500,$B22,'DADOS BRUTOS'!DM$3:DM$500)+IF($C22="",0,SUMIF('DADOS BRUTOS'!$A$3:$A$500,$C22,'DADOS BRUTOS'!DM$3:DM$500)))</f>
        <v>0</v>
      </c>
      <c r="GN22" s="133" t="n">
        <f aca="false">IF(OR(GN$4="",$B22=""),0,SUMIF('DADOS BRUTOS'!$A$3:$A$500,$B22,'DADOS BRUTOS'!DN$3:DN$500)+IF($C22="",0,SUMIF('DADOS BRUTOS'!$A$3:$A$500,$C22,'DADOS BRUTOS'!DN$3:DN$500)))</f>
        <v>0</v>
      </c>
      <c r="GO22" s="133" t="n">
        <f aca="false">IF(OR(GO$4="",$B22=""),0,SUMIF('DADOS BRUTOS'!$A$3:$A$500,$B22,'DADOS BRUTOS'!DO$3:DO$500)+IF($C22="",0,SUMIF('DADOS BRUTOS'!$A$3:$A$500,$C22,'DADOS BRUTOS'!DO$3:DO$500)))</f>
        <v>0</v>
      </c>
      <c r="GP22" s="133" t="n">
        <f aca="false">IF(OR(GP$4="",$B22=""),0,SUMIF('DADOS BRUTOS'!$A$3:$A$500,$B22,'DADOS BRUTOS'!DP$3:DP$500)+IF($C22="",0,SUMIF('DADOS BRUTOS'!$A$3:$A$500,$C22,'DADOS BRUTOS'!DP$3:DP$500)))</f>
        <v>0</v>
      </c>
      <c r="GQ22" s="133" t="n">
        <f aca="false">IF(OR(GQ$4="",$B22=""),0,SUMIF('DADOS BRUTOS'!$A$3:$A$500,$B22,'DADOS BRUTOS'!DQ$3:DQ$500)+IF($C22="",0,SUMIF('DADOS BRUTOS'!$A$3:$A$500,$C22,'DADOS BRUTOS'!DQ$3:DQ$500)))</f>
        <v>0</v>
      </c>
      <c r="GR22" s="133" t="n">
        <f aca="false">IF(OR(GR$4="",$B22=""),0,SUMIF('DADOS BRUTOS'!$A$3:$A$500,$B22,'DADOS BRUTOS'!DR$3:DR$500)+IF($C22="",0,SUMIF('DADOS BRUTOS'!$A$3:$A$500,$C22,'DADOS BRUTOS'!DR$3:DR$500)))</f>
        <v>0</v>
      </c>
      <c r="GS22" s="133" t="n">
        <f aca="false">IF(OR(GS$4="",$B22=""),0,SUMIF('DADOS BRUTOS'!$A$3:$A$500,$B22,'DADOS BRUTOS'!DS$3:DS$500)+IF($C22="",0,SUMIF('DADOS BRUTOS'!$A$3:$A$500,$C22,'DADOS BRUTOS'!DS$3:DS$500)))</f>
        <v>0</v>
      </c>
      <c r="GT22" s="133" t="n">
        <f aca="false">IF(OR(GT$4="",$B22=""),0,SUMIF('DADOS BRUTOS'!$A$3:$A$500,$B22,'DADOS BRUTOS'!DT$3:DT$500)+IF($C22="",0,SUMIF('DADOS BRUTOS'!$A$3:$A$500,$C22,'DADOS BRUTOS'!DT$3:DT$500)))</f>
        <v>0</v>
      </c>
      <c r="GU22" s="133" t="n">
        <f aca="false">IF(OR(GU$4="",$B22=""),0,SUMIF('DADOS BRUTOS'!$A$3:$A$500,$B22,'DADOS BRUTOS'!DU$3:DU$500)+IF($C22="",0,SUMIF('DADOS BRUTOS'!$A$3:$A$500,$C22,'DADOS BRUTOS'!DU$3:DU$500)))</f>
        <v>0</v>
      </c>
      <c r="GV22" s="133" t="n">
        <f aca="false">IF(OR(GV$4="",$B22=""),0,SUMIF('DADOS BRUTOS'!$A$3:$A$500,$B22,'DADOS BRUTOS'!DV$3:DV$500)+IF($C22="",0,SUMIF('DADOS BRUTOS'!$A$3:$A$500,$C22,'DADOS BRUTOS'!DV$3:DV$500)))</f>
        <v>0</v>
      </c>
      <c r="GW22" s="133" t="n">
        <f aca="false">IF(OR(GW$4="",$B22=""),0,SUMIF('DADOS BRUTOS'!$A$3:$A$500,$B22,'DADOS BRUTOS'!DW$3:DW$500)+IF($C22="",0,SUMIF('DADOS BRUTOS'!$A$3:$A$500,$C22,'DADOS BRUTOS'!DW$3:DW$500)))</f>
        <v>0</v>
      </c>
      <c r="GX22" s="133" t="n">
        <f aca="false">IF(OR(GX$4="",$B22=""),0,SUMIF('DADOS BRUTOS'!$A$3:$A$500,$B22,'DADOS BRUTOS'!DX$3:DX$500)+IF($C22="",0,SUMIF('DADOS BRUTOS'!$A$3:$A$500,$C22,'DADOS BRUTOS'!DX$3:DX$500)))</f>
        <v>0</v>
      </c>
      <c r="GY22" s="133" t="n">
        <f aca="false">IF(OR(GY$4="",$B22=""),0,SUMIF('DADOS BRUTOS'!$A$3:$A$500,$B22,'DADOS BRUTOS'!DY$3:DY$500)+IF($C22="",0,SUMIF('DADOS BRUTOS'!$A$3:$A$500,$C22,'DADOS BRUTOS'!DY$3:DY$500)))</f>
        <v>0</v>
      </c>
      <c r="GZ22" s="133" t="n">
        <f aca="false">IF(OR(GZ$4="",$B22=""),0,SUMIF('DADOS BRUTOS'!$A$3:$A$500,$B22,'DADOS BRUTOS'!DZ$3:DZ$500)+IF($C22="",0,SUMIF('DADOS BRUTOS'!$A$3:$A$500,$C22,'DADOS BRUTOS'!DZ$3:DZ$500)))</f>
        <v>0</v>
      </c>
      <c r="HA22" s="133" t="n">
        <f aca="false">IF(OR(HA$4="",$B22=""),0,SUMIF('DADOS BRUTOS'!$A$3:$A$500,$B22,'DADOS BRUTOS'!EA$3:EA$500)+IF($C22="",0,SUMIF('DADOS BRUTOS'!$A$3:$A$500,$C22,'DADOS BRUTOS'!EA$3:EA$500)))</f>
        <v>0</v>
      </c>
      <c r="HB22" s="133" t="n">
        <f aca="false">IF(OR(HB$4="",$B22=""),0,SUMIF('DADOS BRUTOS'!$A$3:$A$500,$B22,'DADOS BRUTOS'!EB$3:EB$500)+IF($C22="",0,SUMIF('DADOS BRUTOS'!$A$3:$A$500,$C22,'DADOS BRUTOS'!EB$3:EB$500)))</f>
        <v>0</v>
      </c>
      <c r="HC22" s="133" t="n">
        <f aca="false">IF(OR(HC$4="",$B22=""),0,SUMIF('DADOS BRUTOS'!$A$3:$A$500,$B22,'DADOS BRUTOS'!EC$3:EC$500)+IF($C22="",0,SUMIF('DADOS BRUTOS'!$A$3:$A$500,$C22,'DADOS BRUTOS'!EC$3:EC$500)))</f>
        <v>0</v>
      </c>
      <c r="HD22" s="133" t="n">
        <f aca="false">IF(OR(HD$4="",$B22=""),0,SUMIF('DADOS BRUTOS'!$A$3:$A$500,$B22,'DADOS BRUTOS'!ED$3:ED$500)+IF($C22="",0,SUMIF('DADOS BRUTOS'!$A$3:$A$500,$C22,'DADOS BRUTOS'!ED$3:ED$500)))</f>
        <v>0</v>
      </c>
      <c r="HE22" s="133" t="n">
        <f aca="false">IF(OR(HE$4="",$B22=""),0,SUMIF('DADOS BRUTOS'!$A$3:$A$500,$B22,'DADOS BRUTOS'!EE$3:EE$500)+IF($C22="",0,SUMIF('DADOS BRUTOS'!$A$3:$A$500,$C22,'DADOS BRUTOS'!EE$3:EE$500)))</f>
        <v>0</v>
      </c>
      <c r="HF22" s="133" t="n">
        <f aca="false">IF(OR(HF$4="",$B22=""),0,SUMIF('DADOS BRUTOS'!$A$3:$A$500,$B22,'DADOS BRUTOS'!EF$3:EF$500)+IF($C22="",0,SUMIF('DADOS BRUTOS'!$A$3:$A$500,$C22,'DADOS BRUTOS'!EF$3:EF$500)))</f>
        <v>0</v>
      </c>
      <c r="HG22" s="133" t="n">
        <f aca="false">IF(OR(HG$4="",$B22=""),0,SUMIF('DADOS BRUTOS'!$A$3:$A$500,$B22,'DADOS BRUTOS'!EG$3:EG$500)+IF($C22="",0,SUMIF('DADOS BRUTOS'!$A$3:$A$500,$C22,'DADOS BRUTOS'!EG$3:EG$500)))</f>
        <v>0</v>
      </c>
      <c r="HH22" s="133" t="n">
        <f aca="false">IF(OR(HH$4="",$B22=""),0,SUMIF('DADOS BRUTOS'!$A$3:$A$500,$B22,'DADOS BRUTOS'!EH$3:EH$500)+IF($C22="",0,SUMIF('DADOS BRUTOS'!$A$3:$A$500,$C22,'DADOS BRUTOS'!EH$3:EH$500)))</f>
        <v>0</v>
      </c>
      <c r="HI22" s="133" t="n">
        <f aca="false">IF(OR(HI$4="",$B22=""),0,SUMIF('DADOS BRUTOS'!$A$3:$A$500,$B22,'DADOS BRUTOS'!EI$3:EI$500)+IF($C22="",0,SUMIF('DADOS BRUTOS'!$A$3:$A$500,$C22,'DADOS BRUTOS'!EI$3:EI$500)))</f>
        <v>0</v>
      </c>
      <c r="HJ22" s="133" t="n">
        <f aca="false">IF(OR(HJ$4="",$B22=""),0,SUMIF('DADOS BRUTOS'!$A$3:$A$500,$B22,'DADOS BRUTOS'!EJ$3:EJ$500)+IF($C22="",0,SUMIF('DADOS BRUTOS'!$A$3:$A$500,$C22,'DADOS BRUTOS'!EJ$3:EJ$500)))</f>
        <v>0</v>
      </c>
      <c r="HK22" s="133" t="n">
        <f aca="false">IF(OR(HK$4="",$B22=""),0,SUMIF('DADOS BRUTOS'!$A$3:$A$500,$B22,'DADOS BRUTOS'!EK$3:EK$500)+IF($C22="",0,SUMIF('DADOS BRUTOS'!$A$3:$A$500,$C22,'DADOS BRUTOS'!EK$3:EK$500)))</f>
        <v>0</v>
      </c>
      <c r="HL22" s="133" t="n">
        <f aca="false">IF(OR(HL$4="",$B22=""),0,SUMIF('DADOS BRUTOS'!$A$3:$A$500,$B22,'DADOS BRUTOS'!EL$3:EL$500)+IF($C22="",0,SUMIF('DADOS BRUTOS'!$A$3:$A$500,$C22,'DADOS BRUTOS'!EL$3:EL$500)))</f>
        <v>0</v>
      </c>
      <c r="HM22" s="133" t="n">
        <f aca="false">IF(OR(HM$4="",$B22=""),0,SUMIF('DADOS BRUTOS'!$A$3:$A$500,$B22,'DADOS BRUTOS'!EM$3:EM$500)+IF($C22="",0,SUMIF('DADOS BRUTOS'!$A$3:$A$500,$C22,'DADOS BRUTOS'!EM$3:EM$500)))</f>
        <v>0</v>
      </c>
      <c r="HN22" s="133" t="n">
        <f aca="false">IF(OR(HN$4="",$B22=""),0,SUMIF('DADOS BRUTOS'!$A$3:$A$500,$B22,'DADOS BRUTOS'!EN$3:EN$500)+IF($C22="",0,SUMIF('DADOS BRUTOS'!$A$3:$A$500,$C22,'DADOS BRUTOS'!EN$3:EN$500)))</f>
        <v>0</v>
      </c>
      <c r="HO22" s="133" t="n">
        <f aca="false">IF(OR(HO$4="",$B22=""),0,SUMIF('DADOS BRUTOS'!$A$3:$A$500,$B22,'DADOS BRUTOS'!EO$3:EO$500)+IF($C22="",0,SUMIF('DADOS BRUTOS'!$A$3:$A$500,$C22,'DADOS BRUTOS'!EO$3:EO$500)))</f>
        <v>0</v>
      </c>
      <c r="HP22" s="133" t="n">
        <f aca="false">IF(OR(HP$4="",$B22=""),0,SUMIF('DADOS BRUTOS'!$A$3:$A$500,$B22,'DADOS BRUTOS'!EP$3:EP$500)+IF($C22="",0,SUMIF('DADOS BRUTOS'!$A$3:$A$500,$C22,'DADOS BRUTOS'!EP$3:EP$500)))</f>
        <v>0</v>
      </c>
      <c r="HQ22" s="133" t="n">
        <f aca="false">IF(OR(HQ$4="",$B22=""),0,SUMIF('DADOS BRUTOS'!$A$3:$A$500,$B22,'DADOS BRUTOS'!EQ$3:EQ$500)+IF($C22="",0,SUMIF('DADOS BRUTOS'!$A$3:$A$500,$C22,'DADOS BRUTOS'!EQ$3:EQ$500)))</f>
        <v>0</v>
      </c>
      <c r="HR22" s="133" t="n">
        <f aca="false">IF(OR(HR$4="",$B22=""),0,SUMIF('DADOS BRUTOS'!$A$3:$A$500,$B22,'DADOS BRUTOS'!ER$3:ER$500)+IF($C22="",0,SUMIF('DADOS BRUTOS'!$A$3:$A$500,$C22,'DADOS BRUTOS'!ER$3:ER$500)))</f>
        <v>0</v>
      </c>
      <c r="HS22" s="133" t="n">
        <f aca="false">IF(OR(HS$4="",$B22=""),0,SUMIF('DADOS BRUTOS'!$A$3:$A$500,$B22,'DADOS BRUTOS'!ES$3:ES$500)+IF($C22="",0,SUMIF('DADOS BRUTOS'!$A$3:$A$500,$C22,'DADOS BRUTOS'!ES$3:ES$500)))</f>
        <v>0</v>
      </c>
      <c r="HT22" s="133" t="n">
        <f aca="false">IF(OR(HT$4="",$B22=""),0,SUMIF('DADOS BRUTOS'!$A$3:$A$500,$B22,'DADOS BRUTOS'!ET$3:ET$500)+IF($C22="",0,SUMIF('DADOS BRUTOS'!$A$3:$A$500,$C22,'DADOS BRUTOS'!ET$3:ET$500)))</f>
        <v>0</v>
      </c>
      <c r="HU22" s="133" t="n">
        <f aca="false">IF(OR(HU$4="",$B22=""),0,SUMIF('DADOS BRUTOS'!$A$3:$A$500,$B22,'DADOS BRUTOS'!EU$3:EU$500)+IF($C22="",0,SUMIF('DADOS BRUTOS'!$A$3:$A$500,$C22,'DADOS BRUTOS'!EU$3:EU$500)))</f>
        <v>0</v>
      </c>
      <c r="HV22" s="133" t="n">
        <f aca="false">IF(OR(HV$4="",$B22=""),0,SUMIF('DADOS BRUTOS'!$A$3:$A$500,$B22,'DADOS BRUTOS'!EV$3:EV$500)+IF($C22="",0,SUMIF('DADOS BRUTOS'!$A$3:$A$500,$C22,'DADOS BRUTOS'!EV$3:EV$500)))</f>
        <v>0</v>
      </c>
      <c r="HW22" s="133" t="n">
        <f aca="false">IF(OR(HW$4="",$B22=""),0,SUMIF('DADOS BRUTOS'!$A$3:$A$500,$B22,'DADOS BRUTOS'!EW$3:EW$500)+IF($C22="",0,SUMIF('DADOS BRUTOS'!$A$3:$A$500,$C22,'DADOS BRUTOS'!EW$3:EW$500)))</f>
        <v>0</v>
      </c>
      <c r="HX22" s="133" t="n">
        <f aca="false">IF(OR(HX$4="",$B22=""),0,SUMIF('DADOS BRUTOS'!$A$3:$A$500,$B22,'DADOS BRUTOS'!EX$3:EX$500)+IF($C22="",0,SUMIF('DADOS BRUTOS'!$A$3:$A$500,$C22,'DADOS BRUTOS'!EX$3:EX$500)))</f>
        <v>0</v>
      </c>
      <c r="HY22" s="133" t="n">
        <f aca="false">IF(OR(HY$4="",$B22=""),0,SUMIF('DADOS BRUTOS'!$A$3:$A$500,$B22,'DADOS BRUTOS'!EY$3:EY$500)+IF($C22="",0,SUMIF('DADOS BRUTOS'!$A$3:$A$500,$C22,'DADOS BRUTOS'!EY$3:EY$500)))</f>
        <v>0</v>
      </c>
      <c r="HZ22" s="133" t="n">
        <f aca="false">IF(OR(HZ$4="",$B22=""),0,SUMIF('DADOS BRUTOS'!$A$3:$A$500,$B22,'DADOS BRUTOS'!EZ$3:EZ$500)+IF($C22="",0,SUMIF('DADOS BRUTOS'!$A$3:$A$500,$C22,'DADOS BRUTOS'!EZ$3:EZ$500)))</f>
        <v>0</v>
      </c>
      <c r="IA22" s="133" t="n">
        <f aca="false">IF(OR(IA$4="",$B22=""),0,SUMIF('DADOS BRUTOS'!$A$3:$A$500,$B22,'DADOS BRUTOS'!FA$3:FA$500)+IF($C22="",0,SUMIF('DADOS BRUTOS'!$A$3:$A$500,$C22,'DADOS BRUTOS'!FA$3:FA$500)))</f>
        <v>0</v>
      </c>
      <c r="IB22" s="133" t="n">
        <f aca="false">IF(OR(IB$4="",$B22=""),0,SUMIF('DADOS BRUTOS'!$A$3:$A$500,$B22,'DADOS BRUTOS'!FB$3:FB$500)+IF($C22="",0,SUMIF('DADOS BRUTOS'!$A$3:$A$500,$C22,'DADOS BRUTOS'!FB$3:FB$500)))</f>
        <v>0</v>
      </c>
      <c r="IC22" s="133" t="n">
        <f aca="false">IF(OR(IC$4="",$B22=""),0,SUMIF('DADOS BRUTOS'!$A$3:$A$500,$B22,'DADOS BRUTOS'!FC$3:FC$500)+IF($C22="",0,SUMIF('DADOS BRUTOS'!$A$3:$A$500,$C22,'DADOS BRUTOS'!FC$3:FC$500)))</f>
        <v>0</v>
      </c>
      <c r="ID22" s="133" t="n">
        <f aca="false">IF(OR(ID$4="",$B22=""),0,SUMIF('DADOS BRUTOS'!$A$3:$A$500,$B22,'DADOS BRUTOS'!FD$3:FD$500)+IF($C22="",0,SUMIF('DADOS BRUTOS'!$A$3:$A$500,$C22,'DADOS BRUTOS'!FD$3:FD$500)))</f>
        <v>0</v>
      </c>
      <c r="IE22" s="133" t="n">
        <f aca="false">IF(OR(IE$4="",$B22=""),0,SUMIF('DADOS BRUTOS'!$A$3:$A$500,$B22,'DADOS BRUTOS'!FE$3:FE$500)+IF($C22="",0,SUMIF('DADOS BRUTOS'!$A$3:$A$500,$C22,'DADOS BRUTOS'!FE$3:FE$500)))</f>
        <v>0</v>
      </c>
      <c r="IF22" s="133" t="n">
        <f aca="false">IF(OR(IF$4="",$B22=""),0,SUMIF('DADOS BRUTOS'!$A$3:$A$500,$B22,'DADOS BRUTOS'!FF$3:FF$500)+IF($C22="",0,SUMIF('DADOS BRUTOS'!$A$3:$A$500,$C22,'DADOS BRUTOS'!FF$3:FF$500)))</f>
        <v>0</v>
      </c>
      <c r="IG22" s="133" t="n">
        <f aca="false">IF(OR(IG$4="",$B22=""),0,SUMIF('DADOS BRUTOS'!$A$3:$A$500,$B22,'DADOS BRUTOS'!FG$3:FG$500)+IF($C22="",0,SUMIF('DADOS BRUTOS'!$A$3:$A$500,$C22,'DADOS BRUTOS'!FG$3:FG$500)))</f>
        <v>0</v>
      </c>
      <c r="IH22" s="133" t="n">
        <f aca="false">IF(OR(IH$4="",$B22=""),0,SUMIF('DADOS BRUTOS'!$A$3:$A$500,$B22,'DADOS BRUTOS'!FH$3:FH$500)+IF($C22="",0,SUMIF('DADOS BRUTOS'!$A$3:$A$500,$C22,'DADOS BRUTOS'!FH$3:FH$500)))</f>
        <v>0</v>
      </c>
      <c r="II22" s="133" t="n">
        <f aca="false">IF(OR(II$4="",$B22=""),0,SUMIF('DADOS BRUTOS'!$A$3:$A$500,$B22,'DADOS BRUTOS'!FI$3:FI$500)+IF($C22="",0,SUMIF('DADOS BRUTOS'!$A$3:$A$500,$C22,'DADOS BRUTOS'!FI$3:FI$500)))</f>
        <v>0</v>
      </c>
      <c r="IJ22" s="133" t="n">
        <f aca="false">IF(OR(IJ$4="",$B22=""),0,SUMIF('DADOS BRUTOS'!$A$3:$A$500,$B22,'DADOS BRUTOS'!FJ$3:FJ$500)+IF($C22="",0,SUMIF('DADOS BRUTOS'!$A$3:$A$500,$C22,'DADOS BRUTOS'!FJ$3:FJ$500)))</f>
        <v>0</v>
      </c>
      <c r="IK22" s="133" t="n">
        <f aca="false">IF(OR(IK$4="",$B22=""),0,SUMIF('DADOS BRUTOS'!$A$3:$A$500,$B22,'DADOS BRUTOS'!FK$3:FK$500)+IF($C22="",0,SUMIF('DADOS BRUTOS'!$A$3:$A$500,$C22,'DADOS BRUTOS'!FK$3:FK$500)))</f>
        <v>0</v>
      </c>
      <c r="IL22" s="133" t="n">
        <f aca="false">IF(OR(IL$4="",$B22=""),0,SUMIF('DADOS BRUTOS'!$A$3:$A$500,$B22,'DADOS BRUTOS'!FL$3:FL$500)+IF($C22="",0,SUMIF('DADOS BRUTOS'!$A$3:$A$500,$C22,'DADOS BRUTOS'!FL$3:FL$500)))</f>
        <v>0</v>
      </c>
      <c r="IM22" s="133" t="n">
        <f aca="false">IF(OR(IM$4="",$B22=""),0,SUMIF('DADOS BRUTOS'!$A$3:$A$500,$B22,'DADOS BRUTOS'!FM$3:FM$500)+IF($C22="",0,SUMIF('DADOS BRUTOS'!$A$3:$A$500,$C22,'DADOS BRUTOS'!FM$3:FM$500)))</f>
        <v>0</v>
      </c>
      <c r="IN22" s="133" t="n">
        <f aca="false">IF(OR(IN$4="",$B22=""),0,SUMIF('DADOS BRUTOS'!$A$3:$A$500,$B22,'DADOS BRUTOS'!FN$3:FN$500)+IF($C22="",0,SUMIF('DADOS BRUTOS'!$A$3:$A$500,$C22,'DADOS BRUTOS'!FN$3:FN$500)))</f>
        <v>0</v>
      </c>
      <c r="IO22" s="133" t="n">
        <f aca="false">IF(OR(IO$4="",$B22=""),0,SUMIF('DADOS BRUTOS'!$A$3:$A$500,$B22,'DADOS BRUTOS'!FO$3:FO$500)+IF($C22="",0,SUMIF('DADOS BRUTOS'!$A$3:$A$500,$C22,'DADOS BRUTOS'!FO$3:FO$500)))</f>
        <v>0</v>
      </c>
      <c r="IP22" s="133" t="n">
        <f aca="false">IF(OR(IP$4="",$B22=""),0,SUMIF('DADOS BRUTOS'!$A$3:$A$500,$B22,'DADOS BRUTOS'!FP$3:FP$500)+IF($C22="",0,SUMIF('DADOS BRUTOS'!$A$3:$A$500,$C22,'DADOS BRUTOS'!FP$3:FP$500)))</f>
        <v>0</v>
      </c>
      <c r="IQ22" s="133" t="n">
        <f aca="false">IF(OR(IQ$4="",$B22=""),0,SUMIF('DADOS BRUTOS'!$A$3:$A$500,$B22,'DADOS BRUTOS'!FQ$3:FQ$500)+IF($C22="",0,SUMIF('DADOS BRUTOS'!$A$3:$A$500,$C22,'DADOS BRUTOS'!FQ$3:FQ$500)))</f>
        <v>0</v>
      </c>
      <c r="IR22" s="133" t="n">
        <f aca="false">IF(OR(IR$4="",$B22=""),0,SUMIF('DADOS BRUTOS'!$A$3:$A$500,$B22,'DADOS BRUTOS'!FR$3:FR$500)+IF($C22="",0,SUMIF('DADOS BRUTOS'!$A$3:$A$500,$C22,'DADOS BRUTOS'!FR$3:FR$500)))</f>
        <v>0</v>
      </c>
      <c r="IS22" s="133" t="n">
        <f aca="false">IF(OR(IS$4="",$B22=""),0,SUMIF('DADOS BRUTOS'!$A$3:$A$500,$B22,'DADOS BRUTOS'!FS$3:FS$500)+IF($C22="",0,SUMIF('DADOS BRUTOS'!$A$3:$A$500,$C22,'DADOS BRUTOS'!FS$3:FS$500)))</f>
        <v>0</v>
      </c>
      <c r="IT22" s="133" t="n">
        <f aca="false">IF(OR(IT$4="",$B22=""),0,SUMIF('DADOS BRUTOS'!$A$3:$A$500,$B22,'DADOS BRUTOS'!FT$3:FT$500)+IF($C22="",0,SUMIF('DADOS BRUTOS'!$A$3:$A$500,$C22,'DADOS BRUTOS'!FT$3:FT$500)))</f>
        <v>0</v>
      </c>
      <c r="IU22" s="133" t="n">
        <f aca="false">IF(OR(IU$4="",$B22=""),0,SUMIF('DADOS BRUTOS'!$A$3:$A$500,$B22,'DADOS BRUTOS'!FU$3:FU$500)+IF($C22="",0,SUMIF('DADOS BRUTOS'!$A$3:$A$500,$C22,'DADOS BRUTOS'!FU$3:FU$500)))</f>
        <v>0</v>
      </c>
      <c r="IV22" s="133" t="n">
        <f aca="false">IF(OR(IV$4="",$B22=""),0,SUMIF('DADOS BRUTOS'!$A$3:$A$500,$B22,'DADOS BRUTOS'!FV$3:FV$500)+IF($C22="",0,SUMIF('DADOS BRUTOS'!$A$3:$A$500,$C22,'DADOS BRUTOS'!FV$3:FV$500)))</f>
        <v>0</v>
      </c>
      <c r="IW22" s="133" t="n">
        <f aca="false">IF(OR(IW$4="",$B22=""),0,SUMIF('DADOS BRUTOS'!$A$3:$A$500,$B22,'DADOS BRUTOS'!FW$3:FW$500)+IF($C22="",0,SUMIF('DADOS BRUTOS'!$A$3:$A$500,$C22,'DADOS BRUTOS'!FW$3:FW$500)))</f>
        <v>0</v>
      </c>
      <c r="IX22" s="133" t="n">
        <f aca="false">IF(OR(IX$4="",$B22=""),0,SUMIF('DADOS BRUTOS'!$A$3:$A$500,$B22,'DADOS BRUTOS'!FX$3:FX$500)+IF($C22="",0,SUMIF('DADOS BRUTOS'!$A$3:$A$500,$C22,'DADOS BRUTOS'!FX$3:FX$500)))</f>
        <v>0</v>
      </c>
      <c r="IY22" s="133" t="n">
        <f aca="false">IF(OR(IY$4="",$B22=""),0,SUMIF('DADOS BRUTOS'!$A$3:$A$500,$B22,'DADOS BRUTOS'!FY$3:FY$500)+IF($C22="",0,SUMIF('DADOS BRUTOS'!$A$3:$A$500,$C22,'DADOS BRUTOS'!FY$3:FY$500)))</f>
        <v>0</v>
      </c>
      <c r="IZ22" s="133" t="n">
        <f aca="false">IF(OR(IZ$4="",$B22=""),0,SUMIF('DADOS BRUTOS'!$A$3:$A$500,$B22,'DADOS BRUTOS'!FZ$3:FZ$500)+IF($C22="",0,SUMIF('DADOS BRUTOS'!$A$3:$A$500,$C22,'DADOS BRUTOS'!FZ$3:FZ$500)))</f>
        <v>0</v>
      </c>
      <c r="JA22" s="133" t="n">
        <f aca="false">IF(OR(JA$4="",$B22=""),0,SUMIF('DADOS BRUTOS'!$A$3:$A$500,$B22,'DADOS BRUTOS'!GA$3:GA$500)+IF($C22="",0,SUMIF('DADOS BRUTOS'!$A$3:$A$500,$C22,'DADOS BRUTOS'!GA$3:GA$500)))</f>
        <v>0</v>
      </c>
      <c r="JB22" s="133" t="n">
        <f aca="false">IF(OR(JB$4="",$B22=""),0,SUMIF('DADOS BRUTOS'!$A$3:$A$500,$B22,'DADOS BRUTOS'!GB$3:GB$500)+IF($C22="",0,SUMIF('DADOS BRUTOS'!$A$3:$A$500,$C22,'DADOS BRUTOS'!GB$3:GB$500)))</f>
        <v>0</v>
      </c>
      <c r="JC22" s="133" t="n">
        <f aca="false">IF(OR(JC$4="",$B22=""),0,SUMIF('DADOS BRUTOS'!$A$3:$A$500,$B22,'DADOS BRUTOS'!GC$3:GC$500)+IF($C22="",0,SUMIF('DADOS BRUTOS'!$A$3:$A$500,$C22,'DADOS BRUTOS'!GC$3:GC$500)))</f>
        <v>0</v>
      </c>
      <c r="JD22" s="133" t="n">
        <f aca="false">IF(OR(JD$4="",$B22=""),0,SUMIF('DADOS BRUTOS'!$A$3:$A$500,$B22,'DADOS BRUTOS'!GD$3:GD$500)+IF($C22="",0,SUMIF('DADOS BRUTOS'!$A$3:$A$500,$C22,'DADOS BRUTOS'!GD$3:GD$500)))</f>
        <v>0</v>
      </c>
      <c r="JE22" s="133" t="n">
        <f aca="false">IF(OR(JE$4="",$B22=""),0,SUMIF('DADOS BRUTOS'!$A$3:$A$500,$B22,'DADOS BRUTOS'!GE$3:GE$500)+IF($C22="",0,SUMIF('DADOS BRUTOS'!$A$3:$A$500,$C22,'DADOS BRUTOS'!GE$3:GE$500)))</f>
        <v>0</v>
      </c>
      <c r="JF22" s="133" t="n">
        <f aca="false">IF(OR(JF$4="",$B22=""),0,SUMIF('DADOS BRUTOS'!$A$3:$A$500,$B22,'DADOS BRUTOS'!GF$3:GF$500)+IF($C22="",0,SUMIF('DADOS BRUTOS'!$A$3:$A$500,$C22,'DADOS BRUTOS'!GF$3:GF$500)))</f>
        <v>0</v>
      </c>
      <c r="JG22" s="133" t="n">
        <f aca="false">IF(OR(JG$4="",$B22=""),0,SUMIF('DADOS BRUTOS'!$A$3:$A$500,$B22,'DADOS BRUTOS'!GG$3:GG$500)+IF($C22="",0,SUMIF('DADOS BRUTOS'!$A$3:$A$500,$C22,'DADOS BRUTOS'!GG$3:GG$500)))</f>
        <v>0</v>
      </c>
      <c r="JH22" s="133" t="n">
        <f aca="false">IF(OR(JH$4="",$B22=""),0,SUMIF('DADOS BRUTOS'!$A$3:$A$500,$B22,'DADOS BRUTOS'!GH$3:GH$500)+IF($C22="",0,SUMIF('DADOS BRUTOS'!$A$3:$A$500,$C22,'DADOS BRUTOS'!GH$3:GH$500)))</f>
        <v>0</v>
      </c>
      <c r="JI22" s="133" t="n">
        <f aca="false">IF(OR(JI$4="",$B22=""),0,SUMIF('DADOS BRUTOS'!$A$3:$A$500,$B22,'DADOS BRUTOS'!GI$3:GI$500)+IF($C22="",0,SUMIF('DADOS BRUTOS'!$A$3:$A$500,$C22,'DADOS BRUTOS'!GI$3:GI$500)))</f>
        <v>0</v>
      </c>
      <c r="JJ22" s="133" t="n">
        <f aca="false">IF(OR(JJ$4="",$B22=""),0,SUMIF('DADOS BRUTOS'!$A$3:$A$500,$B22,'DADOS BRUTOS'!GJ$3:GJ$500)+IF($C22="",0,SUMIF('DADOS BRUTOS'!$A$3:$A$500,$C22,'DADOS BRUTOS'!GJ$3:GJ$500)))</f>
        <v>0</v>
      </c>
      <c r="JK22" s="133" t="n">
        <f aca="false">IF(OR(JK$4="",$B22=""),0,SUMIF('DADOS BRUTOS'!$A$3:$A$500,$B22,'DADOS BRUTOS'!GK$3:GK$500)+IF($C22="",0,SUMIF('DADOS BRUTOS'!$A$3:$A$500,$C22,'DADOS BRUTOS'!GK$3:GK$500)))</f>
        <v>0</v>
      </c>
      <c r="JL22" s="133" t="n">
        <f aca="false">IF(OR(JL$4="",$B22=""),0,SUMIF('DADOS BRUTOS'!$A$3:$A$500,$B22,'DADOS BRUTOS'!GL$3:GL$500)+IF($C22="",0,SUMIF('DADOS BRUTOS'!$A$3:$A$500,$C22,'DADOS BRUTOS'!GL$3:GL$500)))</f>
        <v>0</v>
      </c>
      <c r="JM22" s="133" t="n">
        <f aca="false">IF(OR(JM$4="",$B22=""),0,SUMIF('DADOS BRUTOS'!$A$3:$A$500,$B22,'DADOS BRUTOS'!GM$3:GM$500)+IF($C22="",0,SUMIF('DADOS BRUTOS'!$A$3:$A$500,$C22,'DADOS BRUTOS'!GM$3:GM$500)))</f>
        <v>0</v>
      </c>
      <c r="JN22" s="133" t="n">
        <f aca="false">IF(OR(JN$4="",$B22=""),0,SUMIF('DADOS BRUTOS'!$A$3:$A$500,$B22,'DADOS BRUTOS'!GN$3:GN$500)+IF($C22="",0,SUMIF('DADOS BRUTOS'!$A$3:$A$500,$C22,'DADOS BRUTOS'!GN$3:GN$500)))</f>
        <v>0</v>
      </c>
      <c r="JO22" s="133" t="n">
        <f aca="false">IF(OR(JO$4="",$B22=""),0,SUMIF('DADOS BRUTOS'!$A$3:$A$500,$B22,'DADOS BRUTOS'!GO$3:GO$500)+IF($C22="",0,SUMIF('DADOS BRUTOS'!$A$3:$A$500,$C22,'DADOS BRUTOS'!GO$3:GO$500)))</f>
        <v>0</v>
      </c>
      <c r="JP22" s="133" t="n">
        <f aca="false">IF(OR(JP$4="",$B22=""),0,SUMIF('DADOS BRUTOS'!$A$3:$A$500,$B22,'DADOS BRUTOS'!GP$3:GP$500)+IF($C22="",0,SUMIF('DADOS BRUTOS'!$A$3:$A$500,$C22,'DADOS BRUTOS'!GP$3:GP$500)))</f>
        <v>0</v>
      </c>
      <c r="JQ22" s="133" t="n">
        <f aca="false">IF(OR(JQ$4="",$B22=""),0,SUMIF('DADOS BRUTOS'!$A$3:$A$500,$B22,'DADOS BRUTOS'!GQ$3:GQ$500)+IF($C22="",0,SUMIF('DADOS BRUTOS'!$A$3:$A$500,$C22,'DADOS BRUTOS'!GQ$3:GQ$500)))</f>
        <v>0</v>
      </c>
      <c r="JR22" s="133" t="n">
        <f aca="false">IF(OR(JR$4="",$B22=""),0,SUMIF('DADOS BRUTOS'!$A$3:$A$500,$B22,'DADOS BRUTOS'!GR$3:GR$500)+IF($C22="",0,SUMIF('DADOS BRUTOS'!$A$3:$A$500,$C22,'DADOS BRUTOS'!GR$3:GR$500)))</f>
        <v>0</v>
      </c>
      <c r="JS22" s="133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166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0</v>
      </c>
      <c r="Y23" s="50" t="n">
        <f aca="false">SUMIF($CB$4:$JS$4,Y$4,$CB23:$JS23)</f>
        <v>0</v>
      </c>
      <c r="Z23" s="50" t="n">
        <f aca="false">SUMIF($CB$4:$JS$4,Z$4,$CB23:$JS23)</f>
        <v>0</v>
      </c>
      <c r="AA23" s="50" t="n">
        <f aca="false">SUMIF($CB$4:$JS$4,AA$4,$CB23:$JS23)</f>
        <v>0</v>
      </c>
      <c r="AB23" s="50" t="n">
        <f aca="false">SUMIF($CB$4:$JS$4,AB$4,$CB23:$JS23)</f>
        <v>0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0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0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0</v>
      </c>
      <c r="BZ23" s="45" t="n">
        <f aca="false">SUMPRODUCT(($CB$4:$JS$4&lt;&gt;"")*($CB$4:$JS$4&lt;=$D$4),$CB23:$JS23,$CB$1:$JS$1)</f>
        <v>0</v>
      </c>
      <c r="CB23" s="133" t="n">
        <f aca="false">IF(OR(CB$4="",$B23=""),0,SUMIF('DADOS BRUTOS'!$A$3:$A$500,$B23,'DADOS BRUTOS'!B$3:B$500)+IF($C23="",0,SUMIF('DADOS BRUTOS'!$A$3:$A$500,$C23,'DADOS BRUTOS'!B$3:B$500)))</f>
        <v>0</v>
      </c>
      <c r="CC23" s="133" t="n">
        <f aca="false">IF(OR(CC$4="",$B23=""),0,SUMIF('DADOS BRUTOS'!$A$3:$A$500,$B23,'DADOS BRUTOS'!C$3:C$500)+IF($C23="",0,SUMIF('DADOS BRUTOS'!$A$3:$A$500,$C23,'DADOS BRUTOS'!C$3:C$500)))</f>
        <v>0</v>
      </c>
      <c r="CD23" s="133" t="n">
        <f aca="false">IF(OR(CD$4="",$B23=""),0,SUMIF('DADOS BRUTOS'!$A$3:$A$500,$B23,'DADOS BRUTOS'!D$3:D$500)+IF($C23="",0,SUMIF('DADOS BRUTOS'!$A$3:$A$500,$C23,'DADOS BRUTOS'!D$3:D$500)))</f>
        <v>0</v>
      </c>
      <c r="CE23" s="133" t="n">
        <f aca="false">IF(OR(CE$4="",$B23=""),0,SUMIF('DADOS BRUTOS'!$A$3:$A$500,$B23,'DADOS BRUTOS'!E$3:E$500)+IF($C23="",0,SUMIF('DADOS BRUTOS'!$A$3:$A$500,$C23,'DADOS BRUTOS'!E$3:E$500)))</f>
        <v>0</v>
      </c>
      <c r="CF23" s="133" t="n">
        <f aca="false">IF(OR(CF$4="",$B23=""),0,SUMIF('DADOS BRUTOS'!$A$3:$A$500,$B23,'DADOS BRUTOS'!F$3:F$500)+IF($C23="",0,SUMIF('DADOS BRUTOS'!$A$3:$A$500,$C23,'DADOS BRUTOS'!F$3:F$500)))</f>
        <v>0</v>
      </c>
      <c r="CG23" s="133" t="n">
        <f aca="false">IF(OR(CG$4="",$B23=""),0,SUMIF('DADOS BRUTOS'!$A$3:$A$500,$B23,'DADOS BRUTOS'!G$3:G$500)+IF($C23="",0,SUMIF('DADOS BRUTOS'!$A$3:$A$500,$C23,'DADOS BRUTOS'!G$3:G$500)))</f>
        <v>0</v>
      </c>
      <c r="CH23" s="133" t="n">
        <f aca="false">IF(OR(CH$4="",$B23=""),0,SUMIF('DADOS BRUTOS'!$A$3:$A$500,$B23,'DADOS BRUTOS'!H$3:H$500)+IF($C23="",0,SUMIF('DADOS BRUTOS'!$A$3:$A$500,$C23,'DADOS BRUTOS'!H$3:H$500)))</f>
        <v>0</v>
      </c>
      <c r="CI23" s="133" t="n">
        <f aca="false">IF(OR(CI$4="",$B23=""),0,SUMIF('DADOS BRUTOS'!$A$3:$A$500,$B23,'DADOS BRUTOS'!I$3:I$500)+IF($C23="",0,SUMIF('DADOS BRUTOS'!$A$3:$A$500,$C23,'DADOS BRUTOS'!I$3:I$500)))</f>
        <v>0</v>
      </c>
      <c r="CJ23" s="133" t="n">
        <f aca="false">IF(OR(CJ$4="",$B23=""),0,SUMIF('DADOS BRUTOS'!$A$3:$A$500,$B23,'DADOS BRUTOS'!J$3:J$500)+IF($C23="",0,SUMIF('DADOS BRUTOS'!$A$3:$A$500,$C23,'DADOS BRUTOS'!J$3:J$500)))</f>
        <v>0</v>
      </c>
      <c r="CK23" s="133" t="n">
        <f aca="false">IF(OR(CK$4="",$B23=""),0,SUMIF('DADOS BRUTOS'!$A$3:$A$500,$B23,'DADOS BRUTOS'!K$3:K$500)+IF($C23="",0,SUMIF('DADOS BRUTOS'!$A$3:$A$500,$C23,'DADOS BRUTOS'!K$3:K$500)))</f>
        <v>0</v>
      </c>
      <c r="CL23" s="133" t="n">
        <f aca="false">IF(OR(CL$4="",$B23=""),0,SUMIF('DADOS BRUTOS'!$A$3:$A$500,$B23,'DADOS BRUTOS'!L$3:L$500)+IF($C23="",0,SUMIF('DADOS BRUTOS'!$A$3:$A$500,$C23,'DADOS BRUTOS'!L$3:L$500)))</f>
        <v>0</v>
      </c>
      <c r="CM23" s="133" t="n">
        <f aca="false">IF(OR(CM$4="",$B23=""),0,SUMIF('DADOS BRUTOS'!$A$3:$A$500,$B23,'DADOS BRUTOS'!M$3:M$500)+IF($C23="",0,SUMIF('DADOS BRUTOS'!$A$3:$A$500,$C23,'DADOS BRUTOS'!M$3:M$500)))</f>
        <v>0</v>
      </c>
      <c r="CN23" s="133" t="n">
        <f aca="false">IF(OR(CN$4="",$B23=""),0,SUMIF('DADOS BRUTOS'!$A$3:$A$500,$B23,'DADOS BRUTOS'!N$3:N$500)+IF($C23="",0,SUMIF('DADOS BRUTOS'!$A$3:$A$500,$C23,'DADOS BRUTOS'!N$3:N$500)))</f>
        <v>0</v>
      </c>
      <c r="CO23" s="133" t="n">
        <f aca="false">IF(OR(CO$4="",$B23=""),0,SUMIF('DADOS BRUTOS'!$A$3:$A$500,$B23,'DADOS BRUTOS'!O$3:O$500)+IF($C23="",0,SUMIF('DADOS BRUTOS'!$A$3:$A$500,$C23,'DADOS BRUTOS'!O$3:O$500)))</f>
        <v>0</v>
      </c>
      <c r="CP23" s="133" t="n">
        <f aca="false">IF(OR(CP$4="",$B23=""),0,SUMIF('DADOS BRUTOS'!$A$3:$A$500,$B23,'DADOS BRUTOS'!P$3:P$500)+IF($C23="",0,SUMIF('DADOS BRUTOS'!$A$3:$A$500,$C23,'DADOS BRUTOS'!P$3:P$500)))</f>
        <v>0</v>
      </c>
      <c r="CQ23" s="133" t="n">
        <f aca="false">IF(OR(CQ$4="",$B23=""),0,SUMIF('DADOS BRUTOS'!$A$3:$A$500,$B23,'DADOS BRUTOS'!Q$3:Q$500)+IF($C23="",0,SUMIF('DADOS BRUTOS'!$A$3:$A$500,$C23,'DADOS BRUTOS'!Q$3:Q$500)))</f>
        <v>0</v>
      </c>
      <c r="CR23" s="133" t="n">
        <f aca="false">IF(OR(CR$4="",$B23=""),0,SUMIF('DADOS BRUTOS'!$A$3:$A$500,$B23,'DADOS BRUTOS'!R$3:R$500)+IF($C23="",0,SUMIF('DADOS BRUTOS'!$A$3:$A$500,$C23,'DADOS BRUTOS'!R$3:R$500)))</f>
        <v>0</v>
      </c>
      <c r="CS23" s="133" t="n">
        <f aca="false">IF(OR(CS$4="",$B23=""),0,SUMIF('DADOS BRUTOS'!$A$3:$A$500,$B23,'DADOS BRUTOS'!S$3:S$500)+IF($C23="",0,SUMIF('DADOS BRUTOS'!$A$3:$A$500,$C23,'DADOS BRUTOS'!S$3:S$500)))</f>
        <v>0</v>
      </c>
      <c r="CT23" s="133" t="n">
        <f aca="false">IF(OR(CT$4="",$B23=""),0,SUMIF('DADOS BRUTOS'!$A$3:$A$500,$B23,'DADOS BRUTOS'!T$3:T$500)+IF($C23="",0,SUMIF('DADOS BRUTOS'!$A$3:$A$500,$C23,'DADOS BRUTOS'!T$3:T$500)))</f>
        <v>0</v>
      </c>
      <c r="CU23" s="133" t="n">
        <f aca="false">IF(OR(CU$4="",$B23=""),0,SUMIF('DADOS BRUTOS'!$A$3:$A$500,$B23,'DADOS BRUTOS'!U$3:U$500)+IF($C23="",0,SUMIF('DADOS BRUTOS'!$A$3:$A$500,$C23,'DADOS BRUTOS'!U$3:U$500)))</f>
        <v>0</v>
      </c>
      <c r="CV23" s="133" t="n">
        <f aca="false">IF(OR(CV$4="",$B23=""),0,SUMIF('DADOS BRUTOS'!$A$3:$A$500,$B23,'DADOS BRUTOS'!V$3:V$500)+IF($C23="",0,SUMIF('DADOS BRUTOS'!$A$3:$A$500,$C23,'DADOS BRUTOS'!V$3:V$500)))</f>
        <v>0</v>
      </c>
      <c r="CW23" s="133" t="n">
        <f aca="false">IF(OR(CW$4="",$B23=""),0,SUMIF('DADOS BRUTOS'!$A$3:$A$500,$B23,'DADOS BRUTOS'!W$3:W$500)+IF($C23="",0,SUMIF('DADOS BRUTOS'!$A$3:$A$500,$C23,'DADOS BRUTOS'!W$3:W$500)))</f>
        <v>0</v>
      </c>
      <c r="CX23" s="133" t="n">
        <f aca="false">IF(OR(CX$4="",$B23=""),0,SUMIF('DADOS BRUTOS'!$A$3:$A$500,$B23,'DADOS BRUTOS'!X$3:X$500)+IF($C23="",0,SUMIF('DADOS BRUTOS'!$A$3:$A$500,$C23,'DADOS BRUTOS'!X$3:X$500)))</f>
        <v>0</v>
      </c>
      <c r="CY23" s="133" t="n">
        <f aca="false">IF(OR(CY$4="",$B23=""),0,SUMIF('DADOS BRUTOS'!$A$3:$A$500,$B23,'DADOS BRUTOS'!Y$3:Y$500)+IF($C23="",0,SUMIF('DADOS BRUTOS'!$A$3:$A$500,$C23,'DADOS BRUTOS'!Y$3:Y$500)))</f>
        <v>0</v>
      </c>
      <c r="CZ23" s="133" t="n">
        <f aca="false">IF(OR(CZ$4="",$B23=""),0,SUMIF('DADOS BRUTOS'!$A$3:$A$500,$B23,'DADOS BRUTOS'!Z$3:Z$500)+IF($C23="",0,SUMIF('DADOS BRUTOS'!$A$3:$A$500,$C23,'DADOS BRUTOS'!Z$3:Z$500)))</f>
        <v>0</v>
      </c>
      <c r="DA23" s="133" t="n">
        <f aca="false">IF(OR(DA$4="",$B23=""),0,SUMIF('DADOS BRUTOS'!$A$3:$A$500,$B23,'DADOS BRUTOS'!AA$3:AA$500)+IF($C23="",0,SUMIF('DADOS BRUTOS'!$A$3:$A$500,$C23,'DADOS BRUTOS'!AA$3:AA$500)))</f>
        <v>0</v>
      </c>
      <c r="DB23" s="133" t="n">
        <f aca="false">IF(OR(DB$4="",$B23=""),0,SUMIF('DADOS BRUTOS'!$A$3:$A$500,$B23,'DADOS BRUTOS'!AB$3:AB$500)+IF($C23="",0,SUMIF('DADOS BRUTOS'!$A$3:$A$500,$C23,'DADOS BRUTOS'!AB$3:AB$500)))</f>
        <v>0</v>
      </c>
      <c r="DC23" s="133" t="n">
        <f aca="false">IF(OR(DC$4="",$B23=""),0,SUMIF('DADOS BRUTOS'!$A$3:$A$500,$B23,'DADOS BRUTOS'!AC$3:AC$500)+IF($C23="",0,SUMIF('DADOS BRUTOS'!$A$3:$A$500,$C23,'DADOS BRUTOS'!AC$3:AC$500)))</f>
        <v>0</v>
      </c>
      <c r="DD23" s="133" t="n">
        <f aca="false">IF(OR(DD$4="",$B23=""),0,SUMIF('DADOS BRUTOS'!$A$3:$A$500,$B23,'DADOS BRUTOS'!AD$3:AD$500)+IF($C23="",0,SUMIF('DADOS BRUTOS'!$A$3:$A$500,$C23,'DADOS BRUTOS'!AD$3:AD$500)))</f>
        <v>0</v>
      </c>
      <c r="DE23" s="133" t="n">
        <f aca="false">IF(OR(DE$4="",$B23=""),0,SUMIF('DADOS BRUTOS'!$A$3:$A$500,$B23,'DADOS BRUTOS'!AE$3:AE$500)+IF($C23="",0,SUMIF('DADOS BRUTOS'!$A$3:$A$500,$C23,'DADOS BRUTOS'!AE$3:AE$500)))</f>
        <v>0</v>
      </c>
      <c r="DF23" s="133" t="n">
        <f aca="false">IF(OR(DF$4="",$B23=""),0,SUMIF('DADOS BRUTOS'!$A$3:$A$500,$B23,'DADOS BRUTOS'!AF$3:AF$500)+IF($C23="",0,SUMIF('DADOS BRUTOS'!$A$3:$A$500,$C23,'DADOS BRUTOS'!AF$3:AF$500)))</f>
        <v>0</v>
      </c>
      <c r="DG23" s="133" t="n">
        <f aca="false">IF(OR(DG$4="",$B23=""),0,SUMIF('DADOS BRUTOS'!$A$3:$A$500,$B23,'DADOS BRUTOS'!AG$3:AG$500)+IF($C23="",0,SUMIF('DADOS BRUTOS'!$A$3:$A$500,$C23,'DADOS BRUTOS'!AG$3:AG$500)))</f>
        <v>0</v>
      </c>
      <c r="DH23" s="133" t="n">
        <f aca="false">IF(OR(DH$4="",$B23=""),0,SUMIF('DADOS BRUTOS'!$A$3:$A$500,$B23,'DADOS BRUTOS'!AH$3:AH$500)+IF($C23="",0,SUMIF('DADOS BRUTOS'!$A$3:$A$500,$C23,'DADOS BRUTOS'!AH$3:AH$500)))</f>
        <v>0</v>
      </c>
      <c r="DI23" s="133" t="n">
        <f aca="false">IF(OR(DI$4="",$B23=""),0,SUMIF('DADOS BRUTOS'!$A$3:$A$500,$B23,'DADOS BRUTOS'!AI$3:AI$500)+IF($C23="",0,SUMIF('DADOS BRUTOS'!$A$3:$A$500,$C23,'DADOS BRUTOS'!AI$3:AI$500)))</f>
        <v>0</v>
      </c>
      <c r="DJ23" s="133" t="n">
        <f aca="false">IF(OR(DJ$4="",$B23=""),0,SUMIF('DADOS BRUTOS'!$A$3:$A$500,$B23,'DADOS BRUTOS'!AJ$3:AJ$500)+IF($C23="",0,SUMIF('DADOS BRUTOS'!$A$3:$A$500,$C23,'DADOS BRUTOS'!AJ$3:AJ$500)))</f>
        <v>0</v>
      </c>
      <c r="DK23" s="133" t="n">
        <f aca="false">IF(OR(DK$4="",$B23=""),0,SUMIF('DADOS BRUTOS'!$A$3:$A$500,$B23,'DADOS BRUTOS'!AK$3:AK$500)+IF($C23="",0,SUMIF('DADOS BRUTOS'!$A$3:$A$500,$C23,'DADOS BRUTOS'!AK$3:AK$500)))</f>
        <v>0</v>
      </c>
      <c r="DL23" s="133" t="n">
        <f aca="false">IF(OR(DL$4="",$B23=""),0,SUMIF('DADOS BRUTOS'!$A$3:$A$500,$B23,'DADOS BRUTOS'!AL$3:AL$500)+IF($C23="",0,SUMIF('DADOS BRUTOS'!$A$3:$A$500,$C23,'DADOS BRUTOS'!AL$3:AL$500)))</f>
        <v>0</v>
      </c>
      <c r="DM23" s="133" t="n">
        <f aca="false">IF(OR(DM$4="",$B23=""),0,SUMIF('DADOS BRUTOS'!$A$3:$A$500,$B23,'DADOS BRUTOS'!AM$3:AM$500)+IF($C23="",0,SUMIF('DADOS BRUTOS'!$A$3:$A$500,$C23,'DADOS BRUTOS'!AM$3:AM$500)))</f>
        <v>0</v>
      </c>
      <c r="DN23" s="133" t="n">
        <f aca="false">IF(OR(DN$4="",$B23=""),0,SUMIF('DADOS BRUTOS'!$A$3:$A$500,$B23,'DADOS BRUTOS'!AN$3:AN$500)+IF($C23="",0,SUMIF('DADOS BRUTOS'!$A$3:$A$500,$C23,'DADOS BRUTOS'!AN$3:AN$500)))</f>
        <v>0</v>
      </c>
      <c r="DO23" s="133" t="n">
        <f aca="false">IF(OR(DO$4="",$B23=""),0,SUMIF('DADOS BRUTOS'!$A$3:$A$500,$B23,'DADOS BRUTOS'!AO$3:AO$500)+IF($C23="",0,SUMIF('DADOS BRUTOS'!$A$3:$A$500,$C23,'DADOS BRUTOS'!AO$3:AO$500)))</f>
        <v>0</v>
      </c>
      <c r="DP23" s="133" t="n">
        <f aca="false">IF(OR(DP$4="",$B23=""),0,SUMIF('DADOS BRUTOS'!$A$3:$A$500,$B23,'DADOS BRUTOS'!AP$3:AP$500)+IF($C23="",0,SUMIF('DADOS BRUTOS'!$A$3:$A$500,$C23,'DADOS BRUTOS'!AP$3:AP$500)))</f>
        <v>0</v>
      </c>
      <c r="DQ23" s="133" t="n">
        <f aca="false">IF(OR(DQ$4="",$B23=""),0,SUMIF('DADOS BRUTOS'!$A$3:$A$500,$B23,'DADOS BRUTOS'!AQ$3:AQ$500)+IF($C23="",0,SUMIF('DADOS BRUTOS'!$A$3:$A$500,$C23,'DADOS BRUTOS'!AQ$3:AQ$500)))</f>
        <v>0</v>
      </c>
      <c r="DR23" s="133" t="n">
        <f aca="false">IF(OR(DR$4="",$B23=""),0,SUMIF('DADOS BRUTOS'!$A$3:$A$500,$B23,'DADOS BRUTOS'!AR$3:AR$500)+IF($C23="",0,SUMIF('DADOS BRUTOS'!$A$3:$A$500,$C23,'DADOS BRUTOS'!AR$3:AR$500)))</f>
        <v>0</v>
      </c>
      <c r="DS23" s="133" t="n">
        <f aca="false">IF(OR(DS$4="",$B23=""),0,SUMIF('DADOS BRUTOS'!$A$3:$A$500,$B23,'DADOS BRUTOS'!AS$3:AS$500)+IF($C23="",0,SUMIF('DADOS BRUTOS'!$A$3:$A$500,$C23,'DADOS BRUTOS'!AS$3:AS$500)))</f>
        <v>0</v>
      </c>
      <c r="DT23" s="133" t="n">
        <f aca="false">IF(OR(DT$4="",$B23=""),0,SUMIF('DADOS BRUTOS'!$A$3:$A$500,$B23,'DADOS BRUTOS'!AT$3:AT$500)+IF($C23="",0,SUMIF('DADOS BRUTOS'!$A$3:$A$500,$C23,'DADOS BRUTOS'!AT$3:AT$500)))</f>
        <v>0</v>
      </c>
      <c r="DU23" s="133" t="n">
        <f aca="false">IF(OR(DU$4="",$B23=""),0,SUMIF('DADOS BRUTOS'!$A$3:$A$500,$B23,'DADOS BRUTOS'!AU$3:AU$500)+IF($C23="",0,SUMIF('DADOS BRUTOS'!$A$3:$A$500,$C23,'DADOS BRUTOS'!AU$3:AU$500)))</f>
        <v>0</v>
      </c>
      <c r="DV23" s="133" t="n">
        <f aca="false">IF(OR(DV$4="",$B23=""),0,SUMIF('DADOS BRUTOS'!$A$3:$A$500,$B23,'DADOS BRUTOS'!AV$3:AV$500)+IF($C23="",0,SUMIF('DADOS BRUTOS'!$A$3:$A$500,$C23,'DADOS BRUTOS'!AV$3:AV$500)))</f>
        <v>0</v>
      </c>
      <c r="DW23" s="133" t="n">
        <f aca="false">IF(OR(DW$4="",$B23=""),0,SUMIF('DADOS BRUTOS'!$A$3:$A$500,$B23,'DADOS BRUTOS'!AW$3:AW$500)+IF($C23="",0,SUMIF('DADOS BRUTOS'!$A$3:$A$500,$C23,'DADOS BRUTOS'!AW$3:AW$500)))</f>
        <v>0</v>
      </c>
      <c r="DX23" s="133" t="n">
        <f aca="false">IF(OR(DX$4="",$B23=""),0,SUMIF('DADOS BRUTOS'!$A$3:$A$500,$B23,'DADOS BRUTOS'!AX$3:AX$500)+IF($C23="",0,SUMIF('DADOS BRUTOS'!$A$3:$A$500,$C23,'DADOS BRUTOS'!AX$3:AX$500)))</f>
        <v>0</v>
      </c>
      <c r="DY23" s="133" t="n">
        <f aca="false">IF(OR(DY$4="",$B23=""),0,SUMIF('DADOS BRUTOS'!$A$3:$A$500,$B23,'DADOS BRUTOS'!AY$3:AY$500)+IF($C23="",0,SUMIF('DADOS BRUTOS'!$A$3:$A$500,$C23,'DADOS BRUTOS'!AY$3:AY$500)))</f>
        <v>0</v>
      </c>
      <c r="DZ23" s="133" t="n">
        <f aca="false">IF(OR(DZ$4="",$B23=""),0,SUMIF('DADOS BRUTOS'!$A$3:$A$500,$B23,'DADOS BRUTOS'!AZ$3:AZ$500)+IF($C23="",0,SUMIF('DADOS BRUTOS'!$A$3:$A$500,$C23,'DADOS BRUTOS'!AZ$3:AZ$500)))</f>
        <v>0</v>
      </c>
      <c r="EA23" s="133" t="n">
        <f aca="false">IF(OR(EA$4="",$B23=""),0,SUMIF('DADOS BRUTOS'!$A$3:$A$500,$B23,'DADOS BRUTOS'!BA$3:BA$500)+IF($C23="",0,SUMIF('DADOS BRUTOS'!$A$3:$A$500,$C23,'DADOS BRUTOS'!BA$3:BA$500)))</f>
        <v>0</v>
      </c>
      <c r="EB23" s="133" t="n">
        <f aca="false">IF(OR(EB$4="",$B23=""),0,SUMIF('DADOS BRUTOS'!$A$3:$A$500,$B23,'DADOS BRUTOS'!BB$3:BB$500)+IF($C23="",0,SUMIF('DADOS BRUTOS'!$A$3:$A$500,$C23,'DADOS BRUTOS'!BB$3:BB$500)))</f>
        <v>0</v>
      </c>
      <c r="EC23" s="133" t="n">
        <f aca="false">IF(OR(EC$4="",$B23=""),0,SUMIF('DADOS BRUTOS'!$A$3:$A$500,$B23,'DADOS BRUTOS'!BC$3:BC$500)+IF($C23="",0,SUMIF('DADOS BRUTOS'!$A$3:$A$500,$C23,'DADOS BRUTOS'!BC$3:BC$500)))</f>
        <v>0</v>
      </c>
      <c r="ED23" s="133" t="n">
        <f aca="false">IF(OR(ED$4="",$B23=""),0,SUMIF('DADOS BRUTOS'!$A$3:$A$500,$B23,'DADOS BRUTOS'!BD$3:BD$500)+IF($C23="",0,SUMIF('DADOS BRUTOS'!$A$3:$A$500,$C23,'DADOS BRUTOS'!BD$3:BD$500)))</f>
        <v>0</v>
      </c>
      <c r="EE23" s="133" t="n">
        <f aca="false">IF(OR(EE$4="",$B23=""),0,SUMIF('DADOS BRUTOS'!$A$3:$A$500,$B23,'DADOS BRUTOS'!BE$3:BE$500)+IF($C23="",0,SUMIF('DADOS BRUTOS'!$A$3:$A$500,$C23,'DADOS BRUTOS'!BE$3:BE$500)))</f>
        <v>0</v>
      </c>
      <c r="EF23" s="133" t="n">
        <f aca="false">IF(OR(EF$4="",$B23=""),0,SUMIF('DADOS BRUTOS'!$A$3:$A$500,$B23,'DADOS BRUTOS'!BF$3:BF$500)+IF($C23="",0,SUMIF('DADOS BRUTOS'!$A$3:$A$500,$C23,'DADOS BRUTOS'!BF$3:BF$500)))</f>
        <v>0</v>
      </c>
      <c r="EG23" s="133" t="n">
        <f aca="false">IF(OR(EG$4="",$B23=""),0,SUMIF('DADOS BRUTOS'!$A$3:$A$500,$B23,'DADOS BRUTOS'!BG$3:BG$500)+IF($C23="",0,SUMIF('DADOS BRUTOS'!$A$3:$A$500,$C23,'DADOS BRUTOS'!BG$3:BG$500)))</f>
        <v>0</v>
      </c>
      <c r="EH23" s="133" t="n">
        <f aca="false">IF(OR(EH$4="",$B23=""),0,SUMIF('DADOS BRUTOS'!$A$3:$A$500,$B23,'DADOS BRUTOS'!BH$3:BH$500)+IF($C23="",0,SUMIF('DADOS BRUTOS'!$A$3:$A$500,$C23,'DADOS BRUTOS'!BH$3:BH$500)))</f>
        <v>0</v>
      </c>
      <c r="EI23" s="133" t="n">
        <f aca="false">IF(OR(EI$4="",$B23=""),0,SUMIF('DADOS BRUTOS'!$A$3:$A$500,$B23,'DADOS BRUTOS'!BI$3:BI$500)+IF($C23="",0,SUMIF('DADOS BRUTOS'!$A$3:$A$500,$C23,'DADOS BRUTOS'!BI$3:BI$500)))</f>
        <v>0</v>
      </c>
      <c r="EJ23" s="133" t="n">
        <f aca="false">IF(OR(EJ$4="",$B23=""),0,SUMIF('DADOS BRUTOS'!$A$3:$A$500,$B23,'DADOS BRUTOS'!BJ$3:BJ$500)+IF($C23="",0,SUMIF('DADOS BRUTOS'!$A$3:$A$500,$C23,'DADOS BRUTOS'!BJ$3:BJ$500)))</f>
        <v>0</v>
      </c>
      <c r="EK23" s="133" t="n">
        <f aca="false">IF(OR(EK$4="",$B23=""),0,SUMIF('DADOS BRUTOS'!$A$3:$A$500,$B23,'DADOS BRUTOS'!BK$3:BK$500)+IF($C23="",0,SUMIF('DADOS BRUTOS'!$A$3:$A$500,$C23,'DADOS BRUTOS'!BK$3:BK$500)))</f>
        <v>0</v>
      </c>
      <c r="EL23" s="133" t="n">
        <f aca="false">IF(OR(EL$4="",$B23=""),0,SUMIF('DADOS BRUTOS'!$A$3:$A$500,$B23,'DADOS BRUTOS'!BL$3:BL$500)+IF($C23="",0,SUMIF('DADOS BRUTOS'!$A$3:$A$500,$C23,'DADOS BRUTOS'!BL$3:BL$500)))</f>
        <v>0</v>
      </c>
      <c r="EM23" s="133" t="n">
        <f aca="false">IF(OR(EM$4="",$B23=""),0,SUMIF('DADOS BRUTOS'!$A$3:$A$500,$B23,'DADOS BRUTOS'!BM$3:BM$500)+IF($C23="",0,SUMIF('DADOS BRUTOS'!$A$3:$A$500,$C23,'DADOS BRUTOS'!BM$3:BM$500)))</f>
        <v>0</v>
      </c>
      <c r="EN23" s="133" t="n">
        <f aca="false">IF(OR(EN$4="",$B23=""),0,SUMIF('DADOS BRUTOS'!$A$3:$A$500,$B23,'DADOS BRUTOS'!BN$3:BN$500)+IF($C23="",0,SUMIF('DADOS BRUTOS'!$A$3:$A$500,$C23,'DADOS BRUTOS'!BN$3:BN$500)))</f>
        <v>0</v>
      </c>
      <c r="EO23" s="133" t="n">
        <f aca="false">IF(OR(EO$4="",$B23=""),0,SUMIF('DADOS BRUTOS'!$A$3:$A$500,$B23,'DADOS BRUTOS'!BO$3:BO$500)+IF($C23="",0,SUMIF('DADOS BRUTOS'!$A$3:$A$500,$C23,'DADOS BRUTOS'!BO$3:BO$500)))</f>
        <v>0</v>
      </c>
      <c r="EP23" s="133" t="n">
        <f aca="false">IF(OR(EP$4="",$B23=""),0,SUMIF('DADOS BRUTOS'!$A$3:$A$500,$B23,'DADOS BRUTOS'!BP$3:BP$500)+IF($C23="",0,SUMIF('DADOS BRUTOS'!$A$3:$A$500,$C23,'DADOS BRUTOS'!BP$3:BP$500)))</f>
        <v>0</v>
      </c>
      <c r="EQ23" s="133" t="n">
        <f aca="false">IF(OR(EQ$4="",$B23=""),0,SUMIF('DADOS BRUTOS'!$A$3:$A$500,$B23,'DADOS BRUTOS'!BQ$3:BQ$500)+IF($C23="",0,SUMIF('DADOS BRUTOS'!$A$3:$A$500,$C23,'DADOS BRUTOS'!BQ$3:BQ$500)))</f>
        <v>0</v>
      </c>
      <c r="ER23" s="133" t="n">
        <f aca="false">IF(OR(ER$4="",$B23=""),0,SUMIF('DADOS BRUTOS'!$A$3:$A$500,$B23,'DADOS BRUTOS'!BR$3:BR$500)+IF($C23="",0,SUMIF('DADOS BRUTOS'!$A$3:$A$500,$C23,'DADOS BRUTOS'!BR$3:BR$500)))</f>
        <v>0</v>
      </c>
      <c r="ES23" s="133" t="n">
        <f aca="false">IF(OR(ES$4="",$B23=""),0,SUMIF('DADOS BRUTOS'!$A$3:$A$500,$B23,'DADOS BRUTOS'!BS$3:BS$500)+IF($C23="",0,SUMIF('DADOS BRUTOS'!$A$3:$A$500,$C23,'DADOS BRUTOS'!BS$3:BS$500)))</f>
        <v>0</v>
      </c>
      <c r="ET23" s="133" t="n">
        <f aca="false">IF(OR(ET$4="",$B23=""),0,SUMIF('DADOS BRUTOS'!$A$3:$A$500,$B23,'DADOS BRUTOS'!BT$3:BT$500)+IF($C23="",0,SUMIF('DADOS BRUTOS'!$A$3:$A$500,$C23,'DADOS BRUTOS'!BT$3:BT$500)))</f>
        <v>0</v>
      </c>
      <c r="EU23" s="133" t="n">
        <f aca="false">IF(OR(EU$4="",$B23=""),0,SUMIF('DADOS BRUTOS'!$A$3:$A$500,$B23,'DADOS BRUTOS'!BU$3:BU$500)+IF($C23="",0,SUMIF('DADOS BRUTOS'!$A$3:$A$500,$C23,'DADOS BRUTOS'!BU$3:BU$500)))</f>
        <v>0</v>
      </c>
      <c r="EV23" s="133" t="n">
        <f aca="false">IF(OR(EV$4="",$B23=""),0,SUMIF('DADOS BRUTOS'!$A$3:$A$500,$B23,'DADOS BRUTOS'!BV$3:BV$500)+IF($C23="",0,SUMIF('DADOS BRUTOS'!$A$3:$A$500,$C23,'DADOS BRUTOS'!BV$3:BV$500)))</f>
        <v>0</v>
      </c>
      <c r="EW23" s="133" t="n">
        <f aca="false">IF(OR(EW$4="",$B23=""),0,SUMIF('DADOS BRUTOS'!$A$3:$A$500,$B23,'DADOS BRUTOS'!BW$3:BW$500)+IF($C23="",0,SUMIF('DADOS BRUTOS'!$A$3:$A$500,$C23,'DADOS BRUTOS'!BW$3:BW$500)))</f>
        <v>0</v>
      </c>
      <c r="EX23" s="133" t="n">
        <f aca="false">IF(OR(EX$4="",$B23=""),0,SUMIF('DADOS BRUTOS'!$A$3:$A$500,$B23,'DADOS BRUTOS'!BX$3:BX$500)+IF($C23="",0,SUMIF('DADOS BRUTOS'!$A$3:$A$500,$C23,'DADOS BRUTOS'!BX$3:BX$500)))</f>
        <v>0</v>
      </c>
      <c r="EY23" s="133" t="n">
        <f aca="false">IF(OR(EY$4="",$B23=""),0,SUMIF('DADOS BRUTOS'!$A$3:$A$500,$B23,'DADOS BRUTOS'!BY$3:BY$500)+IF($C23="",0,SUMIF('DADOS BRUTOS'!$A$3:$A$500,$C23,'DADOS BRUTOS'!BY$3:BY$500)))</f>
        <v>0</v>
      </c>
      <c r="EZ23" s="133" t="n">
        <f aca="false">IF(OR(EZ$4="",$B23=""),0,SUMIF('DADOS BRUTOS'!$A$3:$A$500,$B23,'DADOS BRUTOS'!BZ$3:BZ$500)+IF($C23="",0,SUMIF('DADOS BRUTOS'!$A$3:$A$500,$C23,'DADOS BRUTOS'!BZ$3:BZ$500)))</f>
        <v>0</v>
      </c>
      <c r="FA23" s="133" t="n">
        <f aca="false">IF(OR(FA$4="",$B23=""),0,SUMIF('DADOS BRUTOS'!$A$3:$A$500,$B23,'DADOS BRUTOS'!CA$3:CA$500)+IF($C23="",0,SUMIF('DADOS BRUTOS'!$A$3:$A$500,$C23,'DADOS BRUTOS'!CA$3:CA$500)))</f>
        <v>0</v>
      </c>
      <c r="FB23" s="133" t="n">
        <f aca="false">IF(OR(FB$4="",$B23=""),0,SUMIF('DADOS BRUTOS'!$A$3:$A$500,$B23,'DADOS BRUTOS'!CB$3:CB$500)+IF($C23="",0,SUMIF('DADOS BRUTOS'!$A$3:$A$500,$C23,'DADOS BRUTOS'!CB$3:CB$500)))</f>
        <v>0</v>
      </c>
      <c r="FC23" s="133" t="n">
        <f aca="false">IF(OR(FC$4="",$B23=""),0,SUMIF('DADOS BRUTOS'!$A$3:$A$500,$B23,'DADOS BRUTOS'!CC$3:CC$500)+IF($C23="",0,SUMIF('DADOS BRUTOS'!$A$3:$A$500,$C23,'DADOS BRUTOS'!CC$3:CC$500)))</f>
        <v>0</v>
      </c>
      <c r="FD23" s="133" t="n">
        <f aca="false">IF(OR(FD$4="",$B23=""),0,SUMIF('DADOS BRUTOS'!$A$3:$A$500,$B23,'DADOS BRUTOS'!CD$3:CD$500)+IF($C23="",0,SUMIF('DADOS BRUTOS'!$A$3:$A$500,$C23,'DADOS BRUTOS'!CD$3:CD$500)))</f>
        <v>0</v>
      </c>
      <c r="FE23" s="133" t="n">
        <f aca="false">IF(OR(FE$4="",$B23=""),0,SUMIF('DADOS BRUTOS'!$A$3:$A$500,$B23,'DADOS BRUTOS'!CE$3:CE$500)+IF($C23="",0,SUMIF('DADOS BRUTOS'!$A$3:$A$500,$C23,'DADOS BRUTOS'!CE$3:CE$500)))</f>
        <v>0</v>
      </c>
      <c r="FF23" s="133" t="n">
        <f aca="false">IF(OR(FF$4="",$B23=""),0,SUMIF('DADOS BRUTOS'!$A$3:$A$500,$B23,'DADOS BRUTOS'!CF$3:CF$500)+IF($C23="",0,SUMIF('DADOS BRUTOS'!$A$3:$A$500,$C23,'DADOS BRUTOS'!CF$3:CF$500)))</f>
        <v>0</v>
      </c>
      <c r="FG23" s="133" t="n">
        <f aca="false">IF(OR(FG$4="",$B23=""),0,SUMIF('DADOS BRUTOS'!$A$3:$A$500,$B23,'DADOS BRUTOS'!CG$3:CG$500)+IF($C23="",0,SUMIF('DADOS BRUTOS'!$A$3:$A$500,$C23,'DADOS BRUTOS'!CG$3:CG$500)))</f>
        <v>0</v>
      </c>
      <c r="FH23" s="133" t="n">
        <f aca="false">IF(OR(FH$4="",$B23=""),0,SUMIF('DADOS BRUTOS'!$A$3:$A$500,$B23,'DADOS BRUTOS'!CH$3:CH$500)+IF($C23="",0,SUMIF('DADOS BRUTOS'!$A$3:$A$500,$C23,'DADOS BRUTOS'!CH$3:CH$500)))</f>
        <v>0</v>
      </c>
      <c r="FI23" s="133" t="n">
        <f aca="false">IF(OR(FI$4="",$B23=""),0,SUMIF('DADOS BRUTOS'!$A$3:$A$500,$B23,'DADOS BRUTOS'!CI$3:CI$500)+IF($C23="",0,SUMIF('DADOS BRUTOS'!$A$3:$A$500,$C23,'DADOS BRUTOS'!CI$3:CI$500)))</f>
        <v>0</v>
      </c>
      <c r="FJ23" s="133" t="n">
        <f aca="false">IF(OR(FJ$4="",$B23=""),0,SUMIF('DADOS BRUTOS'!$A$3:$A$500,$B23,'DADOS BRUTOS'!CJ$3:CJ$500)+IF($C23="",0,SUMIF('DADOS BRUTOS'!$A$3:$A$500,$C23,'DADOS BRUTOS'!CJ$3:CJ$500)))</f>
        <v>0</v>
      </c>
      <c r="FK23" s="133" t="n">
        <f aca="false">IF(OR(FK$4="",$B23=""),0,SUMIF('DADOS BRUTOS'!$A$3:$A$500,$B23,'DADOS BRUTOS'!CK$3:CK$500)+IF($C23="",0,SUMIF('DADOS BRUTOS'!$A$3:$A$500,$C23,'DADOS BRUTOS'!CK$3:CK$500)))</f>
        <v>0</v>
      </c>
      <c r="FL23" s="133" t="n">
        <f aca="false">IF(OR(FL$4="",$B23=""),0,SUMIF('DADOS BRUTOS'!$A$3:$A$500,$B23,'DADOS BRUTOS'!CL$3:CL$500)+IF($C23="",0,SUMIF('DADOS BRUTOS'!$A$3:$A$500,$C23,'DADOS BRUTOS'!CL$3:CL$500)))</f>
        <v>0</v>
      </c>
      <c r="FM23" s="133" t="n">
        <f aca="false">IF(OR(FM$4="",$B23=""),0,SUMIF('DADOS BRUTOS'!$A$3:$A$500,$B23,'DADOS BRUTOS'!CM$3:CM$500)+IF($C23="",0,SUMIF('DADOS BRUTOS'!$A$3:$A$500,$C23,'DADOS BRUTOS'!CM$3:CM$500)))</f>
        <v>0</v>
      </c>
      <c r="FN23" s="133" t="n">
        <f aca="false">IF(OR(FN$4="",$B23=""),0,SUMIF('DADOS BRUTOS'!$A$3:$A$500,$B23,'DADOS BRUTOS'!CN$3:CN$500)+IF($C23="",0,SUMIF('DADOS BRUTOS'!$A$3:$A$500,$C23,'DADOS BRUTOS'!CN$3:CN$500)))</f>
        <v>0</v>
      </c>
      <c r="FO23" s="133" t="n">
        <f aca="false">IF(OR(FO$4="",$B23=""),0,SUMIF('DADOS BRUTOS'!$A$3:$A$500,$B23,'DADOS BRUTOS'!CO$3:CO$500)+IF($C23="",0,SUMIF('DADOS BRUTOS'!$A$3:$A$500,$C23,'DADOS BRUTOS'!CO$3:CO$500)))</f>
        <v>0</v>
      </c>
      <c r="FP23" s="133" t="n">
        <f aca="false">IF(OR(FP$4="",$B23=""),0,SUMIF('DADOS BRUTOS'!$A$3:$A$500,$B23,'DADOS BRUTOS'!CP$3:CP$500)+IF($C23="",0,SUMIF('DADOS BRUTOS'!$A$3:$A$500,$C23,'DADOS BRUTOS'!CP$3:CP$500)))</f>
        <v>0</v>
      </c>
      <c r="FQ23" s="133" t="n">
        <f aca="false">IF(OR(FQ$4="",$B23=""),0,SUMIF('DADOS BRUTOS'!$A$3:$A$500,$B23,'DADOS BRUTOS'!CQ$3:CQ$500)+IF($C23="",0,SUMIF('DADOS BRUTOS'!$A$3:$A$500,$C23,'DADOS BRUTOS'!CQ$3:CQ$500)))</f>
        <v>0</v>
      </c>
      <c r="FR23" s="133" t="n">
        <f aca="false">IF(OR(FR$4="",$B23=""),0,SUMIF('DADOS BRUTOS'!$A$3:$A$500,$B23,'DADOS BRUTOS'!CR$3:CR$500)+IF($C23="",0,SUMIF('DADOS BRUTOS'!$A$3:$A$500,$C23,'DADOS BRUTOS'!CR$3:CR$500)))</f>
        <v>0</v>
      </c>
      <c r="FS23" s="133" t="n">
        <f aca="false">IF(OR(FS$4="",$B23=""),0,SUMIF('DADOS BRUTOS'!$A$3:$A$500,$B23,'DADOS BRUTOS'!CS$3:CS$500)+IF($C23="",0,SUMIF('DADOS BRUTOS'!$A$3:$A$500,$C23,'DADOS BRUTOS'!CS$3:CS$500)))</f>
        <v>0</v>
      </c>
      <c r="FT23" s="133" t="n">
        <f aca="false">IF(OR(FT$4="",$B23=""),0,SUMIF('DADOS BRUTOS'!$A$3:$A$500,$B23,'DADOS BRUTOS'!CT$3:CT$500)+IF($C23="",0,SUMIF('DADOS BRUTOS'!$A$3:$A$500,$C23,'DADOS BRUTOS'!CT$3:CT$500)))</f>
        <v>0</v>
      </c>
      <c r="FU23" s="133" t="n">
        <f aca="false">IF(OR(FU$4="",$B23=""),0,SUMIF('DADOS BRUTOS'!$A$3:$A$500,$B23,'DADOS BRUTOS'!CU$3:CU$500)+IF($C23="",0,SUMIF('DADOS BRUTOS'!$A$3:$A$500,$C23,'DADOS BRUTOS'!CU$3:CU$500)))</f>
        <v>0</v>
      </c>
      <c r="FV23" s="133" t="n">
        <f aca="false">IF(OR(FV$4="",$B23=""),0,SUMIF('DADOS BRUTOS'!$A$3:$A$500,$B23,'DADOS BRUTOS'!CV$3:CV$500)+IF($C23="",0,SUMIF('DADOS BRUTOS'!$A$3:$A$500,$C23,'DADOS BRUTOS'!CV$3:CV$500)))</f>
        <v>0</v>
      </c>
      <c r="FW23" s="133" t="n">
        <f aca="false">IF(OR(FW$4="",$B23=""),0,SUMIF('DADOS BRUTOS'!$A$3:$A$500,$B23,'DADOS BRUTOS'!CW$3:CW$500)+IF($C23="",0,SUMIF('DADOS BRUTOS'!$A$3:$A$500,$C23,'DADOS BRUTOS'!CW$3:CW$500)))</f>
        <v>0</v>
      </c>
      <c r="FX23" s="133" t="n">
        <f aca="false">IF(OR(FX$4="",$B23=""),0,SUMIF('DADOS BRUTOS'!$A$3:$A$500,$B23,'DADOS BRUTOS'!CX$3:CX$500)+IF($C23="",0,SUMIF('DADOS BRUTOS'!$A$3:$A$500,$C23,'DADOS BRUTOS'!CX$3:CX$500)))</f>
        <v>0</v>
      </c>
      <c r="FY23" s="133" t="n">
        <f aca="false">IF(OR(FY$4="",$B23=""),0,SUMIF('DADOS BRUTOS'!$A$3:$A$500,$B23,'DADOS BRUTOS'!CY$3:CY$500)+IF($C23="",0,SUMIF('DADOS BRUTOS'!$A$3:$A$500,$C23,'DADOS BRUTOS'!CY$3:CY$500)))</f>
        <v>0</v>
      </c>
      <c r="FZ23" s="133" t="n">
        <f aca="false">IF(OR(FZ$4="",$B23=""),0,SUMIF('DADOS BRUTOS'!$A$3:$A$500,$B23,'DADOS BRUTOS'!CZ$3:CZ$500)+IF($C23="",0,SUMIF('DADOS BRUTOS'!$A$3:$A$500,$C23,'DADOS BRUTOS'!CZ$3:CZ$500)))</f>
        <v>0</v>
      </c>
      <c r="GA23" s="133" t="n">
        <f aca="false">IF(OR(GA$4="",$B23=""),0,SUMIF('DADOS BRUTOS'!$A$3:$A$500,$B23,'DADOS BRUTOS'!DA$3:DA$500)+IF($C23="",0,SUMIF('DADOS BRUTOS'!$A$3:$A$500,$C23,'DADOS BRUTOS'!DA$3:DA$500)))</f>
        <v>0</v>
      </c>
      <c r="GB23" s="133" t="n">
        <f aca="false">IF(OR(GB$4="",$B23=""),0,SUMIF('DADOS BRUTOS'!$A$3:$A$500,$B23,'DADOS BRUTOS'!DB$3:DB$500)+IF($C23="",0,SUMIF('DADOS BRUTOS'!$A$3:$A$500,$C23,'DADOS BRUTOS'!DB$3:DB$500)))</f>
        <v>0</v>
      </c>
      <c r="GC23" s="133" t="n">
        <f aca="false">IF(OR(GC$4="",$B23=""),0,SUMIF('DADOS BRUTOS'!$A$3:$A$500,$B23,'DADOS BRUTOS'!DC$3:DC$500)+IF($C23="",0,SUMIF('DADOS BRUTOS'!$A$3:$A$500,$C23,'DADOS BRUTOS'!DC$3:DC$500)))</f>
        <v>0</v>
      </c>
      <c r="GD23" s="133" t="n">
        <f aca="false">IF(OR(GD$4="",$B23=""),0,SUMIF('DADOS BRUTOS'!$A$3:$A$500,$B23,'DADOS BRUTOS'!DD$3:DD$500)+IF($C23="",0,SUMIF('DADOS BRUTOS'!$A$3:$A$500,$C23,'DADOS BRUTOS'!DD$3:DD$500)))</f>
        <v>0</v>
      </c>
      <c r="GE23" s="133" t="n">
        <f aca="false">IF(OR(GE$4="",$B23=""),0,SUMIF('DADOS BRUTOS'!$A$3:$A$500,$B23,'DADOS BRUTOS'!DE$3:DE$500)+IF($C23="",0,SUMIF('DADOS BRUTOS'!$A$3:$A$500,$C23,'DADOS BRUTOS'!DE$3:DE$500)))</f>
        <v>0</v>
      </c>
      <c r="GF23" s="133" t="n">
        <f aca="false">IF(OR(GF$4="",$B23=""),0,SUMIF('DADOS BRUTOS'!$A$3:$A$500,$B23,'DADOS BRUTOS'!DF$3:DF$500)+IF($C23="",0,SUMIF('DADOS BRUTOS'!$A$3:$A$500,$C23,'DADOS BRUTOS'!DF$3:DF$500)))</f>
        <v>0</v>
      </c>
      <c r="GG23" s="133" t="n">
        <f aca="false">IF(OR(GG$4="",$B23=""),0,SUMIF('DADOS BRUTOS'!$A$3:$A$500,$B23,'DADOS BRUTOS'!DG$3:DG$500)+IF($C23="",0,SUMIF('DADOS BRUTOS'!$A$3:$A$500,$C23,'DADOS BRUTOS'!DG$3:DG$500)))</f>
        <v>0</v>
      </c>
      <c r="GH23" s="133" t="n">
        <f aca="false">IF(OR(GH$4="",$B23=""),0,SUMIF('DADOS BRUTOS'!$A$3:$A$500,$B23,'DADOS BRUTOS'!DH$3:DH$500)+IF($C23="",0,SUMIF('DADOS BRUTOS'!$A$3:$A$500,$C23,'DADOS BRUTOS'!DH$3:DH$500)))</f>
        <v>0</v>
      </c>
      <c r="GI23" s="133" t="n">
        <f aca="false">IF(OR(GI$4="",$B23=""),0,SUMIF('DADOS BRUTOS'!$A$3:$A$500,$B23,'DADOS BRUTOS'!DI$3:DI$500)+IF($C23="",0,SUMIF('DADOS BRUTOS'!$A$3:$A$500,$C23,'DADOS BRUTOS'!DI$3:DI$500)))</f>
        <v>0</v>
      </c>
      <c r="GJ23" s="133" t="n">
        <f aca="false">IF(OR(GJ$4="",$B23=""),0,SUMIF('DADOS BRUTOS'!$A$3:$A$500,$B23,'DADOS BRUTOS'!DJ$3:DJ$500)+IF($C23="",0,SUMIF('DADOS BRUTOS'!$A$3:$A$500,$C23,'DADOS BRUTOS'!DJ$3:DJ$500)))</f>
        <v>0</v>
      </c>
      <c r="GK23" s="133" t="n">
        <f aca="false">IF(OR(GK$4="",$B23=""),0,SUMIF('DADOS BRUTOS'!$A$3:$A$500,$B23,'DADOS BRUTOS'!DK$3:DK$500)+IF($C23="",0,SUMIF('DADOS BRUTOS'!$A$3:$A$500,$C23,'DADOS BRUTOS'!DK$3:DK$500)))</f>
        <v>0</v>
      </c>
      <c r="GL23" s="133" t="n">
        <f aca="false">IF(OR(GL$4="",$B23=""),0,SUMIF('DADOS BRUTOS'!$A$3:$A$500,$B23,'DADOS BRUTOS'!DL$3:DL$500)+IF($C23="",0,SUMIF('DADOS BRUTOS'!$A$3:$A$500,$C23,'DADOS BRUTOS'!DL$3:DL$500)))</f>
        <v>0</v>
      </c>
      <c r="GM23" s="133" t="n">
        <f aca="false">IF(OR(GM$4="",$B23=""),0,SUMIF('DADOS BRUTOS'!$A$3:$A$500,$B23,'DADOS BRUTOS'!DM$3:DM$500)+IF($C23="",0,SUMIF('DADOS BRUTOS'!$A$3:$A$500,$C23,'DADOS BRUTOS'!DM$3:DM$500)))</f>
        <v>0</v>
      </c>
      <c r="GN23" s="133" t="n">
        <f aca="false">IF(OR(GN$4="",$B23=""),0,SUMIF('DADOS BRUTOS'!$A$3:$A$500,$B23,'DADOS BRUTOS'!DN$3:DN$500)+IF($C23="",0,SUMIF('DADOS BRUTOS'!$A$3:$A$500,$C23,'DADOS BRUTOS'!DN$3:DN$500)))</f>
        <v>0</v>
      </c>
      <c r="GO23" s="133" t="n">
        <f aca="false">IF(OR(GO$4="",$B23=""),0,SUMIF('DADOS BRUTOS'!$A$3:$A$500,$B23,'DADOS BRUTOS'!DO$3:DO$500)+IF($C23="",0,SUMIF('DADOS BRUTOS'!$A$3:$A$500,$C23,'DADOS BRUTOS'!DO$3:DO$500)))</f>
        <v>0</v>
      </c>
      <c r="GP23" s="133" t="n">
        <f aca="false">IF(OR(GP$4="",$B23=""),0,SUMIF('DADOS BRUTOS'!$A$3:$A$500,$B23,'DADOS BRUTOS'!DP$3:DP$500)+IF($C23="",0,SUMIF('DADOS BRUTOS'!$A$3:$A$500,$C23,'DADOS BRUTOS'!DP$3:DP$500)))</f>
        <v>0</v>
      </c>
      <c r="GQ23" s="133" t="n">
        <f aca="false">IF(OR(GQ$4="",$B23=""),0,SUMIF('DADOS BRUTOS'!$A$3:$A$500,$B23,'DADOS BRUTOS'!DQ$3:DQ$500)+IF($C23="",0,SUMIF('DADOS BRUTOS'!$A$3:$A$500,$C23,'DADOS BRUTOS'!DQ$3:DQ$500)))</f>
        <v>0</v>
      </c>
      <c r="GR23" s="133" t="n">
        <f aca="false">IF(OR(GR$4="",$B23=""),0,SUMIF('DADOS BRUTOS'!$A$3:$A$500,$B23,'DADOS BRUTOS'!DR$3:DR$500)+IF($C23="",0,SUMIF('DADOS BRUTOS'!$A$3:$A$500,$C23,'DADOS BRUTOS'!DR$3:DR$500)))</f>
        <v>0</v>
      </c>
      <c r="GS23" s="133" t="n">
        <f aca="false">IF(OR(GS$4="",$B23=""),0,SUMIF('DADOS BRUTOS'!$A$3:$A$500,$B23,'DADOS BRUTOS'!DS$3:DS$500)+IF($C23="",0,SUMIF('DADOS BRUTOS'!$A$3:$A$500,$C23,'DADOS BRUTOS'!DS$3:DS$500)))</f>
        <v>0</v>
      </c>
      <c r="GT23" s="133" t="n">
        <f aca="false">IF(OR(GT$4="",$B23=""),0,SUMIF('DADOS BRUTOS'!$A$3:$A$500,$B23,'DADOS BRUTOS'!DT$3:DT$500)+IF($C23="",0,SUMIF('DADOS BRUTOS'!$A$3:$A$500,$C23,'DADOS BRUTOS'!DT$3:DT$500)))</f>
        <v>0</v>
      </c>
      <c r="GU23" s="133" t="n">
        <f aca="false">IF(OR(GU$4="",$B23=""),0,SUMIF('DADOS BRUTOS'!$A$3:$A$500,$B23,'DADOS BRUTOS'!DU$3:DU$500)+IF($C23="",0,SUMIF('DADOS BRUTOS'!$A$3:$A$500,$C23,'DADOS BRUTOS'!DU$3:DU$500)))</f>
        <v>0</v>
      </c>
      <c r="GV23" s="133" t="n">
        <f aca="false">IF(OR(GV$4="",$B23=""),0,SUMIF('DADOS BRUTOS'!$A$3:$A$500,$B23,'DADOS BRUTOS'!DV$3:DV$500)+IF($C23="",0,SUMIF('DADOS BRUTOS'!$A$3:$A$500,$C23,'DADOS BRUTOS'!DV$3:DV$500)))</f>
        <v>0</v>
      </c>
      <c r="GW23" s="133" t="n">
        <f aca="false">IF(OR(GW$4="",$B23=""),0,SUMIF('DADOS BRUTOS'!$A$3:$A$500,$B23,'DADOS BRUTOS'!DW$3:DW$500)+IF($C23="",0,SUMIF('DADOS BRUTOS'!$A$3:$A$500,$C23,'DADOS BRUTOS'!DW$3:DW$500)))</f>
        <v>0</v>
      </c>
      <c r="GX23" s="133" t="n">
        <f aca="false">IF(OR(GX$4="",$B23=""),0,SUMIF('DADOS BRUTOS'!$A$3:$A$500,$B23,'DADOS BRUTOS'!DX$3:DX$500)+IF($C23="",0,SUMIF('DADOS BRUTOS'!$A$3:$A$500,$C23,'DADOS BRUTOS'!DX$3:DX$500)))</f>
        <v>0</v>
      </c>
      <c r="GY23" s="133" t="n">
        <f aca="false">IF(OR(GY$4="",$B23=""),0,SUMIF('DADOS BRUTOS'!$A$3:$A$500,$B23,'DADOS BRUTOS'!DY$3:DY$500)+IF($C23="",0,SUMIF('DADOS BRUTOS'!$A$3:$A$500,$C23,'DADOS BRUTOS'!DY$3:DY$500)))</f>
        <v>0</v>
      </c>
      <c r="GZ23" s="133" t="n">
        <f aca="false">IF(OR(GZ$4="",$B23=""),0,SUMIF('DADOS BRUTOS'!$A$3:$A$500,$B23,'DADOS BRUTOS'!DZ$3:DZ$500)+IF($C23="",0,SUMIF('DADOS BRUTOS'!$A$3:$A$500,$C23,'DADOS BRUTOS'!DZ$3:DZ$500)))</f>
        <v>0</v>
      </c>
      <c r="HA23" s="133" t="n">
        <f aca="false">IF(OR(HA$4="",$B23=""),0,SUMIF('DADOS BRUTOS'!$A$3:$A$500,$B23,'DADOS BRUTOS'!EA$3:EA$500)+IF($C23="",0,SUMIF('DADOS BRUTOS'!$A$3:$A$500,$C23,'DADOS BRUTOS'!EA$3:EA$500)))</f>
        <v>0</v>
      </c>
      <c r="HB23" s="133" t="n">
        <f aca="false">IF(OR(HB$4="",$B23=""),0,SUMIF('DADOS BRUTOS'!$A$3:$A$500,$B23,'DADOS BRUTOS'!EB$3:EB$500)+IF($C23="",0,SUMIF('DADOS BRUTOS'!$A$3:$A$500,$C23,'DADOS BRUTOS'!EB$3:EB$500)))</f>
        <v>0</v>
      </c>
      <c r="HC23" s="133" t="n">
        <f aca="false">IF(OR(HC$4="",$B23=""),0,SUMIF('DADOS BRUTOS'!$A$3:$A$500,$B23,'DADOS BRUTOS'!EC$3:EC$500)+IF($C23="",0,SUMIF('DADOS BRUTOS'!$A$3:$A$500,$C23,'DADOS BRUTOS'!EC$3:EC$500)))</f>
        <v>0</v>
      </c>
      <c r="HD23" s="133" t="n">
        <f aca="false">IF(OR(HD$4="",$B23=""),0,SUMIF('DADOS BRUTOS'!$A$3:$A$500,$B23,'DADOS BRUTOS'!ED$3:ED$500)+IF($C23="",0,SUMIF('DADOS BRUTOS'!$A$3:$A$500,$C23,'DADOS BRUTOS'!ED$3:ED$500)))</f>
        <v>0</v>
      </c>
      <c r="HE23" s="133" t="n">
        <f aca="false">IF(OR(HE$4="",$B23=""),0,SUMIF('DADOS BRUTOS'!$A$3:$A$500,$B23,'DADOS BRUTOS'!EE$3:EE$500)+IF($C23="",0,SUMIF('DADOS BRUTOS'!$A$3:$A$500,$C23,'DADOS BRUTOS'!EE$3:EE$500)))</f>
        <v>0</v>
      </c>
      <c r="HF23" s="133" t="n">
        <f aca="false">IF(OR(HF$4="",$B23=""),0,SUMIF('DADOS BRUTOS'!$A$3:$A$500,$B23,'DADOS BRUTOS'!EF$3:EF$500)+IF($C23="",0,SUMIF('DADOS BRUTOS'!$A$3:$A$500,$C23,'DADOS BRUTOS'!EF$3:EF$500)))</f>
        <v>0</v>
      </c>
      <c r="HG23" s="133" t="n">
        <f aca="false">IF(OR(HG$4="",$B23=""),0,SUMIF('DADOS BRUTOS'!$A$3:$A$500,$B23,'DADOS BRUTOS'!EG$3:EG$500)+IF($C23="",0,SUMIF('DADOS BRUTOS'!$A$3:$A$500,$C23,'DADOS BRUTOS'!EG$3:EG$500)))</f>
        <v>0</v>
      </c>
      <c r="HH23" s="133" t="n">
        <f aca="false">IF(OR(HH$4="",$B23=""),0,SUMIF('DADOS BRUTOS'!$A$3:$A$500,$B23,'DADOS BRUTOS'!EH$3:EH$500)+IF($C23="",0,SUMIF('DADOS BRUTOS'!$A$3:$A$500,$C23,'DADOS BRUTOS'!EH$3:EH$500)))</f>
        <v>0</v>
      </c>
      <c r="HI23" s="133" t="n">
        <f aca="false">IF(OR(HI$4="",$B23=""),0,SUMIF('DADOS BRUTOS'!$A$3:$A$500,$B23,'DADOS BRUTOS'!EI$3:EI$500)+IF($C23="",0,SUMIF('DADOS BRUTOS'!$A$3:$A$500,$C23,'DADOS BRUTOS'!EI$3:EI$500)))</f>
        <v>0</v>
      </c>
      <c r="HJ23" s="133" t="n">
        <f aca="false">IF(OR(HJ$4="",$B23=""),0,SUMIF('DADOS BRUTOS'!$A$3:$A$500,$B23,'DADOS BRUTOS'!EJ$3:EJ$500)+IF($C23="",0,SUMIF('DADOS BRUTOS'!$A$3:$A$500,$C23,'DADOS BRUTOS'!EJ$3:EJ$500)))</f>
        <v>0</v>
      </c>
      <c r="HK23" s="133" t="n">
        <f aca="false">IF(OR(HK$4="",$B23=""),0,SUMIF('DADOS BRUTOS'!$A$3:$A$500,$B23,'DADOS BRUTOS'!EK$3:EK$500)+IF($C23="",0,SUMIF('DADOS BRUTOS'!$A$3:$A$500,$C23,'DADOS BRUTOS'!EK$3:EK$500)))</f>
        <v>0</v>
      </c>
      <c r="HL23" s="133" t="n">
        <f aca="false">IF(OR(HL$4="",$B23=""),0,SUMIF('DADOS BRUTOS'!$A$3:$A$500,$B23,'DADOS BRUTOS'!EL$3:EL$500)+IF($C23="",0,SUMIF('DADOS BRUTOS'!$A$3:$A$500,$C23,'DADOS BRUTOS'!EL$3:EL$500)))</f>
        <v>0</v>
      </c>
      <c r="HM23" s="133" t="n">
        <f aca="false">IF(OR(HM$4="",$B23=""),0,SUMIF('DADOS BRUTOS'!$A$3:$A$500,$B23,'DADOS BRUTOS'!EM$3:EM$500)+IF($C23="",0,SUMIF('DADOS BRUTOS'!$A$3:$A$500,$C23,'DADOS BRUTOS'!EM$3:EM$500)))</f>
        <v>0</v>
      </c>
      <c r="HN23" s="133" t="n">
        <f aca="false">IF(OR(HN$4="",$B23=""),0,SUMIF('DADOS BRUTOS'!$A$3:$A$500,$B23,'DADOS BRUTOS'!EN$3:EN$500)+IF($C23="",0,SUMIF('DADOS BRUTOS'!$A$3:$A$500,$C23,'DADOS BRUTOS'!EN$3:EN$500)))</f>
        <v>0</v>
      </c>
      <c r="HO23" s="133" t="n">
        <f aca="false">IF(OR(HO$4="",$B23=""),0,SUMIF('DADOS BRUTOS'!$A$3:$A$500,$B23,'DADOS BRUTOS'!EO$3:EO$500)+IF($C23="",0,SUMIF('DADOS BRUTOS'!$A$3:$A$500,$C23,'DADOS BRUTOS'!EO$3:EO$500)))</f>
        <v>0</v>
      </c>
      <c r="HP23" s="133" t="n">
        <f aca="false">IF(OR(HP$4="",$B23=""),0,SUMIF('DADOS BRUTOS'!$A$3:$A$500,$B23,'DADOS BRUTOS'!EP$3:EP$500)+IF($C23="",0,SUMIF('DADOS BRUTOS'!$A$3:$A$500,$C23,'DADOS BRUTOS'!EP$3:EP$500)))</f>
        <v>0</v>
      </c>
      <c r="HQ23" s="133" t="n">
        <f aca="false">IF(OR(HQ$4="",$B23=""),0,SUMIF('DADOS BRUTOS'!$A$3:$A$500,$B23,'DADOS BRUTOS'!EQ$3:EQ$500)+IF($C23="",0,SUMIF('DADOS BRUTOS'!$A$3:$A$500,$C23,'DADOS BRUTOS'!EQ$3:EQ$500)))</f>
        <v>0</v>
      </c>
      <c r="HR23" s="133" t="n">
        <f aca="false">IF(OR(HR$4="",$B23=""),0,SUMIF('DADOS BRUTOS'!$A$3:$A$500,$B23,'DADOS BRUTOS'!ER$3:ER$500)+IF($C23="",0,SUMIF('DADOS BRUTOS'!$A$3:$A$500,$C23,'DADOS BRUTOS'!ER$3:ER$500)))</f>
        <v>0</v>
      </c>
      <c r="HS23" s="133" t="n">
        <f aca="false">IF(OR(HS$4="",$B23=""),0,SUMIF('DADOS BRUTOS'!$A$3:$A$500,$B23,'DADOS BRUTOS'!ES$3:ES$500)+IF($C23="",0,SUMIF('DADOS BRUTOS'!$A$3:$A$500,$C23,'DADOS BRUTOS'!ES$3:ES$500)))</f>
        <v>0</v>
      </c>
      <c r="HT23" s="133" t="n">
        <f aca="false">IF(OR(HT$4="",$B23=""),0,SUMIF('DADOS BRUTOS'!$A$3:$A$500,$B23,'DADOS BRUTOS'!ET$3:ET$500)+IF($C23="",0,SUMIF('DADOS BRUTOS'!$A$3:$A$500,$C23,'DADOS BRUTOS'!ET$3:ET$500)))</f>
        <v>0</v>
      </c>
      <c r="HU23" s="133" t="n">
        <f aca="false">IF(OR(HU$4="",$B23=""),0,SUMIF('DADOS BRUTOS'!$A$3:$A$500,$B23,'DADOS BRUTOS'!EU$3:EU$500)+IF($C23="",0,SUMIF('DADOS BRUTOS'!$A$3:$A$500,$C23,'DADOS BRUTOS'!EU$3:EU$500)))</f>
        <v>0</v>
      </c>
      <c r="HV23" s="133" t="n">
        <f aca="false">IF(OR(HV$4="",$B23=""),0,SUMIF('DADOS BRUTOS'!$A$3:$A$500,$B23,'DADOS BRUTOS'!EV$3:EV$500)+IF($C23="",0,SUMIF('DADOS BRUTOS'!$A$3:$A$500,$C23,'DADOS BRUTOS'!EV$3:EV$500)))</f>
        <v>0</v>
      </c>
      <c r="HW23" s="133" t="n">
        <f aca="false">IF(OR(HW$4="",$B23=""),0,SUMIF('DADOS BRUTOS'!$A$3:$A$500,$B23,'DADOS BRUTOS'!EW$3:EW$500)+IF($C23="",0,SUMIF('DADOS BRUTOS'!$A$3:$A$500,$C23,'DADOS BRUTOS'!EW$3:EW$500)))</f>
        <v>0</v>
      </c>
      <c r="HX23" s="133" t="n">
        <f aca="false">IF(OR(HX$4="",$B23=""),0,SUMIF('DADOS BRUTOS'!$A$3:$A$500,$B23,'DADOS BRUTOS'!EX$3:EX$500)+IF($C23="",0,SUMIF('DADOS BRUTOS'!$A$3:$A$500,$C23,'DADOS BRUTOS'!EX$3:EX$500)))</f>
        <v>0</v>
      </c>
      <c r="HY23" s="133" t="n">
        <f aca="false">IF(OR(HY$4="",$B23=""),0,SUMIF('DADOS BRUTOS'!$A$3:$A$500,$B23,'DADOS BRUTOS'!EY$3:EY$500)+IF($C23="",0,SUMIF('DADOS BRUTOS'!$A$3:$A$500,$C23,'DADOS BRUTOS'!EY$3:EY$500)))</f>
        <v>0</v>
      </c>
      <c r="HZ23" s="133" t="n">
        <f aca="false">IF(OR(HZ$4="",$B23=""),0,SUMIF('DADOS BRUTOS'!$A$3:$A$500,$B23,'DADOS BRUTOS'!EZ$3:EZ$500)+IF($C23="",0,SUMIF('DADOS BRUTOS'!$A$3:$A$500,$C23,'DADOS BRUTOS'!EZ$3:EZ$500)))</f>
        <v>0</v>
      </c>
      <c r="IA23" s="133" t="n">
        <f aca="false">IF(OR(IA$4="",$B23=""),0,SUMIF('DADOS BRUTOS'!$A$3:$A$500,$B23,'DADOS BRUTOS'!FA$3:FA$500)+IF($C23="",0,SUMIF('DADOS BRUTOS'!$A$3:$A$500,$C23,'DADOS BRUTOS'!FA$3:FA$500)))</f>
        <v>0</v>
      </c>
      <c r="IB23" s="133" t="n">
        <f aca="false">IF(OR(IB$4="",$B23=""),0,SUMIF('DADOS BRUTOS'!$A$3:$A$500,$B23,'DADOS BRUTOS'!FB$3:FB$500)+IF($C23="",0,SUMIF('DADOS BRUTOS'!$A$3:$A$500,$C23,'DADOS BRUTOS'!FB$3:FB$500)))</f>
        <v>0</v>
      </c>
      <c r="IC23" s="133" t="n">
        <f aca="false">IF(OR(IC$4="",$B23=""),0,SUMIF('DADOS BRUTOS'!$A$3:$A$500,$B23,'DADOS BRUTOS'!FC$3:FC$500)+IF($C23="",0,SUMIF('DADOS BRUTOS'!$A$3:$A$500,$C23,'DADOS BRUTOS'!FC$3:FC$500)))</f>
        <v>0</v>
      </c>
      <c r="ID23" s="133" t="n">
        <f aca="false">IF(OR(ID$4="",$B23=""),0,SUMIF('DADOS BRUTOS'!$A$3:$A$500,$B23,'DADOS BRUTOS'!FD$3:FD$500)+IF($C23="",0,SUMIF('DADOS BRUTOS'!$A$3:$A$500,$C23,'DADOS BRUTOS'!FD$3:FD$500)))</f>
        <v>0</v>
      </c>
      <c r="IE23" s="133" t="n">
        <f aca="false">IF(OR(IE$4="",$B23=""),0,SUMIF('DADOS BRUTOS'!$A$3:$A$500,$B23,'DADOS BRUTOS'!FE$3:FE$500)+IF($C23="",0,SUMIF('DADOS BRUTOS'!$A$3:$A$500,$C23,'DADOS BRUTOS'!FE$3:FE$500)))</f>
        <v>0</v>
      </c>
      <c r="IF23" s="133" t="n">
        <f aca="false">IF(OR(IF$4="",$B23=""),0,SUMIF('DADOS BRUTOS'!$A$3:$A$500,$B23,'DADOS BRUTOS'!FF$3:FF$500)+IF($C23="",0,SUMIF('DADOS BRUTOS'!$A$3:$A$500,$C23,'DADOS BRUTOS'!FF$3:FF$500)))</f>
        <v>0</v>
      </c>
      <c r="IG23" s="133" t="n">
        <f aca="false">IF(OR(IG$4="",$B23=""),0,SUMIF('DADOS BRUTOS'!$A$3:$A$500,$B23,'DADOS BRUTOS'!FG$3:FG$500)+IF($C23="",0,SUMIF('DADOS BRUTOS'!$A$3:$A$500,$C23,'DADOS BRUTOS'!FG$3:FG$500)))</f>
        <v>0</v>
      </c>
      <c r="IH23" s="133" t="n">
        <f aca="false">IF(OR(IH$4="",$B23=""),0,SUMIF('DADOS BRUTOS'!$A$3:$A$500,$B23,'DADOS BRUTOS'!FH$3:FH$500)+IF($C23="",0,SUMIF('DADOS BRUTOS'!$A$3:$A$500,$C23,'DADOS BRUTOS'!FH$3:FH$500)))</f>
        <v>0</v>
      </c>
      <c r="II23" s="133" t="n">
        <f aca="false">IF(OR(II$4="",$B23=""),0,SUMIF('DADOS BRUTOS'!$A$3:$A$500,$B23,'DADOS BRUTOS'!FI$3:FI$500)+IF($C23="",0,SUMIF('DADOS BRUTOS'!$A$3:$A$500,$C23,'DADOS BRUTOS'!FI$3:FI$500)))</f>
        <v>0</v>
      </c>
      <c r="IJ23" s="133" t="n">
        <f aca="false">IF(OR(IJ$4="",$B23=""),0,SUMIF('DADOS BRUTOS'!$A$3:$A$500,$B23,'DADOS BRUTOS'!FJ$3:FJ$500)+IF($C23="",0,SUMIF('DADOS BRUTOS'!$A$3:$A$500,$C23,'DADOS BRUTOS'!FJ$3:FJ$500)))</f>
        <v>0</v>
      </c>
      <c r="IK23" s="133" t="n">
        <f aca="false">IF(OR(IK$4="",$B23=""),0,SUMIF('DADOS BRUTOS'!$A$3:$A$500,$B23,'DADOS BRUTOS'!FK$3:FK$500)+IF($C23="",0,SUMIF('DADOS BRUTOS'!$A$3:$A$500,$C23,'DADOS BRUTOS'!FK$3:FK$500)))</f>
        <v>0</v>
      </c>
      <c r="IL23" s="133" t="n">
        <f aca="false">IF(OR(IL$4="",$B23=""),0,SUMIF('DADOS BRUTOS'!$A$3:$A$500,$B23,'DADOS BRUTOS'!FL$3:FL$500)+IF($C23="",0,SUMIF('DADOS BRUTOS'!$A$3:$A$500,$C23,'DADOS BRUTOS'!FL$3:FL$500)))</f>
        <v>0</v>
      </c>
      <c r="IM23" s="133" t="n">
        <f aca="false">IF(OR(IM$4="",$B23=""),0,SUMIF('DADOS BRUTOS'!$A$3:$A$500,$B23,'DADOS BRUTOS'!FM$3:FM$500)+IF($C23="",0,SUMIF('DADOS BRUTOS'!$A$3:$A$500,$C23,'DADOS BRUTOS'!FM$3:FM$500)))</f>
        <v>0</v>
      </c>
      <c r="IN23" s="133" t="n">
        <f aca="false">IF(OR(IN$4="",$B23=""),0,SUMIF('DADOS BRUTOS'!$A$3:$A$500,$B23,'DADOS BRUTOS'!FN$3:FN$500)+IF($C23="",0,SUMIF('DADOS BRUTOS'!$A$3:$A$500,$C23,'DADOS BRUTOS'!FN$3:FN$500)))</f>
        <v>0</v>
      </c>
      <c r="IO23" s="133" t="n">
        <f aca="false">IF(OR(IO$4="",$B23=""),0,SUMIF('DADOS BRUTOS'!$A$3:$A$500,$B23,'DADOS BRUTOS'!FO$3:FO$500)+IF($C23="",0,SUMIF('DADOS BRUTOS'!$A$3:$A$500,$C23,'DADOS BRUTOS'!FO$3:FO$500)))</f>
        <v>0</v>
      </c>
      <c r="IP23" s="133" t="n">
        <f aca="false">IF(OR(IP$4="",$B23=""),0,SUMIF('DADOS BRUTOS'!$A$3:$A$500,$B23,'DADOS BRUTOS'!FP$3:FP$500)+IF($C23="",0,SUMIF('DADOS BRUTOS'!$A$3:$A$500,$C23,'DADOS BRUTOS'!FP$3:FP$500)))</f>
        <v>0</v>
      </c>
      <c r="IQ23" s="133" t="n">
        <f aca="false">IF(OR(IQ$4="",$B23=""),0,SUMIF('DADOS BRUTOS'!$A$3:$A$500,$B23,'DADOS BRUTOS'!FQ$3:FQ$500)+IF($C23="",0,SUMIF('DADOS BRUTOS'!$A$3:$A$500,$C23,'DADOS BRUTOS'!FQ$3:FQ$500)))</f>
        <v>0</v>
      </c>
      <c r="IR23" s="133" t="n">
        <f aca="false">IF(OR(IR$4="",$B23=""),0,SUMIF('DADOS BRUTOS'!$A$3:$A$500,$B23,'DADOS BRUTOS'!FR$3:FR$500)+IF($C23="",0,SUMIF('DADOS BRUTOS'!$A$3:$A$500,$C23,'DADOS BRUTOS'!FR$3:FR$500)))</f>
        <v>0</v>
      </c>
      <c r="IS23" s="133" t="n">
        <f aca="false">IF(OR(IS$4="",$B23=""),0,SUMIF('DADOS BRUTOS'!$A$3:$A$500,$B23,'DADOS BRUTOS'!FS$3:FS$500)+IF($C23="",0,SUMIF('DADOS BRUTOS'!$A$3:$A$500,$C23,'DADOS BRUTOS'!FS$3:FS$500)))</f>
        <v>0</v>
      </c>
      <c r="IT23" s="133" t="n">
        <f aca="false">IF(OR(IT$4="",$B23=""),0,SUMIF('DADOS BRUTOS'!$A$3:$A$500,$B23,'DADOS BRUTOS'!FT$3:FT$500)+IF($C23="",0,SUMIF('DADOS BRUTOS'!$A$3:$A$500,$C23,'DADOS BRUTOS'!FT$3:FT$500)))</f>
        <v>0</v>
      </c>
      <c r="IU23" s="133" t="n">
        <f aca="false">IF(OR(IU$4="",$B23=""),0,SUMIF('DADOS BRUTOS'!$A$3:$A$500,$B23,'DADOS BRUTOS'!FU$3:FU$500)+IF($C23="",0,SUMIF('DADOS BRUTOS'!$A$3:$A$500,$C23,'DADOS BRUTOS'!FU$3:FU$500)))</f>
        <v>0</v>
      </c>
      <c r="IV23" s="133" t="n">
        <f aca="false">IF(OR(IV$4="",$B23=""),0,SUMIF('DADOS BRUTOS'!$A$3:$A$500,$B23,'DADOS BRUTOS'!FV$3:FV$500)+IF($C23="",0,SUMIF('DADOS BRUTOS'!$A$3:$A$500,$C23,'DADOS BRUTOS'!FV$3:FV$500)))</f>
        <v>0</v>
      </c>
      <c r="IW23" s="133" t="n">
        <f aca="false">IF(OR(IW$4="",$B23=""),0,SUMIF('DADOS BRUTOS'!$A$3:$A$500,$B23,'DADOS BRUTOS'!FW$3:FW$500)+IF($C23="",0,SUMIF('DADOS BRUTOS'!$A$3:$A$500,$C23,'DADOS BRUTOS'!FW$3:FW$500)))</f>
        <v>0</v>
      </c>
      <c r="IX23" s="133" t="n">
        <f aca="false">IF(OR(IX$4="",$B23=""),0,SUMIF('DADOS BRUTOS'!$A$3:$A$500,$B23,'DADOS BRUTOS'!FX$3:FX$500)+IF($C23="",0,SUMIF('DADOS BRUTOS'!$A$3:$A$500,$C23,'DADOS BRUTOS'!FX$3:FX$500)))</f>
        <v>0</v>
      </c>
      <c r="IY23" s="133" t="n">
        <f aca="false">IF(OR(IY$4="",$B23=""),0,SUMIF('DADOS BRUTOS'!$A$3:$A$500,$B23,'DADOS BRUTOS'!FY$3:FY$500)+IF($C23="",0,SUMIF('DADOS BRUTOS'!$A$3:$A$500,$C23,'DADOS BRUTOS'!FY$3:FY$500)))</f>
        <v>0</v>
      </c>
      <c r="IZ23" s="133" t="n">
        <f aca="false">IF(OR(IZ$4="",$B23=""),0,SUMIF('DADOS BRUTOS'!$A$3:$A$500,$B23,'DADOS BRUTOS'!FZ$3:FZ$500)+IF($C23="",0,SUMIF('DADOS BRUTOS'!$A$3:$A$500,$C23,'DADOS BRUTOS'!FZ$3:FZ$500)))</f>
        <v>0</v>
      </c>
      <c r="JA23" s="133" t="n">
        <f aca="false">IF(OR(JA$4="",$B23=""),0,SUMIF('DADOS BRUTOS'!$A$3:$A$500,$B23,'DADOS BRUTOS'!GA$3:GA$500)+IF($C23="",0,SUMIF('DADOS BRUTOS'!$A$3:$A$500,$C23,'DADOS BRUTOS'!GA$3:GA$500)))</f>
        <v>0</v>
      </c>
      <c r="JB23" s="133" t="n">
        <f aca="false">IF(OR(JB$4="",$B23=""),0,SUMIF('DADOS BRUTOS'!$A$3:$A$500,$B23,'DADOS BRUTOS'!GB$3:GB$500)+IF($C23="",0,SUMIF('DADOS BRUTOS'!$A$3:$A$500,$C23,'DADOS BRUTOS'!GB$3:GB$500)))</f>
        <v>0</v>
      </c>
      <c r="JC23" s="133" t="n">
        <f aca="false">IF(OR(JC$4="",$B23=""),0,SUMIF('DADOS BRUTOS'!$A$3:$A$500,$B23,'DADOS BRUTOS'!GC$3:GC$500)+IF($C23="",0,SUMIF('DADOS BRUTOS'!$A$3:$A$500,$C23,'DADOS BRUTOS'!GC$3:GC$500)))</f>
        <v>0</v>
      </c>
      <c r="JD23" s="133" t="n">
        <f aca="false">IF(OR(JD$4="",$B23=""),0,SUMIF('DADOS BRUTOS'!$A$3:$A$500,$B23,'DADOS BRUTOS'!GD$3:GD$500)+IF($C23="",0,SUMIF('DADOS BRUTOS'!$A$3:$A$500,$C23,'DADOS BRUTOS'!GD$3:GD$500)))</f>
        <v>0</v>
      </c>
      <c r="JE23" s="133" t="n">
        <f aca="false">IF(OR(JE$4="",$B23=""),0,SUMIF('DADOS BRUTOS'!$A$3:$A$500,$B23,'DADOS BRUTOS'!GE$3:GE$500)+IF($C23="",0,SUMIF('DADOS BRUTOS'!$A$3:$A$500,$C23,'DADOS BRUTOS'!GE$3:GE$500)))</f>
        <v>0</v>
      </c>
      <c r="JF23" s="133" t="n">
        <f aca="false">IF(OR(JF$4="",$B23=""),0,SUMIF('DADOS BRUTOS'!$A$3:$A$500,$B23,'DADOS BRUTOS'!GF$3:GF$500)+IF($C23="",0,SUMIF('DADOS BRUTOS'!$A$3:$A$500,$C23,'DADOS BRUTOS'!GF$3:GF$500)))</f>
        <v>0</v>
      </c>
      <c r="JG23" s="133" t="n">
        <f aca="false">IF(OR(JG$4="",$B23=""),0,SUMIF('DADOS BRUTOS'!$A$3:$A$500,$B23,'DADOS BRUTOS'!GG$3:GG$500)+IF($C23="",0,SUMIF('DADOS BRUTOS'!$A$3:$A$500,$C23,'DADOS BRUTOS'!GG$3:GG$500)))</f>
        <v>0</v>
      </c>
      <c r="JH23" s="133" t="n">
        <f aca="false">IF(OR(JH$4="",$B23=""),0,SUMIF('DADOS BRUTOS'!$A$3:$A$500,$B23,'DADOS BRUTOS'!GH$3:GH$500)+IF($C23="",0,SUMIF('DADOS BRUTOS'!$A$3:$A$500,$C23,'DADOS BRUTOS'!GH$3:GH$500)))</f>
        <v>0</v>
      </c>
      <c r="JI23" s="133" t="n">
        <f aca="false">IF(OR(JI$4="",$B23=""),0,SUMIF('DADOS BRUTOS'!$A$3:$A$500,$B23,'DADOS BRUTOS'!GI$3:GI$500)+IF($C23="",0,SUMIF('DADOS BRUTOS'!$A$3:$A$500,$C23,'DADOS BRUTOS'!GI$3:GI$500)))</f>
        <v>0</v>
      </c>
      <c r="JJ23" s="133" t="n">
        <f aca="false">IF(OR(JJ$4="",$B23=""),0,SUMIF('DADOS BRUTOS'!$A$3:$A$500,$B23,'DADOS BRUTOS'!GJ$3:GJ$500)+IF($C23="",0,SUMIF('DADOS BRUTOS'!$A$3:$A$500,$C23,'DADOS BRUTOS'!GJ$3:GJ$500)))</f>
        <v>0</v>
      </c>
      <c r="JK23" s="133" t="n">
        <f aca="false">IF(OR(JK$4="",$B23=""),0,SUMIF('DADOS BRUTOS'!$A$3:$A$500,$B23,'DADOS BRUTOS'!GK$3:GK$500)+IF($C23="",0,SUMIF('DADOS BRUTOS'!$A$3:$A$500,$C23,'DADOS BRUTOS'!GK$3:GK$500)))</f>
        <v>0</v>
      </c>
      <c r="JL23" s="133" t="n">
        <f aca="false">IF(OR(JL$4="",$B23=""),0,SUMIF('DADOS BRUTOS'!$A$3:$A$500,$B23,'DADOS BRUTOS'!GL$3:GL$500)+IF($C23="",0,SUMIF('DADOS BRUTOS'!$A$3:$A$500,$C23,'DADOS BRUTOS'!GL$3:GL$500)))</f>
        <v>0</v>
      </c>
      <c r="JM23" s="133" t="n">
        <f aca="false">IF(OR(JM$4="",$B23=""),0,SUMIF('DADOS BRUTOS'!$A$3:$A$500,$B23,'DADOS BRUTOS'!GM$3:GM$500)+IF($C23="",0,SUMIF('DADOS BRUTOS'!$A$3:$A$500,$C23,'DADOS BRUTOS'!GM$3:GM$500)))</f>
        <v>0</v>
      </c>
      <c r="JN23" s="133" t="n">
        <f aca="false">IF(OR(JN$4="",$B23=""),0,SUMIF('DADOS BRUTOS'!$A$3:$A$500,$B23,'DADOS BRUTOS'!GN$3:GN$500)+IF($C23="",0,SUMIF('DADOS BRUTOS'!$A$3:$A$500,$C23,'DADOS BRUTOS'!GN$3:GN$500)))</f>
        <v>0</v>
      </c>
      <c r="JO23" s="133" t="n">
        <f aca="false">IF(OR(JO$4="",$B23=""),0,SUMIF('DADOS BRUTOS'!$A$3:$A$500,$B23,'DADOS BRUTOS'!GO$3:GO$500)+IF($C23="",0,SUMIF('DADOS BRUTOS'!$A$3:$A$500,$C23,'DADOS BRUTOS'!GO$3:GO$500)))</f>
        <v>0</v>
      </c>
      <c r="JP23" s="133" t="n">
        <f aca="false">IF(OR(JP$4="",$B23=""),0,SUMIF('DADOS BRUTOS'!$A$3:$A$500,$B23,'DADOS BRUTOS'!GP$3:GP$500)+IF($C23="",0,SUMIF('DADOS BRUTOS'!$A$3:$A$500,$C23,'DADOS BRUTOS'!GP$3:GP$500)))</f>
        <v>0</v>
      </c>
      <c r="JQ23" s="133" t="n">
        <f aca="false">IF(OR(JQ$4="",$B23=""),0,SUMIF('DADOS BRUTOS'!$A$3:$A$500,$B23,'DADOS BRUTOS'!GQ$3:GQ$500)+IF($C23="",0,SUMIF('DADOS BRUTOS'!$A$3:$A$500,$C23,'DADOS BRUTOS'!GQ$3:GQ$500)))</f>
        <v>0</v>
      </c>
      <c r="JR23" s="133" t="n">
        <f aca="false">IF(OR(JR$4="",$B23=""),0,SUMIF('DADOS BRUTOS'!$A$3:$A$500,$B23,'DADOS BRUTOS'!GR$3:GR$500)+IF($C23="",0,SUMIF('DADOS BRUTOS'!$A$3:$A$500,$C23,'DADOS BRUTOS'!GR$3:GR$500)))</f>
        <v>0</v>
      </c>
      <c r="JS23" s="133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869.6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0</v>
      </c>
      <c r="H24" s="50" t="n">
        <f aca="false">SUMIF($CB$4:$JS$4,H$4,$CB24:$JS24)</f>
        <v>0</v>
      </c>
      <c r="I24" s="50" t="n">
        <f aca="false">SUMIF($CB$4:$JS$4,I$4,$CB24:$JS24)</f>
        <v>0</v>
      </c>
      <c r="J24" s="50" t="n">
        <f aca="false">SUMIF($CB$4:$JS$4,J$4,$CB24:$JS24)</f>
        <v>182.9</v>
      </c>
      <c r="K24" s="50" t="n">
        <f aca="false">SUMIF($CB$4:$JS$4,K$4,$CB24:$JS24)</f>
        <v>0</v>
      </c>
      <c r="L24" s="50" t="n">
        <f aca="false">SUMIF($CB$4:$JS$4,L$4,$CB24:$JS24)</f>
        <v>0</v>
      </c>
      <c r="M24" s="50" t="n">
        <f aca="false">SUMIF($CB$4:$JS$4,M$4,$CB24:$JS24)</f>
        <v>0</v>
      </c>
      <c r="N24" s="50" t="n">
        <f aca="false">SUMIF($CB$4:$JS$4,N$4,$CB24:$JS24)</f>
        <v>272179.12</v>
      </c>
      <c r="O24" s="50" t="n">
        <f aca="false">SUMIF($CB$4:$JS$4,O$4,$CB24:$JS24)</f>
        <v>26283.33</v>
      </c>
      <c r="P24" s="50" t="n">
        <f aca="false">SUMIF($CB$4:$JS$4,P$4,$CB24:$JS24)</f>
        <v>5272.91</v>
      </c>
      <c r="Q24" s="50" t="n">
        <f aca="false">SUMIF($CB$4:$JS$4,Q$4,$CB24:$JS24)</f>
        <v>2574.8</v>
      </c>
      <c r="R24" s="50" t="n">
        <f aca="false">SUMIF($CB$4:$JS$4,R$4,$CB24:$JS24)</f>
        <v>2699.76</v>
      </c>
      <c r="S24" s="50" t="n">
        <f aca="false">SUMIF($CB$4:$JS$4,S$4,$CB24:$JS24)</f>
        <v>6812.89</v>
      </c>
      <c r="T24" s="50" t="n">
        <f aca="false">SUMIF($CB$4:$JS$4,T$4,$CB24:$JS24)</f>
        <v>7848.83</v>
      </c>
      <c r="U24" s="50" t="n">
        <f aca="false">SUMIF($CB$4:$JS$4,U$4,$CB24:$JS24)</f>
        <v>14051.66</v>
      </c>
      <c r="V24" s="50" t="n">
        <f aca="false">SUMIF($CB$4:$JS$4,V$4,$CB24:$JS24)</f>
        <v>21204.58</v>
      </c>
      <c r="W24" s="50" t="n">
        <f aca="false">SUMIF($CB$4:$JS$4,W$4,$CB24:$JS24)</f>
        <v>27958.4</v>
      </c>
      <c r="X24" s="50" t="n">
        <f aca="false">SUMIF($CB$4:$JS$4,X$4,$CB24:$JS24)</f>
        <v>35422.41</v>
      </c>
      <c r="Y24" s="50" t="n">
        <f aca="false">SUMIF($CB$4:$JS$4,Y$4,$CB24:$JS24)</f>
        <v>85098.16</v>
      </c>
      <c r="Z24" s="50" t="n">
        <f aca="false">SUMIF($CB$4:$JS$4,Z$4,$CB24:$JS24)</f>
        <v>79167.5</v>
      </c>
      <c r="AA24" s="50" t="n">
        <f aca="false">SUMIF($CB$4:$JS$4,AA$4,$CB24:$JS24)</f>
        <v>20138.18</v>
      </c>
      <c r="AB24" s="50" t="n">
        <f aca="false">SUMIF($CB$4:$JS$4,AB$4,$CB24:$JS24)</f>
        <v>3216.16</v>
      </c>
      <c r="AC24" s="50" t="n">
        <f aca="false">SUMIF($CB$4:$JS$4,AC$4,$CB24:$JS24)</f>
        <v>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610981.19</v>
      </c>
      <c r="BZ24" s="45" t="n">
        <f aca="false">SUMPRODUCT(($CB$4:$JS$4&lt;&gt;"")*($CB$4:$JS$4&lt;=$D$4),$CB24:$JS24,$CB$1:$JS$1)</f>
        <v>0.766319314401533</v>
      </c>
      <c r="CB24" s="133" t="n">
        <f aca="false">IF(OR(CB$4="",$B24=""),0,SUMIF('DADOS BRUTOS'!$A$3:$A$500,$B24,'DADOS BRUTOS'!B$3:B$500)+IF($C24="",0,SUMIF('DADOS BRUTOS'!$A$3:$A$500,$C24,'DADOS BRUTOS'!B$3:B$500)))</f>
        <v>0</v>
      </c>
      <c r="CC24" s="133" t="n">
        <f aca="false">IF(OR(CC$4="",$B24=""),0,SUMIF('DADOS BRUTOS'!$A$3:$A$500,$B24,'DADOS BRUTOS'!C$3:C$500)+IF($C24="",0,SUMIF('DADOS BRUTOS'!$A$3:$A$500,$C24,'DADOS BRUTOS'!C$3:C$500)))</f>
        <v>0</v>
      </c>
      <c r="CD24" s="133" t="n">
        <f aca="false">IF(OR(CD$4="",$B24=""),0,SUMIF('DADOS BRUTOS'!$A$3:$A$500,$B24,'DADOS BRUTOS'!D$3:D$500)+IF($C24="",0,SUMIF('DADOS BRUTOS'!$A$3:$A$500,$C24,'DADOS BRUTOS'!D$3:D$500)))</f>
        <v>0</v>
      </c>
      <c r="CE24" s="133" t="n">
        <f aca="false">IF(OR(CE$4="",$B24=""),0,SUMIF('DADOS BRUTOS'!$A$3:$A$500,$B24,'DADOS BRUTOS'!E$3:E$500)+IF($C24="",0,SUMIF('DADOS BRUTOS'!$A$3:$A$500,$C24,'DADOS BRUTOS'!E$3:E$500)))</f>
        <v>0</v>
      </c>
      <c r="CF24" s="133" t="n">
        <f aca="false">IF(OR(CF$4="",$B24=""),0,SUMIF('DADOS BRUTOS'!$A$3:$A$500,$B24,'DADOS BRUTOS'!F$3:F$500)+IF($C24="",0,SUMIF('DADOS BRUTOS'!$A$3:$A$500,$C24,'DADOS BRUTOS'!F$3:F$500)))</f>
        <v>0</v>
      </c>
      <c r="CG24" s="133" t="n">
        <f aca="false">IF(OR(CG$4="",$B24=""),0,SUMIF('DADOS BRUTOS'!$A$3:$A$500,$B24,'DADOS BRUTOS'!G$3:G$500)+IF($C24="",0,SUMIF('DADOS BRUTOS'!$A$3:$A$500,$C24,'DADOS BRUTOS'!G$3:G$500)))</f>
        <v>0</v>
      </c>
      <c r="CH24" s="133" t="n">
        <f aca="false">IF(OR(CH$4="",$B24=""),0,SUMIF('DADOS BRUTOS'!$A$3:$A$500,$B24,'DADOS BRUTOS'!H$3:H$500)+IF($C24="",0,SUMIF('DADOS BRUTOS'!$A$3:$A$500,$C24,'DADOS BRUTOS'!H$3:H$500)))</f>
        <v>0</v>
      </c>
      <c r="CI24" s="133" t="n">
        <f aca="false">IF(OR(CI$4="",$B24=""),0,SUMIF('DADOS BRUTOS'!$A$3:$A$500,$B24,'DADOS BRUTOS'!I$3:I$500)+IF($C24="",0,SUMIF('DADOS BRUTOS'!$A$3:$A$500,$C24,'DADOS BRUTOS'!I$3:I$500)))</f>
        <v>0</v>
      </c>
      <c r="CJ24" s="133" t="n">
        <f aca="false">IF(OR(CJ$4="",$B24=""),0,SUMIF('DADOS BRUTOS'!$A$3:$A$500,$B24,'DADOS BRUTOS'!J$3:J$500)+IF($C24="",0,SUMIF('DADOS BRUTOS'!$A$3:$A$500,$C24,'DADOS BRUTOS'!J$3:J$500)))</f>
        <v>0</v>
      </c>
      <c r="CK24" s="133" t="n">
        <f aca="false">IF(OR(CK$4="",$B24=""),0,SUMIF('DADOS BRUTOS'!$A$3:$A$500,$B24,'DADOS BRUTOS'!K$3:K$500)+IF($C24="",0,SUMIF('DADOS BRUTOS'!$A$3:$A$500,$C24,'DADOS BRUTOS'!K$3:K$500)))</f>
        <v>0</v>
      </c>
      <c r="CL24" s="133" t="n">
        <f aca="false">IF(OR(CL$4="",$B24=""),0,SUMIF('DADOS BRUTOS'!$A$3:$A$500,$B24,'DADOS BRUTOS'!L$3:L$500)+IF($C24="",0,SUMIF('DADOS BRUTOS'!$A$3:$A$500,$C24,'DADOS BRUTOS'!L$3:L$500)))</f>
        <v>0</v>
      </c>
      <c r="CM24" s="133" t="n">
        <f aca="false">IF(OR(CM$4="",$B24=""),0,SUMIF('DADOS BRUTOS'!$A$3:$A$500,$B24,'DADOS BRUTOS'!M$3:M$500)+IF($C24="",0,SUMIF('DADOS BRUTOS'!$A$3:$A$500,$C24,'DADOS BRUTOS'!M$3:M$500)))</f>
        <v>0</v>
      </c>
      <c r="CN24" s="133" t="n">
        <f aca="false">IF(OR(CN$4="",$B24=""),0,SUMIF('DADOS BRUTOS'!$A$3:$A$500,$B24,'DADOS BRUTOS'!N$3:N$500)+IF($C24="",0,SUMIF('DADOS BRUTOS'!$A$3:$A$500,$C24,'DADOS BRUTOS'!N$3:N$500)))</f>
        <v>0</v>
      </c>
      <c r="CO24" s="133" t="n">
        <f aca="false">IF(OR(CO$4="",$B24=""),0,SUMIF('DADOS BRUTOS'!$A$3:$A$500,$B24,'DADOS BRUTOS'!O$3:O$500)+IF($C24="",0,SUMIF('DADOS BRUTOS'!$A$3:$A$500,$C24,'DADOS BRUTOS'!O$3:O$500)))</f>
        <v>0</v>
      </c>
      <c r="CP24" s="133" t="n">
        <f aca="false">IF(OR(CP$4="",$B24=""),0,SUMIF('DADOS BRUTOS'!$A$3:$A$500,$B24,'DADOS BRUTOS'!P$3:P$500)+IF($C24="",0,SUMIF('DADOS BRUTOS'!$A$3:$A$500,$C24,'DADOS BRUTOS'!P$3:P$500)))</f>
        <v>0</v>
      </c>
      <c r="CQ24" s="133" t="n">
        <f aca="false">IF(OR(CQ$4="",$B24=""),0,SUMIF('DADOS BRUTOS'!$A$3:$A$500,$B24,'DADOS BRUTOS'!Q$3:Q$500)+IF($C24="",0,SUMIF('DADOS BRUTOS'!$A$3:$A$500,$C24,'DADOS BRUTOS'!Q$3:Q$500)))</f>
        <v>0</v>
      </c>
      <c r="CR24" s="133" t="n">
        <f aca="false">IF(OR(CR$4="",$B24=""),0,SUMIF('DADOS BRUTOS'!$A$3:$A$500,$B24,'DADOS BRUTOS'!R$3:R$500)+IF($C24="",0,SUMIF('DADOS BRUTOS'!$A$3:$A$500,$C24,'DADOS BRUTOS'!R$3:R$500)))</f>
        <v>0</v>
      </c>
      <c r="CS24" s="133" t="n">
        <f aca="false">IF(OR(CS$4="",$B24=""),0,SUMIF('DADOS BRUTOS'!$A$3:$A$500,$B24,'DADOS BRUTOS'!S$3:S$500)+IF($C24="",0,SUMIF('DADOS BRUTOS'!$A$3:$A$500,$C24,'DADOS BRUTOS'!S$3:S$500)))</f>
        <v>0</v>
      </c>
      <c r="CT24" s="133" t="n">
        <f aca="false">IF(OR(CT$4="",$B24=""),0,SUMIF('DADOS BRUTOS'!$A$3:$A$500,$B24,'DADOS BRUTOS'!T$3:T$500)+IF($C24="",0,SUMIF('DADOS BRUTOS'!$A$3:$A$500,$C24,'DADOS BRUTOS'!T$3:T$500)))</f>
        <v>0</v>
      </c>
      <c r="CU24" s="133" t="n">
        <f aca="false">IF(OR(CU$4="",$B24=""),0,SUMIF('DADOS BRUTOS'!$A$3:$A$500,$B24,'DADOS BRUTOS'!U$3:U$500)+IF($C24="",0,SUMIF('DADOS BRUTOS'!$A$3:$A$500,$C24,'DADOS BRUTOS'!U$3:U$500)))</f>
        <v>0</v>
      </c>
      <c r="CV24" s="133" t="n">
        <f aca="false">IF(OR(CV$4="",$B24=""),0,SUMIF('DADOS BRUTOS'!$A$3:$A$500,$B24,'DADOS BRUTOS'!V$3:V$500)+IF($C24="",0,SUMIF('DADOS BRUTOS'!$A$3:$A$500,$C24,'DADOS BRUTOS'!V$3:V$500)))</f>
        <v>0</v>
      </c>
      <c r="CW24" s="133" t="n">
        <f aca="false">IF(OR(CW$4="",$B24=""),0,SUMIF('DADOS BRUTOS'!$A$3:$A$500,$B24,'DADOS BRUTOS'!W$3:W$500)+IF($C24="",0,SUMIF('DADOS BRUTOS'!$A$3:$A$500,$C24,'DADOS BRUTOS'!W$3:W$500)))</f>
        <v>0</v>
      </c>
      <c r="CX24" s="133" t="n">
        <f aca="false">IF(OR(CX$4="",$B24=""),0,SUMIF('DADOS BRUTOS'!$A$3:$A$500,$B24,'DADOS BRUTOS'!X$3:X$500)+IF($C24="",0,SUMIF('DADOS BRUTOS'!$A$3:$A$500,$C24,'DADOS BRUTOS'!X$3:X$500)))</f>
        <v>0</v>
      </c>
      <c r="CY24" s="133" t="n">
        <f aca="false">IF(OR(CY$4="",$B24=""),0,SUMIF('DADOS BRUTOS'!$A$3:$A$500,$B24,'DADOS BRUTOS'!Y$3:Y$500)+IF($C24="",0,SUMIF('DADOS BRUTOS'!$A$3:$A$500,$C24,'DADOS BRUTOS'!Y$3:Y$500)))</f>
        <v>0</v>
      </c>
      <c r="CZ24" s="133" t="n">
        <f aca="false">IF(OR(CZ$4="",$B24=""),0,SUMIF('DADOS BRUTOS'!$A$3:$A$500,$B24,'DADOS BRUTOS'!Z$3:Z$500)+IF($C24="",0,SUMIF('DADOS BRUTOS'!$A$3:$A$500,$C24,'DADOS BRUTOS'!Z$3:Z$500)))</f>
        <v>0</v>
      </c>
      <c r="DA24" s="133" t="n">
        <f aca="false">IF(OR(DA$4="",$B24=""),0,SUMIF('DADOS BRUTOS'!$A$3:$A$500,$B24,'DADOS BRUTOS'!AA$3:AA$500)+IF($C24="",0,SUMIF('DADOS BRUTOS'!$A$3:$A$500,$C24,'DADOS BRUTOS'!AA$3:AA$500)))</f>
        <v>0</v>
      </c>
      <c r="DB24" s="133" t="n">
        <f aca="false">IF(OR(DB$4="",$B24=""),0,SUMIF('DADOS BRUTOS'!$A$3:$A$500,$B24,'DADOS BRUTOS'!AB$3:AB$500)+IF($C24="",0,SUMIF('DADOS BRUTOS'!$A$3:$A$500,$C24,'DADOS BRUTOS'!AB$3:AB$500)))</f>
        <v>0</v>
      </c>
      <c r="DC24" s="133" t="n">
        <f aca="false">IF(OR(DC$4="",$B24=""),0,SUMIF('DADOS BRUTOS'!$A$3:$A$500,$B24,'DADOS BRUTOS'!AC$3:AC$500)+IF($C24="",0,SUMIF('DADOS BRUTOS'!$A$3:$A$500,$C24,'DADOS BRUTOS'!AC$3:AC$500)))</f>
        <v>0</v>
      </c>
      <c r="DD24" s="133" t="n">
        <f aca="false">IF(OR(DD$4="",$B24=""),0,SUMIF('DADOS BRUTOS'!$A$3:$A$500,$B24,'DADOS BRUTOS'!AD$3:AD$500)+IF($C24="",0,SUMIF('DADOS BRUTOS'!$A$3:$A$500,$C24,'DADOS BRUTOS'!AD$3:AD$500)))</f>
        <v>869.6</v>
      </c>
      <c r="DE24" s="133" t="n">
        <f aca="false">IF(OR(DE$4="",$B24=""),0,SUMIF('DADOS BRUTOS'!$A$3:$A$500,$B24,'DADOS BRUTOS'!AE$3:AE$500)+IF($C24="",0,SUMIF('DADOS BRUTOS'!$A$3:$A$500,$C24,'DADOS BRUTOS'!AE$3:AE$500)))</f>
        <v>0</v>
      </c>
      <c r="DF24" s="133" t="n">
        <f aca="false">IF(OR(DF$4="",$B24=""),0,SUMIF('DADOS BRUTOS'!$A$3:$A$500,$B24,'DADOS BRUTOS'!AF$3:AF$500)+IF($C24="",0,SUMIF('DADOS BRUTOS'!$A$3:$A$500,$C24,'DADOS BRUTOS'!AF$3:AF$500)))</f>
        <v>0</v>
      </c>
      <c r="DG24" s="133" t="n">
        <f aca="false">IF(OR(DG$4="",$B24=""),0,SUMIF('DADOS BRUTOS'!$A$3:$A$500,$B24,'DADOS BRUTOS'!AG$3:AG$500)+IF($C24="",0,SUMIF('DADOS BRUTOS'!$A$3:$A$500,$C24,'DADOS BRUTOS'!AG$3:AG$500)))</f>
        <v>0</v>
      </c>
      <c r="DH24" s="133" t="n">
        <f aca="false">IF(OR(DH$4="",$B24=""),0,SUMIF('DADOS BRUTOS'!$A$3:$A$500,$B24,'DADOS BRUTOS'!AH$3:AH$500)+IF($C24="",0,SUMIF('DADOS BRUTOS'!$A$3:$A$500,$C24,'DADOS BRUTOS'!AH$3:AH$500)))</f>
        <v>0</v>
      </c>
      <c r="DI24" s="133" t="n">
        <f aca="false">IF(OR(DI$4="",$B24=""),0,SUMIF('DADOS BRUTOS'!$A$3:$A$500,$B24,'DADOS BRUTOS'!AI$3:AI$500)+IF($C24="",0,SUMIF('DADOS BRUTOS'!$A$3:$A$500,$C24,'DADOS BRUTOS'!AI$3:AI$500)))</f>
        <v>0</v>
      </c>
      <c r="DJ24" s="133" t="n">
        <f aca="false">IF(OR(DJ$4="",$B24=""),0,SUMIF('DADOS BRUTOS'!$A$3:$A$500,$B24,'DADOS BRUTOS'!AJ$3:AJ$500)+IF($C24="",0,SUMIF('DADOS BRUTOS'!$A$3:$A$500,$C24,'DADOS BRUTOS'!AJ$3:AJ$500)))</f>
        <v>0</v>
      </c>
      <c r="DK24" s="133" t="n">
        <f aca="false">IF(OR(DK$4="",$B24=""),0,SUMIF('DADOS BRUTOS'!$A$3:$A$500,$B24,'DADOS BRUTOS'!AK$3:AK$500)+IF($C24="",0,SUMIF('DADOS BRUTOS'!$A$3:$A$500,$C24,'DADOS BRUTOS'!AK$3:AK$500)))</f>
        <v>0</v>
      </c>
      <c r="DL24" s="133" t="n">
        <f aca="false">IF(OR(DL$4="",$B24=""),0,SUMIF('DADOS BRUTOS'!$A$3:$A$500,$B24,'DADOS BRUTOS'!AL$3:AL$500)+IF($C24="",0,SUMIF('DADOS BRUTOS'!$A$3:$A$500,$C24,'DADOS BRUTOS'!AL$3:AL$500)))</f>
        <v>0</v>
      </c>
      <c r="DM24" s="133" t="n">
        <f aca="false">IF(OR(DM$4="",$B24=""),0,SUMIF('DADOS BRUTOS'!$A$3:$A$500,$B24,'DADOS BRUTOS'!AM$3:AM$500)+IF($C24="",0,SUMIF('DADOS BRUTOS'!$A$3:$A$500,$C24,'DADOS BRUTOS'!AM$3:AM$500)))</f>
        <v>0</v>
      </c>
      <c r="DN24" s="133" t="n">
        <f aca="false">IF(OR(DN$4="",$B24=""),0,SUMIF('DADOS BRUTOS'!$A$3:$A$500,$B24,'DADOS BRUTOS'!AN$3:AN$500)+IF($C24="",0,SUMIF('DADOS BRUTOS'!$A$3:$A$500,$C24,'DADOS BRUTOS'!AN$3:AN$500)))</f>
        <v>182.9</v>
      </c>
      <c r="DO24" s="133" t="n">
        <f aca="false">IF(OR(DO$4="",$B24=""),0,SUMIF('DADOS BRUTOS'!$A$3:$A$500,$B24,'DADOS BRUTOS'!AO$3:AO$500)+IF($C24="",0,SUMIF('DADOS BRUTOS'!$A$3:$A$500,$C24,'DADOS BRUTOS'!AO$3:AO$500)))</f>
        <v>0</v>
      </c>
      <c r="DP24" s="133" t="n">
        <f aca="false">IF(OR(DP$4="",$B24=""),0,SUMIF('DADOS BRUTOS'!$A$3:$A$500,$B24,'DADOS BRUTOS'!AP$3:AP$500)+IF($C24="",0,SUMIF('DADOS BRUTOS'!$A$3:$A$500,$C24,'DADOS BRUTOS'!AP$3:AP$500)))</f>
        <v>0</v>
      </c>
      <c r="DQ24" s="133" t="n">
        <f aca="false">IF(OR(DQ$4="",$B24=""),0,SUMIF('DADOS BRUTOS'!$A$3:$A$500,$B24,'DADOS BRUTOS'!AQ$3:AQ$500)+IF($C24="",0,SUMIF('DADOS BRUTOS'!$A$3:$A$500,$C24,'DADOS BRUTOS'!AQ$3:AQ$500)))</f>
        <v>0</v>
      </c>
      <c r="DR24" s="133" t="n">
        <f aca="false">IF(OR(DR$4="",$B24=""),0,SUMIF('DADOS BRUTOS'!$A$3:$A$500,$B24,'DADOS BRUTOS'!AR$3:AR$500)+IF($C24="",0,SUMIF('DADOS BRUTOS'!$A$3:$A$500,$C24,'DADOS BRUTOS'!AR$3:AR$500)))</f>
        <v>272179.12</v>
      </c>
      <c r="DS24" s="133" t="n">
        <f aca="false">IF(OR(DS$4="",$B24=""),0,SUMIF('DADOS BRUTOS'!$A$3:$A$500,$B24,'DADOS BRUTOS'!AS$3:AS$500)+IF($C24="",0,SUMIF('DADOS BRUTOS'!$A$3:$A$500,$C24,'DADOS BRUTOS'!AS$3:AS$500)))</f>
        <v>26283.33</v>
      </c>
      <c r="DT24" s="133" t="n">
        <f aca="false">IF(OR(DT$4="",$B24=""),0,SUMIF('DADOS BRUTOS'!$A$3:$A$500,$B24,'DADOS BRUTOS'!AT$3:AT$500)+IF($C24="",0,SUMIF('DADOS BRUTOS'!$A$3:$A$500,$C24,'DADOS BRUTOS'!AT$3:AT$500)))</f>
        <v>5272.91</v>
      </c>
      <c r="DU24" s="133" t="n">
        <f aca="false">IF(OR(DU$4="",$B24=""),0,SUMIF('DADOS BRUTOS'!$A$3:$A$500,$B24,'DADOS BRUTOS'!AU$3:AU$500)+IF($C24="",0,SUMIF('DADOS BRUTOS'!$A$3:$A$500,$C24,'DADOS BRUTOS'!AU$3:AU$500)))</f>
        <v>2574.8</v>
      </c>
      <c r="DV24" s="133" t="n">
        <f aca="false">IF(OR(DV$4="",$B24=""),0,SUMIF('DADOS BRUTOS'!$A$3:$A$500,$B24,'DADOS BRUTOS'!AV$3:AV$500)+IF($C24="",0,SUMIF('DADOS BRUTOS'!$A$3:$A$500,$C24,'DADOS BRUTOS'!AV$3:AV$500)))</f>
        <v>2699.76</v>
      </c>
      <c r="DW24" s="133" t="n">
        <f aca="false">IF(OR(DW$4="",$B24=""),0,SUMIF('DADOS BRUTOS'!$A$3:$A$500,$B24,'DADOS BRUTOS'!AW$3:AW$500)+IF($C24="",0,SUMIF('DADOS BRUTOS'!$A$3:$A$500,$C24,'DADOS BRUTOS'!AW$3:AW$500)))</f>
        <v>6812.89</v>
      </c>
      <c r="DX24" s="133" t="n">
        <f aca="false">IF(OR(DX$4="",$B24=""),0,SUMIF('DADOS BRUTOS'!$A$3:$A$500,$B24,'DADOS BRUTOS'!AX$3:AX$500)+IF($C24="",0,SUMIF('DADOS BRUTOS'!$A$3:$A$500,$C24,'DADOS BRUTOS'!AX$3:AX$500)))</f>
        <v>7848.83</v>
      </c>
      <c r="DY24" s="133" t="n">
        <f aca="false">IF(OR(DY$4="",$B24=""),0,SUMIF('DADOS BRUTOS'!$A$3:$A$500,$B24,'DADOS BRUTOS'!AY$3:AY$500)+IF($C24="",0,SUMIF('DADOS BRUTOS'!$A$3:$A$500,$C24,'DADOS BRUTOS'!AY$3:AY$500)))</f>
        <v>14051.66</v>
      </c>
      <c r="DZ24" s="133" t="n">
        <f aca="false">IF(OR(DZ$4="",$B24=""),0,SUMIF('DADOS BRUTOS'!$A$3:$A$500,$B24,'DADOS BRUTOS'!AZ$3:AZ$500)+IF($C24="",0,SUMIF('DADOS BRUTOS'!$A$3:$A$500,$C24,'DADOS BRUTOS'!AZ$3:AZ$500)))</f>
        <v>21204.58</v>
      </c>
      <c r="EA24" s="133" t="n">
        <f aca="false">IF(OR(EA$4="",$B24=""),0,SUMIF('DADOS BRUTOS'!$A$3:$A$500,$B24,'DADOS BRUTOS'!BA$3:BA$500)+IF($C24="",0,SUMIF('DADOS BRUTOS'!$A$3:$A$500,$C24,'DADOS BRUTOS'!BA$3:BA$500)))</f>
        <v>27958.4</v>
      </c>
      <c r="EB24" s="133" t="n">
        <f aca="false">IF(OR(EB$4="",$B24=""),0,SUMIF('DADOS BRUTOS'!$A$3:$A$500,$B24,'DADOS BRUTOS'!BB$3:BB$500)+IF($C24="",0,SUMIF('DADOS BRUTOS'!$A$3:$A$500,$C24,'DADOS BRUTOS'!BB$3:BB$500)))</f>
        <v>35422.41</v>
      </c>
      <c r="EC24" s="133" t="n">
        <f aca="false">IF(OR(EC$4="",$B24=""),0,SUMIF('DADOS BRUTOS'!$A$3:$A$500,$B24,'DADOS BRUTOS'!BC$3:BC$500)+IF($C24="",0,SUMIF('DADOS BRUTOS'!$A$3:$A$500,$C24,'DADOS BRUTOS'!BC$3:BC$500)))</f>
        <v>85098.16</v>
      </c>
      <c r="ED24" s="133" t="n">
        <f aca="false">IF(OR(ED$4="",$B24=""),0,SUMIF('DADOS BRUTOS'!$A$3:$A$500,$B24,'DADOS BRUTOS'!BD$3:BD$500)+IF($C24="",0,SUMIF('DADOS BRUTOS'!$A$3:$A$500,$C24,'DADOS BRUTOS'!BD$3:BD$500)))</f>
        <v>79167.5</v>
      </c>
      <c r="EE24" s="133" t="n">
        <f aca="false">IF(OR(EE$4="",$B24=""),0,SUMIF('DADOS BRUTOS'!$A$3:$A$500,$B24,'DADOS BRUTOS'!BE$3:BE$500)+IF($C24="",0,SUMIF('DADOS BRUTOS'!$A$3:$A$500,$C24,'DADOS BRUTOS'!BE$3:BE$500)))</f>
        <v>20138.18</v>
      </c>
      <c r="EF24" s="133" t="n">
        <f aca="false">IF(OR(EF$4="",$B24=""),0,SUMIF('DADOS BRUTOS'!$A$3:$A$500,$B24,'DADOS BRUTOS'!BF$3:BF$500)+IF($C24="",0,SUMIF('DADOS BRUTOS'!$A$3:$A$500,$C24,'DADOS BRUTOS'!BF$3:BF$500)))</f>
        <v>3216.16</v>
      </c>
      <c r="EG24" s="133" t="n">
        <f aca="false">IF(OR(EG$4="",$B24=""),0,SUMIF('DADOS BRUTOS'!$A$3:$A$500,$B24,'DADOS BRUTOS'!BG$3:BG$500)+IF($C24="",0,SUMIF('DADOS BRUTOS'!$A$3:$A$500,$C24,'DADOS BRUTOS'!BG$3:BG$500)))</f>
        <v>0</v>
      </c>
      <c r="EH24" s="133" t="n">
        <f aca="false">IF(OR(EH$4="",$B24=""),0,SUMIF('DADOS BRUTOS'!$A$3:$A$500,$B24,'DADOS BRUTOS'!BH$3:BH$500)+IF($C24="",0,SUMIF('DADOS BRUTOS'!$A$3:$A$500,$C24,'DADOS BRUTOS'!BH$3:BH$500)))</f>
        <v>0</v>
      </c>
      <c r="EI24" s="133" t="n">
        <f aca="false">IF(OR(EI$4="",$B24=""),0,SUMIF('DADOS BRUTOS'!$A$3:$A$500,$B24,'DADOS BRUTOS'!BI$3:BI$500)+IF($C24="",0,SUMIF('DADOS BRUTOS'!$A$3:$A$500,$C24,'DADOS BRUTOS'!BI$3:BI$500)))</f>
        <v>0</v>
      </c>
      <c r="EJ24" s="133" t="n">
        <f aca="false">IF(OR(EJ$4="",$B24=""),0,SUMIF('DADOS BRUTOS'!$A$3:$A$500,$B24,'DADOS BRUTOS'!BJ$3:BJ$500)+IF($C24="",0,SUMIF('DADOS BRUTOS'!$A$3:$A$500,$C24,'DADOS BRUTOS'!BJ$3:BJ$500)))</f>
        <v>0</v>
      </c>
      <c r="EK24" s="133" t="n">
        <f aca="false">IF(OR(EK$4="",$B24=""),0,SUMIF('DADOS BRUTOS'!$A$3:$A$500,$B24,'DADOS BRUTOS'!BK$3:BK$500)+IF($C24="",0,SUMIF('DADOS BRUTOS'!$A$3:$A$500,$C24,'DADOS BRUTOS'!BK$3:BK$500)))</f>
        <v>0</v>
      </c>
      <c r="EL24" s="133" t="n">
        <f aca="false">IF(OR(EL$4="",$B24=""),0,SUMIF('DADOS BRUTOS'!$A$3:$A$500,$B24,'DADOS BRUTOS'!BL$3:BL$500)+IF($C24="",0,SUMIF('DADOS BRUTOS'!$A$3:$A$500,$C24,'DADOS BRUTOS'!BL$3:BL$500)))</f>
        <v>0</v>
      </c>
      <c r="EM24" s="133" t="n">
        <f aca="false">IF(OR(EM$4="",$B24=""),0,SUMIF('DADOS BRUTOS'!$A$3:$A$500,$B24,'DADOS BRUTOS'!BM$3:BM$500)+IF($C24="",0,SUMIF('DADOS BRUTOS'!$A$3:$A$500,$C24,'DADOS BRUTOS'!BM$3:BM$500)))</f>
        <v>0</v>
      </c>
      <c r="EN24" s="133" t="n">
        <f aca="false">IF(OR(EN$4="",$B24=""),0,SUMIF('DADOS BRUTOS'!$A$3:$A$500,$B24,'DADOS BRUTOS'!BN$3:BN$500)+IF($C24="",0,SUMIF('DADOS BRUTOS'!$A$3:$A$500,$C24,'DADOS BRUTOS'!BN$3:BN$500)))</f>
        <v>0</v>
      </c>
      <c r="EO24" s="133" t="n">
        <f aca="false">IF(OR(EO$4="",$B24=""),0,SUMIF('DADOS BRUTOS'!$A$3:$A$500,$B24,'DADOS BRUTOS'!BO$3:BO$500)+IF($C24="",0,SUMIF('DADOS BRUTOS'!$A$3:$A$500,$C24,'DADOS BRUTOS'!BO$3:BO$500)))</f>
        <v>0</v>
      </c>
      <c r="EP24" s="133" t="n">
        <f aca="false">IF(OR(EP$4="",$B24=""),0,SUMIF('DADOS BRUTOS'!$A$3:$A$500,$B24,'DADOS BRUTOS'!BP$3:BP$500)+IF($C24="",0,SUMIF('DADOS BRUTOS'!$A$3:$A$500,$C24,'DADOS BRUTOS'!BP$3:BP$500)))</f>
        <v>0</v>
      </c>
      <c r="EQ24" s="133" t="n">
        <f aca="false">IF(OR(EQ$4="",$B24=""),0,SUMIF('DADOS BRUTOS'!$A$3:$A$500,$B24,'DADOS BRUTOS'!BQ$3:BQ$500)+IF($C24="",0,SUMIF('DADOS BRUTOS'!$A$3:$A$500,$C24,'DADOS BRUTOS'!BQ$3:BQ$500)))</f>
        <v>0</v>
      </c>
      <c r="ER24" s="133" t="n">
        <f aca="false">IF(OR(ER$4="",$B24=""),0,SUMIF('DADOS BRUTOS'!$A$3:$A$500,$B24,'DADOS BRUTOS'!BR$3:BR$500)+IF($C24="",0,SUMIF('DADOS BRUTOS'!$A$3:$A$500,$C24,'DADOS BRUTOS'!BR$3:BR$500)))</f>
        <v>0</v>
      </c>
      <c r="ES24" s="133" t="n">
        <f aca="false">IF(OR(ES$4="",$B24=""),0,SUMIF('DADOS BRUTOS'!$A$3:$A$500,$B24,'DADOS BRUTOS'!BS$3:BS$500)+IF($C24="",0,SUMIF('DADOS BRUTOS'!$A$3:$A$500,$C24,'DADOS BRUTOS'!BS$3:BS$500)))</f>
        <v>0</v>
      </c>
      <c r="ET24" s="133" t="n">
        <f aca="false">IF(OR(ET$4="",$B24=""),0,SUMIF('DADOS BRUTOS'!$A$3:$A$500,$B24,'DADOS BRUTOS'!BT$3:BT$500)+IF($C24="",0,SUMIF('DADOS BRUTOS'!$A$3:$A$500,$C24,'DADOS BRUTOS'!BT$3:BT$500)))</f>
        <v>0</v>
      </c>
      <c r="EU24" s="133" t="n">
        <f aca="false">IF(OR(EU$4="",$B24=""),0,SUMIF('DADOS BRUTOS'!$A$3:$A$500,$B24,'DADOS BRUTOS'!BU$3:BU$500)+IF($C24="",0,SUMIF('DADOS BRUTOS'!$A$3:$A$500,$C24,'DADOS BRUTOS'!BU$3:BU$500)))</f>
        <v>0</v>
      </c>
      <c r="EV24" s="133" t="n">
        <f aca="false">IF(OR(EV$4="",$B24=""),0,SUMIF('DADOS BRUTOS'!$A$3:$A$500,$B24,'DADOS BRUTOS'!BV$3:BV$500)+IF($C24="",0,SUMIF('DADOS BRUTOS'!$A$3:$A$500,$C24,'DADOS BRUTOS'!BV$3:BV$500)))</f>
        <v>0</v>
      </c>
      <c r="EW24" s="133" t="n">
        <f aca="false">IF(OR(EW$4="",$B24=""),0,SUMIF('DADOS BRUTOS'!$A$3:$A$500,$B24,'DADOS BRUTOS'!BW$3:BW$500)+IF($C24="",0,SUMIF('DADOS BRUTOS'!$A$3:$A$500,$C24,'DADOS BRUTOS'!BW$3:BW$500)))</f>
        <v>0</v>
      </c>
      <c r="EX24" s="133" t="n">
        <f aca="false">IF(OR(EX$4="",$B24=""),0,SUMIF('DADOS BRUTOS'!$A$3:$A$500,$B24,'DADOS BRUTOS'!BX$3:BX$500)+IF($C24="",0,SUMIF('DADOS BRUTOS'!$A$3:$A$500,$C24,'DADOS BRUTOS'!BX$3:BX$500)))</f>
        <v>0</v>
      </c>
      <c r="EY24" s="133" t="n">
        <f aca="false">IF(OR(EY$4="",$B24=""),0,SUMIF('DADOS BRUTOS'!$A$3:$A$500,$B24,'DADOS BRUTOS'!BY$3:BY$500)+IF($C24="",0,SUMIF('DADOS BRUTOS'!$A$3:$A$500,$C24,'DADOS BRUTOS'!BY$3:BY$500)))</f>
        <v>0</v>
      </c>
      <c r="EZ24" s="133" t="n">
        <f aca="false">IF(OR(EZ$4="",$B24=""),0,SUMIF('DADOS BRUTOS'!$A$3:$A$500,$B24,'DADOS BRUTOS'!BZ$3:BZ$500)+IF($C24="",0,SUMIF('DADOS BRUTOS'!$A$3:$A$500,$C24,'DADOS BRUTOS'!BZ$3:BZ$500)))</f>
        <v>0</v>
      </c>
      <c r="FA24" s="133" t="n">
        <f aca="false">IF(OR(FA$4="",$B24=""),0,SUMIF('DADOS BRUTOS'!$A$3:$A$500,$B24,'DADOS BRUTOS'!CA$3:CA$500)+IF($C24="",0,SUMIF('DADOS BRUTOS'!$A$3:$A$500,$C24,'DADOS BRUTOS'!CA$3:CA$500)))</f>
        <v>0</v>
      </c>
      <c r="FB24" s="133" t="n">
        <f aca="false">IF(OR(FB$4="",$B24=""),0,SUMIF('DADOS BRUTOS'!$A$3:$A$500,$B24,'DADOS BRUTOS'!CB$3:CB$500)+IF($C24="",0,SUMIF('DADOS BRUTOS'!$A$3:$A$500,$C24,'DADOS BRUTOS'!CB$3:CB$500)))</f>
        <v>0</v>
      </c>
      <c r="FC24" s="133" t="n">
        <f aca="false">IF(OR(FC$4="",$B24=""),0,SUMIF('DADOS BRUTOS'!$A$3:$A$500,$B24,'DADOS BRUTOS'!CC$3:CC$500)+IF($C24="",0,SUMIF('DADOS BRUTOS'!$A$3:$A$500,$C24,'DADOS BRUTOS'!CC$3:CC$500)))</f>
        <v>0</v>
      </c>
      <c r="FD24" s="133" t="n">
        <f aca="false">IF(OR(FD$4="",$B24=""),0,SUMIF('DADOS BRUTOS'!$A$3:$A$500,$B24,'DADOS BRUTOS'!CD$3:CD$500)+IF($C24="",0,SUMIF('DADOS BRUTOS'!$A$3:$A$500,$C24,'DADOS BRUTOS'!CD$3:CD$500)))</f>
        <v>0</v>
      </c>
      <c r="FE24" s="133" t="n">
        <f aca="false">IF(OR(FE$4="",$B24=""),0,SUMIF('DADOS BRUTOS'!$A$3:$A$500,$B24,'DADOS BRUTOS'!CE$3:CE$500)+IF($C24="",0,SUMIF('DADOS BRUTOS'!$A$3:$A$500,$C24,'DADOS BRUTOS'!CE$3:CE$500)))</f>
        <v>0</v>
      </c>
      <c r="FF24" s="133" t="n">
        <f aca="false">IF(OR(FF$4="",$B24=""),0,SUMIF('DADOS BRUTOS'!$A$3:$A$500,$B24,'DADOS BRUTOS'!CF$3:CF$500)+IF($C24="",0,SUMIF('DADOS BRUTOS'!$A$3:$A$500,$C24,'DADOS BRUTOS'!CF$3:CF$500)))</f>
        <v>0</v>
      </c>
      <c r="FG24" s="133" t="n">
        <f aca="false">IF(OR(FG$4="",$B24=""),0,SUMIF('DADOS BRUTOS'!$A$3:$A$500,$B24,'DADOS BRUTOS'!CG$3:CG$500)+IF($C24="",0,SUMIF('DADOS BRUTOS'!$A$3:$A$500,$C24,'DADOS BRUTOS'!CG$3:CG$500)))</f>
        <v>0</v>
      </c>
      <c r="FH24" s="133" t="n">
        <f aca="false">IF(OR(FH$4="",$B24=""),0,SUMIF('DADOS BRUTOS'!$A$3:$A$500,$B24,'DADOS BRUTOS'!CH$3:CH$500)+IF($C24="",0,SUMIF('DADOS BRUTOS'!$A$3:$A$500,$C24,'DADOS BRUTOS'!CH$3:CH$500)))</f>
        <v>0</v>
      </c>
      <c r="FI24" s="133" t="n">
        <f aca="false">IF(OR(FI$4="",$B24=""),0,SUMIF('DADOS BRUTOS'!$A$3:$A$500,$B24,'DADOS BRUTOS'!CI$3:CI$500)+IF($C24="",0,SUMIF('DADOS BRUTOS'!$A$3:$A$500,$C24,'DADOS BRUTOS'!CI$3:CI$500)))</f>
        <v>0</v>
      </c>
      <c r="FJ24" s="133" t="n">
        <f aca="false">IF(OR(FJ$4="",$B24=""),0,SUMIF('DADOS BRUTOS'!$A$3:$A$500,$B24,'DADOS BRUTOS'!CJ$3:CJ$500)+IF($C24="",0,SUMIF('DADOS BRUTOS'!$A$3:$A$500,$C24,'DADOS BRUTOS'!CJ$3:CJ$500)))</f>
        <v>0</v>
      </c>
      <c r="FK24" s="133" t="n">
        <f aca="false">IF(OR(FK$4="",$B24=""),0,SUMIF('DADOS BRUTOS'!$A$3:$A$500,$B24,'DADOS BRUTOS'!CK$3:CK$500)+IF($C24="",0,SUMIF('DADOS BRUTOS'!$A$3:$A$500,$C24,'DADOS BRUTOS'!CK$3:CK$500)))</f>
        <v>0</v>
      </c>
      <c r="FL24" s="133" t="n">
        <f aca="false">IF(OR(FL$4="",$B24=""),0,SUMIF('DADOS BRUTOS'!$A$3:$A$500,$B24,'DADOS BRUTOS'!CL$3:CL$500)+IF($C24="",0,SUMIF('DADOS BRUTOS'!$A$3:$A$500,$C24,'DADOS BRUTOS'!CL$3:CL$500)))</f>
        <v>0</v>
      </c>
      <c r="FM24" s="133" t="n">
        <f aca="false">IF(OR(FM$4="",$B24=""),0,SUMIF('DADOS BRUTOS'!$A$3:$A$500,$B24,'DADOS BRUTOS'!CM$3:CM$500)+IF($C24="",0,SUMIF('DADOS BRUTOS'!$A$3:$A$500,$C24,'DADOS BRUTOS'!CM$3:CM$500)))</f>
        <v>0</v>
      </c>
      <c r="FN24" s="133" t="n">
        <f aca="false">IF(OR(FN$4="",$B24=""),0,SUMIF('DADOS BRUTOS'!$A$3:$A$500,$B24,'DADOS BRUTOS'!CN$3:CN$500)+IF($C24="",0,SUMIF('DADOS BRUTOS'!$A$3:$A$500,$C24,'DADOS BRUTOS'!CN$3:CN$500)))</f>
        <v>0</v>
      </c>
      <c r="FO24" s="133" t="n">
        <f aca="false">IF(OR(FO$4="",$B24=""),0,SUMIF('DADOS BRUTOS'!$A$3:$A$500,$B24,'DADOS BRUTOS'!CO$3:CO$500)+IF($C24="",0,SUMIF('DADOS BRUTOS'!$A$3:$A$500,$C24,'DADOS BRUTOS'!CO$3:CO$500)))</f>
        <v>0</v>
      </c>
      <c r="FP24" s="133" t="n">
        <f aca="false">IF(OR(FP$4="",$B24=""),0,SUMIF('DADOS BRUTOS'!$A$3:$A$500,$B24,'DADOS BRUTOS'!CP$3:CP$500)+IF($C24="",0,SUMIF('DADOS BRUTOS'!$A$3:$A$500,$C24,'DADOS BRUTOS'!CP$3:CP$500)))</f>
        <v>0</v>
      </c>
      <c r="FQ24" s="133" t="n">
        <f aca="false">IF(OR(FQ$4="",$B24=""),0,SUMIF('DADOS BRUTOS'!$A$3:$A$500,$B24,'DADOS BRUTOS'!CQ$3:CQ$500)+IF($C24="",0,SUMIF('DADOS BRUTOS'!$A$3:$A$500,$C24,'DADOS BRUTOS'!CQ$3:CQ$500)))</f>
        <v>0</v>
      </c>
      <c r="FR24" s="133" t="n">
        <f aca="false">IF(OR(FR$4="",$B24=""),0,SUMIF('DADOS BRUTOS'!$A$3:$A$500,$B24,'DADOS BRUTOS'!CR$3:CR$500)+IF($C24="",0,SUMIF('DADOS BRUTOS'!$A$3:$A$500,$C24,'DADOS BRUTOS'!CR$3:CR$500)))</f>
        <v>0</v>
      </c>
      <c r="FS24" s="133" t="n">
        <f aca="false">IF(OR(FS$4="",$B24=""),0,SUMIF('DADOS BRUTOS'!$A$3:$A$500,$B24,'DADOS BRUTOS'!CS$3:CS$500)+IF($C24="",0,SUMIF('DADOS BRUTOS'!$A$3:$A$500,$C24,'DADOS BRUTOS'!CS$3:CS$500)))</f>
        <v>0</v>
      </c>
      <c r="FT24" s="133" t="n">
        <f aca="false">IF(OR(FT$4="",$B24=""),0,SUMIF('DADOS BRUTOS'!$A$3:$A$500,$B24,'DADOS BRUTOS'!CT$3:CT$500)+IF($C24="",0,SUMIF('DADOS BRUTOS'!$A$3:$A$500,$C24,'DADOS BRUTOS'!CT$3:CT$500)))</f>
        <v>0</v>
      </c>
      <c r="FU24" s="133" t="n">
        <f aca="false">IF(OR(FU$4="",$B24=""),0,SUMIF('DADOS BRUTOS'!$A$3:$A$500,$B24,'DADOS BRUTOS'!CU$3:CU$500)+IF($C24="",0,SUMIF('DADOS BRUTOS'!$A$3:$A$500,$C24,'DADOS BRUTOS'!CU$3:CU$500)))</f>
        <v>0</v>
      </c>
      <c r="FV24" s="133" t="n">
        <f aca="false">IF(OR(FV$4="",$B24=""),0,SUMIF('DADOS BRUTOS'!$A$3:$A$500,$B24,'DADOS BRUTOS'!CV$3:CV$500)+IF($C24="",0,SUMIF('DADOS BRUTOS'!$A$3:$A$500,$C24,'DADOS BRUTOS'!CV$3:CV$500)))</f>
        <v>0</v>
      </c>
      <c r="FW24" s="133" t="n">
        <f aca="false">IF(OR(FW$4="",$B24=""),0,SUMIF('DADOS BRUTOS'!$A$3:$A$500,$B24,'DADOS BRUTOS'!CW$3:CW$500)+IF($C24="",0,SUMIF('DADOS BRUTOS'!$A$3:$A$500,$C24,'DADOS BRUTOS'!CW$3:CW$500)))</f>
        <v>0</v>
      </c>
      <c r="FX24" s="133" t="n">
        <f aca="false">IF(OR(FX$4="",$B24=""),0,SUMIF('DADOS BRUTOS'!$A$3:$A$500,$B24,'DADOS BRUTOS'!CX$3:CX$500)+IF($C24="",0,SUMIF('DADOS BRUTOS'!$A$3:$A$500,$C24,'DADOS BRUTOS'!CX$3:CX$500)))</f>
        <v>0</v>
      </c>
      <c r="FY24" s="133" t="n">
        <f aca="false">IF(OR(FY$4="",$B24=""),0,SUMIF('DADOS BRUTOS'!$A$3:$A$500,$B24,'DADOS BRUTOS'!CY$3:CY$500)+IF($C24="",0,SUMIF('DADOS BRUTOS'!$A$3:$A$500,$C24,'DADOS BRUTOS'!CY$3:CY$500)))</f>
        <v>0</v>
      </c>
      <c r="FZ24" s="133" t="n">
        <f aca="false">IF(OR(FZ$4="",$B24=""),0,SUMIF('DADOS BRUTOS'!$A$3:$A$500,$B24,'DADOS BRUTOS'!CZ$3:CZ$500)+IF($C24="",0,SUMIF('DADOS BRUTOS'!$A$3:$A$500,$C24,'DADOS BRUTOS'!CZ$3:CZ$500)))</f>
        <v>0</v>
      </c>
      <c r="GA24" s="133" t="n">
        <f aca="false">IF(OR(GA$4="",$B24=""),0,SUMIF('DADOS BRUTOS'!$A$3:$A$500,$B24,'DADOS BRUTOS'!DA$3:DA$500)+IF($C24="",0,SUMIF('DADOS BRUTOS'!$A$3:$A$500,$C24,'DADOS BRUTOS'!DA$3:DA$500)))</f>
        <v>0</v>
      </c>
      <c r="GB24" s="133" t="n">
        <f aca="false">IF(OR(GB$4="",$B24=""),0,SUMIF('DADOS BRUTOS'!$A$3:$A$500,$B24,'DADOS BRUTOS'!DB$3:DB$500)+IF($C24="",0,SUMIF('DADOS BRUTOS'!$A$3:$A$500,$C24,'DADOS BRUTOS'!DB$3:DB$500)))</f>
        <v>0</v>
      </c>
      <c r="GC24" s="133" t="n">
        <f aca="false">IF(OR(GC$4="",$B24=""),0,SUMIF('DADOS BRUTOS'!$A$3:$A$500,$B24,'DADOS BRUTOS'!DC$3:DC$500)+IF($C24="",0,SUMIF('DADOS BRUTOS'!$A$3:$A$500,$C24,'DADOS BRUTOS'!DC$3:DC$500)))</f>
        <v>0</v>
      </c>
      <c r="GD24" s="133" t="n">
        <f aca="false">IF(OR(GD$4="",$B24=""),0,SUMIF('DADOS BRUTOS'!$A$3:$A$500,$B24,'DADOS BRUTOS'!DD$3:DD$500)+IF($C24="",0,SUMIF('DADOS BRUTOS'!$A$3:$A$500,$C24,'DADOS BRUTOS'!DD$3:DD$500)))</f>
        <v>0</v>
      </c>
      <c r="GE24" s="133" t="n">
        <f aca="false">IF(OR(GE$4="",$B24=""),0,SUMIF('DADOS BRUTOS'!$A$3:$A$500,$B24,'DADOS BRUTOS'!DE$3:DE$500)+IF($C24="",0,SUMIF('DADOS BRUTOS'!$A$3:$A$500,$C24,'DADOS BRUTOS'!DE$3:DE$500)))</f>
        <v>0</v>
      </c>
      <c r="GF24" s="133" t="n">
        <f aca="false">IF(OR(GF$4="",$B24=""),0,SUMIF('DADOS BRUTOS'!$A$3:$A$500,$B24,'DADOS BRUTOS'!DF$3:DF$500)+IF($C24="",0,SUMIF('DADOS BRUTOS'!$A$3:$A$500,$C24,'DADOS BRUTOS'!DF$3:DF$500)))</f>
        <v>0</v>
      </c>
      <c r="GG24" s="133" t="n">
        <f aca="false">IF(OR(GG$4="",$B24=""),0,SUMIF('DADOS BRUTOS'!$A$3:$A$500,$B24,'DADOS BRUTOS'!DG$3:DG$500)+IF($C24="",0,SUMIF('DADOS BRUTOS'!$A$3:$A$500,$C24,'DADOS BRUTOS'!DG$3:DG$500)))</f>
        <v>0</v>
      </c>
      <c r="GH24" s="133" t="n">
        <f aca="false">IF(OR(GH$4="",$B24=""),0,SUMIF('DADOS BRUTOS'!$A$3:$A$500,$B24,'DADOS BRUTOS'!DH$3:DH$500)+IF($C24="",0,SUMIF('DADOS BRUTOS'!$A$3:$A$500,$C24,'DADOS BRUTOS'!DH$3:DH$500)))</f>
        <v>0</v>
      </c>
      <c r="GI24" s="133" t="n">
        <f aca="false">IF(OR(GI$4="",$B24=""),0,SUMIF('DADOS BRUTOS'!$A$3:$A$500,$B24,'DADOS BRUTOS'!DI$3:DI$500)+IF($C24="",0,SUMIF('DADOS BRUTOS'!$A$3:$A$500,$C24,'DADOS BRUTOS'!DI$3:DI$500)))</f>
        <v>0</v>
      </c>
      <c r="GJ24" s="133" t="n">
        <f aca="false">IF(OR(GJ$4="",$B24=""),0,SUMIF('DADOS BRUTOS'!$A$3:$A$500,$B24,'DADOS BRUTOS'!DJ$3:DJ$500)+IF($C24="",0,SUMIF('DADOS BRUTOS'!$A$3:$A$500,$C24,'DADOS BRUTOS'!DJ$3:DJ$500)))</f>
        <v>0</v>
      </c>
      <c r="GK24" s="133" t="n">
        <f aca="false">IF(OR(GK$4="",$B24=""),0,SUMIF('DADOS BRUTOS'!$A$3:$A$500,$B24,'DADOS BRUTOS'!DK$3:DK$500)+IF($C24="",0,SUMIF('DADOS BRUTOS'!$A$3:$A$500,$C24,'DADOS BRUTOS'!DK$3:DK$500)))</f>
        <v>0</v>
      </c>
      <c r="GL24" s="133" t="n">
        <f aca="false">IF(OR(GL$4="",$B24=""),0,SUMIF('DADOS BRUTOS'!$A$3:$A$500,$B24,'DADOS BRUTOS'!DL$3:DL$500)+IF($C24="",0,SUMIF('DADOS BRUTOS'!$A$3:$A$500,$C24,'DADOS BRUTOS'!DL$3:DL$500)))</f>
        <v>0</v>
      </c>
      <c r="GM24" s="133" t="n">
        <f aca="false">IF(OR(GM$4="",$B24=""),0,SUMIF('DADOS BRUTOS'!$A$3:$A$500,$B24,'DADOS BRUTOS'!DM$3:DM$500)+IF($C24="",0,SUMIF('DADOS BRUTOS'!$A$3:$A$500,$C24,'DADOS BRUTOS'!DM$3:DM$500)))</f>
        <v>0</v>
      </c>
      <c r="GN24" s="133" t="n">
        <f aca="false">IF(OR(GN$4="",$B24=""),0,SUMIF('DADOS BRUTOS'!$A$3:$A$500,$B24,'DADOS BRUTOS'!DN$3:DN$500)+IF($C24="",0,SUMIF('DADOS BRUTOS'!$A$3:$A$500,$C24,'DADOS BRUTOS'!DN$3:DN$500)))</f>
        <v>0</v>
      </c>
      <c r="GO24" s="133" t="n">
        <f aca="false">IF(OR(GO$4="",$B24=""),0,SUMIF('DADOS BRUTOS'!$A$3:$A$500,$B24,'DADOS BRUTOS'!DO$3:DO$500)+IF($C24="",0,SUMIF('DADOS BRUTOS'!$A$3:$A$500,$C24,'DADOS BRUTOS'!DO$3:DO$500)))</f>
        <v>0</v>
      </c>
      <c r="GP24" s="133" t="n">
        <f aca="false">IF(OR(GP$4="",$B24=""),0,SUMIF('DADOS BRUTOS'!$A$3:$A$500,$B24,'DADOS BRUTOS'!DP$3:DP$500)+IF($C24="",0,SUMIF('DADOS BRUTOS'!$A$3:$A$500,$C24,'DADOS BRUTOS'!DP$3:DP$500)))</f>
        <v>0</v>
      </c>
      <c r="GQ24" s="133" t="n">
        <f aca="false">IF(OR(GQ$4="",$B24=""),0,SUMIF('DADOS BRUTOS'!$A$3:$A$500,$B24,'DADOS BRUTOS'!DQ$3:DQ$500)+IF($C24="",0,SUMIF('DADOS BRUTOS'!$A$3:$A$500,$C24,'DADOS BRUTOS'!DQ$3:DQ$500)))</f>
        <v>0</v>
      </c>
      <c r="GR24" s="133" t="n">
        <f aca="false">IF(OR(GR$4="",$B24=""),0,SUMIF('DADOS BRUTOS'!$A$3:$A$500,$B24,'DADOS BRUTOS'!DR$3:DR$500)+IF($C24="",0,SUMIF('DADOS BRUTOS'!$A$3:$A$500,$C24,'DADOS BRUTOS'!DR$3:DR$500)))</f>
        <v>0</v>
      </c>
      <c r="GS24" s="133" t="n">
        <f aca="false">IF(OR(GS$4="",$B24=""),0,SUMIF('DADOS BRUTOS'!$A$3:$A$500,$B24,'DADOS BRUTOS'!DS$3:DS$500)+IF($C24="",0,SUMIF('DADOS BRUTOS'!$A$3:$A$500,$C24,'DADOS BRUTOS'!DS$3:DS$500)))</f>
        <v>0</v>
      </c>
      <c r="GT24" s="133" t="n">
        <f aca="false">IF(OR(GT$4="",$B24=""),0,SUMIF('DADOS BRUTOS'!$A$3:$A$500,$B24,'DADOS BRUTOS'!DT$3:DT$500)+IF($C24="",0,SUMIF('DADOS BRUTOS'!$A$3:$A$500,$C24,'DADOS BRUTOS'!DT$3:DT$500)))</f>
        <v>0</v>
      </c>
      <c r="GU24" s="133" t="n">
        <f aca="false">IF(OR(GU$4="",$B24=""),0,SUMIF('DADOS BRUTOS'!$A$3:$A$500,$B24,'DADOS BRUTOS'!DU$3:DU$500)+IF($C24="",0,SUMIF('DADOS BRUTOS'!$A$3:$A$500,$C24,'DADOS BRUTOS'!DU$3:DU$500)))</f>
        <v>0</v>
      </c>
      <c r="GV24" s="133" t="n">
        <f aca="false">IF(OR(GV$4="",$B24=""),0,SUMIF('DADOS BRUTOS'!$A$3:$A$500,$B24,'DADOS BRUTOS'!DV$3:DV$500)+IF($C24="",0,SUMIF('DADOS BRUTOS'!$A$3:$A$500,$C24,'DADOS BRUTOS'!DV$3:DV$500)))</f>
        <v>0</v>
      </c>
      <c r="GW24" s="133" t="n">
        <f aca="false">IF(OR(GW$4="",$B24=""),0,SUMIF('DADOS BRUTOS'!$A$3:$A$500,$B24,'DADOS BRUTOS'!DW$3:DW$500)+IF($C24="",0,SUMIF('DADOS BRUTOS'!$A$3:$A$500,$C24,'DADOS BRUTOS'!DW$3:DW$500)))</f>
        <v>0</v>
      </c>
      <c r="GX24" s="133" t="n">
        <f aca="false">IF(OR(GX$4="",$B24=""),0,SUMIF('DADOS BRUTOS'!$A$3:$A$500,$B24,'DADOS BRUTOS'!DX$3:DX$500)+IF($C24="",0,SUMIF('DADOS BRUTOS'!$A$3:$A$500,$C24,'DADOS BRUTOS'!DX$3:DX$500)))</f>
        <v>0</v>
      </c>
      <c r="GY24" s="133" t="n">
        <f aca="false">IF(OR(GY$4="",$B24=""),0,SUMIF('DADOS BRUTOS'!$A$3:$A$500,$B24,'DADOS BRUTOS'!DY$3:DY$500)+IF($C24="",0,SUMIF('DADOS BRUTOS'!$A$3:$A$500,$C24,'DADOS BRUTOS'!DY$3:DY$500)))</f>
        <v>0</v>
      </c>
      <c r="GZ24" s="133" t="n">
        <f aca="false">IF(OR(GZ$4="",$B24=""),0,SUMIF('DADOS BRUTOS'!$A$3:$A$500,$B24,'DADOS BRUTOS'!DZ$3:DZ$500)+IF($C24="",0,SUMIF('DADOS BRUTOS'!$A$3:$A$500,$C24,'DADOS BRUTOS'!DZ$3:DZ$500)))</f>
        <v>0</v>
      </c>
      <c r="HA24" s="133" t="n">
        <f aca="false">IF(OR(HA$4="",$B24=""),0,SUMIF('DADOS BRUTOS'!$A$3:$A$500,$B24,'DADOS BRUTOS'!EA$3:EA$500)+IF($C24="",0,SUMIF('DADOS BRUTOS'!$A$3:$A$500,$C24,'DADOS BRUTOS'!EA$3:EA$500)))</f>
        <v>0</v>
      </c>
      <c r="HB24" s="133" t="n">
        <f aca="false">IF(OR(HB$4="",$B24=""),0,SUMIF('DADOS BRUTOS'!$A$3:$A$500,$B24,'DADOS BRUTOS'!EB$3:EB$500)+IF($C24="",0,SUMIF('DADOS BRUTOS'!$A$3:$A$500,$C24,'DADOS BRUTOS'!EB$3:EB$500)))</f>
        <v>0</v>
      </c>
      <c r="HC24" s="133" t="n">
        <f aca="false">IF(OR(HC$4="",$B24=""),0,SUMIF('DADOS BRUTOS'!$A$3:$A$500,$B24,'DADOS BRUTOS'!EC$3:EC$500)+IF($C24="",0,SUMIF('DADOS BRUTOS'!$A$3:$A$500,$C24,'DADOS BRUTOS'!EC$3:EC$500)))</f>
        <v>0</v>
      </c>
      <c r="HD24" s="133" t="n">
        <f aca="false">IF(OR(HD$4="",$B24=""),0,SUMIF('DADOS BRUTOS'!$A$3:$A$500,$B24,'DADOS BRUTOS'!ED$3:ED$500)+IF($C24="",0,SUMIF('DADOS BRUTOS'!$A$3:$A$500,$C24,'DADOS BRUTOS'!ED$3:ED$500)))</f>
        <v>0</v>
      </c>
      <c r="HE24" s="133" t="n">
        <f aca="false">IF(OR(HE$4="",$B24=""),0,SUMIF('DADOS BRUTOS'!$A$3:$A$500,$B24,'DADOS BRUTOS'!EE$3:EE$500)+IF($C24="",0,SUMIF('DADOS BRUTOS'!$A$3:$A$500,$C24,'DADOS BRUTOS'!EE$3:EE$500)))</f>
        <v>0</v>
      </c>
      <c r="HF24" s="133" t="n">
        <f aca="false">IF(OR(HF$4="",$B24=""),0,SUMIF('DADOS BRUTOS'!$A$3:$A$500,$B24,'DADOS BRUTOS'!EF$3:EF$500)+IF($C24="",0,SUMIF('DADOS BRUTOS'!$A$3:$A$500,$C24,'DADOS BRUTOS'!EF$3:EF$500)))</f>
        <v>0</v>
      </c>
      <c r="HG24" s="133" t="n">
        <f aca="false">IF(OR(HG$4="",$B24=""),0,SUMIF('DADOS BRUTOS'!$A$3:$A$500,$B24,'DADOS BRUTOS'!EG$3:EG$500)+IF($C24="",0,SUMIF('DADOS BRUTOS'!$A$3:$A$500,$C24,'DADOS BRUTOS'!EG$3:EG$500)))</f>
        <v>0</v>
      </c>
      <c r="HH24" s="133" t="n">
        <f aca="false">IF(OR(HH$4="",$B24=""),0,SUMIF('DADOS BRUTOS'!$A$3:$A$500,$B24,'DADOS BRUTOS'!EH$3:EH$500)+IF($C24="",0,SUMIF('DADOS BRUTOS'!$A$3:$A$500,$C24,'DADOS BRUTOS'!EH$3:EH$500)))</f>
        <v>0</v>
      </c>
      <c r="HI24" s="133" t="n">
        <f aca="false">IF(OR(HI$4="",$B24=""),0,SUMIF('DADOS BRUTOS'!$A$3:$A$500,$B24,'DADOS BRUTOS'!EI$3:EI$500)+IF($C24="",0,SUMIF('DADOS BRUTOS'!$A$3:$A$500,$C24,'DADOS BRUTOS'!EI$3:EI$500)))</f>
        <v>0</v>
      </c>
      <c r="HJ24" s="133" t="n">
        <f aca="false">IF(OR(HJ$4="",$B24=""),0,SUMIF('DADOS BRUTOS'!$A$3:$A$500,$B24,'DADOS BRUTOS'!EJ$3:EJ$500)+IF($C24="",0,SUMIF('DADOS BRUTOS'!$A$3:$A$500,$C24,'DADOS BRUTOS'!EJ$3:EJ$500)))</f>
        <v>0</v>
      </c>
      <c r="HK24" s="133" t="n">
        <f aca="false">IF(OR(HK$4="",$B24=""),0,SUMIF('DADOS BRUTOS'!$A$3:$A$500,$B24,'DADOS BRUTOS'!EK$3:EK$500)+IF($C24="",0,SUMIF('DADOS BRUTOS'!$A$3:$A$500,$C24,'DADOS BRUTOS'!EK$3:EK$500)))</f>
        <v>0</v>
      </c>
      <c r="HL24" s="133" t="n">
        <f aca="false">IF(OR(HL$4="",$B24=""),0,SUMIF('DADOS BRUTOS'!$A$3:$A$500,$B24,'DADOS BRUTOS'!EL$3:EL$500)+IF($C24="",0,SUMIF('DADOS BRUTOS'!$A$3:$A$500,$C24,'DADOS BRUTOS'!EL$3:EL$500)))</f>
        <v>0</v>
      </c>
      <c r="HM24" s="133" t="n">
        <f aca="false">IF(OR(HM$4="",$B24=""),0,SUMIF('DADOS BRUTOS'!$A$3:$A$500,$B24,'DADOS BRUTOS'!EM$3:EM$500)+IF($C24="",0,SUMIF('DADOS BRUTOS'!$A$3:$A$500,$C24,'DADOS BRUTOS'!EM$3:EM$500)))</f>
        <v>0</v>
      </c>
      <c r="HN24" s="133" t="n">
        <f aca="false">IF(OR(HN$4="",$B24=""),0,SUMIF('DADOS BRUTOS'!$A$3:$A$500,$B24,'DADOS BRUTOS'!EN$3:EN$500)+IF($C24="",0,SUMIF('DADOS BRUTOS'!$A$3:$A$500,$C24,'DADOS BRUTOS'!EN$3:EN$500)))</f>
        <v>0</v>
      </c>
      <c r="HO24" s="133" t="n">
        <f aca="false">IF(OR(HO$4="",$B24=""),0,SUMIF('DADOS BRUTOS'!$A$3:$A$500,$B24,'DADOS BRUTOS'!EO$3:EO$500)+IF($C24="",0,SUMIF('DADOS BRUTOS'!$A$3:$A$500,$C24,'DADOS BRUTOS'!EO$3:EO$500)))</f>
        <v>0</v>
      </c>
      <c r="HP24" s="133" t="n">
        <f aca="false">IF(OR(HP$4="",$B24=""),0,SUMIF('DADOS BRUTOS'!$A$3:$A$500,$B24,'DADOS BRUTOS'!EP$3:EP$500)+IF($C24="",0,SUMIF('DADOS BRUTOS'!$A$3:$A$500,$C24,'DADOS BRUTOS'!EP$3:EP$500)))</f>
        <v>0</v>
      </c>
      <c r="HQ24" s="133" t="n">
        <f aca="false">IF(OR(HQ$4="",$B24=""),0,SUMIF('DADOS BRUTOS'!$A$3:$A$500,$B24,'DADOS BRUTOS'!EQ$3:EQ$500)+IF($C24="",0,SUMIF('DADOS BRUTOS'!$A$3:$A$500,$C24,'DADOS BRUTOS'!EQ$3:EQ$500)))</f>
        <v>0</v>
      </c>
      <c r="HR24" s="133" t="n">
        <f aca="false">IF(OR(HR$4="",$B24=""),0,SUMIF('DADOS BRUTOS'!$A$3:$A$500,$B24,'DADOS BRUTOS'!ER$3:ER$500)+IF($C24="",0,SUMIF('DADOS BRUTOS'!$A$3:$A$500,$C24,'DADOS BRUTOS'!ER$3:ER$500)))</f>
        <v>0</v>
      </c>
      <c r="HS24" s="133" t="n">
        <f aca="false">IF(OR(HS$4="",$B24=""),0,SUMIF('DADOS BRUTOS'!$A$3:$A$500,$B24,'DADOS BRUTOS'!ES$3:ES$500)+IF($C24="",0,SUMIF('DADOS BRUTOS'!$A$3:$A$500,$C24,'DADOS BRUTOS'!ES$3:ES$500)))</f>
        <v>0</v>
      </c>
      <c r="HT24" s="133" t="n">
        <f aca="false">IF(OR(HT$4="",$B24=""),0,SUMIF('DADOS BRUTOS'!$A$3:$A$500,$B24,'DADOS BRUTOS'!ET$3:ET$500)+IF($C24="",0,SUMIF('DADOS BRUTOS'!$A$3:$A$500,$C24,'DADOS BRUTOS'!ET$3:ET$500)))</f>
        <v>0</v>
      </c>
      <c r="HU24" s="133" t="n">
        <f aca="false">IF(OR(HU$4="",$B24=""),0,SUMIF('DADOS BRUTOS'!$A$3:$A$500,$B24,'DADOS BRUTOS'!EU$3:EU$500)+IF($C24="",0,SUMIF('DADOS BRUTOS'!$A$3:$A$500,$C24,'DADOS BRUTOS'!EU$3:EU$500)))</f>
        <v>0</v>
      </c>
      <c r="HV24" s="133" t="n">
        <f aca="false">IF(OR(HV$4="",$B24=""),0,SUMIF('DADOS BRUTOS'!$A$3:$A$500,$B24,'DADOS BRUTOS'!EV$3:EV$500)+IF($C24="",0,SUMIF('DADOS BRUTOS'!$A$3:$A$500,$C24,'DADOS BRUTOS'!EV$3:EV$500)))</f>
        <v>0</v>
      </c>
      <c r="HW24" s="133" t="n">
        <f aca="false">IF(OR(HW$4="",$B24=""),0,SUMIF('DADOS BRUTOS'!$A$3:$A$500,$B24,'DADOS BRUTOS'!EW$3:EW$500)+IF($C24="",0,SUMIF('DADOS BRUTOS'!$A$3:$A$500,$C24,'DADOS BRUTOS'!EW$3:EW$500)))</f>
        <v>0</v>
      </c>
      <c r="HX24" s="133" t="n">
        <f aca="false">IF(OR(HX$4="",$B24=""),0,SUMIF('DADOS BRUTOS'!$A$3:$A$500,$B24,'DADOS BRUTOS'!EX$3:EX$500)+IF($C24="",0,SUMIF('DADOS BRUTOS'!$A$3:$A$500,$C24,'DADOS BRUTOS'!EX$3:EX$500)))</f>
        <v>0</v>
      </c>
      <c r="HY24" s="133" t="n">
        <f aca="false">IF(OR(HY$4="",$B24=""),0,SUMIF('DADOS BRUTOS'!$A$3:$A$500,$B24,'DADOS BRUTOS'!EY$3:EY$500)+IF($C24="",0,SUMIF('DADOS BRUTOS'!$A$3:$A$500,$C24,'DADOS BRUTOS'!EY$3:EY$500)))</f>
        <v>0</v>
      </c>
      <c r="HZ24" s="133" t="n">
        <f aca="false">IF(OR(HZ$4="",$B24=""),0,SUMIF('DADOS BRUTOS'!$A$3:$A$500,$B24,'DADOS BRUTOS'!EZ$3:EZ$500)+IF($C24="",0,SUMIF('DADOS BRUTOS'!$A$3:$A$500,$C24,'DADOS BRUTOS'!EZ$3:EZ$500)))</f>
        <v>0</v>
      </c>
      <c r="IA24" s="133" t="n">
        <f aca="false">IF(OR(IA$4="",$B24=""),0,SUMIF('DADOS BRUTOS'!$A$3:$A$500,$B24,'DADOS BRUTOS'!FA$3:FA$500)+IF($C24="",0,SUMIF('DADOS BRUTOS'!$A$3:$A$500,$C24,'DADOS BRUTOS'!FA$3:FA$500)))</f>
        <v>0</v>
      </c>
      <c r="IB24" s="133" t="n">
        <f aca="false">IF(OR(IB$4="",$B24=""),0,SUMIF('DADOS BRUTOS'!$A$3:$A$500,$B24,'DADOS BRUTOS'!FB$3:FB$500)+IF($C24="",0,SUMIF('DADOS BRUTOS'!$A$3:$A$500,$C24,'DADOS BRUTOS'!FB$3:FB$500)))</f>
        <v>0</v>
      </c>
      <c r="IC24" s="133" t="n">
        <f aca="false">IF(OR(IC$4="",$B24=""),0,SUMIF('DADOS BRUTOS'!$A$3:$A$500,$B24,'DADOS BRUTOS'!FC$3:FC$500)+IF($C24="",0,SUMIF('DADOS BRUTOS'!$A$3:$A$500,$C24,'DADOS BRUTOS'!FC$3:FC$500)))</f>
        <v>0</v>
      </c>
      <c r="ID24" s="133" t="n">
        <f aca="false">IF(OR(ID$4="",$B24=""),0,SUMIF('DADOS BRUTOS'!$A$3:$A$500,$B24,'DADOS BRUTOS'!FD$3:FD$500)+IF($C24="",0,SUMIF('DADOS BRUTOS'!$A$3:$A$500,$C24,'DADOS BRUTOS'!FD$3:FD$500)))</f>
        <v>0</v>
      </c>
      <c r="IE24" s="133" t="n">
        <f aca="false">IF(OR(IE$4="",$B24=""),0,SUMIF('DADOS BRUTOS'!$A$3:$A$500,$B24,'DADOS BRUTOS'!FE$3:FE$500)+IF($C24="",0,SUMIF('DADOS BRUTOS'!$A$3:$A$500,$C24,'DADOS BRUTOS'!FE$3:FE$500)))</f>
        <v>0</v>
      </c>
      <c r="IF24" s="133" t="n">
        <f aca="false">IF(OR(IF$4="",$B24=""),0,SUMIF('DADOS BRUTOS'!$A$3:$A$500,$B24,'DADOS BRUTOS'!FF$3:FF$500)+IF($C24="",0,SUMIF('DADOS BRUTOS'!$A$3:$A$500,$C24,'DADOS BRUTOS'!FF$3:FF$500)))</f>
        <v>0</v>
      </c>
      <c r="IG24" s="133" t="n">
        <f aca="false">IF(OR(IG$4="",$B24=""),0,SUMIF('DADOS BRUTOS'!$A$3:$A$500,$B24,'DADOS BRUTOS'!FG$3:FG$500)+IF($C24="",0,SUMIF('DADOS BRUTOS'!$A$3:$A$500,$C24,'DADOS BRUTOS'!FG$3:FG$500)))</f>
        <v>0</v>
      </c>
      <c r="IH24" s="133" t="n">
        <f aca="false">IF(OR(IH$4="",$B24=""),0,SUMIF('DADOS BRUTOS'!$A$3:$A$500,$B24,'DADOS BRUTOS'!FH$3:FH$500)+IF($C24="",0,SUMIF('DADOS BRUTOS'!$A$3:$A$500,$C24,'DADOS BRUTOS'!FH$3:FH$500)))</f>
        <v>0</v>
      </c>
      <c r="II24" s="133" t="n">
        <f aca="false">IF(OR(II$4="",$B24=""),0,SUMIF('DADOS BRUTOS'!$A$3:$A$500,$B24,'DADOS BRUTOS'!FI$3:FI$500)+IF($C24="",0,SUMIF('DADOS BRUTOS'!$A$3:$A$500,$C24,'DADOS BRUTOS'!FI$3:FI$500)))</f>
        <v>0</v>
      </c>
      <c r="IJ24" s="133" t="n">
        <f aca="false">IF(OR(IJ$4="",$B24=""),0,SUMIF('DADOS BRUTOS'!$A$3:$A$500,$B24,'DADOS BRUTOS'!FJ$3:FJ$500)+IF($C24="",0,SUMIF('DADOS BRUTOS'!$A$3:$A$500,$C24,'DADOS BRUTOS'!FJ$3:FJ$500)))</f>
        <v>0</v>
      </c>
      <c r="IK24" s="133" t="n">
        <f aca="false">IF(OR(IK$4="",$B24=""),0,SUMIF('DADOS BRUTOS'!$A$3:$A$500,$B24,'DADOS BRUTOS'!FK$3:FK$500)+IF($C24="",0,SUMIF('DADOS BRUTOS'!$A$3:$A$500,$C24,'DADOS BRUTOS'!FK$3:FK$500)))</f>
        <v>0</v>
      </c>
      <c r="IL24" s="133" t="n">
        <f aca="false">IF(OR(IL$4="",$B24=""),0,SUMIF('DADOS BRUTOS'!$A$3:$A$500,$B24,'DADOS BRUTOS'!FL$3:FL$500)+IF($C24="",0,SUMIF('DADOS BRUTOS'!$A$3:$A$500,$C24,'DADOS BRUTOS'!FL$3:FL$500)))</f>
        <v>0</v>
      </c>
      <c r="IM24" s="133" t="n">
        <f aca="false">IF(OR(IM$4="",$B24=""),0,SUMIF('DADOS BRUTOS'!$A$3:$A$500,$B24,'DADOS BRUTOS'!FM$3:FM$500)+IF($C24="",0,SUMIF('DADOS BRUTOS'!$A$3:$A$500,$C24,'DADOS BRUTOS'!FM$3:FM$500)))</f>
        <v>0</v>
      </c>
      <c r="IN24" s="133" t="n">
        <f aca="false">IF(OR(IN$4="",$B24=""),0,SUMIF('DADOS BRUTOS'!$A$3:$A$500,$B24,'DADOS BRUTOS'!FN$3:FN$500)+IF($C24="",0,SUMIF('DADOS BRUTOS'!$A$3:$A$500,$C24,'DADOS BRUTOS'!FN$3:FN$500)))</f>
        <v>0</v>
      </c>
      <c r="IO24" s="133" t="n">
        <f aca="false">IF(OR(IO$4="",$B24=""),0,SUMIF('DADOS BRUTOS'!$A$3:$A$500,$B24,'DADOS BRUTOS'!FO$3:FO$500)+IF($C24="",0,SUMIF('DADOS BRUTOS'!$A$3:$A$500,$C24,'DADOS BRUTOS'!FO$3:FO$500)))</f>
        <v>0</v>
      </c>
      <c r="IP24" s="133" t="n">
        <f aca="false">IF(OR(IP$4="",$B24=""),0,SUMIF('DADOS BRUTOS'!$A$3:$A$500,$B24,'DADOS BRUTOS'!FP$3:FP$500)+IF($C24="",0,SUMIF('DADOS BRUTOS'!$A$3:$A$500,$C24,'DADOS BRUTOS'!FP$3:FP$500)))</f>
        <v>0</v>
      </c>
      <c r="IQ24" s="133" t="n">
        <f aca="false">IF(OR(IQ$4="",$B24=""),0,SUMIF('DADOS BRUTOS'!$A$3:$A$500,$B24,'DADOS BRUTOS'!FQ$3:FQ$500)+IF($C24="",0,SUMIF('DADOS BRUTOS'!$A$3:$A$500,$C24,'DADOS BRUTOS'!FQ$3:FQ$500)))</f>
        <v>0</v>
      </c>
      <c r="IR24" s="133" t="n">
        <f aca="false">IF(OR(IR$4="",$B24=""),0,SUMIF('DADOS BRUTOS'!$A$3:$A$500,$B24,'DADOS BRUTOS'!FR$3:FR$500)+IF($C24="",0,SUMIF('DADOS BRUTOS'!$A$3:$A$500,$C24,'DADOS BRUTOS'!FR$3:FR$500)))</f>
        <v>0</v>
      </c>
      <c r="IS24" s="133" t="n">
        <f aca="false">IF(OR(IS$4="",$B24=""),0,SUMIF('DADOS BRUTOS'!$A$3:$A$500,$B24,'DADOS BRUTOS'!FS$3:FS$500)+IF($C24="",0,SUMIF('DADOS BRUTOS'!$A$3:$A$500,$C24,'DADOS BRUTOS'!FS$3:FS$500)))</f>
        <v>0</v>
      </c>
      <c r="IT24" s="133" t="n">
        <f aca="false">IF(OR(IT$4="",$B24=""),0,SUMIF('DADOS BRUTOS'!$A$3:$A$500,$B24,'DADOS BRUTOS'!FT$3:FT$500)+IF($C24="",0,SUMIF('DADOS BRUTOS'!$A$3:$A$500,$C24,'DADOS BRUTOS'!FT$3:FT$500)))</f>
        <v>0</v>
      </c>
      <c r="IU24" s="133" t="n">
        <f aca="false">IF(OR(IU$4="",$B24=""),0,SUMIF('DADOS BRUTOS'!$A$3:$A$500,$B24,'DADOS BRUTOS'!FU$3:FU$500)+IF($C24="",0,SUMIF('DADOS BRUTOS'!$A$3:$A$500,$C24,'DADOS BRUTOS'!FU$3:FU$500)))</f>
        <v>0</v>
      </c>
      <c r="IV24" s="133" t="n">
        <f aca="false">IF(OR(IV$4="",$B24=""),0,SUMIF('DADOS BRUTOS'!$A$3:$A$500,$B24,'DADOS BRUTOS'!FV$3:FV$500)+IF($C24="",0,SUMIF('DADOS BRUTOS'!$A$3:$A$500,$C24,'DADOS BRUTOS'!FV$3:FV$500)))</f>
        <v>0</v>
      </c>
      <c r="IW24" s="133" t="n">
        <f aca="false">IF(OR(IW$4="",$B24=""),0,SUMIF('DADOS BRUTOS'!$A$3:$A$500,$B24,'DADOS BRUTOS'!FW$3:FW$500)+IF($C24="",0,SUMIF('DADOS BRUTOS'!$A$3:$A$500,$C24,'DADOS BRUTOS'!FW$3:FW$500)))</f>
        <v>0</v>
      </c>
      <c r="IX24" s="133" t="n">
        <f aca="false">IF(OR(IX$4="",$B24=""),0,SUMIF('DADOS BRUTOS'!$A$3:$A$500,$B24,'DADOS BRUTOS'!FX$3:FX$500)+IF($C24="",0,SUMIF('DADOS BRUTOS'!$A$3:$A$500,$C24,'DADOS BRUTOS'!FX$3:FX$500)))</f>
        <v>0</v>
      </c>
      <c r="IY24" s="133" t="n">
        <f aca="false">IF(OR(IY$4="",$B24=""),0,SUMIF('DADOS BRUTOS'!$A$3:$A$500,$B24,'DADOS BRUTOS'!FY$3:FY$500)+IF($C24="",0,SUMIF('DADOS BRUTOS'!$A$3:$A$500,$C24,'DADOS BRUTOS'!FY$3:FY$500)))</f>
        <v>0</v>
      </c>
      <c r="IZ24" s="133" t="n">
        <f aca="false">IF(OR(IZ$4="",$B24=""),0,SUMIF('DADOS BRUTOS'!$A$3:$A$500,$B24,'DADOS BRUTOS'!FZ$3:FZ$500)+IF($C24="",0,SUMIF('DADOS BRUTOS'!$A$3:$A$500,$C24,'DADOS BRUTOS'!FZ$3:FZ$500)))</f>
        <v>0</v>
      </c>
      <c r="JA24" s="133" t="n">
        <f aca="false">IF(OR(JA$4="",$B24=""),0,SUMIF('DADOS BRUTOS'!$A$3:$A$500,$B24,'DADOS BRUTOS'!GA$3:GA$500)+IF($C24="",0,SUMIF('DADOS BRUTOS'!$A$3:$A$500,$C24,'DADOS BRUTOS'!GA$3:GA$500)))</f>
        <v>0</v>
      </c>
      <c r="JB24" s="133" t="n">
        <f aca="false">IF(OR(JB$4="",$B24=""),0,SUMIF('DADOS BRUTOS'!$A$3:$A$500,$B24,'DADOS BRUTOS'!GB$3:GB$500)+IF($C24="",0,SUMIF('DADOS BRUTOS'!$A$3:$A$500,$C24,'DADOS BRUTOS'!GB$3:GB$500)))</f>
        <v>0</v>
      </c>
      <c r="JC24" s="133" t="n">
        <f aca="false">IF(OR(JC$4="",$B24=""),0,SUMIF('DADOS BRUTOS'!$A$3:$A$500,$B24,'DADOS BRUTOS'!GC$3:GC$500)+IF($C24="",0,SUMIF('DADOS BRUTOS'!$A$3:$A$500,$C24,'DADOS BRUTOS'!GC$3:GC$500)))</f>
        <v>0</v>
      </c>
      <c r="JD24" s="133" t="n">
        <f aca="false">IF(OR(JD$4="",$B24=""),0,SUMIF('DADOS BRUTOS'!$A$3:$A$500,$B24,'DADOS BRUTOS'!GD$3:GD$500)+IF($C24="",0,SUMIF('DADOS BRUTOS'!$A$3:$A$500,$C24,'DADOS BRUTOS'!GD$3:GD$500)))</f>
        <v>0</v>
      </c>
      <c r="JE24" s="133" t="n">
        <f aca="false">IF(OR(JE$4="",$B24=""),0,SUMIF('DADOS BRUTOS'!$A$3:$A$500,$B24,'DADOS BRUTOS'!GE$3:GE$500)+IF($C24="",0,SUMIF('DADOS BRUTOS'!$A$3:$A$500,$C24,'DADOS BRUTOS'!GE$3:GE$500)))</f>
        <v>0</v>
      </c>
      <c r="JF24" s="133" t="n">
        <f aca="false">IF(OR(JF$4="",$B24=""),0,SUMIF('DADOS BRUTOS'!$A$3:$A$500,$B24,'DADOS BRUTOS'!GF$3:GF$500)+IF($C24="",0,SUMIF('DADOS BRUTOS'!$A$3:$A$500,$C24,'DADOS BRUTOS'!GF$3:GF$500)))</f>
        <v>0</v>
      </c>
      <c r="JG24" s="133" t="n">
        <f aca="false">IF(OR(JG$4="",$B24=""),0,SUMIF('DADOS BRUTOS'!$A$3:$A$500,$B24,'DADOS BRUTOS'!GG$3:GG$500)+IF($C24="",0,SUMIF('DADOS BRUTOS'!$A$3:$A$500,$C24,'DADOS BRUTOS'!GG$3:GG$500)))</f>
        <v>0</v>
      </c>
      <c r="JH24" s="133" t="n">
        <f aca="false">IF(OR(JH$4="",$B24=""),0,SUMIF('DADOS BRUTOS'!$A$3:$A$500,$B24,'DADOS BRUTOS'!GH$3:GH$500)+IF($C24="",0,SUMIF('DADOS BRUTOS'!$A$3:$A$500,$C24,'DADOS BRUTOS'!GH$3:GH$500)))</f>
        <v>0</v>
      </c>
      <c r="JI24" s="133" t="n">
        <f aca="false">IF(OR(JI$4="",$B24=""),0,SUMIF('DADOS BRUTOS'!$A$3:$A$500,$B24,'DADOS BRUTOS'!GI$3:GI$500)+IF($C24="",0,SUMIF('DADOS BRUTOS'!$A$3:$A$500,$C24,'DADOS BRUTOS'!GI$3:GI$500)))</f>
        <v>0</v>
      </c>
      <c r="JJ24" s="133" t="n">
        <f aca="false">IF(OR(JJ$4="",$B24=""),0,SUMIF('DADOS BRUTOS'!$A$3:$A$500,$B24,'DADOS BRUTOS'!GJ$3:GJ$500)+IF($C24="",0,SUMIF('DADOS BRUTOS'!$A$3:$A$500,$C24,'DADOS BRUTOS'!GJ$3:GJ$500)))</f>
        <v>0</v>
      </c>
      <c r="JK24" s="133" t="n">
        <f aca="false">IF(OR(JK$4="",$B24=""),0,SUMIF('DADOS BRUTOS'!$A$3:$A$500,$B24,'DADOS BRUTOS'!GK$3:GK$500)+IF($C24="",0,SUMIF('DADOS BRUTOS'!$A$3:$A$500,$C24,'DADOS BRUTOS'!GK$3:GK$500)))</f>
        <v>0</v>
      </c>
      <c r="JL24" s="133" t="n">
        <f aca="false">IF(OR(JL$4="",$B24=""),0,SUMIF('DADOS BRUTOS'!$A$3:$A$500,$B24,'DADOS BRUTOS'!GL$3:GL$500)+IF($C24="",0,SUMIF('DADOS BRUTOS'!$A$3:$A$500,$C24,'DADOS BRUTOS'!GL$3:GL$500)))</f>
        <v>0</v>
      </c>
      <c r="JM24" s="133" t="n">
        <f aca="false">IF(OR(JM$4="",$B24=""),0,SUMIF('DADOS BRUTOS'!$A$3:$A$500,$B24,'DADOS BRUTOS'!GM$3:GM$500)+IF($C24="",0,SUMIF('DADOS BRUTOS'!$A$3:$A$500,$C24,'DADOS BRUTOS'!GM$3:GM$500)))</f>
        <v>0</v>
      </c>
      <c r="JN24" s="133" t="n">
        <f aca="false">IF(OR(JN$4="",$B24=""),0,SUMIF('DADOS BRUTOS'!$A$3:$A$500,$B24,'DADOS BRUTOS'!GN$3:GN$500)+IF($C24="",0,SUMIF('DADOS BRUTOS'!$A$3:$A$500,$C24,'DADOS BRUTOS'!GN$3:GN$500)))</f>
        <v>0</v>
      </c>
      <c r="JO24" s="133" t="n">
        <f aca="false">IF(OR(JO$4="",$B24=""),0,SUMIF('DADOS BRUTOS'!$A$3:$A$500,$B24,'DADOS BRUTOS'!GO$3:GO$500)+IF($C24="",0,SUMIF('DADOS BRUTOS'!$A$3:$A$500,$C24,'DADOS BRUTOS'!GO$3:GO$500)))</f>
        <v>0</v>
      </c>
      <c r="JP24" s="133" t="n">
        <f aca="false">IF(OR(JP$4="",$B24=""),0,SUMIF('DADOS BRUTOS'!$A$3:$A$500,$B24,'DADOS BRUTOS'!GP$3:GP$500)+IF($C24="",0,SUMIF('DADOS BRUTOS'!$A$3:$A$500,$C24,'DADOS BRUTOS'!GP$3:GP$500)))</f>
        <v>0</v>
      </c>
      <c r="JQ24" s="133" t="n">
        <f aca="false">IF(OR(JQ$4="",$B24=""),0,SUMIF('DADOS BRUTOS'!$A$3:$A$500,$B24,'DADOS BRUTOS'!GQ$3:GQ$500)+IF($C24="",0,SUMIF('DADOS BRUTOS'!$A$3:$A$500,$C24,'DADOS BRUTOS'!GQ$3:GQ$500)))</f>
        <v>0</v>
      </c>
      <c r="JR24" s="133" t="n">
        <f aca="false">IF(OR(JR$4="",$B24=""),0,SUMIF('DADOS BRUTOS'!$A$3:$A$500,$B24,'DADOS BRUTOS'!GR$3:GR$500)+IF($C24="",0,SUMIF('DADOS BRUTOS'!$A$3:$A$500,$C24,'DADOS BRUTOS'!GR$3:GR$500)))</f>
        <v>0</v>
      </c>
      <c r="JS24" s="133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171</v>
      </c>
      <c r="C25" s="55"/>
      <c r="D25" s="50" t="n">
        <f aca="false">SUMIF($CB$4:$JS$4,"&lt;="&amp;D$4,$CB25:$JS25)</f>
        <v>0</v>
      </c>
      <c r="E25" s="50" t="n">
        <f aca="false">SUMIF($CB$4:$JS$4,E$4,$CB25:$JS25)</f>
        <v>0</v>
      </c>
      <c r="F25" s="50" t="n">
        <f aca="false">SUMIF($CB$4:$JS$4,F$4,$CB25:$JS25)</f>
        <v>0</v>
      </c>
      <c r="G25" s="50" t="n">
        <f aca="false">SUMIF($CB$4:$JS$4,G$4,$CB25:$JS25)</f>
        <v>0</v>
      </c>
      <c r="H25" s="50" t="n">
        <f aca="false">SUMIF($CB$4:$JS$4,H$4,$CB25:$JS25)</f>
        <v>0</v>
      </c>
      <c r="I25" s="50" t="n">
        <f aca="false">SUMIF($CB$4:$JS$4,I$4,$CB25:$JS25)</f>
        <v>0</v>
      </c>
      <c r="J25" s="50" t="n">
        <f aca="false">SUMIF($CB$4:$JS$4,J$4,$CB25:$JS25)</f>
        <v>0</v>
      </c>
      <c r="K25" s="50" t="n">
        <f aca="false">SUMIF($CB$4:$JS$4,K$4,$CB25:$JS25)</f>
        <v>0</v>
      </c>
      <c r="L25" s="50" t="n">
        <f aca="false">SUMIF($CB$4:$JS$4,L$4,$CB25:$JS25)</f>
        <v>0</v>
      </c>
      <c r="M25" s="50" t="n">
        <f aca="false">SUMIF($CB$4:$JS$4,M$4,$CB25:$JS25)</f>
        <v>0</v>
      </c>
      <c r="N25" s="50" t="n">
        <f aca="false">SUMIF($CB$4:$JS$4,N$4,$CB25:$JS25)</f>
        <v>0</v>
      </c>
      <c r="O25" s="50" t="n">
        <f aca="false">SUMIF($CB$4:$JS$4,O$4,$CB25:$JS25)</f>
        <v>0</v>
      </c>
      <c r="P25" s="50" t="n">
        <f aca="false">SUMIF($CB$4:$JS$4,P$4,$CB25:$JS25)</f>
        <v>0</v>
      </c>
      <c r="Q25" s="50" t="n">
        <f aca="false">SUMIF($CB$4:$JS$4,Q$4,$CB25:$JS25)</f>
        <v>0</v>
      </c>
      <c r="R25" s="50" t="n">
        <f aca="false">SUMIF($CB$4:$JS$4,R$4,$CB25:$JS25)</f>
        <v>0</v>
      </c>
      <c r="S25" s="50" t="n">
        <f aca="false">SUMIF($CB$4:$JS$4,S$4,$CB25:$JS25)</f>
        <v>0</v>
      </c>
      <c r="T25" s="50" t="n">
        <f aca="false">SUMIF($CB$4:$JS$4,T$4,$CB25:$JS25)</f>
        <v>0</v>
      </c>
      <c r="U25" s="50" t="n">
        <f aca="false">SUMIF($CB$4:$JS$4,U$4,$CB25:$JS25)</f>
        <v>47066.31</v>
      </c>
      <c r="V25" s="50" t="n">
        <f aca="false">SUMIF($CB$4:$JS$4,V$4,$CB25:$JS25)</f>
        <v>25524.41</v>
      </c>
      <c r="W25" s="50" t="n">
        <f aca="false">SUMIF($CB$4:$JS$4,W$4,$CB25:$JS25)</f>
        <v>47726.67</v>
      </c>
      <c r="X25" s="50" t="n">
        <f aca="false">SUMIF($CB$4:$JS$4,X$4,$CB25:$JS25)</f>
        <v>58947.77</v>
      </c>
      <c r="Y25" s="50" t="n">
        <f aca="false">SUMIF($CB$4:$JS$4,Y$4,$CB25:$JS25)</f>
        <v>142222.77</v>
      </c>
      <c r="Z25" s="50" t="n">
        <f aca="false">SUMIF($CB$4:$JS$4,Z$4,$CB25:$JS25)</f>
        <v>72436.16</v>
      </c>
      <c r="AA25" s="50" t="n">
        <f aca="false">SUMIF($CB$4:$JS$4,AA$4,$CB25:$JS25)</f>
        <v>57986.98</v>
      </c>
      <c r="AB25" s="50" t="n">
        <f aca="false">SUMIF($CB$4:$JS$4,AB$4,$CB25:$JS25)</f>
        <v>15439.08</v>
      </c>
      <c r="AC25" s="50" t="n">
        <f aca="false">SUMIF($CB$4:$JS$4,AC$4,$CB25:$JS25)</f>
        <v>0</v>
      </c>
      <c r="AD25" s="50" t="n">
        <f aca="false">SUMIF($CB$4:$JS$4,AD$4,$CB25:$JS25)</f>
        <v>0</v>
      </c>
      <c r="AE25" s="50" t="n">
        <f aca="false">SUMIF($CB$4:$JS$4,AE$4,$CB25:$JS25)</f>
        <v>0</v>
      </c>
      <c r="AF25" s="50" t="n">
        <f aca="false">SUMIF($CB$4:$JS$4,AF$4,$CB25:$JS25)</f>
        <v>0</v>
      </c>
      <c r="AG25" s="50" t="n">
        <f aca="false">SUMIF($CB$4:$JS$4,AG$4,$CB25:$JS25)</f>
        <v>0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2638.05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0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469988.2</v>
      </c>
      <c r="BZ25" s="45" t="n">
        <f aca="false">SUMPRODUCT(($CB$4:$JS$4&lt;&gt;"")*($CB$4:$JS$4&lt;=$D$4),$CB25:$JS25,$CB$1:$JS$1)</f>
        <v>0</v>
      </c>
      <c r="CB25" s="133" t="n">
        <f aca="false">IF(OR(CB$4="",$B25=""),0,SUMIF('DADOS BRUTOS'!$A$3:$A$500,$B25,'DADOS BRUTOS'!B$3:B$500)+IF($C25="",0,SUMIF('DADOS BRUTOS'!$A$3:$A$500,$C25,'DADOS BRUTOS'!B$3:B$500)))</f>
        <v>0</v>
      </c>
      <c r="CC25" s="133" t="n">
        <f aca="false">IF(OR(CC$4="",$B25=""),0,SUMIF('DADOS BRUTOS'!$A$3:$A$500,$B25,'DADOS BRUTOS'!C$3:C$500)+IF($C25="",0,SUMIF('DADOS BRUTOS'!$A$3:$A$500,$C25,'DADOS BRUTOS'!C$3:C$500)))</f>
        <v>0</v>
      </c>
      <c r="CD25" s="133" t="n">
        <f aca="false">IF(OR(CD$4="",$B25=""),0,SUMIF('DADOS BRUTOS'!$A$3:$A$500,$B25,'DADOS BRUTOS'!D$3:D$500)+IF($C25="",0,SUMIF('DADOS BRUTOS'!$A$3:$A$500,$C25,'DADOS BRUTOS'!D$3:D$500)))</f>
        <v>0</v>
      </c>
      <c r="CE25" s="133" t="n">
        <f aca="false">IF(OR(CE$4="",$B25=""),0,SUMIF('DADOS BRUTOS'!$A$3:$A$500,$B25,'DADOS BRUTOS'!E$3:E$500)+IF($C25="",0,SUMIF('DADOS BRUTOS'!$A$3:$A$500,$C25,'DADOS BRUTOS'!E$3:E$500)))</f>
        <v>0</v>
      </c>
      <c r="CF25" s="133" t="n">
        <f aca="false">IF(OR(CF$4="",$B25=""),0,SUMIF('DADOS BRUTOS'!$A$3:$A$500,$B25,'DADOS BRUTOS'!F$3:F$500)+IF($C25="",0,SUMIF('DADOS BRUTOS'!$A$3:$A$500,$C25,'DADOS BRUTOS'!F$3:F$500)))</f>
        <v>0</v>
      </c>
      <c r="CG25" s="133" t="n">
        <f aca="false">IF(OR(CG$4="",$B25=""),0,SUMIF('DADOS BRUTOS'!$A$3:$A$500,$B25,'DADOS BRUTOS'!G$3:G$500)+IF($C25="",0,SUMIF('DADOS BRUTOS'!$A$3:$A$500,$C25,'DADOS BRUTOS'!G$3:G$500)))</f>
        <v>0</v>
      </c>
      <c r="CH25" s="133" t="n">
        <f aca="false">IF(OR(CH$4="",$B25=""),0,SUMIF('DADOS BRUTOS'!$A$3:$A$500,$B25,'DADOS BRUTOS'!H$3:H$500)+IF($C25="",0,SUMIF('DADOS BRUTOS'!$A$3:$A$500,$C25,'DADOS BRUTOS'!H$3:H$500)))</f>
        <v>0</v>
      </c>
      <c r="CI25" s="133" t="n">
        <f aca="false">IF(OR(CI$4="",$B25=""),0,SUMIF('DADOS BRUTOS'!$A$3:$A$500,$B25,'DADOS BRUTOS'!I$3:I$500)+IF($C25="",0,SUMIF('DADOS BRUTOS'!$A$3:$A$500,$C25,'DADOS BRUTOS'!I$3:I$500)))</f>
        <v>0</v>
      </c>
      <c r="CJ25" s="133" t="n">
        <f aca="false">IF(OR(CJ$4="",$B25=""),0,SUMIF('DADOS BRUTOS'!$A$3:$A$500,$B25,'DADOS BRUTOS'!J$3:J$500)+IF($C25="",0,SUMIF('DADOS BRUTOS'!$A$3:$A$500,$C25,'DADOS BRUTOS'!J$3:J$500)))</f>
        <v>0</v>
      </c>
      <c r="CK25" s="133" t="n">
        <f aca="false">IF(OR(CK$4="",$B25=""),0,SUMIF('DADOS BRUTOS'!$A$3:$A$500,$B25,'DADOS BRUTOS'!K$3:K$500)+IF($C25="",0,SUMIF('DADOS BRUTOS'!$A$3:$A$500,$C25,'DADOS BRUTOS'!K$3:K$500)))</f>
        <v>0</v>
      </c>
      <c r="CL25" s="133" t="n">
        <f aca="false">IF(OR(CL$4="",$B25=""),0,SUMIF('DADOS BRUTOS'!$A$3:$A$500,$B25,'DADOS BRUTOS'!L$3:L$500)+IF($C25="",0,SUMIF('DADOS BRUTOS'!$A$3:$A$500,$C25,'DADOS BRUTOS'!L$3:L$500)))</f>
        <v>0</v>
      </c>
      <c r="CM25" s="133" t="n">
        <f aca="false">IF(OR(CM$4="",$B25=""),0,SUMIF('DADOS BRUTOS'!$A$3:$A$500,$B25,'DADOS BRUTOS'!M$3:M$500)+IF($C25="",0,SUMIF('DADOS BRUTOS'!$A$3:$A$500,$C25,'DADOS BRUTOS'!M$3:M$500)))</f>
        <v>0</v>
      </c>
      <c r="CN25" s="133" t="n">
        <f aca="false">IF(OR(CN$4="",$B25=""),0,SUMIF('DADOS BRUTOS'!$A$3:$A$500,$B25,'DADOS BRUTOS'!N$3:N$500)+IF($C25="",0,SUMIF('DADOS BRUTOS'!$A$3:$A$500,$C25,'DADOS BRUTOS'!N$3:N$500)))</f>
        <v>0</v>
      </c>
      <c r="CO25" s="133" t="n">
        <f aca="false">IF(OR(CO$4="",$B25=""),0,SUMIF('DADOS BRUTOS'!$A$3:$A$500,$B25,'DADOS BRUTOS'!O$3:O$500)+IF($C25="",0,SUMIF('DADOS BRUTOS'!$A$3:$A$500,$C25,'DADOS BRUTOS'!O$3:O$500)))</f>
        <v>0</v>
      </c>
      <c r="CP25" s="133" t="n">
        <f aca="false">IF(OR(CP$4="",$B25=""),0,SUMIF('DADOS BRUTOS'!$A$3:$A$500,$B25,'DADOS BRUTOS'!P$3:P$500)+IF($C25="",0,SUMIF('DADOS BRUTOS'!$A$3:$A$500,$C25,'DADOS BRUTOS'!P$3:P$500)))</f>
        <v>0</v>
      </c>
      <c r="CQ25" s="133" t="n">
        <f aca="false">IF(OR(CQ$4="",$B25=""),0,SUMIF('DADOS BRUTOS'!$A$3:$A$500,$B25,'DADOS BRUTOS'!Q$3:Q$500)+IF($C25="",0,SUMIF('DADOS BRUTOS'!$A$3:$A$500,$C25,'DADOS BRUTOS'!Q$3:Q$500)))</f>
        <v>0</v>
      </c>
      <c r="CR25" s="133" t="n">
        <f aca="false">IF(OR(CR$4="",$B25=""),0,SUMIF('DADOS BRUTOS'!$A$3:$A$500,$B25,'DADOS BRUTOS'!R$3:R$500)+IF($C25="",0,SUMIF('DADOS BRUTOS'!$A$3:$A$500,$C25,'DADOS BRUTOS'!R$3:R$500)))</f>
        <v>0</v>
      </c>
      <c r="CS25" s="133" t="n">
        <f aca="false">IF(OR(CS$4="",$B25=""),0,SUMIF('DADOS BRUTOS'!$A$3:$A$500,$B25,'DADOS BRUTOS'!S$3:S$500)+IF($C25="",0,SUMIF('DADOS BRUTOS'!$A$3:$A$500,$C25,'DADOS BRUTOS'!S$3:S$500)))</f>
        <v>0</v>
      </c>
      <c r="CT25" s="133" t="n">
        <f aca="false">IF(OR(CT$4="",$B25=""),0,SUMIF('DADOS BRUTOS'!$A$3:$A$500,$B25,'DADOS BRUTOS'!T$3:T$500)+IF($C25="",0,SUMIF('DADOS BRUTOS'!$A$3:$A$500,$C25,'DADOS BRUTOS'!T$3:T$500)))</f>
        <v>0</v>
      </c>
      <c r="CU25" s="133" t="n">
        <f aca="false">IF(OR(CU$4="",$B25=""),0,SUMIF('DADOS BRUTOS'!$A$3:$A$500,$B25,'DADOS BRUTOS'!U$3:U$500)+IF($C25="",0,SUMIF('DADOS BRUTOS'!$A$3:$A$500,$C25,'DADOS BRUTOS'!U$3:U$500)))</f>
        <v>0</v>
      </c>
      <c r="CV25" s="133" t="n">
        <f aca="false">IF(OR(CV$4="",$B25=""),0,SUMIF('DADOS BRUTOS'!$A$3:$A$500,$B25,'DADOS BRUTOS'!V$3:V$500)+IF($C25="",0,SUMIF('DADOS BRUTOS'!$A$3:$A$500,$C25,'DADOS BRUTOS'!V$3:V$500)))</f>
        <v>0</v>
      </c>
      <c r="CW25" s="133" t="n">
        <f aca="false">IF(OR(CW$4="",$B25=""),0,SUMIF('DADOS BRUTOS'!$A$3:$A$500,$B25,'DADOS BRUTOS'!W$3:W$500)+IF($C25="",0,SUMIF('DADOS BRUTOS'!$A$3:$A$500,$C25,'DADOS BRUTOS'!W$3:W$500)))</f>
        <v>0</v>
      </c>
      <c r="CX25" s="133" t="n">
        <f aca="false">IF(OR(CX$4="",$B25=""),0,SUMIF('DADOS BRUTOS'!$A$3:$A$500,$B25,'DADOS BRUTOS'!X$3:X$500)+IF($C25="",0,SUMIF('DADOS BRUTOS'!$A$3:$A$500,$C25,'DADOS BRUTOS'!X$3:X$500)))</f>
        <v>0</v>
      </c>
      <c r="CY25" s="133" t="n">
        <f aca="false">IF(OR(CY$4="",$B25=""),0,SUMIF('DADOS BRUTOS'!$A$3:$A$500,$B25,'DADOS BRUTOS'!Y$3:Y$500)+IF($C25="",0,SUMIF('DADOS BRUTOS'!$A$3:$A$500,$C25,'DADOS BRUTOS'!Y$3:Y$500)))</f>
        <v>0</v>
      </c>
      <c r="CZ25" s="133" t="n">
        <f aca="false">IF(OR(CZ$4="",$B25=""),0,SUMIF('DADOS BRUTOS'!$A$3:$A$500,$B25,'DADOS BRUTOS'!Z$3:Z$500)+IF($C25="",0,SUMIF('DADOS BRUTOS'!$A$3:$A$500,$C25,'DADOS BRUTOS'!Z$3:Z$500)))</f>
        <v>0</v>
      </c>
      <c r="DA25" s="133" t="n">
        <f aca="false">IF(OR(DA$4="",$B25=""),0,SUMIF('DADOS BRUTOS'!$A$3:$A$500,$B25,'DADOS BRUTOS'!AA$3:AA$500)+IF($C25="",0,SUMIF('DADOS BRUTOS'!$A$3:$A$500,$C25,'DADOS BRUTOS'!AA$3:AA$500)))</f>
        <v>0</v>
      </c>
      <c r="DB25" s="133" t="n">
        <f aca="false">IF(OR(DB$4="",$B25=""),0,SUMIF('DADOS BRUTOS'!$A$3:$A$500,$B25,'DADOS BRUTOS'!AB$3:AB$500)+IF($C25="",0,SUMIF('DADOS BRUTOS'!$A$3:$A$500,$C25,'DADOS BRUTOS'!AB$3:AB$500)))</f>
        <v>0</v>
      </c>
      <c r="DC25" s="133" t="n">
        <f aca="false">IF(OR(DC$4="",$B25=""),0,SUMIF('DADOS BRUTOS'!$A$3:$A$500,$B25,'DADOS BRUTOS'!AC$3:AC$500)+IF($C25="",0,SUMIF('DADOS BRUTOS'!$A$3:$A$500,$C25,'DADOS BRUTOS'!AC$3:AC$500)))</f>
        <v>0</v>
      </c>
      <c r="DD25" s="133" t="n">
        <f aca="false">IF(OR(DD$4="",$B25=""),0,SUMIF('DADOS BRUTOS'!$A$3:$A$500,$B25,'DADOS BRUTOS'!AD$3:AD$500)+IF($C25="",0,SUMIF('DADOS BRUTOS'!$A$3:$A$500,$C25,'DADOS BRUTOS'!AD$3:AD$500)))</f>
        <v>0</v>
      </c>
      <c r="DE25" s="133" t="n">
        <f aca="false">IF(OR(DE$4="",$B25=""),0,SUMIF('DADOS BRUTOS'!$A$3:$A$500,$B25,'DADOS BRUTOS'!AE$3:AE$500)+IF($C25="",0,SUMIF('DADOS BRUTOS'!$A$3:$A$500,$C25,'DADOS BRUTOS'!AE$3:AE$500)))</f>
        <v>0</v>
      </c>
      <c r="DF25" s="133" t="n">
        <f aca="false">IF(OR(DF$4="",$B25=""),0,SUMIF('DADOS BRUTOS'!$A$3:$A$500,$B25,'DADOS BRUTOS'!AF$3:AF$500)+IF($C25="",0,SUMIF('DADOS BRUTOS'!$A$3:$A$500,$C25,'DADOS BRUTOS'!AF$3:AF$500)))</f>
        <v>0</v>
      </c>
      <c r="DG25" s="133" t="n">
        <f aca="false">IF(OR(DG$4="",$B25=""),0,SUMIF('DADOS BRUTOS'!$A$3:$A$500,$B25,'DADOS BRUTOS'!AG$3:AG$500)+IF($C25="",0,SUMIF('DADOS BRUTOS'!$A$3:$A$500,$C25,'DADOS BRUTOS'!AG$3:AG$500)))</f>
        <v>0</v>
      </c>
      <c r="DH25" s="133" t="n">
        <f aca="false">IF(OR(DH$4="",$B25=""),0,SUMIF('DADOS BRUTOS'!$A$3:$A$500,$B25,'DADOS BRUTOS'!AH$3:AH$500)+IF($C25="",0,SUMIF('DADOS BRUTOS'!$A$3:$A$500,$C25,'DADOS BRUTOS'!AH$3:AH$500)))</f>
        <v>0</v>
      </c>
      <c r="DI25" s="133" t="n">
        <f aca="false">IF(OR(DI$4="",$B25=""),0,SUMIF('DADOS BRUTOS'!$A$3:$A$500,$B25,'DADOS BRUTOS'!AI$3:AI$500)+IF($C25="",0,SUMIF('DADOS BRUTOS'!$A$3:$A$500,$C25,'DADOS BRUTOS'!AI$3:AI$500)))</f>
        <v>0</v>
      </c>
      <c r="DJ25" s="133" t="n">
        <f aca="false">IF(OR(DJ$4="",$B25=""),0,SUMIF('DADOS BRUTOS'!$A$3:$A$500,$B25,'DADOS BRUTOS'!AJ$3:AJ$500)+IF($C25="",0,SUMIF('DADOS BRUTOS'!$A$3:$A$500,$C25,'DADOS BRUTOS'!AJ$3:AJ$500)))</f>
        <v>0</v>
      </c>
      <c r="DK25" s="133" t="n">
        <f aca="false">IF(OR(DK$4="",$B25=""),0,SUMIF('DADOS BRUTOS'!$A$3:$A$500,$B25,'DADOS BRUTOS'!AK$3:AK$500)+IF($C25="",0,SUMIF('DADOS BRUTOS'!$A$3:$A$500,$C25,'DADOS BRUTOS'!AK$3:AK$500)))</f>
        <v>0</v>
      </c>
      <c r="DL25" s="133" t="n">
        <f aca="false">IF(OR(DL$4="",$B25=""),0,SUMIF('DADOS BRUTOS'!$A$3:$A$500,$B25,'DADOS BRUTOS'!AL$3:AL$500)+IF($C25="",0,SUMIF('DADOS BRUTOS'!$A$3:$A$500,$C25,'DADOS BRUTOS'!AL$3:AL$500)))</f>
        <v>0</v>
      </c>
      <c r="DM25" s="133" t="n">
        <f aca="false">IF(OR(DM$4="",$B25=""),0,SUMIF('DADOS BRUTOS'!$A$3:$A$500,$B25,'DADOS BRUTOS'!AM$3:AM$500)+IF($C25="",0,SUMIF('DADOS BRUTOS'!$A$3:$A$500,$C25,'DADOS BRUTOS'!AM$3:AM$500)))</f>
        <v>0</v>
      </c>
      <c r="DN25" s="133" t="n">
        <f aca="false">IF(OR(DN$4="",$B25=""),0,SUMIF('DADOS BRUTOS'!$A$3:$A$500,$B25,'DADOS BRUTOS'!AN$3:AN$500)+IF($C25="",0,SUMIF('DADOS BRUTOS'!$A$3:$A$500,$C25,'DADOS BRUTOS'!AN$3:AN$500)))</f>
        <v>0</v>
      </c>
      <c r="DO25" s="133" t="n">
        <f aca="false">IF(OR(DO$4="",$B25=""),0,SUMIF('DADOS BRUTOS'!$A$3:$A$500,$B25,'DADOS BRUTOS'!AO$3:AO$500)+IF($C25="",0,SUMIF('DADOS BRUTOS'!$A$3:$A$500,$C25,'DADOS BRUTOS'!AO$3:AO$500)))</f>
        <v>0</v>
      </c>
      <c r="DP25" s="133" t="n">
        <f aca="false">IF(OR(DP$4="",$B25=""),0,SUMIF('DADOS BRUTOS'!$A$3:$A$500,$B25,'DADOS BRUTOS'!AP$3:AP$500)+IF($C25="",0,SUMIF('DADOS BRUTOS'!$A$3:$A$500,$C25,'DADOS BRUTOS'!AP$3:AP$500)))</f>
        <v>0</v>
      </c>
      <c r="DQ25" s="133" t="n">
        <f aca="false">IF(OR(DQ$4="",$B25=""),0,SUMIF('DADOS BRUTOS'!$A$3:$A$500,$B25,'DADOS BRUTOS'!AQ$3:AQ$500)+IF($C25="",0,SUMIF('DADOS BRUTOS'!$A$3:$A$500,$C25,'DADOS BRUTOS'!AQ$3:AQ$500)))</f>
        <v>0</v>
      </c>
      <c r="DR25" s="133" t="n">
        <f aca="false">IF(OR(DR$4="",$B25=""),0,SUMIF('DADOS BRUTOS'!$A$3:$A$500,$B25,'DADOS BRUTOS'!AR$3:AR$500)+IF($C25="",0,SUMIF('DADOS BRUTOS'!$A$3:$A$500,$C25,'DADOS BRUTOS'!AR$3:AR$500)))</f>
        <v>0</v>
      </c>
      <c r="DS25" s="133" t="n">
        <f aca="false">IF(OR(DS$4="",$B25=""),0,SUMIF('DADOS BRUTOS'!$A$3:$A$500,$B25,'DADOS BRUTOS'!AS$3:AS$500)+IF($C25="",0,SUMIF('DADOS BRUTOS'!$A$3:$A$500,$C25,'DADOS BRUTOS'!AS$3:AS$500)))</f>
        <v>0</v>
      </c>
      <c r="DT25" s="133" t="n">
        <f aca="false">IF(OR(DT$4="",$B25=""),0,SUMIF('DADOS BRUTOS'!$A$3:$A$500,$B25,'DADOS BRUTOS'!AT$3:AT$500)+IF($C25="",0,SUMIF('DADOS BRUTOS'!$A$3:$A$500,$C25,'DADOS BRUTOS'!AT$3:AT$500)))</f>
        <v>0</v>
      </c>
      <c r="DU25" s="133" t="n">
        <f aca="false">IF(OR(DU$4="",$B25=""),0,SUMIF('DADOS BRUTOS'!$A$3:$A$500,$B25,'DADOS BRUTOS'!AU$3:AU$500)+IF($C25="",0,SUMIF('DADOS BRUTOS'!$A$3:$A$500,$C25,'DADOS BRUTOS'!AU$3:AU$500)))</f>
        <v>0</v>
      </c>
      <c r="DV25" s="133" t="n">
        <f aca="false">IF(OR(DV$4="",$B25=""),0,SUMIF('DADOS BRUTOS'!$A$3:$A$500,$B25,'DADOS BRUTOS'!AV$3:AV$500)+IF($C25="",0,SUMIF('DADOS BRUTOS'!$A$3:$A$500,$C25,'DADOS BRUTOS'!AV$3:AV$500)))</f>
        <v>0</v>
      </c>
      <c r="DW25" s="133" t="n">
        <f aca="false">IF(OR(DW$4="",$B25=""),0,SUMIF('DADOS BRUTOS'!$A$3:$A$500,$B25,'DADOS BRUTOS'!AW$3:AW$500)+IF($C25="",0,SUMIF('DADOS BRUTOS'!$A$3:$A$500,$C25,'DADOS BRUTOS'!AW$3:AW$500)))</f>
        <v>0</v>
      </c>
      <c r="DX25" s="133" t="n">
        <f aca="false">IF(OR(DX$4="",$B25=""),0,SUMIF('DADOS BRUTOS'!$A$3:$A$500,$B25,'DADOS BRUTOS'!AX$3:AX$500)+IF($C25="",0,SUMIF('DADOS BRUTOS'!$A$3:$A$500,$C25,'DADOS BRUTOS'!AX$3:AX$500)))</f>
        <v>0</v>
      </c>
      <c r="DY25" s="133" t="n">
        <f aca="false">IF(OR(DY$4="",$B25=""),0,SUMIF('DADOS BRUTOS'!$A$3:$A$500,$B25,'DADOS BRUTOS'!AY$3:AY$500)+IF($C25="",0,SUMIF('DADOS BRUTOS'!$A$3:$A$500,$C25,'DADOS BRUTOS'!AY$3:AY$500)))</f>
        <v>47066.31</v>
      </c>
      <c r="DZ25" s="133" t="n">
        <f aca="false">IF(OR(DZ$4="",$B25=""),0,SUMIF('DADOS BRUTOS'!$A$3:$A$500,$B25,'DADOS BRUTOS'!AZ$3:AZ$500)+IF($C25="",0,SUMIF('DADOS BRUTOS'!$A$3:$A$500,$C25,'DADOS BRUTOS'!AZ$3:AZ$500)))</f>
        <v>25524.41</v>
      </c>
      <c r="EA25" s="133" t="n">
        <f aca="false">IF(OR(EA$4="",$B25=""),0,SUMIF('DADOS BRUTOS'!$A$3:$A$500,$B25,'DADOS BRUTOS'!BA$3:BA$500)+IF($C25="",0,SUMIF('DADOS BRUTOS'!$A$3:$A$500,$C25,'DADOS BRUTOS'!BA$3:BA$500)))</f>
        <v>47726.67</v>
      </c>
      <c r="EB25" s="133" t="n">
        <f aca="false">IF(OR(EB$4="",$B25=""),0,SUMIF('DADOS BRUTOS'!$A$3:$A$500,$B25,'DADOS BRUTOS'!BB$3:BB$500)+IF($C25="",0,SUMIF('DADOS BRUTOS'!$A$3:$A$500,$C25,'DADOS BRUTOS'!BB$3:BB$500)))</f>
        <v>58947.77</v>
      </c>
      <c r="EC25" s="133" t="n">
        <f aca="false">IF(OR(EC$4="",$B25=""),0,SUMIF('DADOS BRUTOS'!$A$3:$A$500,$B25,'DADOS BRUTOS'!BC$3:BC$500)+IF($C25="",0,SUMIF('DADOS BRUTOS'!$A$3:$A$500,$C25,'DADOS BRUTOS'!BC$3:BC$500)))</f>
        <v>142222.77</v>
      </c>
      <c r="ED25" s="133" t="n">
        <f aca="false">IF(OR(ED$4="",$B25=""),0,SUMIF('DADOS BRUTOS'!$A$3:$A$500,$B25,'DADOS BRUTOS'!BD$3:BD$500)+IF($C25="",0,SUMIF('DADOS BRUTOS'!$A$3:$A$500,$C25,'DADOS BRUTOS'!BD$3:BD$500)))</f>
        <v>72436.16</v>
      </c>
      <c r="EE25" s="133" t="n">
        <f aca="false">IF(OR(EE$4="",$B25=""),0,SUMIF('DADOS BRUTOS'!$A$3:$A$500,$B25,'DADOS BRUTOS'!BE$3:BE$500)+IF($C25="",0,SUMIF('DADOS BRUTOS'!$A$3:$A$500,$C25,'DADOS BRUTOS'!BE$3:BE$500)))</f>
        <v>57986.98</v>
      </c>
      <c r="EF25" s="133" t="n">
        <f aca="false">IF(OR(EF$4="",$B25=""),0,SUMIF('DADOS BRUTOS'!$A$3:$A$500,$B25,'DADOS BRUTOS'!BF$3:BF$500)+IF($C25="",0,SUMIF('DADOS BRUTOS'!$A$3:$A$500,$C25,'DADOS BRUTOS'!BF$3:BF$500)))</f>
        <v>15439.08</v>
      </c>
      <c r="EG25" s="133" t="n">
        <f aca="false">IF(OR(EG$4="",$B25=""),0,SUMIF('DADOS BRUTOS'!$A$3:$A$500,$B25,'DADOS BRUTOS'!BG$3:BG$500)+IF($C25="",0,SUMIF('DADOS BRUTOS'!$A$3:$A$500,$C25,'DADOS BRUTOS'!BG$3:BG$500)))</f>
        <v>0</v>
      </c>
      <c r="EH25" s="133" t="n">
        <f aca="false">IF(OR(EH$4="",$B25=""),0,SUMIF('DADOS BRUTOS'!$A$3:$A$500,$B25,'DADOS BRUTOS'!BH$3:BH$500)+IF($C25="",0,SUMIF('DADOS BRUTOS'!$A$3:$A$500,$C25,'DADOS BRUTOS'!BH$3:BH$500)))</f>
        <v>0</v>
      </c>
      <c r="EI25" s="133" t="n">
        <f aca="false">IF(OR(EI$4="",$B25=""),0,SUMIF('DADOS BRUTOS'!$A$3:$A$500,$B25,'DADOS BRUTOS'!BI$3:BI$500)+IF($C25="",0,SUMIF('DADOS BRUTOS'!$A$3:$A$500,$C25,'DADOS BRUTOS'!BI$3:BI$500)))</f>
        <v>0</v>
      </c>
      <c r="EJ25" s="133" t="n">
        <f aca="false">IF(OR(EJ$4="",$B25=""),0,SUMIF('DADOS BRUTOS'!$A$3:$A$500,$B25,'DADOS BRUTOS'!BJ$3:BJ$500)+IF($C25="",0,SUMIF('DADOS BRUTOS'!$A$3:$A$500,$C25,'DADOS BRUTOS'!BJ$3:BJ$500)))</f>
        <v>0</v>
      </c>
      <c r="EK25" s="133" t="n">
        <f aca="false">IF(OR(EK$4="",$B25=""),0,SUMIF('DADOS BRUTOS'!$A$3:$A$500,$B25,'DADOS BRUTOS'!BK$3:BK$500)+IF($C25="",0,SUMIF('DADOS BRUTOS'!$A$3:$A$500,$C25,'DADOS BRUTOS'!BK$3:BK$500)))</f>
        <v>0</v>
      </c>
      <c r="EL25" s="133" t="n">
        <f aca="false">IF(OR(EL$4="",$B25=""),0,SUMIF('DADOS BRUTOS'!$A$3:$A$500,$B25,'DADOS BRUTOS'!BL$3:BL$500)+IF($C25="",0,SUMIF('DADOS BRUTOS'!$A$3:$A$500,$C25,'DADOS BRUTOS'!BL$3:BL$500)))</f>
        <v>0</v>
      </c>
      <c r="EM25" s="133" t="n">
        <f aca="false">IF(OR(EM$4="",$B25=""),0,SUMIF('DADOS BRUTOS'!$A$3:$A$500,$B25,'DADOS BRUTOS'!BM$3:BM$500)+IF($C25="",0,SUMIF('DADOS BRUTOS'!$A$3:$A$500,$C25,'DADOS BRUTOS'!BM$3:BM$500)))</f>
        <v>0</v>
      </c>
      <c r="EN25" s="133" t="n">
        <f aca="false">IF(OR(EN$4="",$B25=""),0,SUMIF('DADOS BRUTOS'!$A$3:$A$500,$B25,'DADOS BRUTOS'!BN$3:BN$500)+IF($C25="",0,SUMIF('DADOS BRUTOS'!$A$3:$A$500,$C25,'DADOS BRUTOS'!BN$3:BN$500)))</f>
        <v>0</v>
      </c>
      <c r="EO25" s="133" t="n">
        <f aca="false">IF(OR(EO$4="",$B25=""),0,SUMIF('DADOS BRUTOS'!$A$3:$A$500,$B25,'DADOS BRUTOS'!BO$3:BO$500)+IF($C25="",0,SUMIF('DADOS BRUTOS'!$A$3:$A$500,$C25,'DADOS BRUTOS'!BO$3:BO$500)))</f>
        <v>0</v>
      </c>
      <c r="EP25" s="133" t="n">
        <f aca="false">IF(OR(EP$4="",$B25=""),0,SUMIF('DADOS BRUTOS'!$A$3:$A$500,$B25,'DADOS BRUTOS'!BP$3:BP$500)+IF($C25="",0,SUMIF('DADOS BRUTOS'!$A$3:$A$500,$C25,'DADOS BRUTOS'!BP$3:BP$500)))</f>
        <v>0</v>
      </c>
      <c r="EQ25" s="133" t="n">
        <f aca="false">IF(OR(EQ$4="",$B25=""),0,SUMIF('DADOS BRUTOS'!$A$3:$A$500,$B25,'DADOS BRUTOS'!BQ$3:BQ$500)+IF($C25="",0,SUMIF('DADOS BRUTOS'!$A$3:$A$500,$C25,'DADOS BRUTOS'!BQ$3:BQ$500)))</f>
        <v>0</v>
      </c>
      <c r="ER25" s="133" t="n">
        <f aca="false">IF(OR(ER$4="",$B25=""),0,SUMIF('DADOS BRUTOS'!$A$3:$A$500,$B25,'DADOS BRUTOS'!BR$3:BR$500)+IF($C25="",0,SUMIF('DADOS BRUTOS'!$A$3:$A$500,$C25,'DADOS BRUTOS'!BR$3:BR$500)))</f>
        <v>2638.05</v>
      </c>
      <c r="ES25" s="133" t="n">
        <f aca="false">IF(OR(ES$4="",$B25=""),0,SUMIF('DADOS BRUTOS'!$A$3:$A$500,$B25,'DADOS BRUTOS'!BS$3:BS$500)+IF($C25="",0,SUMIF('DADOS BRUTOS'!$A$3:$A$500,$C25,'DADOS BRUTOS'!BS$3:BS$500)))</f>
        <v>0</v>
      </c>
      <c r="ET25" s="133" t="n">
        <f aca="false">IF(OR(ET$4="",$B25=""),0,SUMIF('DADOS BRUTOS'!$A$3:$A$500,$B25,'DADOS BRUTOS'!BT$3:BT$500)+IF($C25="",0,SUMIF('DADOS BRUTOS'!$A$3:$A$500,$C25,'DADOS BRUTOS'!BT$3:BT$500)))</f>
        <v>0</v>
      </c>
      <c r="EU25" s="133" t="n">
        <f aca="false">IF(OR(EU$4="",$B25=""),0,SUMIF('DADOS BRUTOS'!$A$3:$A$500,$B25,'DADOS BRUTOS'!BU$3:BU$500)+IF($C25="",0,SUMIF('DADOS BRUTOS'!$A$3:$A$500,$C25,'DADOS BRUTOS'!BU$3:BU$500)))</f>
        <v>0</v>
      </c>
      <c r="EV25" s="133" t="n">
        <f aca="false">IF(OR(EV$4="",$B25=""),0,SUMIF('DADOS BRUTOS'!$A$3:$A$500,$B25,'DADOS BRUTOS'!BV$3:BV$500)+IF($C25="",0,SUMIF('DADOS BRUTOS'!$A$3:$A$500,$C25,'DADOS BRUTOS'!BV$3:BV$500)))</f>
        <v>0</v>
      </c>
      <c r="EW25" s="133" t="n">
        <f aca="false">IF(OR(EW$4="",$B25=""),0,SUMIF('DADOS BRUTOS'!$A$3:$A$500,$B25,'DADOS BRUTOS'!BW$3:BW$500)+IF($C25="",0,SUMIF('DADOS BRUTOS'!$A$3:$A$500,$C25,'DADOS BRUTOS'!BW$3:BW$500)))</f>
        <v>0</v>
      </c>
      <c r="EX25" s="133" t="n">
        <f aca="false">IF(OR(EX$4="",$B25=""),0,SUMIF('DADOS BRUTOS'!$A$3:$A$500,$B25,'DADOS BRUTOS'!BX$3:BX$500)+IF($C25="",0,SUMIF('DADOS BRUTOS'!$A$3:$A$500,$C25,'DADOS BRUTOS'!BX$3:BX$500)))</f>
        <v>0</v>
      </c>
      <c r="EY25" s="133" t="n">
        <f aca="false">IF(OR(EY$4="",$B25=""),0,SUMIF('DADOS BRUTOS'!$A$3:$A$500,$B25,'DADOS BRUTOS'!BY$3:BY$500)+IF($C25="",0,SUMIF('DADOS BRUTOS'!$A$3:$A$500,$C25,'DADOS BRUTOS'!BY$3:BY$500)))</f>
        <v>0</v>
      </c>
      <c r="EZ25" s="133" t="n">
        <f aca="false">IF(OR(EZ$4="",$B25=""),0,SUMIF('DADOS BRUTOS'!$A$3:$A$500,$B25,'DADOS BRUTOS'!BZ$3:BZ$500)+IF($C25="",0,SUMIF('DADOS BRUTOS'!$A$3:$A$500,$C25,'DADOS BRUTOS'!BZ$3:BZ$500)))</f>
        <v>0</v>
      </c>
      <c r="FA25" s="133" t="n">
        <f aca="false">IF(OR(FA$4="",$B25=""),0,SUMIF('DADOS BRUTOS'!$A$3:$A$500,$B25,'DADOS BRUTOS'!CA$3:CA$500)+IF($C25="",0,SUMIF('DADOS BRUTOS'!$A$3:$A$500,$C25,'DADOS BRUTOS'!CA$3:CA$500)))</f>
        <v>0</v>
      </c>
      <c r="FB25" s="133" t="n">
        <f aca="false">IF(OR(FB$4="",$B25=""),0,SUMIF('DADOS BRUTOS'!$A$3:$A$500,$B25,'DADOS BRUTOS'!CB$3:CB$500)+IF($C25="",0,SUMIF('DADOS BRUTOS'!$A$3:$A$500,$C25,'DADOS BRUTOS'!CB$3:CB$500)))</f>
        <v>0</v>
      </c>
      <c r="FC25" s="133" t="n">
        <f aca="false">IF(OR(FC$4="",$B25=""),0,SUMIF('DADOS BRUTOS'!$A$3:$A$500,$B25,'DADOS BRUTOS'!CC$3:CC$500)+IF($C25="",0,SUMIF('DADOS BRUTOS'!$A$3:$A$500,$C25,'DADOS BRUTOS'!CC$3:CC$500)))</f>
        <v>0</v>
      </c>
      <c r="FD25" s="133" t="n">
        <f aca="false">IF(OR(FD$4="",$B25=""),0,SUMIF('DADOS BRUTOS'!$A$3:$A$500,$B25,'DADOS BRUTOS'!CD$3:CD$500)+IF($C25="",0,SUMIF('DADOS BRUTOS'!$A$3:$A$500,$C25,'DADOS BRUTOS'!CD$3:CD$500)))</f>
        <v>0</v>
      </c>
      <c r="FE25" s="133" t="n">
        <f aca="false">IF(OR(FE$4="",$B25=""),0,SUMIF('DADOS BRUTOS'!$A$3:$A$500,$B25,'DADOS BRUTOS'!CE$3:CE$500)+IF($C25="",0,SUMIF('DADOS BRUTOS'!$A$3:$A$500,$C25,'DADOS BRUTOS'!CE$3:CE$500)))</f>
        <v>0</v>
      </c>
      <c r="FF25" s="133" t="n">
        <f aca="false">IF(OR(FF$4="",$B25=""),0,SUMIF('DADOS BRUTOS'!$A$3:$A$500,$B25,'DADOS BRUTOS'!CF$3:CF$500)+IF($C25="",0,SUMIF('DADOS BRUTOS'!$A$3:$A$500,$C25,'DADOS BRUTOS'!CF$3:CF$500)))</f>
        <v>0</v>
      </c>
      <c r="FG25" s="133" t="n">
        <f aca="false">IF(OR(FG$4="",$B25=""),0,SUMIF('DADOS BRUTOS'!$A$3:$A$500,$B25,'DADOS BRUTOS'!CG$3:CG$500)+IF($C25="",0,SUMIF('DADOS BRUTOS'!$A$3:$A$500,$C25,'DADOS BRUTOS'!CG$3:CG$500)))</f>
        <v>0</v>
      </c>
      <c r="FH25" s="133" t="n">
        <f aca="false">IF(OR(FH$4="",$B25=""),0,SUMIF('DADOS BRUTOS'!$A$3:$A$500,$B25,'DADOS BRUTOS'!CH$3:CH$500)+IF($C25="",0,SUMIF('DADOS BRUTOS'!$A$3:$A$500,$C25,'DADOS BRUTOS'!CH$3:CH$500)))</f>
        <v>0</v>
      </c>
      <c r="FI25" s="133" t="n">
        <f aca="false">IF(OR(FI$4="",$B25=""),0,SUMIF('DADOS BRUTOS'!$A$3:$A$500,$B25,'DADOS BRUTOS'!CI$3:CI$500)+IF($C25="",0,SUMIF('DADOS BRUTOS'!$A$3:$A$500,$C25,'DADOS BRUTOS'!CI$3:CI$500)))</f>
        <v>0</v>
      </c>
      <c r="FJ25" s="133" t="n">
        <f aca="false">IF(OR(FJ$4="",$B25=""),0,SUMIF('DADOS BRUTOS'!$A$3:$A$500,$B25,'DADOS BRUTOS'!CJ$3:CJ$500)+IF($C25="",0,SUMIF('DADOS BRUTOS'!$A$3:$A$500,$C25,'DADOS BRUTOS'!CJ$3:CJ$500)))</f>
        <v>0</v>
      </c>
      <c r="FK25" s="133" t="n">
        <f aca="false">IF(OR(FK$4="",$B25=""),0,SUMIF('DADOS BRUTOS'!$A$3:$A$500,$B25,'DADOS BRUTOS'!CK$3:CK$500)+IF($C25="",0,SUMIF('DADOS BRUTOS'!$A$3:$A$500,$C25,'DADOS BRUTOS'!CK$3:CK$500)))</f>
        <v>0</v>
      </c>
      <c r="FL25" s="133" t="n">
        <f aca="false">IF(OR(FL$4="",$B25=""),0,SUMIF('DADOS BRUTOS'!$A$3:$A$500,$B25,'DADOS BRUTOS'!CL$3:CL$500)+IF($C25="",0,SUMIF('DADOS BRUTOS'!$A$3:$A$500,$C25,'DADOS BRUTOS'!CL$3:CL$500)))</f>
        <v>0</v>
      </c>
      <c r="FM25" s="133" t="n">
        <f aca="false">IF(OR(FM$4="",$B25=""),0,SUMIF('DADOS BRUTOS'!$A$3:$A$500,$B25,'DADOS BRUTOS'!CM$3:CM$500)+IF($C25="",0,SUMIF('DADOS BRUTOS'!$A$3:$A$500,$C25,'DADOS BRUTOS'!CM$3:CM$500)))</f>
        <v>0</v>
      </c>
      <c r="FN25" s="133" t="n">
        <f aca="false">IF(OR(FN$4="",$B25=""),0,SUMIF('DADOS BRUTOS'!$A$3:$A$500,$B25,'DADOS BRUTOS'!CN$3:CN$500)+IF($C25="",0,SUMIF('DADOS BRUTOS'!$A$3:$A$500,$C25,'DADOS BRUTOS'!CN$3:CN$500)))</f>
        <v>0</v>
      </c>
      <c r="FO25" s="133" t="n">
        <f aca="false">IF(OR(FO$4="",$B25=""),0,SUMIF('DADOS BRUTOS'!$A$3:$A$500,$B25,'DADOS BRUTOS'!CO$3:CO$500)+IF($C25="",0,SUMIF('DADOS BRUTOS'!$A$3:$A$500,$C25,'DADOS BRUTOS'!CO$3:CO$500)))</f>
        <v>0</v>
      </c>
      <c r="FP25" s="133" t="n">
        <f aca="false">IF(OR(FP$4="",$B25=""),0,SUMIF('DADOS BRUTOS'!$A$3:$A$500,$B25,'DADOS BRUTOS'!CP$3:CP$500)+IF($C25="",0,SUMIF('DADOS BRUTOS'!$A$3:$A$500,$C25,'DADOS BRUTOS'!CP$3:CP$500)))</f>
        <v>0</v>
      </c>
      <c r="FQ25" s="133" t="n">
        <f aca="false">IF(OR(FQ$4="",$B25=""),0,SUMIF('DADOS BRUTOS'!$A$3:$A$500,$B25,'DADOS BRUTOS'!CQ$3:CQ$500)+IF($C25="",0,SUMIF('DADOS BRUTOS'!$A$3:$A$500,$C25,'DADOS BRUTOS'!CQ$3:CQ$500)))</f>
        <v>0</v>
      </c>
      <c r="FR25" s="133" t="n">
        <f aca="false">IF(OR(FR$4="",$B25=""),0,SUMIF('DADOS BRUTOS'!$A$3:$A$500,$B25,'DADOS BRUTOS'!CR$3:CR$500)+IF($C25="",0,SUMIF('DADOS BRUTOS'!$A$3:$A$500,$C25,'DADOS BRUTOS'!CR$3:CR$500)))</f>
        <v>0</v>
      </c>
      <c r="FS25" s="133" t="n">
        <f aca="false">IF(OR(FS$4="",$B25=""),0,SUMIF('DADOS BRUTOS'!$A$3:$A$500,$B25,'DADOS BRUTOS'!CS$3:CS$500)+IF($C25="",0,SUMIF('DADOS BRUTOS'!$A$3:$A$500,$C25,'DADOS BRUTOS'!CS$3:CS$500)))</f>
        <v>0</v>
      </c>
      <c r="FT25" s="133" t="n">
        <f aca="false">IF(OR(FT$4="",$B25=""),0,SUMIF('DADOS BRUTOS'!$A$3:$A$500,$B25,'DADOS BRUTOS'!CT$3:CT$500)+IF($C25="",0,SUMIF('DADOS BRUTOS'!$A$3:$A$500,$C25,'DADOS BRUTOS'!CT$3:CT$500)))</f>
        <v>0</v>
      </c>
      <c r="FU25" s="133" t="n">
        <f aca="false">IF(OR(FU$4="",$B25=""),0,SUMIF('DADOS BRUTOS'!$A$3:$A$500,$B25,'DADOS BRUTOS'!CU$3:CU$500)+IF($C25="",0,SUMIF('DADOS BRUTOS'!$A$3:$A$500,$C25,'DADOS BRUTOS'!CU$3:CU$500)))</f>
        <v>0</v>
      </c>
      <c r="FV25" s="133" t="n">
        <f aca="false">IF(OR(FV$4="",$B25=""),0,SUMIF('DADOS BRUTOS'!$A$3:$A$500,$B25,'DADOS BRUTOS'!CV$3:CV$500)+IF($C25="",0,SUMIF('DADOS BRUTOS'!$A$3:$A$500,$C25,'DADOS BRUTOS'!CV$3:CV$500)))</f>
        <v>0</v>
      </c>
      <c r="FW25" s="133" t="n">
        <f aca="false">IF(OR(FW$4="",$B25=""),0,SUMIF('DADOS BRUTOS'!$A$3:$A$500,$B25,'DADOS BRUTOS'!CW$3:CW$500)+IF($C25="",0,SUMIF('DADOS BRUTOS'!$A$3:$A$500,$C25,'DADOS BRUTOS'!CW$3:CW$500)))</f>
        <v>0</v>
      </c>
      <c r="FX25" s="133" t="n">
        <f aca="false">IF(OR(FX$4="",$B25=""),0,SUMIF('DADOS BRUTOS'!$A$3:$A$500,$B25,'DADOS BRUTOS'!CX$3:CX$500)+IF($C25="",0,SUMIF('DADOS BRUTOS'!$A$3:$A$500,$C25,'DADOS BRUTOS'!CX$3:CX$500)))</f>
        <v>0</v>
      </c>
      <c r="FY25" s="133" t="n">
        <f aca="false">IF(OR(FY$4="",$B25=""),0,SUMIF('DADOS BRUTOS'!$A$3:$A$500,$B25,'DADOS BRUTOS'!CY$3:CY$500)+IF($C25="",0,SUMIF('DADOS BRUTOS'!$A$3:$A$500,$C25,'DADOS BRUTOS'!CY$3:CY$500)))</f>
        <v>0</v>
      </c>
      <c r="FZ25" s="133" t="n">
        <f aca="false">IF(OR(FZ$4="",$B25=""),0,SUMIF('DADOS BRUTOS'!$A$3:$A$500,$B25,'DADOS BRUTOS'!CZ$3:CZ$500)+IF($C25="",0,SUMIF('DADOS BRUTOS'!$A$3:$A$500,$C25,'DADOS BRUTOS'!CZ$3:CZ$500)))</f>
        <v>0</v>
      </c>
      <c r="GA25" s="133" t="n">
        <f aca="false">IF(OR(GA$4="",$B25=""),0,SUMIF('DADOS BRUTOS'!$A$3:$A$500,$B25,'DADOS BRUTOS'!DA$3:DA$500)+IF($C25="",0,SUMIF('DADOS BRUTOS'!$A$3:$A$500,$C25,'DADOS BRUTOS'!DA$3:DA$500)))</f>
        <v>0</v>
      </c>
      <c r="GB25" s="133" t="n">
        <f aca="false">IF(OR(GB$4="",$B25=""),0,SUMIF('DADOS BRUTOS'!$A$3:$A$500,$B25,'DADOS BRUTOS'!DB$3:DB$500)+IF($C25="",0,SUMIF('DADOS BRUTOS'!$A$3:$A$500,$C25,'DADOS BRUTOS'!DB$3:DB$500)))</f>
        <v>0</v>
      </c>
      <c r="GC25" s="133" t="n">
        <f aca="false">IF(OR(GC$4="",$B25=""),0,SUMIF('DADOS BRUTOS'!$A$3:$A$500,$B25,'DADOS BRUTOS'!DC$3:DC$500)+IF($C25="",0,SUMIF('DADOS BRUTOS'!$A$3:$A$500,$C25,'DADOS BRUTOS'!DC$3:DC$500)))</f>
        <v>0</v>
      </c>
      <c r="GD25" s="133" t="n">
        <f aca="false">IF(OR(GD$4="",$B25=""),0,SUMIF('DADOS BRUTOS'!$A$3:$A$500,$B25,'DADOS BRUTOS'!DD$3:DD$500)+IF($C25="",0,SUMIF('DADOS BRUTOS'!$A$3:$A$500,$C25,'DADOS BRUTOS'!DD$3:DD$500)))</f>
        <v>0</v>
      </c>
      <c r="GE25" s="133" t="n">
        <f aca="false">IF(OR(GE$4="",$B25=""),0,SUMIF('DADOS BRUTOS'!$A$3:$A$500,$B25,'DADOS BRUTOS'!DE$3:DE$500)+IF($C25="",0,SUMIF('DADOS BRUTOS'!$A$3:$A$500,$C25,'DADOS BRUTOS'!DE$3:DE$500)))</f>
        <v>0</v>
      </c>
      <c r="GF25" s="133" t="n">
        <f aca="false">IF(OR(GF$4="",$B25=""),0,SUMIF('DADOS BRUTOS'!$A$3:$A$500,$B25,'DADOS BRUTOS'!DF$3:DF$500)+IF($C25="",0,SUMIF('DADOS BRUTOS'!$A$3:$A$500,$C25,'DADOS BRUTOS'!DF$3:DF$500)))</f>
        <v>0</v>
      </c>
      <c r="GG25" s="133" t="n">
        <f aca="false">IF(OR(GG$4="",$B25=""),0,SUMIF('DADOS BRUTOS'!$A$3:$A$500,$B25,'DADOS BRUTOS'!DG$3:DG$500)+IF($C25="",0,SUMIF('DADOS BRUTOS'!$A$3:$A$500,$C25,'DADOS BRUTOS'!DG$3:DG$500)))</f>
        <v>0</v>
      </c>
      <c r="GH25" s="133" t="n">
        <f aca="false">IF(OR(GH$4="",$B25=""),0,SUMIF('DADOS BRUTOS'!$A$3:$A$500,$B25,'DADOS BRUTOS'!DH$3:DH$500)+IF($C25="",0,SUMIF('DADOS BRUTOS'!$A$3:$A$500,$C25,'DADOS BRUTOS'!DH$3:DH$500)))</f>
        <v>0</v>
      </c>
      <c r="GI25" s="133" t="n">
        <f aca="false">IF(OR(GI$4="",$B25=""),0,SUMIF('DADOS BRUTOS'!$A$3:$A$500,$B25,'DADOS BRUTOS'!DI$3:DI$500)+IF($C25="",0,SUMIF('DADOS BRUTOS'!$A$3:$A$500,$C25,'DADOS BRUTOS'!DI$3:DI$500)))</f>
        <v>0</v>
      </c>
      <c r="GJ25" s="133" t="n">
        <f aca="false">IF(OR(GJ$4="",$B25=""),0,SUMIF('DADOS BRUTOS'!$A$3:$A$500,$B25,'DADOS BRUTOS'!DJ$3:DJ$500)+IF($C25="",0,SUMIF('DADOS BRUTOS'!$A$3:$A$500,$C25,'DADOS BRUTOS'!DJ$3:DJ$500)))</f>
        <v>0</v>
      </c>
      <c r="GK25" s="133" t="n">
        <f aca="false">IF(OR(GK$4="",$B25=""),0,SUMIF('DADOS BRUTOS'!$A$3:$A$500,$B25,'DADOS BRUTOS'!DK$3:DK$500)+IF($C25="",0,SUMIF('DADOS BRUTOS'!$A$3:$A$500,$C25,'DADOS BRUTOS'!DK$3:DK$500)))</f>
        <v>0</v>
      </c>
      <c r="GL25" s="133" t="n">
        <f aca="false">IF(OR(GL$4="",$B25=""),0,SUMIF('DADOS BRUTOS'!$A$3:$A$500,$B25,'DADOS BRUTOS'!DL$3:DL$500)+IF($C25="",0,SUMIF('DADOS BRUTOS'!$A$3:$A$500,$C25,'DADOS BRUTOS'!DL$3:DL$500)))</f>
        <v>0</v>
      </c>
      <c r="GM25" s="133" t="n">
        <f aca="false">IF(OR(GM$4="",$B25=""),0,SUMIF('DADOS BRUTOS'!$A$3:$A$500,$B25,'DADOS BRUTOS'!DM$3:DM$500)+IF($C25="",0,SUMIF('DADOS BRUTOS'!$A$3:$A$500,$C25,'DADOS BRUTOS'!DM$3:DM$500)))</f>
        <v>0</v>
      </c>
      <c r="GN25" s="133" t="n">
        <f aca="false">IF(OR(GN$4="",$B25=""),0,SUMIF('DADOS BRUTOS'!$A$3:$A$500,$B25,'DADOS BRUTOS'!DN$3:DN$500)+IF($C25="",0,SUMIF('DADOS BRUTOS'!$A$3:$A$500,$C25,'DADOS BRUTOS'!DN$3:DN$500)))</f>
        <v>0</v>
      </c>
      <c r="GO25" s="133" t="n">
        <f aca="false">IF(OR(GO$4="",$B25=""),0,SUMIF('DADOS BRUTOS'!$A$3:$A$500,$B25,'DADOS BRUTOS'!DO$3:DO$500)+IF($C25="",0,SUMIF('DADOS BRUTOS'!$A$3:$A$500,$C25,'DADOS BRUTOS'!DO$3:DO$500)))</f>
        <v>0</v>
      </c>
      <c r="GP25" s="133" t="n">
        <f aca="false">IF(OR(GP$4="",$B25=""),0,SUMIF('DADOS BRUTOS'!$A$3:$A$500,$B25,'DADOS BRUTOS'!DP$3:DP$500)+IF($C25="",0,SUMIF('DADOS BRUTOS'!$A$3:$A$500,$C25,'DADOS BRUTOS'!DP$3:DP$500)))</f>
        <v>0</v>
      </c>
      <c r="GQ25" s="133" t="n">
        <f aca="false">IF(OR(GQ$4="",$B25=""),0,SUMIF('DADOS BRUTOS'!$A$3:$A$500,$B25,'DADOS BRUTOS'!DQ$3:DQ$500)+IF($C25="",0,SUMIF('DADOS BRUTOS'!$A$3:$A$500,$C25,'DADOS BRUTOS'!DQ$3:DQ$500)))</f>
        <v>0</v>
      </c>
      <c r="GR25" s="133" t="n">
        <f aca="false">IF(OR(GR$4="",$B25=""),0,SUMIF('DADOS BRUTOS'!$A$3:$A$500,$B25,'DADOS BRUTOS'!DR$3:DR$500)+IF($C25="",0,SUMIF('DADOS BRUTOS'!$A$3:$A$500,$C25,'DADOS BRUTOS'!DR$3:DR$500)))</f>
        <v>0</v>
      </c>
      <c r="GS25" s="133" t="n">
        <f aca="false">IF(OR(GS$4="",$B25=""),0,SUMIF('DADOS BRUTOS'!$A$3:$A$500,$B25,'DADOS BRUTOS'!DS$3:DS$500)+IF($C25="",0,SUMIF('DADOS BRUTOS'!$A$3:$A$500,$C25,'DADOS BRUTOS'!DS$3:DS$500)))</f>
        <v>0</v>
      </c>
      <c r="GT25" s="133" t="n">
        <f aca="false">IF(OR(GT$4="",$B25=""),0,SUMIF('DADOS BRUTOS'!$A$3:$A$500,$B25,'DADOS BRUTOS'!DT$3:DT$500)+IF($C25="",0,SUMIF('DADOS BRUTOS'!$A$3:$A$500,$C25,'DADOS BRUTOS'!DT$3:DT$500)))</f>
        <v>0</v>
      </c>
      <c r="GU25" s="133" t="n">
        <f aca="false">IF(OR(GU$4="",$B25=""),0,SUMIF('DADOS BRUTOS'!$A$3:$A$500,$B25,'DADOS BRUTOS'!DU$3:DU$500)+IF($C25="",0,SUMIF('DADOS BRUTOS'!$A$3:$A$500,$C25,'DADOS BRUTOS'!DU$3:DU$500)))</f>
        <v>0</v>
      </c>
      <c r="GV25" s="133" t="n">
        <f aca="false">IF(OR(GV$4="",$B25=""),0,SUMIF('DADOS BRUTOS'!$A$3:$A$500,$B25,'DADOS BRUTOS'!DV$3:DV$500)+IF($C25="",0,SUMIF('DADOS BRUTOS'!$A$3:$A$500,$C25,'DADOS BRUTOS'!DV$3:DV$500)))</f>
        <v>0</v>
      </c>
      <c r="GW25" s="133" t="n">
        <f aca="false">IF(OR(GW$4="",$B25=""),0,SUMIF('DADOS BRUTOS'!$A$3:$A$500,$B25,'DADOS BRUTOS'!DW$3:DW$500)+IF($C25="",0,SUMIF('DADOS BRUTOS'!$A$3:$A$500,$C25,'DADOS BRUTOS'!DW$3:DW$500)))</f>
        <v>0</v>
      </c>
      <c r="GX25" s="133" t="n">
        <f aca="false">IF(OR(GX$4="",$B25=""),0,SUMIF('DADOS BRUTOS'!$A$3:$A$500,$B25,'DADOS BRUTOS'!DX$3:DX$500)+IF($C25="",0,SUMIF('DADOS BRUTOS'!$A$3:$A$500,$C25,'DADOS BRUTOS'!DX$3:DX$500)))</f>
        <v>0</v>
      </c>
      <c r="GY25" s="133" t="n">
        <f aca="false">IF(OR(GY$4="",$B25=""),0,SUMIF('DADOS BRUTOS'!$A$3:$A$500,$B25,'DADOS BRUTOS'!DY$3:DY$500)+IF($C25="",0,SUMIF('DADOS BRUTOS'!$A$3:$A$500,$C25,'DADOS BRUTOS'!DY$3:DY$500)))</f>
        <v>0</v>
      </c>
      <c r="GZ25" s="133" t="n">
        <f aca="false">IF(OR(GZ$4="",$B25=""),0,SUMIF('DADOS BRUTOS'!$A$3:$A$500,$B25,'DADOS BRUTOS'!DZ$3:DZ$500)+IF($C25="",0,SUMIF('DADOS BRUTOS'!$A$3:$A$500,$C25,'DADOS BRUTOS'!DZ$3:DZ$500)))</f>
        <v>0</v>
      </c>
      <c r="HA25" s="133" t="n">
        <f aca="false">IF(OR(HA$4="",$B25=""),0,SUMIF('DADOS BRUTOS'!$A$3:$A$500,$B25,'DADOS BRUTOS'!EA$3:EA$500)+IF($C25="",0,SUMIF('DADOS BRUTOS'!$A$3:$A$500,$C25,'DADOS BRUTOS'!EA$3:EA$500)))</f>
        <v>0</v>
      </c>
      <c r="HB25" s="133" t="n">
        <f aca="false">IF(OR(HB$4="",$B25=""),0,SUMIF('DADOS BRUTOS'!$A$3:$A$500,$B25,'DADOS BRUTOS'!EB$3:EB$500)+IF($C25="",0,SUMIF('DADOS BRUTOS'!$A$3:$A$500,$C25,'DADOS BRUTOS'!EB$3:EB$500)))</f>
        <v>0</v>
      </c>
      <c r="HC25" s="133" t="n">
        <f aca="false">IF(OR(HC$4="",$B25=""),0,SUMIF('DADOS BRUTOS'!$A$3:$A$500,$B25,'DADOS BRUTOS'!EC$3:EC$500)+IF($C25="",0,SUMIF('DADOS BRUTOS'!$A$3:$A$500,$C25,'DADOS BRUTOS'!EC$3:EC$500)))</f>
        <v>0</v>
      </c>
      <c r="HD25" s="133" t="n">
        <f aca="false">IF(OR(HD$4="",$B25=""),0,SUMIF('DADOS BRUTOS'!$A$3:$A$500,$B25,'DADOS BRUTOS'!ED$3:ED$500)+IF($C25="",0,SUMIF('DADOS BRUTOS'!$A$3:$A$500,$C25,'DADOS BRUTOS'!ED$3:ED$500)))</f>
        <v>0</v>
      </c>
      <c r="HE25" s="133" t="n">
        <f aca="false">IF(OR(HE$4="",$B25=""),0,SUMIF('DADOS BRUTOS'!$A$3:$A$500,$B25,'DADOS BRUTOS'!EE$3:EE$500)+IF($C25="",0,SUMIF('DADOS BRUTOS'!$A$3:$A$500,$C25,'DADOS BRUTOS'!EE$3:EE$500)))</f>
        <v>0</v>
      </c>
      <c r="HF25" s="133" t="n">
        <f aca="false">IF(OR(HF$4="",$B25=""),0,SUMIF('DADOS BRUTOS'!$A$3:$A$500,$B25,'DADOS BRUTOS'!EF$3:EF$500)+IF($C25="",0,SUMIF('DADOS BRUTOS'!$A$3:$A$500,$C25,'DADOS BRUTOS'!EF$3:EF$500)))</f>
        <v>0</v>
      </c>
      <c r="HG25" s="133" t="n">
        <f aca="false">IF(OR(HG$4="",$B25=""),0,SUMIF('DADOS BRUTOS'!$A$3:$A$500,$B25,'DADOS BRUTOS'!EG$3:EG$500)+IF($C25="",0,SUMIF('DADOS BRUTOS'!$A$3:$A$500,$C25,'DADOS BRUTOS'!EG$3:EG$500)))</f>
        <v>0</v>
      </c>
      <c r="HH25" s="133" t="n">
        <f aca="false">IF(OR(HH$4="",$B25=""),0,SUMIF('DADOS BRUTOS'!$A$3:$A$500,$B25,'DADOS BRUTOS'!EH$3:EH$500)+IF($C25="",0,SUMIF('DADOS BRUTOS'!$A$3:$A$500,$C25,'DADOS BRUTOS'!EH$3:EH$500)))</f>
        <v>0</v>
      </c>
      <c r="HI25" s="133" t="n">
        <f aca="false">IF(OR(HI$4="",$B25=""),0,SUMIF('DADOS BRUTOS'!$A$3:$A$500,$B25,'DADOS BRUTOS'!EI$3:EI$500)+IF($C25="",0,SUMIF('DADOS BRUTOS'!$A$3:$A$500,$C25,'DADOS BRUTOS'!EI$3:EI$500)))</f>
        <v>0</v>
      </c>
      <c r="HJ25" s="133" t="n">
        <f aca="false">IF(OR(HJ$4="",$B25=""),0,SUMIF('DADOS BRUTOS'!$A$3:$A$500,$B25,'DADOS BRUTOS'!EJ$3:EJ$500)+IF($C25="",0,SUMIF('DADOS BRUTOS'!$A$3:$A$500,$C25,'DADOS BRUTOS'!EJ$3:EJ$500)))</f>
        <v>0</v>
      </c>
      <c r="HK25" s="133" t="n">
        <f aca="false">IF(OR(HK$4="",$B25=""),0,SUMIF('DADOS BRUTOS'!$A$3:$A$500,$B25,'DADOS BRUTOS'!EK$3:EK$500)+IF($C25="",0,SUMIF('DADOS BRUTOS'!$A$3:$A$500,$C25,'DADOS BRUTOS'!EK$3:EK$500)))</f>
        <v>0</v>
      </c>
      <c r="HL25" s="133" t="n">
        <f aca="false">IF(OR(HL$4="",$B25=""),0,SUMIF('DADOS BRUTOS'!$A$3:$A$500,$B25,'DADOS BRUTOS'!EL$3:EL$500)+IF($C25="",0,SUMIF('DADOS BRUTOS'!$A$3:$A$500,$C25,'DADOS BRUTOS'!EL$3:EL$500)))</f>
        <v>0</v>
      </c>
      <c r="HM25" s="133" t="n">
        <f aca="false">IF(OR(HM$4="",$B25=""),0,SUMIF('DADOS BRUTOS'!$A$3:$A$500,$B25,'DADOS BRUTOS'!EM$3:EM$500)+IF($C25="",0,SUMIF('DADOS BRUTOS'!$A$3:$A$500,$C25,'DADOS BRUTOS'!EM$3:EM$500)))</f>
        <v>0</v>
      </c>
      <c r="HN25" s="133" t="n">
        <f aca="false">IF(OR(HN$4="",$B25=""),0,SUMIF('DADOS BRUTOS'!$A$3:$A$500,$B25,'DADOS BRUTOS'!EN$3:EN$500)+IF($C25="",0,SUMIF('DADOS BRUTOS'!$A$3:$A$500,$C25,'DADOS BRUTOS'!EN$3:EN$500)))</f>
        <v>0</v>
      </c>
      <c r="HO25" s="133" t="n">
        <f aca="false">IF(OR(HO$4="",$B25=""),0,SUMIF('DADOS BRUTOS'!$A$3:$A$500,$B25,'DADOS BRUTOS'!EO$3:EO$500)+IF($C25="",0,SUMIF('DADOS BRUTOS'!$A$3:$A$500,$C25,'DADOS BRUTOS'!EO$3:EO$500)))</f>
        <v>0</v>
      </c>
      <c r="HP25" s="133" t="n">
        <f aca="false">IF(OR(HP$4="",$B25=""),0,SUMIF('DADOS BRUTOS'!$A$3:$A$500,$B25,'DADOS BRUTOS'!EP$3:EP$500)+IF($C25="",0,SUMIF('DADOS BRUTOS'!$A$3:$A$500,$C25,'DADOS BRUTOS'!EP$3:EP$500)))</f>
        <v>0</v>
      </c>
      <c r="HQ25" s="133" t="n">
        <f aca="false">IF(OR(HQ$4="",$B25=""),0,SUMIF('DADOS BRUTOS'!$A$3:$A$500,$B25,'DADOS BRUTOS'!EQ$3:EQ$500)+IF($C25="",0,SUMIF('DADOS BRUTOS'!$A$3:$A$500,$C25,'DADOS BRUTOS'!EQ$3:EQ$500)))</f>
        <v>0</v>
      </c>
      <c r="HR25" s="133" t="n">
        <f aca="false">IF(OR(HR$4="",$B25=""),0,SUMIF('DADOS BRUTOS'!$A$3:$A$500,$B25,'DADOS BRUTOS'!ER$3:ER$500)+IF($C25="",0,SUMIF('DADOS BRUTOS'!$A$3:$A$500,$C25,'DADOS BRUTOS'!ER$3:ER$500)))</f>
        <v>0</v>
      </c>
      <c r="HS25" s="133" t="n">
        <f aca="false">IF(OR(HS$4="",$B25=""),0,SUMIF('DADOS BRUTOS'!$A$3:$A$500,$B25,'DADOS BRUTOS'!ES$3:ES$500)+IF($C25="",0,SUMIF('DADOS BRUTOS'!$A$3:$A$500,$C25,'DADOS BRUTOS'!ES$3:ES$500)))</f>
        <v>0</v>
      </c>
      <c r="HT25" s="133" t="n">
        <f aca="false">IF(OR(HT$4="",$B25=""),0,SUMIF('DADOS BRUTOS'!$A$3:$A$500,$B25,'DADOS BRUTOS'!ET$3:ET$500)+IF($C25="",0,SUMIF('DADOS BRUTOS'!$A$3:$A$500,$C25,'DADOS BRUTOS'!ET$3:ET$500)))</f>
        <v>0</v>
      </c>
      <c r="HU25" s="133" t="n">
        <f aca="false">IF(OR(HU$4="",$B25=""),0,SUMIF('DADOS BRUTOS'!$A$3:$A$500,$B25,'DADOS BRUTOS'!EU$3:EU$500)+IF($C25="",0,SUMIF('DADOS BRUTOS'!$A$3:$A$500,$C25,'DADOS BRUTOS'!EU$3:EU$500)))</f>
        <v>0</v>
      </c>
      <c r="HV25" s="133" t="n">
        <f aca="false">IF(OR(HV$4="",$B25=""),0,SUMIF('DADOS BRUTOS'!$A$3:$A$500,$B25,'DADOS BRUTOS'!EV$3:EV$500)+IF($C25="",0,SUMIF('DADOS BRUTOS'!$A$3:$A$500,$C25,'DADOS BRUTOS'!EV$3:EV$500)))</f>
        <v>0</v>
      </c>
      <c r="HW25" s="133" t="n">
        <f aca="false">IF(OR(HW$4="",$B25=""),0,SUMIF('DADOS BRUTOS'!$A$3:$A$500,$B25,'DADOS BRUTOS'!EW$3:EW$500)+IF($C25="",0,SUMIF('DADOS BRUTOS'!$A$3:$A$500,$C25,'DADOS BRUTOS'!EW$3:EW$500)))</f>
        <v>0</v>
      </c>
      <c r="HX25" s="133" t="n">
        <f aca="false">IF(OR(HX$4="",$B25=""),0,SUMIF('DADOS BRUTOS'!$A$3:$A$500,$B25,'DADOS BRUTOS'!EX$3:EX$500)+IF($C25="",0,SUMIF('DADOS BRUTOS'!$A$3:$A$500,$C25,'DADOS BRUTOS'!EX$3:EX$500)))</f>
        <v>0</v>
      </c>
      <c r="HY25" s="133" t="n">
        <f aca="false">IF(OR(HY$4="",$B25=""),0,SUMIF('DADOS BRUTOS'!$A$3:$A$500,$B25,'DADOS BRUTOS'!EY$3:EY$500)+IF($C25="",0,SUMIF('DADOS BRUTOS'!$A$3:$A$500,$C25,'DADOS BRUTOS'!EY$3:EY$500)))</f>
        <v>0</v>
      </c>
      <c r="HZ25" s="133" t="n">
        <f aca="false">IF(OR(HZ$4="",$B25=""),0,SUMIF('DADOS BRUTOS'!$A$3:$A$500,$B25,'DADOS BRUTOS'!EZ$3:EZ$500)+IF($C25="",0,SUMIF('DADOS BRUTOS'!$A$3:$A$500,$C25,'DADOS BRUTOS'!EZ$3:EZ$500)))</f>
        <v>0</v>
      </c>
      <c r="IA25" s="133" t="n">
        <f aca="false">IF(OR(IA$4="",$B25=""),0,SUMIF('DADOS BRUTOS'!$A$3:$A$500,$B25,'DADOS BRUTOS'!FA$3:FA$500)+IF($C25="",0,SUMIF('DADOS BRUTOS'!$A$3:$A$500,$C25,'DADOS BRUTOS'!FA$3:FA$500)))</f>
        <v>0</v>
      </c>
      <c r="IB25" s="133" t="n">
        <f aca="false">IF(OR(IB$4="",$B25=""),0,SUMIF('DADOS BRUTOS'!$A$3:$A$500,$B25,'DADOS BRUTOS'!FB$3:FB$500)+IF($C25="",0,SUMIF('DADOS BRUTOS'!$A$3:$A$500,$C25,'DADOS BRUTOS'!FB$3:FB$500)))</f>
        <v>0</v>
      </c>
      <c r="IC25" s="133" t="n">
        <f aca="false">IF(OR(IC$4="",$B25=""),0,SUMIF('DADOS BRUTOS'!$A$3:$A$500,$B25,'DADOS BRUTOS'!FC$3:FC$500)+IF($C25="",0,SUMIF('DADOS BRUTOS'!$A$3:$A$500,$C25,'DADOS BRUTOS'!FC$3:FC$500)))</f>
        <v>0</v>
      </c>
      <c r="ID25" s="133" t="n">
        <f aca="false">IF(OR(ID$4="",$B25=""),0,SUMIF('DADOS BRUTOS'!$A$3:$A$500,$B25,'DADOS BRUTOS'!FD$3:FD$500)+IF($C25="",0,SUMIF('DADOS BRUTOS'!$A$3:$A$500,$C25,'DADOS BRUTOS'!FD$3:FD$500)))</f>
        <v>0</v>
      </c>
      <c r="IE25" s="133" t="n">
        <f aca="false">IF(OR(IE$4="",$B25=""),0,SUMIF('DADOS BRUTOS'!$A$3:$A$500,$B25,'DADOS BRUTOS'!FE$3:FE$500)+IF($C25="",0,SUMIF('DADOS BRUTOS'!$A$3:$A$500,$C25,'DADOS BRUTOS'!FE$3:FE$500)))</f>
        <v>0</v>
      </c>
      <c r="IF25" s="133" t="n">
        <f aca="false">IF(OR(IF$4="",$B25=""),0,SUMIF('DADOS BRUTOS'!$A$3:$A$500,$B25,'DADOS BRUTOS'!FF$3:FF$500)+IF($C25="",0,SUMIF('DADOS BRUTOS'!$A$3:$A$500,$C25,'DADOS BRUTOS'!FF$3:FF$500)))</f>
        <v>0</v>
      </c>
      <c r="IG25" s="133" t="n">
        <f aca="false">IF(OR(IG$4="",$B25=""),0,SUMIF('DADOS BRUTOS'!$A$3:$A$500,$B25,'DADOS BRUTOS'!FG$3:FG$500)+IF($C25="",0,SUMIF('DADOS BRUTOS'!$A$3:$A$500,$C25,'DADOS BRUTOS'!FG$3:FG$500)))</f>
        <v>0</v>
      </c>
      <c r="IH25" s="133" t="n">
        <f aca="false">IF(OR(IH$4="",$B25=""),0,SUMIF('DADOS BRUTOS'!$A$3:$A$500,$B25,'DADOS BRUTOS'!FH$3:FH$500)+IF($C25="",0,SUMIF('DADOS BRUTOS'!$A$3:$A$500,$C25,'DADOS BRUTOS'!FH$3:FH$500)))</f>
        <v>0</v>
      </c>
      <c r="II25" s="133" t="n">
        <f aca="false">IF(OR(II$4="",$B25=""),0,SUMIF('DADOS BRUTOS'!$A$3:$A$500,$B25,'DADOS BRUTOS'!FI$3:FI$500)+IF($C25="",0,SUMIF('DADOS BRUTOS'!$A$3:$A$500,$C25,'DADOS BRUTOS'!FI$3:FI$500)))</f>
        <v>0</v>
      </c>
      <c r="IJ25" s="133" t="n">
        <f aca="false">IF(OR(IJ$4="",$B25=""),0,SUMIF('DADOS BRUTOS'!$A$3:$A$500,$B25,'DADOS BRUTOS'!FJ$3:FJ$500)+IF($C25="",0,SUMIF('DADOS BRUTOS'!$A$3:$A$500,$C25,'DADOS BRUTOS'!FJ$3:FJ$500)))</f>
        <v>0</v>
      </c>
      <c r="IK25" s="133" t="n">
        <f aca="false">IF(OR(IK$4="",$B25=""),0,SUMIF('DADOS BRUTOS'!$A$3:$A$500,$B25,'DADOS BRUTOS'!FK$3:FK$500)+IF($C25="",0,SUMIF('DADOS BRUTOS'!$A$3:$A$500,$C25,'DADOS BRUTOS'!FK$3:FK$500)))</f>
        <v>0</v>
      </c>
      <c r="IL25" s="133" t="n">
        <f aca="false">IF(OR(IL$4="",$B25=""),0,SUMIF('DADOS BRUTOS'!$A$3:$A$500,$B25,'DADOS BRUTOS'!FL$3:FL$500)+IF($C25="",0,SUMIF('DADOS BRUTOS'!$A$3:$A$500,$C25,'DADOS BRUTOS'!FL$3:FL$500)))</f>
        <v>0</v>
      </c>
      <c r="IM25" s="133" t="n">
        <f aca="false">IF(OR(IM$4="",$B25=""),0,SUMIF('DADOS BRUTOS'!$A$3:$A$500,$B25,'DADOS BRUTOS'!FM$3:FM$500)+IF($C25="",0,SUMIF('DADOS BRUTOS'!$A$3:$A$500,$C25,'DADOS BRUTOS'!FM$3:FM$500)))</f>
        <v>0</v>
      </c>
      <c r="IN25" s="133" t="n">
        <f aca="false">IF(OR(IN$4="",$B25=""),0,SUMIF('DADOS BRUTOS'!$A$3:$A$500,$B25,'DADOS BRUTOS'!FN$3:FN$500)+IF($C25="",0,SUMIF('DADOS BRUTOS'!$A$3:$A$500,$C25,'DADOS BRUTOS'!FN$3:FN$500)))</f>
        <v>0</v>
      </c>
      <c r="IO25" s="133" t="n">
        <f aca="false">IF(OR(IO$4="",$B25=""),0,SUMIF('DADOS BRUTOS'!$A$3:$A$500,$B25,'DADOS BRUTOS'!FO$3:FO$500)+IF($C25="",0,SUMIF('DADOS BRUTOS'!$A$3:$A$500,$C25,'DADOS BRUTOS'!FO$3:FO$500)))</f>
        <v>0</v>
      </c>
      <c r="IP25" s="133" t="n">
        <f aca="false">IF(OR(IP$4="",$B25=""),0,SUMIF('DADOS BRUTOS'!$A$3:$A$500,$B25,'DADOS BRUTOS'!FP$3:FP$500)+IF($C25="",0,SUMIF('DADOS BRUTOS'!$A$3:$A$500,$C25,'DADOS BRUTOS'!FP$3:FP$500)))</f>
        <v>0</v>
      </c>
      <c r="IQ25" s="133" t="n">
        <f aca="false">IF(OR(IQ$4="",$B25=""),0,SUMIF('DADOS BRUTOS'!$A$3:$A$500,$B25,'DADOS BRUTOS'!FQ$3:FQ$500)+IF($C25="",0,SUMIF('DADOS BRUTOS'!$A$3:$A$500,$C25,'DADOS BRUTOS'!FQ$3:FQ$500)))</f>
        <v>0</v>
      </c>
      <c r="IR25" s="133" t="n">
        <f aca="false">IF(OR(IR$4="",$B25=""),0,SUMIF('DADOS BRUTOS'!$A$3:$A$500,$B25,'DADOS BRUTOS'!FR$3:FR$500)+IF($C25="",0,SUMIF('DADOS BRUTOS'!$A$3:$A$500,$C25,'DADOS BRUTOS'!FR$3:FR$500)))</f>
        <v>0</v>
      </c>
      <c r="IS25" s="133" t="n">
        <f aca="false">IF(OR(IS$4="",$B25=""),0,SUMIF('DADOS BRUTOS'!$A$3:$A$500,$B25,'DADOS BRUTOS'!FS$3:FS$500)+IF($C25="",0,SUMIF('DADOS BRUTOS'!$A$3:$A$500,$C25,'DADOS BRUTOS'!FS$3:FS$500)))</f>
        <v>0</v>
      </c>
      <c r="IT25" s="133" t="n">
        <f aca="false">IF(OR(IT$4="",$B25=""),0,SUMIF('DADOS BRUTOS'!$A$3:$A$500,$B25,'DADOS BRUTOS'!FT$3:FT$500)+IF($C25="",0,SUMIF('DADOS BRUTOS'!$A$3:$A$500,$C25,'DADOS BRUTOS'!FT$3:FT$500)))</f>
        <v>0</v>
      </c>
      <c r="IU25" s="133" t="n">
        <f aca="false">IF(OR(IU$4="",$B25=""),0,SUMIF('DADOS BRUTOS'!$A$3:$A$500,$B25,'DADOS BRUTOS'!FU$3:FU$500)+IF($C25="",0,SUMIF('DADOS BRUTOS'!$A$3:$A$500,$C25,'DADOS BRUTOS'!FU$3:FU$500)))</f>
        <v>0</v>
      </c>
      <c r="IV25" s="133" t="n">
        <f aca="false">IF(OR(IV$4="",$B25=""),0,SUMIF('DADOS BRUTOS'!$A$3:$A$500,$B25,'DADOS BRUTOS'!FV$3:FV$500)+IF($C25="",0,SUMIF('DADOS BRUTOS'!$A$3:$A$500,$C25,'DADOS BRUTOS'!FV$3:FV$500)))</f>
        <v>0</v>
      </c>
      <c r="IW25" s="133" t="n">
        <f aca="false">IF(OR(IW$4="",$B25=""),0,SUMIF('DADOS BRUTOS'!$A$3:$A$500,$B25,'DADOS BRUTOS'!FW$3:FW$500)+IF($C25="",0,SUMIF('DADOS BRUTOS'!$A$3:$A$500,$C25,'DADOS BRUTOS'!FW$3:FW$500)))</f>
        <v>0</v>
      </c>
      <c r="IX25" s="133" t="n">
        <f aca="false">IF(OR(IX$4="",$B25=""),0,SUMIF('DADOS BRUTOS'!$A$3:$A$500,$B25,'DADOS BRUTOS'!FX$3:FX$500)+IF($C25="",0,SUMIF('DADOS BRUTOS'!$A$3:$A$500,$C25,'DADOS BRUTOS'!FX$3:FX$500)))</f>
        <v>0</v>
      </c>
      <c r="IY25" s="133" t="n">
        <f aca="false">IF(OR(IY$4="",$B25=""),0,SUMIF('DADOS BRUTOS'!$A$3:$A$500,$B25,'DADOS BRUTOS'!FY$3:FY$500)+IF($C25="",0,SUMIF('DADOS BRUTOS'!$A$3:$A$500,$C25,'DADOS BRUTOS'!FY$3:FY$500)))</f>
        <v>0</v>
      </c>
      <c r="IZ25" s="133" t="n">
        <f aca="false">IF(OR(IZ$4="",$B25=""),0,SUMIF('DADOS BRUTOS'!$A$3:$A$500,$B25,'DADOS BRUTOS'!FZ$3:FZ$500)+IF($C25="",0,SUMIF('DADOS BRUTOS'!$A$3:$A$500,$C25,'DADOS BRUTOS'!FZ$3:FZ$500)))</f>
        <v>0</v>
      </c>
      <c r="JA25" s="133" t="n">
        <f aca="false">IF(OR(JA$4="",$B25=""),0,SUMIF('DADOS BRUTOS'!$A$3:$A$500,$B25,'DADOS BRUTOS'!GA$3:GA$500)+IF($C25="",0,SUMIF('DADOS BRUTOS'!$A$3:$A$500,$C25,'DADOS BRUTOS'!GA$3:GA$500)))</f>
        <v>0</v>
      </c>
      <c r="JB25" s="133" t="n">
        <f aca="false">IF(OR(JB$4="",$B25=""),0,SUMIF('DADOS BRUTOS'!$A$3:$A$500,$B25,'DADOS BRUTOS'!GB$3:GB$500)+IF($C25="",0,SUMIF('DADOS BRUTOS'!$A$3:$A$500,$C25,'DADOS BRUTOS'!GB$3:GB$500)))</f>
        <v>0</v>
      </c>
      <c r="JC25" s="133" t="n">
        <f aca="false">IF(OR(JC$4="",$B25=""),0,SUMIF('DADOS BRUTOS'!$A$3:$A$500,$B25,'DADOS BRUTOS'!GC$3:GC$500)+IF($C25="",0,SUMIF('DADOS BRUTOS'!$A$3:$A$500,$C25,'DADOS BRUTOS'!GC$3:GC$500)))</f>
        <v>0</v>
      </c>
      <c r="JD25" s="133" t="n">
        <f aca="false">IF(OR(JD$4="",$B25=""),0,SUMIF('DADOS BRUTOS'!$A$3:$A$500,$B25,'DADOS BRUTOS'!GD$3:GD$500)+IF($C25="",0,SUMIF('DADOS BRUTOS'!$A$3:$A$500,$C25,'DADOS BRUTOS'!GD$3:GD$500)))</f>
        <v>0</v>
      </c>
      <c r="JE25" s="133" t="n">
        <f aca="false">IF(OR(JE$4="",$B25=""),0,SUMIF('DADOS BRUTOS'!$A$3:$A$500,$B25,'DADOS BRUTOS'!GE$3:GE$500)+IF($C25="",0,SUMIF('DADOS BRUTOS'!$A$3:$A$500,$C25,'DADOS BRUTOS'!GE$3:GE$500)))</f>
        <v>0</v>
      </c>
      <c r="JF25" s="133" t="n">
        <f aca="false">IF(OR(JF$4="",$B25=""),0,SUMIF('DADOS BRUTOS'!$A$3:$A$500,$B25,'DADOS BRUTOS'!GF$3:GF$500)+IF($C25="",0,SUMIF('DADOS BRUTOS'!$A$3:$A$500,$C25,'DADOS BRUTOS'!GF$3:GF$500)))</f>
        <v>0</v>
      </c>
      <c r="JG25" s="133" t="n">
        <f aca="false">IF(OR(JG$4="",$B25=""),0,SUMIF('DADOS BRUTOS'!$A$3:$A$500,$B25,'DADOS BRUTOS'!GG$3:GG$500)+IF($C25="",0,SUMIF('DADOS BRUTOS'!$A$3:$A$500,$C25,'DADOS BRUTOS'!GG$3:GG$500)))</f>
        <v>0</v>
      </c>
      <c r="JH25" s="133" t="n">
        <f aca="false">IF(OR(JH$4="",$B25=""),0,SUMIF('DADOS BRUTOS'!$A$3:$A$500,$B25,'DADOS BRUTOS'!GH$3:GH$500)+IF($C25="",0,SUMIF('DADOS BRUTOS'!$A$3:$A$500,$C25,'DADOS BRUTOS'!GH$3:GH$500)))</f>
        <v>0</v>
      </c>
      <c r="JI25" s="133" t="n">
        <f aca="false">IF(OR(JI$4="",$B25=""),0,SUMIF('DADOS BRUTOS'!$A$3:$A$500,$B25,'DADOS BRUTOS'!GI$3:GI$500)+IF($C25="",0,SUMIF('DADOS BRUTOS'!$A$3:$A$500,$C25,'DADOS BRUTOS'!GI$3:GI$500)))</f>
        <v>0</v>
      </c>
      <c r="JJ25" s="133" t="n">
        <f aca="false">IF(OR(JJ$4="",$B25=""),0,SUMIF('DADOS BRUTOS'!$A$3:$A$500,$B25,'DADOS BRUTOS'!GJ$3:GJ$500)+IF($C25="",0,SUMIF('DADOS BRUTOS'!$A$3:$A$500,$C25,'DADOS BRUTOS'!GJ$3:GJ$500)))</f>
        <v>0</v>
      </c>
      <c r="JK25" s="133" t="n">
        <f aca="false">IF(OR(JK$4="",$B25=""),0,SUMIF('DADOS BRUTOS'!$A$3:$A$500,$B25,'DADOS BRUTOS'!GK$3:GK$500)+IF($C25="",0,SUMIF('DADOS BRUTOS'!$A$3:$A$500,$C25,'DADOS BRUTOS'!GK$3:GK$500)))</f>
        <v>0</v>
      </c>
      <c r="JL25" s="133" t="n">
        <f aca="false">IF(OR(JL$4="",$B25=""),0,SUMIF('DADOS BRUTOS'!$A$3:$A$500,$B25,'DADOS BRUTOS'!GL$3:GL$500)+IF($C25="",0,SUMIF('DADOS BRUTOS'!$A$3:$A$500,$C25,'DADOS BRUTOS'!GL$3:GL$500)))</f>
        <v>0</v>
      </c>
      <c r="JM25" s="133" t="n">
        <f aca="false">IF(OR(JM$4="",$B25=""),0,SUMIF('DADOS BRUTOS'!$A$3:$A$500,$B25,'DADOS BRUTOS'!GM$3:GM$500)+IF($C25="",0,SUMIF('DADOS BRUTOS'!$A$3:$A$500,$C25,'DADOS BRUTOS'!GM$3:GM$500)))</f>
        <v>0</v>
      </c>
      <c r="JN25" s="133" t="n">
        <f aca="false">IF(OR(JN$4="",$B25=""),0,SUMIF('DADOS BRUTOS'!$A$3:$A$500,$B25,'DADOS BRUTOS'!GN$3:GN$500)+IF($C25="",0,SUMIF('DADOS BRUTOS'!$A$3:$A$500,$C25,'DADOS BRUTOS'!GN$3:GN$500)))</f>
        <v>0</v>
      </c>
      <c r="JO25" s="133" t="n">
        <f aca="false">IF(OR(JO$4="",$B25=""),0,SUMIF('DADOS BRUTOS'!$A$3:$A$500,$B25,'DADOS BRUTOS'!GO$3:GO$500)+IF($C25="",0,SUMIF('DADOS BRUTOS'!$A$3:$A$500,$C25,'DADOS BRUTOS'!GO$3:GO$500)))</f>
        <v>0</v>
      </c>
      <c r="JP25" s="133" t="n">
        <f aca="false">IF(OR(JP$4="",$B25=""),0,SUMIF('DADOS BRUTOS'!$A$3:$A$500,$B25,'DADOS BRUTOS'!GP$3:GP$500)+IF($C25="",0,SUMIF('DADOS BRUTOS'!$A$3:$A$500,$C25,'DADOS BRUTOS'!GP$3:GP$500)))</f>
        <v>0</v>
      </c>
      <c r="JQ25" s="133" t="n">
        <f aca="false">IF(OR(JQ$4="",$B25=""),0,SUMIF('DADOS BRUTOS'!$A$3:$A$500,$B25,'DADOS BRUTOS'!GQ$3:GQ$500)+IF($C25="",0,SUMIF('DADOS BRUTOS'!$A$3:$A$500,$C25,'DADOS BRUTOS'!GQ$3:GQ$500)))</f>
        <v>0</v>
      </c>
      <c r="JR25" s="133" t="n">
        <f aca="false">IF(OR(JR$4="",$B25=""),0,SUMIF('DADOS BRUTOS'!$A$3:$A$500,$B25,'DADOS BRUTOS'!GR$3:GR$500)+IF($C25="",0,SUMIF('DADOS BRUTOS'!$A$3:$A$500,$C25,'DADOS BRUTOS'!GR$3:GR$500)))</f>
        <v>0</v>
      </c>
      <c r="JS25" s="133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174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19773.29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0</v>
      </c>
      <c r="AA26" s="50" t="n">
        <f aca="false">SUMIF($CB$4:$JS$4,AA$4,$CB26:$JS26)</f>
        <v>0</v>
      </c>
      <c r="AB26" s="50" t="n">
        <f aca="false">SUMIF($CB$4:$JS$4,AB$4,$CB26:$JS26)</f>
        <v>0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19773.29</v>
      </c>
      <c r="BZ26" s="45" t="n">
        <f aca="false">SUMPRODUCT(($CB$4:$JS$4&lt;&gt;"")*($CB$4:$JS$4&lt;=$D$4),$CB26:$JS26,$CB$1:$JS$1)</f>
        <v>0</v>
      </c>
      <c r="CB26" s="133" t="n">
        <f aca="false">IF(OR(CB$4="",$B26=""),0,SUMIF('DADOS BRUTOS'!$A$3:$A$500,$B26,'DADOS BRUTOS'!B$3:B$500)+IF($C26="",0,SUMIF('DADOS BRUTOS'!$A$3:$A$500,$C26,'DADOS BRUTOS'!B$3:B$500)))</f>
        <v>0</v>
      </c>
      <c r="CC26" s="133" t="n">
        <f aca="false">IF(OR(CC$4="",$B26=""),0,SUMIF('DADOS BRUTOS'!$A$3:$A$500,$B26,'DADOS BRUTOS'!C$3:C$500)+IF($C26="",0,SUMIF('DADOS BRUTOS'!$A$3:$A$500,$C26,'DADOS BRUTOS'!C$3:C$500)))</f>
        <v>0</v>
      </c>
      <c r="CD26" s="133" t="n">
        <f aca="false">IF(OR(CD$4="",$B26=""),0,SUMIF('DADOS BRUTOS'!$A$3:$A$500,$B26,'DADOS BRUTOS'!D$3:D$500)+IF($C26="",0,SUMIF('DADOS BRUTOS'!$A$3:$A$500,$C26,'DADOS BRUTOS'!D$3:D$500)))</f>
        <v>0</v>
      </c>
      <c r="CE26" s="133" t="n">
        <f aca="false">IF(OR(CE$4="",$B26=""),0,SUMIF('DADOS BRUTOS'!$A$3:$A$500,$B26,'DADOS BRUTOS'!E$3:E$500)+IF($C26="",0,SUMIF('DADOS BRUTOS'!$A$3:$A$500,$C26,'DADOS BRUTOS'!E$3:E$500)))</f>
        <v>0</v>
      </c>
      <c r="CF26" s="133" t="n">
        <f aca="false">IF(OR(CF$4="",$B26=""),0,SUMIF('DADOS BRUTOS'!$A$3:$A$500,$B26,'DADOS BRUTOS'!F$3:F$500)+IF($C26="",0,SUMIF('DADOS BRUTOS'!$A$3:$A$500,$C26,'DADOS BRUTOS'!F$3:F$500)))</f>
        <v>0</v>
      </c>
      <c r="CG26" s="133" t="n">
        <f aca="false">IF(OR(CG$4="",$B26=""),0,SUMIF('DADOS BRUTOS'!$A$3:$A$500,$B26,'DADOS BRUTOS'!G$3:G$500)+IF($C26="",0,SUMIF('DADOS BRUTOS'!$A$3:$A$500,$C26,'DADOS BRUTOS'!G$3:G$500)))</f>
        <v>0</v>
      </c>
      <c r="CH26" s="133" t="n">
        <f aca="false">IF(OR(CH$4="",$B26=""),0,SUMIF('DADOS BRUTOS'!$A$3:$A$500,$B26,'DADOS BRUTOS'!H$3:H$500)+IF($C26="",0,SUMIF('DADOS BRUTOS'!$A$3:$A$500,$C26,'DADOS BRUTOS'!H$3:H$500)))</f>
        <v>0</v>
      </c>
      <c r="CI26" s="133" t="n">
        <f aca="false">IF(OR(CI$4="",$B26=""),0,SUMIF('DADOS BRUTOS'!$A$3:$A$500,$B26,'DADOS BRUTOS'!I$3:I$500)+IF($C26="",0,SUMIF('DADOS BRUTOS'!$A$3:$A$500,$C26,'DADOS BRUTOS'!I$3:I$500)))</f>
        <v>0</v>
      </c>
      <c r="CJ26" s="133" t="n">
        <f aca="false">IF(OR(CJ$4="",$B26=""),0,SUMIF('DADOS BRUTOS'!$A$3:$A$500,$B26,'DADOS BRUTOS'!J$3:J$500)+IF($C26="",0,SUMIF('DADOS BRUTOS'!$A$3:$A$500,$C26,'DADOS BRUTOS'!J$3:J$500)))</f>
        <v>0</v>
      </c>
      <c r="CK26" s="133" t="n">
        <f aca="false">IF(OR(CK$4="",$B26=""),0,SUMIF('DADOS BRUTOS'!$A$3:$A$500,$B26,'DADOS BRUTOS'!K$3:K$500)+IF($C26="",0,SUMIF('DADOS BRUTOS'!$A$3:$A$500,$C26,'DADOS BRUTOS'!K$3:K$500)))</f>
        <v>0</v>
      </c>
      <c r="CL26" s="133" t="n">
        <f aca="false">IF(OR(CL$4="",$B26=""),0,SUMIF('DADOS BRUTOS'!$A$3:$A$500,$B26,'DADOS BRUTOS'!L$3:L$500)+IF($C26="",0,SUMIF('DADOS BRUTOS'!$A$3:$A$500,$C26,'DADOS BRUTOS'!L$3:L$500)))</f>
        <v>0</v>
      </c>
      <c r="CM26" s="133" t="n">
        <f aca="false">IF(OR(CM$4="",$B26=""),0,SUMIF('DADOS BRUTOS'!$A$3:$A$500,$B26,'DADOS BRUTOS'!M$3:M$500)+IF($C26="",0,SUMIF('DADOS BRUTOS'!$A$3:$A$500,$C26,'DADOS BRUTOS'!M$3:M$500)))</f>
        <v>0</v>
      </c>
      <c r="CN26" s="133" t="n">
        <f aca="false">IF(OR(CN$4="",$B26=""),0,SUMIF('DADOS BRUTOS'!$A$3:$A$500,$B26,'DADOS BRUTOS'!N$3:N$500)+IF($C26="",0,SUMIF('DADOS BRUTOS'!$A$3:$A$500,$C26,'DADOS BRUTOS'!N$3:N$500)))</f>
        <v>0</v>
      </c>
      <c r="CO26" s="133" t="n">
        <f aca="false">IF(OR(CO$4="",$B26=""),0,SUMIF('DADOS BRUTOS'!$A$3:$A$500,$B26,'DADOS BRUTOS'!O$3:O$500)+IF($C26="",0,SUMIF('DADOS BRUTOS'!$A$3:$A$500,$C26,'DADOS BRUTOS'!O$3:O$500)))</f>
        <v>0</v>
      </c>
      <c r="CP26" s="133" t="n">
        <f aca="false">IF(OR(CP$4="",$B26=""),0,SUMIF('DADOS BRUTOS'!$A$3:$A$500,$B26,'DADOS BRUTOS'!P$3:P$500)+IF($C26="",0,SUMIF('DADOS BRUTOS'!$A$3:$A$500,$C26,'DADOS BRUTOS'!P$3:P$500)))</f>
        <v>0</v>
      </c>
      <c r="CQ26" s="133" t="n">
        <f aca="false">IF(OR(CQ$4="",$B26=""),0,SUMIF('DADOS BRUTOS'!$A$3:$A$500,$B26,'DADOS BRUTOS'!Q$3:Q$500)+IF($C26="",0,SUMIF('DADOS BRUTOS'!$A$3:$A$500,$C26,'DADOS BRUTOS'!Q$3:Q$500)))</f>
        <v>0</v>
      </c>
      <c r="CR26" s="133" t="n">
        <f aca="false">IF(OR(CR$4="",$B26=""),0,SUMIF('DADOS BRUTOS'!$A$3:$A$500,$B26,'DADOS BRUTOS'!R$3:R$500)+IF($C26="",0,SUMIF('DADOS BRUTOS'!$A$3:$A$500,$C26,'DADOS BRUTOS'!R$3:R$500)))</f>
        <v>0</v>
      </c>
      <c r="CS26" s="133" t="n">
        <f aca="false">IF(OR(CS$4="",$B26=""),0,SUMIF('DADOS BRUTOS'!$A$3:$A$500,$B26,'DADOS BRUTOS'!S$3:S$500)+IF($C26="",0,SUMIF('DADOS BRUTOS'!$A$3:$A$500,$C26,'DADOS BRUTOS'!S$3:S$500)))</f>
        <v>0</v>
      </c>
      <c r="CT26" s="133" t="n">
        <f aca="false">IF(OR(CT$4="",$B26=""),0,SUMIF('DADOS BRUTOS'!$A$3:$A$500,$B26,'DADOS BRUTOS'!T$3:T$500)+IF($C26="",0,SUMIF('DADOS BRUTOS'!$A$3:$A$500,$C26,'DADOS BRUTOS'!T$3:T$500)))</f>
        <v>0</v>
      </c>
      <c r="CU26" s="133" t="n">
        <f aca="false">IF(OR(CU$4="",$B26=""),0,SUMIF('DADOS BRUTOS'!$A$3:$A$500,$B26,'DADOS BRUTOS'!U$3:U$500)+IF($C26="",0,SUMIF('DADOS BRUTOS'!$A$3:$A$500,$C26,'DADOS BRUTOS'!U$3:U$500)))</f>
        <v>0</v>
      </c>
      <c r="CV26" s="133" t="n">
        <f aca="false">IF(OR(CV$4="",$B26=""),0,SUMIF('DADOS BRUTOS'!$A$3:$A$500,$B26,'DADOS BRUTOS'!V$3:V$500)+IF($C26="",0,SUMIF('DADOS BRUTOS'!$A$3:$A$500,$C26,'DADOS BRUTOS'!V$3:V$500)))</f>
        <v>0</v>
      </c>
      <c r="CW26" s="133" t="n">
        <f aca="false">IF(OR(CW$4="",$B26=""),0,SUMIF('DADOS BRUTOS'!$A$3:$A$500,$B26,'DADOS BRUTOS'!W$3:W$500)+IF($C26="",0,SUMIF('DADOS BRUTOS'!$A$3:$A$500,$C26,'DADOS BRUTOS'!W$3:W$500)))</f>
        <v>0</v>
      </c>
      <c r="CX26" s="133" t="n">
        <f aca="false">IF(OR(CX$4="",$B26=""),0,SUMIF('DADOS BRUTOS'!$A$3:$A$500,$B26,'DADOS BRUTOS'!X$3:X$500)+IF($C26="",0,SUMIF('DADOS BRUTOS'!$A$3:$A$500,$C26,'DADOS BRUTOS'!X$3:X$500)))</f>
        <v>0</v>
      </c>
      <c r="CY26" s="133" t="n">
        <f aca="false">IF(OR(CY$4="",$B26=""),0,SUMIF('DADOS BRUTOS'!$A$3:$A$500,$B26,'DADOS BRUTOS'!Y$3:Y$500)+IF($C26="",0,SUMIF('DADOS BRUTOS'!$A$3:$A$500,$C26,'DADOS BRUTOS'!Y$3:Y$500)))</f>
        <v>0</v>
      </c>
      <c r="CZ26" s="133" t="n">
        <f aca="false">IF(OR(CZ$4="",$B26=""),0,SUMIF('DADOS BRUTOS'!$A$3:$A$500,$B26,'DADOS BRUTOS'!Z$3:Z$500)+IF($C26="",0,SUMIF('DADOS BRUTOS'!$A$3:$A$500,$C26,'DADOS BRUTOS'!Z$3:Z$500)))</f>
        <v>0</v>
      </c>
      <c r="DA26" s="133" t="n">
        <f aca="false">IF(OR(DA$4="",$B26=""),0,SUMIF('DADOS BRUTOS'!$A$3:$A$500,$B26,'DADOS BRUTOS'!AA$3:AA$500)+IF($C26="",0,SUMIF('DADOS BRUTOS'!$A$3:$A$500,$C26,'DADOS BRUTOS'!AA$3:AA$500)))</f>
        <v>0</v>
      </c>
      <c r="DB26" s="133" t="n">
        <f aca="false">IF(OR(DB$4="",$B26=""),0,SUMIF('DADOS BRUTOS'!$A$3:$A$500,$B26,'DADOS BRUTOS'!AB$3:AB$500)+IF($C26="",0,SUMIF('DADOS BRUTOS'!$A$3:$A$500,$C26,'DADOS BRUTOS'!AB$3:AB$500)))</f>
        <v>0</v>
      </c>
      <c r="DC26" s="133" t="n">
        <f aca="false">IF(OR(DC$4="",$B26=""),0,SUMIF('DADOS BRUTOS'!$A$3:$A$500,$B26,'DADOS BRUTOS'!AC$3:AC$500)+IF($C26="",0,SUMIF('DADOS BRUTOS'!$A$3:$A$500,$C26,'DADOS BRUTOS'!AC$3:AC$500)))</f>
        <v>0</v>
      </c>
      <c r="DD26" s="133" t="n">
        <f aca="false">IF(OR(DD$4="",$B26=""),0,SUMIF('DADOS BRUTOS'!$A$3:$A$500,$B26,'DADOS BRUTOS'!AD$3:AD$500)+IF($C26="",0,SUMIF('DADOS BRUTOS'!$A$3:$A$500,$C26,'DADOS BRUTOS'!AD$3:AD$500)))</f>
        <v>0</v>
      </c>
      <c r="DE26" s="133" t="n">
        <f aca="false">IF(OR(DE$4="",$B26=""),0,SUMIF('DADOS BRUTOS'!$A$3:$A$500,$B26,'DADOS BRUTOS'!AE$3:AE$500)+IF($C26="",0,SUMIF('DADOS BRUTOS'!$A$3:$A$500,$C26,'DADOS BRUTOS'!AE$3:AE$500)))</f>
        <v>0</v>
      </c>
      <c r="DF26" s="133" t="n">
        <f aca="false">IF(OR(DF$4="",$B26=""),0,SUMIF('DADOS BRUTOS'!$A$3:$A$500,$B26,'DADOS BRUTOS'!AF$3:AF$500)+IF($C26="",0,SUMIF('DADOS BRUTOS'!$A$3:$A$500,$C26,'DADOS BRUTOS'!AF$3:AF$500)))</f>
        <v>0</v>
      </c>
      <c r="DG26" s="133" t="n">
        <f aca="false">IF(OR(DG$4="",$B26=""),0,SUMIF('DADOS BRUTOS'!$A$3:$A$500,$B26,'DADOS BRUTOS'!AG$3:AG$500)+IF($C26="",0,SUMIF('DADOS BRUTOS'!$A$3:$A$500,$C26,'DADOS BRUTOS'!AG$3:AG$500)))</f>
        <v>0</v>
      </c>
      <c r="DH26" s="133" t="n">
        <f aca="false">IF(OR(DH$4="",$B26=""),0,SUMIF('DADOS BRUTOS'!$A$3:$A$500,$B26,'DADOS BRUTOS'!AH$3:AH$500)+IF($C26="",0,SUMIF('DADOS BRUTOS'!$A$3:$A$500,$C26,'DADOS BRUTOS'!AH$3:AH$500)))</f>
        <v>0</v>
      </c>
      <c r="DI26" s="133" t="n">
        <f aca="false">IF(OR(DI$4="",$B26=""),0,SUMIF('DADOS BRUTOS'!$A$3:$A$500,$B26,'DADOS BRUTOS'!AI$3:AI$500)+IF($C26="",0,SUMIF('DADOS BRUTOS'!$A$3:$A$500,$C26,'DADOS BRUTOS'!AI$3:AI$500)))</f>
        <v>0</v>
      </c>
      <c r="DJ26" s="133" t="n">
        <f aca="false">IF(OR(DJ$4="",$B26=""),0,SUMIF('DADOS BRUTOS'!$A$3:$A$500,$B26,'DADOS BRUTOS'!AJ$3:AJ$500)+IF($C26="",0,SUMIF('DADOS BRUTOS'!$A$3:$A$500,$C26,'DADOS BRUTOS'!AJ$3:AJ$500)))</f>
        <v>0</v>
      </c>
      <c r="DK26" s="133" t="n">
        <f aca="false">IF(OR(DK$4="",$B26=""),0,SUMIF('DADOS BRUTOS'!$A$3:$A$500,$B26,'DADOS BRUTOS'!AK$3:AK$500)+IF($C26="",0,SUMIF('DADOS BRUTOS'!$A$3:$A$500,$C26,'DADOS BRUTOS'!AK$3:AK$500)))</f>
        <v>0</v>
      </c>
      <c r="DL26" s="133" t="n">
        <f aca="false">IF(OR(DL$4="",$B26=""),0,SUMIF('DADOS BRUTOS'!$A$3:$A$500,$B26,'DADOS BRUTOS'!AL$3:AL$500)+IF($C26="",0,SUMIF('DADOS BRUTOS'!$A$3:$A$500,$C26,'DADOS BRUTOS'!AL$3:AL$500)))</f>
        <v>0</v>
      </c>
      <c r="DM26" s="133" t="n">
        <f aca="false">IF(OR(DM$4="",$B26=""),0,SUMIF('DADOS BRUTOS'!$A$3:$A$500,$B26,'DADOS BRUTOS'!AM$3:AM$500)+IF($C26="",0,SUMIF('DADOS BRUTOS'!$A$3:$A$500,$C26,'DADOS BRUTOS'!AM$3:AM$500)))</f>
        <v>0</v>
      </c>
      <c r="DN26" s="133" t="n">
        <f aca="false">IF(OR(DN$4="",$B26=""),0,SUMIF('DADOS BRUTOS'!$A$3:$A$500,$B26,'DADOS BRUTOS'!AN$3:AN$500)+IF($C26="",0,SUMIF('DADOS BRUTOS'!$A$3:$A$500,$C26,'DADOS BRUTOS'!AN$3:AN$500)))</f>
        <v>0</v>
      </c>
      <c r="DO26" s="133" t="n">
        <f aca="false">IF(OR(DO$4="",$B26=""),0,SUMIF('DADOS BRUTOS'!$A$3:$A$500,$B26,'DADOS BRUTOS'!AO$3:AO$500)+IF($C26="",0,SUMIF('DADOS BRUTOS'!$A$3:$A$500,$C26,'DADOS BRUTOS'!AO$3:AO$500)))</f>
        <v>0</v>
      </c>
      <c r="DP26" s="133" t="n">
        <f aca="false">IF(OR(DP$4="",$B26=""),0,SUMIF('DADOS BRUTOS'!$A$3:$A$500,$B26,'DADOS BRUTOS'!AP$3:AP$500)+IF($C26="",0,SUMIF('DADOS BRUTOS'!$A$3:$A$500,$C26,'DADOS BRUTOS'!AP$3:AP$500)))</f>
        <v>0</v>
      </c>
      <c r="DQ26" s="133" t="n">
        <f aca="false">IF(OR(DQ$4="",$B26=""),0,SUMIF('DADOS BRUTOS'!$A$3:$A$500,$B26,'DADOS BRUTOS'!AQ$3:AQ$500)+IF($C26="",0,SUMIF('DADOS BRUTOS'!$A$3:$A$500,$C26,'DADOS BRUTOS'!AQ$3:AQ$500)))</f>
        <v>0</v>
      </c>
      <c r="DR26" s="133" t="n">
        <f aca="false">IF(OR(DR$4="",$B26=""),0,SUMIF('DADOS BRUTOS'!$A$3:$A$500,$B26,'DADOS BRUTOS'!AR$3:AR$500)+IF($C26="",0,SUMIF('DADOS BRUTOS'!$A$3:$A$500,$C26,'DADOS BRUTOS'!AR$3:AR$500)))</f>
        <v>0</v>
      </c>
      <c r="DS26" s="133" t="n">
        <f aca="false">IF(OR(DS$4="",$B26=""),0,SUMIF('DADOS BRUTOS'!$A$3:$A$500,$B26,'DADOS BRUTOS'!AS$3:AS$500)+IF($C26="",0,SUMIF('DADOS BRUTOS'!$A$3:$A$500,$C26,'DADOS BRUTOS'!AS$3:AS$500)))</f>
        <v>0</v>
      </c>
      <c r="DT26" s="133" t="n">
        <f aca="false">IF(OR(DT$4="",$B26=""),0,SUMIF('DADOS BRUTOS'!$A$3:$A$500,$B26,'DADOS BRUTOS'!AT$3:AT$500)+IF($C26="",0,SUMIF('DADOS BRUTOS'!$A$3:$A$500,$C26,'DADOS BRUTOS'!AT$3:AT$500)))</f>
        <v>0</v>
      </c>
      <c r="DU26" s="133" t="n">
        <f aca="false">IF(OR(DU$4="",$B26=""),0,SUMIF('DADOS BRUTOS'!$A$3:$A$500,$B26,'DADOS BRUTOS'!AU$3:AU$500)+IF($C26="",0,SUMIF('DADOS BRUTOS'!$A$3:$A$500,$C26,'DADOS BRUTOS'!AU$3:AU$500)))</f>
        <v>0</v>
      </c>
      <c r="DV26" s="133" t="n">
        <f aca="false">IF(OR(DV$4="",$B26=""),0,SUMIF('DADOS BRUTOS'!$A$3:$A$500,$B26,'DADOS BRUTOS'!AV$3:AV$500)+IF($C26="",0,SUMIF('DADOS BRUTOS'!$A$3:$A$500,$C26,'DADOS BRUTOS'!AV$3:AV$500)))</f>
        <v>0</v>
      </c>
      <c r="DW26" s="133" t="n">
        <f aca="false">IF(OR(DW$4="",$B26=""),0,SUMIF('DADOS BRUTOS'!$A$3:$A$500,$B26,'DADOS BRUTOS'!AW$3:AW$500)+IF($C26="",0,SUMIF('DADOS BRUTOS'!$A$3:$A$500,$C26,'DADOS BRUTOS'!AW$3:AW$500)))</f>
        <v>0</v>
      </c>
      <c r="DX26" s="133" t="n">
        <f aca="false">IF(OR(DX$4="",$B26=""),0,SUMIF('DADOS BRUTOS'!$A$3:$A$500,$B26,'DADOS BRUTOS'!AX$3:AX$500)+IF($C26="",0,SUMIF('DADOS BRUTOS'!$A$3:$A$500,$C26,'DADOS BRUTOS'!AX$3:AX$500)))</f>
        <v>0</v>
      </c>
      <c r="DY26" s="133" t="n">
        <f aca="false">IF(OR(DY$4="",$B26=""),0,SUMIF('DADOS BRUTOS'!$A$3:$A$500,$B26,'DADOS BRUTOS'!AY$3:AY$500)+IF($C26="",0,SUMIF('DADOS BRUTOS'!$A$3:$A$500,$C26,'DADOS BRUTOS'!AY$3:AY$500)))</f>
        <v>19773.29</v>
      </c>
      <c r="DZ26" s="133" t="n">
        <f aca="false">IF(OR(DZ$4="",$B26=""),0,SUMIF('DADOS BRUTOS'!$A$3:$A$500,$B26,'DADOS BRUTOS'!AZ$3:AZ$500)+IF($C26="",0,SUMIF('DADOS BRUTOS'!$A$3:$A$500,$C26,'DADOS BRUTOS'!AZ$3:AZ$500)))</f>
        <v>0</v>
      </c>
      <c r="EA26" s="133" t="n">
        <f aca="false">IF(OR(EA$4="",$B26=""),0,SUMIF('DADOS BRUTOS'!$A$3:$A$500,$B26,'DADOS BRUTOS'!BA$3:BA$500)+IF($C26="",0,SUMIF('DADOS BRUTOS'!$A$3:$A$500,$C26,'DADOS BRUTOS'!BA$3:BA$500)))</f>
        <v>0</v>
      </c>
      <c r="EB26" s="133" t="n">
        <f aca="false">IF(OR(EB$4="",$B26=""),0,SUMIF('DADOS BRUTOS'!$A$3:$A$500,$B26,'DADOS BRUTOS'!BB$3:BB$500)+IF($C26="",0,SUMIF('DADOS BRUTOS'!$A$3:$A$500,$C26,'DADOS BRUTOS'!BB$3:BB$500)))</f>
        <v>0</v>
      </c>
      <c r="EC26" s="133" t="n">
        <f aca="false">IF(OR(EC$4="",$B26=""),0,SUMIF('DADOS BRUTOS'!$A$3:$A$500,$B26,'DADOS BRUTOS'!BC$3:BC$500)+IF($C26="",0,SUMIF('DADOS BRUTOS'!$A$3:$A$500,$C26,'DADOS BRUTOS'!BC$3:BC$500)))</f>
        <v>0</v>
      </c>
      <c r="ED26" s="133" t="n">
        <f aca="false">IF(OR(ED$4="",$B26=""),0,SUMIF('DADOS BRUTOS'!$A$3:$A$500,$B26,'DADOS BRUTOS'!BD$3:BD$500)+IF($C26="",0,SUMIF('DADOS BRUTOS'!$A$3:$A$500,$C26,'DADOS BRUTOS'!BD$3:BD$500)))</f>
        <v>0</v>
      </c>
      <c r="EE26" s="133" t="n">
        <f aca="false">IF(OR(EE$4="",$B26=""),0,SUMIF('DADOS BRUTOS'!$A$3:$A$500,$B26,'DADOS BRUTOS'!BE$3:BE$500)+IF($C26="",0,SUMIF('DADOS BRUTOS'!$A$3:$A$500,$C26,'DADOS BRUTOS'!BE$3:BE$500)))</f>
        <v>0</v>
      </c>
      <c r="EF26" s="133" t="n">
        <f aca="false">IF(OR(EF$4="",$B26=""),0,SUMIF('DADOS BRUTOS'!$A$3:$A$500,$B26,'DADOS BRUTOS'!BF$3:BF$500)+IF($C26="",0,SUMIF('DADOS BRUTOS'!$A$3:$A$500,$C26,'DADOS BRUTOS'!BF$3:BF$500)))</f>
        <v>0</v>
      </c>
      <c r="EG26" s="133" t="n">
        <f aca="false">IF(OR(EG$4="",$B26=""),0,SUMIF('DADOS BRUTOS'!$A$3:$A$500,$B26,'DADOS BRUTOS'!BG$3:BG$500)+IF($C26="",0,SUMIF('DADOS BRUTOS'!$A$3:$A$500,$C26,'DADOS BRUTOS'!BG$3:BG$500)))</f>
        <v>0</v>
      </c>
      <c r="EH26" s="133" t="n">
        <f aca="false">IF(OR(EH$4="",$B26=""),0,SUMIF('DADOS BRUTOS'!$A$3:$A$500,$B26,'DADOS BRUTOS'!BH$3:BH$500)+IF($C26="",0,SUMIF('DADOS BRUTOS'!$A$3:$A$500,$C26,'DADOS BRUTOS'!BH$3:BH$500)))</f>
        <v>0</v>
      </c>
      <c r="EI26" s="133" t="n">
        <f aca="false">IF(OR(EI$4="",$B26=""),0,SUMIF('DADOS BRUTOS'!$A$3:$A$500,$B26,'DADOS BRUTOS'!BI$3:BI$500)+IF($C26="",0,SUMIF('DADOS BRUTOS'!$A$3:$A$500,$C26,'DADOS BRUTOS'!BI$3:BI$500)))</f>
        <v>0</v>
      </c>
      <c r="EJ26" s="133" t="n">
        <f aca="false">IF(OR(EJ$4="",$B26=""),0,SUMIF('DADOS BRUTOS'!$A$3:$A$500,$B26,'DADOS BRUTOS'!BJ$3:BJ$500)+IF($C26="",0,SUMIF('DADOS BRUTOS'!$A$3:$A$500,$C26,'DADOS BRUTOS'!BJ$3:BJ$500)))</f>
        <v>0</v>
      </c>
      <c r="EK26" s="133" t="n">
        <f aca="false">IF(OR(EK$4="",$B26=""),0,SUMIF('DADOS BRUTOS'!$A$3:$A$500,$B26,'DADOS BRUTOS'!BK$3:BK$500)+IF($C26="",0,SUMIF('DADOS BRUTOS'!$A$3:$A$500,$C26,'DADOS BRUTOS'!BK$3:BK$500)))</f>
        <v>0</v>
      </c>
      <c r="EL26" s="133" t="n">
        <f aca="false">IF(OR(EL$4="",$B26=""),0,SUMIF('DADOS BRUTOS'!$A$3:$A$500,$B26,'DADOS BRUTOS'!BL$3:BL$500)+IF($C26="",0,SUMIF('DADOS BRUTOS'!$A$3:$A$500,$C26,'DADOS BRUTOS'!BL$3:BL$500)))</f>
        <v>0</v>
      </c>
      <c r="EM26" s="133" t="n">
        <f aca="false">IF(OR(EM$4="",$B26=""),0,SUMIF('DADOS BRUTOS'!$A$3:$A$500,$B26,'DADOS BRUTOS'!BM$3:BM$500)+IF($C26="",0,SUMIF('DADOS BRUTOS'!$A$3:$A$500,$C26,'DADOS BRUTOS'!BM$3:BM$500)))</f>
        <v>0</v>
      </c>
      <c r="EN26" s="133" t="n">
        <f aca="false">IF(OR(EN$4="",$B26=""),0,SUMIF('DADOS BRUTOS'!$A$3:$A$500,$B26,'DADOS BRUTOS'!BN$3:BN$500)+IF($C26="",0,SUMIF('DADOS BRUTOS'!$A$3:$A$500,$C26,'DADOS BRUTOS'!BN$3:BN$500)))</f>
        <v>0</v>
      </c>
      <c r="EO26" s="133" t="n">
        <f aca="false">IF(OR(EO$4="",$B26=""),0,SUMIF('DADOS BRUTOS'!$A$3:$A$500,$B26,'DADOS BRUTOS'!BO$3:BO$500)+IF($C26="",0,SUMIF('DADOS BRUTOS'!$A$3:$A$500,$C26,'DADOS BRUTOS'!BO$3:BO$500)))</f>
        <v>0</v>
      </c>
      <c r="EP26" s="133" t="n">
        <f aca="false">IF(OR(EP$4="",$B26=""),0,SUMIF('DADOS BRUTOS'!$A$3:$A$500,$B26,'DADOS BRUTOS'!BP$3:BP$500)+IF($C26="",0,SUMIF('DADOS BRUTOS'!$A$3:$A$500,$C26,'DADOS BRUTOS'!BP$3:BP$500)))</f>
        <v>0</v>
      </c>
      <c r="EQ26" s="133" t="n">
        <f aca="false">IF(OR(EQ$4="",$B26=""),0,SUMIF('DADOS BRUTOS'!$A$3:$A$500,$B26,'DADOS BRUTOS'!BQ$3:BQ$500)+IF($C26="",0,SUMIF('DADOS BRUTOS'!$A$3:$A$500,$C26,'DADOS BRUTOS'!BQ$3:BQ$500)))</f>
        <v>0</v>
      </c>
      <c r="ER26" s="133" t="n">
        <f aca="false">IF(OR(ER$4="",$B26=""),0,SUMIF('DADOS BRUTOS'!$A$3:$A$500,$B26,'DADOS BRUTOS'!BR$3:BR$500)+IF($C26="",0,SUMIF('DADOS BRUTOS'!$A$3:$A$500,$C26,'DADOS BRUTOS'!BR$3:BR$500)))</f>
        <v>0</v>
      </c>
      <c r="ES26" s="133" t="n">
        <f aca="false">IF(OR(ES$4="",$B26=""),0,SUMIF('DADOS BRUTOS'!$A$3:$A$500,$B26,'DADOS BRUTOS'!BS$3:BS$500)+IF($C26="",0,SUMIF('DADOS BRUTOS'!$A$3:$A$500,$C26,'DADOS BRUTOS'!BS$3:BS$500)))</f>
        <v>0</v>
      </c>
      <c r="ET26" s="133" t="n">
        <f aca="false">IF(OR(ET$4="",$B26=""),0,SUMIF('DADOS BRUTOS'!$A$3:$A$500,$B26,'DADOS BRUTOS'!BT$3:BT$500)+IF($C26="",0,SUMIF('DADOS BRUTOS'!$A$3:$A$500,$C26,'DADOS BRUTOS'!BT$3:BT$500)))</f>
        <v>0</v>
      </c>
      <c r="EU26" s="133" t="n">
        <f aca="false">IF(OR(EU$4="",$B26=""),0,SUMIF('DADOS BRUTOS'!$A$3:$A$500,$B26,'DADOS BRUTOS'!BU$3:BU$500)+IF($C26="",0,SUMIF('DADOS BRUTOS'!$A$3:$A$500,$C26,'DADOS BRUTOS'!BU$3:BU$500)))</f>
        <v>0</v>
      </c>
      <c r="EV26" s="133" t="n">
        <f aca="false">IF(OR(EV$4="",$B26=""),0,SUMIF('DADOS BRUTOS'!$A$3:$A$500,$B26,'DADOS BRUTOS'!BV$3:BV$500)+IF($C26="",0,SUMIF('DADOS BRUTOS'!$A$3:$A$500,$C26,'DADOS BRUTOS'!BV$3:BV$500)))</f>
        <v>0</v>
      </c>
      <c r="EW26" s="133" t="n">
        <f aca="false">IF(OR(EW$4="",$B26=""),0,SUMIF('DADOS BRUTOS'!$A$3:$A$500,$B26,'DADOS BRUTOS'!BW$3:BW$500)+IF($C26="",0,SUMIF('DADOS BRUTOS'!$A$3:$A$500,$C26,'DADOS BRUTOS'!BW$3:BW$500)))</f>
        <v>0</v>
      </c>
      <c r="EX26" s="133" t="n">
        <f aca="false">IF(OR(EX$4="",$B26=""),0,SUMIF('DADOS BRUTOS'!$A$3:$A$500,$B26,'DADOS BRUTOS'!BX$3:BX$500)+IF($C26="",0,SUMIF('DADOS BRUTOS'!$A$3:$A$500,$C26,'DADOS BRUTOS'!BX$3:BX$500)))</f>
        <v>0</v>
      </c>
      <c r="EY26" s="133" t="n">
        <f aca="false">IF(OR(EY$4="",$B26=""),0,SUMIF('DADOS BRUTOS'!$A$3:$A$500,$B26,'DADOS BRUTOS'!BY$3:BY$500)+IF($C26="",0,SUMIF('DADOS BRUTOS'!$A$3:$A$500,$C26,'DADOS BRUTOS'!BY$3:BY$500)))</f>
        <v>0</v>
      </c>
      <c r="EZ26" s="133" t="n">
        <f aca="false">IF(OR(EZ$4="",$B26=""),0,SUMIF('DADOS BRUTOS'!$A$3:$A$500,$B26,'DADOS BRUTOS'!BZ$3:BZ$500)+IF($C26="",0,SUMIF('DADOS BRUTOS'!$A$3:$A$500,$C26,'DADOS BRUTOS'!BZ$3:BZ$500)))</f>
        <v>0</v>
      </c>
      <c r="FA26" s="133" t="n">
        <f aca="false">IF(OR(FA$4="",$B26=""),0,SUMIF('DADOS BRUTOS'!$A$3:$A$500,$B26,'DADOS BRUTOS'!CA$3:CA$500)+IF($C26="",0,SUMIF('DADOS BRUTOS'!$A$3:$A$500,$C26,'DADOS BRUTOS'!CA$3:CA$500)))</f>
        <v>0</v>
      </c>
      <c r="FB26" s="133" t="n">
        <f aca="false">IF(OR(FB$4="",$B26=""),0,SUMIF('DADOS BRUTOS'!$A$3:$A$500,$B26,'DADOS BRUTOS'!CB$3:CB$500)+IF($C26="",0,SUMIF('DADOS BRUTOS'!$A$3:$A$500,$C26,'DADOS BRUTOS'!CB$3:CB$500)))</f>
        <v>0</v>
      </c>
      <c r="FC26" s="133" t="n">
        <f aca="false">IF(OR(FC$4="",$B26=""),0,SUMIF('DADOS BRUTOS'!$A$3:$A$500,$B26,'DADOS BRUTOS'!CC$3:CC$500)+IF($C26="",0,SUMIF('DADOS BRUTOS'!$A$3:$A$500,$C26,'DADOS BRUTOS'!CC$3:CC$500)))</f>
        <v>0</v>
      </c>
      <c r="FD26" s="133" t="n">
        <f aca="false">IF(OR(FD$4="",$B26=""),0,SUMIF('DADOS BRUTOS'!$A$3:$A$500,$B26,'DADOS BRUTOS'!CD$3:CD$500)+IF($C26="",0,SUMIF('DADOS BRUTOS'!$A$3:$A$500,$C26,'DADOS BRUTOS'!CD$3:CD$500)))</f>
        <v>0</v>
      </c>
      <c r="FE26" s="133" t="n">
        <f aca="false">IF(OR(FE$4="",$B26=""),0,SUMIF('DADOS BRUTOS'!$A$3:$A$500,$B26,'DADOS BRUTOS'!CE$3:CE$500)+IF($C26="",0,SUMIF('DADOS BRUTOS'!$A$3:$A$500,$C26,'DADOS BRUTOS'!CE$3:CE$500)))</f>
        <v>0</v>
      </c>
      <c r="FF26" s="133" t="n">
        <f aca="false">IF(OR(FF$4="",$B26=""),0,SUMIF('DADOS BRUTOS'!$A$3:$A$500,$B26,'DADOS BRUTOS'!CF$3:CF$500)+IF($C26="",0,SUMIF('DADOS BRUTOS'!$A$3:$A$500,$C26,'DADOS BRUTOS'!CF$3:CF$500)))</f>
        <v>0</v>
      </c>
      <c r="FG26" s="133" t="n">
        <f aca="false">IF(OR(FG$4="",$B26=""),0,SUMIF('DADOS BRUTOS'!$A$3:$A$500,$B26,'DADOS BRUTOS'!CG$3:CG$500)+IF($C26="",0,SUMIF('DADOS BRUTOS'!$A$3:$A$500,$C26,'DADOS BRUTOS'!CG$3:CG$500)))</f>
        <v>0</v>
      </c>
      <c r="FH26" s="133" t="n">
        <f aca="false">IF(OR(FH$4="",$B26=""),0,SUMIF('DADOS BRUTOS'!$A$3:$A$500,$B26,'DADOS BRUTOS'!CH$3:CH$500)+IF($C26="",0,SUMIF('DADOS BRUTOS'!$A$3:$A$500,$C26,'DADOS BRUTOS'!CH$3:CH$500)))</f>
        <v>0</v>
      </c>
      <c r="FI26" s="133" t="n">
        <f aca="false">IF(OR(FI$4="",$B26=""),0,SUMIF('DADOS BRUTOS'!$A$3:$A$500,$B26,'DADOS BRUTOS'!CI$3:CI$500)+IF($C26="",0,SUMIF('DADOS BRUTOS'!$A$3:$A$500,$C26,'DADOS BRUTOS'!CI$3:CI$500)))</f>
        <v>0</v>
      </c>
      <c r="FJ26" s="133" t="n">
        <f aca="false">IF(OR(FJ$4="",$B26=""),0,SUMIF('DADOS BRUTOS'!$A$3:$A$500,$B26,'DADOS BRUTOS'!CJ$3:CJ$500)+IF($C26="",0,SUMIF('DADOS BRUTOS'!$A$3:$A$500,$C26,'DADOS BRUTOS'!CJ$3:CJ$500)))</f>
        <v>0</v>
      </c>
      <c r="FK26" s="133" t="n">
        <f aca="false">IF(OR(FK$4="",$B26=""),0,SUMIF('DADOS BRUTOS'!$A$3:$A$500,$B26,'DADOS BRUTOS'!CK$3:CK$500)+IF($C26="",0,SUMIF('DADOS BRUTOS'!$A$3:$A$500,$C26,'DADOS BRUTOS'!CK$3:CK$500)))</f>
        <v>0</v>
      </c>
      <c r="FL26" s="133" t="n">
        <f aca="false">IF(OR(FL$4="",$B26=""),0,SUMIF('DADOS BRUTOS'!$A$3:$A$500,$B26,'DADOS BRUTOS'!CL$3:CL$500)+IF($C26="",0,SUMIF('DADOS BRUTOS'!$A$3:$A$500,$C26,'DADOS BRUTOS'!CL$3:CL$500)))</f>
        <v>0</v>
      </c>
      <c r="FM26" s="133" t="n">
        <f aca="false">IF(OR(FM$4="",$B26=""),0,SUMIF('DADOS BRUTOS'!$A$3:$A$500,$B26,'DADOS BRUTOS'!CM$3:CM$500)+IF($C26="",0,SUMIF('DADOS BRUTOS'!$A$3:$A$500,$C26,'DADOS BRUTOS'!CM$3:CM$500)))</f>
        <v>0</v>
      </c>
      <c r="FN26" s="133" t="n">
        <f aca="false">IF(OR(FN$4="",$B26=""),0,SUMIF('DADOS BRUTOS'!$A$3:$A$500,$B26,'DADOS BRUTOS'!CN$3:CN$500)+IF($C26="",0,SUMIF('DADOS BRUTOS'!$A$3:$A$500,$C26,'DADOS BRUTOS'!CN$3:CN$500)))</f>
        <v>0</v>
      </c>
      <c r="FO26" s="133" t="n">
        <f aca="false">IF(OR(FO$4="",$B26=""),0,SUMIF('DADOS BRUTOS'!$A$3:$A$500,$B26,'DADOS BRUTOS'!CO$3:CO$500)+IF($C26="",0,SUMIF('DADOS BRUTOS'!$A$3:$A$500,$C26,'DADOS BRUTOS'!CO$3:CO$500)))</f>
        <v>0</v>
      </c>
      <c r="FP26" s="133" t="n">
        <f aca="false">IF(OR(FP$4="",$B26=""),0,SUMIF('DADOS BRUTOS'!$A$3:$A$500,$B26,'DADOS BRUTOS'!CP$3:CP$500)+IF($C26="",0,SUMIF('DADOS BRUTOS'!$A$3:$A$500,$C26,'DADOS BRUTOS'!CP$3:CP$500)))</f>
        <v>0</v>
      </c>
      <c r="FQ26" s="133" t="n">
        <f aca="false">IF(OR(FQ$4="",$B26=""),0,SUMIF('DADOS BRUTOS'!$A$3:$A$500,$B26,'DADOS BRUTOS'!CQ$3:CQ$500)+IF($C26="",0,SUMIF('DADOS BRUTOS'!$A$3:$A$500,$C26,'DADOS BRUTOS'!CQ$3:CQ$500)))</f>
        <v>0</v>
      </c>
      <c r="FR26" s="133" t="n">
        <f aca="false">IF(OR(FR$4="",$B26=""),0,SUMIF('DADOS BRUTOS'!$A$3:$A$500,$B26,'DADOS BRUTOS'!CR$3:CR$500)+IF($C26="",0,SUMIF('DADOS BRUTOS'!$A$3:$A$500,$C26,'DADOS BRUTOS'!CR$3:CR$500)))</f>
        <v>0</v>
      </c>
      <c r="FS26" s="133" t="n">
        <f aca="false">IF(OR(FS$4="",$B26=""),0,SUMIF('DADOS BRUTOS'!$A$3:$A$500,$B26,'DADOS BRUTOS'!CS$3:CS$500)+IF($C26="",0,SUMIF('DADOS BRUTOS'!$A$3:$A$500,$C26,'DADOS BRUTOS'!CS$3:CS$500)))</f>
        <v>0</v>
      </c>
      <c r="FT26" s="133" t="n">
        <f aca="false">IF(OR(FT$4="",$B26=""),0,SUMIF('DADOS BRUTOS'!$A$3:$A$500,$B26,'DADOS BRUTOS'!CT$3:CT$500)+IF($C26="",0,SUMIF('DADOS BRUTOS'!$A$3:$A$500,$C26,'DADOS BRUTOS'!CT$3:CT$500)))</f>
        <v>0</v>
      </c>
      <c r="FU26" s="133" t="n">
        <f aca="false">IF(OR(FU$4="",$B26=""),0,SUMIF('DADOS BRUTOS'!$A$3:$A$500,$B26,'DADOS BRUTOS'!CU$3:CU$500)+IF($C26="",0,SUMIF('DADOS BRUTOS'!$A$3:$A$500,$C26,'DADOS BRUTOS'!CU$3:CU$500)))</f>
        <v>0</v>
      </c>
      <c r="FV26" s="133" t="n">
        <f aca="false">IF(OR(FV$4="",$B26=""),0,SUMIF('DADOS BRUTOS'!$A$3:$A$500,$B26,'DADOS BRUTOS'!CV$3:CV$500)+IF($C26="",0,SUMIF('DADOS BRUTOS'!$A$3:$A$500,$C26,'DADOS BRUTOS'!CV$3:CV$500)))</f>
        <v>0</v>
      </c>
      <c r="FW26" s="133" t="n">
        <f aca="false">IF(OR(FW$4="",$B26=""),0,SUMIF('DADOS BRUTOS'!$A$3:$A$500,$B26,'DADOS BRUTOS'!CW$3:CW$500)+IF($C26="",0,SUMIF('DADOS BRUTOS'!$A$3:$A$500,$C26,'DADOS BRUTOS'!CW$3:CW$500)))</f>
        <v>0</v>
      </c>
      <c r="FX26" s="133" t="n">
        <f aca="false">IF(OR(FX$4="",$B26=""),0,SUMIF('DADOS BRUTOS'!$A$3:$A$500,$B26,'DADOS BRUTOS'!CX$3:CX$500)+IF($C26="",0,SUMIF('DADOS BRUTOS'!$A$3:$A$500,$C26,'DADOS BRUTOS'!CX$3:CX$500)))</f>
        <v>0</v>
      </c>
      <c r="FY26" s="133" t="n">
        <f aca="false">IF(OR(FY$4="",$B26=""),0,SUMIF('DADOS BRUTOS'!$A$3:$A$500,$B26,'DADOS BRUTOS'!CY$3:CY$500)+IF($C26="",0,SUMIF('DADOS BRUTOS'!$A$3:$A$500,$C26,'DADOS BRUTOS'!CY$3:CY$500)))</f>
        <v>0</v>
      </c>
      <c r="FZ26" s="133" t="n">
        <f aca="false">IF(OR(FZ$4="",$B26=""),0,SUMIF('DADOS BRUTOS'!$A$3:$A$500,$B26,'DADOS BRUTOS'!CZ$3:CZ$500)+IF($C26="",0,SUMIF('DADOS BRUTOS'!$A$3:$A$500,$C26,'DADOS BRUTOS'!CZ$3:CZ$500)))</f>
        <v>0</v>
      </c>
      <c r="GA26" s="133" t="n">
        <f aca="false">IF(OR(GA$4="",$B26=""),0,SUMIF('DADOS BRUTOS'!$A$3:$A$500,$B26,'DADOS BRUTOS'!DA$3:DA$500)+IF($C26="",0,SUMIF('DADOS BRUTOS'!$A$3:$A$500,$C26,'DADOS BRUTOS'!DA$3:DA$500)))</f>
        <v>0</v>
      </c>
      <c r="GB26" s="133" t="n">
        <f aca="false">IF(OR(GB$4="",$B26=""),0,SUMIF('DADOS BRUTOS'!$A$3:$A$500,$B26,'DADOS BRUTOS'!DB$3:DB$500)+IF($C26="",0,SUMIF('DADOS BRUTOS'!$A$3:$A$500,$C26,'DADOS BRUTOS'!DB$3:DB$500)))</f>
        <v>0</v>
      </c>
      <c r="GC26" s="133" t="n">
        <f aca="false">IF(OR(GC$4="",$B26=""),0,SUMIF('DADOS BRUTOS'!$A$3:$A$500,$B26,'DADOS BRUTOS'!DC$3:DC$500)+IF($C26="",0,SUMIF('DADOS BRUTOS'!$A$3:$A$500,$C26,'DADOS BRUTOS'!DC$3:DC$500)))</f>
        <v>0</v>
      </c>
      <c r="GD26" s="133" t="n">
        <f aca="false">IF(OR(GD$4="",$B26=""),0,SUMIF('DADOS BRUTOS'!$A$3:$A$500,$B26,'DADOS BRUTOS'!DD$3:DD$500)+IF($C26="",0,SUMIF('DADOS BRUTOS'!$A$3:$A$500,$C26,'DADOS BRUTOS'!DD$3:DD$500)))</f>
        <v>0</v>
      </c>
      <c r="GE26" s="133" t="n">
        <f aca="false">IF(OR(GE$4="",$B26=""),0,SUMIF('DADOS BRUTOS'!$A$3:$A$500,$B26,'DADOS BRUTOS'!DE$3:DE$500)+IF($C26="",0,SUMIF('DADOS BRUTOS'!$A$3:$A$500,$C26,'DADOS BRUTOS'!DE$3:DE$500)))</f>
        <v>0</v>
      </c>
      <c r="GF26" s="133" t="n">
        <f aca="false">IF(OR(GF$4="",$B26=""),0,SUMIF('DADOS BRUTOS'!$A$3:$A$500,$B26,'DADOS BRUTOS'!DF$3:DF$500)+IF($C26="",0,SUMIF('DADOS BRUTOS'!$A$3:$A$500,$C26,'DADOS BRUTOS'!DF$3:DF$500)))</f>
        <v>0</v>
      </c>
      <c r="GG26" s="133" t="n">
        <f aca="false">IF(OR(GG$4="",$B26=""),0,SUMIF('DADOS BRUTOS'!$A$3:$A$500,$B26,'DADOS BRUTOS'!DG$3:DG$500)+IF($C26="",0,SUMIF('DADOS BRUTOS'!$A$3:$A$500,$C26,'DADOS BRUTOS'!DG$3:DG$500)))</f>
        <v>0</v>
      </c>
      <c r="GH26" s="133" t="n">
        <f aca="false">IF(OR(GH$4="",$B26=""),0,SUMIF('DADOS BRUTOS'!$A$3:$A$500,$B26,'DADOS BRUTOS'!DH$3:DH$500)+IF($C26="",0,SUMIF('DADOS BRUTOS'!$A$3:$A$500,$C26,'DADOS BRUTOS'!DH$3:DH$500)))</f>
        <v>0</v>
      </c>
      <c r="GI26" s="133" t="n">
        <f aca="false">IF(OR(GI$4="",$B26=""),0,SUMIF('DADOS BRUTOS'!$A$3:$A$500,$B26,'DADOS BRUTOS'!DI$3:DI$500)+IF($C26="",0,SUMIF('DADOS BRUTOS'!$A$3:$A$500,$C26,'DADOS BRUTOS'!DI$3:DI$500)))</f>
        <v>0</v>
      </c>
      <c r="GJ26" s="133" t="n">
        <f aca="false">IF(OR(GJ$4="",$B26=""),0,SUMIF('DADOS BRUTOS'!$A$3:$A$500,$B26,'DADOS BRUTOS'!DJ$3:DJ$500)+IF($C26="",0,SUMIF('DADOS BRUTOS'!$A$3:$A$500,$C26,'DADOS BRUTOS'!DJ$3:DJ$500)))</f>
        <v>0</v>
      </c>
      <c r="GK26" s="133" t="n">
        <f aca="false">IF(OR(GK$4="",$B26=""),0,SUMIF('DADOS BRUTOS'!$A$3:$A$500,$B26,'DADOS BRUTOS'!DK$3:DK$500)+IF($C26="",0,SUMIF('DADOS BRUTOS'!$A$3:$A$500,$C26,'DADOS BRUTOS'!DK$3:DK$500)))</f>
        <v>0</v>
      </c>
      <c r="GL26" s="133" t="n">
        <f aca="false">IF(OR(GL$4="",$B26=""),0,SUMIF('DADOS BRUTOS'!$A$3:$A$500,$B26,'DADOS BRUTOS'!DL$3:DL$500)+IF($C26="",0,SUMIF('DADOS BRUTOS'!$A$3:$A$500,$C26,'DADOS BRUTOS'!DL$3:DL$500)))</f>
        <v>0</v>
      </c>
      <c r="GM26" s="133" t="n">
        <f aca="false">IF(OR(GM$4="",$B26=""),0,SUMIF('DADOS BRUTOS'!$A$3:$A$500,$B26,'DADOS BRUTOS'!DM$3:DM$500)+IF($C26="",0,SUMIF('DADOS BRUTOS'!$A$3:$A$500,$C26,'DADOS BRUTOS'!DM$3:DM$500)))</f>
        <v>0</v>
      </c>
      <c r="GN26" s="133" t="n">
        <f aca="false">IF(OR(GN$4="",$B26=""),0,SUMIF('DADOS BRUTOS'!$A$3:$A$500,$B26,'DADOS BRUTOS'!DN$3:DN$500)+IF($C26="",0,SUMIF('DADOS BRUTOS'!$A$3:$A$500,$C26,'DADOS BRUTOS'!DN$3:DN$500)))</f>
        <v>0</v>
      </c>
      <c r="GO26" s="133" t="n">
        <f aca="false">IF(OR(GO$4="",$B26=""),0,SUMIF('DADOS BRUTOS'!$A$3:$A$500,$B26,'DADOS BRUTOS'!DO$3:DO$500)+IF($C26="",0,SUMIF('DADOS BRUTOS'!$A$3:$A$500,$C26,'DADOS BRUTOS'!DO$3:DO$500)))</f>
        <v>0</v>
      </c>
      <c r="GP26" s="133" t="n">
        <f aca="false">IF(OR(GP$4="",$B26=""),0,SUMIF('DADOS BRUTOS'!$A$3:$A$500,$B26,'DADOS BRUTOS'!DP$3:DP$500)+IF($C26="",0,SUMIF('DADOS BRUTOS'!$A$3:$A$500,$C26,'DADOS BRUTOS'!DP$3:DP$500)))</f>
        <v>0</v>
      </c>
      <c r="GQ26" s="133" t="n">
        <f aca="false">IF(OR(GQ$4="",$B26=""),0,SUMIF('DADOS BRUTOS'!$A$3:$A$500,$B26,'DADOS BRUTOS'!DQ$3:DQ$500)+IF($C26="",0,SUMIF('DADOS BRUTOS'!$A$3:$A$500,$C26,'DADOS BRUTOS'!DQ$3:DQ$500)))</f>
        <v>0</v>
      </c>
      <c r="GR26" s="133" t="n">
        <f aca="false">IF(OR(GR$4="",$B26=""),0,SUMIF('DADOS BRUTOS'!$A$3:$A$500,$B26,'DADOS BRUTOS'!DR$3:DR$500)+IF($C26="",0,SUMIF('DADOS BRUTOS'!$A$3:$A$500,$C26,'DADOS BRUTOS'!DR$3:DR$500)))</f>
        <v>0</v>
      </c>
      <c r="GS26" s="133" t="n">
        <f aca="false">IF(OR(GS$4="",$B26=""),0,SUMIF('DADOS BRUTOS'!$A$3:$A$500,$B26,'DADOS BRUTOS'!DS$3:DS$500)+IF($C26="",0,SUMIF('DADOS BRUTOS'!$A$3:$A$500,$C26,'DADOS BRUTOS'!DS$3:DS$500)))</f>
        <v>0</v>
      </c>
      <c r="GT26" s="133" t="n">
        <f aca="false">IF(OR(GT$4="",$B26=""),0,SUMIF('DADOS BRUTOS'!$A$3:$A$500,$B26,'DADOS BRUTOS'!DT$3:DT$500)+IF($C26="",0,SUMIF('DADOS BRUTOS'!$A$3:$A$500,$C26,'DADOS BRUTOS'!DT$3:DT$500)))</f>
        <v>0</v>
      </c>
      <c r="GU26" s="133" t="n">
        <f aca="false">IF(OR(GU$4="",$B26=""),0,SUMIF('DADOS BRUTOS'!$A$3:$A$500,$B26,'DADOS BRUTOS'!DU$3:DU$500)+IF($C26="",0,SUMIF('DADOS BRUTOS'!$A$3:$A$500,$C26,'DADOS BRUTOS'!DU$3:DU$500)))</f>
        <v>0</v>
      </c>
      <c r="GV26" s="133" t="n">
        <f aca="false">IF(OR(GV$4="",$B26=""),0,SUMIF('DADOS BRUTOS'!$A$3:$A$500,$B26,'DADOS BRUTOS'!DV$3:DV$500)+IF($C26="",0,SUMIF('DADOS BRUTOS'!$A$3:$A$500,$C26,'DADOS BRUTOS'!DV$3:DV$500)))</f>
        <v>0</v>
      </c>
      <c r="GW26" s="133" t="n">
        <f aca="false">IF(OR(GW$4="",$B26=""),0,SUMIF('DADOS BRUTOS'!$A$3:$A$500,$B26,'DADOS BRUTOS'!DW$3:DW$500)+IF($C26="",0,SUMIF('DADOS BRUTOS'!$A$3:$A$500,$C26,'DADOS BRUTOS'!DW$3:DW$500)))</f>
        <v>0</v>
      </c>
      <c r="GX26" s="133" t="n">
        <f aca="false">IF(OR(GX$4="",$B26=""),0,SUMIF('DADOS BRUTOS'!$A$3:$A$500,$B26,'DADOS BRUTOS'!DX$3:DX$500)+IF($C26="",0,SUMIF('DADOS BRUTOS'!$A$3:$A$500,$C26,'DADOS BRUTOS'!DX$3:DX$500)))</f>
        <v>0</v>
      </c>
      <c r="GY26" s="133" t="n">
        <f aca="false">IF(OR(GY$4="",$B26=""),0,SUMIF('DADOS BRUTOS'!$A$3:$A$500,$B26,'DADOS BRUTOS'!DY$3:DY$500)+IF($C26="",0,SUMIF('DADOS BRUTOS'!$A$3:$A$500,$C26,'DADOS BRUTOS'!DY$3:DY$500)))</f>
        <v>0</v>
      </c>
      <c r="GZ26" s="133" t="n">
        <f aca="false">IF(OR(GZ$4="",$B26=""),0,SUMIF('DADOS BRUTOS'!$A$3:$A$500,$B26,'DADOS BRUTOS'!DZ$3:DZ$500)+IF($C26="",0,SUMIF('DADOS BRUTOS'!$A$3:$A$500,$C26,'DADOS BRUTOS'!DZ$3:DZ$500)))</f>
        <v>0</v>
      </c>
      <c r="HA26" s="133" t="n">
        <f aca="false">IF(OR(HA$4="",$B26=""),0,SUMIF('DADOS BRUTOS'!$A$3:$A$500,$B26,'DADOS BRUTOS'!EA$3:EA$500)+IF($C26="",0,SUMIF('DADOS BRUTOS'!$A$3:$A$500,$C26,'DADOS BRUTOS'!EA$3:EA$500)))</f>
        <v>0</v>
      </c>
      <c r="HB26" s="133" t="n">
        <f aca="false">IF(OR(HB$4="",$B26=""),0,SUMIF('DADOS BRUTOS'!$A$3:$A$500,$B26,'DADOS BRUTOS'!EB$3:EB$500)+IF($C26="",0,SUMIF('DADOS BRUTOS'!$A$3:$A$500,$C26,'DADOS BRUTOS'!EB$3:EB$500)))</f>
        <v>0</v>
      </c>
      <c r="HC26" s="133" t="n">
        <f aca="false">IF(OR(HC$4="",$B26=""),0,SUMIF('DADOS BRUTOS'!$A$3:$A$500,$B26,'DADOS BRUTOS'!EC$3:EC$500)+IF($C26="",0,SUMIF('DADOS BRUTOS'!$A$3:$A$500,$C26,'DADOS BRUTOS'!EC$3:EC$500)))</f>
        <v>0</v>
      </c>
      <c r="HD26" s="133" t="n">
        <f aca="false">IF(OR(HD$4="",$B26=""),0,SUMIF('DADOS BRUTOS'!$A$3:$A$500,$B26,'DADOS BRUTOS'!ED$3:ED$500)+IF($C26="",0,SUMIF('DADOS BRUTOS'!$A$3:$A$500,$C26,'DADOS BRUTOS'!ED$3:ED$500)))</f>
        <v>0</v>
      </c>
      <c r="HE26" s="133" t="n">
        <f aca="false">IF(OR(HE$4="",$B26=""),0,SUMIF('DADOS BRUTOS'!$A$3:$A$500,$B26,'DADOS BRUTOS'!EE$3:EE$500)+IF($C26="",0,SUMIF('DADOS BRUTOS'!$A$3:$A$500,$C26,'DADOS BRUTOS'!EE$3:EE$500)))</f>
        <v>0</v>
      </c>
      <c r="HF26" s="133" t="n">
        <f aca="false">IF(OR(HF$4="",$B26=""),0,SUMIF('DADOS BRUTOS'!$A$3:$A$500,$B26,'DADOS BRUTOS'!EF$3:EF$500)+IF($C26="",0,SUMIF('DADOS BRUTOS'!$A$3:$A$500,$C26,'DADOS BRUTOS'!EF$3:EF$500)))</f>
        <v>0</v>
      </c>
      <c r="HG26" s="133" t="n">
        <f aca="false">IF(OR(HG$4="",$B26=""),0,SUMIF('DADOS BRUTOS'!$A$3:$A$500,$B26,'DADOS BRUTOS'!EG$3:EG$500)+IF($C26="",0,SUMIF('DADOS BRUTOS'!$A$3:$A$500,$C26,'DADOS BRUTOS'!EG$3:EG$500)))</f>
        <v>0</v>
      </c>
      <c r="HH26" s="133" t="n">
        <f aca="false">IF(OR(HH$4="",$B26=""),0,SUMIF('DADOS BRUTOS'!$A$3:$A$500,$B26,'DADOS BRUTOS'!EH$3:EH$500)+IF($C26="",0,SUMIF('DADOS BRUTOS'!$A$3:$A$500,$C26,'DADOS BRUTOS'!EH$3:EH$500)))</f>
        <v>0</v>
      </c>
      <c r="HI26" s="133" t="n">
        <f aca="false">IF(OR(HI$4="",$B26=""),0,SUMIF('DADOS BRUTOS'!$A$3:$A$500,$B26,'DADOS BRUTOS'!EI$3:EI$500)+IF($C26="",0,SUMIF('DADOS BRUTOS'!$A$3:$A$500,$C26,'DADOS BRUTOS'!EI$3:EI$500)))</f>
        <v>0</v>
      </c>
      <c r="HJ26" s="133" t="n">
        <f aca="false">IF(OR(HJ$4="",$B26=""),0,SUMIF('DADOS BRUTOS'!$A$3:$A$500,$B26,'DADOS BRUTOS'!EJ$3:EJ$500)+IF($C26="",0,SUMIF('DADOS BRUTOS'!$A$3:$A$500,$C26,'DADOS BRUTOS'!EJ$3:EJ$500)))</f>
        <v>0</v>
      </c>
      <c r="HK26" s="133" t="n">
        <f aca="false">IF(OR(HK$4="",$B26=""),0,SUMIF('DADOS BRUTOS'!$A$3:$A$500,$B26,'DADOS BRUTOS'!EK$3:EK$500)+IF($C26="",0,SUMIF('DADOS BRUTOS'!$A$3:$A$500,$C26,'DADOS BRUTOS'!EK$3:EK$500)))</f>
        <v>0</v>
      </c>
      <c r="HL26" s="133" t="n">
        <f aca="false">IF(OR(HL$4="",$B26=""),0,SUMIF('DADOS BRUTOS'!$A$3:$A$500,$B26,'DADOS BRUTOS'!EL$3:EL$500)+IF($C26="",0,SUMIF('DADOS BRUTOS'!$A$3:$A$500,$C26,'DADOS BRUTOS'!EL$3:EL$500)))</f>
        <v>0</v>
      </c>
      <c r="HM26" s="133" t="n">
        <f aca="false">IF(OR(HM$4="",$B26=""),0,SUMIF('DADOS BRUTOS'!$A$3:$A$500,$B26,'DADOS BRUTOS'!EM$3:EM$500)+IF($C26="",0,SUMIF('DADOS BRUTOS'!$A$3:$A$500,$C26,'DADOS BRUTOS'!EM$3:EM$500)))</f>
        <v>0</v>
      </c>
      <c r="HN26" s="133" t="n">
        <f aca="false">IF(OR(HN$4="",$B26=""),0,SUMIF('DADOS BRUTOS'!$A$3:$A$500,$B26,'DADOS BRUTOS'!EN$3:EN$500)+IF($C26="",0,SUMIF('DADOS BRUTOS'!$A$3:$A$500,$C26,'DADOS BRUTOS'!EN$3:EN$500)))</f>
        <v>0</v>
      </c>
      <c r="HO26" s="133" t="n">
        <f aca="false">IF(OR(HO$4="",$B26=""),0,SUMIF('DADOS BRUTOS'!$A$3:$A$500,$B26,'DADOS BRUTOS'!EO$3:EO$500)+IF($C26="",0,SUMIF('DADOS BRUTOS'!$A$3:$A$500,$C26,'DADOS BRUTOS'!EO$3:EO$500)))</f>
        <v>0</v>
      </c>
      <c r="HP26" s="133" t="n">
        <f aca="false">IF(OR(HP$4="",$B26=""),0,SUMIF('DADOS BRUTOS'!$A$3:$A$500,$B26,'DADOS BRUTOS'!EP$3:EP$500)+IF($C26="",0,SUMIF('DADOS BRUTOS'!$A$3:$A$500,$C26,'DADOS BRUTOS'!EP$3:EP$500)))</f>
        <v>0</v>
      </c>
      <c r="HQ26" s="133" t="n">
        <f aca="false">IF(OR(HQ$4="",$B26=""),0,SUMIF('DADOS BRUTOS'!$A$3:$A$500,$B26,'DADOS BRUTOS'!EQ$3:EQ$500)+IF($C26="",0,SUMIF('DADOS BRUTOS'!$A$3:$A$500,$C26,'DADOS BRUTOS'!EQ$3:EQ$500)))</f>
        <v>0</v>
      </c>
      <c r="HR26" s="133" t="n">
        <f aca="false">IF(OR(HR$4="",$B26=""),0,SUMIF('DADOS BRUTOS'!$A$3:$A$500,$B26,'DADOS BRUTOS'!ER$3:ER$500)+IF($C26="",0,SUMIF('DADOS BRUTOS'!$A$3:$A$500,$C26,'DADOS BRUTOS'!ER$3:ER$500)))</f>
        <v>0</v>
      </c>
      <c r="HS26" s="133" t="n">
        <f aca="false">IF(OR(HS$4="",$B26=""),0,SUMIF('DADOS BRUTOS'!$A$3:$A$500,$B26,'DADOS BRUTOS'!ES$3:ES$500)+IF($C26="",0,SUMIF('DADOS BRUTOS'!$A$3:$A$500,$C26,'DADOS BRUTOS'!ES$3:ES$500)))</f>
        <v>0</v>
      </c>
      <c r="HT26" s="133" t="n">
        <f aca="false">IF(OR(HT$4="",$B26=""),0,SUMIF('DADOS BRUTOS'!$A$3:$A$500,$B26,'DADOS BRUTOS'!ET$3:ET$500)+IF($C26="",0,SUMIF('DADOS BRUTOS'!$A$3:$A$500,$C26,'DADOS BRUTOS'!ET$3:ET$500)))</f>
        <v>0</v>
      </c>
      <c r="HU26" s="133" t="n">
        <f aca="false">IF(OR(HU$4="",$B26=""),0,SUMIF('DADOS BRUTOS'!$A$3:$A$500,$B26,'DADOS BRUTOS'!EU$3:EU$500)+IF($C26="",0,SUMIF('DADOS BRUTOS'!$A$3:$A$500,$C26,'DADOS BRUTOS'!EU$3:EU$500)))</f>
        <v>0</v>
      </c>
      <c r="HV26" s="133" t="n">
        <f aca="false">IF(OR(HV$4="",$B26=""),0,SUMIF('DADOS BRUTOS'!$A$3:$A$500,$B26,'DADOS BRUTOS'!EV$3:EV$500)+IF($C26="",0,SUMIF('DADOS BRUTOS'!$A$3:$A$500,$C26,'DADOS BRUTOS'!EV$3:EV$500)))</f>
        <v>0</v>
      </c>
      <c r="HW26" s="133" t="n">
        <f aca="false">IF(OR(HW$4="",$B26=""),0,SUMIF('DADOS BRUTOS'!$A$3:$A$500,$B26,'DADOS BRUTOS'!EW$3:EW$500)+IF($C26="",0,SUMIF('DADOS BRUTOS'!$A$3:$A$500,$C26,'DADOS BRUTOS'!EW$3:EW$500)))</f>
        <v>0</v>
      </c>
      <c r="HX26" s="133" t="n">
        <f aca="false">IF(OR(HX$4="",$B26=""),0,SUMIF('DADOS BRUTOS'!$A$3:$A$500,$B26,'DADOS BRUTOS'!EX$3:EX$500)+IF($C26="",0,SUMIF('DADOS BRUTOS'!$A$3:$A$500,$C26,'DADOS BRUTOS'!EX$3:EX$500)))</f>
        <v>0</v>
      </c>
      <c r="HY26" s="133" t="n">
        <f aca="false">IF(OR(HY$4="",$B26=""),0,SUMIF('DADOS BRUTOS'!$A$3:$A$500,$B26,'DADOS BRUTOS'!EY$3:EY$500)+IF($C26="",0,SUMIF('DADOS BRUTOS'!$A$3:$A$500,$C26,'DADOS BRUTOS'!EY$3:EY$500)))</f>
        <v>0</v>
      </c>
      <c r="HZ26" s="133" t="n">
        <f aca="false">IF(OR(HZ$4="",$B26=""),0,SUMIF('DADOS BRUTOS'!$A$3:$A$500,$B26,'DADOS BRUTOS'!EZ$3:EZ$500)+IF($C26="",0,SUMIF('DADOS BRUTOS'!$A$3:$A$500,$C26,'DADOS BRUTOS'!EZ$3:EZ$500)))</f>
        <v>0</v>
      </c>
      <c r="IA26" s="133" t="n">
        <f aca="false">IF(OR(IA$4="",$B26=""),0,SUMIF('DADOS BRUTOS'!$A$3:$A$500,$B26,'DADOS BRUTOS'!FA$3:FA$500)+IF($C26="",0,SUMIF('DADOS BRUTOS'!$A$3:$A$500,$C26,'DADOS BRUTOS'!FA$3:FA$500)))</f>
        <v>0</v>
      </c>
      <c r="IB26" s="133" t="n">
        <f aca="false">IF(OR(IB$4="",$B26=""),0,SUMIF('DADOS BRUTOS'!$A$3:$A$500,$B26,'DADOS BRUTOS'!FB$3:FB$500)+IF($C26="",0,SUMIF('DADOS BRUTOS'!$A$3:$A$500,$C26,'DADOS BRUTOS'!FB$3:FB$500)))</f>
        <v>0</v>
      </c>
      <c r="IC26" s="133" t="n">
        <f aca="false">IF(OR(IC$4="",$B26=""),0,SUMIF('DADOS BRUTOS'!$A$3:$A$500,$B26,'DADOS BRUTOS'!FC$3:FC$500)+IF($C26="",0,SUMIF('DADOS BRUTOS'!$A$3:$A$500,$C26,'DADOS BRUTOS'!FC$3:FC$500)))</f>
        <v>0</v>
      </c>
      <c r="ID26" s="133" t="n">
        <f aca="false">IF(OR(ID$4="",$B26=""),0,SUMIF('DADOS BRUTOS'!$A$3:$A$500,$B26,'DADOS BRUTOS'!FD$3:FD$500)+IF($C26="",0,SUMIF('DADOS BRUTOS'!$A$3:$A$500,$C26,'DADOS BRUTOS'!FD$3:FD$500)))</f>
        <v>0</v>
      </c>
      <c r="IE26" s="133" t="n">
        <f aca="false">IF(OR(IE$4="",$B26=""),0,SUMIF('DADOS BRUTOS'!$A$3:$A$500,$B26,'DADOS BRUTOS'!FE$3:FE$500)+IF($C26="",0,SUMIF('DADOS BRUTOS'!$A$3:$A$500,$C26,'DADOS BRUTOS'!FE$3:FE$500)))</f>
        <v>0</v>
      </c>
      <c r="IF26" s="133" t="n">
        <f aca="false">IF(OR(IF$4="",$B26=""),0,SUMIF('DADOS BRUTOS'!$A$3:$A$500,$B26,'DADOS BRUTOS'!FF$3:FF$500)+IF($C26="",0,SUMIF('DADOS BRUTOS'!$A$3:$A$500,$C26,'DADOS BRUTOS'!FF$3:FF$500)))</f>
        <v>0</v>
      </c>
      <c r="IG26" s="133" t="n">
        <f aca="false">IF(OR(IG$4="",$B26=""),0,SUMIF('DADOS BRUTOS'!$A$3:$A$500,$B26,'DADOS BRUTOS'!FG$3:FG$500)+IF($C26="",0,SUMIF('DADOS BRUTOS'!$A$3:$A$500,$C26,'DADOS BRUTOS'!FG$3:FG$500)))</f>
        <v>0</v>
      </c>
      <c r="IH26" s="133" t="n">
        <f aca="false">IF(OR(IH$4="",$B26=""),0,SUMIF('DADOS BRUTOS'!$A$3:$A$500,$B26,'DADOS BRUTOS'!FH$3:FH$500)+IF($C26="",0,SUMIF('DADOS BRUTOS'!$A$3:$A$500,$C26,'DADOS BRUTOS'!FH$3:FH$500)))</f>
        <v>0</v>
      </c>
      <c r="II26" s="133" t="n">
        <f aca="false">IF(OR(II$4="",$B26=""),0,SUMIF('DADOS BRUTOS'!$A$3:$A$500,$B26,'DADOS BRUTOS'!FI$3:FI$500)+IF($C26="",0,SUMIF('DADOS BRUTOS'!$A$3:$A$500,$C26,'DADOS BRUTOS'!FI$3:FI$500)))</f>
        <v>0</v>
      </c>
      <c r="IJ26" s="133" t="n">
        <f aca="false">IF(OR(IJ$4="",$B26=""),0,SUMIF('DADOS BRUTOS'!$A$3:$A$500,$B26,'DADOS BRUTOS'!FJ$3:FJ$500)+IF($C26="",0,SUMIF('DADOS BRUTOS'!$A$3:$A$500,$C26,'DADOS BRUTOS'!FJ$3:FJ$500)))</f>
        <v>0</v>
      </c>
      <c r="IK26" s="133" t="n">
        <f aca="false">IF(OR(IK$4="",$B26=""),0,SUMIF('DADOS BRUTOS'!$A$3:$A$500,$B26,'DADOS BRUTOS'!FK$3:FK$500)+IF($C26="",0,SUMIF('DADOS BRUTOS'!$A$3:$A$500,$C26,'DADOS BRUTOS'!FK$3:FK$500)))</f>
        <v>0</v>
      </c>
      <c r="IL26" s="133" t="n">
        <f aca="false">IF(OR(IL$4="",$B26=""),0,SUMIF('DADOS BRUTOS'!$A$3:$A$500,$B26,'DADOS BRUTOS'!FL$3:FL$500)+IF($C26="",0,SUMIF('DADOS BRUTOS'!$A$3:$A$500,$C26,'DADOS BRUTOS'!FL$3:FL$500)))</f>
        <v>0</v>
      </c>
      <c r="IM26" s="133" t="n">
        <f aca="false">IF(OR(IM$4="",$B26=""),0,SUMIF('DADOS BRUTOS'!$A$3:$A$500,$B26,'DADOS BRUTOS'!FM$3:FM$500)+IF($C26="",0,SUMIF('DADOS BRUTOS'!$A$3:$A$500,$C26,'DADOS BRUTOS'!FM$3:FM$500)))</f>
        <v>0</v>
      </c>
      <c r="IN26" s="133" t="n">
        <f aca="false">IF(OR(IN$4="",$B26=""),0,SUMIF('DADOS BRUTOS'!$A$3:$A$500,$B26,'DADOS BRUTOS'!FN$3:FN$500)+IF($C26="",0,SUMIF('DADOS BRUTOS'!$A$3:$A$500,$C26,'DADOS BRUTOS'!FN$3:FN$500)))</f>
        <v>0</v>
      </c>
      <c r="IO26" s="133" t="n">
        <f aca="false">IF(OR(IO$4="",$B26=""),0,SUMIF('DADOS BRUTOS'!$A$3:$A$500,$B26,'DADOS BRUTOS'!FO$3:FO$500)+IF($C26="",0,SUMIF('DADOS BRUTOS'!$A$3:$A$500,$C26,'DADOS BRUTOS'!FO$3:FO$500)))</f>
        <v>0</v>
      </c>
      <c r="IP26" s="133" t="n">
        <f aca="false">IF(OR(IP$4="",$B26=""),0,SUMIF('DADOS BRUTOS'!$A$3:$A$500,$B26,'DADOS BRUTOS'!FP$3:FP$500)+IF($C26="",0,SUMIF('DADOS BRUTOS'!$A$3:$A$500,$C26,'DADOS BRUTOS'!FP$3:FP$500)))</f>
        <v>0</v>
      </c>
      <c r="IQ26" s="133" t="n">
        <f aca="false">IF(OR(IQ$4="",$B26=""),0,SUMIF('DADOS BRUTOS'!$A$3:$A$500,$B26,'DADOS BRUTOS'!FQ$3:FQ$500)+IF($C26="",0,SUMIF('DADOS BRUTOS'!$A$3:$A$500,$C26,'DADOS BRUTOS'!FQ$3:FQ$500)))</f>
        <v>0</v>
      </c>
      <c r="IR26" s="133" t="n">
        <f aca="false">IF(OR(IR$4="",$B26=""),0,SUMIF('DADOS BRUTOS'!$A$3:$A$500,$B26,'DADOS BRUTOS'!FR$3:FR$500)+IF($C26="",0,SUMIF('DADOS BRUTOS'!$A$3:$A$500,$C26,'DADOS BRUTOS'!FR$3:FR$500)))</f>
        <v>0</v>
      </c>
      <c r="IS26" s="133" t="n">
        <f aca="false">IF(OR(IS$4="",$B26=""),0,SUMIF('DADOS BRUTOS'!$A$3:$A$500,$B26,'DADOS BRUTOS'!FS$3:FS$500)+IF($C26="",0,SUMIF('DADOS BRUTOS'!$A$3:$A$500,$C26,'DADOS BRUTOS'!FS$3:FS$500)))</f>
        <v>0</v>
      </c>
      <c r="IT26" s="133" t="n">
        <f aca="false">IF(OR(IT$4="",$B26=""),0,SUMIF('DADOS BRUTOS'!$A$3:$A$500,$B26,'DADOS BRUTOS'!FT$3:FT$500)+IF($C26="",0,SUMIF('DADOS BRUTOS'!$A$3:$A$500,$C26,'DADOS BRUTOS'!FT$3:FT$500)))</f>
        <v>0</v>
      </c>
      <c r="IU26" s="133" t="n">
        <f aca="false">IF(OR(IU$4="",$B26=""),0,SUMIF('DADOS BRUTOS'!$A$3:$A$500,$B26,'DADOS BRUTOS'!FU$3:FU$500)+IF($C26="",0,SUMIF('DADOS BRUTOS'!$A$3:$A$500,$C26,'DADOS BRUTOS'!FU$3:FU$500)))</f>
        <v>0</v>
      </c>
      <c r="IV26" s="133" t="n">
        <f aca="false">IF(OR(IV$4="",$B26=""),0,SUMIF('DADOS BRUTOS'!$A$3:$A$500,$B26,'DADOS BRUTOS'!FV$3:FV$500)+IF($C26="",0,SUMIF('DADOS BRUTOS'!$A$3:$A$500,$C26,'DADOS BRUTOS'!FV$3:FV$500)))</f>
        <v>0</v>
      </c>
      <c r="IW26" s="133" t="n">
        <f aca="false">IF(OR(IW$4="",$B26=""),0,SUMIF('DADOS BRUTOS'!$A$3:$A$500,$B26,'DADOS BRUTOS'!FW$3:FW$500)+IF($C26="",0,SUMIF('DADOS BRUTOS'!$A$3:$A$500,$C26,'DADOS BRUTOS'!FW$3:FW$500)))</f>
        <v>0</v>
      </c>
      <c r="IX26" s="133" t="n">
        <f aca="false">IF(OR(IX$4="",$B26=""),0,SUMIF('DADOS BRUTOS'!$A$3:$A$500,$B26,'DADOS BRUTOS'!FX$3:FX$500)+IF($C26="",0,SUMIF('DADOS BRUTOS'!$A$3:$A$500,$C26,'DADOS BRUTOS'!FX$3:FX$500)))</f>
        <v>0</v>
      </c>
      <c r="IY26" s="133" t="n">
        <f aca="false">IF(OR(IY$4="",$B26=""),0,SUMIF('DADOS BRUTOS'!$A$3:$A$500,$B26,'DADOS BRUTOS'!FY$3:FY$500)+IF($C26="",0,SUMIF('DADOS BRUTOS'!$A$3:$A$500,$C26,'DADOS BRUTOS'!FY$3:FY$500)))</f>
        <v>0</v>
      </c>
      <c r="IZ26" s="133" t="n">
        <f aca="false">IF(OR(IZ$4="",$B26=""),0,SUMIF('DADOS BRUTOS'!$A$3:$A$500,$B26,'DADOS BRUTOS'!FZ$3:FZ$500)+IF($C26="",0,SUMIF('DADOS BRUTOS'!$A$3:$A$500,$C26,'DADOS BRUTOS'!FZ$3:FZ$500)))</f>
        <v>0</v>
      </c>
      <c r="JA26" s="133" t="n">
        <f aca="false">IF(OR(JA$4="",$B26=""),0,SUMIF('DADOS BRUTOS'!$A$3:$A$500,$B26,'DADOS BRUTOS'!GA$3:GA$500)+IF($C26="",0,SUMIF('DADOS BRUTOS'!$A$3:$A$500,$C26,'DADOS BRUTOS'!GA$3:GA$500)))</f>
        <v>0</v>
      </c>
      <c r="JB26" s="133" t="n">
        <f aca="false">IF(OR(JB$4="",$B26=""),0,SUMIF('DADOS BRUTOS'!$A$3:$A$500,$B26,'DADOS BRUTOS'!GB$3:GB$500)+IF($C26="",0,SUMIF('DADOS BRUTOS'!$A$3:$A$500,$C26,'DADOS BRUTOS'!GB$3:GB$500)))</f>
        <v>0</v>
      </c>
      <c r="JC26" s="133" t="n">
        <f aca="false">IF(OR(JC$4="",$B26=""),0,SUMIF('DADOS BRUTOS'!$A$3:$A$500,$B26,'DADOS BRUTOS'!GC$3:GC$500)+IF($C26="",0,SUMIF('DADOS BRUTOS'!$A$3:$A$500,$C26,'DADOS BRUTOS'!GC$3:GC$500)))</f>
        <v>0</v>
      </c>
      <c r="JD26" s="133" t="n">
        <f aca="false">IF(OR(JD$4="",$B26=""),0,SUMIF('DADOS BRUTOS'!$A$3:$A$500,$B26,'DADOS BRUTOS'!GD$3:GD$500)+IF($C26="",0,SUMIF('DADOS BRUTOS'!$A$3:$A$500,$C26,'DADOS BRUTOS'!GD$3:GD$500)))</f>
        <v>0</v>
      </c>
      <c r="JE26" s="133" t="n">
        <f aca="false">IF(OR(JE$4="",$B26=""),0,SUMIF('DADOS BRUTOS'!$A$3:$A$500,$B26,'DADOS BRUTOS'!GE$3:GE$500)+IF($C26="",0,SUMIF('DADOS BRUTOS'!$A$3:$A$500,$C26,'DADOS BRUTOS'!GE$3:GE$500)))</f>
        <v>0</v>
      </c>
      <c r="JF26" s="133" t="n">
        <f aca="false">IF(OR(JF$4="",$B26=""),0,SUMIF('DADOS BRUTOS'!$A$3:$A$500,$B26,'DADOS BRUTOS'!GF$3:GF$500)+IF($C26="",0,SUMIF('DADOS BRUTOS'!$A$3:$A$500,$C26,'DADOS BRUTOS'!GF$3:GF$500)))</f>
        <v>0</v>
      </c>
      <c r="JG26" s="133" t="n">
        <f aca="false">IF(OR(JG$4="",$B26=""),0,SUMIF('DADOS BRUTOS'!$A$3:$A$500,$B26,'DADOS BRUTOS'!GG$3:GG$500)+IF($C26="",0,SUMIF('DADOS BRUTOS'!$A$3:$A$500,$C26,'DADOS BRUTOS'!GG$3:GG$500)))</f>
        <v>0</v>
      </c>
      <c r="JH26" s="133" t="n">
        <f aca="false">IF(OR(JH$4="",$B26=""),0,SUMIF('DADOS BRUTOS'!$A$3:$A$500,$B26,'DADOS BRUTOS'!GH$3:GH$500)+IF($C26="",0,SUMIF('DADOS BRUTOS'!$A$3:$A$500,$C26,'DADOS BRUTOS'!GH$3:GH$500)))</f>
        <v>0</v>
      </c>
      <c r="JI26" s="133" t="n">
        <f aca="false">IF(OR(JI$4="",$B26=""),0,SUMIF('DADOS BRUTOS'!$A$3:$A$500,$B26,'DADOS BRUTOS'!GI$3:GI$500)+IF($C26="",0,SUMIF('DADOS BRUTOS'!$A$3:$A$500,$C26,'DADOS BRUTOS'!GI$3:GI$500)))</f>
        <v>0</v>
      </c>
      <c r="JJ26" s="133" t="n">
        <f aca="false">IF(OR(JJ$4="",$B26=""),0,SUMIF('DADOS BRUTOS'!$A$3:$A$500,$B26,'DADOS BRUTOS'!GJ$3:GJ$500)+IF($C26="",0,SUMIF('DADOS BRUTOS'!$A$3:$A$500,$C26,'DADOS BRUTOS'!GJ$3:GJ$500)))</f>
        <v>0</v>
      </c>
      <c r="JK26" s="133" t="n">
        <f aca="false">IF(OR(JK$4="",$B26=""),0,SUMIF('DADOS BRUTOS'!$A$3:$A$500,$B26,'DADOS BRUTOS'!GK$3:GK$500)+IF($C26="",0,SUMIF('DADOS BRUTOS'!$A$3:$A$500,$C26,'DADOS BRUTOS'!GK$3:GK$500)))</f>
        <v>0</v>
      </c>
      <c r="JL26" s="133" t="n">
        <f aca="false">IF(OR(JL$4="",$B26=""),0,SUMIF('DADOS BRUTOS'!$A$3:$A$500,$B26,'DADOS BRUTOS'!GL$3:GL$500)+IF($C26="",0,SUMIF('DADOS BRUTOS'!$A$3:$A$500,$C26,'DADOS BRUTOS'!GL$3:GL$500)))</f>
        <v>0</v>
      </c>
      <c r="JM26" s="133" t="n">
        <f aca="false">IF(OR(JM$4="",$B26=""),0,SUMIF('DADOS BRUTOS'!$A$3:$A$500,$B26,'DADOS BRUTOS'!GM$3:GM$500)+IF($C26="",0,SUMIF('DADOS BRUTOS'!$A$3:$A$500,$C26,'DADOS BRUTOS'!GM$3:GM$500)))</f>
        <v>0</v>
      </c>
      <c r="JN26" s="133" t="n">
        <f aca="false">IF(OR(JN$4="",$B26=""),0,SUMIF('DADOS BRUTOS'!$A$3:$A$500,$B26,'DADOS BRUTOS'!GN$3:GN$500)+IF($C26="",0,SUMIF('DADOS BRUTOS'!$A$3:$A$500,$C26,'DADOS BRUTOS'!GN$3:GN$500)))</f>
        <v>0</v>
      </c>
      <c r="JO26" s="133" t="n">
        <f aca="false">IF(OR(JO$4="",$B26=""),0,SUMIF('DADOS BRUTOS'!$A$3:$A$500,$B26,'DADOS BRUTOS'!GO$3:GO$500)+IF($C26="",0,SUMIF('DADOS BRUTOS'!$A$3:$A$500,$C26,'DADOS BRUTOS'!GO$3:GO$500)))</f>
        <v>0</v>
      </c>
      <c r="JP26" s="133" t="n">
        <f aca="false">IF(OR(JP$4="",$B26=""),0,SUMIF('DADOS BRUTOS'!$A$3:$A$500,$B26,'DADOS BRUTOS'!GP$3:GP$500)+IF($C26="",0,SUMIF('DADOS BRUTOS'!$A$3:$A$500,$C26,'DADOS BRUTOS'!GP$3:GP$500)))</f>
        <v>0</v>
      </c>
      <c r="JQ26" s="133" t="n">
        <f aca="false">IF(OR(JQ$4="",$B26=""),0,SUMIF('DADOS BRUTOS'!$A$3:$A$500,$B26,'DADOS BRUTOS'!GQ$3:GQ$500)+IF($C26="",0,SUMIF('DADOS BRUTOS'!$A$3:$A$500,$C26,'DADOS BRUTOS'!GQ$3:GQ$500)))</f>
        <v>0</v>
      </c>
      <c r="JR26" s="133" t="n">
        <f aca="false">IF(OR(JR$4="",$B26=""),0,SUMIF('DADOS BRUTOS'!$A$3:$A$500,$B26,'DADOS BRUTOS'!GR$3:GR$500)+IF($C26="",0,SUMIF('DADOS BRUTOS'!$A$3:$A$500,$C26,'DADOS BRUTOS'!GR$3:GR$500)))</f>
        <v>0</v>
      </c>
      <c r="JS26" s="133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177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3" t="n">
        <f aca="false">IF(OR(CB$4="",$B27=""),0,SUMIF('DADOS BRUTOS'!$A$3:$A$500,$B27,'DADOS BRUTOS'!B$3:B$500)+IF($C27="",0,SUMIF('DADOS BRUTOS'!$A$3:$A$500,$C27,'DADOS BRUTOS'!B$3:B$500)))</f>
        <v>0</v>
      </c>
      <c r="CC27" s="133" t="n">
        <f aca="false">IF(OR(CC$4="",$B27=""),0,SUMIF('DADOS BRUTOS'!$A$3:$A$500,$B27,'DADOS BRUTOS'!C$3:C$500)+IF($C27="",0,SUMIF('DADOS BRUTOS'!$A$3:$A$500,$C27,'DADOS BRUTOS'!C$3:C$500)))</f>
        <v>0</v>
      </c>
      <c r="CD27" s="133" t="n">
        <f aca="false">IF(OR(CD$4="",$B27=""),0,SUMIF('DADOS BRUTOS'!$A$3:$A$500,$B27,'DADOS BRUTOS'!D$3:D$500)+IF($C27="",0,SUMIF('DADOS BRUTOS'!$A$3:$A$500,$C27,'DADOS BRUTOS'!D$3:D$500)))</f>
        <v>0</v>
      </c>
      <c r="CE27" s="133" t="n">
        <f aca="false">IF(OR(CE$4="",$B27=""),0,SUMIF('DADOS BRUTOS'!$A$3:$A$500,$B27,'DADOS BRUTOS'!E$3:E$500)+IF($C27="",0,SUMIF('DADOS BRUTOS'!$A$3:$A$500,$C27,'DADOS BRUTOS'!E$3:E$500)))</f>
        <v>0</v>
      </c>
      <c r="CF27" s="133" t="n">
        <f aca="false">IF(OR(CF$4="",$B27=""),0,SUMIF('DADOS BRUTOS'!$A$3:$A$500,$B27,'DADOS BRUTOS'!F$3:F$500)+IF($C27="",0,SUMIF('DADOS BRUTOS'!$A$3:$A$500,$C27,'DADOS BRUTOS'!F$3:F$500)))</f>
        <v>0</v>
      </c>
      <c r="CG27" s="133" t="n">
        <f aca="false">IF(OR(CG$4="",$B27=""),0,SUMIF('DADOS BRUTOS'!$A$3:$A$500,$B27,'DADOS BRUTOS'!G$3:G$500)+IF($C27="",0,SUMIF('DADOS BRUTOS'!$A$3:$A$500,$C27,'DADOS BRUTOS'!G$3:G$500)))</f>
        <v>0</v>
      </c>
      <c r="CH27" s="133" t="n">
        <f aca="false">IF(OR(CH$4="",$B27=""),0,SUMIF('DADOS BRUTOS'!$A$3:$A$500,$B27,'DADOS BRUTOS'!H$3:H$500)+IF($C27="",0,SUMIF('DADOS BRUTOS'!$A$3:$A$500,$C27,'DADOS BRUTOS'!H$3:H$500)))</f>
        <v>0</v>
      </c>
      <c r="CI27" s="133" t="n">
        <f aca="false">IF(OR(CI$4="",$B27=""),0,SUMIF('DADOS BRUTOS'!$A$3:$A$500,$B27,'DADOS BRUTOS'!I$3:I$500)+IF($C27="",0,SUMIF('DADOS BRUTOS'!$A$3:$A$500,$C27,'DADOS BRUTOS'!I$3:I$500)))</f>
        <v>0</v>
      </c>
      <c r="CJ27" s="133" t="n">
        <f aca="false">IF(OR(CJ$4="",$B27=""),0,SUMIF('DADOS BRUTOS'!$A$3:$A$500,$B27,'DADOS BRUTOS'!J$3:J$500)+IF($C27="",0,SUMIF('DADOS BRUTOS'!$A$3:$A$500,$C27,'DADOS BRUTOS'!J$3:J$500)))</f>
        <v>0</v>
      </c>
      <c r="CK27" s="133" t="n">
        <f aca="false">IF(OR(CK$4="",$B27=""),0,SUMIF('DADOS BRUTOS'!$A$3:$A$500,$B27,'DADOS BRUTOS'!K$3:K$500)+IF($C27="",0,SUMIF('DADOS BRUTOS'!$A$3:$A$500,$C27,'DADOS BRUTOS'!K$3:K$500)))</f>
        <v>0</v>
      </c>
      <c r="CL27" s="133" t="n">
        <f aca="false">IF(OR(CL$4="",$B27=""),0,SUMIF('DADOS BRUTOS'!$A$3:$A$500,$B27,'DADOS BRUTOS'!L$3:L$500)+IF($C27="",0,SUMIF('DADOS BRUTOS'!$A$3:$A$500,$C27,'DADOS BRUTOS'!L$3:L$500)))</f>
        <v>0</v>
      </c>
      <c r="CM27" s="133" t="n">
        <f aca="false">IF(OR(CM$4="",$B27=""),0,SUMIF('DADOS BRUTOS'!$A$3:$A$500,$B27,'DADOS BRUTOS'!M$3:M$500)+IF($C27="",0,SUMIF('DADOS BRUTOS'!$A$3:$A$500,$C27,'DADOS BRUTOS'!M$3:M$500)))</f>
        <v>0</v>
      </c>
      <c r="CN27" s="133" t="n">
        <f aca="false">IF(OR(CN$4="",$B27=""),0,SUMIF('DADOS BRUTOS'!$A$3:$A$500,$B27,'DADOS BRUTOS'!N$3:N$500)+IF($C27="",0,SUMIF('DADOS BRUTOS'!$A$3:$A$500,$C27,'DADOS BRUTOS'!N$3:N$500)))</f>
        <v>0</v>
      </c>
      <c r="CO27" s="133" t="n">
        <f aca="false">IF(OR(CO$4="",$B27=""),0,SUMIF('DADOS BRUTOS'!$A$3:$A$500,$B27,'DADOS BRUTOS'!O$3:O$500)+IF($C27="",0,SUMIF('DADOS BRUTOS'!$A$3:$A$500,$C27,'DADOS BRUTOS'!O$3:O$500)))</f>
        <v>0</v>
      </c>
      <c r="CP27" s="133" t="n">
        <f aca="false">IF(OR(CP$4="",$B27=""),0,SUMIF('DADOS BRUTOS'!$A$3:$A$500,$B27,'DADOS BRUTOS'!P$3:P$500)+IF($C27="",0,SUMIF('DADOS BRUTOS'!$A$3:$A$500,$C27,'DADOS BRUTOS'!P$3:P$500)))</f>
        <v>0</v>
      </c>
      <c r="CQ27" s="133" t="n">
        <f aca="false">IF(OR(CQ$4="",$B27=""),0,SUMIF('DADOS BRUTOS'!$A$3:$A$500,$B27,'DADOS BRUTOS'!Q$3:Q$500)+IF($C27="",0,SUMIF('DADOS BRUTOS'!$A$3:$A$500,$C27,'DADOS BRUTOS'!Q$3:Q$500)))</f>
        <v>0</v>
      </c>
      <c r="CR27" s="133" t="n">
        <f aca="false">IF(OR(CR$4="",$B27=""),0,SUMIF('DADOS BRUTOS'!$A$3:$A$500,$B27,'DADOS BRUTOS'!R$3:R$500)+IF($C27="",0,SUMIF('DADOS BRUTOS'!$A$3:$A$500,$C27,'DADOS BRUTOS'!R$3:R$500)))</f>
        <v>0</v>
      </c>
      <c r="CS27" s="133" t="n">
        <f aca="false">IF(OR(CS$4="",$B27=""),0,SUMIF('DADOS BRUTOS'!$A$3:$A$500,$B27,'DADOS BRUTOS'!S$3:S$500)+IF($C27="",0,SUMIF('DADOS BRUTOS'!$A$3:$A$500,$C27,'DADOS BRUTOS'!S$3:S$500)))</f>
        <v>0</v>
      </c>
      <c r="CT27" s="133" t="n">
        <f aca="false">IF(OR(CT$4="",$B27=""),0,SUMIF('DADOS BRUTOS'!$A$3:$A$500,$B27,'DADOS BRUTOS'!T$3:T$500)+IF($C27="",0,SUMIF('DADOS BRUTOS'!$A$3:$A$500,$C27,'DADOS BRUTOS'!T$3:T$500)))</f>
        <v>0</v>
      </c>
      <c r="CU27" s="133" t="n">
        <f aca="false">IF(OR(CU$4="",$B27=""),0,SUMIF('DADOS BRUTOS'!$A$3:$A$500,$B27,'DADOS BRUTOS'!U$3:U$500)+IF($C27="",0,SUMIF('DADOS BRUTOS'!$A$3:$A$500,$C27,'DADOS BRUTOS'!U$3:U$500)))</f>
        <v>0</v>
      </c>
      <c r="CV27" s="133" t="n">
        <f aca="false">IF(OR(CV$4="",$B27=""),0,SUMIF('DADOS BRUTOS'!$A$3:$A$500,$B27,'DADOS BRUTOS'!V$3:V$500)+IF($C27="",0,SUMIF('DADOS BRUTOS'!$A$3:$A$500,$C27,'DADOS BRUTOS'!V$3:V$500)))</f>
        <v>0</v>
      </c>
      <c r="CW27" s="133" t="n">
        <f aca="false">IF(OR(CW$4="",$B27=""),0,SUMIF('DADOS BRUTOS'!$A$3:$A$500,$B27,'DADOS BRUTOS'!W$3:W$500)+IF($C27="",0,SUMIF('DADOS BRUTOS'!$A$3:$A$500,$C27,'DADOS BRUTOS'!W$3:W$500)))</f>
        <v>0</v>
      </c>
      <c r="CX27" s="133" t="n">
        <f aca="false">IF(OR(CX$4="",$B27=""),0,SUMIF('DADOS BRUTOS'!$A$3:$A$500,$B27,'DADOS BRUTOS'!X$3:X$500)+IF($C27="",0,SUMIF('DADOS BRUTOS'!$A$3:$A$500,$C27,'DADOS BRUTOS'!X$3:X$500)))</f>
        <v>0</v>
      </c>
      <c r="CY27" s="133" t="n">
        <f aca="false">IF(OR(CY$4="",$B27=""),0,SUMIF('DADOS BRUTOS'!$A$3:$A$500,$B27,'DADOS BRUTOS'!Y$3:Y$500)+IF($C27="",0,SUMIF('DADOS BRUTOS'!$A$3:$A$500,$C27,'DADOS BRUTOS'!Y$3:Y$500)))</f>
        <v>0</v>
      </c>
      <c r="CZ27" s="133" t="n">
        <f aca="false">IF(OR(CZ$4="",$B27=""),0,SUMIF('DADOS BRUTOS'!$A$3:$A$500,$B27,'DADOS BRUTOS'!Z$3:Z$500)+IF($C27="",0,SUMIF('DADOS BRUTOS'!$A$3:$A$500,$C27,'DADOS BRUTOS'!Z$3:Z$500)))</f>
        <v>0</v>
      </c>
      <c r="DA27" s="133" t="n">
        <f aca="false">IF(OR(DA$4="",$B27=""),0,SUMIF('DADOS BRUTOS'!$A$3:$A$500,$B27,'DADOS BRUTOS'!AA$3:AA$500)+IF($C27="",0,SUMIF('DADOS BRUTOS'!$A$3:$A$500,$C27,'DADOS BRUTOS'!AA$3:AA$500)))</f>
        <v>0</v>
      </c>
      <c r="DB27" s="133" t="n">
        <f aca="false">IF(OR(DB$4="",$B27=""),0,SUMIF('DADOS BRUTOS'!$A$3:$A$500,$B27,'DADOS BRUTOS'!AB$3:AB$500)+IF($C27="",0,SUMIF('DADOS BRUTOS'!$A$3:$A$500,$C27,'DADOS BRUTOS'!AB$3:AB$500)))</f>
        <v>0</v>
      </c>
      <c r="DC27" s="133" t="n">
        <f aca="false">IF(OR(DC$4="",$B27=""),0,SUMIF('DADOS BRUTOS'!$A$3:$A$500,$B27,'DADOS BRUTOS'!AC$3:AC$500)+IF($C27="",0,SUMIF('DADOS BRUTOS'!$A$3:$A$500,$C27,'DADOS BRUTOS'!AC$3:AC$500)))</f>
        <v>0</v>
      </c>
      <c r="DD27" s="133" t="n">
        <f aca="false">IF(OR(DD$4="",$B27=""),0,SUMIF('DADOS BRUTOS'!$A$3:$A$500,$B27,'DADOS BRUTOS'!AD$3:AD$500)+IF($C27="",0,SUMIF('DADOS BRUTOS'!$A$3:$A$500,$C27,'DADOS BRUTOS'!AD$3:AD$500)))</f>
        <v>0</v>
      </c>
      <c r="DE27" s="133" t="n">
        <f aca="false">IF(OR(DE$4="",$B27=""),0,SUMIF('DADOS BRUTOS'!$A$3:$A$500,$B27,'DADOS BRUTOS'!AE$3:AE$500)+IF($C27="",0,SUMIF('DADOS BRUTOS'!$A$3:$A$500,$C27,'DADOS BRUTOS'!AE$3:AE$500)))</f>
        <v>0</v>
      </c>
      <c r="DF27" s="133" t="n">
        <f aca="false">IF(OR(DF$4="",$B27=""),0,SUMIF('DADOS BRUTOS'!$A$3:$A$500,$B27,'DADOS BRUTOS'!AF$3:AF$500)+IF($C27="",0,SUMIF('DADOS BRUTOS'!$A$3:$A$500,$C27,'DADOS BRUTOS'!AF$3:AF$500)))</f>
        <v>0</v>
      </c>
      <c r="DG27" s="133" t="n">
        <f aca="false">IF(OR(DG$4="",$B27=""),0,SUMIF('DADOS BRUTOS'!$A$3:$A$500,$B27,'DADOS BRUTOS'!AG$3:AG$500)+IF($C27="",0,SUMIF('DADOS BRUTOS'!$A$3:$A$500,$C27,'DADOS BRUTOS'!AG$3:AG$500)))</f>
        <v>0</v>
      </c>
      <c r="DH27" s="133" t="n">
        <f aca="false">IF(OR(DH$4="",$B27=""),0,SUMIF('DADOS BRUTOS'!$A$3:$A$500,$B27,'DADOS BRUTOS'!AH$3:AH$500)+IF($C27="",0,SUMIF('DADOS BRUTOS'!$A$3:$A$500,$C27,'DADOS BRUTOS'!AH$3:AH$500)))</f>
        <v>0</v>
      </c>
      <c r="DI27" s="133" t="n">
        <f aca="false">IF(OR(DI$4="",$B27=""),0,SUMIF('DADOS BRUTOS'!$A$3:$A$500,$B27,'DADOS BRUTOS'!AI$3:AI$500)+IF($C27="",0,SUMIF('DADOS BRUTOS'!$A$3:$A$500,$C27,'DADOS BRUTOS'!AI$3:AI$500)))</f>
        <v>0</v>
      </c>
      <c r="DJ27" s="133" t="n">
        <f aca="false">IF(OR(DJ$4="",$B27=""),0,SUMIF('DADOS BRUTOS'!$A$3:$A$500,$B27,'DADOS BRUTOS'!AJ$3:AJ$500)+IF($C27="",0,SUMIF('DADOS BRUTOS'!$A$3:$A$500,$C27,'DADOS BRUTOS'!AJ$3:AJ$500)))</f>
        <v>0</v>
      </c>
      <c r="DK27" s="133" t="n">
        <f aca="false">IF(OR(DK$4="",$B27=""),0,SUMIF('DADOS BRUTOS'!$A$3:$A$500,$B27,'DADOS BRUTOS'!AK$3:AK$500)+IF($C27="",0,SUMIF('DADOS BRUTOS'!$A$3:$A$500,$C27,'DADOS BRUTOS'!AK$3:AK$500)))</f>
        <v>0</v>
      </c>
      <c r="DL27" s="133" t="n">
        <f aca="false">IF(OR(DL$4="",$B27=""),0,SUMIF('DADOS BRUTOS'!$A$3:$A$500,$B27,'DADOS BRUTOS'!AL$3:AL$500)+IF($C27="",0,SUMIF('DADOS BRUTOS'!$A$3:$A$500,$C27,'DADOS BRUTOS'!AL$3:AL$500)))</f>
        <v>0</v>
      </c>
      <c r="DM27" s="133" t="n">
        <f aca="false">IF(OR(DM$4="",$B27=""),0,SUMIF('DADOS BRUTOS'!$A$3:$A$500,$B27,'DADOS BRUTOS'!AM$3:AM$500)+IF($C27="",0,SUMIF('DADOS BRUTOS'!$A$3:$A$500,$C27,'DADOS BRUTOS'!AM$3:AM$500)))</f>
        <v>0</v>
      </c>
      <c r="DN27" s="133" t="n">
        <f aca="false">IF(OR(DN$4="",$B27=""),0,SUMIF('DADOS BRUTOS'!$A$3:$A$500,$B27,'DADOS BRUTOS'!AN$3:AN$500)+IF($C27="",0,SUMIF('DADOS BRUTOS'!$A$3:$A$500,$C27,'DADOS BRUTOS'!AN$3:AN$500)))</f>
        <v>0</v>
      </c>
      <c r="DO27" s="133" t="n">
        <f aca="false">IF(OR(DO$4="",$B27=""),0,SUMIF('DADOS BRUTOS'!$A$3:$A$500,$B27,'DADOS BRUTOS'!AO$3:AO$500)+IF($C27="",0,SUMIF('DADOS BRUTOS'!$A$3:$A$500,$C27,'DADOS BRUTOS'!AO$3:AO$500)))</f>
        <v>0</v>
      </c>
      <c r="DP27" s="133" t="n">
        <f aca="false">IF(OR(DP$4="",$B27=""),0,SUMIF('DADOS BRUTOS'!$A$3:$A$500,$B27,'DADOS BRUTOS'!AP$3:AP$500)+IF($C27="",0,SUMIF('DADOS BRUTOS'!$A$3:$A$500,$C27,'DADOS BRUTOS'!AP$3:AP$500)))</f>
        <v>0</v>
      </c>
      <c r="DQ27" s="133" t="n">
        <f aca="false">IF(OR(DQ$4="",$B27=""),0,SUMIF('DADOS BRUTOS'!$A$3:$A$500,$B27,'DADOS BRUTOS'!AQ$3:AQ$500)+IF($C27="",0,SUMIF('DADOS BRUTOS'!$A$3:$A$500,$C27,'DADOS BRUTOS'!AQ$3:AQ$500)))</f>
        <v>0</v>
      </c>
      <c r="DR27" s="133" t="n">
        <f aca="false">IF(OR(DR$4="",$B27=""),0,SUMIF('DADOS BRUTOS'!$A$3:$A$500,$B27,'DADOS BRUTOS'!AR$3:AR$500)+IF($C27="",0,SUMIF('DADOS BRUTOS'!$A$3:$A$500,$C27,'DADOS BRUTOS'!AR$3:AR$500)))</f>
        <v>0</v>
      </c>
      <c r="DS27" s="133" t="n">
        <f aca="false">IF(OR(DS$4="",$B27=""),0,SUMIF('DADOS BRUTOS'!$A$3:$A$500,$B27,'DADOS BRUTOS'!AS$3:AS$500)+IF($C27="",0,SUMIF('DADOS BRUTOS'!$A$3:$A$500,$C27,'DADOS BRUTOS'!AS$3:AS$500)))</f>
        <v>0</v>
      </c>
      <c r="DT27" s="133" t="n">
        <f aca="false">IF(OR(DT$4="",$B27=""),0,SUMIF('DADOS BRUTOS'!$A$3:$A$500,$B27,'DADOS BRUTOS'!AT$3:AT$500)+IF($C27="",0,SUMIF('DADOS BRUTOS'!$A$3:$A$500,$C27,'DADOS BRUTOS'!AT$3:AT$500)))</f>
        <v>0</v>
      </c>
      <c r="DU27" s="133" t="n">
        <f aca="false">IF(OR(DU$4="",$B27=""),0,SUMIF('DADOS BRUTOS'!$A$3:$A$500,$B27,'DADOS BRUTOS'!AU$3:AU$500)+IF($C27="",0,SUMIF('DADOS BRUTOS'!$A$3:$A$500,$C27,'DADOS BRUTOS'!AU$3:AU$500)))</f>
        <v>0</v>
      </c>
      <c r="DV27" s="133" t="n">
        <f aca="false">IF(OR(DV$4="",$B27=""),0,SUMIF('DADOS BRUTOS'!$A$3:$A$500,$B27,'DADOS BRUTOS'!AV$3:AV$500)+IF($C27="",0,SUMIF('DADOS BRUTOS'!$A$3:$A$500,$C27,'DADOS BRUTOS'!AV$3:AV$500)))</f>
        <v>0</v>
      </c>
      <c r="DW27" s="133" t="n">
        <f aca="false">IF(OR(DW$4="",$B27=""),0,SUMIF('DADOS BRUTOS'!$A$3:$A$500,$B27,'DADOS BRUTOS'!AW$3:AW$500)+IF($C27="",0,SUMIF('DADOS BRUTOS'!$A$3:$A$500,$C27,'DADOS BRUTOS'!AW$3:AW$500)))</f>
        <v>0</v>
      </c>
      <c r="DX27" s="133" t="n">
        <f aca="false">IF(OR(DX$4="",$B27=""),0,SUMIF('DADOS BRUTOS'!$A$3:$A$500,$B27,'DADOS BRUTOS'!AX$3:AX$500)+IF($C27="",0,SUMIF('DADOS BRUTOS'!$A$3:$A$500,$C27,'DADOS BRUTOS'!AX$3:AX$500)))</f>
        <v>0</v>
      </c>
      <c r="DY27" s="133" t="n">
        <f aca="false">IF(OR(DY$4="",$B27=""),0,SUMIF('DADOS BRUTOS'!$A$3:$A$500,$B27,'DADOS BRUTOS'!AY$3:AY$500)+IF($C27="",0,SUMIF('DADOS BRUTOS'!$A$3:$A$500,$C27,'DADOS BRUTOS'!AY$3:AY$500)))</f>
        <v>0</v>
      </c>
      <c r="DZ27" s="133" t="n">
        <f aca="false">IF(OR(DZ$4="",$B27=""),0,SUMIF('DADOS BRUTOS'!$A$3:$A$500,$B27,'DADOS BRUTOS'!AZ$3:AZ$500)+IF($C27="",0,SUMIF('DADOS BRUTOS'!$A$3:$A$500,$C27,'DADOS BRUTOS'!AZ$3:AZ$500)))</f>
        <v>0</v>
      </c>
      <c r="EA27" s="133" t="n">
        <f aca="false">IF(OR(EA$4="",$B27=""),0,SUMIF('DADOS BRUTOS'!$A$3:$A$500,$B27,'DADOS BRUTOS'!BA$3:BA$500)+IF($C27="",0,SUMIF('DADOS BRUTOS'!$A$3:$A$500,$C27,'DADOS BRUTOS'!BA$3:BA$500)))</f>
        <v>0</v>
      </c>
      <c r="EB27" s="133" t="n">
        <f aca="false">IF(OR(EB$4="",$B27=""),0,SUMIF('DADOS BRUTOS'!$A$3:$A$500,$B27,'DADOS BRUTOS'!BB$3:BB$500)+IF($C27="",0,SUMIF('DADOS BRUTOS'!$A$3:$A$500,$C27,'DADOS BRUTOS'!BB$3:BB$500)))</f>
        <v>0</v>
      </c>
      <c r="EC27" s="133" t="n">
        <f aca="false">IF(OR(EC$4="",$B27=""),0,SUMIF('DADOS BRUTOS'!$A$3:$A$500,$B27,'DADOS BRUTOS'!BC$3:BC$500)+IF($C27="",0,SUMIF('DADOS BRUTOS'!$A$3:$A$500,$C27,'DADOS BRUTOS'!BC$3:BC$500)))</f>
        <v>0</v>
      </c>
      <c r="ED27" s="133" t="n">
        <f aca="false">IF(OR(ED$4="",$B27=""),0,SUMIF('DADOS BRUTOS'!$A$3:$A$500,$B27,'DADOS BRUTOS'!BD$3:BD$500)+IF($C27="",0,SUMIF('DADOS BRUTOS'!$A$3:$A$500,$C27,'DADOS BRUTOS'!BD$3:BD$500)))</f>
        <v>0</v>
      </c>
      <c r="EE27" s="133" t="n">
        <f aca="false">IF(OR(EE$4="",$B27=""),0,SUMIF('DADOS BRUTOS'!$A$3:$A$500,$B27,'DADOS BRUTOS'!BE$3:BE$500)+IF($C27="",0,SUMIF('DADOS BRUTOS'!$A$3:$A$500,$C27,'DADOS BRUTOS'!BE$3:BE$500)))</f>
        <v>0</v>
      </c>
      <c r="EF27" s="133" t="n">
        <f aca="false">IF(OR(EF$4="",$B27=""),0,SUMIF('DADOS BRUTOS'!$A$3:$A$500,$B27,'DADOS BRUTOS'!BF$3:BF$500)+IF($C27="",0,SUMIF('DADOS BRUTOS'!$A$3:$A$500,$C27,'DADOS BRUTOS'!BF$3:BF$500)))</f>
        <v>0</v>
      </c>
      <c r="EG27" s="133" t="n">
        <f aca="false">IF(OR(EG$4="",$B27=""),0,SUMIF('DADOS BRUTOS'!$A$3:$A$500,$B27,'DADOS BRUTOS'!BG$3:BG$500)+IF($C27="",0,SUMIF('DADOS BRUTOS'!$A$3:$A$500,$C27,'DADOS BRUTOS'!BG$3:BG$500)))</f>
        <v>0</v>
      </c>
      <c r="EH27" s="133" t="n">
        <f aca="false">IF(OR(EH$4="",$B27=""),0,SUMIF('DADOS BRUTOS'!$A$3:$A$500,$B27,'DADOS BRUTOS'!BH$3:BH$500)+IF($C27="",0,SUMIF('DADOS BRUTOS'!$A$3:$A$500,$C27,'DADOS BRUTOS'!BH$3:BH$500)))</f>
        <v>0</v>
      </c>
      <c r="EI27" s="133" t="n">
        <f aca="false">IF(OR(EI$4="",$B27=""),0,SUMIF('DADOS BRUTOS'!$A$3:$A$500,$B27,'DADOS BRUTOS'!BI$3:BI$500)+IF($C27="",0,SUMIF('DADOS BRUTOS'!$A$3:$A$500,$C27,'DADOS BRUTOS'!BI$3:BI$500)))</f>
        <v>0</v>
      </c>
      <c r="EJ27" s="133" t="n">
        <f aca="false">IF(OR(EJ$4="",$B27=""),0,SUMIF('DADOS BRUTOS'!$A$3:$A$500,$B27,'DADOS BRUTOS'!BJ$3:BJ$500)+IF($C27="",0,SUMIF('DADOS BRUTOS'!$A$3:$A$500,$C27,'DADOS BRUTOS'!BJ$3:BJ$500)))</f>
        <v>0</v>
      </c>
      <c r="EK27" s="133" t="n">
        <f aca="false">IF(OR(EK$4="",$B27=""),0,SUMIF('DADOS BRUTOS'!$A$3:$A$500,$B27,'DADOS BRUTOS'!BK$3:BK$500)+IF($C27="",0,SUMIF('DADOS BRUTOS'!$A$3:$A$500,$C27,'DADOS BRUTOS'!BK$3:BK$500)))</f>
        <v>0</v>
      </c>
      <c r="EL27" s="133" t="n">
        <f aca="false">IF(OR(EL$4="",$B27=""),0,SUMIF('DADOS BRUTOS'!$A$3:$A$500,$B27,'DADOS BRUTOS'!BL$3:BL$500)+IF($C27="",0,SUMIF('DADOS BRUTOS'!$A$3:$A$500,$C27,'DADOS BRUTOS'!BL$3:BL$500)))</f>
        <v>0</v>
      </c>
      <c r="EM27" s="133" t="n">
        <f aca="false">IF(OR(EM$4="",$B27=""),0,SUMIF('DADOS BRUTOS'!$A$3:$A$500,$B27,'DADOS BRUTOS'!BM$3:BM$500)+IF($C27="",0,SUMIF('DADOS BRUTOS'!$A$3:$A$500,$C27,'DADOS BRUTOS'!BM$3:BM$500)))</f>
        <v>0</v>
      </c>
      <c r="EN27" s="133" t="n">
        <f aca="false">IF(OR(EN$4="",$B27=""),0,SUMIF('DADOS BRUTOS'!$A$3:$A$500,$B27,'DADOS BRUTOS'!BN$3:BN$500)+IF($C27="",0,SUMIF('DADOS BRUTOS'!$A$3:$A$500,$C27,'DADOS BRUTOS'!BN$3:BN$500)))</f>
        <v>0</v>
      </c>
      <c r="EO27" s="133" t="n">
        <f aca="false">IF(OR(EO$4="",$B27=""),0,SUMIF('DADOS BRUTOS'!$A$3:$A$500,$B27,'DADOS BRUTOS'!BO$3:BO$500)+IF($C27="",0,SUMIF('DADOS BRUTOS'!$A$3:$A$500,$C27,'DADOS BRUTOS'!BO$3:BO$500)))</f>
        <v>0</v>
      </c>
      <c r="EP27" s="133" t="n">
        <f aca="false">IF(OR(EP$4="",$B27=""),0,SUMIF('DADOS BRUTOS'!$A$3:$A$500,$B27,'DADOS BRUTOS'!BP$3:BP$500)+IF($C27="",0,SUMIF('DADOS BRUTOS'!$A$3:$A$500,$C27,'DADOS BRUTOS'!BP$3:BP$500)))</f>
        <v>0</v>
      </c>
      <c r="EQ27" s="133" t="n">
        <f aca="false">IF(OR(EQ$4="",$B27=""),0,SUMIF('DADOS BRUTOS'!$A$3:$A$500,$B27,'DADOS BRUTOS'!BQ$3:BQ$500)+IF($C27="",0,SUMIF('DADOS BRUTOS'!$A$3:$A$500,$C27,'DADOS BRUTOS'!BQ$3:BQ$500)))</f>
        <v>0</v>
      </c>
      <c r="ER27" s="133" t="n">
        <f aca="false">IF(OR(ER$4="",$B27=""),0,SUMIF('DADOS BRUTOS'!$A$3:$A$500,$B27,'DADOS BRUTOS'!BR$3:BR$500)+IF($C27="",0,SUMIF('DADOS BRUTOS'!$A$3:$A$500,$C27,'DADOS BRUTOS'!BR$3:BR$500)))</f>
        <v>0</v>
      </c>
      <c r="ES27" s="133" t="n">
        <f aca="false">IF(OR(ES$4="",$B27=""),0,SUMIF('DADOS BRUTOS'!$A$3:$A$500,$B27,'DADOS BRUTOS'!BS$3:BS$500)+IF($C27="",0,SUMIF('DADOS BRUTOS'!$A$3:$A$500,$C27,'DADOS BRUTOS'!BS$3:BS$500)))</f>
        <v>0</v>
      </c>
      <c r="ET27" s="133" t="n">
        <f aca="false">IF(OR(ET$4="",$B27=""),0,SUMIF('DADOS BRUTOS'!$A$3:$A$500,$B27,'DADOS BRUTOS'!BT$3:BT$500)+IF($C27="",0,SUMIF('DADOS BRUTOS'!$A$3:$A$500,$C27,'DADOS BRUTOS'!BT$3:BT$500)))</f>
        <v>0</v>
      </c>
      <c r="EU27" s="133" t="n">
        <f aca="false">IF(OR(EU$4="",$B27=""),0,SUMIF('DADOS BRUTOS'!$A$3:$A$500,$B27,'DADOS BRUTOS'!BU$3:BU$500)+IF($C27="",0,SUMIF('DADOS BRUTOS'!$A$3:$A$500,$C27,'DADOS BRUTOS'!BU$3:BU$500)))</f>
        <v>0</v>
      </c>
      <c r="EV27" s="133" t="n">
        <f aca="false">IF(OR(EV$4="",$B27=""),0,SUMIF('DADOS BRUTOS'!$A$3:$A$500,$B27,'DADOS BRUTOS'!BV$3:BV$500)+IF($C27="",0,SUMIF('DADOS BRUTOS'!$A$3:$A$500,$C27,'DADOS BRUTOS'!BV$3:BV$500)))</f>
        <v>0</v>
      </c>
      <c r="EW27" s="133" t="n">
        <f aca="false">IF(OR(EW$4="",$B27=""),0,SUMIF('DADOS BRUTOS'!$A$3:$A$500,$B27,'DADOS BRUTOS'!BW$3:BW$500)+IF($C27="",0,SUMIF('DADOS BRUTOS'!$A$3:$A$500,$C27,'DADOS BRUTOS'!BW$3:BW$500)))</f>
        <v>0</v>
      </c>
      <c r="EX27" s="133" t="n">
        <f aca="false">IF(OR(EX$4="",$B27=""),0,SUMIF('DADOS BRUTOS'!$A$3:$A$500,$B27,'DADOS BRUTOS'!BX$3:BX$500)+IF($C27="",0,SUMIF('DADOS BRUTOS'!$A$3:$A$500,$C27,'DADOS BRUTOS'!BX$3:BX$500)))</f>
        <v>0</v>
      </c>
      <c r="EY27" s="133" t="n">
        <f aca="false">IF(OR(EY$4="",$B27=""),0,SUMIF('DADOS BRUTOS'!$A$3:$A$500,$B27,'DADOS BRUTOS'!BY$3:BY$500)+IF($C27="",0,SUMIF('DADOS BRUTOS'!$A$3:$A$500,$C27,'DADOS BRUTOS'!BY$3:BY$500)))</f>
        <v>0</v>
      </c>
      <c r="EZ27" s="133" t="n">
        <f aca="false">IF(OR(EZ$4="",$B27=""),0,SUMIF('DADOS BRUTOS'!$A$3:$A$500,$B27,'DADOS BRUTOS'!BZ$3:BZ$500)+IF($C27="",0,SUMIF('DADOS BRUTOS'!$A$3:$A$500,$C27,'DADOS BRUTOS'!BZ$3:BZ$500)))</f>
        <v>0</v>
      </c>
      <c r="FA27" s="133" t="n">
        <f aca="false">IF(OR(FA$4="",$B27=""),0,SUMIF('DADOS BRUTOS'!$A$3:$A$500,$B27,'DADOS BRUTOS'!CA$3:CA$500)+IF($C27="",0,SUMIF('DADOS BRUTOS'!$A$3:$A$500,$C27,'DADOS BRUTOS'!CA$3:CA$500)))</f>
        <v>0</v>
      </c>
      <c r="FB27" s="133" t="n">
        <f aca="false">IF(OR(FB$4="",$B27=""),0,SUMIF('DADOS BRUTOS'!$A$3:$A$500,$B27,'DADOS BRUTOS'!CB$3:CB$500)+IF($C27="",0,SUMIF('DADOS BRUTOS'!$A$3:$A$500,$C27,'DADOS BRUTOS'!CB$3:CB$500)))</f>
        <v>0</v>
      </c>
      <c r="FC27" s="133" t="n">
        <f aca="false">IF(OR(FC$4="",$B27=""),0,SUMIF('DADOS BRUTOS'!$A$3:$A$500,$B27,'DADOS BRUTOS'!CC$3:CC$500)+IF($C27="",0,SUMIF('DADOS BRUTOS'!$A$3:$A$500,$C27,'DADOS BRUTOS'!CC$3:CC$500)))</f>
        <v>0</v>
      </c>
      <c r="FD27" s="133" t="n">
        <f aca="false">IF(OR(FD$4="",$B27=""),0,SUMIF('DADOS BRUTOS'!$A$3:$A$500,$B27,'DADOS BRUTOS'!CD$3:CD$500)+IF($C27="",0,SUMIF('DADOS BRUTOS'!$A$3:$A$500,$C27,'DADOS BRUTOS'!CD$3:CD$500)))</f>
        <v>0</v>
      </c>
      <c r="FE27" s="133" t="n">
        <f aca="false">IF(OR(FE$4="",$B27=""),0,SUMIF('DADOS BRUTOS'!$A$3:$A$500,$B27,'DADOS BRUTOS'!CE$3:CE$500)+IF($C27="",0,SUMIF('DADOS BRUTOS'!$A$3:$A$500,$C27,'DADOS BRUTOS'!CE$3:CE$500)))</f>
        <v>0</v>
      </c>
      <c r="FF27" s="133" t="n">
        <f aca="false">IF(OR(FF$4="",$B27=""),0,SUMIF('DADOS BRUTOS'!$A$3:$A$500,$B27,'DADOS BRUTOS'!CF$3:CF$500)+IF($C27="",0,SUMIF('DADOS BRUTOS'!$A$3:$A$500,$C27,'DADOS BRUTOS'!CF$3:CF$500)))</f>
        <v>0</v>
      </c>
      <c r="FG27" s="133" t="n">
        <f aca="false">IF(OR(FG$4="",$B27=""),0,SUMIF('DADOS BRUTOS'!$A$3:$A$500,$B27,'DADOS BRUTOS'!CG$3:CG$500)+IF($C27="",0,SUMIF('DADOS BRUTOS'!$A$3:$A$500,$C27,'DADOS BRUTOS'!CG$3:CG$500)))</f>
        <v>0</v>
      </c>
      <c r="FH27" s="133" t="n">
        <f aca="false">IF(OR(FH$4="",$B27=""),0,SUMIF('DADOS BRUTOS'!$A$3:$A$500,$B27,'DADOS BRUTOS'!CH$3:CH$500)+IF($C27="",0,SUMIF('DADOS BRUTOS'!$A$3:$A$500,$C27,'DADOS BRUTOS'!CH$3:CH$500)))</f>
        <v>0</v>
      </c>
      <c r="FI27" s="133" t="n">
        <f aca="false">IF(OR(FI$4="",$B27=""),0,SUMIF('DADOS BRUTOS'!$A$3:$A$500,$B27,'DADOS BRUTOS'!CI$3:CI$500)+IF($C27="",0,SUMIF('DADOS BRUTOS'!$A$3:$A$500,$C27,'DADOS BRUTOS'!CI$3:CI$500)))</f>
        <v>0</v>
      </c>
      <c r="FJ27" s="133" t="n">
        <f aca="false">IF(OR(FJ$4="",$B27=""),0,SUMIF('DADOS BRUTOS'!$A$3:$A$500,$B27,'DADOS BRUTOS'!CJ$3:CJ$500)+IF($C27="",0,SUMIF('DADOS BRUTOS'!$A$3:$A$500,$C27,'DADOS BRUTOS'!CJ$3:CJ$500)))</f>
        <v>0</v>
      </c>
      <c r="FK27" s="133" t="n">
        <f aca="false">IF(OR(FK$4="",$B27=""),0,SUMIF('DADOS BRUTOS'!$A$3:$A$500,$B27,'DADOS BRUTOS'!CK$3:CK$500)+IF($C27="",0,SUMIF('DADOS BRUTOS'!$A$3:$A$500,$C27,'DADOS BRUTOS'!CK$3:CK$500)))</f>
        <v>0</v>
      </c>
      <c r="FL27" s="133" t="n">
        <f aca="false">IF(OR(FL$4="",$B27=""),0,SUMIF('DADOS BRUTOS'!$A$3:$A$500,$B27,'DADOS BRUTOS'!CL$3:CL$500)+IF($C27="",0,SUMIF('DADOS BRUTOS'!$A$3:$A$500,$C27,'DADOS BRUTOS'!CL$3:CL$500)))</f>
        <v>0</v>
      </c>
      <c r="FM27" s="133" t="n">
        <f aca="false">IF(OR(FM$4="",$B27=""),0,SUMIF('DADOS BRUTOS'!$A$3:$A$500,$B27,'DADOS BRUTOS'!CM$3:CM$500)+IF($C27="",0,SUMIF('DADOS BRUTOS'!$A$3:$A$500,$C27,'DADOS BRUTOS'!CM$3:CM$500)))</f>
        <v>0</v>
      </c>
      <c r="FN27" s="133" t="n">
        <f aca="false">IF(OR(FN$4="",$B27=""),0,SUMIF('DADOS BRUTOS'!$A$3:$A$500,$B27,'DADOS BRUTOS'!CN$3:CN$500)+IF($C27="",0,SUMIF('DADOS BRUTOS'!$A$3:$A$500,$C27,'DADOS BRUTOS'!CN$3:CN$500)))</f>
        <v>0</v>
      </c>
      <c r="FO27" s="133" t="n">
        <f aca="false">IF(OR(FO$4="",$B27=""),0,SUMIF('DADOS BRUTOS'!$A$3:$A$500,$B27,'DADOS BRUTOS'!CO$3:CO$500)+IF($C27="",0,SUMIF('DADOS BRUTOS'!$A$3:$A$500,$C27,'DADOS BRUTOS'!CO$3:CO$500)))</f>
        <v>0</v>
      </c>
      <c r="FP27" s="133" t="n">
        <f aca="false">IF(OR(FP$4="",$B27=""),0,SUMIF('DADOS BRUTOS'!$A$3:$A$500,$B27,'DADOS BRUTOS'!CP$3:CP$500)+IF($C27="",0,SUMIF('DADOS BRUTOS'!$A$3:$A$500,$C27,'DADOS BRUTOS'!CP$3:CP$500)))</f>
        <v>0</v>
      </c>
      <c r="FQ27" s="133" t="n">
        <f aca="false">IF(OR(FQ$4="",$B27=""),0,SUMIF('DADOS BRUTOS'!$A$3:$A$500,$B27,'DADOS BRUTOS'!CQ$3:CQ$500)+IF($C27="",0,SUMIF('DADOS BRUTOS'!$A$3:$A$500,$C27,'DADOS BRUTOS'!CQ$3:CQ$500)))</f>
        <v>0</v>
      </c>
      <c r="FR27" s="133" t="n">
        <f aca="false">IF(OR(FR$4="",$B27=""),0,SUMIF('DADOS BRUTOS'!$A$3:$A$500,$B27,'DADOS BRUTOS'!CR$3:CR$500)+IF($C27="",0,SUMIF('DADOS BRUTOS'!$A$3:$A$500,$C27,'DADOS BRUTOS'!CR$3:CR$500)))</f>
        <v>0</v>
      </c>
      <c r="FS27" s="133" t="n">
        <f aca="false">IF(OR(FS$4="",$B27=""),0,SUMIF('DADOS BRUTOS'!$A$3:$A$500,$B27,'DADOS BRUTOS'!CS$3:CS$500)+IF($C27="",0,SUMIF('DADOS BRUTOS'!$A$3:$A$500,$C27,'DADOS BRUTOS'!CS$3:CS$500)))</f>
        <v>0</v>
      </c>
      <c r="FT27" s="133" t="n">
        <f aca="false">IF(OR(FT$4="",$B27=""),0,SUMIF('DADOS BRUTOS'!$A$3:$A$500,$B27,'DADOS BRUTOS'!CT$3:CT$500)+IF($C27="",0,SUMIF('DADOS BRUTOS'!$A$3:$A$500,$C27,'DADOS BRUTOS'!CT$3:CT$500)))</f>
        <v>0</v>
      </c>
      <c r="FU27" s="133" t="n">
        <f aca="false">IF(OR(FU$4="",$B27=""),0,SUMIF('DADOS BRUTOS'!$A$3:$A$500,$B27,'DADOS BRUTOS'!CU$3:CU$500)+IF($C27="",0,SUMIF('DADOS BRUTOS'!$A$3:$A$500,$C27,'DADOS BRUTOS'!CU$3:CU$500)))</f>
        <v>0</v>
      </c>
      <c r="FV27" s="133" t="n">
        <f aca="false">IF(OR(FV$4="",$B27=""),0,SUMIF('DADOS BRUTOS'!$A$3:$A$500,$B27,'DADOS BRUTOS'!CV$3:CV$500)+IF($C27="",0,SUMIF('DADOS BRUTOS'!$A$3:$A$500,$C27,'DADOS BRUTOS'!CV$3:CV$500)))</f>
        <v>0</v>
      </c>
      <c r="FW27" s="133" t="n">
        <f aca="false">IF(OR(FW$4="",$B27=""),0,SUMIF('DADOS BRUTOS'!$A$3:$A$500,$B27,'DADOS BRUTOS'!CW$3:CW$500)+IF($C27="",0,SUMIF('DADOS BRUTOS'!$A$3:$A$500,$C27,'DADOS BRUTOS'!CW$3:CW$500)))</f>
        <v>0</v>
      </c>
      <c r="FX27" s="133" t="n">
        <f aca="false">IF(OR(FX$4="",$B27=""),0,SUMIF('DADOS BRUTOS'!$A$3:$A$500,$B27,'DADOS BRUTOS'!CX$3:CX$500)+IF($C27="",0,SUMIF('DADOS BRUTOS'!$A$3:$A$500,$C27,'DADOS BRUTOS'!CX$3:CX$500)))</f>
        <v>0</v>
      </c>
      <c r="FY27" s="133" t="n">
        <f aca="false">IF(OR(FY$4="",$B27=""),0,SUMIF('DADOS BRUTOS'!$A$3:$A$500,$B27,'DADOS BRUTOS'!CY$3:CY$500)+IF($C27="",0,SUMIF('DADOS BRUTOS'!$A$3:$A$500,$C27,'DADOS BRUTOS'!CY$3:CY$500)))</f>
        <v>0</v>
      </c>
      <c r="FZ27" s="133" t="n">
        <f aca="false">IF(OR(FZ$4="",$B27=""),0,SUMIF('DADOS BRUTOS'!$A$3:$A$500,$B27,'DADOS BRUTOS'!CZ$3:CZ$500)+IF($C27="",0,SUMIF('DADOS BRUTOS'!$A$3:$A$500,$C27,'DADOS BRUTOS'!CZ$3:CZ$500)))</f>
        <v>0</v>
      </c>
      <c r="GA27" s="133" t="n">
        <f aca="false">IF(OR(GA$4="",$B27=""),0,SUMIF('DADOS BRUTOS'!$A$3:$A$500,$B27,'DADOS BRUTOS'!DA$3:DA$500)+IF($C27="",0,SUMIF('DADOS BRUTOS'!$A$3:$A$500,$C27,'DADOS BRUTOS'!DA$3:DA$500)))</f>
        <v>0</v>
      </c>
      <c r="GB27" s="133" t="n">
        <f aca="false">IF(OR(GB$4="",$B27=""),0,SUMIF('DADOS BRUTOS'!$A$3:$A$500,$B27,'DADOS BRUTOS'!DB$3:DB$500)+IF($C27="",0,SUMIF('DADOS BRUTOS'!$A$3:$A$500,$C27,'DADOS BRUTOS'!DB$3:DB$500)))</f>
        <v>0</v>
      </c>
      <c r="GC27" s="133" t="n">
        <f aca="false">IF(OR(GC$4="",$B27=""),0,SUMIF('DADOS BRUTOS'!$A$3:$A$500,$B27,'DADOS BRUTOS'!DC$3:DC$500)+IF($C27="",0,SUMIF('DADOS BRUTOS'!$A$3:$A$500,$C27,'DADOS BRUTOS'!DC$3:DC$500)))</f>
        <v>0</v>
      </c>
      <c r="GD27" s="133" t="n">
        <f aca="false">IF(OR(GD$4="",$B27=""),0,SUMIF('DADOS BRUTOS'!$A$3:$A$500,$B27,'DADOS BRUTOS'!DD$3:DD$500)+IF($C27="",0,SUMIF('DADOS BRUTOS'!$A$3:$A$500,$C27,'DADOS BRUTOS'!DD$3:DD$500)))</f>
        <v>0</v>
      </c>
      <c r="GE27" s="133" t="n">
        <f aca="false">IF(OR(GE$4="",$B27=""),0,SUMIF('DADOS BRUTOS'!$A$3:$A$500,$B27,'DADOS BRUTOS'!DE$3:DE$500)+IF($C27="",0,SUMIF('DADOS BRUTOS'!$A$3:$A$500,$C27,'DADOS BRUTOS'!DE$3:DE$500)))</f>
        <v>0</v>
      </c>
      <c r="GF27" s="133" t="n">
        <f aca="false">IF(OR(GF$4="",$B27=""),0,SUMIF('DADOS BRUTOS'!$A$3:$A$500,$B27,'DADOS BRUTOS'!DF$3:DF$500)+IF($C27="",0,SUMIF('DADOS BRUTOS'!$A$3:$A$500,$C27,'DADOS BRUTOS'!DF$3:DF$500)))</f>
        <v>0</v>
      </c>
      <c r="GG27" s="133" t="n">
        <f aca="false">IF(OR(GG$4="",$B27=""),0,SUMIF('DADOS BRUTOS'!$A$3:$A$500,$B27,'DADOS BRUTOS'!DG$3:DG$500)+IF($C27="",0,SUMIF('DADOS BRUTOS'!$A$3:$A$500,$C27,'DADOS BRUTOS'!DG$3:DG$500)))</f>
        <v>0</v>
      </c>
      <c r="GH27" s="133" t="n">
        <f aca="false">IF(OR(GH$4="",$B27=""),0,SUMIF('DADOS BRUTOS'!$A$3:$A$500,$B27,'DADOS BRUTOS'!DH$3:DH$500)+IF($C27="",0,SUMIF('DADOS BRUTOS'!$A$3:$A$500,$C27,'DADOS BRUTOS'!DH$3:DH$500)))</f>
        <v>0</v>
      </c>
      <c r="GI27" s="133" t="n">
        <f aca="false">IF(OR(GI$4="",$B27=""),0,SUMIF('DADOS BRUTOS'!$A$3:$A$500,$B27,'DADOS BRUTOS'!DI$3:DI$500)+IF($C27="",0,SUMIF('DADOS BRUTOS'!$A$3:$A$500,$C27,'DADOS BRUTOS'!DI$3:DI$500)))</f>
        <v>0</v>
      </c>
      <c r="GJ27" s="133" t="n">
        <f aca="false">IF(OR(GJ$4="",$B27=""),0,SUMIF('DADOS BRUTOS'!$A$3:$A$500,$B27,'DADOS BRUTOS'!DJ$3:DJ$500)+IF($C27="",0,SUMIF('DADOS BRUTOS'!$A$3:$A$500,$C27,'DADOS BRUTOS'!DJ$3:DJ$500)))</f>
        <v>0</v>
      </c>
      <c r="GK27" s="133" t="n">
        <f aca="false">IF(OR(GK$4="",$B27=""),0,SUMIF('DADOS BRUTOS'!$A$3:$A$500,$B27,'DADOS BRUTOS'!DK$3:DK$500)+IF($C27="",0,SUMIF('DADOS BRUTOS'!$A$3:$A$500,$C27,'DADOS BRUTOS'!DK$3:DK$500)))</f>
        <v>0</v>
      </c>
      <c r="GL27" s="133" t="n">
        <f aca="false">IF(OR(GL$4="",$B27=""),0,SUMIF('DADOS BRUTOS'!$A$3:$A$500,$B27,'DADOS BRUTOS'!DL$3:DL$500)+IF($C27="",0,SUMIF('DADOS BRUTOS'!$A$3:$A$500,$C27,'DADOS BRUTOS'!DL$3:DL$500)))</f>
        <v>0</v>
      </c>
      <c r="GM27" s="133" t="n">
        <f aca="false">IF(OR(GM$4="",$B27=""),0,SUMIF('DADOS BRUTOS'!$A$3:$A$500,$B27,'DADOS BRUTOS'!DM$3:DM$500)+IF($C27="",0,SUMIF('DADOS BRUTOS'!$A$3:$A$500,$C27,'DADOS BRUTOS'!DM$3:DM$500)))</f>
        <v>0</v>
      </c>
      <c r="GN27" s="133" t="n">
        <f aca="false">IF(OR(GN$4="",$B27=""),0,SUMIF('DADOS BRUTOS'!$A$3:$A$500,$B27,'DADOS BRUTOS'!DN$3:DN$500)+IF($C27="",0,SUMIF('DADOS BRUTOS'!$A$3:$A$500,$C27,'DADOS BRUTOS'!DN$3:DN$500)))</f>
        <v>0</v>
      </c>
      <c r="GO27" s="133" t="n">
        <f aca="false">IF(OR(GO$4="",$B27=""),0,SUMIF('DADOS BRUTOS'!$A$3:$A$500,$B27,'DADOS BRUTOS'!DO$3:DO$500)+IF($C27="",0,SUMIF('DADOS BRUTOS'!$A$3:$A$500,$C27,'DADOS BRUTOS'!DO$3:DO$500)))</f>
        <v>0</v>
      </c>
      <c r="GP27" s="133" t="n">
        <f aca="false">IF(OR(GP$4="",$B27=""),0,SUMIF('DADOS BRUTOS'!$A$3:$A$500,$B27,'DADOS BRUTOS'!DP$3:DP$500)+IF($C27="",0,SUMIF('DADOS BRUTOS'!$A$3:$A$500,$C27,'DADOS BRUTOS'!DP$3:DP$500)))</f>
        <v>0</v>
      </c>
      <c r="GQ27" s="133" t="n">
        <f aca="false">IF(OR(GQ$4="",$B27=""),0,SUMIF('DADOS BRUTOS'!$A$3:$A$500,$B27,'DADOS BRUTOS'!DQ$3:DQ$500)+IF($C27="",0,SUMIF('DADOS BRUTOS'!$A$3:$A$500,$C27,'DADOS BRUTOS'!DQ$3:DQ$500)))</f>
        <v>0</v>
      </c>
      <c r="GR27" s="133" t="n">
        <f aca="false">IF(OR(GR$4="",$B27=""),0,SUMIF('DADOS BRUTOS'!$A$3:$A$500,$B27,'DADOS BRUTOS'!DR$3:DR$500)+IF($C27="",0,SUMIF('DADOS BRUTOS'!$A$3:$A$500,$C27,'DADOS BRUTOS'!DR$3:DR$500)))</f>
        <v>0</v>
      </c>
      <c r="GS27" s="133" t="n">
        <f aca="false">IF(OR(GS$4="",$B27=""),0,SUMIF('DADOS BRUTOS'!$A$3:$A$500,$B27,'DADOS BRUTOS'!DS$3:DS$500)+IF($C27="",0,SUMIF('DADOS BRUTOS'!$A$3:$A$500,$C27,'DADOS BRUTOS'!DS$3:DS$500)))</f>
        <v>0</v>
      </c>
      <c r="GT27" s="133" t="n">
        <f aca="false">IF(OR(GT$4="",$B27=""),0,SUMIF('DADOS BRUTOS'!$A$3:$A$500,$B27,'DADOS BRUTOS'!DT$3:DT$500)+IF($C27="",0,SUMIF('DADOS BRUTOS'!$A$3:$A$500,$C27,'DADOS BRUTOS'!DT$3:DT$500)))</f>
        <v>0</v>
      </c>
      <c r="GU27" s="133" t="n">
        <f aca="false">IF(OR(GU$4="",$B27=""),0,SUMIF('DADOS BRUTOS'!$A$3:$A$500,$B27,'DADOS BRUTOS'!DU$3:DU$500)+IF($C27="",0,SUMIF('DADOS BRUTOS'!$A$3:$A$500,$C27,'DADOS BRUTOS'!DU$3:DU$500)))</f>
        <v>0</v>
      </c>
      <c r="GV27" s="133" t="n">
        <f aca="false">IF(OR(GV$4="",$B27=""),0,SUMIF('DADOS BRUTOS'!$A$3:$A$500,$B27,'DADOS BRUTOS'!DV$3:DV$500)+IF($C27="",0,SUMIF('DADOS BRUTOS'!$A$3:$A$500,$C27,'DADOS BRUTOS'!DV$3:DV$500)))</f>
        <v>0</v>
      </c>
      <c r="GW27" s="133" t="n">
        <f aca="false">IF(OR(GW$4="",$B27=""),0,SUMIF('DADOS BRUTOS'!$A$3:$A$500,$B27,'DADOS BRUTOS'!DW$3:DW$500)+IF($C27="",0,SUMIF('DADOS BRUTOS'!$A$3:$A$500,$C27,'DADOS BRUTOS'!DW$3:DW$500)))</f>
        <v>0</v>
      </c>
      <c r="GX27" s="133" t="n">
        <f aca="false">IF(OR(GX$4="",$B27=""),0,SUMIF('DADOS BRUTOS'!$A$3:$A$500,$B27,'DADOS BRUTOS'!DX$3:DX$500)+IF($C27="",0,SUMIF('DADOS BRUTOS'!$A$3:$A$500,$C27,'DADOS BRUTOS'!DX$3:DX$500)))</f>
        <v>0</v>
      </c>
      <c r="GY27" s="133" t="n">
        <f aca="false">IF(OR(GY$4="",$B27=""),0,SUMIF('DADOS BRUTOS'!$A$3:$A$500,$B27,'DADOS BRUTOS'!DY$3:DY$500)+IF($C27="",0,SUMIF('DADOS BRUTOS'!$A$3:$A$500,$C27,'DADOS BRUTOS'!DY$3:DY$500)))</f>
        <v>0</v>
      </c>
      <c r="GZ27" s="133" t="n">
        <f aca="false">IF(OR(GZ$4="",$B27=""),0,SUMIF('DADOS BRUTOS'!$A$3:$A$500,$B27,'DADOS BRUTOS'!DZ$3:DZ$500)+IF($C27="",0,SUMIF('DADOS BRUTOS'!$A$3:$A$500,$C27,'DADOS BRUTOS'!DZ$3:DZ$500)))</f>
        <v>0</v>
      </c>
      <c r="HA27" s="133" t="n">
        <f aca="false">IF(OR(HA$4="",$B27=""),0,SUMIF('DADOS BRUTOS'!$A$3:$A$500,$B27,'DADOS BRUTOS'!EA$3:EA$500)+IF($C27="",0,SUMIF('DADOS BRUTOS'!$A$3:$A$500,$C27,'DADOS BRUTOS'!EA$3:EA$500)))</f>
        <v>0</v>
      </c>
      <c r="HB27" s="133" t="n">
        <f aca="false">IF(OR(HB$4="",$B27=""),0,SUMIF('DADOS BRUTOS'!$A$3:$A$500,$B27,'DADOS BRUTOS'!EB$3:EB$500)+IF($C27="",0,SUMIF('DADOS BRUTOS'!$A$3:$A$500,$C27,'DADOS BRUTOS'!EB$3:EB$500)))</f>
        <v>0</v>
      </c>
      <c r="HC27" s="133" t="n">
        <f aca="false">IF(OR(HC$4="",$B27=""),0,SUMIF('DADOS BRUTOS'!$A$3:$A$500,$B27,'DADOS BRUTOS'!EC$3:EC$500)+IF($C27="",0,SUMIF('DADOS BRUTOS'!$A$3:$A$500,$C27,'DADOS BRUTOS'!EC$3:EC$500)))</f>
        <v>0</v>
      </c>
      <c r="HD27" s="133" t="n">
        <f aca="false">IF(OR(HD$4="",$B27=""),0,SUMIF('DADOS BRUTOS'!$A$3:$A$500,$B27,'DADOS BRUTOS'!ED$3:ED$500)+IF($C27="",0,SUMIF('DADOS BRUTOS'!$A$3:$A$500,$C27,'DADOS BRUTOS'!ED$3:ED$500)))</f>
        <v>0</v>
      </c>
      <c r="HE27" s="133" t="n">
        <f aca="false">IF(OR(HE$4="",$B27=""),0,SUMIF('DADOS BRUTOS'!$A$3:$A$500,$B27,'DADOS BRUTOS'!EE$3:EE$500)+IF($C27="",0,SUMIF('DADOS BRUTOS'!$A$3:$A$500,$C27,'DADOS BRUTOS'!EE$3:EE$500)))</f>
        <v>0</v>
      </c>
      <c r="HF27" s="133" t="n">
        <f aca="false">IF(OR(HF$4="",$B27=""),0,SUMIF('DADOS BRUTOS'!$A$3:$A$500,$B27,'DADOS BRUTOS'!EF$3:EF$500)+IF($C27="",0,SUMIF('DADOS BRUTOS'!$A$3:$A$500,$C27,'DADOS BRUTOS'!EF$3:EF$500)))</f>
        <v>0</v>
      </c>
      <c r="HG27" s="133" t="n">
        <f aca="false">IF(OR(HG$4="",$B27=""),0,SUMIF('DADOS BRUTOS'!$A$3:$A$500,$B27,'DADOS BRUTOS'!EG$3:EG$500)+IF($C27="",0,SUMIF('DADOS BRUTOS'!$A$3:$A$500,$C27,'DADOS BRUTOS'!EG$3:EG$500)))</f>
        <v>0</v>
      </c>
      <c r="HH27" s="133" t="n">
        <f aca="false">IF(OR(HH$4="",$B27=""),0,SUMIF('DADOS BRUTOS'!$A$3:$A$500,$B27,'DADOS BRUTOS'!EH$3:EH$500)+IF($C27="",0,SUMIF('DADOS BRUTOS'!$A$3:$A$500,$C27,'DADOS BRUTOS'!EH$3:EH$500)))</f>
        <v>0</v>
      </c>
      <c r="HI27" s="133" t="n">
        <f aca="false">IF(OR(HI$4="",$B27=""),0,SUMIF('DADOS BRUTOS'!$A$3:$A$500,$B27,'DADOS BRUTOS'!EI$3:EI$500)+IF($C27="",0,SUMIF('DADOS BRUTOS'!$A$3:$A$500,$C27,'DADOS BRUTOS'!EI$3:EI$500)))</f>
        <v>0</v>
      </c>
      <c r="HJ27" s="133" t="n">
        <f aca="false">IF(OR(HJ$4="",$B27=""),0,SUMIF('DADOS BRUTOS'!$A$3:$A$500,$B27,'DADOS BRUTOS'!EJ$3:EJ$500)+IF($C27="",0,SUMIF('DADOS BRUTOS'!$A$3:$A$500,$C27,'DADOS BRUTOS'!EJ$3:EJ$500)))</f>
        <v>0</v>
      </c>
      <c r="HK27" s="133" t="n">
        <f aca="false">IF(OR(HK$4="",$B27=""),0,SUMIF('DADOS BRUTOS'!$A$3:$A$500,$B27,'DADOS BRUTOS'!EK$3:EK$500)+IF($C27="",0,SUMIF('DADOS BRUTOS'!$A$3:$A$500,$C27,'DADOS BRUTOS'!EK$3:EK$500)))</f>
        <v>0</v>
      </c>
      <c r="HL27" s="133" t="n">
        <f aca="false">IF(OR(HL$4="",$B27=""),0,SUMIF('DADOS BRUTOS'!$A$3:$A$500,$B27,'DADOS BRUTOS'!EL$3:EL$500)+IF($C27="",0,SUMIF('DADOS BRUTOS'!$A$3:$A$500,$C27,'DADOS BRUTOS'!EL$3:EL$500)))</f>
        <v>0</v>
      </c>
      <c r="HM27" s="133" t="n">
        <f aca="false">IF(OR(HM$4="",$B27=""),0,SUMIF('DADOS BRUTOS'!$A$3:$A$500,$B27,'DADOS BRUTOS'!EM$3:EM$500)+IF($C27="",0,SUMIF('DADOS BRUTOS'!$A$3:$A$500,$C27,'DADOS BRUTOS'!EM$3:EM$500)))</f>
        <v>0</v>
      </c>
      <c r="HN27" s="133" t="n">
        <f aca="false">IF(OR(HN$4="",$B27=""),0,SUMIF('DADOS BRUTOS'!$A$3:$A$500,$B27,'DADOS BRUTOS'!EN$3:EN$500)+IF($C27="",0,SUMIF('DADOS BRUTOS'!$A$3:$A$500,$C27,'DADOS BRUTOS'!EN$3:EN$500)))</f>
        <v>0</v>
      </c>
      <c r="HO27" s="133" t="n">
        <f aca="false">IF(OR(HO$4="",$B27=""),0,SUMIF('DADOS BRUTOS'!$A$3:$A$500,$B27,'DADOS BRUTOS'!EO$3:EO$500)+IF($C27="",0,SUMIF('DADOS BRUTOS'!$A$3:$A$500,$C27,'DADOS BRUTOS'!EO$3:EO$500)))</f>
        <v>0</v>
      </c>
      <c r="HP27" s="133" t="n">
        <f aca="false">IF(OR(HP$4="",$B27=""),0,SUMIF('DADOS BRUTOS'!$A$3:$A$500,$B27,'DADOS BRUTOS'!EP$3:EP$500)+IF($C27="",0,SUMIF('DADOS BRUTOS'!$A$3:$A$500,$C27,'DADOS BRUTOS'!EP$3:EP$500)))</f>
        <v>0</v>
      </c>
      <c r="HQ27" s="133" t="n">
        <f aca="false">IF(OR(HQ$4="",$B27=""),0,SUMIF('DADOS BRUTOS'!$A$3:$A$500,$B27,'DADOS BRUTOS'!EQ$3:EQ$500)+IF($C27="",0,SUMIF('DADOS BRUTOS'!$A$3:$A$500,$C27,'DADOS BRUTOS'!EQ$3:EQ$500)))</f>
        <v>0</v>
      </c>
      <c r="HR27" s="133" t="n">
        <f aca="false">IF(OR(HR$4="",$B27=""),0,SUMIF('DADOS BRUTOS'!$A$3:$A$500,$B27,'DADOS BRUTOS'!ER$3:ER$500)+IF($C27="",0,SUMIF('DADOS BRUTOS'!$A$3:$A$500,$C27,'DADOS BRUTOS'!ER$3:ER$500)))</f>
        <v>0</v>
      </c>
      <c r="HS27" s="133" t="n">
        <f aca="false">IF(OR(HS$4="",$B27=""),0,SUMIF('DADOS BRUTOS'!$A$3:$A$500,$B27,'DADOS BRUTOS'!ES$3:ES$500)+IF($C27="",0,SUMIF('DADOS BRUTOS'!$A$3:$A$500,$C27,'DADOS BRUTOS'!ES$3:ES$500)))</f>
        <v>0</v>
      </c>
      <c r="HT27" s="133" t="n">
        <f aca="false">IF(OR(HT$4="",$B27=""),0,SUMIF('DADOS BRUTOS'!$A$3:$A$500,$B27,'DADOS BRUTOS'!ET$3:ET$500)+IF($C27="",0,SUMIF('DADOS BRUTOS'!$A$3:$A$500,$C27,'DADOS BRUTOS'!ET$3:ET$500)))</f>
        <v>0</v>
      </c>
      <c r="HU27" s="133" t="n">
        <f aca="false">IF(OR(HU$4="",$B27=""),0,SUMIF('DADOS BRUTOS'!$A$3:$A$500,$B27,'DADOS BRUTOS'!EU$3:EU$500)+IF($C27="",0,SUMIF('DADOS BRUTOS'!$A$3:$A$500,$C27,'DADOS BRUTOS'!EU$3:EU$500)))</f>
        <v>0</v>
      </c>
      <c r="HV27" s="133" t="n">
        <f aca="false">IF(OR(HV$4="",$B27=""),0,SUMIF('DADOS BRUTOS'!$A$3:$A$500,$B27,'DADOS BRUTOS'!EV$3:EV$500)+IF($C27="",0,SUMIF('DADOS BRUTOS'!$A$3:$A$500,$C27,'DADOS BRUTOS'!EV$3:EV$500)))</f>
        <v>0</v>
      </c>
      <c r="HW27" s="133" t="n">
        <f aca="false">IF(OR(HW$4="",$B27=""),0,SUMIF('DADOS BRUTOS'!$A$3:$A$500,$B27,'DADOS BRUTOS'!EW$3:EW$500)+IF($C27="",0,SUMIF('DADOS BRUTOS'!$A$3:$A$500,$C27,'DADOS BRUTOS'!EW$3:EW$500)))</f>
        <v>0</v>
      </c>
      <c r="HX27" s="133" t="n">
        <f aca="false">IF(OR(HX$4="",$B27=""),0,SUMIF('DADOS BRUTOS'!$A$3:$A$500,$B27,'DADOS BRUTOS'!EX$3:EX$500)+IF($C27="",0,SUMIF('DADOS BRUTOS'!$A$3:$A$500,$C27,'DADOS BRUTOS'!EX$3:EX$500)))</f>
        <v>0</v>
      </c>
      <c r="HY27" s="133" t="n">
        <f aca="false">IF(OR(HY$4="",$B27=""),0,SUMIF('DADOS BRUTOS'!$A$3:$A$500,$B27,'DADOS BRUTOS'!EY$3:EY$500)+IF($C27="",0,SUMIF('DADOS BRUTOS'!$A$3:$A$500,$C27,'DADOS BRUTOS'!EY$3:EY$500)))</f>
        <v>0</v>
      </c>
      <c r="HZ27" s="133" t="n">
        <f aca="false">IF(OR(HZ$4="",$B27=""),0,SUMIF('DADOS BRUTOS'!$A$3:$A$500,$B27,'DADOS BRUTOS'!EZ$3:EZ$500)+IF($C27="",0,SUMIF('DADOS BRUTOS'!$A$3:$A$500,$C27,'DADOS BRUTOS'!EZ$3:EZ$500)))</f>
        <v>0</v>
      </c>
      <c r="IA27" s="133" t="n">
        <f aca="false">IF(OR(IA$4="",$B27=""),0,SUMIF('DADOS BRUTOS'!$A$3:$A$500,$B27,'DADOS BRUTOS'!FA$3:FA$500)+IF($C27="",0,SUMIF('DADOS BRUTOS'!$A$3:$A$500,$C27,'DADOS BRUTOS'!FA$3:FA$500)))</f>
        <v>0</v>
      </c>
      <c r="IB27" s="133" t="n">
        <f aca="false">IF(OR(IB$4="",$B27=""),0,SUMIF('DADOS BRUTOS'!$A$3:$A$500,$B27,'DADOS BRUTOS'!FB$3:FB$500)+IF($C27="",0,SUMIF('DADOS BRUTOS'!$A$3:$A$500,$C27,'DADOS BRUTOS'!FB$3:FB$500)))</f>
        <v>0</v>
      </c>
      <c r="IC27" s="133" t="n">
        <f aca="false">IF(OR(IC$4="",$B27=""),0,SUMIF('DADOS BRUTOS'!$A$3:$A$500,$B27,'DADOS BRUTOS'!FC$3:FC$500)+IF($C27="",0,SUMIF('DADOS BRUTOS'!$A$3:$A$500,$C27,'DADOS BRUTOS'!FC$3:FC$500)))</f>
        <v>0</v>
      </c>
      <c r="ID27" s="133" t="n">
        <f aca="false">IF(OR(ID$4="",$B27=""),0,SUMIF('DADOS BRUTOS'!$A$3:$A$500,$B27,'DADOS BRUTOS'!FD$3:FD$500)+IF($C27="",0,SUMIF('DADOS BRUTOS'!$A$3:$A$500,$C27,'DADOS BRUTOS'!FD$3:FD$500)))</f>
        <v>0</v>
      </c>
      <c r="IE27" s="133" t="n">
        <f aca="false">IF(OR(IE$4="",$B27=""),0,SUMIF('DADOS BRUTOS'!$A$3:$A$500,$B27,'DADOS BRUTOS'!FE$3:FE$500)+IF($C27="",0,SUMIF('DADOS BRUTOS'!$A$3:$A$500,$C27,'DADOS BRUTOS'!FE$3:FE$500)))</f>
        <v>0</v>
      </c>
      <c r="IF27" s="133" t="n">
        <f aca="false">IF(OR(IF$4="",$B27=""),0,SUMIF('DADOS BRUTOS'!$A$3:$A$500,$B27,'DADOS BRUTOS'!FF$3:FF$500)+IF($C27="",0,SUMIF('DADOS BRUTOS'!$A$3:$A$500,$C27,'DADOS BRUTOS'!FF$3:FF$500)))</f>
        <v>0</v>
      </c>
      <c r="IG27" s="133" t="n">
        <f aca="false">IF(OR(IG$4="",$B27=""),0,SUMIF('DADOS BRUTOS'!$A$3:$A$500,$B27,'DADOS BRUTOS'!FG$3:FG$500)+IF($C27="",0,SUMIF('DADOS BRUTOS'!$A$3:$A$500,$C27,'DADOS BRUTOS'!FG$3:FG$500)))</f>
        <v>0</v>
      </c>
      <c r="IH27" s="133" t="n">
        <f aca="false">IF(OR(IH$4="",$B27=""),0,SUMIF('DADOS BRUTOS'!$A$3:$A$500,$B27,'DADOS BRUTOS'!FH$3:FH$500)+IF($C27="",0,SUMIF('DADOS BRUTOS'!$A$3:$A$500,$C27,'DADOS BRUTOS'!FH$3:FH$500)))</f>
        <v>0</v>
      </c>
      <c r="II27" s="133" t="n">
        <f aca="false">IF(OR(II$4="",$B27=""),0,SUMIF('DADOS BRUTOS'!$A$3:$A$500,$B27,'DADOS BRUTOS'!FI$3:FI$500)+IF($C27="",0,SUMIF('DADOS BRUTOS'!$A$3:$A$500,$C27,'DADOS BRUTOS'!FI$3:FI$500)))</f>
        <v>0</v>
      </c>
      <c r="IJ27" s="133" t="n">
        <f aca="false">IF(OR(IJ$4="",$B27=""),0,SUMIF('DADOS BRUTOS'!$A$3:$A$500,$B27,'DADOS BRUTOS'!FJ$3:FJ$500)+IF($C27="",0,SUMIF('DADOS BRUTOS'!$A$3:$A$500,$C27,'DADOS BRUTOS'!FJ$3:FJ$500)))</f>
        <v>0</v>
      </c>
      <c r="IK27" s="133" t="n">
        <f aca="false">IF(OR(IK$4="",$B27=""),0,SUMIF('DADOS BRUTOS'!$A$3:$A$500,$B27,'DADOS BRUTOS'!FK$3:FK$500)+IF($C27="",0,SUMIF('DADOS BRUTOS'!$A$3:$A$500,$C27,'DADOS BRUTOS'!FK$3:FK$500)))</f>
        <v>0</v>
      </c>
      <c r="IL27" s="133" t="n">
        <f aca="false">IF(OR(IL$4="",$B27=""),0,SUMIF('DADOS BRUTOS'!$A$3:$A$500,$B27,'DADOS BRUTOS'!FL$3:FL$500)+IF($C27="",0,SUMIF('DADOS BRUTOS'!$A$3:$A$500,$C27,'DADOS BRUTOS'!FL$3:FL$500)))</f>
        <v>0</v>
      </c>
      <c r="IM27" s="133" t="n">
        <f aca="false">IF(OR(IM$4="",$B27=""),0,SUMIF('DADOS BRUTOS'!$A$3:$A$500,$B27,'DADOS BRUTOS'!FM$3:FM$500)+IF($C27="",0,SUMIF('DADOS BRUTOS'!$A$3:$A$500,$C27,'DADOS BRUTOS'!FM$3:FM$500)))</f>
        <v>0</v>
      </c>
      <c r="IN27" s="133" t="n">
        <f aca="false">IF(OR(IN$4="",$B27=""),0,SUMIF('DADOS BRUTOS'!$A$3:$A$500,$B27,'DADOS BRUTOS'!FN$3:FN$500)+IF($C27="",0,SUMIF('DADOS BRUTOS'!$A$3:$A$500,$C27,'DADOS BRUTOS'!FN$3:FN$500)))</f>
        <v>0</v>
      </c>
      <c r="IO27" s="133" t="n">
        <f aca="false">IF(OR(IO$4="",$B27=""),0,SUMIF('DADOS BRUTOS'!$A$3:$A$500,$B27,'DADOS BRUTOS'!FO$3:FO$500)+IF($C27="",0,SUMIF('DADOS BRUTOS'!$A$3:$A$500,$C27,'DADOS BRUTOS'!FO$3:FO$500)))</f>
        <v>0</v>
      </c>
      <c r="IP27" s="133" t="n">
        <f aca="false">IF(OR(IP$4="",$B27=""),0,SUMIF('DADOS BRUTOS'!$A$3:$A$500,$B27,'DADOS BRUTOS'!FP$3:FP$500)+IF($C27="",0,SUMIF('DADOS BRUTOS'!$A$3:$A$500,$C27,'DADOS BRUTOS'!FP$3:FP$500)))</f>
        <v>0</v>
      </c>
      <c r="IQ27" s="133" t="n">
        <f aca="false">IF(OR(IQ$4="",$B27=""),0,SUMIF('DADOS BRUTOS'!$A$3:$A$500,$B27,'DADOS BRUTOS'!FQ$3:FQ$500)+IF($C27="",0,SUMIF('DADOS BRUTOS'!$A$3:$A$500,$C27,'DADOS BRUTOS'!FQ$3:FQ$500)))</f>
        <v>0</v>
      </c>
      <c r="IR27" s="133" t="n">
        <f aca="false">IF(OR(IR$4="",$B27=""),0,SUMIF('DADOS BRUTOS'!$A$3:$A$500,$B27,'DADOS BRUTOS'!FR$3:FR$500)+IF($C27="",0,SUMIF('DADOS BRUTOS'!$A$3:$A$500,$C27,'DADOS BRUTOS'!FR$3:FR$500)))</f>
        <v>0</v>
      </c>
      <c r="IS27" s="133" t="n">
        <f aca="false">IF(OR(IS$4="",$B27=""),0,SUMIF('DADOS BRUTOS'!$A$3:$A$500,$B27,'DADOS BRUTOS'!FS$3:FS$500)+IF($C27="",0,SUMIF('DADOS BRUTOS'!$A$3:$A$500,$C27,'DADOS BRUTOS'!FS$3:FS$500)))</f>
        <v>0</v>
      </c>
      <c r="IT27" s="133" t="n">
        <f aca="false">IF(OR(IT$4="",$B27=""),0,SUMIF('DADOS BRUTOS'!$A$3:$A$500,$B27,'DADOS BRUTOS'!FT$3:FT$500)+IF($C27="",0,SUMIF('DADOS BRUTOS'!$A$3:$A$500,$C27,'DADOS BRUTOS'!FT$3:FT$500)))</f>
        <v>0</v>
      </c>
      <c r="IU27" s="133" t="n">
        <f aca="false">IF(OR(IU$4="",$B27=""),0,SUMIF('DADOS BRUTOS'!$A$3:$A$500,$B27,'DADOS BRUTOS'!FU$3:FU$500)+IF($C27="",0,SUMIF('DADOS BRUTOS'!$A$3:$A$500,$C27,'DADOS BRUTOS'!FU$3:FU$500)))</f>
        <v>0</v>
      </c>
      <c r="IV27" s="133" t="n">
        <f aca="false">IF(OR(IV$4="",$B27=""),0,SUMIF('DADOS BRUTOS'!$A$3:$A$500,$B27,'DADOS BRUTOS'!FV$3:FV$500)+IF($C27="",0,SUMIF('DADOS BRUTOS'!$A$3:$A$500,$C27,'DADOS BRUTOS'!FV$3:FV$500)))</f>
        <v>0</v>
      </c>
      <c r="IW27" s="133" t="n">
        <f aca="false">IF(OR(IW$4="",$B27=""),0,SUMIF('DADOS BRUTOS'!$A$3:$A$500,$B27,'DADOS BRUTOS'!FW$3:FW$500)+IF($C27="",0,SUMIF('DADOS BRUTOS'!$A$3:$A$500,$C27,'DADOS BRUTOS'!FW$3:FW$500)))</f>
        <v>0</v>
      </c>
      <c r="IX27" s="133" t="n">
        <f aca="false">IF(OR(IX$4="",$B27=""),0,SUMIF('DADOS BRUTOS'!$A$3:$A$500,$B27,'DADOS BRUTOS'!FX$3:FX$500)+IF($C27="",0,SUMIF('DADOS BRUTOS'!$A$3:$A$500,$C27,'DADOS BRUTOS'!FX$3:FX$500)))</f>
        <v>0</v>
      </c>
      <c r="IY27" s="133" t="n">
        <f aca="false">IF(OR(IY$4="",$B27=""),0,SUMIF('DADOS BRUTOS'!$A$3:$A$500,$B27,'DADOS BRUTOS'!FY$3:FY$500)+IF($C27="",0,SUMIF('DADOS BRUTOS'!$A$3:$A$500,$C27,'DADOS BRUTOS'!FY$3:FY$500)))</f>
        <v>0</v>
      </c>
      <c r="IZ27" s="133" t="n">
        <f aca="false">IF(OR(IZ$4="",$B27=""),0,SUMIF('DADOS BRUTOS'!$A$3:$A$500,$B27,'DADOS BRUTOS'!FZ$3:FZ$500)+IF($C27="",0,SUMIF('DADOS BRUTOS'!$A$3:$A$500,$C27,'DADOS BRUTOS'!FZ$3:FZ$500)))</f>
        <v>0</v>
      </c>
      <c r="JA27" s="133" t="n">
        <f aca="false">IF(OR(JA$4="",$B27=""),0,SUMIF('DADOS BRUTOS'!$A$3:$A$500,$B27,'DADOS BRUTOS'!GA$3:GA$500)+IF($C27="",0,SUMIF('DADOS BRUTOS'!$A$3:$A$500,$C27,'DADOS BRUTOS'!GA$3:GA$500)))</f>
        <v>0</v>
      </c>
      <c r="JB27" s="133" t="n">
        <f aca="false">IF(OR(JB$4="",$B27=""),0,SUMIF('DADOS BRUTOS'!$A$3:$A$500,$B27,'DADOS BRUTOS'!GB$3:GB$500)+IF($C27="",0,SUMIF('DADOS BRUTOS'!$A$3:$A$500,$C27,'DADOS BRUTOS'!GB$3:GB$500)))</f>
        <v>0</v>
      </c>
      <c r="JC27" s="133" t="n">
        <f aca="false">IF(OR(JC$4="",$B27=""),0,SUMIF('DADOS BRUTOS'!$A$3:$A$500,$B27,'DADOS BRUTOS'!GC$3:GC$500)+IF($C27="",0,SUMIF('DADOS BRUTOS'!$A$3:$A$500,$C27,'DADOS BRUTOS'!GC$3:GC$500)))</f>
        <v>0</v>
      </c>
      <c r="JD27" s="133" t="n">
        <f aca="false">IF(OR(JD$4="",$B27=""),0,SUMIF('DADOS BRUTOS'!$A$3:$A$500,$B27,'DADOS BRUTOS'!GD$3:GD$500)+IF($C27="",0,SUMIF('DADOS BRUTOS'!$A$3:$A$500,$C27,'DADOS BRUTOS'!GD$3:GD$500)))</f>
        <v>0</v>
      </c>
      <c r="JE27" s="133" t="n">
        <f aca="false">IF(OR(JE$4="",$B27=""),0,SUMIF('DADOS BRUTOS'!$A$3:$A$500,$B27,'DADOS BRUTOS'!GE$3:GE$500)+IF($C27="",0,SUMIF('DADOS BRUTOS'!$A$3:$A$500,$C27,'DADOS BRUTOS'!GE$3:GE$500)))</f>
        <v>0</v>
      </c>
      <c r="JF27" s="133" t="n">
        <f aca="false">IF(OR(JF$4="",$B27=""),0,SUMIF('DADOS BRUTOS'!$A$3:$A$500,$B27,'DADOS BRUTOS'!GF$3:GF$500)+IF($C27="",0,SUMIF('DADOS BRUTOS'!$A$3:$A$500,$C27,'DADOS BRUTOS'!GF$3:GF$500)))</f>
        <v>0</v>
      </c>
      <c r="JG27" s="133" t="n">
        <f aca="false">IF(OR(JG$4="",$B27=""),0,SUMIF('DADOS BRUTOS'!$A$3:$A$500,$B27,'DADOS BRUTOS'!GG$3:GG$500)+IF($C27="",0,SUMIF('DADOS BRUTOS'!$A$3:$A$500,$C27,'DADOS BRUTOS'!GG$3:GG$500)))</f>
        <v>0</v>
      </c>
      <c r="JH27" s="133" t="n">
        <f aca="false">IF(OR(JH$4="",$B27=""),0,SUMIF('DADOS BRUTOS'!$A$3:$A$500,$B27,'DADOS BRUTOS'!GH$3:GH$500)+IF($C27="",0,SUMIF('DADOS BRUTOS'!$A$3:$A$500,$C27,'DADOS BRUTOS'!GH$3:GH$500)))</f>
        <v>0</v>
      </c>
      <c r="JI27" s="133" t="n">
        <f aca="false">IF(OR(JI$4="",$B27=""),0,SUMIF('DADOS BRUTOS'!$A$3:$A$500,$B27,'DADOS BRUTOS'!GI$3:GI$500)+IF($C27="",0,SUMIF('DADOS BRUTOS'!$A$3:$A$500,$C27,'DADOS BRUTOS'!GI$3:GI$500)))</f>
        <v>0</v>
      </c>
      <c r="JJ27" s="133" t="n">
        <f aca="false">IF(OR(JJ$4="",$B27=""),0,SUMIF('DADOS BRUTOS'!$A$3:$A$500,$B27,'DADOS BRUTOS'!GJ$3:GJ$500)+IF($C27="",0,SUMIF('DADOS BRUTOS'!$A$3:$A$500,$C27,'DADOS BRUTOS'!GJ$3:GJ$500)))</f>
        <v>0</v>
      </c>
      <c r="JK27" s="133" t="n">
        <f aca="false">IF(OR(JK$4="",$B27=""),0,SUMIF('DADOS BRUTOS'!$A$3:$A$500,$B27,'DADOS BRUTOS'!GK$3:GK$500)+IF($C27="",0,SUMIF('DADOS BRUTOS'!$A$3:$A$500,$C27,'DADOS BRUTOS'!GK$3:GK$500)))</f>
        <v>0</v>
      </c>
      <c r="JL27" s="133" t="n">
        <f aca="false">IF(OR(JL$4="",$B27=""),0,SUMIF('DADOS BRUTOS'!$A$3:$A$500,$B27,'DADOS BRUTOS'!GL$3:GL$500)+IF($C27="",0,SUMIF('DADOS BRUTOS'!$A$3:$A$500,$C27,'DADOS BRUTOS'!GL$3:GL$500)))</f>
        <v>0</v>
      </c>
      <c r="JM27" s="133" t="n">
        <f aca="false">IF(OR(JM$4="",$B27=""),0,SUMIF('DADOS BRUTOS'!$A$3:$A$500,$B27,'DADOS BRUTOS'!GM$3:GM$500)+IF($C27="",0,SUMIF('DADOS BRUTOS'!$A$3:$A$500,$C27,'DADOS BRUTOS'!GM$3:GM$500)))</f>
        <v>0</v>
      </c>
      <c r="JN27" s="133" t="n">
        <f aca="false">IF(OR(JN$4="",$B27=""),0,SUMIF('DADOS BRUTOS'!$A$3:$A$500,$B27,'DADOS BRUTOS'!GN$3:GN$500)+IF($C27="",0,SUMIF('DADOS BRUTOS'!$A$3:$A$500,$C27,'DADOS BRUTOS'!GN$3:GN$500)))</f>
        <v>0</v>
      </c>
      <c r="JO27" s="133" t="n">
        <f aca="false">IF(OR(JO$4="",$B27=""),0,SUMIF('DADOS BRUTOS'!$A$3:$A$500,$B27,'DADOS BRUTOS'!GO$3:GO$500)+IF($C27="",0,SUMIF('DADOS BRUTOS'!$A$3:$A$500,$C27,'DADOS BRUTOS'!GO$3:GO$500)))</f>
        <v>0</v>
      </c>
      <c r="JP27" s="133" t="n">
        <f aca="false">IF(OR(JP$4="",$B27=""),0,SUMIF('DADOS BRUTOS'!$A$3:$A$500,$B27,'DADOS BRUTOS'!GP$3:GP$500)+IF($C27="",0,SUMIF('DADOS BRUTOS'!$A$3:$A$500,$C27,'DADOS BRUTOS'!GP$3:GP$500)))</f>
        <v>0</v>
      </c>
      <c r="JQ27" s="133" t="n">
        <f aca="false">IF(OR(JQ$4="",$B27=""),0,SUMIF('DADOS BRUTOS'!$A$3:$A$500,$B27,'DADOS BRUTOS'!GQ$3:GQ$500)+IF($C27="",0,SUMIF('DADOS BRUTOS'!$A$3:$A$500,$C27,'DADOS BRUTOS'!GQ$3:GQ$500)))</f>
        <v>0</v>
      </c>
      <c r="JR27" s="133" t="n">
        <f aca="false">IF(OR(JR$4="",$B27=""),0,SUMIF('DADOS BRUTOS'!$A$3:$A$500,$B27,'DADOS BRUTOS'!GR$3:GR$500)+IF($C27="",0,SUMIF('DADOS BRUTOS'!$A$3:$A$500,$C27,'DADOS BRUTOS'!GR$3:GR$500)))</f>
        <v>0</v>
      </c>
      <c r="JS27" s="133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180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0</v>
      </c>
      <c r="W28" s="50" t="n">
        <f aca="false">SUMIF($CB$4:$JS$4,W$4,$CB28:$JS28)</f>
        <v>0</v>
      </c>
      <c r="X28" s="50" t="n">
        <f aca="false">SUMIF($CB$4:$JS$4,X$4,$CB28:$JS28)</f>
        <v>0</v>
      </c>
      <c r="Y28" s="50" t="n">
        <f aca="false">SUMIF($CB$4:$JS$4,Y$4,$CB28:$JS28)</f>
        <v>0</v>
      </c>
      <c r="Z28" s="50" t="n">
        <f aca="false">SUMIF($CB$4:$JS$4,Z$4,$CB28:$JS28)</f>
        <v>931.22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70.09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1001.31</v>
      </c>
      <c r="BZ28" s="45" t="n">
        <f aca="false">SUMPRODUCT(($CB$4:$JS$4&lt;&gt;"")*($CB$4:$JS$4&lt;=$D$4),$CB28:$JS28,$CB$1:$JS$1)</f>
        <v>0</v>
      </c>
      <c r="CB28" s="133" t="n">
        <f aca="false">IF(OR(CB$4="",$B28=""),0,SUMIF('DADOS BRUTOS'!$A$3:$A$500,$B28,'DADOS BRUTOS'!B$3:B$500)+IF($C28="",0,SUMIF('DADOS BRUTOS'!$A$3:$A$500,$C28,'DADOS BRUTOS'!B$3:B$500)))</f>
        <v>0</v>
      </c>
      <c r="CC28" s="133" t="n">
        <f aca="false">IF(OR(CC$4="",$B28=""),0,SUMIF('DADOS BRUTOS'!$A$3:$A$500,$B28,'DADOS BRUTOS'!C$3:C$500)+IF($C28="",0,SUMIF('DADOS BRUTOS'!$A$3:$A$500,$C28,'DADOS BRUTOS'!C$3:C$500)))</f>
        <v>0</v>
      </c>
      <c r="CD28" s="133" t="n">
        <f aca="false">IF(OR(CD$4="",$B28=""),0,SUMIF('DADOS BRUTOS'!$A$3:$A$500,$B28,'DADOS BRUTOS'!D$3:D$500)+IF($C28="",0,SUMIF('DADOS BRUTOS'!$A$3:$A$500,$C28,'DADOS BRUTOS'!D$3:D$500)))</f>
        <v>0</v>
      </c>
      <c r="CE28" s="133" t="n">
        <f aca="false">IF(OR(CE$4="",$B28=""),0,SUMIF('DADOS BRUTOS'!$A$3:$A$500,$B28,'DADOS BRUTOS'!E$3:E$500)+IF($C28="",0,SUMIF('DADOS BRUTOS'!$A$3:$A$500,$C28,'DADOS BRUTOS'!E$3:E$500)))</f>
        <v>0</v>
      </c>
      <c r="CF28" s="133" t="n">
        <f aca="false">IF(OR(CF$4="",$B28=""),0,SUMIF('DADOS BRUTOS'!$A$3:$A$500,$B28,'DADOS BRUTOS'!F$3:F$500)+IF($C28="",0,SUMIF('DADOS BRUTOS'!$A$3:$A$500,$C28,'DADOS BRUTOS'!F$3:F$500)))</f>
        <v>0</v>
      </c>
      <c r="CG28" s="133" t="n">
        <f aca="false">IF(OR(CG$4="",$B28=""),0,SUMIF('DADOS BRUTOS'!$A$3:$A$500,$B28,'DADOS BRUTOS'!G$3:G$500)+IF($C28="",0,SUMIF('DADOS BRUTOS'!$A$3:$A$500,$C28,'DADOS BRUTOS'!G$3:G$500)))</f>
        <v>0</v>
      </c>
      <c r="CH28" s="133" t="n">
        <f aca="false">IF(OR(CH$4="",$B28=""),0,SUMIF('DADOS BRUTOS'!$A$3:$A$500,$B28,'DADOS BRUTOS'!H$3:H$500)+IF($C28="",0,SUMIF('DADOS BRUTOS'!$A$3:$A$500,$C28,'DADOS BRUTOS'!H$3:H$500)))</f>
        <v>0</v>
      </c>
      <c r="CI28" s="133" t="n">
        <f aca="false">IF(OR(CI$4="",$B28=""),0,SUMIF('DADOS BRUTOS'!$A$3:$A$500,$B28,'DADOS BRUTOS'!I$3:I$500)+IF($C28="",0,SUMIF('DADOS BRUTOS'!$A$3:$A$500,$C28,'DADOS BRUTOS'!I$3:I$500)))</f>
        <v>0</v>
      </c>
      <c r="CJ28" s="133" t="n">
        <f aca="false">IF(OR(CJ$4="",$B28=""),0,SUMIF('DADOS BRUTOS'!$A$3:$A$500,$B28,'DADOS BRUTOS'!J$3:J$500)+IF($C28="",0,SUMIF('DADOS BRUTOS'!$A$3:$A$500,$C28,'DADOS BRUTOS'!J$3:J$500)))</f>
        <v>0</v>
      </c>
      <c r="CK28" s="133" t="n">
        <f aca="false">IF(OR(CK$4="",$B28=""),0,SUMIF('DADOS BRUTOS'!$A$3:$A$500,$B28,'DADOS BRUTOS'!K$3:K$500)+IF($C28="",0,SUMIF('DADOS BRUTOS'!$A$3:$A$500,$C28,'DADOS BRUTOS'!K$3:K$500)))</f>
        <v>0</v>
      </c>
      <c r="CL28" s="133" t="n">
        <f aca="false">IF(OR(CL$4="",$B28=""),0,SUMIF('DADOS BRUTOS'!$A$3:$A$500,$B28,'DADOS BRUTOS'!L$3:L$500)+IF($C28="",0,SUMIF('DADOS BRUTOS'!$A$3:$A$500,$C28,'DADOS BRUTOS'!L$3:L$500)))</f>
        <v>0</v>
      </c>
      <c r="CM28" s="133" t="n">
        <f aca="false">IF(OR(CM$4="",$B28=""),0,SUMIF('DADOS BRUTOS'!$A$3:$A$500,$B28,'DADOS BRUTOS'!M$3:M$500)+IF($C28="",0,SUMIF('DADOS BRUTOS'!$A$3:$A$500,$C28,'DADOS BRUTOS'!M$3:M$500)))</f>
        <v>0</v>
      </c>
      <c r="CN28" s="133" t="n">
        <f aca="false">IF(OR(CN$4="",$B28=""),0,SUMIF('DADOS BRUTOS'!$A$3:$A$500,$B28,'DADOS BRUTOS'!N$3:N$500)+IF($C28="",0,SUMIF('DADOS BRUTOS'!$A$3:$A$500,$C28,'DADOS BRUTOS'!N$3:N$500)))</f>
        <v>0</v>
      </c>
      <c r="CO28" s="133" t="n">
        <f aca="false">IF(OR(CO$4="",$B28=""),0,SUMIF('DADOS BRUTOS'!$A$3:$A$500,$B28,'DADOS BRUTOS'!O$3:O$500)+IF($C28="",0,SUMIF('DADOS BRUTOS'!$A$3:$A$500,$C28,'DADOS BRUTOS'!O$3:O$500)))</f>
        <v>0</v>
      </c>
      <c r="CP28" s="133" t="n">
        <f aca="false">IF(OR(CP$4="",$B28=""),0,SUMIF('DADOS BRUTOS'!$A$3:$A$500,$B28,'DADOS BRUTOS'!P$3:P$500)+IF($C28="",0,SUMIF('DADOS BRUTOS'!$A$3:$A$500,$C28,'DADOS BRUTOS'!P$3:P$500)))</f>
        <v>0</v>
      </c>
      <c r="CQ28" s="133" t="n">
        <f aca="false">IF(OR(CQ$4="",$B28=""),0,SUMIF('DADOS BRUTOS'!$A$3:$A$500,$B28,'DADOS BRUTOS'!Q$3:Q$500)+IF($C28="",0,SUMIF('DADOS BRUTOS'!$A$3:$A$500,$C28,'DADOS BRUTOS'!Q$3:Q$500)))</f>
        <v>0</v>
      </c>
      <c r="CR28" s="133" t="n">
        <f aca="false">IF(OR(CR$4="",$B28=""),0,SUMIF('DADOS BRUTOS'!$A$3:$A$500,$B28,'DADOS BRUTOS'!R$3:R$500)+IF($C28="",0,SUMIF('DADOS BRUTOS'!$A$3:$A$500,$C28,'DADOS BRUTOS'!R$3:R$500)))</f>
        <v>0</v>
      </c>
      <c r="CS28" s="133" t="n">
        <f aca="false">IF(OR(CS$4="",$B28=""),0,SUMIF('DADOS BRUTOS'!$A$3:$A$500,$B28,'DADOS BRUTOS'!S$3:S$500)+IF($C28="",0,SUMIF('DADOS BRUTOS'!$A$3:$A$500,$C28,'DADOS BRUTOS'!S$3:S$500)))</f>
        <v>0</v>
      </c>
      <c r="CT28" s="133" t="n">
        <f aca="false">IF(OR(CT$4="",$B28=""),0,SUMIF('DADOS BRUTOS'!$A$3:$A$500,$B28,'DADOS BRUTOS'!T$3:T$500)+IF($C28="",0,SUMIF('DADOS BRUTOS'!$A$3:$A$500,$C28,'DADOS BRUTOS'!T$3:T$500)))</f>
        <v>0</v>
      </c>
      <c r="CU28" s="133" t="n">
        <f aca="false">IF(OR(CU$4="",$B28=""),0,SUMIF('DADOS BRUTOS'!$A$3:$A$500,$B28,'DADOS BRUTOS'!U$3:U$500)+IF($C28="",0,SUMIF('DADOS BRUTOS'!$A$3:$A$500,$C28,'DADOS BRUTOS'!U$3:U$500)))</f>
        <v>0</v>
      </c>
      <c r="CV28" s="133" t="n">
        <f aca="false">IF(OR(CV$4="",$B28=""),0,SUMIF('DADOS BRUTOS'!$A$3:$A$500,$B28,'DADOS BRUTOS'!V$3:V$500)+IF($C28="",0,SUMIF('DADOS BRUTOS'!$A$3:$A$500,$C28,'DADOS BRUTOS'!V$3:V$500)))</f>
        <v>0</v>
      </c>
      <c r="CW28" s="133" t="n">
        <f aca="false">IF(OR(CW$4="",$B28=""),0,SUMIF('DADOS BRUTOS'!$A$3:$A$500,$B28,'DADOS BRUTOS'!W$3:W$500)+IF($C28="",0,SUMIF('DADOS BRUTOS'!$A$3:$A$500,$C28,'DADOS BRUTOS'!W$3:W$500)))</f>
        <v>0</v>
      </c>
      <c r="CX28" s="133" t="n">
        <f aca="false">IF(OR(CX$4="",$B28=""),0,SUMIF('DADOS BRUTOS'!$A$3:$A$500,$B28,'DADOS BRUTOS'!X$3:X$500)+IF($C28="",0,SUMIF('DADOS BRUTOS'!$A$3:$A$500,$C28,'DADOS BRUTOS'!X$3:X$500)))</f>
        <v>0</v>
      </c>
      <c r="CY28" s="133" t="n">
        <f aca="false">IF(OR(CY$4="",$B28=""),0,SUMIF('DADOS BRUTOS'!$A$3:$A$500,$B28,'DADOS BRUTOS'!Y$3:Y$500)+IF($C28="",0,SUMIF('DADOS BRUTOS'!$A$3:$A$500,$C28,'DADOS BRUTOS'!Y$3:Y$500)))</f>
        <v>0</v>
      </c>
      <c r="CZ28" s="133" t="n">
        <f aca="false">IF(OR(CZ$4="",$B28=""),0,SUMIF('DADOS BRUTOS'!$A$3:$A$500,$B28,'DADOS BRUTOS'!Z$3:Z$500)+IF($C28="",0,SUMIF('DADOS BRUTOS'!$A$3:$A$500,$C28,'DADOS BRUTOS'!Z$3:Z$500)))</f>
        <v>0</v>
      </c>
      <c r="DA28" s="133" t="n">
        <f aca="false">IF(OR(DA$4="",$B28=""),0,SUMIF('DADOS BRUTOS'!$A$3:$A$500,$B28,'DADOS BRUTOS'!AA$3:AA$500)+IF($C28="",0,SUMIF('DADOS BRUTOS'!$A$3:$A$500,$C28,'DADOS BRUTOS'!AA$3:AA$500)))</f>
        <v>0</v>
      </c>
      <c r="DB28" s="133" t="n">
        <f aca="false">IF(OR(DB$4="",$B28=""),0,SUMIF('DADOS BRUTOS'!$A$3:$A$500,$B28,'DADOS BRUTOS'!AB$3:AB$500)+IF($C28="",0,SUMIF('DADOS BRUTOS'!$A$3:$A$500,$C28,'DADOS BRUTOS'!AB$3:AB$500)))</f>
        <v>0</v>
      </c>
      <c r="DC28" s="133" t="n">
        <f aca="false">IF(OR(DC$4="",$B28=""),0,SUMIF('DADOS BRUTOS'!$A$3:$A$500,$B28,'DADOS BRUTOS'!AC$3:AC$500)+IF($C28="",0,SUMIF('DADOS BRUTOS'!$A$3:$A$500,$C28,'DADOS BRUTOS'!AC$3:AC$500)))</f>
        <v>0</v>
      </c>
      <c r="DD28" s="133" t="n">
        <f aca="false">IF(OR(DD$4="",$B28=""),0,SUMIF('DADOS BRUTOS'!$A$3:$A$500,$B28,'DADOS BRUTOS'!AD$3:AD$500)+IF($C28="",0,SUMIF('DADOS BRUTOS'!$A$3:$A$500,$C28,'DADOS BRUTOS'!AD$3:AD$500)))</f>
        <v>0</v>
      </c>
      <c r="DE28" s="133" t="n">
        <f aca="false">IF(OR(DE$4="",$B28=""),0,SUMIF('DADOS BRUTOS'!$A$3:$A$500,$B28,'DADOS BRUTOS'!AE$3:AE$500)+IF($C28="",0,SUMIF('DADOS BRUTOS'!$A$3:$A$500,$C28,'DADOS BRUTOS'!AE$3:AE$500)))</f>
        <v>0</v>
      </c>
      <c r="DF28" s="133" t="n">
        <f aca="false">IF(OR(DF$4="",$B28=""),0,SUMIF('DADOS BRUTOS'!$A$3:$A$500,$B28,'DADOS BRUTOS'!AF$3:AF$500)+IF($C28="",0,SUMIF('DADOS BRUTOS'!$A$3:$A$500,$C28,'DADOS BRUTOS'!AF$3:AF$500)))</f>
        <v>0</v>
      </c>
      <c r="DG28" s="133" t="n">
        <f aca="false">IF(OR(DG$4="",$B28=""),0,SUMIF('DADOS BRUTOS'!$A$3:$A$500,$B28,'DADOS BRUTOS'!AG$3:AG$500)+IF($C28="",0,SUMIF('DADOS BRUTOS'!$A$3:$A$500,$C28,'DADOS BRUTOS'!AG$3:AG$500)))</f>
        <v>0</v>
      </c>
      <c r="DH28" s="133" t="n">
        <f aca="false">IF(OR(DH$4="",$B28=""),0,SUMIF('DADOS BRUTOS'!$A$3:$A$500,$B28,'DADOS BRUTOS'!AH$3:AH$500)+IF($C28="",0,SUMIF('DADOS BRUTOS'!$A$3:$A$500,$C28,'DADOS BRUTOS'!AH$3:AH$500)))</f>
        <v>0</v>
      </c>
      <c r="DI28" s="133" t="n">
        <f aca="false">IF(OR(DI$4="",$B28=""),0,SUMIF('DADOS BRUTOS'!$A$3:$A$500,$B28,'DADOS BRUTOS'!AI$3:AI$500)+IF($C28="",0,SUMIF('DADOS BRUTOS'!$A$3:$A$500,$C28,'DADOS BRUTOS'!AI$3:AI$500)))</f>
        <v>0</v>
      </c>
      <c r="DJ28" s="133" t="n">
        <f aca="false">IF(OR(DJ$4="",$B28=""),0,SUMIF('DADOS BRUTOS'!$A$3:$A$500,$B28,'DADOS BRUTOS'!AJ$3:AJ$500)+IF($C28="",0,SUMIF('DADOS BRUTOS'!$A$3:$A$500,$C28,'DADOS BRUTOS'!AJ$3:AJ$500)))</f>
        <v>0</v>
      </c>
      <c r="DK28" s="133" t="n">
        <f aca="false">IF(OR(DK$4="",$B28=""),0,SUMIF('DADOS BRUTOS'!$A$3:$A$500,$B28,'DADOS BRUTOS'!AK$3:AK$500)+IF($C28="",0,SUMIF('DADOS BRUTOS'!$A$3:$A$500,$C28,'DADOS BRUTOS'!AK$3:AK$500)))</f>
        <v>0</v>
      </c>
      <c r="DL28" s="133" t="n">
        <f aca="false">IF(OR(DL$4="",$B28=""),0,SUMIF('DADOS BRUTOS'!$A$3:$A$500,$B28,'DADOS BRUTOS'!AL$3:AL$500)+IF($C28="",0,SUMIF('DADOS BRUTOS'!$A$3:$A$500,$C28,'DADOS BRUTOS'!AL$3:AL$500)))</f>
        <v>0</v>
      </c>
      <c r="DM28" s="133" t="n">
        <f aca="false">IF(OR(DM$4="",$B28=""),0,SUMIF('DADOS BRUTOS'!$A$3:$A$500,$B28,'DADOS BRUTOS'!AM$3:AM$500)+IF($C28="",0,SUMIF('DADOS BRUTOS'!$A$3:$A$500,$C28,'DADOS BRUTOS'!AM$3:AM$500)))</f>
        <v>0</v>
      </c>
      <c r="DN28" s="133" t="n">
        <f aca="false">IF(OR(DN$4="",$B28=""),0,SUMIF('DADOS BRUTOS'!$A$3:$A$500,$B28,'DADOS BRUTOS'!AN$3:AN$500)+IF($C28="",0,SUMIF('DADOS BRUTOS'!$A$3:$A$500,$C28,'DADOS BRUTOS'!AN$3:AN$500)))</f>
        <v>0</v>
      </c>
      <c r="DO28" s="133" t="n">
        <f aca="false">IF(OR(DO$4="",$B28=""),0,SUMIF('DADOS BRUTOS'!$A$3:$A$500,$B28,'DADOS BRUTOS'!AO$3:AO$500)+IF($C28="",0,SUMIF('DADOS BRUTOS'!$A$3:$A$500,$C28,'DADOS BRUTOS'!AO$3:AO$500)))</f>
        <v>0</v>
      </c>
      <c r="DP28" s="133" t="n">
        <f aca="false">IF(OR(DP$4="",$B28=""),0,SUMIF('DADOS BRUTOS'!$A$3:$A$500,$B28,'DADOS BRUTOS'!AP$3:AP$500)+IF($C28="",0,SUMIF('DADOS BRUTOS'!$A$3:$A$500,$C28,'DADOS BRUTOS'!AP$3:AP$500)))</f>
        <v>0</v>
      </c>
      <c r="DQ28" s="133" t="n">
        <f aca="false">IF(OR(DQ$4="",$B28=""),0,SUMIF('DADOS BRUTOS'!$A$3:$A$500,$B28,'DADOS BRUTOS'!AQ$3:AQ$500)+IF($C28="",0,SUMIF('DADOS BRUTOS'!$A$3:$A$500,$C28,'DADOS BRUTOS'!AQ$3:AQ$500)))</f>
        <v>0</v>
      </c>
      <c r="DR28" s="133" t="n">
        <f aca="false">IF(OR(DR$4="",$B28=""),0,SUMIF('DADOS BRUTOS'!$A$3:$A$500,$B28,'DADOS BRUTOS'!AR$3:AR$500)+IF($C28="",0,SUMIF('DADOS BRUTOS'!$A$3:$A$500,$C28,'DADOS BRUTOS'!AR$3:AR$500)))</f>
        <v>0</v>
      </c>
      <c r="DS28" s="133" t="n">
        <f aca="false">IF(OR(DS$4="",$B28=""),0,SUMIF('DADOS BRUTOS'!$A$3:$A$500,$B28,'DADOS BRUTOS'!AS$3:AS$500)+IF($C28="",0,SUMIF('DADOS BRUTOS'!$A$3:$A$500,$C28,'DADOS BRUTOS'!AS$3:AS$500)))</f>
        <v>0</v>
      </c>
      <c r="DT28" s="133" t="n">
        <f aca="false">IF(OR(DT$4="",$B28=""),0,SUMIF('DADOS BRUTOS'!$A$3:$A$500,$B28,'DADOS BRUTOS'!AT$3:AT$500)+IF($C28="",0,SUMIF('DADOS BRUTOS'!$A$3:$A$500,$C28,'DADOS BRUTOS'!AT$3:AT$500)))</f>
        <v>0</v>
      </c>
      <c r="DU28" s="133" t="n">
        <f aca="false">IF(OR(DU$4="",$B28=""),0,SUMIF('DADOS BRUTOS'!$A$3:$A$500,$B28,'DADOS BRUTOS'!AU$3:AU$500)+IF($C28="",0,SUMIF('DADOS BRUTOS'!$A$3:$A$500,$C28,'DADOS BRUTOS'!AU$3:AU$500)))</f>
        <v>0</v>
      </c>
      <c r="DV28" s="133" t="n">
        <f aca="false">IF(OR(DV$4="",$B28=""),0,SUMIF('DADOS BRUTOS'!$A$3:$A$500,$B28,'DADOS BRUTOS'!AV$3:AV$500)+IF($C28="",0,SUMIF('DADOS BRUTOS'!$A$3:$A$500,$C28,'DADOS BRUTOS'!AV$3:AV$500)))</f>
        <v>0</v>
      </c>
      <c r="DW28" s="133" t="n">
        <f aca="false">IF(OR(DW$4="",$B28=""),0,SUMIF('DADOS BRUTOS'!$A$3:$A$500,$B28,'DADOS BRUTOS'!AW$3:AW$500)+IF($C28="",0,SUMIF('DADOS BRUTOS'!$A$3:$A$500,$C28,'DADOS BRUTOS'!AW$3:AW$500)))</f>
        <v>0</v>
      </c>
      <c r="DX28" s="133" t="n">
        <f aca="false">IF(OR(DX$4="",$B28=""),0,SUMIF('DADOS BRUTOS'!$A$3:$A$500,$B28,'DADOS BRUTOS'!AX$3:AX$500)+IF($C28="",0,SUMIF('DADOS BRUTOS'!$A$3:$A$500,$C28,'DADOS BRUTOS'!AX$3:AX$500)))</f>
        <v>0</v>
      </c>
      <c r="DY28" s="133" t="n">
        <f aca="false">IF(OR(DY$4="",$B28=""),0,SUMIF('DADOS BRUTOS'!$A$3:$A$500,$B28,'DADOS BRUTOS'!AY$3:AY$500)+IF($C28="",0,SUMIF('DADOS BRUTOS'!$A$3:$A$500,$C28,'DADOS BRUTOS'!AY$3:AY$500)))</f>
        <v>0</v>
      </c>
      <c r="DZ28" s="133" t="n">
        <f aca="false">IF(OR(DZ$4="",$B28=""),0,SUMIF('DADOS BRUTOS'!$A$3:$A$500,$B28,'DADOS BRUTOS'!AZ$3:AZ$500)+IF($C28="",0,SUMIF('DADOS BRUTOS'!$A$3:$A$500,$C28,'DADOS BRUTOS'!AZ$3:AZ$500)))</f>
        <v>0</v>
      </c>
      <c r="EA28" s="133" t="n">
        <f aca="false">IF(OR(EA$4="",$B28=""),0,SUMIF('DADOS BRUTOS'!$A$3:$A$500,$B28,'DADOS BRUTOS'!BA$3:BA$500)+IF($C28="",0,SUMIF('DADOS BRUTOS'!$A$3:$A$500,$C28,'DADOS BRUTOS'!BA$3:BA$500)))</f>
        <v>0</v>
      </c>
      <c r="EB28" s="133" t="n">
        <f aca="false">IF(OR(EB$4="",$B28=""),0,SUMIF('DADOS BRUTOS'!$A$3:$A$500,$B28,'DADOS BRUTOS'!BB$3:BB$500)+IF($C28="",0,SUMIF('DADOS BRUTOS'!$A$3:$A$500,$C28,'DADOS BRUTOS'!BB$3:BB$500)))</f>
        <v>0</v>
      </c>
      <c r="EC28" s="133" t="n">
        <f aca="false">IF(OR(EC$4="",$B28=""),0,SUMIF('DADOS BRUTOS'!$A$3:$A$500,$B28,'DADOS BRUTOS'!BC$3:BC$500)+IF($C28="",0,SUMIF('DADOS BRUTOS'!$A$3:$A$500,$C28,'DADOS BRUTOS'!BC$3:BC$500)))</f>
        <v>0</v>
      </c>
      <c r="ED28" s="133" t="n">
        <f aca="false">IF(OR(ED$4="",$B28=""),0,SUMIF('DADOS BRUTOS'!$A$3:$A$500,$B28,'DADOS BRUTOS'!BD$3:BD$500)+IF($C28="",0,SUMIF('DADOS BRUTOS'!$A$3:$A$500,$C28,'DADOS BRUTOS'!BD$3:BD$500)))</f>
        <v>931.22</v>
      </c>
      <c r="EE28" s="133" t="n">
        <f aca="false">IF(OR(EE$4="",$B28=""),0,SUMIF('DADOS BRUTOS'!$A$3:$A$500,$B28,'DADOS BRUTOS'!BE$3:BE$500)+IF($C28="",0,SUMIF('DADOS BRUTOS'!$A$3:$A$500,$C28,'DADOS BRUTOS'!BE$3:BE$500)))</f>
        <v>0</v>
      </c>
      <c r="EF28" s="133" t="n">
        <f aca="false">IF(OR(EF$4="",$B28=""),0,SUMIF('DADOS BRUTOS'!$A$3:$A$500,$B28,'DADOS BRUTOS'!BF$3:BF$500)+IF($C28="",0,SUMIF('DADOS BRUTOS'!$A$3:$A$500,$C28,'DADOS BRUTOS'!BF$3:BF$500)))</f>
        <v>0</v>
      </c>
      <c r="EG28" s="133" t="n">
        <f aca="false">IF(OR(EG$4="",$B28=""),0,SUMIF('DADOS BRUTOS'!$A$3:$A$500,$B28,'DADOS BRUTOS'!BG$3:BG$500)+IF($C28="",0,SUMIF('DADOS BRUTOS'!$A$3:$A$500,$C28,'DADOS BRUTOS'!BG$3:BG$500)))</f>
        <v>0</v>
      </c>
      <c r="EH28" s="133" t="n">
        <f aca="false">IF(OR(EH$4="",$B28=""),0,SUMIF('DADOS BRUTOS'!$A$3:$A$500,$B28,'DADOS BRUTOS'!BH$3:BH$500)+IF($C28="",0,SUMIF('DADOS BRUTOS'!$A$3:$A$500,$C28,'DADOS BRUTOS'!BH$3:BH$500)))</f>
        <v>0</v>
      </c>
      <c r="EI28" s="133" t="n">
        <f aca="false">IF(OR(EI$4="",$B28=""),0,SUMIF('DADOS BRUTOS'!$A$3:$A$500,$B28,'DADOS BRUTOS'!BI$3:BI$500)+IF($C28="",0,SUMIF('DADOS BRUTOS'!$A$3:$A$500,$C28,'DADOS BRUTOS'!BI$3:BI$500)))</f>
        <v>0</v>
      </c>
      <c r="EJ28" s="133" t="n">
        <f aca="false">IF(OR(EJ$4="",$B28=""),0,SUMIF('DADOS BRUTOS'!$A$3:$A$500,$B28,'DADOS BRUTOS'!BJ$3:BJ$500)+IF($C28="",0,SUMIF('DADOS BRUTOS'!$A$3:$A$500,$C28,'DADOS BRUTOS'!BJ$3:BJ$500)))</f>
        <v>0</v>
      </c>
      <c r="EK28" s="133" t="n">
        <f aca="false">IF(OR(EK$4="",$B28=""),0,SUMIF('DADOS BRUTOS'!$A$3:$A$500,$B28,'DADOS BRUTOS'!BK$3:BK$500)+IF($C28="",0,SUMIF('DADOS BRUTOS'!$A$3:$A$500,$C28,'DADOS BRUTOS'!BK$3:BK$500)))</f>
        <v>0</v>
      </c>
      <c r="EL28" s="133" t="n">
        <f aca="false">IF(OR(EL$4="",$B28=""),0,SUMIF('DADOS BRUTOS'!$A$3:$A$500,$B28,'DADOS BRUTOS'!BL$3:BL$500)+IF($C28="",0,SUMIF('DADOS BRUTOS'!$A$3:$A$500,$C28,'DADOS BRUTOS'!BL$3:BL$500)))</f>
        <v>0</v>
      </c>
      <c r="EM28" s="133" t="n">
        <f aca="false">IF(OR(EM$4="",$B28=""),0,SUMIF('DADOS BRUTOS'!$A$3:$A$500,$B28,'DADOS BRUTOS'!BM$3:BM$500)+IF($C28="",0,SUMIF('DADOS BRUTOS'!$A$3:$A$500,$C28,'DADOS BRUTOS'!BM$3:BM$500)))</f>
        <v>0</v>
      </c>
      <c r="EN28" s="133" t="n">
        <f aca="false">IF(OR(EN$4="",$B28=""),0,SUMIF('DADOS BRUTOS'!$A$3:$A$500,$B28,'DADOS BRUTOS'!BN$3:BN$500)+IF($C28="",0,SUMIF('DADOS BRUTOS'!$A$3:$A$500,$C28,'DADOS BRUTOS'!BN$3:BN$500)))</f>
        <v>0</v>
      </c>
      <c r="EO28" s="133" t="n">
        <f aca="false">IF(OR(EO$4="",$B28=""),0,SUMIF('DADOS BRUTOS'!$A$3:$A$500,$B28,'DADOS BRUTOS'!BO$3:BO$500)+IF($C28="",0,SUMIF('DADOS BRUTOS'!$A$3:$A$500,$C28,'DADOS BRUTOS'!BO$3:BO$500)))</f>
        <v>0</v>
      </c>
      <c r="EP28" s="133" t="n">
        <f aca="false">IF(OR(EP$4="",$B28=""),0,SUMIF('DADOS BRUTOS'!$A$3:$A$500,$B28,'DADOS BRUTOS'!BP$3:BP$500)+IF($C28="",0,SUMIF('DADOS BRUTOS'!$A$3:$A$500,$C28,'DADOS BRUTOS'!BP$3:BP$500)))</f>
        <v>0</v>
      </c>
      <c r="EQ28" s="133" t="n">
        <f aca="false">IF(OR(EQ$4="",$B28=""),0,SUMIF('DADOS BRUTOS'!$A$3:$A$500,$B28,'DADOS BRUTOS'!BQ$3:BQ$500)+IF($C28="",0,SUMIF('DADOS BRUTOS'!$A$3:$A$500,$C28,'DADOS BRUTOS'!BQ$3:BQ$500)))</f>
        <v>0</v>
      </c>
      <c r="ER28" s="133" t="n">
        <f aca="false">IF(OR(ER$4="",$B28=""),0,SUMIF('DADOS BRUTOS'!$A$3:$A$500,$B28,'DADOS BRUTOS'!BR$3:BR$500)+IF($C28="",0,SUMIF('DADOS BRUTOS'!$A$3:$A$500,$C28,'DADOS BRUTOS'!BR$3:BR$500)))</f>
        <v>0</v>
      </c>
      <c r="ES28" s="133" t="n">
        <f aca="false">IF(OR(ES$4="",$B28=""),0,SUMIF('DADOS BRUTOS'!$A$3:$A$500,$B28,'DADOS BRUTOS'!BS$3:BS$500)+IF($C28="",0,SUMIF('DADOS BRUTOS'!$A$3:$A$500,$C28,'DADOS BRUTOS'!BS$3:BS$500)))</f>
        <v>0</v>
      </c>
      <c r="ET28" s="133" t="n">
        <f aca="false">IF(OR(ET$4="",$B28=""),0,SUMIF('DADOS BRUTOS'!$A$3:$A$500,$B28,'DADOS BRUTOS'!BT$3:BT$500)+IF($C28="",0,SUMIF('DADOS BRUTOS'!$A$3:$A$500,$C28,'DADOS BRUTOS'!BT$3:BT$500)))</f>
        <v>0</v>
      </c>
      <c r="EU28" s="133" t="n">
        <f aca="false">IF(OR(EU$4="",$B28=""),0,SUMIF('DADOS BRUTOS'!$A$3:$A$500,$B28,'DADOS BRUTOS'!BU$3:BU$500)+IF($C28="",0,SUMIF('DADOS BRUTOS'!$A$3:$A$500,$C28,'DADOS BRUTOS'!BU$3:BU$500)))</f>
        <v>0</v>
      </c>
      <c r="EV28" s="133" t="n">
        <f aca="false">IF(OR(EV$4="",$B28=""),0,SUMIF('DADOS BRUTOS'!$A$3:$A$500,$B28,'DADOS BRUTOS'!BV$3:BV$500)+IF($C28="",0,SUMIF('DADOS BRUTOS'!$A$3:$A$500,$C28,'DADOS BRUTOS'!BV$3:BV$500)))</f>
        <v>0</v>
      </c>
      <c r="EW28" s="133" t="n">
        <f aca="false">IF(OR(EW$4="",$B28=""),0,SUMIF('DADOS BRUTOS'!$A$3:$A$500,$B28,'DADOS BRUTOS'!BW$3:BW$500)+IF($C28="",0,SUMIF('DADOS BRUTOS'!$A$3:$A$500,$C28,'DADOS BRUTOS'!BW$3:BW$500)))</f>
        <v>70.09</v>
      </c>
      <c r="EX28" s="133" t="n">
        <f aca="false">IF(OR(EX$4="",$B28=""),0,SUMIF('DADOS BRUTOS'!$A$3:$A$500,$B28,'DADOS BRUTOS'!BX$3:BX$500)+IF($C28="",0,SUMIF('DADOS BRUTOS'!$A$3:$A$500,$C28,'DADOS BRUTOS'!BX$3:BX$500)))</f>
        <v>0</v>
      </c>
      <c r="EY28" s="133" t="n">
        <f aca="false">IF(OR(EY$4="",$B28=""),0,SUMIF('DADOS BRUTOS'!$A$3:$A$500,$B28,'DADOS BRUTOS'!BY$3:BY$500)+IF($C28="",0,SUMIF('DADOS BRUTOS'!$A$3:$A$500,$C28,'DADOS BRUTOS'!BY$3:BY$500)))</f>
        <v>0</v>
      </c>
      <c r="EZ28" s="133" t="n">
        <f aca="false">IF(OR(EZ$4="",$B28=""),0,SUMIF('DADOS BRUTOS'!$A$3:$A$500,$B28,'DADOS BRUTOS'!BZ$3:BZ$500)+IF($C28="",0,SUMIF('DADOS BRUTOS'!$A$3:$A$500,$C28,'DADOS BRUTOS'!BZ$3:BZ$500)))</f>
        <v>0</v>
      </c>
      <c r="FA28" s="133" t="n">
        <f aca="false">IF(OR(FA$4="",$B28=""),0,SUMIF('DADOS BRUTOS'!$A$3:$A$500,$B28,'DADOS BRUTOS'!CA$3:CA$500)+IF($C28="",0,SUMIF('DADOS BRUTOS'!$A$3:$A$500,$C28,'DADOS BRUTOS'!CA$3:CA$500)))</f>
        <v>0</v>
      </c>
      <c r="FB28" s="133" t="n">
        <f aca="false">IF(OR(FB$4="",$B28=""),0,SUMIF('DADOS BRUTOS'!$A$3:$A$500,$B28,'DADOS BRUTOS'!CB$3:CB$500)+IF($C28="",0,SUMIF('DADOS BRUTOS'!$A$3:$A$500,$C28,'DADOS BRUTOS'!CB$3:CB$500)))</f>
        <v>0</v>
      </c>
      <c r="FC28" s="133" t="n">
        <f aca="false">IF(OR(FC$4="",$B28=""),0,SUMIF('DADOS BRUTOS'!$A$3:$A$500,$B28,'DADOS BRUTOS'!CC$3:CC$500)+IF($C28="",0,SUMIF('DADOS BRUTOS'!$A$3:$A$500,$C28,'DADOS BRUTOS'!CC$3:CC$500)))</f>
        <v>0</v>
      </c>
      <c r="FD28" s="133" t="n">
        <f aca="false">IF(OR(FD$4="",$B28=""),0,SUMIF('DADOS BRUTOS'!$A$3:$A$500,$B28,'DADOS BRUTOS'!CD$3:CD$500)+IF($C28="",0,SUMIF('DADOS BRUTOS'!$A$3:$A$500,$C28,'DADOS BRUTOS'!CD$3:CD$500)))</f>
        <v>0</v>
      </c>
      <c r="FE28" s="133" t="n">
        <f aca="false">IF(OR(FE$4="",$B28=""),0,SUMIF('DADOS BRUTOS'!$A$3:$A$500,$B28,'DADOS BRUTOS'!CE$3:CE$500)+IF($C28="",0,SUMIF('DADOS BRUTOS'!$A$3:$A$500,$C28,'DADOS BRUTOS'!CE$3:CE$500)))</f>
        <v>0</v>
      </c>
      <c r="FF28" s="133" t="n">
        <f aca="false">IF(OR(FF$4="",$B28=""),0,SUMIF('DADOS BRUTOS'!$A$3:$A$500,$B28,'DADOS BRUTOS'!CF$3:CF$500)+IF($C28="",0,SUMIF('DADOS BRUTOS'!$A$3:$A$500,$C28,'DADOS BRUTOS'!CF$3:CF$500)))</f>
        <v>0</v>
      </c>
      <c r="FG28" s="133" t="n">
        <f aca="false">IF(OR(FG$4="",$B28=""),0,SUMIF('DADOS BRUTOS'!$A$3:$A$500,$B28,'DADOS BRUTOS'!CG$3:CG$500)+IF($C28="",0,SUMIF('DADOS BRUTOS'!$A$3:$A$500,$C28,'DADOS BRUTOS'!CG$3:CG$500)))</f>
        <v>0</v>
      </c>
      <c r="FH28" s="133" t="n">
        <f aca="false">IF(OR(FH$4="",$B28=""),0,SUMIF('DADOS BRUTOS'!$A$3:$A$500,$B28,'DADOS BRUTOS'!CH$3:CH$500)+IF($C28="",0,SUMIF('DADOS BRUTOS'!$A$3:$A$500,$C28,'DADOS BRUTOS'!CH$3:CH$500)))</f>
        <v>0</v>
      </c>
      <c r="FI28" s="133" t="n">
        <f aca="false">IF(OR(FI$4="",$B28=""),0,SUMIF('DADOS BRUTOS'!$A$3:$A$500,$B28,'DADOS BRUTOS'!CI$3:CI$500)+IF($C28="",0,SUMIF('DADOS BRUTOS'!$A$3:$A$500,$C28,'DADOS BRUTOS'!CI$3:CI$500)))</f>
        <v>0</v>
      </c>
      <c r="FJ28" s="133" t="n">
        <f aca="false">IF(OR(FJ$4="",$B28=""),0,SUMIF('DADOS BRUTOS'!$A$3:$A$500,$B28,'DADOS BRUTOS'!CJ$3:CJ$500)+IF($C28="",0,SUMIF('DADOS BRUTOS'!$A$3:$A$500,$C28,'DADOS BRUTOS'!CJ$3:CJ$500)))</f>
        <v>0</v>
      </c>
      <c r="FK28" s="133" t="n">
        <f aca="false">IF(OR(FK$4="",$B28=""),0,SUMIF('DADOS BRUTOS'!$A$3:$A$500,$B28,'DADOS BRUTOS'!CK$3:CK$500)+IF($C28="",0,SUMIF('DADOS BRUTOS'!$A$3:$A$500,$C28,'DADOS BRUTOS'!CK$3:CK$500)))</f>
        <v>0</v>
      </c>
      <c r="FL28" s="133" t="n">
        <f aca="false">IF(OR(FL$4="",$B28=""),0,SUMIF('DADOS BRUTOS'!$A$3:$A$500,$B28,'DADOS BRUTOS'!CL$3:CL$500)+IF($C28="",0,SUMIF('DADOS BRUTOS'!$A$3:$A$500,$C28,'DADOS BRUTOS'!CL$3:CL$500)))</f>
        <v>0</v>
      </c>
      <c r="FM28" s="133" t="n">
        <f aca="false">IF(OR(FM$4="",$B28=""),0,SUMIF('DADOS BRUTOS'!$A$3:$A$500,$B28,'DADOS BRUTOS'!CM$3:CM$500)+IF($C28="",0,SUMIF('DADOS BRUTOS'!$A$3:$A$500,$C28,'DADOS BRUTOS'!CM$3:CM$500)))</f>
        <v>0</v>
      </c>
      <c r="FN28" s="133" t="n">
        <f aca="false">IF(OR(FN$4="",$B28=""),0,SUMIF('DADOS BRUTOS'!$A$3:$A$500,$B28,'DADOS BRUTOS'!CN$3:CN$500)+IF($C28="",0,SUMIF('DADOS BRUTOS'!$A$3:$A$500,$C28,'DADOS BRUTOS'!CN$3:CN$500)))</f>
        <v>0</v>
      </c>
      <c r="FO28" s="133" t="n">
        <f aca="false">IF(OR(FO$4="",$B28=""),0,SUMIF('DADOS BRUTOS'!$A$3:$A$500,$B28,'DADOS BRUTOS'!CO$3:CO$500)+IF($C28="",0,SUMIF('DADOS BRUTOS'!$A$3:$A$500,$C28,'DADOS BRUTOS'!CO$3:CO$500)))</f>
        <v>0</v>
      </c>
      <c r="FP28" s="133" t="n">
        <f aca="false">IF(OR(FP$4="",$B28=""),0,SUMIF('DADOS BRUTOS'!$A$3:$A$500,$B28,'DADOS BRUTOS'!CP$3:CP$500)+IF($C28="",0,SUMIF('DADOS BRUTOS'!$A$3:$A$500,$C28,'DADOS BRUTOS'!CP$3:CP$500)))</f>
        <v>0</v>
      </c>
      <c r="FQ28" s="133" t="n">
        <f aca="false">IF(OR(FQ$4="",$B28=""),0,SUMIF('DADOS BRUTOS'!$A$3:$A$500,$B28,'DADOS BRUTOS'!CQ$3:CQ$500)+IF($C28="",0,SUMIF('DADOS BRUTOS'!$A$3:$A$500,$C28,'DADOS BRUTOS'!CQ$3:CQ$500)))</f>
        <v>0</v>
      </c>
      <c r="FR28" s="133" t="n">
        <f aca="false">IF(OR(FR$4="",$B28=""),0,SUMIF('DADOS BRUTOS'!$A$3:$A$500,$B28,'DADOS BRUTOS'!CR$3:CR$500)+IF($C28="",0,SUMIF('DADOS BRUTOS'!$A$3:$A$500,$C28,'DADOS BRUTOS'!CR$3:CR$500)))</f>
        <v>0</v>
      </c>
      <c r="FS28" s="133" t="n">
        <f aca="false">IF(OR(FS$4="",$B28=""),0,SUMIF('DADOS BRUTOS'!$A$3:$A$500,$B28,'DADOS BRUTOS'!CS$3:CS$500)+IF($C28="",0,SUMIF('DADOS BRUTOS'!$A$3:$A$500,$C28,'DADOS BRUTOS'!CS$3:CS$500)))</f>
        <v>0</v>
      </c>
      <c r="FT28" s="133" t="n">
        <f aca="false">IF(OR(FT$4="",$B28=""),0,SUMIF('DADOS BRUTOS'!$A$3:$A$500,$B28,'DADOS BRUTOS'!CT$3:CT$500)+IF($C28="",0,SUMIF('DADOS BRUTOS'!$A$3:$A$500,$C28,'DADOS BRUTOS'!CT$3:CT$500)))</f>
        <v>0</v>
      </c>
      <c r="FU28" s="133" t="n">
        <f aca="false">IF(OR(FU$4="",$B28=""),0,SUMIF('DADOS BRUTOS'!$A$3:$A$500,$B28,'DADOS BRUTOS'!CU$3:CU$500)+IF($C28="",0,SUMIF('DADOS BRUTOS'!$A$3:$A$500,$C28,'DADOS BRUTOS'!CU$3:CU$500)))</f>
        <v>0</v>
      </c>
      <c r="FV28" s="133" t="n">
        <f aca="false">IF(OR(FV$4="",$B28=""),0,SUMIF('DADOS BRUTOS'!$A$3:$A$500,$B28,'DADOS BRUTOS'!CV$3:CV$500)+IF($C28="",0,SUMIF('DADOS BRUTOS'!$A$3:$A$500,$C28,'DADOS BRUTOS'!CV$3:CV$500)))</f>
        <v>0</v>
      </c>
      <c r="FW28" s="133" t="n">
        <f aca="false">IF(OR(FW$4="",$B28=""),0,SUMIF('DADOS BRUTOS'!$A$3:$A$500,$B28,'DADOS BRUTOS'!CW$3:CW$500)+IF($C28="",0,SUMIF('DADOS BRUTOS'!$A$3:$A$500,$C28,'DADOS BRUTOS'!CW$3:CW$500)))</f>
        <v>0</v>
      </c>
      <c r="FX28" s="133" t="n">
        <f aca="false">IF(OR(FX$4="",$B28=""),0,SUMIF('DADOS BRUTOS'!$A$3:$A$500,$B28,'DADOS BRUTOS'!CX$3:CX$500)+IF($C28="",0,SUMIF('DADOS BRUTOS'!$A$3:$A$500,$C28,'DADOS BRUTOS'!CX$3:CX$500)))</f>
        <v>0</v>
      </c>
      <c r="FY28" s="133" t="n">
        <f aca="false">IF(OR(FY$4="",$B28=""),0,SUMIF('DADOS BRUTOS'!$A$3:$A$500,$B28,'DADOS BRUTOS'!CY$3:CY$500)+IF($C28="",0,SUMIF('DADOS BRUTOS'!$A$3:$A$500,$C28,'DADOS BRUTOS'!CY$3:CY$500)))</f>
        <v>0</v>
      </c>
      <c r="FZ28" s="133" t="n">
        <f aca="false">IF(OR(FZ$4="",$B28=""),0,SUMIF('DADOS BRUTOS'!$A$3:$A$500,$B28,'DADOS BRUTOS'!CZ$3:CZ$500)+IF($C28="",0,SUMIF('DADOS BRUTOS'!$A$3:$A$500,$C28,'DADOS BRUTOS'!CZ$3:CZ$500)))</f>
        <v>0</v>
      </c>
      <c r="GA28" s="133" t="n">
        <f aca="false">IF(OR(GA$4="",$B28=""),0,SUMIF('DADOS BRUTOS'!$A$3:$A$500,$B28,'DADOS BRUTOS'!DA$3:DA$500)+IF($C28="",0,SUMIF('DADOS BRUTOS'!$A$3:$A$500,$C28,'DADOS BRUTOS'!DA$3:DA$500)))</f>
        <v>0</v>
      </c>
      <c r="GB28" s="133" t="n">
        <f aca="false">IF(OR(GB$4="",$B28=""),0,SUMIF('DADOS BRUTOS'!$A$3:$A$500,$B28,'DADOS BRUTOS'!DB$3:DB$500)+IF($C28="",0,SUMIF('DADOS BRUTOS'!$A$3:$A$500,$C28,'DADOS BRUTOS'!DB$3:DB$500)))</f>
        <v>0</v>
      </c>
      <c r="GC28" s="133" t="n">
        <f aca="false">IF(OR(GC$4="",$B28=""),0,SUMIF('DADOS BRUTOS'!$A$3:$A$500,$B28,'DADOS BRUTOS'!DC$3:DC$500)+IF($C28="",0,SUMIF('DADOS BRUTOS'!$A$3:$A$500,$C28,'DADOS BRUTOS'!DC$3:DC$500)))</f>
        <v>0</v>
      </c>
      <c r="GD28" s="133" t="n">
        <f aca="false">IF(OR(GD$4="",$B28=""),0,SUMIF('DADOS BRUTOS'!$A$3:$A$500,$B28,'DADOS BRUTOS'!DD$3:DD$500)+IF($C28="",0,SUMIF('DADOS BRUTOS'!$A$3:$A$500,$C28,'DADOS BRUTOS'!DD$3:DD$500)))</f>
        <v>0</v>
      </c>
      <c r="GE28" s="133" t="n">
        <f aca="false">IF(OR(GE$4="",$B28=""),0,SUMIF('DADOS BRUTOS'!$A$3:$A$500,$B28,'DADOS BRUTOS'!DE$3:DE$500)+IF($C28="",0,SUMIF('DADOS BRUTOS'!$A$3:$A$500,$C28,'DADOS BRUTOS'!DE$3:DE$500)))</f>
        <v>0</v>
      </c>
      <c r="GF28" s="133" t="n">
        <f aca="false">IF(OR(GF$4="",$B28=""),0,SUMIF('DADOS BRUTOS'!$A$3:$A$500,$B28,'DADOS BRUTOS'!DF$3:DF$500)+IF($C28="",0,SUMIF('DADOS BRUTOS'!$A$3:$A$500,$C28,'DADOS BRUTOS'!DF$3:DF$500)))</f>
        <v>0</v>
      </c>
      <c r="GG28" s="133" t="n">
        <f aca="false">IF(OR(GG$4="",$B28=""),0,SUMIF('DADOS BRUTOS'!$A$3:$A$500,$B28,'DADOS BRUTOS'!DG$3:DG$500)+IF($C28="",0,SUMIF('DADOS BRUTOS'!$A$3:$A$500,$C28,'DADOS BRUTOS'!DG$3:DG$500)))</f>
        <v>0</v>
      </c>
      <c r="GH28" s="133" t="n">
        <f aca="false">IF(OR(GH$4="",$B28=""),0,SUMIF('DADOS BRUTOS'!$A$3:$A$500,$B28,'DADOS BRUTOS'!DH$3:DH$500)+IF($C28="",0,SUMIF('DADOS BRUTOS'!$A$3:$A$500,$C28,'DADOS BRUTOS'!DH$3:DH$500)))</f>
        <v>0</v>
      </c>
      <c r="GI28" s="133" t="n">
        <f aca="false">IF(OR(GI$4="",$B28=""),0,SUMIF('DADOS BRUTOS'!$A$3:$A$500,$B28,'DADOS BRUTOS'!DI$3:DI$500)+IF($C28="",0,SUMIF('DADOS BRUTOS'!$A$3:$A$500,$C28,'DADOS BRUTOS'!DI$3:DI$500)))</f>
        <v>0</v>
      </c>
      <c r="GJ28" s="133" t="n">
        <f aca="false">IF(OR(GJ$4="",$B28=""),0,SUMIF('DADOS BRUTOS'!$A$3:$A$500,$B28,'DADOS BRUTOS'!DJ$3:DJ$500)+IF($C28="",0,SUMIF('DADOS BRUTOS'!$A$3:$A$500,$C28,'DADOS BRUTOS'!DJ$3:DJ$500)))</f>
        <v>0</v>
      </c>
      <c r="GK28" s="133" t="n">
        <f aca="false">IF(OR(GK$4="",$B28=""),0,SUMIF('DADOS BRUTOS'!$A$3:$A$500,$B28,'DADOS BRUTOS'!DK$3:DK$500)+IF($C28="",0,SUMIF('DADOS BRUTOS'!$A$3:$A$500,$C28,'DADOS BRUTOS'!DK$3:DK$500)))</f>
        <v>0</v>
      </c>
      <c r="GL28" s="133" t="n">
        <f aca="false">IF(OR(GL$4="",$B28=""),0,SUMIF('DADOS BRUTOS'!$A$3:$A$500,$B28,'DADOS BRUTOS'!DL$3:DL$500)+IF($C28="",0,SUMIF('DADOS BRUTOS'!$A$3:$A$500,$C28,'DADOS BRUTOS'!DL$3:DL$500)))</f>
        <v>0</v>
      </c>
      <c r="GM28" s="133" t="n">
        <f aca="false">IF(OR(GM$4="",$B28=""),0,SUMIF('DADOS BRUTOS'!$A$3:$A$500,$B28,'DADOS BRUTOS'!DM$3:DM$500)+IF($C28="",0,SUMIF('DADOS BRUTOS'!$A$3:$A$500,$C28,'DADOS BRUTOS'!DM$3:DM$500)))</f>
        <v>0</v>
      </c>
      <c r="GN28" s="133" t="n">
        <f aca="false">IF(OR(GN$4="",$B28=""),0,SUMIF('DADOS BRUTOS'!$A$3:$A$500,$B28,'DADOS BRUTOS'!DN$3:DN$500)+IF($C28="",0,SUMIF('DADOS BRUTOS'!$A$3:$A$500,$C28,'DADOS BRUTOS'!DN$3:DN$500)))</f>
        <v>0</v>
      </c>
      <c r="GO28" s="133" t="n">
        <f aca="false">IF(OR(GO$4="",$B28=""),0,SUMIF('DADOS BRUTOS'!$A$3:$A$500,$B28,'DADOS BRUTOS'!DO$3:DO$500)+IF($C28="",0,SUMIF('DADOS BRUTOS'!$A$3:$A$500,$C28,'DADOS BRUTOS'!DO$3:DO$500)))</f>
        <v>0</v>
      </c>
      <c r="GP28" s="133" t="n">
        <f aca="false">IF(OR(GP$4="",$B28=""),0,SUMIF('DADOS BRUTOS'!$A$3:$A$500,$B28,'DADOS BRUTOS'!DP$3:DP$500)+IF($C28="",0,SUMIF('DADOS BRUTOS'!$A$3:$A$500,$C28,'DADOS BRUTOS'!DP$3:DP$500)))</f>
        <v>0</v>
      </c>
      <c r="GQ28" s="133" t="n">
        <f aca="false">IF(OR(GQ$4="",$B28=""),0,SUMIF('DADOS BRUTOS'!$A$3:$A$500,$B28,'DADOS BRUTOS'!DQ$3:DQ$500)+IF($C28="",0,SUMIF('DADOS BRUTOS'!$A$3:$A$500,$C28,'DADOS BRUTOS'!DQ$3:DQ$500)))</f>
        <v>0</v>
      </c>
      <c r="GR28" s="133" t="n">
        <f aca="false">IF(OR(GR$4="",$B28=""),0,SUMIF('DADOS BRUTOS'!$A$3:$A$500,$B28,'DADOS BRUTOS'!DR$3:DR$500)+IF($C28="",0,SUMIF('DADOS BRUTOS'!$A$3:$A$500,$C28,'DADOS BRUTOS'!DR$3:DR$500)))</f>
        <v>0</v>
      </c>
      <c r="GS28" s="133" t="n">
        <f aca="false">IF(OR(GS$4="",$B28=""),0,SUMIF('DADOS BRUTOS'!$A$3:$A$500,$B28,'DADOS BRUTOS'!DS$3:DS$500)+IF($C28="",0,SUMIF('DADOS BRUTOS'!$A$3:$A$500,$C28,'DADOS BRUTOS'!DS$3:DS$500)))</f>
        <v>0</v>
      </c>
      <c r="GT28" s="133" t="n">
        <f aca="false">IF(OR(GT$4="",$B28=""),0,SUMIF('DADOS BRUTOS'!$A$3:$A$500,$B28,'DADOS BRUTOS'!DT$3:DT$500)+IF($C28="",0,SUMIF('DADOS BRUTOS'!$A$3:$A$500,$C28,'DADOS BRUTOS'!DT$3:DT$500)))</f>
        <v>0</v>
      </c>
      <c r="GU28" s="133" t="n">
        <f aca="false">IF(OR(GU$4="",$B28=""),0,SUMIF('DADOS BRUTOS'!$A$3:$A$500,$B28,'DADOS BRUTOS'!DU$3:DU$500)+IF($C28="",0,SUMIF('DADOS BRUTOS'!$A$3:$A$500,$C28,'DADOS BRUTOS'!DU$3:DU$500)))</f>
        <v>0</v>
      </c>
      <c r="GV28" s="133" t="n">
        <f aca="false">IF(OR(GV$4="",$B28=""),0,SUMIF('DADOS BRUTOS'!$A$3:$A$500,$B28,'DADOS BRUTOS'!DV$3:DV$500)+IF($C28="",0,SUMIF('DADOS BRUTOS'!$A$3:$A$500,$C28,'DADOS BRUTOS'!DV$3:DV$500)))</f>
        <v>0</v>
      </c>
      <c r="GW28" s="133" t="n">
        <f aca="false">IF(OR(GW$4="",$B28=""),0,SUMIF('DADOS BRUTOS'!$A$3:$A$500,$B28,'DADOS BRUTOS'!DW$3:DW$500)+IF($C28="",0,SUMIF('DADOS BRUTOS'!$A$3:$A$500,$C28,'DADOS BRUTOS'!DW$3:DW$500)))</f>
        <v>0</v>
      </c>
      <c r="GX28" s="133" t="n">
        <f aca="false">IF(OR(GX$4="",$B28=""),0,SUMIF('DADOS BRUTOS'!$A$3:$A$500,$B28,'DADOS BRUTOS'!DX$3:DX$500)+IF($C28="",0,SUMIF('DADOS BRUTOS'!$A$3:$A$500,$C28,'DADOS BRUTOS'!DX$3:DX$500)))</f>
        <v>0</v>
      </c>
      <c r="GY28" s="133" t="n">
        <f aca="false">IF(OR(GY$4="",$B28=""),0,SUMIF('DADOS BRUTOS'!$A$3:$A$500,$B28,'DADOS BRUTOS'!DY$3:DY$500)+IF($C28="",0,SUMIF('DADOS BRUTOS'!$A$3:$A$500,$C28,'DADOS BRUTOS'!DY$3:DY$500)))</f>
        <v>0</v>
      </c>
      <c r="GZ28" s="133" t="n">
        <f aca="false">IF(OR(GZ$4="",$B28=""),0,SUMIF('DADOS BRUTOS'!$A$3:$A$500,$B28,'DADOS BRUTOS'!DZ$3:DZ$500)+IF($C28="",0,SUMIF('DADOS BRUTOS'!$A$3:$A$500,$C28,'DADOS BRUTOS'!DZ$3:DZ$500)))</f>
        <v>0</v>
      </c>
      <c r="HA28" s="133" t="n">
        <f aca="false">IF(OR(HA$4="",$B28=""),0,SUMIF('DADOS BRUTOS'!$A$3:$A$500,$B28,'DADOS BRUTOS'!EA$3:EA$500)+IF($C28="",0,SUMIF('DADOS BRUTOS'!$A$3:$A$500,$C28,'DADOS BRUTOS'!EA$3:EA$500)))</f>
        <v>0</v>
      </c>
      <c r="HB28" s="133" t="n">
        <f aca="false">IF(OR(HB$4="",$B28=""),0,SUMIF('DADOS BRUTOS'!$A$3:$A$500,$B28,'DADOS BRUTOS'!EB$3:EB$500)+IF($C28="",0,SUMIF('DADOS BRUTOS'!$A$3:$A$500,$C28,'DADOS BRUTOS'!EB$3:EB$500)))</f>
        <v>0</v>
      </c>
      <c r="HC28" s="133" t="n">
        <f aca="false">IF(OR(HC$4="",$B28=""),0,SUMIF('DADOS BRUTOS'!$A$3:$A$500,$B28,'DADOS BRUTOS'!EC$3:EC$500)+IF($C28="",0,SUMIF('DADOS BRUTOS'!$A$3:$A$500,$C28,'DADOS BRUTOS'!EC$3:EC$500)))</f>
        <v>0</v>
      </c>
      <c r="HD28" s="133" t="n">
        <f aca="false">IF(OR(HD$4="",$B28=""),0,SUMIF('DADOS BRUTOS'!$A$3:$A$500,$B28,'DADOS BRUTOS'!ED$3:ED$500)+IF($C28="",0,SUMIF('DADOS BRUTOS'!$A$3:$A$500,$C28,'DADOS BRUTOS'!ED$3:ED$500)))</f>
        <v>0</v>
      </c>
      <c r="HE28" s="133" t="n">
        <f aca="false">IF(OR(HE$4="",$B28=""),0,SUMIF('DADOS BRUTOS'!$A$3:$A$500,$B28,'DADOS BRUTOS'!EE$3:EE$500)+IF($C28="",0,SUMIF('DADOS BRUTOS'!$A$3:$A$500,$C28,'DADOS BRUTOS'!EE$3:EE$500)))</f>
        <v>0</v>
      </c>
      <c r="HF28" s="133" t="n">
        <f aca="false">IF(OR(HF$4="",$B28=""),0,SUMIF('DADOS BRUTOS'!$A$3:$A$500,$B28,'DADOS BRUTOS'!EF$3:EF$500)+IF($C28="",0,SUMIF('DADOS BRUTOS'!$A$3:$A$500,$C28,'DADOS BRUTOS'!EF$3:EF$500)))</f>
        <v>0</v>
      </c>
      <c r="HG28" s="133" t="n">
        <f aca="false">IF(OR(HG$4="",$B28=""),0,SUMIF('DADOS BRUTOS'!$A$3:$A$500,$B28,'DADOS BRUTOS'!EG$3:EG$500)+IF($C28="",0,SUMIF('DADOS BRUTOS'!$A$3:$A$500,$C28,'DADOS BRUTOS'!EG$3:EG$500)))</f>
        <v>0</v>
      </c>
      <c r="HH28" s="133" t="n">
        <f aca="false">IF(OR(HH$4="",$B28=""),0,SUMIF('DADOS BRUTOS'!$A$3:$A$500,$B28,'DADOS BRUTOS'!EH$3:EH$500)+IF($C28="",0,SUMIF('DADOS BRUTOS'!$A$3:$A$500,$C28,'DADOS BRUTOS'!EH$3:EH$500)))</f>
        <v>0</v>
      </c>
      <c r="HI28" s="133" t="n">
        <f aca="false">IF(OR(HI$4="",$B28=""),0,SUMIF('DADOS BRUTOS'!$A$3:$A$500,$B28,'DADOS BRUTOS'!EI$3:EI$500)+IF($C28="",0,SUMIF('DADOS BRUTOS'!$A$3:$A$500,$C28,'DADOS BRUTOS'!EI$3:EI$500)))</f>
        <v>0</v>
      </c>
      <c r="HJ28" s="133" t="n">
        <f aca="false">IF(OR(HJ$4="",$B28=""),0,SUMIF('DADOS BRUTOS'!$A$3:$A$500,$B28,'DADOS BRUTOS'!EJ$3:EJ$500)+IF($C28="",0,SUMIF('DADOS BRUTOS'!$A$3:$A$500,$C28,'DADOS BRUTOS'!EJ$3:EJ$500)))</f>
        <v>0</v>
      </c>
      <c r="HK28" s="133" t="n">
        <f aca="false">IF(OR(HK$4="",$B28=""),0,SUMIF('DADOS BRUTOS'!$A$3:$A$500,$B28,'DADOS BRUTOS'!EK$3:EK$500)+IF($C28="",0,SUMIF('DADOS BRUTOS'!$A$3:$A$500,$C28,'DADOS BRUTOS'!EK$3:EK$500)))</f>
        <v>0</v>
      </c>
      <c r="HL28" s="133" t="n">
        <f aca="false">IF(OR(HL$4="",$B28=""),0,SUMIF('DADOS BRUTOS'!$A$3:$A$500,$B28,'DADOS BRUTOS'!EL$3:EL$500)+IF($C28="",0,SUMIF('DADOS BRUTOS'!$A$3:$A$500,$C28,'DADOS BRUTOS'!EL$3:EL$500)))</f>
        <v>0</v>
      </c>
      <c r="HM28" s="133" t="n">
        <f aca="false">IF(OR(HM$4="",$B28=""),0,SUMIF('DADOS BRUTOS'!$A$3:$A$500,$B28,'DADOS BRUTOS'!EM$3:EM$500)+IF($C28="",0,SUMIF('DADOS BRUTOS'!$A$3:$A$500,$C28,'DADOS BRUTOS'!EM$3:EM$500)))</f>
        <v>0</v>
      </c>
      <c r="HN28" s="133" t="n">
        <f aca="false">IF(OR(HN$4="",$B28=""),0,SUMIF('DADOS BRUTOS'!$A$3:$A$500,$B28,'DADOS BRUTOS'!EN$3:EN$500)+IF($C28="",0,SUMIF('DADOS BRUTOS'!$A$3:$A$500,$C28,'DADOS BRUTOS'!EN$3:EN$500)))</f>
        <v>0</v>
      </c>
      <c r="HO28" s="133" t="n">
        <f aca="false">IF(OR(HO$4="",$B28=""),0,SUMIF('DADOS BRUTOS'!$A$3:$A$500,$B28,'DADOS BRUTOS'!EO$3:EO$500)+IF($C28="",0,SUMIF('DADOS BRUTOS'!$A$3:$A$500,$C28,'DADOS BRUTOS'!EO$3:EO$500)))</f>
        <v>0</v>
      </c>
      <c r="HP28" s="133" t="n">
        <f aca="false">IF(OR(HP$4="",$B28=""),0,SUMIF('DADOS BRUTOS'!$A$3:$A$500,$B28,'DADOS BRUTOS'!EP$3:EP$500)+IF($C28="",0,SUMIF('DADOS BRUTOS'!$A$3:$A$500,$C28,'DADOS BRUTOS'!EP$3:EP$500)))</f>
        <v>0</v>
      </c>
      <c r="HQ28" s="133" t="n">
        <f aca="false">IF(OR(HQ$4="",$B28=""),0,SUMIF('DADOS BRUTOS'!$A$3:$A$500,$B28,'DADOS BRUTOS'!EQ$3:EQ$500)+IF($C28="",0,SUMIF('DADOS BRUTOS'!$A$3:$A$500,$C28,'DADOS BRUTOS'!EQ$3:EQ$500)))</f>
        <v>0</v>
      </c>
      <c r="HR28" s="133" t="n">
        <f aca="false">IF(OR(HR$4="",$B28=""),0,SUMIF('DADOS BRUTOS'!$A$3:$A$500,$B28,'DADOS BRUTOS'!ER$3:ER$500)+IF($C28="",0,SUMIF('DADOS BRUTOS'!$A$3:$A$500,$C28,'DADOS BRUTOS'!ER$3:ER$500)))</f>
        <v>0</v>
      </c>
      <c r="HS28" s="133" t="n">
        <f aca="false">IF(OR(HS$4="",$B28=""),0,SUMIF('DADOS BRUTOS'!$A$3:$A$500,$B28,'DADOS BRUTOS'!ES$3:ES$500)+IF($C28="",0,SUMIF('DADOS BRUTOS'!$A$3:$A$500,$C28,'DADOS BRUTOS'!ES$3:ES$500)))</f>
        <v>0</v>
      </c>
      <c r="HT28" s="133" t="n">
        <f aca="false">IF(OR(HT$4="",$B28=""),0,SUMIF('DADOS BRUTOS'!$A$3:$A$500,$B28,'DADOS BRUTOS'!ET$3:ET$500)+IF($C28="",0,SUMIF('DADOS BRUTOS'!$A$3:$A$500,$C28,'DADOS BRUTOS'!ET$3:ET$500)))</f>
        <v>0</v>
      </c>
      <c r="HU28" s="133" t="n">
        <f aca="false">IF(OR(HU$4="",$B28=""),0,SUMIF('DADOS BRUTOS'!$A$3:$A$500,$B28,'DADOS BRUTOS'!EU$3:EU$500)+IF($C28="",0,SUMIF('DADOS BRUTOS'!$A$3:$A$500,$C28,'DADOS BRUTOS'!EU$3:EU$500)))</f>
        <v>0</v>
      </c>
      <c r="HV28" s="133" t="n">
        <f aca="false">IF(OR(HV$4="",$B28=""),0,SUMIF('DADOS BRUTOS'!$A$3:$A$500,$B28,'DADOS BRUTOS'!EV$3:EV$500)+IF($C28="",0,SUMIF('DADOS BRUTOS'!$A$3:$A$500,$C28,'DADOS BRUTOS'!EV$3:EV$500)))</f>
        <v>0</v>
      </c>
      <c r="HW28" s="133" t="n">
        <f aca="false">IF(OR(HW$4="",$B28=""),0,SUMIF('DADOS BRUTOS'!$A$3:$A$500,$B28,'DADOS BRUTOS'!EW$3:EW$500)+IF($C28="",0,SUMIF('DADOS BRUTOS'!$A$3:$A$500,$C28,'DADOS BRUTOS'!EW$3:EW$500)))</f>
        <v>0</v>
      </c>
      <c r="HX28" s="133" t="n">
        <f aca="false">IF(OR(HX$4="",$B28=""),0,SUMIF('DADOS BRUTOS'!$A$3:$A$500,$B28,'DADOS BRUTOS'!EX$3:EX$500)+IF($C28="",0,SUMIF('DADOS BRUTOS'!$A$3:$A$500,$C28,'DADOS BRUTOS'!EX$3:EX$500)))</f>
        <v>0</v>
      </c>
      <c r="HY28" s="133" t="n">
        <f aca="false">IF(OR(HY$4="",$B28=""),0,SUMIF('DADOS BRUTOS'!$A$3:$A$500,$B28,'DADOS BRUTOS'!EY$3:EY$500)+IF($C28="",0,SUMIF('DADOS BRUTOS'!$A$3:$A$500,$C28,'DADOS BRUTOS'!EY$3:EY$500)))</f>
        <v>0</v>
      </c>
      <c r="HZ28" s="133" t="n">
        <f aca="false">IF(OR(HZ$4="",$B28=""),0,SUMIF('DADOS BRUTOS'!$A$3:$A$500,$B28,'DADOS BRUTOS'!EZ$3:EZ$500)+IF($C28="",0,SUMIF('DADOS BRUTOS'!$A$3:$A$500,$C28,'DADOS BRUTOS'!EZ$3:EZ$500)))</f>
        <v>0</v>
      </c>
      <c r="IA28" s="133" t="n">
        <f aca="false">IF(OR(IA$4="",$B28=""),0,SUMIF('DADOS BRUTOS'!$A$3:$A$500,$B28,'DADOS BRUTOS'!FA$3:FA$500)+IF($C28="",0,SUMIF('DADOS BRUTOS'!$A$3:$A$500,$C28,'DADOS BRUTOS'!FA$3:FA$500)))</f>
        <v>0</v>
      </c>
      <c r="IB28" s="133" t="n">
        <f aca="false">IF(OR(IB$4="",$B28=""),0,SUMIF('DADOS BRUTOS'!$A$3:$A$500,$B28,'DADOS BRUTOS'!FB$3:FB$500)+IF($C28="",0,SUMIF('DADOS BRUTOS'!$A$3:$A$500,$C28,'DADOS BRUTOS'!FB$3:FB$500)))</f>
        <v>0</v>
      </c>
      <c r="IC28" s="133" t="n">
        <f aca="false">IF(OR(IC$4="",$B28=""),0,SUMIF('DADOS BRUTOS'!$A$3:$A$500,$B28,'DADOS BRUTOS'!FC$3:FC$500)+IF($C28="",0,SUMIF('DADOS BRUTOS'!$A$3:$A$500,$C28,'DADOS BRUTOS'!FC$3:FC$500)))</f>
        <v>0</v>
      </c>
      <c r="ID28" s="133" t="n">
        <f aca="false">IF(OR(ID$4="",$B28=""),0,SUMIF('DADOS BRUTOS'!$A$3:$A$500,$B28,'DADOS BRUTOS'!FD$3:FD$500)+IF($C28="",0,SUMIF('DADOS BRUTOS'!$A$3:$A$500,$C28,'DADOS BRUTOS'!FD$3:FD$500)))</f>
        <v>0</v>
      </c>
      <c r="IE28" s="133" t="n">
        <f aca="false">IF(OR(IE$4="",$B28=""),0,SUMIF('DADOS BRUTOS'!$A$3:$A$500,$B28,'DADOS BRUTOS'!FE$3:FE$500)+IF($C28="",0,SUMIF('DADOS BRUTOS'!$A$3:$A$500,$C28,'DADOS BRUTOS'!FE$3:FE$500)))</f>
        <v>0</v>
      </c>
      <c r="IF28" s="133" t="n">
        <f aca="false">IF(OR(IF$4="",$B28=""),0,SUMIF('DADOS BRUTOS'!$A$3:$A$500,$B28,'DADOS BRUTOS'!FF$3:FF$500)+IF($C28="",0,SUMIF('DADOS BRUTOS'!$A$3:$A$500,$C28,'DADOS BRUTOS'!FF$3:FF$500)))</f>
        <v>0</v>
      </c>
      <c r="IG28" s="133" t="n">
        <f aca="false">IF(OR(IG$4="",$B28=""),0,SUMIF('DADOS BRUTOS'!$A$3:$A$500,$B28,'DADOS BRUTOS'!FG$3:FG$500)+IF($C28="",0,SUMIF('DADOS BRUTOS'!$A$3:$A$500,$C28,'DADOS BRUTOS'!FG$3:FG$500)))</f>
        <v>0</v>
      </c>
      <c r="IH28" s="133" t="n">
        <f aca="false">IF(OR(IH$4="",$B28=""),0,SUMIF('DADOS BRUTOS'!$A$3:$A$500,$B28,'DADOS BRUTOS'!FH$3:FH$500)+IF($C28="",0,SUMIF('DADOS BRUTOS'!$A$3:$A$500,$C28,'DADOS BRUTOS'!FH$3:FH$500)))</f>
        <v>0</v>
      </c>
      <c r="II28" s="133" t="n">
        <f aca="false">IF(OR(II$4="",$B28=""),0,SUMIF('DADOS BRUTOS'!$A$3:$A$500,$B28,'DADOS BRUTOS'!FI$3:FI$500)+IF($C28="",0,SUMIF('DADOS BRUTOS'!$A$3:$A$500,$C28,'DADOS BRUTOS'!FI$3:FI$500)))</f>
        <v>0</v>
      </c>
      <c r="IJ28" s="133" t="n">
        <f aca="false">IF(OR(IJ$4="",$B28=""),0,SUMIF('DADOS BRUTOS'!$A$3:$A$500,$B28,'DADOS BRUTOS'!FJ$3:FJ$500)+IF($C28="",0,SUMIF('DADOS BRUTOS'!$A$3:$A$500,$C28,'DADOS BRUTOS'!FJ$3:FJ$500)))</f>
        <v>0</v>
      </c>
      <c r="IK28" s="133" t="n">
        <f aca="false">IF(OR(IK$4="",$B28=""),0,SUMIF('DADOS BRUTOS'!$A$3:$A$500,$B28,'DADOS BRUTOS'!FK$3:FK$500)+IF($C28="",0,SUMIF('DADOS BRUTOS'!$A$3:$A$500,$C28,'DADOS BRUTOS'!FK$3:FK$500)))</f>
        <v>0</v>
      </c>
      <c r="IL28" s="133" t="n">
        <f aca="false">IF(OR(IL$4="",$B28=""),0,SUMIF('DADOS BRUTOS'!$A$3:$A$500,$B28,'DADOS BRUTOS'!FL$3:FL$500)+IF($C28="",0,SUMIF('DADOS BRUTOS'!$A$3:$A$500,$C28,'DADOS BRUTOS'!FL$3:FL$500)))</f>
        <v>0</v>
      </c>
      <c r="IM28" s="133" t="n">
        <f aca="false">IF(OR(IM$4="",$B28=""),0,SUMIF('DADOS BRUTOS'!$A$3:$A$500,$B28,'DADOS BRUTOS'!FM$3:FM$500)+IF($C28="",0,SUMIF('DADOS BRUTOS'!$A$3:$A$500,$C28,'DADOS BRUTOS'!FM$3:FM$500)))</f>
        <v>0</v>
      </c>
      <c r="IN28" s="133" t="n">
        <f aca="false">IF(OR(IN$4="",$B28=""),0,SUMIF('DADOS BRUTOS'!$A$3:$A$500,$B28,'DADOS BRUTOS'!FN$3:FN$500)+IF($C28="",0,SUMIF('DADOS BRUTOS'!$A$3:$A$500,$C28,'DADOS BRUTOS'!FN$3:FN$500)))</f>
        <v>0</v>
      </c>
      <c r="IO28" s="133" t="n">
        <f aca="false">IF(OR(IO$4="",$B28=""),0,SUMIF('DADOS BRUTOS'!$A$3:$A$500,$B28,'DADOS BRUTOS'!FO$3:FO$500)+IF($C28="",0,SUMIF('DADOS BRUTOS'!$A$3:$A$500,$C28,'DADOS BRUTOS'!FO$3:FO$500)))</f>
        <v>0</v>
      </c>
      <c r="IP28" s="133" t="n">
        <f aca="false">IF(OR(IP$4="",$B28=""),0,SUMIF('DADOS BRUTOS'!$A$3:$A$500,$B28,'DADOS BRUTOS'!FP$3:FP$500)+IF($C28="",0,SUMIF('DADOS BRUTOS'!$A$3:$A$500,$C28,'DADOS BRUTOS'!FP$3:FP$500)))</f>
        <v>0</v>
      </c>
      <c r="IQ28" s="133" t="n">
        <f aca="false">IF(OR(IQ$4="",$B28=""),0,SUMIF('DADOS BRUTOS'!$A$3:$A$500,$B28,'DADOS BRUTOS'!FQ$3:FQ$500)+IF($C28="",0,SUMIF('DADOS BRUTOS'!$A$3:$A$500,$C28,'DADOS BRUTOS'!FQ$3:FQ$500)))</f>
        <v>0</v>
      </c>
      <c r="IR28" s="133" t="n">
        <f aca="false">IF(OR(IR$4="",$B28=""),0,SUMIF('DADOS BRUTOS'!$A$3:$A$500,$B28,'DADOS BRUTOS'!FR$3:FR$500)+IF($C28="",0,SUMIF('DADOS BRUTOS'!$A$3:$A$500,$C28,'DADOS BRUTOS'!FR$3:FR$500)))</f>
        <v>0</v>
      </c>
      <c r="IS28" s="133" t="n">
        <f aca="false">IF(OR(IS$4="",$B28=""),0,SUMIF('DADOS BRUTOS'!$A$3:$A$500,$B28,'DADOS BRUTOS'!FS$3:FS$500)+IF($C28="",0,SUMIF('DADOS BRUTOS'!$A$3:$A$500,$C28,'DADOS BRUTOS'!FS$3:FS$500)))</f>
        <v>0</v>
      </c>
      <c r="IT28" s="133" t="n">
        <f aca="false">IF(OR(IT$4="",$B28=""),0,SUMIF('DADOS BRUTOS'!$A$3:$A$500,$B28,'DADOS BRUTOS'!FT$3:FT$500)+IF($C28="",0,SUMIF('DADOS BRUTOS'!$A$3:$A$500,$C28,'DADOS BRUTOS'!FT$3:FT$500)))</f>
        <v>0</v>
      </c>
      <c r="IU28" s="133" t="n">
        <f aca="false">IF(OR(IU$4="",$B28=""),0,SUMIF('DADOS BRUTOS'!$A$3:$A$500,$B28,'DADOS BRUTOS'!FU$3:FU$500)+IF($C28="",0,SUMIF('DADOS BRUTOS'!$A$3:$A$500,$C28,'DADOS BRUTOS'!FU$3:FU$500)))</f>
        <v>0</v>
      </c>
      <c r="IV28" s="133" t="n">
        <f aca="false">IF(OR(IV$4="",$B28=""),0,SUMIF('DADOS BRUTOS'!$A$3:$A$500,$B28,'DADOS BRUTOS'!FV$3:FV$500)+IF($C28="",0,SUMIF('DADOS BRUTOS'!$A$3:$A$500,$C28,'DADOS BRUTOS'!FV$3:FV$500)))</f>
        <v>0</v>
      </c>
      <c r="IW28" s="133" t="n">
        <f aca="false">IF(OR(IW$4="",$B28=""),0,SUMIF('DADOS BRUTOS'!$A$3:$A$500,$B28,'DADOS BRUTOS'!FW$3:FW$500)+IF($C28="",0,SUMIF('DADOS BRUTOS'!$A$3:$A$500,$C28,'DADOS BRUTOS'!FW$3:FW$500)))</f>
        <v>0</v>
      </c>
      <c r="IX28" s="133" t="n">
        <f aca="false">IF(OR(IX$4="",$B28=""),0,SUMIF('DADOS BRUTOS'!$A$3:$A$500,$B28,'DADOS BRUTOS'!FX$3:FX$500)+IF($C28="",0,SUMIF('DADOS BRUTOS'!$A$3:$A$500,$C28,'DADOS BRUTOS'!FX$3:FX$500)))</f>
        <v>0</v>
      </c>
      <c r="IY28" s="133" t="n">
        <f aca="false">IF(OR(IY$4="",$B28=""),0,SUMIF('DADOS BRUTOS'!$A$3:$A$500,$B28,'DADOS BRUTOS'!FY$3:FY$500)+IF($C28="",0,SUMIF('DADOS BRUTOS'!$A$3:$A$500,$C28,'DADOS BRUTOS'!FY$3:FY$500)))</f>
        <v>0</v>
      </c>
      <c r="IZ28" s="133" t="n">
        <f aca="false">IF(OR(IZ$4="",$B28=""),0,SUMIF('DADOS BRUTOS'!$A$3:$A$500,$B28,'DADOS BRUTOS'!FZ$3:FZ$500)+IF($C28="",0,SUMIF('DADOS BRUTOS'!$A$3:$A$500,$C28,'DADOS BRUTOS'!FZ$3:FZ$500)))</f>
        <v>0</v>
      </c>
      <c r="JA28" s="133" t="n">
        <f aca="false">IF(OR(JA$4="",$B28=""),0,SUMIF('DADOS BRUTOS'!$A$3:$A$500,$B28,'DADOS BRUTOS'!GA$3:GA$500)+IF($C28="",0,SUMIF('DADOS BRUTOS'!$A$3:$A$500,$C28,'DADOS BRUTOS'!GA$3:GA$500)))</f>
        <v>0</v>
      </c>
      <c r="JB28" s="133" t="n">
        <f aca="false">IF(OR(JB$4="",$B28=""),0,SUMIF('DADOS BRUTOS'!$A$3:$A$500,$B28,'DADOS BRUTOS'!GB$3:GB$500)+IF($C28="",0,SUMIF('DADOS BRUTOS'!$A$3:$A$500,$C28,'DADOS BRUTOS'!GB$3:GB$500)))</f>
        <v>0</v>
      </c>
      <c r="JC28" s="133" t="n">
        <f aca="false">IF(OR(JC$4="",$B28=""),0,SUMIF('DADOS BRUTOS'!$A$3:$A$500,$B28,'DADOS BRUTOS'!GC$3:GC$500)+IF($C28="",0,SUMIF('DADOS BRUTOS'!$A$3:$A$500,$C28,'DADOS BRUTOS'!GC$3:GC$500)))</f>
        <v>0</v>
      </c>
      <c r="JD28" s="133" t="n">
        <f aca="false">IF(OR(JD$4="",$B28=""),0,SUMIF('DADOS BRUTOS'!$A$3:$A$500,$B28,'DADOS BRUTOS'!GD$3:GD$500)+IF($C28="",0,SUMIF('DADOS BRUTOS'!$A$3:$A$500,$C28,'DADOS BRUTOS'!GD$3:GD$500)))</f>
        <v>0</v>
      </c>
      <c r="JE28" s="133" t="n">
        <f aca="false">IF(OR(JE$4="",$B28=""),0,SUMIF('DADOS BRUTOS'!$A$3:$A$500,$B28,'DADOS BRUTOS'!GE$3:GE$500)+IF($C28="",0,SUMIF('DADOS BRUTOS'!$A$3:$A$500,$C28,'DADOS BRUTOS'!GE$3:GE$500)))</f>
        <v>0</v>
      </c>
      <c r="JF28" s="133" t="n">
        <f aca="false">IF(OR(JF$4="",$B28=""),0,SUMIF('DADOS BRUTOS'!$A$3:$A$500,$B28,'DADOS BRUTOS'!GF$3:GF$500)+IF($C28="",0,SUMIF('DADOS BRUTOS'!$A$3:$A$500,$C28,'DADOS BRUTOS'!GF$3:GF$500)))</f>
        <v>0</v>
      </c>
      <c r="JG28" s="133" t="n">
        <f aca="false">IF(OR(JG$4="",$B28=""),0,SUMIF('DADOS BRUTOS'!$A$3:$A$500,$B28,'DADOS BRUTOS'!GG$3:GG$500)+IF($C28="",0,SUMIF('DADOS BRUTOS'!$A$3:$A$500,$C28,'DADOS BRUTOS'!GG$3:GG$500)))</f>
        <v>0</v>
      </c>
      <c r="JH28" s="133" t="n">
        <f aca="false">IF(OR(JH$4="",$B28=""),0,SUMIF('DADOS BRUTOS'!$A$3:$A$500,$B28,'DADOS BRUTOS'!GH$3:GH$500)+IF($C28="",0,SUMIF('DADOS BRUTOS'!$A$3:$A$500,$C28,'DADOS BRUTOS'!GH$3:GH$500)))</f>
        <v>0</v>
      </c>
      <c r="JI28" s="133" t="n">
        <f aca="false">IF(OR(JI$4="",$B28=""),0,SUMIF('DADOS BRUTOS'!$A$3:$A$500,$B28,'DADOS BRUTOS'!GI$3:GI$500)+IF($C28="",0,SUMIF('DADOS BRUTOS'!$A$3:$A$500,$C28,'DADOS BRUTOS'!GI$3:GI$500)))</f>
        <v>0</v>
      </c>
      <c r="JJ28" s="133" t="n">
        <f aca="false">IF(OR(JJ$4="",$B28=""),0,SUMIF('DADOS BRUTOS'!$A$3:$A$500,$B28,'DADOS BRUTOS'!GJ$3:GJ$500)+IF($C28="",0,SUMIF('DADOS BRUTOS'!$A$3:$A$500,$C28,'DADOS BRUTOS'!GJ$3:GJ$500)))</f>
        <v>0</v>
      </c>
      <c r="JK28" s="133" t="n">
        <f aca="false">IF(OR(JK$4="",$B28=""),0,SUMIF('DADOS BRUTOS'!$A$3:$A$500,$B28,'DADOS BRUTOS'!GK$3:GK$500)+IF($C28="",0,SUMIF('DADOS BRUTOS'!$A$3:$A$500,$C28,'DADOS BRUTOS'!GK$3:GK$500)))</f>
        <v>0</v>
      </c>
      <c r="JL28" s="133" t="n">
        <f aca="false">IF(OR(JL$4="",$B28=""),0,SUMIF('DADOS BRUTOS'!$A$3:$A$500,$B28,'DADOS BRUTOS'!GL$3:GL$500)+IF($C28="",0,SUMIF('DADOS BRUTOS'!$A$3:$A$500,$C28,'DADOS BRUTOS'!GL$3:GL$500)))</f>
        <v>0</v>
      </c>
      <c r="JM28" s="133" t="n">
        <f aca="false">IF(OR(JM$4="",$B28=""),0,SUMIF('DADOS BRUTOS'!$A$3:$A$500,$B28,'DADOS BRUTOS'!GM$3:GM$500)+IF($C28="",0,SUMIF('DADOS BRUTOS'!$A$3:$A$500,$C28,'DADOS BRUTOS'!GM$3:GM$500)))</f>
        <v>0</v>
      </c>
      <c r="JN28" s="133" t="n">
        <f aca="false">IF(OR(JN$4="",$B28=""),0,SUMIF('DADOS BRUTOS'!$A$3:$A$500,$B28,'DADOS BRUTOS'!GN$3:GN$500)+IF($C28="",0,SUMIF('DADOS BRUTOS'!$A$3:$A$500,$C28,'DADOS BRUTOS'!GN$3:GN$500)))</f>
        <v>0</v>
      </c>
      <c r="JO28" s="133" t="n">
        <f aca="false">IF(OR(JO$4="",$B28=""),0,SUMIF('DADOS BRUTOS'!$A$3:$A$500,$B28,'DADOS BRUTOS'!GO$3:GO$500)+IF($C28="",0,SUMIF('DADOS BRUTOS'!$A$3:$A$500,$C28,'DADOS BRUTOS'!GO$3:GO$500)))</f>
        <v>0</v>
      </c>
      <c r="JP28" s="133" t="n">
        <f aca="false">IF(OR(JP$4="",$B28=""),0,SUMIF('DADOS BRUTOS'!$A$3:$A$500,$B28,'DADOS BRUTOS'!GP$3:GP$500)+IF($C28="",0,SUMIF('DADOS BRUTOS'!$A$3:$A$500,$C28,'DADOS BRUTOS'!GP$3:GP$500)))</f>
        <v>0</v>
      </c>
      <c r="JQ28" s="133" t="n">
        <f aca="false">IF(OR(JQ$4="",$B28=""),0,SUMIF('DADOS BRUTOS'!$A$3:$A$500,$B28,'DADOS BRUTOS'!GQ$3:GQ$500)+IF($C28="",0,SUMIF('DADOS BRUTOS'!$A$3:$A$500,$C28,'DADOS BRUTOS'!GQ$3:GQ$500)))</f>
        <v>0</v>
      </c>
      <c r="JR28" s="133" t="n">
        <f aca="false">IF(OR(JR$4="",$B28=""),0,SUMIF('DADOS BRUTOS'!$A$3:$A$500,$B28,'DADOS BRUTOS'!GR$3:GR$500)+IF($C28="",0,SUMIF('DADOS BRUTOS'!$A$3:$A$500,$C28,'DADOS BRUTOS'!GR$3:GR$500)))</f>
        <v>0</v>
      </c>
      <c r="JS28" s="133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183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0</v>
      </c>
      <c r="X29" s="50" t="n">
        <f aca="false">SUMIF($CB$4:$JS$4,X$4,$CB29:$JS29)</f>
        <v>2320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2320</v>
      </c>
      <c r="BZ29" s="45" t="n">
        <f aca="false">SUMPRODUCT(($CB$4:$JS$4&lt;&gt;"")*($CB$4:$JS$4&lt;=$D$4),$CB29:$JS29,$CB$1:$JS$1)</f>
        <v>0</v>
      </c>
      <c r="CB29" s="133" t="n">
        <f aca="false">IF(OR(CB$4="",$B29=""),0,SUMIF('DADOS BRUTOS'!$A$3:$A$500,$B29,'DADOS BRUTOS'!B$3:B$500)+IF($C29="",0,SUMIF('DADOS BRUTOS'!$A$3:$A$500,$C29,'DADOS BRUTOS'!B$3:B$500)))</f>
        <v>0</v>
      </c>
      <c r="CC29" s="133" t="n">
        <f aca="false">IF(OR(CC$4="",$B29=""),0,SUMIF('DADOS BRUTOS'!$A$3:$A$500,$B29,'DADOS BRUTOS'!C$3:C$500)+IF($C29="",0,SUMIF('DADOS BRUTOS'!$A$3:$A$500,$C29,'DADOS BRUTOS'!C$3:C$500)))</f>
        <v>0</v>
      </c>
      <c r="CD29" s="133" t="n">
        <f aca="false">IF(OR(CD$4="",$B29=""),0,SUMIF('DADOS BRUTOS'!$A$3:$A$500,$B29,'DADOS BRUTOS'!D$3:D$500)+IF($C29="",0,SUMIF('DADOS BRUTOS'!$A$3:$A$500,$C29,'DADOS BRUTOS'!D$3:D$500)))</f>
        <v>0</v>
      </c>
      <c r="CE29" s="133" t="n">
        <f aca="false">IF(OR(CE$4="",$B29=""),0,SUMIF('DADOS BRUTOS'!$A$3:$A$500,$B29,'DADOS BRUTOS'!E$3:E$500)+IF($C29="",0,SUMIF('DADOS BRUTOS'!$A$3:$A$500,$C29,'DADOS BRUTOS'!E$3:E$500)))</f>
        <v>0</v>
      </c>
      <c r="CF29" s="133" t="n">
        <f aca="false">IF(OR(CF$4="",$B29=""),0,SUMIF('DADOS BRUTOS'!$A$3:$A$500,$B29,'DADOS BRUTOS'!F$3:F$500)+IF($C29="",0,SUMIF('DADOS BRUTOS'!$A$3:$A$500,$C29,'DADOS BRUTOS'!F$3:F$500)))</f>
        <v>0</v>
      </c>
      <c r="CG29" s="133" t="n">
        <f aca="false">IF(OR(CG$4="",$B29=""),0,SUMIF('DADOS BRUTOS'!$A$3:$A$500,$B29,'DADOS BRUTOS'!G$3:G$500)+IF($C29="",0,SUMIF('DADOS BRUTOS'!$A$3:$A$500,$C29,'DADOS BRUTOS'!G$3:G$500)))</f>
        <v>0</v>
      </c>
      <c r="CH29" s="133" t="n">
        <f aca="false">IF(OR(CH$4="",$B29=""),0,SUMIF('DADOS BRUTOS'!$A$3:$A$500,$B29,'DADOS BRUTOS'!H$3:H$500)+IF($C29="",0,SUMIF('DADOS BRUTOS'!$A$3:$A$500,$C29,'DADOS BRUTOS'!H$3:H$500)))</f>
        <v>0</v>
      </c>
      <c r="CI29" s="133" t="n">
        <f aca="false">IF(OR(CI$4="",$B29=""),0,SUMIF('DADOS BRUTOS'!$A$3:$A$500,$B29,'DADOS BRUTOS'!I$3:I$500)+IF($C29="",0,SUMIF('DADOS BRUTOS'!$A$3:$A$500,$C29,'DADOS BRUTOS'!I$3:I$500)))</f>
        <v>0</v>
      </c>
      <c r="CJ29" s="133" t="n">
        <f aca="false">IF(OR(CJ$4="",$B29=""),0,SUMIF('DADOS BRUTOS'!$A$3:$A$500,$B29,'DADOS BRUTOS'!J$3:J$500)+IF($C29="",0,SUMIF('DADOS BRUTOS'!$A$3:$A$500,$C29,'DADOS BRUTOS'!J$3:J$500)))</f>
        <v>0</v>
      </c>
      <c r="CK29" s="133" t="n">
        <f aca="false">IF(OR(CK$4="",$B29=""),0,SUMIF('DADOS BRUTOS'!$A$3:$A$500,$B29,'DADOS BRUTOS'!K$3:K$500)+IF($C29="",0,SUMIF('DADOS BRUTOS'!$A$3:$A$500,$C29,'DADOS BRUTOS'!K$3:K$500)))</f>
        <v>0</v>
      </c>
      <c r="CL29" s="133" t="n">
        <f aca="false">IF(OR(CL$4="",$B29=""),0,SUMIF('DADOS BRUTOS'!$A$3:$A$500,$B29,'DADOS BRUTOS'!L$3:L$500)+IF($C29="",0,SUMIF('DADOS BRUTOS'!$A$3:$A$500,$C29,'DADOS BRUTOS'!L$3:L$500)))</f>
        <v>0</v>
      </c>
      <c r="CM29" s="133" t="n">
        <f aca="false">IF(OR(CM$4="",$B29=""),0,SUMIF('DADOS BRUTOS'!$A$3:$A$500,$B29,'DADOS BRUTOS'!M$3:M$500)+IF($C29="",0,SUMIF('DADOS BRUTOS'!$A$3:$A$500,$C29,'DADOS BRUTOS'!M$3:M$500)))</f>
        <v>0</v>
      </c>
      <c r="CN29" s="133" t="n">
        <f aca="false">IF(OR(CN$4="",$B29=""),0,SUMIF('DADOS BRUTOS'!$A$3:$A$500,$B29,'DADOS BRUTOS'!N$3:N$500)+IF($C29="",0,SUMIF('DADOS BRUTOS'!$A$3:$A$500,$C29,'DADOS BRUTOS'!N$3:N$500)))</f>
        <v>0</v>
      </c>
      <c r="CO29" s="133" t="n">
        <f aca="false">IF(OR(CO$4="",$B29=""),0,SUMIF('DADOS BRUTOS'!$A$3:$A$500,$B29,'DADOS BRUTOS'!O$3:O$500)+IF($C29="",0,SUMIF('DADOS BRUTOS'!$A$3:$A$500,$C29,'DADOS BRUTOS'!O$3:O$500)))</f>
        <v>0</v>
      </c>
      <c r="CP29" s="133" t="n">
        <f aca="false">IF(OR(CP$4="",$B29=""),0,SUMIF('DADOS BRUTOS'!$A$3:$A$500,$B29,'DADOS BRUTOS'!P$3:P$500)+IF($C29="",0,SUMIF('DADOS BRUTOS'!$A$3:$A$500,$C29,'DADOS BRUTOS'!P$3:P$500)))</f>
        <v>0</v>
      </c>
      <c r="CQ29" s="133" t="n">
        <f aca="false">IF(OR(CQ$4="",$B29=""),0,SUMIF('DADOS BRUTOS'!$A$3:$A$500,$B29,'DADOS BRUTOS'!Q$3:Q$500)+IF($C29="",0,SUMIF('DADOS BRUTOS'!$A$3:$A$500,$C29,'DADOS BRUTOS'!Q$3:Q$500)))</f>
        <v>0</v>
      </c>
      <c r="CR29" s="133" t="n">
        <f aca="false">IF(OR(CR$4="",$B29=""),0,SUMIF('DADOS BRUTOS'!$A$3:$A$500,$B29,'DADOS BRUTOS'!R$3:R$500)+IF($C29="",0,SUMIF('DADOS BRUTOS'!$A$3:$A$500,$C29,'DADOS BRUTOS'!R$3:R$500)))</f>
        <v>0</v>
      </c>
      <c r="CS29" s="133" t="n">
        <f aca="false">IF(OR(CS$4="",$B29=""),0,SUMIF('DADOS BRUTOS'!$A$3:$A$500,$B29,'DADOS BRUTOS'!S$3:S$500)+IF($C29="",0,SUMIF('DADOS BRUTOS'!$A$3:$A$500,$C29,'DADOS BRUTOS'!S$3:S$500)))</f>
        <v>0</v>
      </c>
      <c r="CT29" s="133" t="n">
        <f aca="false">IF(OR(CT$4="",$B29=""),0,SUMIF('DADOS BRUTOS'!$A$3:$A$500,$B29,'DADOS BRUTOS'!T$3:T$500)+IF($C29="",0,SUMIF('DADOS BRUTOS'!$A$3:$A$500,$C29,'DADOS BRUTOS'!T$3:T$500)))</f>
        <v>0</v>
      </c>
      <c r="CU29" s="133" t="n">
        <f aca="false">IF(OR(CU$4="",$B29=""),0,SUMIF('DADOS BRUTOS'!$A$3:$A$500,$B29,'DADOS BRUTOS'!U$3:U$500)+IF($C29="",0,SUMIF('DADOS BRUTOS'!$A$3:$A$500,$C29,'DADOS BRUTOS'!U$3:U$500)))</f>
        <v>0</v>
      </c>
      <c r="CV29" s="133" t="n">
        <f aca="false">IF(OR(CV$4="",$B29=""),0,SUMIF('DADOS BRUTOS'!$A$3:$A$500,$B29,'DADOS BRUTOS'!V$3:V$500)+IF($C29="",0,SUMIF('DADOS BRUTOS'!$A$3:$A$500,$C29,'DADOS BRUTOS'!V$3:V$500)))</f>
        <v>0</v>
      </c>
      <c r="CW29" s="133" t="n">
        <f aca="false">IF(OR(CW$4="",$B29=""),0,SUMIF('DADOS BRUTOS'!$A$3:$A$500,$B29,'DADOS BRUTOS'!W$3:W$500)+IF($C29="",0,SUMIF('DADOS BRUTOS'!$A$3:$A$500,$C29,'DADOS BRUTOS'!W$3:W$500)))</f>
        <v>0</v>
      </c>
      <c r="CX29" s="133" t="n">
        <f aca="false">IF(OR(CX$4="",$B29=""),0,SUMIF('DADOS BRUTOS'!$A$3:$A$500,$B29,'DADOS BRUTOS'!X$3:X$500)+IF($C29="",0,SUMIF('DADOS BRUTOS'!$A$3:$A$500,$C29,'DADOS BRUTOS'!X$3:X$500)))</f>
        <v>0</v>
      </c>
      <c r="CY29" s="133" t="n">
        <f aca="false">IF(OR(CY$4="",$B29=""),0,SUMIF('DADOS BRUTOS'!$A$3:$A$500,$B29,'DADOS BRUTOS'!Y$3:Y$500)+IF($C29="",0,SUMIF('DADOS BRUTOS'!$A$3:$A$500,$C29,'DADOS BRUTOS'!Y$3:Y$500)))</f>
        <v>0</v>
      </c>
      <c r="CZ29" s="133" t="n">
        <f aca="false">IF(OR(CZ$4="",$B29=""),0,SUMIF('DADOS BRUTOS'!$A$3:$A$500,$B29,'DADOS BRUTOS'!Z$3:Z$500)+IF($C29="",0,SUMIF('DADOS BRUTOS'!$A$3:$A$500,$C29,'DADOS BRUTOS'!Z$3:Z$500)))</f>
        <v>0</v>
      </c>
      <c r="DA29" s="133" t="n">
        <f aca="false">IF(OR(DA$4="",$B29=""),0,SUMIF('DADOS BRUTOS'!$A$3:$A$500,$B29,'DADOS BRUTOS'!AA$3:AA$500)+IF($C29="",0,SUMIF('DADOS BRUTOS'!$A$3:$A$500,$C29,'DADOS BRUTOS'!AA$3:AA$500)))</f>
        <v>0</v>
      </c>
      <c r="DB29" s="133" t="n">
        <f aca="false">IF(OR(DB$4="",$B29=""),0,SUMIF('DADOS BRUTOS'!$A$3:$A$500,$B29,'DADOS BRUTOS'!AB$3:AB$500)+IF($C29="",0,SUMIF('DADOS BRUTOS'!$A$3:$A$500,$C29,'DADOS BRUTOS'!AB$3:AB$500)))</f>
        <v>0</v>
      </c>
      <c r="DC29" s="133" t="n">
        <f aca="false">IF(OR(DC$4="",$B29=""),0,SUMIF('DADOS BRUTOS'!$A$3:$A$500,$B29,'DADOS BRUTOS'!AC$3:AC$500)+IF($C29="",0,SUMIF('DADOS BRUTOS'!$A$3:$A$500,$C29,'DADOS BRUTOS'!AC$3:AC$500)))</f>
        <v>0</v>
      </c>
      <c r="DD29" s="133" t="n">
        <f aca="false">IF(OR(DD$4="",$B29=""),0,SUMIF('DADOS BRUTOS'!$A$3:$A$500,$B29,'DADOS BRUTOS'!AD$3:AD$500)+IF($C29="",0,SUMIF('DADOS BRUTOS'!$A$3:$A$500,$C29,'DADOS BRUTOS'!AD$3:AD$500)))</f>
        <v>0</v>
      </c>
      <c r="DE29" s="133" t="n">
        <f aca="false">IF(OR(DE$4="",$B29=""),0,SUMIF('DADOS BRUTOS'!$A$3:$A$500,$B29,'DADOS BRUTOS'!AE$3:AE$500)+IF($C29="",0,SUMIF('DADOS BRUTOS'!$A$3:$A$500,$C29,'DADOS BRUTOS'!AE$3:AE$500)))</f>
        <v>0</v>
      </c>
      <c r="DF29" s="133" t="n">
        <f aca="false">IF(OR(DF$4="",$B29=""),0,SUMIF('DADOS BRUTOS'!$A$3:$A$500,$B29,'DADOS BRUTOS'!AF$3:AF$500)+IF($C29="",0,SUMIF('DADOS BRUTOS'!$A$3:$A$500,$C29,'DADOS BRUTOS'!AF$3:AF$500)))</f>
        <v>0</v>
      </c>
      <c r="DG29" s="133" t="n">
        <f aca="false">IF(OR(DG$4="",$B29=""),0,SUMIF('DADOS BRUTOS'!$A$3:$A$500,$B29,'DADOS BRUTOS'!AG$3:AG$500)+IF($C29="",0,SUMIF('DADOS BRUTOS'!$A$3:$A$500,$C29,'DADOS BRUTOS'!AG$3:AG$500)))</f>
        <v>0</v>
      </c>
      <c r="DH29" s="133" t="n">
        <f aca="false">IF(OR(DH$4="",$B29=""),0,SUMIF('DADOS BRUTOS'!$A$3:$A$500,$B29,'DADOS BRUTOS'!AH$3:AH$500)+IF($C29="",0,SUMIF('DADOS BRUTOS'!$A$3:$A$500,$C29,'DADOS BRUTOS'!AH$3:AH$500)))</f>
        <v>0</v>
      </c>
      <c r="DI29" s="133" t="n">
        <f aca="false">IF(OR(DI$4="",$B29=""),0,SUMIF('DADOS BRUTOS'!$A$3:$A$500,$B29,'DADOS BRUTOS'!AI$3:AI$500)+IF($C29="",0,SUMIF('DADOS BRUTOS'!$A$3:$A$500,$C29,'DADOS BRUTOS'!AI$3:AI$500)))</f>
        <v>0</v>
      </c>
      <c r="DJ29" s="133" t="n">
        <f aca="false">IF(OR(DJ$4="",$B29=""),0,SUMIF('DADOS BRUTOS'!$A$3:$A$500,$B29,'DADOS BRUTOS'!AJ$3:AJ$500)+IF($C29="",0,SUMIF('DADOS BRUTOS'!$A$3:$A$500,$C29,'DADOS BRUTOS'!AJ$3:AJ$500)))</f>
        <v>0</v>
      </c>
      <c r="DK29" s="133" t="n">
        <f aca="false">IF(OR(DK$4="",$B29=""),0,SUMIF('DADOS BRUTOS'!$A$3:$A$500,$B29,'DADOS BRUTOS'!AK$3:AK$500)+IF($C29="",0,SUMIF('DADOS BRUTOS'!$A$3:$A$500,$C29,'DADOS BRUTOS'!AK$3:AK$500)))</f>
        <v>0</v>
      </c>
      <c r="DL29" s="133" t="n">
        <f aca="false">IF(OR(DL$4="",$B29=""),0,SUMIF('DADOS BRUTOS'!$A$3:$A$500,$B29,'DADOS BRUTOS'!AL$3:AL$500)+IF($C29="",0,SUMIF('DADOS BRUTOS'!$A$3:$A$500,$C29,'DADOS BRUTOS'!AL$3:AL$500)))</f>
        <v>0</v>
      </c>
      <c r="DM29" s="133" t="n">
        <f aca="false">IF(OR(DM$4="",$B29=""),0,SUMIF('DADOS BRUTOS'!$A$3:$A$500,$B29,'DADOS BRUTOS'!AM$3:AM$500)+IF($C29="",0,SUMIF('DADOS BRUTOS'!$A$3:$A$500,$C29,'DADOS BRUTOS'!AM$3:AM$500)))</f>
        <v>0</v>
      </c>
      <c r="DN29" s="133" t="n">
        <f aca="false">IF(OR(DN$4="",$B29=""),0,SUMIF('DADOS BRUTOS'!$A$3:$A$500,$B29,'DADOS BRUTOS'!AN$3:AN$500)+IF($C29="",0,SUMIF('DADOS BRUTOS'!$A$3:$A$500,$C29,'DADOS BRUTOS'!AN$3:AN$500)))</f>
        <v>0</v>
      </c>
      <c r="DO29" s="133" t="n">
        <f aca="false">IF(OR(DO$4="",$B29=""),0,SUMIF('DADOS BRUTOS'!$A$3:$A$500,$B29,'DADOS BRUTOS'!AO$3:AO$500)+IF($C29="",0,SUMIF('DADOS BRUTOS'!$A$3:$A$500,$C29,'DADOS BRUTOS'!AO$3:AO$500)))</f>
        <v>0</v>
      </c>
      <c r="DP29" s="133" t="n">
        <f aca="false">IF(OR(DP$4="",$B29=""),0,SUMIF('DADOS BRUTOS'!$A$3:$A$500,$B29,'DADOS BRUTOS'!AP$3:AP$500)+IF($C29="",0,SUMIF('DADOS BRUTOS'!$A$3:$A$500,$C29,'DADOS BRUTOS'!AP$3:AP$500)))</f>
        <v>0</v>
      </c>
      <c r="DQ29" s="133" t="n">
        <f aca="false">IF(OR(DQ$4="",$B29=""),0,SUMIF('DADOS BRUTOS'!$A$3:$A$500,$B29,'DADOS BRUTOS'!AQ$3:AQ$500)+IF($C29="",0,SUMIF('DADOS BRUTOS'!$A$3:$A$500,$C29,'DADOS BRUTOS'!AQ$3:AQ$500)))</f>
        <v>0</v>
      </c>
      <c r="DR29" s="133" t="n">
        <f aca="false">IF(OR(DR$4="",$B29=""),0,SUMIF('DADOS BRUTOS'!$A$3:$A$500,$B29,'DADOS BRUTOS'!AR$3:AR$500)+IF($C29="",0,SUMIF('DADOS BRUTOS'!$A$3:$A$500,$C29,'DADOS BRUTOS'!AR$3:AR$500)))</f>
        <v>0</v>
      </c>
      <c r="DS29" s="133" t="n">
        <f aca="false">IF(OR(DS$4="",$B29=""),0,SUMIF('DADOS BRUTOS'!$A$3:$A$500,$B29,'DADOS BRUTOS'!AS$3:AS$500)+IF($C29="",0,SUMIF('DADOS BRUTOS'!$A$3:$A$500,$C29,'DADOS BRUTOS'!AS$3:AS$500)))</f>
        <v>0</v>
      </c>
      <c r="DT29" s="133" t="n">
        <f aca="false">IF(OR(DT$4="",$B29=""),0,SUMIF('DADOS BRUTOS'!$A$3:$A$500,$B29,'DADOS BRUTOS'!AT$3:AT$500)+IF($C29="",0,SUMIF('DADOS BRUTOS'!$A$3:$A$500,$C29,'DADOS BRUTOS'!AT$3:AT$500)))</f>
        <v>0</v>
      </c>
      <c r="DU29" s="133" t="n">
        <f aca="false">IF(OR(DU$4="",$B29=""),0,SUMIF('DADOS BRUTOS'!$A$3:$A$500,$B29,'DADOS BRUTOS'!AU$3:AU$500)+IF($C29="",0,SUMIF('DADOS BRUTOS'!$A$3:$A$500,$C29,'DADOS BRUTOS'!AU$3:AU$500)))</f>
        <v>0</v>
      </c>
      <c r="DV29" s="133" t="n">
        <f aca="false">IF(OR(DV$4="",$B29=""),0,SUMIF('DADOS BRUTOS'!$A$3:$A$500,$B29,'DADOS BRUTOS'!AV$3:AV$500)+IF($C29="",0,SUMIF('DADOS BRUTOS'!$A$3:$A$500,$C29,'DADOS BRUTOS'!AV$3:AV$500)))</f>
        <v>0</v>
      </c>
      <c r="DW29" s="133" t="n">
        <f aca="false">IF(OR(DW$4="",$B29=""),0,SUMIF('DADOS BRUTOS'!$A$3:$A$500,$B29,'DADOS BRUTOS'!AW$3:AW$500)+IF($C29="",0,SUMIF('DADOS BRUTOS'!$A$3:$A$500,$C29,'DADOS BRUTOS'!AW$3:AW$500)))</f>
        <v>0</v>
      </c>
      <c r="DX29" s="133" t="n">
        <f aca="false">IF(OR(DX$4="",$B29=""),0,SUMIF('DADOS BRUTOS'!$A$3:$A$500,$B29,'DADOS BRUTOS'!AX$3:AX$500)+IF($C29="",0,SUMIF('DADOS BRUTOS'!$A$3:$A$500,$C29,'DADOS BRUTOS'!AX$3:AX$500)))</f>
        <v>0</v>
      </c>
      <c r="DY29" s="133" t="n">
        <f aca="false">IF(OR(DY$4="",$B29=""),0,SUMIF('DADOS BRUTOS'!$A$3:$A$500,$B29,'DADOS BRUTOS'!AY$3:AY$500)+IF($C29="",0,SUMIF('DADOS BRUTOS'!$A$3:$A$500,$C29,'DADOS BRUTOS'!AY$3:AY$500)))</f>
        <v>0</v>
      </c>
      <c r="DZ29" s="133" t="n">
        <f aca="false">IF(OR(DZ$4="",$B29=""),0,SUMIF('DADOS BRUTOS'!$A$3:$A$500,$B29,'DADOS BRUTOS'!AZ$3:AZ$500)+IF($C29="",0,SUMIF('DADOS BRUTOS'!$A$3:$A$500,$C29,'DADOS BRUTOS'!AZ$3:AZ$500)))</f>
        <v>0</v>
      </c>
      <c r="EA29" s="133" t="n">
        <f aca="false">IF(OR(EA$4="",$B29=""),0,SUMIF('DADOS BRUTOS'!$A$3:$A$500,$B29,'DADOS BRUTOS'!BA$3:BA$500)+IF($C29="",0,SUMIF('DADOS BRUTOS'!$A$3:$A$500,$C29,'DADOS BRUTOS'!BA$3:BA$500)))</f>
        <v>0</v>
      </c>
      <c r="EB29" s="133" t="n">
        <f aca="false">IF(OR(EB$4="",$B29=""),0,SUMIF('DADOS BRUTOS'!$A$3:$A$500,$B29,'DADOS BRUTOS'!BB$3:BB$500)+IF($C29="",0,SUMIF('DADOS BRUTOS'!$A$3:$A$500,$C29,'DADOS BRUTOS'!BB$3:BB$500)))</f>
        <v>2320</v>
      </c>
      <c r="EC29" s="133" t="n">
        <f aca="false">IF(OR(EC$4="",$B29=""),0,SUMIF('DADOS BRUTOS'!$A$3:$A$500,$B29,'DADOS BRUTOS'!BC$3:BC$500)+IF($C29="",0,SUMIF('DADOS BRUTOS'!$A$3:$A$500,$C29,'DADOS BRUTOS'!BC$3:BC$500)))</f>
        <v>0</v>
      </c>
      <c r="ED29" s="133" t="n">
        <f aca="false">IF(OR(ED$4="",$B29=""),0,SUMIF('DADOS BRUTOS'!$A$3:$A$500,$B29,'DADOS BRUTOS'!BD$3:BD$500)+IF($C29="",0,SUMIF('DADOS BRUTOS'!$A$3:$A$500,$C29,'DADOS BRUTOS'!BD$3:BD$500)))</f>
        <v>0</v>
      </c>
      <c r="EE29" s="133" t="n">
        <f aca="false">IF(OR(EE$4="",$B29=""),0,SUMIF('DADOS BRUTOS'!$A$3:$A$500,$B29,'DADOS BRUTOS'!BE$3:BE$500)+IF($C29="",0,SUMIF('DADOS BRUTOS'!$A$3:$A$500,$C29,'DADOS BRUTOS'!BE$3:BE$500)))</f>
        <v>0</v>
      </c>
      <c r="EF29" s="133" t="n">
        <f aca="false">IF(OR(EF$4="",$B29=""),0,SUMIF('DADOS BRUTOS'!$A$3:$A$500,$B29,'DADOS BRUTOS'!BF$3:BF$500)+IF($C29="",0,SUMIF('DADOS BRUTOS'!$A$3:$A$500,$C29,'DADOS BRUTOS'!BF$3:BF$500)))</f>
        <v>0</v>
      </c>
      <c r="EG29" s="133" t="n">
        <f aca="false">IF(OR(EG$4="",$B29=""),0,SUMIF('DADOS BRUTOS'!$A$3:$A$500,$B29,'DADOS BRUTOS'!BG$3:BG$500)+IF($C29="",0,SUMIF('DADOS BRUTOS'!$A$3:$A$500,$C29,'DADOS BRUTOS'!BG$3:BG$500)))</f>
        <v>0</v>
      </c>
      <c r="EH29" s="133" t="n">
        <f aca="false">IF(OR(EH$4="",$B29=""),0,SUMIF('DADOS BRUTOS'!$A$3:$A$500,$B29,'DADOS BRUTOS'!BH$3:BH$500)+IF($C29="",0,SUMIF('DADOS BRUTOS'!$A$3:$A$500,$C29,'DADOS BRUTOS'!BH$3:BH$500)))</f>
        <v>0</v>
      </c>
      <c r="EI29" s="133" t="n">
        <f aca="false">IF(OR(EI$4="",$B29=""),0,SUMIF('DADOS BRUTOS'!$A$3:$A$500,$B29,'DADOS BRUTOS'!BI$3:BI$500)+IF($C29="",0,SUMIF('DADOS BRUTOS'!$A$3:$A$500,$C29,'DADOS BRUTOS'!BI$3:BI$500)))</f>
        <v>0</v>
      </c>
      <c r="EJ29" s="133" t="n">
        <f aca="false">IF(OR(EJ$4="",$B29=""),0,SUMIF('DADOS BRUTOS'!$A$3:$A$500,$B29,'DADOS BRUTOS'!BJ$3:BJ$500)+IF($C29="",0,SUMIF('DADOS BRUTOS'!$A$3:$A$500,$C29,'DADOS BRUTOS'!BJ$3:BJ$500)))</f>
        <v>0</v>
      </c>
      <c r="EK29" s="133" t="n">
        <f aca="false">IF(OR(EK$4="",$B29=""),0,SUMIF('DADOS BRUTOS'!$A$3:$A$500,$B29,'DADOS BRUTOS'!BK$3:BK$500)+IF($C29="",0,SUMIF('DADOS BRUTOS'!$A$3:$A$500,$C29,'DADOS BRUTOS'!BK$3:BK$500)))</f>
        <v>0</v>
      </c>
      <c r="EL29" s="133" t="n">
        <f aca="false">IF(OR(EL$4="",$B29=""),0,SUMIF('DADOS BRUTOS'!$A$3:$A$500,$B29,'DADOS BRUTOS'!BL$3:BL$500)+IF($C29="",0,SUMIF('DADOS BRUTOS'!$A$3:$A$500,$C29,'DADOS BRUTOS'!BL$3:BL$500)))</f>
        <v>0</v>
      </c>
      <c r="EM29" s="133" t="n">
        <f aca="false">IF(OR(EM$4="",$B29=""),0,SUMIF('DADOS BRUTOS'!$A$3:$A$500,$B29,'DADOS BRUTOS'!BM$3:BM$500)+IF($C29="",0,SUMIF('DADOS BRUTOS'!$A$3:$A$500,$C29,'DADOS BRUTOS'!BM$3:BM$500)))</f>
        <v>0</v>
      </c>
      <c r="EN29" s="133" t="n">
        <f aca="false">IF(OR(EN$4="",$B29=""),0,SUMIF('DADOS BRUTOS'!$A$3:$A$500,$B29,'DADOS BRUTOS'!BN$3:BN$500)+IF($C29="",0,SUMIF('DADOS BRUTOS'!$A$3:$A$500,$C29,'DADOS BRUTOS'!BN$3:BN$500)))</f>
        <v>0</v>
      </c>
      <c r="EO29" s="133" t="n">
        <f aca="false">IF(OR(EO$4="",$B29=""),0,SUMIF('DADOS BRUTOS'!$A$3:$A$500,$B29,'DADOS BRUTOS'!BO$3:BO$500)+IF($C29="",0,SUMIF('DADOS BRUTOS'!$A$3:$A$500,$C29,'DADOS BRUTOS'!BO$3:BO$500)))</f>
        <v>0</v>
      </c>
      <c r="EP29" s="133" t="n">
        <f aca="false">IF(OR(EP$4="",$B29=""),0,SUMIF('DADOS BRUTOS'!$A$3:$A$500,$B29,'DADOS BRUTOS'!BP$3:BP$500)+IF($C29="",0,SUMIF('DADOS BRUTOS'!$A$3:$A$500,$C29,'DADOS BRUTOS'!BP$3:BP$500)))</f>
        <v>0</v>
      </c>
      <c r="EQ29" s="133" t="n">
        <f aca="false">IF(OR(EQ$4="",$B29=""),0,SUMIF('DADOS BRUTOS'!$A$3:$A$500,$B29,'DADOS BRUTOS'!BQ$3:BQ$500)+IF($C29="",0,SUMIF('DADOS BRUTOS'!$A$3:$A$500,$C29,'DADOS BRUTOS'!BQ$3:BQ$500)))</f>
        <v>0</v>
      </c>
      <c r="ER29" s="133" t="n">
        <f aca="false">IF(OR(ER$4="",$B29=""),0,SUMIF('DADOS BRUTOS'!$A$3:$A$500,$B29,'DADOS BRUTOS'!BR$3:BR$500)+IF($C29="",0,SUMIF('DADOS BRUTOS'!$A$3:$A$500,$C29,'DADOS BRUTOS'!BR$3:BR$500)))</f>
        <v>0</v>
      </c>
      <c r="ES29" s="133" t="n">
        <f aca="false">IF(OR(ES$4="",$B29=""),0,SUMIF('DADOS BRUTOS'!$A$3:$A$500,$B29,'DADOS BRUTOS'!BS$3:BS$500)+IF($C29="",0,SUMIF('DADOS BRUTOS'!$A$3:$A$500,$C29,'DADOS BRUTOS'!BS$3:BS$500)))</f>
        <v>0</v>
      </c>
      <c r="ET29" s="133" t="n">
        <f aca="false">IF(OR(ET$4="",$B29=""),0,SUMIF('DADOS BRUTOS'!$A$3:$A$500,$B29,'DADOS BRUTOS'!BT$3:BT$500)+IF($C29="",0,SUMIF('DADOS BRUTOS'!$A$3:$A$500,$C29,'DADOS BRUTOS'!BT$3:BT$500)))</f>
        <v>0</v>
      </c>
      <c r="EU29" s="133" t="n">
        <f aca="false">IF(OR(EU$4="",$B29=""),0,SUMIF('DADOS BRUTOS'!$A$3:$A$500,$B29,'DADOS BRUTOS'!BU$3:BU$500)+IF($C29="",0,SUMIF('DADOS BRUTOS'!$A$3:$A$500,$C29,'DADOS BRUTOS'!BU$3:BU$500)))</f>
        <v>0</v>
      </c>
      <c r="EV29" s="133" t="n">
        <f aca="false">IF(OR(EV$4="",$B29=""),0,SUMIF('DADOS BRUTOS'!$A$3:$A$500,$B29,'DADOS BRUTOS'!BV$3:BV$500)+IF($C29="",0,SUMIF('DADOS BRUTOS'!$A$3:$A$500,$C29,'DADOS BRUTOS'!BV$3:BV$500)))</f>
        <v>0</v>
      </c>
      <c r="EW29" s="133" t="n">
        <f aca="false">IF(OR(EW$4="",$B29=""),0,SUMIF('DADOS BRUTOS'!$A$3:$A$500,$B29,'DADOS BRUTOS'!BW$3:BW$500)+IF($C29="",0,SUMIF('DADOS BRUTOS'!$A$3:$A$500,$C29,'DADOS BRUTOS'!BW$3:BW$500)))</f>
        <v>0</v>
      </c>
      <c r="EX29" s="133" t="n">
        <f aca="false">IF(OR(EX$4="",$B29=""),0,SUMIF('DADOS BRUTOS'!$A$3:$A$500,$B29,'DADOS BRUTOS'!BX$3:BX$500)+IF($C29="",0,SUMIF('DADOS BRUTOS'!$A$3:$A$500,$C29,'DADOS BRUTOS'!BX$3:BX$500)))</f>
        <v>0</v>
      </c>
      <c r="EY29" s="133" t="n">
        <f aca="false">IF(OR(EY$4="",$B29=""),0,SUMIF('DADOS BRUTOS'!$A$3:$A$500,$B29,'DADOS BRUTOS'!BY$3:BY$500)+IF($C29="",0,SUMIF('DADOS BRUTOS'!$A$3:$A$500,$C29,'DADOS BRUTOS'!BY$3:BY$500)))</f>
        <v>0</v>
      </c>
      <c r="EZ29" s="133" t="n">
        <f aca="false">IF(OR(EZ$4="",$B29=""),0,SUMIF('DADOS BRUTOS'!$A$3:$A$500,$B29,'DADOS BRUTOS'!BZ$3:BZ$500)+IF($C29="",0,SUMIF('DADOS BRUTOS'!$A$3:$A$500,$C29,'DADOS BRUTOS'!BZ$3:BZ$500)))</f>
        <v>0</v>
      </c>
      <c r="FA29" s="133" t="n">
        <f aca="false">IF(OR(FA$4="",$B29=""),0,SUMIF('DADOS BRUTOS'!$A$3:$A$500,$B29,'DADOS BRUTOS'!CA$3:CA$500)+IF($C29="",0,SUMIF('DADOS BRUTOS'!$A$3:$A$500,$C29,'DADOS BRUTOS'!CA$3:CA$500)))</f>
        <v>0</v>
      </c>
      <c r="FB29" s="133" t="n">
        <f aca="false">IF(OR(FB$4="",$B29=""),0,SUMIF('DADOS BRUTOS'!$A$3:$A$500,$B29,'DADOS BRUTOS'!CB$3:CB$500)+IF($C29="",0,SUMIF('DADOS BRUTOS'!$A$3:$A$500,$C29,'DADOS BRUTOS'!CB$3:CB$500)))</f>
        <v>0</v>
      </c>
      <c r="FC29" s="133" t="n">
        <f aca="false">IF(OR(FC$4="",$B29=""),0,SUMIF('DADOS BRUTOS'!$A$3:$A$500,$B29,'DADOS BRUTOS'!CC$3:CC$500)+IF($C29="",0,SUMIF('DADOS BRUTOS'!$A$3:$A$500,$C29,'DADOS BRUTOS'!CC$3:CC$500)))</f>
        <v>0</v>
      </c>
      <c r="FD29" s="133" t="n">
        <f aca="false">IF(OR(FD$4="",$B29=""),0,SUMIF('DADOS BRUTOS'!$A$3:$A$500,$B29,'DADOS BRUTOS'!CD$3:CD$500)+IF($C29="",0,SUMIF('DADOS BRUTOS'!$A$3:$A$500,$C29,'DADOS BRUTOS'!CD$3:CD$500)))</f>
        <v>0</v>
      </c>
      <c r="FE29" s="133" t="n">
        <f aca="false">IF(OR(FE$4="",$B29=""),0,SUMIF('DADOS BRUTOS'!$A$3:$A$500,$B29,'DADOS BRUTOS'!CE$3:CE$500)+IF($C29="",0,SUMIF('DADOS BRUTOS'!$A$3:$A$500,$C29,'DADOS BRUTOS'!CE$3:CE$500)))</f>
        <v>0</v>
      </c>
      <c r="FF29" s="133" t="n">
        <f aca="false">IF(OR(FF$4="",$B29=""),0,SUMIF('DADOS BRUTOS'!$A$3:$A$500,$B29,'DADOS BRUTOS'!CF$3:CF$500)+IF($C29="",0,SUMIF('DADOS BRUTOS'!$A$3:$A$500,$C29,'DADOS BRUTOS'!CF$3:CF$500)))</f>
        <v>0</v>
      </c>
      <c r="FG29" s="133" t="n">
        <f aca="false">IF(OR(FG$4="",$B29=""),0,SUMIF('DADOS BRUTOS'!$A$3:$A$500,$B29,'DADOS BRUTOS'!CG$3:CG$500)+IF($C29="",0,SUMIF('DADOS BRUTOS'!$A$3:$A$500,$C29,'DADOS BRUTOS'!CG$3:CG$500)))</f>
        <v>0</v>
      </c>
      <c r="FH29" s="133" t="n">
        <f aca="false">IF(OR(FH$4="",$B29=""),0,SUMIF('DADOS BRUTOS'!$A$3:$A$500,$B29,'DADOS BRUTOS'!CH$3:CH$500)+IF($C29="",0,SUMIF('DADOS BRUTOS'!$A$3:$A$500,$C29,'DADOS BRUTOS'!CH$3:CH$500)))</f>
        <v>0</v>
      </c>
      <c r="FI29" s="133" t="n">
        <f aca="false">IF(OR(FI$4="",$B29=""),0,SUMIF('DADOS BRUTOS'!$A$3:$A$500,$B29,'DADOS BRUTOS'!CI$3:CI$500)+IF($C29="",0,SUMIF('DADOS BRUTOS'!$A$3:$A$500,$C29,'DADOS BRUTOS'!CI$3:CI$500)))</f>
        <v>0</v>
      </c>
      <c r="FJ29" s="133" t="n">
        <f aca="false">IF(OR(FJ$4="",$B29=""),0,SUMIF('DADOS BRUTOS'!$A$3:$A$500,$B29,'DADOS BRUTOS'!CJ$3:CJ$500)+IF($C29="",0,SUMIF('DADOS BRUTOS'!$A$3:$A$500,$C29,'DADOS BRUTOS'!CJ$3:CJ$500)))</f>
        <v>0</v>
      </c>
      <c r="FK29" s="133" t="n">
        <f aca="false">IF(OR(FK$4="",$B29=""),0,SUMIF('DADOS BRUTOS'!$A$3:$A$500,$B29,'DADOS BRUTOS'!CK$3:CK$500)+IF($C29="",0,SUMIF('DADOS BRUTOS'!$A$3:$A$500,$C29,'DADOS BRUTOS'!CK$3:CK$500)))</f>
        <v>0</v>
      </c>
      <c r="FL29" s="133" t="n">
        <f aca="false">IF(OR(FL$4="",$B29=""),0,SUMIF('DADOS BRUTOS'!$A$3:$A$500,$B29,'DADOS BRUTOS'!CL$3:CL$500)+IF($C29="",0,SUMIF('DADOS BRUTOS'!$A$3:$A$500,$C29,'DADOS BRUTOS'!CL$3:CL$500)))</f>
        <v>0</v>
      </c>
      <c r="FM29" s="133" t="n">
        <f aca="false">IF(OR(FM$4="",$B29=""),0,SUMIF('DADOS BRUTOS'!$A$3:$A$500,$B29,'DADOS BRUTOS'!CM$3:CM$500)+IF($C29="",0,SUMIF('DADOS BRUTOS'!$A$3:$A$500,$C29,'DADOS BRUTOS'!CM$3:CM$500)))</f>
        <v>0</v>
      </c>
      <c r="FN29" s="133" t="n">
        <f aca="false">IF(OR(FN$4="",$B29=""),0,SUMIF('DADOS BRUTOS'!$A$3:$A$500,$B29,'DADOS BRUTOS'!CN$3:CN$500)+IF($C29="",0,SUMIF('DADOS BRUTOS'!$A$3:$A$500,$C29,'DADOS BRUTOS'!CN$3:CN$500)))</f>
        <v>0</v>
      </c>
      <c r="FO29" s="133" t="n">
        <f aca="false">IF(OR(FO$4="",$B29=""),0,SUMIF('DADOS BRUTOS'!$A$3:$A$500,$B29,'DADOS BRUTOS'!CO$3:CO$500)+IF($C29="",0,SUMIF('DADOS BRUTOS'!$A$3:$A$500,$C29,'DADOS BRUTOS'!CO$3:CO$500)))</f>
        <v>0</v>
      </c>
      <c r="FP29" s="133" t="n">
        <f aca="false">IF(OR(FP$4="",$B29=""),0,SUMIF('DADOS BRUTOS'!$A$3:$A$500,$B29,'DADOS BRUTOS'!CP$3:CP$500)+IF($C29="",0,SUMIF('DADOS BRUTOS'!$A$3:$A$500,$C29,'DADOS BRUTOS'!CP$3:CP$500)))</f>
        <v>0</v>
      </c>
      <c r="FQ29" s="133" t="n">
        <f aca="false">IF(OR(FQ$4="",$B29=""),0,SUMIF('DADOS BRUTOS'!$A$3:$A$500,$B29,'DADOS BRUTOS'!CQ$3:CQ$500)+IF($C29="",0,SUMIF('DADOS BRUTOS'!$A$3:$A$500,$C29,'DADOS BRUTOS'!CQ$3:CQ$500)))</f>
        <v>0</v>
      </c>
      <c r="FR29" s="133" t="n">
        <f aca="false">IF(OR(FR$4="",$B29=""),0,SUMIF('DADOS BRUTOS'!$A$3:$A$500,$B29,'DADOS BRUTOS'!CR$3:CR$500)+IF($C29="",0,SUMIF('DADOS BRUTOS'!$A$3:$A$500,$C29,'DADOS BRUTOS'!CR$3:CR$500)))</f>
        <v>0</v>
      </c>
      <c r="FS29" s="133" t="n">
        <f aca="false">IF(OR(FS$4="",$B29=""),0,SUMIF('DADOS BRUTOS'!$A$3:$A$500,$B29,'DADOS BRUTOS'!CS$3:CS$500)+IF($C29="",0,SUMIF('DADOS BRUTOS'!$A$3:$A$500,$C29,'DADOS BRUTOS'!CS$3:CS$500)))</f>
        <v>0</v>
      </c>
      <c r="FT29" s="133" t="n">
        <f aca="false">IF(OR(FT$4="",$B29=""),0,SUMIF('DADOS BRUTOS'!$A$3:$A$500,$B29,'DADOS BRUTOS'!CT$3:CT$500)+IF($C29="",0,SUMIF('DADOS BRUTOS'!$A$3:$A$500,$C29,'DADOS BRUTOS'!CT$3:CT$500)))</f>
        <v>0</v>
      </c>
      <c r="FU29" s="133" t="n">
        <f aca="false">IF(OR(FU$4="",$B29=""),0,SUMIF('DADOS BRUTOS'!$A$3:$A$500,$B29,'DADOS BRUTOS'!CU$3:CU$500)+IF($C29="",0,SUMIF('DADOS BRUTOS'!$A$3:$A$500,$C29,'DADOS BRUTOS'!CU$3:CU$500)))</f>
        <v>0</v>
      </c>
      <c r="FV29" s="133" t="n">
        <f aca="false">IF(OR(FV$4="",$B29=""),0,SUMIF('DADOS BRUTOS'!$A$3:$A$500,$B29,'DADOS BRUTOS'!CV$3:CV$500)+IF($C29="",0,SUMIF('DADOS BRUTOS'!$A$3:$A$500,$C29,'DADOS BRUTOS'!CV$3:CV$500)))</f>
        <v>0</v>
      </c>
      <c r="FW29" s="133" t="n">
        <f aca="false">IF(OR(FW$4="",$B29=""),0,SUMIF('DADOS BRUTOS'!$A$3:$A$500,$B29,'DADOS BRUTOS'!CW$3:CW$500)+IF($C29="",0,SUMIF('DADOS BRUTOS'!$A$3:$A$500,$C29,'DADOS BRUTOS'!CW$3:CW$500)))</f>
        <v>0</v>
      </c>
      <c r="FX29" s="133" t="n">
        <f aca="false">IF(OR(FX$4="",$B29=""),0,SUMIF('DADOS BRUTOS'!$A$3:$A$500,$B29,'DADOS BRUTOS'!CX$3:CX$500)+IF($C29="",0,SUMIF('DADOS BRUTOS'!$A$3:$A$500,$C29,'DADOS BRUTOS'!CX$3:CX$500)))</f>
        <v>0</v>
      </c>
      <c r="FY29" s="133" t="n">
        <f aca="false">IF(OR(FY$4="",$B29=""),0,SUMIF('DADOS BRUTOS'!$A$3:$A$500,$B29,'DADOS BRUTOS'!CY$3:CY$500)+IF($C29="",0,SUMIF('DADOS BRUTOS'!$A$3:$A$500,$C29,'DADOS BRUTOS'!CY$3:CY$500)))</f>
        <v>0</v>
      </c>
      <c r="FZ29" s="133" t="n">
        <f aca="false">IF(OR(FZ$4="",$B29=""),0,SUMIF('DADOS BRUTOS'!$A$3:$A$500,$B29,'DADOS BRUTOS'!CZ$3:CZ$500)+IF($C29="",0,SUMIF('DADOS BRUTOS'!$A$3:$A$500,$C29,'DADOS BRUTOS'!CZ$3:CZ$500)))</f>
        <v>0</v>
      </c>
      <c r="GA29" s="133" t="n">
        <f aca="false">IF(OR(GA$4="",$B29=""),0,SUMIF('DADOS BRUTOS'!$A$3:$A$500,$B29,'DADOS BRUTOS'!DA$3:DA$500)+IF($C29="",0,SUMIF('DADOS BRUTOS'!$A$3:$A$500,$C29,'DADOS BRUTOS'!DA$3:DA$500)))</f>
        <v>0</v>
      </c>
      <c r="GB29" s="133" t="n">
        <f aca="false">IF(OR(GB$4="",$B29=""),0,SUMIF('DADOS BRUTOS'!$A$3:$A$500,$B29,'DADOS BRUTOS'!DB$3:DB$500)+IF($C29="",0,SUMIF('DADOS BRUTOS'!$A$3:$A$500,$C29,'DADOS BRUTOS'!DB$3:DB$500)))</f>
        <v>0</v>
      </c>
      <c r="GC29" s="133" t="n">
        <f aca="false">IF(OR(GC$4="",$B29=""),0,SUMIF('DADOS BRUTOS'!$A$3:$A$500,$B29,'DADOS BRUTOS'!DC$3:DC$500)+IF($C29="",0,SUMIF('DADOS BRUTOS'!$A$3:$A$500,$C29,'DADOS BRUTOS'!DC$3:DC$500)))</f>
        <v>0</v>
      </c>
      <c r="GD29" s="133" t="n">
        <f aca="false">IF(OR(GD$4="",$B29=""),0,SUMIF('DADOS BRUTOS'!$A$3:$A$500,$B29,'DADOS BRUTOS'!DD$3:DD$500)+IF($C29="",0,SUMIF('DADOS BRUTOS'!$A$3:$A$500,$C29,'DADOS BRUTOS'!DD$3:DD$500)))</f>
        <v>0</v>
      </c>
      <c r="GE29" s="133" t="n">
        <f aca="false">IF(OR(GE$4="",$B29=""),0,SUMIF('DADOS BRUTOS'!$A$3:$A$500,$B29,'DADOS BRUTOS'!DE$3:DE$500)+IF($C29="",0,SUMIF('DADOS BRUTOS'!$A$3:$A$500,$C29,'DADOS BRUTOS'!DE$3:DE$500)))</f>
        <v>0</v>
      </c>
      <c r="GF29" s="133" t="n">
        <f aca="false">IF(OR(GF$4="",$B29=""),0,SUMIF('DADOS BRUTOS'!$A$3:$A$500,$B29,'DADOS BRUTOS'!DF$3:DF$500)+IF($C29="",0,SUMIF('DADOS BRUTOS'!$A$3:$A$500,$C29,'DADOS BRUTOS'!DF$3:DF$500)))</f>
        <v>0</v>
      </c>
      <c r="GG29" s="133" t="n">
        <f aca="false">IF(OR(GG$4="",$B29=""),0,SUMIF('DADOS BRUTOS'!$A$3:$A$500,$B29,'DADOS BRUTOS'!DG$3:DG$500)+IF($C29="",0,SUMIF('DADOS BRUTOS'!$A$3:$A$500,$C29,'DADOS BRUTOS'!DG$3:DG$500)))</f>
        <v>0</v>
      </c>
      <c r="GH29" s="133" t="n">
        <f aca="false">IF(OR(GH$4="",$B29=""),0,SUMIF('DADOS BRUTOS'!$A$3:$A$500,$B29,'DADOS BRUTOS'!DH$3:DH$500)+IF($C29="",0,SUMIF('DADOS BRUTOS'!$A$3:$A$500,$C29,'DADOS BRUTOS'!DH$3:DH$500)))</f>
        <v>0</v>
      </c>
      <c r="GI29" s="133" t="n">
        <f aca="false">IF(OR(GI$4="",$B29=""),0,SUMIF('DADOS BRUTOS'!$A$3:$A$500,$B29,'DADOS BRUTOS'!DI$3:DI$500)+IF($C29="",0,SUMIF('DADOS BRUTOS'!$A$3:$A$500,$C29,'DADOS BRUTOS'!DI$3:DI$500)))</f>
        <v>0</v>
      </c>
      <c r="GJ29" s="133" t="n">
        <f aca="false">IF(OR(GJ$4="",$B29=""),0,SUMIF('DADOS BRUTOS'!$A$3:$A$500,$B29,'DADOS BRUTOS'!DJ$3:DJ$500)+IF($C29="",0,SUMIF('DADOS BRUTOS'!$A$3:$A$500,$C29,'DADOS BRUTOS'!DJ$3:DJ$500)))</f>
        <v>0</v>
      </c>
      <c r="GK29" s="133" t="n">
        <f aca="false">IF(OR(GK$4="",$B29=""),0,SUMIF('DADOS BRUTOS'!$A$3:$A$500,$B29,'DADOS BRUTOS'!DK$3:DK$500)+IF($C29="",0,SUMIF('DADOS BRUTOS'!$A$3:$A$500,$C29,'DADOS BRUTOS'!DK$3:DK$500)))</f>
        <v>0</v>
      </c>
      <c r="GL29" s="133" t="n">
        <f aca="false">IF(OR(GL$4="",$B29=""),0,SUMIF('DADOS BRUTOS'!$A$3:$A$500,$B29,'DADOS BRUTOS'!DL$3:DL$500)+IF($C29="",0,SUMIF('DADOS BRUTOS'!$A$3:$A$500,$C29,'DADOS BRUTOS'!DL$3:DL$500)))</f>
        <v>0</v>
      </c>
      <c r="GM29" s="133" t="n">
        <f aca="false">IF(OR(GM$4="",$B29=""),0,SUMIF('DADOS BRUTOS'!$A$3:$A$500,$B29,'DADOS BRUTOS'!DM$3:DM$500)+IF($C29="",0,SUMIF('DADOS BRUTOS'!$A$3:$A$500,$C29,'DADOS BRUTOS'!DM$3:DM$500)))</f>
        <v>0</v>
      </c>
      <c r="GN29" s="133" t="n">
        <f aca="false">IF(OR(GN$4="",$B29=""),0,SUMIF('DADOS BRUTOS'!$A$3:$A$500,$B29,'DADOS BRUTOS'!DN$3:DN$500)+IF($C29="",0,SUMIF('DADOS BRUTOS'!$A$3:$A$500,$C29,'DADOS BRUTOS'!DN$3:DN$500)))</f>
        <v>0</v>
      </c>
      <c r="GO29" s="133" t="n">
        <f aca="false">IF(OR(GO$4="",$B29=""),0,SUMIF('DADOS BRUTOS'!$A$3:$A$500,$B29,'DADOS BRUTOS'!DO$3:DO$500)+IF($C29="",0,SUMIF('DADOS BRUTOS'!$A$3:$A$500,$C29,'DADOS BRUTOS'!DO$3:DO$500)))</f>
        <v>0</v>
      </c>
      <c r="GP29" s="133" t="n">
        <f aca="false">IF(OR(GP$4="",$B29=""),0,SUMIF('DADOS BRUTOS'!$A$3:$A$500,$B29,'DADOS BRUTOS'!DP$3:DP$500)+IF($C29="",0,SUMIF('DADOS BRUTOS'!$A$3:$A$500,$C29,'DADOS BRUTOS'!DP$3:DP$500)))</f>
        <v>0</v>
      </c>
      <c r="GQ29" s="133" t="n">
        <f aca="false">IF(OR(GQ$4="",$B29=""),0,SUMIF('DADOS BRUTOS'!$A$3:$A$500,$B29,'DADOS BRUTOS'!DQ$3:DQ$500)+IF($C29="",0,SUMIF('DADOS BRUTOS'!$A$3:$A$500,$C29,'DADOS BRUTOS'!DQ$3:DQ$500)))</f>
        <v>0</v>
      </c>
      <c r="GR29" s="133" t="n">
        <f aca="false">IF(OR(GR$4="",$B29=""),0,SUMIF('DADOS BRUTOS'!$A$3:$A$500,$B29,'DADOS BRUTOS'!DR$3:DR$500)+IF($C29="",0,SUMIF('DADOS BRUTOS'!$A$3:$A$500,$C29,'DADOS BRUTOS'!DR$3:DR$500)))</f>
        <v>0</v>
      </c>
      <c r="GS29" s="133" t="n">
        <f aca="false">IF(OR(GS$4="",$B29=""),0,SUMIF('DADOS BRUTOS'!$A$3:$A$500,$B29,'DADOS BRUTOS'!DS$3:DS$500)+IF($C29="",0,SUMIF('DADOS BRUTOS'!$A$3:$A$500,$C29,'DADOS BRUTOS'!DS$3:DS$500)))</f>
        <v>0</v>
      </c>
      <c r="GT29" s="133" t="n">
        <f aca="false">IF(OR(GT$4="",$B29=""),0,SUMIF('DADOS BRUTOS'!$A$3:$A$500,$B29,'DADOS BRUTOS'!DT$3:DT$500)+IF($C29="",0,SUMIF('DADOS BRUTOS'!$A$3:$A$500,$C29,'DADOS BRUTOS'!DT$3:DT$500)))</f>
        <v>0</v>
      </c>
      <c r="GU29" s="133" t="n">
        <f aca="false">IF(OR(GU$4="",$B29=""),0,SUMIF('DADOS BRUTOS'!$A$3:$A$500,$B29,'DADOS BRUTOS'!DU$3:DU$500)+IF($C29="",0,SUMIF('DADOS BRUTOS'!$A$3:$A$500,$C29,'DADOS BRUTOS'!DU$3:DU$500)))</f>
        <v>0</v>
      </c>
      <c r="GV29" s="133" t="n">
        <f aca="false">IF(OR(GV$4="",$B29=""),0,SUMIF('DADOS BRUTOS'!$A$3:$A$500,$B29,'DADOS BRUTOS'!DV$3:DV$500)+IF($C29="",0,SUMIF('DADOS BRUTOS'!$A$3:$A$500,$C29,'DADOS BRUTOS'!DV$3:DV$500)))</f>
        <v>0</v>
      </c>
      <c r="GW29" s="133" t="n">
        <f aca="false">IF(OR(GW$4="",$B29=""),0,SUMIF('DADOS BRUTOS'!$A$3:$A$500,$B29,'DADOS BRUTOS'!DW$3:DW$500)+IF($C29="",0,SUMIF('DADOS BRUTOS'!$A$3:$A$500,$C29,'DADOS BRUTOS'!DW$3:DW$500)))</f>
        <v>0</v>
      </c>
      <c r="GX29" s="133" t="n">
        <f aca="false">IF(OR(GX$4="",$B29=""),0,SUMIF('DADOS BRUTOS'!$A$3:$A$500,$B29,'DADOS BRUTOS'!DX$3:DX$500)+IF($C29="",0,SUMIF('DADOS BRUTOS'!$A$3:$A$500,$C29,'DADOS BRUTOS'!DX$3:DX$500)))</f>
        <v>0</v>
      </c>
      <c r="GY29" s="133" t="n">
        <f aca="false">IF(OR(GY$4="",$B29=""),0,SUMIF('DADOS BRUTOS'!$A$3:$A$500,$B29,'DADOS BRUTOS'!DY$3:DY$500)+IF($C29="",0,SUMIF('DADOS BRUTOS'!$A$3:$A$500,$C29,'DADOS BRUTOS'!DY$3:DY$500)))</f>
        <v>0</v>
      </c>
      <c r="GZ29" s="133" t="n">
        <f aca="false">IF(OR(GZ$4="",$B29=""),0,SUMIF('DADOS BRUTOS'!$A$3:$A$500,$B29,'DADOS BRUTOS'!DZ$3:DZ$500)+IF($C29="",0,SUMIF('DADOS BRUTOS'!$A$3:$A$500,$C29,'DADOS BRUTOS'!DZ$3:DZ$500)))</f>
        <v>0</v>
      </c>
      <c r="HA29" s="133" t="n">
        <f aca="false">IF(OR(HA$4="",$B29=""),0,SUMIF('DADOS BRUTOS'!$A$3:$A$500,$B29,'DADOS BRUTOS'!EA$3:EA$500)+IF($C29="",0,SUMIF('DADOS BRUTOS'!$A$3:$A$500,$C29,'DADOS BRUTOS'!EA$3:EA$500)))</f>
        <v>0</v>
      </c>
      <c r="HB29" s="133" t="n">
        <f aca="false">IF(OR(HB$4="",$B29=""),0,SUMIF('DADOS BRUTOS'!$A$3:$A$500,$B29,'DADOS BRUTOS'!EB$3:EB$500)+IF($C29="",0,SUMIF('DADOS BRUTOS'!$A$3:$A$500,$C29,'DADOS BRUTOS'!EB$3:EB$500)))</f>
        <v>0</v>
      </c>
      <c r="HC29" s="133" t="n">
        <f aca="false">IF(OR(HC$4="",$B29=""),0,SUMIF('DADOS BRUTOS'!$A$3:$A$500,$B29,'DADOS BRUTOS'!EC$3:EC$500)+IF($C29="",0,SUMIF('DADOS BRUTOS'!$A$3:$A$500,$C29,'DADOS BRUTOS'!EC$3:EC$500)))</f>
        <v>0</v>
      </c>
      <c r="HD29" s="133" t="n">
        <f aca="false">IF(OR(HD$4="",$B29=""),0,SUMIF('DADOS BRUTOS'!$A$3:$A$500,$B29,'DADOS BRUTOS'!ED$3:ED$500)+IF($C29="",0,SUMIF('DADOS BRUTOS'!$A$3:$A$500,$C29,'DADOS BRUTOS'!ED$3:ED$500)))</f>
        <v>0</v>
      </c>
      <c r="HE29" s="133" t="n">
        <f aca="false">IF(OR(HE$4="",$B29=""),0,SUMIF('DADOS BRUTOS'!$A$3:$A$500,$B29,'DADOS BRUTOS'!EE$3:EE$500)+IF($C29="",0,SUMIF('DADOS BRUTOS'!$A$3:$A$500,$C29,'DADOS BRUTOS'!EE$3:EE$500)))</f>
        <v>0</v>
      </c>
      <c r="HF29" s="133" t="n">
        <f aca="false">IF(OR(HF$4="",$B29=""),0,SUMIF('DADOS BRUTOS'!$A$3:$A$500,$B29,'DADOS BRUTOS'!EF$3:EF$500)+IF($C29="",0,SUMIF('DADOS BRUTOS'!$A$3:$A$500,$C29,'DADOS BRUTOS'!EF$3:EF$500)))</f>
        <v>0</v>
      </c>
      <c r="HG29" s="133" t="n">
        <f aca="false">IF(OR(HG$4="",$B29=""),0,SUMIF('DADOS BRUTOS'!$A$3:$A$500,$B29,'DADOS BRUTOS'!EG$3:EG$500)+IF($C29="",0,SUMIF('DADOS BRUTOS'!$A$3:$A$500,$C29,'DADOS BRUTOS'!EG$3:EG$500)))</f>
        <v>0</v>
      </c>
      <c r="HH29" s="133" t="n">
        <f aca="false">IF(OR(HH$4="",$B29=""),0,SUMIF('DADOS BRUTOS'!$A$3:$A$500,$B29,'DADOS BRUTOS'!EH$3:EH$500)+IF($C29="",0,SUMIF('DADOS BRUTOS'!$A$3:$A$500,$C29,'DADOS BRUTOS'!EH$3:EH$500)))</f>
        <v>0</v>
      </c>
      <c r="HI29" s="133" t="n">
        <f aca="false">IF(OR(HI$4="",$B29=""),0,SUMIF('DADOS BRUTOS'!$A$3:$A$500,$B29,'DADOS BRUTOS'!EI$3:EI$500)+IF($C29="",0,SUMIF('DADOS BRUTOS'!$A$3:$A$500,$C29,'DADOS BRUTOS'!EI$3:EI$500)))</f>
        <v>0</v>
      </c>
      <c r="HJ29" s="133" t="n">
        <f aca="false">IF(OR(HJ$4="",$B29=""),0,SUMIF('DADOS BRUTOS'!$A$3:$A$500,$B29,'DADOS BRUTOS'!EJ$3:EJ$500)+IF($C29="",0,SUMIF('DADOS BRUTOS'!$A$3:$A$500,$C29,'DADOS BRUTOS'!EJ$3:EJ$500)))</f>
        <v>0</v>
      </c>
      <c r="HK29" s="133" t="n">
        <f aca="false">IF(OR(HK$4="",$B29=""),0,SUMIF('DADOS BRUTOS'!$A$3:$A$500,$B29,'DADOS BRUTOS'!EK$3:EK$500)+IF($C29="",0,SUMIF('DADOS BRUTOS'!$A$3:$A$500,$C29,'DADOS BRUTOS'!EK$3:EK$500)))</f>
        <v>0</v>
      </c>
      <c r="HL29" s="133" t="n">
        <f aca="false">IF(OR(HL$4="",$B29=""),0,SUMIF('DADOS BRUTOS'!$A$3:$A$500,$B29,'DADOS BRUTOS'!EL$3:EL$500)+IF($C29="",0,SUMIF('DADOS BRUTOS'!$A$3:$A$500,$C29,'DADOS BRUTOS'!EL$3:EL$500)))</f>
        <v>0</v>
      </c>
      <c r="HM29" s="133" t="n">
        <f aca="false">IF(OR(HM$4="",$B29=""),0,SUMIF('DADOS BRUTOS'!$A$3:$A$500,$B29,'DADOS BRUTOS'!EM$3:EM$500)+IF($C29="",0,SUMIF('DADOS BRUTOS'!$A$3:$A$500,$C29,'DADOS BRUTOS'!EM$3:EM$500)))</f>
        <v>0</v>
      </c>
      <c r="HN29" s="133" t="n">
        <f aca="false">IF(OR(HN$4="",$B29=""),0,SUMIF('DADOS BRUTOS'!$A$3:$A$500,$B29,'DADOS BRUTOS'!EN$3:EN$500)+IF($C29="",0,SUMIF('DADOS BRUTOS'!$A$3:$A$500,$C29,'DADOS BRUTOS'!EN$3:EN$500)))</f>
        <v>0</v>
      </c>
      <c r="HO29" s="133" t="n">
        <f aca="false">IF(OR(HO$4="",$B29=""),0,SUMIF('DADOS BRUTOS'!$A$3:$A$500,$B29,'DADOS BRUTOS'!EO$3:EO$500)+IF($C29="",0,SUMIF('DADOS BRUTOS'!$A$3:$A$500,$C29,'DADOS BRUTOS'!EO$3:EO$500)))</f>
        <v>0</v>
      </c>
      <c r="HP29" s="133" t="n">
        <f aca="false">IF(OR(HP$4="",$B29=""),0,SUMIF('DADOS BRUTOS'!$A$3:$A$500,$B29,'DADOS BRUTOS'!EP$3:EP$500)+IF($C29="",0,SUMIF('DADOS BRUTOS'!$A$3:$A$500,$C29,'DADOS BRUTOS'!EP$3:EP$500)))</f>
        <v>0</v>
      </c>
      <c r="HQ29" s="133" t="n">
        <f aca="false">IF(OR(HQ$4="",$B29=""),0,SUMIF('DADOS BRUTOS'!$A$3:$A$500,$B29,'DADOS BRUTOS'!EQ$3:EQ$500)+IF($C29="",0,SUMIF('DADOS BRUTOS'!$A$3:$A$500,$C29,'DADOS BRUTOS'!EQ$3:EQ$500)))</f>
        <v>0</v>
      </c>
      <c r="HR29" s="133" t="n">
        <f aca="false">IF(OR(HR$4="",$B29=""),0,SUMIF('DADOS BRUTOS'!$A$3:$A$500,$B29,'DADOS BRUTOS'!ER$3:ER$500)+IF($C29="",0,SUMIF('DADOS BRUTOS'!$A$3:$A$500,$C29,'DADOS BRUTOS'!ER$3:ER$500)))</f>
        <v>0</v>
      </c>
      <c r="HS29" s="133" t="n">
        <f aca="false">IF(OR(HS$4="",$B29=""),0,SUMIF('DADOS BRUTOS'!$A$3:$A$500,$B29,'DADOS BRUTOS'!ES$3:ES$500)+IF($C29="",0,SUMIF('DADOS BRUTOS'!$A$3:$A$500,$C29,'DADOS BRUTOS'!ES$3:ES$500)))</f>
        <v>0</v>
      </c>
      <c r="HT29" s="133" t="n">
        <f aca="false">IF(OR(HT$4="",$B29=""),0,SUMIF('DADOS BRUTOS'!$A$3:$A$500,$B29,'DADOS BRUTOS'!ET$3:ET$500)+IF($C29="",0,SUMIF('DADOS BRUTOS'!$A$3:$A$500,$C29,'DADOS BRUTOS'!ET$3:ET$500)))</f>
        <v>0</v>
      </c>
      <c r="HU29" s="133" t="n">
        <f aca="false">IF(OR(HU$4="",$B29=""),0,SUMIF('DADOS BRUTOS'!$A$3:$A$500,$B29,'DADOS BRUTOS'!EU$3:EU$500)+IF($C29="",0,SUMIF('DADOS BRUTOS'!$A$3:$A$500,$C29,'DADOS BRUTOS'!EU$3:EU$500)))</f>
        <v>0</v>
      </c>
      <c r="HV29" s="133" t="n">
        <f aca="false">IF(OR(HV$4="",$B29=""),0,SUMIF('DADOS BRUTOS'!$A$3:$A$500,$B29,'DADOS BRUTOS'!EV$3:EV$500)+IF($C29="",0,SUMIF('DADOS BRUTOS'!$A$3:$A$500,$C29,'DADOS BRUTOS'!EV$3:EV$500)))</f>
        <v>0</v>
      </c>
      <c r="HW29" s="133" t="n">
        <f aca="false">IF(OR(HW$4="",$B29=""),0,SUMIF('DADOS BRUTOS'!$A$3:$A$500,$B29,'DADOS BRUTOS'!EW$3:EW$500)+IF($C29="",0,SUMIF('DADOS BRUTOS'!$A$3:$A$500,$C29,'DADOS BRUTOS'!EW$3:EW$500)))</f>
        <v>0</v>
      </c>
      <c r="HX29" s="133" t="n">
        <f aca="false">IF(OR(HX$4="",$B29=""),0,SUMIF('DADOS BRUTOS'!$A$3:$A$500,$B29,'DADOS BRUTOS'!EX$3:EX$500)+IF($C29="",0,SUMIF('DADOS BRUTOS'!$A$3:$A$500,$C29,'DADOS BRUTOS'!EX$3:EX$500)))</f>
        <v>0</v>
      </c>
      <c r="HY29" s="133" t="n">
        <f aca="false">IF(OR(HY$4="",$B29=""),0,SUMIF('DADOS BRUTOS'!$A$3:$A$500,$B29,'DADOS BRUTOS'!EY$3:EY$500)+IF($C29="",0,SUMIF('DADOS BRUTOS'!$A$3:$A$500,$C29,'DADOS BRUTOS'!EY$3:EY$500)))</f>
        <v>0</v>
      </c>
      <c r="HZ29" s="133" t="n">
        <f aca="false">IF(OR(HZ$4="",$B29=""),0,SUMIF('DADOS BRUTOS'!$A$3:$A$500,$B29,'DADOS BRUTOS'!EZ$3:EZ$500)+IF($C29="",0,SUMIF('DADOS BRUTOS'!$A$3:$A$500,$C29,'DADOS BRUTOS'!EZ$3:EZ$500)))</f>
        <v>0</v>
      </c>
      <c r="IA29" s="133" t="n">
        <f aca="false">IF(OR(IA$4="",$B29=""),0,SUMIF('DADOS BRUTOS'!$A$3:$A$500,$B29,'DADOS BRUTOS'!FA$3:FA$500)+IF($C29="",0,SUMIF('DADOS BRUTOS'!$A$3:$A$500,$C29,'DADOS BRUTOS'!FA$3:FA$500)))</f>
        <v>0</v>
      </c>
      <c r="IB29" s="133" t="n">
        <f aca="false">IF(OR(IB$4="",$B29=""),0,SUMIF('DADOS BRUTOS'!$A$3:$A$500,$B29,'DADOS BRUTOS'!FB$3:FB$500)+IF($C29="",0,SUMIF('DADOS BRUTOS'!$A$3:$A$500,$C29,'DADOS BRUTOS'!FB$3:FB$500)))</f>
        <v>0</v>
      </c>
      <c r="IC29" s="133" t="n">
        <f aca="false">IF(OR(IC$4="",$B29=""),0,SUMIF('DADOS BRUTOS'!$A$3:$A$500,$B29,'DADOS BRUTOS'!FC$3:FC$500)+IF($C29="",0,SUMIF('DADOS BRUTOS'!$A$3:$A$500,$C29,'DADOS BRUTOS'!FC$3:FC$500)))</f>
        <v>0</v>
      </c>
      <c r="ID29" s="133" t="n">
        <f aca="false">IF(OR(ID$4="",$B29=""),0,SUMIF('DADOS BRUTOS'!$A$3:$A$500,$B29,'DADOS BRUTOS'!FD$3:FD$500)+IF($C29="",0,SUMIF('DADOS BRUTOS'!$A$3:$A$500,$C29,'DADOS BRUTOS'!FD$3:FD$500)))</f>
        <v>0</v>
      </c>
      <c r="IE29" s="133" t="n">
        <f aca="false">IF(OR(IE$4="",$B29=""),0,SUMIF('DADOS BRUTOS'!$A$3:$A$500,$B29,'DADOS BRUTOS'!FE$3:FE$500)+IF($C29="",0,SUMIF('DADOS BRUTOS'!$A$3:$A$500,$C29,'DADOS BRUTOS'!FE$3:FE$500)))</f>
        <v>0</v>
      </c>
      <c r="IF29" s="133" t="n">
        <f aca="false">IF(OR(IF$4="",$B29=""),0,SUMIF('DADOS BRUTOS'!$A$3:$A$500,$B29,'DADOS BRUTOS'!FF$3:FF$500)+IF($C29="",0,SUMIF('DADOS BRUTOS'!$A$3:$A$500,$C29,'DADOS BRUTOS'!FF$3:FF$500)))</f>
        <v>0</v>
      </c>
      <c r="IG29" s="133" t="n">
        <f aca="false">IF(OR(IG$4="",$B29=""),0,SUMIF('DADOS BRUTOS'!$A$3:$A$500,$B29,'DADOS BRUTOS'!FG$3:FG$500)+IF($C29="",0,SUMIF('DADOS BRUTOS'!$A$3:$A$500,$C29,'DADOS BRUTOS'!FG$3:FG$500)))</f>
        <v>0</v>
      </c>
      <c r="IH29" s="133" t="n">
        <f aca="false">IF(OR(IH$4="",$B29=""),0,SUMIF('DADOS BRUTOS'!$A$3:$A$500,$B29,'DADOS BRUTOS'!FH$3:FH$500)+IF($C29="",0,SUMIF('DADOS BRUTOS'!$A$3:$A$500,$C29,'DADOS BRUTOS'!FH$3:FH$500)))</f>
        <v>0</v>
      </c>
      <c r="II29" s="133" t="n">
        <f aca="false">IF(OR(II$4="",$B29=""),0,SUMIF('DADOS BRUTOS'!$A$3:$A$500,$B29,'DADOS BRUTOS'!FI$3:FI$500)+IF($C29="",0,SUMIF('DADOS BRUTOS'!$A$3:$A$500,$C29,'DADOS BRUTOS'!FI$3:FI$500)))</f>
        <v>0</v>
      </c>
      <c r="IJ29" s="133" t="n">
        <f aca="false">IF(OR(IJ$4="",$B29=""),0,SUMIF('DADOS BRUTOS'!$A$3:$A$500,$B29,'DADOS BRUTOS'!FJ$3:FJ$500)+IF($C29="",0,SUMIF('DADOS BRUTOS'!$A$3:$A$500,$C29,'DADOS BRUTOS'!FJ$3:FJ$500)))</f>
        <v>0</v>
      </c>
      <c r="IK29" s="133" t="n">
        <f aca="false">IF(OR(IK$4="",$B29=""),0,SUMIF('DADOS BRUTOS'!$A$3:$A$500,$B29,'DADOS BRUTOS'!FK$3:FK$500)+IF($C29="",0,SUMIF('DADOS BRUTOS'!$A$3:$A$500,$C29,'DADOS BRUTOS'!FK$3:FK$500)))</f>
        <v>0</v>
      </c>
      <c r="IL29" s="133" t="n">
        <f aca="false">IF(OR(IL$4="",$B29=""),0,SUMIF('DADOS BRUTOS'!$A$3:$A$500,$B29,'DADOS BRUTOS'!FL$3:FL$500)+IF($C29="",0,SUMIF('DADOS BRUTOS'!$A$3:$A$500,$C29,'DADOS BRUTOS'!FL$3:FL$500)))</f>
        <v>0</v>
      </c>
      <c r="IM29" s="133" t="n">
        <f aca="false">IF(OR(IM$4="",$B29=""),0,SUMIF('DADOS BRUTOS'!$A$3:$A$500,$B29,'DADOS BRUTOS'!FM$3:FM$500)+IF($C29="",0,SUMIF('DADOS BRUTOS'!$A$3:$A$500,$C29,'DADOS BRUTOS'!FM$3:FM$500)))</f>
        <v>0</v>
      </c>
      <c r="IN29" s="133" t="n">
        <f aca="false">IF(OR(IN$4="",$B29=""),0,SUMIF('DADOS BRUTOS'!$A$3:$A$500,$B29,'DADOS BRUTOS'!FN$3:FN$500)+IF($C29="",0,SUMIF('DADOS BRUTOS'!$A$3:$A$500,$C29,'DADOS BRUTOS'!FN$3:FN$500)))</f>
        <v>0</v>
      </c>
      <c r="IO29" s="133" t="n">
        <f aca="false">IF(OR(IO$4="",$B29=""),0,SUMIF('DADOS BRUTOS'!$A$3:$A$500,$B29,'DADOS BRUTOS'!FO$3:FO$500)+IF($C29="",0,SUMIF('DADOS BRUTOS'!$A$3:$A$500,$C29,'DADOS BRUTOS'!FO$3:FO$500)))</f>
        <v>0</v>
      </c>
      <c r="IP29" s="133" t="n">
        <f aca="false">IF(OR(IP$4="",$B29=""),0,SUMIF('DADOS BRUTOS'!$A$3:$A$500,$B29,'DADOS BRUTOS'!FP$3:FP$500)+IF($C29="",0,SUMIF('DADOS BRUTOS'!$A$3:$A$500,$C29,'DADOS BRUTOS'!FP$3:FP$500)))</f>
        <v>0</v>
      </c>
      <c r="IQ29" s="133" t="n">
        <f aca="false">IF(OR(IQ$4="",$B29=""),0,SUMIF('DADOS BRUTOS'!$A$3:$A$500,$B29,'DADOS BRUTOS'!FQ$3:FQ$500)+IF($C29="",0,SUMIF('DADOS BRUTOS'!$A$3:$A$500,$C29,'DADOS BRUTOS'!FQ$3:FQ$500)))</f>
        <v>0</v>
      </c>
      <c r="IR29" s="133" t="n">
        <f aca="false">IF(OR(IR$4="",$B29=""),0,SUMIF('DADOS BRUTOS'!$A$3:$A$500,$B29,'DADOS BRUTOS'!FR$3:FR$500)+IF($C29="",0,SUMIF('DADOS BRUTOS'!$A$3:$A$500,$C29,'DADOS BRUTOS'!FR$3:FR$500)))</f>
        <v>0</v>
      </c>
      <c r="IS29" s="133" t="n">
        <f aca="false">IF(OR(IS$4="",$B29=""),0,SUMIF('DADOS BRUTOS'!$A$3:$A$500,$B29,'DADOS BRUTOS'!FS$3:FS$500)+IF($C29="",0,SUMIF('DADOS BRUTOS'!$A$3:$A$500,$C29,'DADOS BRUTOS'!FS$3:FS$500)))</f>
        <v>0</v>
      </c>
      <c r="IT29" s="133" t="n">
        <f aca="false">IF(OR(IT$4="",$B29=""),0,SUMIF('DADOS BRUTOS'!$A$3:$A$500,$B29,'DADOS BRUTOS'!FT$3:FT$500)+IF($C29="",0,SUMIF('DADOS BRUTOS'!$A$3:$A$500,$C29,'DADOS BRUTOS'!FT$3:FT$500)))</f>
        <v>0</v>
      </c>
      <c r="IU29" s="133" t="n">
        <f aca="false">IF(OR(IU$4="",$B29=""),0,SUMIF('DADOS BRUTOS'!$A$3:$A$500,$B29,'DADOS BRUTOS'!FU$3:FU$500)+IF($C29="",0,SUMIF('DADOS BRUTOS'!$A$3:$A$500,$C29,'DADOS BRUTOS'!FU$3:FU$500)))</f>
        <v>0</v>
      </c>
      <c r="IV29" s="133" t="n">
        <f aca="false">IF(OR(IV$4="",$B29=""),0,SUMIF('DADOS BRUTOS'!$A$3:$A$500,$B29,'DADOS BRUTOS'!FV$3:FV$500)+IF($C29="",0,SUMIF('DADOS BRUTOS'!$A$3:$A$500,$C29,'DADOS BRUTOS'!FV$3:FV$500)))</f>
        <v>0</v>
      </c>
      <c r="IW29" s="133" t="n">
        <f aca="false">IF(OR(IW$4="",$B29=""),0,SUMIF('DADOS BRUTOS'!$A$3:$A$500,$B29,'DADOS BRUTOS'!FW$3:FW$500)+IF($C29="",0,SUMIF('DADOS BRUTOS'!$A$3:$A$500,$C29,'DADOS BRUTOS'!FW$3:FW$500)))</f>
        <v>0</v>
      </c>
      <c r="IX29" s="133" t="n">
        <f aca="false">IF(OR(IX$4="",$B29=""),0,SUMIF('DADOS BRUTOS'!$A$3:$A$500,$B29,'DADOS BRUTOS'!FX$3:FX$500)+IF($C29="",0,SUMIF('DADOS BRUTOS'!$A$3:$A$500,$C29,'DADOS BRUTOS'!FX$3:FX$500)))</f>
        <v>0</v>
      </c>
      <c r="IY29" s="133" t="n">
        <f aca="false">IF(OR(IY$4="",$B29=""),0,SUMIF('DADOS BRUTOS'!$A$3:$A$500,$B29,'DADOS BRUTOS'!FY$3:FY$500)+IF($C29="",0,SUMIF('DADOS BRUTOS'!$A$3:$A$500,$C29,'DADOS BRUTOS'!FY$3:FY$500)))</f>
        <v>0</v>
      </c>
      <c r="IZ29" s="133" t="n">
        <f aca="false">IF(OR(IZ$4="",$B29=""),0,SUMIF('DADOS BRUTOS'!$A$3:$A$500,$B29,'DADOS BRUTOS'!FZ$3:FZ$500)+IF($C29="",0,SUMIF('DADOS BRUTOS'!$A$3:$A$500,$C29,'DADOS BRUTOS'!FZ$3:FZ$500)))</f>
        <v>0</v>
      </c>
      <c r="JA29" s="133" t="n">
        <f aca="false">IF(OR(JA$4="",$B29=""),0,SUMIF('DADOS BRUTOS'!$A$3:$A$500,$B29,'DADOS BRUTOS'!GA$3:GA$500)+IF($C29="",0,SUMIF('DADOS BRUTOS'!$A$3:$A$500,$C29,'DADOS BRUTOS'!GA$3:GA$500)))</f>
        <v>0</v>
      </c>
      <c r="JB29" s="133" t="n">
        <f aca="false">IF(OR(JB$4="",$B29=""),0,SUMIF('DADOS BRUTOS'!$A$3:$A$500,$B29,'DADOS BRUTOS'!GB$3:GB$500)+IF($C29="",0,SUMIF('DADOS BRUTOS'!$A$3:$A$500,$C29,'DADOS BRUTOS'!GB$3:GB$500)))</f>
        <v>0</v>
      </c>
      <c r="JC29" s="133" t="n">
        <f aca="false">IF(OR(JC$4="",$B29=""),0,SUMIF('DADOS BRUTOS'!$A$3:$A$500,$B29,'DADOS BRUTOS'!GC$3:GC$500)+IF($C29="",0,SUMIF('DADOS BRUTOS'!$A$3:$A$500,$C29,'DADOS BRUTOS'!GC$3:GC$500)))</f>
        <v>0</v>
      </c>
      <c r="JD29" s="133" t="n">
        <f aca="false">IF(OR(JD$4="",$B29=""),0,SUMIF('DADOS BRUTOS'!$A$3:$A$500,$B29,'DADOS BRUTOS'!GD$3:GD$500)+IF($C29="",0,SUMIF('DADOS BRUTOS'!$A$3:$A$500,$C29,'DADOS BRUTOS'!GD$3:GD$500)))</f>
        <v>0</v>
      </c>
      <c r="JE29" s="133" t="n">
        <f aca="false">IF(OR(JE$4="",$B29=""),0,SUMIF('DADOS BRUTOS'!$A$3:$A$500,$B29,'DADOS BRUTOS'!GE$3:GE$500)+IF($C29="",0,SUMIF('DADOS BRUTOS'!$A$3:$A$500,$C29,'DADOS BRUTOS'!GE$3:GE$500)))</f>
        <v>0</v>
      </c>
      <c r="JF29" s="133" t="n">
        <f aca="false">IF(OR(JF$4="",$B29=""),0,SUMIF('DADOS BRUTOS'!$A$3:$A$500,$B29,'DADOS BRUTOS'!GF$3:GF$500)+IF($C29="",0,SUMIF('DADOS BRUTOS'!$A$3:$A$500,$C29,'DADOS BRUTOS'!GF$3:GF$500)))</f>
        <v>0</v>
      </c>
      <c r="JG29" s="133" t="n">
        <f aca="false">IF(OR(JG$4="",$B29=""),0,SUMIF('DADOS BRUTOS'!$A$3:$A$500,$B29,'DADOS BRUTOS'!GG$3:GG$500)+IF($C29="",0,SUMIF('DADOS BRUTOS'!$A$3:$A$500,$C29,'DADOS BRUTOS'!GG$3:GG$500)))</f>
        <v>0</v>
      </c>
      <c r="JH29" s="133" t="n">
        <f aca="false">IF(OR(JH$4="",$B29=""),0,SUMIF('DADOS BRUTOS'!$A$3:$A$500,$B29,'DADOS BRUTOS'!GH$3:GH$500)+IF($C29="",0,SUMIF('DADOS BRUTOS'!$A$3:$A$500,$C29,'DADOS BRUTOS'!GH$3:GH$500)))</f>
        <v>0</v>
      </c>
      <c r="JI29" s="133" t="n">
        <f aca="false">IF(OR(JI$4="",$B29=""),0,SUMIF('DADOS BRUTOS'!$A$3:$A$500,$B29,'DADOS BRUTOS'!GI$3:GI$500)+IF($C29="",0,SUMIF('DADOS BRUTOS'!$A$3:$A$500,$C29,'DADOS BRUTOS'!GI$3:GI$500)))</f>
        <v>0</v>
      </c>
      <c r="JJ29" s="133" t="n">
        <f aca="false">IF(OR(JJ$4="",$B29=""),0,SUMIF('DADOS BRUTOS'!$A$3:$A$500,$B29,'DADOS BRUTOS'!GJ$3:GJ$500)+IF($C29="",0,SUMIF('DADOS BRUTOS'!$A$3:$A$500,$C29,'DADOS BRUTOS'!GJ$3:GJ$500)))</f>
        <v>0</v>
      </c>
      <c r="JK29" s="133" t="n">
        <f aca="false">IF(OR(JK$4="",$B29=""),0,SUMIF('DADOS BRUTOS'!$A$3:$A$500,$B29,'DADOS BRUTOS'!GK$3:GK$500)+IF($C29="",0,SUMIF('DADOS BRUTOS'!$A$3:$A$500,$C29,'DADOS BRUTOS'!GK$3:GK$500)))</f>
        <v>0</v>
      </c>
      <c r="JL29" s="133" t="n">
        <f aca="false">IF(OR(JL$4="",$B29=""),0,SUMIF('DADOS BRUTOS'!$A$3:$A$500,$B29,'DADOS BRUTOS'!GL$3:GL$500)+IF($C29="",0,SUMIF('DADOS BRUTOS'!$A$3:$A$500,$C29,'DADOS BRUTOS'!GL$3:GL$500)))</f>
        <v>0</v>
      </c>
      <c r="JM29" s="133" t="n">
        <f aca="false">IF(OR(JM$4="",$B29=""),0,SUMIF('DADOS BRUTOS'!$A$3:$A$500,$B29,'DADOS BRUTOS'!GM$3:GM$500)+IF($C29="",0,SUMIF('DADOS BRUTOS'!$A$3:$A$500,$C29,'DADOS BRUTOS'!GM$3:GM$500)))</f>
        <v>0</v>
      </c>
      <c r="JN29" s="133" t="n">
        <f aca="false">IF(OR(JN$4="",$B29=""),0,SUMIF('DADOS BRUTOS'!$A$3:$A$500,$B29,'DADOS BRUTOS'!GN$3:GN$500)+IF($C29="",0,SUMIF('DADOS BRUTOS'!$A$3:$A$500,$C29,'DADOS BRUTOS'!GN$3:GN$500)))</f>
        <v>0</v>
      </c>
      <c r="JO29" s="133" t="n">
        <f aca="false">IF(OR(JO$4="",$B29=""),0,SUMIF('DADOS BRUTOS'!$A$3:$A$500,$B29,'DADOS BRUTOS'!GO$3:GO$500)+IF($C29="",0,SUMIF('DADOS BRUTOS'!$A$3:$A$500,$C29,'DADOS BRUTOS'!GO$3:GO$500)))</f>
        <v>0</v>
      </c>
      <c r="JP29" s="133" t="n">
        <f aca="false">IF(OR(JP$4="",$B29=""),0,SUMIF('DADOS BRUTOS'!$A$3:$A$500,$B29,'DADOS BRUTOS'!GP$3:GP$500)+IF($C29="",0,SUMIF('DADOS BRUTOS'!$A$3:$A$500,$C29,'DADOS BRUTOS'!GP$3:GP$500)))</f>
        <v>0</v>
      </c>
      <c r="JQ29" s="133" t="n">
        <f aca="false">IF(OR(JQ$4="",$B29=""),0,SUMIF('DADOS BRUTOS'!$A$3:$A$500,$B29,'DADOS BRUTOS'!GQ$3:GQ$500)+IF($C29="",0,SUMIF('DADOS BRUTOS'!$A$3:$A$500,$C29,'DADOS BRUTOS'!GQ$3:GQ$500)))</f>
        <v>0</v>
      </c>
      <c r="JR29" s="133" t="n">
        <f aca="false">IF(OR(JR$4="",$B29=""),0,SUMIF('DADOS BRUTOS'!$A$3:$A$500,$B29,'DADOS BRUTOS'!GR$3:GR$500)+IF($C29="",0,SUMIF('DADOS BRUTOS'!$A$3:$A$500,$C29,'DADOS BRUTOS'!GR$3:GR$500)))</f>
        <v>0</v>
      </c>
      <c r="JS29" s="133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186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0</v>
      </c>
      <c r="Y30" s="50" t="n">
        <f aca="false">SUMIF($CB$4:$JS$4,Y$4,$CB30:$JS30)</f>
        <v>0</v>
      </c>
      <c r="Z30" s="50" t="n">
        <f aca="false">SUMIF($CB$4:$JS$4,Z$4,$CB30:$JS30)</f>
        <v>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0</v>
      </c>
      <c r="BZ30" s="45" t="n">
        <f aca="false">SUMPRODUCT(($CB$4:$JS$4&lt;&gt;"")*($CB$4:$JS$4&lt;=$D$4),$CB30:$JS30,$CB$1:$JS$1)</f>
        <v>0</v>
      </c>
      <c r="CB30" s="133" t="n">
        <f aca="false">IF(OR(CB$4="",$B30=""),0,SUMIF('DADOS BRUTOS'!$A$3:$A$500,$B30,'DADOS BRUTOS'!B$3:B$500)+IF($C30="",0,SUMIF('DADOS BRUTOS'!$A$3:$A$500,$C30,'DADOS BRUTOS'!B$3:B$500)))</f>
        <v>0</v>
      </c>
      <c r="CC30" s="133" t="n">
        <f aca="false">IF(OR(CC$4="",$B30=""),0,SUMIF('DADOS BRUTOS'!$A$3:$A$500,$B30,'DADOS BRUTOS'!C$3:C$500)+IF($C30="",0,SUMIF('DADOS BRUTOS'!$A$3:$A$500,$C30,'DADOS BRUTOS'!C$3:C$500)))</f>
        <v>0</v>
      </c>
      <c r="CD30" s="133" t="n">
        <f aca="false">IF(OR(CD$4="",$B30=""),0,SUMIF('DADOS BRUTOS'!$A$3:$A$500,$B30,'DADOS BRUTOS'!D$3:D$500)+IF($C30="",0,SUMIF('DADOS BRUTOS'!$A$3:$A$500,$C30,'DADOS BRUTOS'!D$3:D$500)))</f>
        <v>0</v>
      </c>
      <c r="CE30" s="133" t="n">
        <f aca="false">IF(OR(CE$4="",$B30=""),0,SUMIF('DADOS BRUTOS'!$A$3:$A$500,$B30,'DADOS BRUTOS'!E$3:E$500)+IF($C30="",0,SUMIF('DADOS BRUTOS'!$A$3:$A$500,$C30,'DADOS BRUTOS'!E$3:E$500)))</f>
        <v>0</v>
      </c>
      <c r="CF30" s="133" t="n">
        <f aca="false">IF(OR(CF$4="",$B30=""),0,SUMIF('DADOS BRUTOS'!$A$3:$A$500,$B30,'DADOS BRUTOS'!F$3:F$500)+IF($C30="",0,SUMIF('DADOS BRUTOS'!$A$3:$A$500,$C30,'DADOS BRUTOS'!F$3:F$500)))</f>
        <v>0</v>
      </c>
      <c r="CG30" s="133" t="n">
        <f aca="false">IF(OR(CG$4="",$B30=""),0,SUMIF('DADOS BRUTOS'!$A$3:$A$500,$B30,'DADOS BRUTOS'!G$3:G$500)+IF($C30="",0,SUMIF('DADOS BRUTOS'!$A$3:$A$500,$C30,'DADOS BRUTOS'!G$3:G$500)))</f>
        <v>0</v>
      </c>
      <c r="CH30" s="133" t="n">
        <f aca="false">IF(OR(CH$4="",$B30=""),0,SUMIF('DADOS BRUTOS'!$A$3:$A$500,$B30,'DADOS BRUTOS'!H$3:H$500)+IF($C30="",0,SUMIF('DADOS BRUTOS'!$A$3:$A$500,$C30,'DADOS BRUTOS'!H$3:H$500)))</f>
        <v>0</v>
      </c>
      <c r="CI30" s="133" t="n">
        <f aca="false">IF(OR(CI$4="",$B30=""),0,SUMIF('DADOS BRUTOS'!$A$3:$A$500,$B30,'DADOS BRUTOS'!I$3:I$500)+IF($C30="",0,SUMIF('DADOS BRUTOS'!$A$3:$A$500,$C30,'DADOS BRUTOS'!I$3:I$500)))</f>
        <v>0</v>
      </c>
      <c r="CJ30" s="133" t="n">
        <f aca="false">IF(OR(CJ$4="",$B30=""),0,SUMIF('DADOS BRUTOS'!$A$3:$A$500,$B30,'DADOS BRUTOS'!J$3:J$500)+IF($C30="",0,SUMIF('DADOS BRUTOS'!$A$3:$A$500,$C30,'DADOS BRUTOS'!J$3:J$500)))</f>
        <v>0</v>
      </c>
      <c r="CK30" s="133" t="n">
        <f aca="false">IF(OR(CK$4="",$B30=""),0,SUMIF('DADOS BRUTOS'!$A$3:$A$500,$B30,'DADOS BRUTOS'!K$3:K$500)+IF($C30="",0,SUMIF('DADOS BRUTOS'!$A$3:$A$500,$C30,'DADOS BRUTOS'!K$3:K$500)))</f>
        <v>0</v>
      </c>
      <c r="CL30" s="133" t="n">
        <f aca="false">IF(OR(CL$4="",$B30=""),0,SUMIF('DADOS BRUTOS'!$A$3:$A$500,$B30,'DADOS BRUTOS'!L$3:L$500)+IF($C30="",0,SUMIF('DADOS BRUTOS'!$A$3:$A$500,$C30,'DADOS BRUTOS'!L$3:L$500)))</f>
        <v>0</v>
      </c>
      <c r="CM30" s="133" t="n">
        <f aca="false">IF(OR(CM$4="",$B30=""),0,SUMIF('DADOS BRUTOS'!$A$3:$A$500,$B30,'DADOS BRUTOS'!M$3:M$500)+IF($C30="",0,SUMIF('DADOS BRUTOS'!$A$3:$A$500,$C30,'DADOS BRUTOS'!M$3:M$500)))</f>
        <v>0</v>
      </c>
      <c r="CN30" s="133" t="n">
        <f aca="false">IF(OR(CN$4="",$B30=""),0,SUMIF('DADOS BRUTOS'!$A$3:$A$500,$B30,'DADOS BRUTOS'!N$3:N$500)+IF($C30="",0,SUMIF('DADOS BRUTOS'!$A$3:$A$500,$C30,'DADOS BRUTOS'!N$3:N$500)))</f>
        <v>0</v>
      </c>
      <c r="CO30" s="133" t="n">
        <f aca="false">IF(OR(CO$4="",$B30=""),0,SUMIF('DADOS BRUTOS'!$A$3:$A$500,$B30,'DADOS BRUTOS'!O$3:O$500)+IF($C30="",0,SUMIF('DADOS BRUTOS'!$A$3:$A$500,$C30,'DADOS BRUTOS'!O$3:O$500)))</f>
        <v>0</v>
      </c>
      <c r="CP30" s="133" t="n">
        <f aca="false">IF(OR(CP$4="",$B30=""),0,SUMIF('DADOS BRUTOS'!$A$3:$A$500,$B30,'DADOS BRUTOS'!P$3:P$500)+IF($C30="",0,SUMIF('DADOS BRUTOS'!$A$3:$A$500,$C30,'DADOS BRUTOS'!P$3:P$500)))</f>
        <v>0</v>
      </c>
      <c r="CQ30" s="133" t="n">
        <f aca="false">IF(OR(CQ$4="",$B30=""),0,SUMIF('DADOS BRUTOS'!$A$3:$A$500,$B30,'DADOS BRUTOS'!Q$3:Q$500)+IF($C30="",0,SUMIF('DADOS BRUTOS'!$A$3:$A$500,$C30,'DADOS BRUTOS'!Q$3:Q$500)))</f>
        <v>0</v>
      </c>
      <c r="CR30" s="133" t="n">
        <f aca="false">IF(OR(CR$4="",$B30=""),0,SUMIF('DADOS BRUTOS'!$A$3:$A$500,$B30,'DADOS BRUTOS'!R$3:R$500)+IF($C30="",0,SUMIF('DADOS BRUTOS'!$A$3:$A$500,$C30,'DADOS BRUTOS'!R$3:R$500)))</f>
        <v>0</v>
      </c>
      <c r="CS30" s="133" t="n">
        <f aca="false">IF(OR(CS$4="",$B30=""),0,SUMIF('DADOS BRUTOS'!$A$3:$A$500,$B30,'DADOS BRUTOS'!S$3:S$500)+IF($C30="",0,SUMIF('DADOS BRUTOS'!$A$3:$A$500,$C30,'DADOS BRUTOS'!S$3:S$500)))</f>
        <v>0</v>
      </c>
      <c r="CT30" s="133" t="n">
        <f aca="false">IF(OR(CT$4="",$B30=""),0,SUMIF('DADOS BRUTOS'!$A$3:$A$500,$B30,'DADOS BRUTOS'!T$3:T$500)+IF($C30="",0,SUMIF('DADOS BRUTOS'!$A$3:$A$500,$C30,'DADOS BRUTOS'!T$3:T$500)))</f>
        <v>0</v>
      </c>
      <c r="CU30" s="133" t="n">
        <f aca="false">IF(OR(CU$4="",$B30=""),0,SUMIF('DADOS BRUTOS'!$A$3:$A$500,$B30,'DADOS BRUTOS'!U$3:U$500)+IF($C30="",0,SUMIF('DADOS BRUTOS'!$A$3:$A$500,$C30,'DADOS BRUTOS'!U$3:U$500)))</f>
        <v>0</v>
      </c>
      <c r="CV30" s="133" t="n">
        <f aca="false">IF(OR(CV$4="",$B30=""),0,SUMIF('DADOS BRUTOS'!$A$3:$A$500,$B30,'DADOS BRUTOS'!V$3:V$500)+IF($C30="",0,SUMIF('DADOS BRUTOS'!$A$3:$A$500,$C30,'DADOS BRUTOS'!V$3:V$500)))</f>
        <v>0</v>
      </c>
      <c r="CW30" s="133" t="n">
        <f aca="false">IF(OR(CW$4="",$B30=""),0,SUMIF('DADOS BRUTOS'!$A$3:$A$500,$B30,'DADOS BRUTOS'!W$3:W$500)+IF($C30="",0,SUMIF('DADOS BRUTOS'!$A$3:$A$500,$C30,'DADOS BRUTOS'!W$3:W$500)))</f>
        <v>0</v>
      </c>
      <c r="CX30" s="133" t="n">
        <f aca="false">IF(OR(CX$4="",$B30=""),0,SUMIF('DADOS BRUTOS'!$A$3:$A$500,$B30,'DADOS BRUTOS'!X$3:X$500)+IF($C30="",0,SUMIF('DADOS BRUTOS'!$A$3:$A$500,$C30,'DADOS BRUTOS'!X$3:X$500)))</f>
        <v>0</v>
      </c>
      <c r="CY30" s="133" t="n">
        <f aca="false">IF(OR(CY$4="",$B30=""),0,SUMIF('DADOS BRUTOS'!$A$3:$A$500,$B30,'DADOS BRUTOS'!Y$3:Y$500)+IF($C30="",0,SUMIF('DADOS BRUTOS'!$A$3:$A$500,$C30,'DADOS BRUTOS'!Y$3:Y$500)))</f>
        <v>0</v>
      </c>
      <c r="CZ30" s="133" t="n">
        <f aca="false">IF(OR(CZ$4="",$B30=""),0,SUMIF('DADOS BRUTOS'!$A$3:$A$500,$B30,'DADOS BRUTOS'!Z$3:Z$500)+IF($C30="",0,SUMIF('DADOS BRUTOS'!$A$3:$A$500,$C30,'DADOS BRUTOS'!Z$3:Z$500)))</f>
        <v>0</v>
      </c>
      <c r="DA30" s="133" t="n">
        <f aca="false">IF(OR(DA$4="",$B30=""),0,SUMIF('DADOS BRUTOS'!$A$3:$A$500,$B30,'DADOS BRUTOS'!AA$3:AA$500)+IF($C30="",0,SUMIF('DADOS BRUTOS'!$A$3:$A$500,$C30,'DADOS BRUTOS'!AA$3:AA$500)))</f>
        <v>0</v>
      </c>
      <c r="DB30" s="133" t="n">
        <f aca="false">IF(OR(DB$4="",$B30=""),0,SUMIF('DADOS BRUTOS'!$A$3:$A$500,$B30,'DADOS BRUTOS'!AB$3:AB$500)+IF($C30="",0,SUMIF('DADOS BRUTOS'!$A$3:$A$500,$C30,'DADOS BRUTOS'!AB$3:AB$500)))</f>
        <v>0</v>
      </c>
      <c r="DC30" s="133" t="n">
        <f aca="false">IF(OR(DC$4="",$B30=""),0,SUMIF('DADOS BRUTOS'!$A$3:$A$500,$B30,'DADOS BRUTOS'!AC$3:AC$500)+IF($C30="",0,SUMIF('DADOS BRUTOS'!$A$3:$A$500,$C30,'DADOS BRUTOS'!AC$3:AC$500)))</f>
        <v>0</v>
      </c>
      <c r="DD30" s="133" t="n">
        <f aca="false">IF(OR(DD$4="",$B30=""),0,SUMIF('DADOS BRUTOS'!$A$3:$A$500,$B30,'DADOS BRUTOS'!AD$3:AD$500)+IF($C30="",0,SUMIF('DADOS BRUTOS'!$A$3:$A$500,$C30,'DADOS BRUTOS'!AD$3:AD$500)))</f>
        <v>0</v>
      </c>
      <c r="DE30" s="133" t="n">
        <f aca="false">IF(OR(DE$4="",$B30=""),0,SUMIF('DADOS BRUTOS'!$A$3:$A$500,$B30,'DADOS BRUTOS'!AE$3:AE$500)+IF($C30="",0,SUMIF('DADOS BRUTOS'!$A$3:$A$500,$C30,'DADOS BRUTOS'!AE$3:AE$500)))</f>
        <v>0</v>
      </c>
      <c r="DF30" s="133" t="n">
        <f aca="false">IF(OR(DF$4="",$B30=""),0,SUMIF('DADOS BRUTOS'!$A$3:$A$500,$B30,'DADOS BRUTOS'!AF$3:AF$500)+IF($C30="",0,SUMIF('DADOS BRUTOS'!$A$3:$A$500,$C30,'DADOS BRUTOS'!AF$3:AF$500)))</f>
        <v>0</v>
      </c>
      <c r="DG30" s="133" t="n">
        <f aca="false">IF(OR(DG$4="",$B30=""),0,SUMIF('DADOS BRUTOS'!$A$3:$A$500,$B30,'DADOS BRUTOS'!AG$3:AG$500)+IF($C30="",0,SUMIF('DADOS BRUTOS'!$A$3:$A$500,$C30,'DADOS BRUTOS'!AG$3:AG$500)))</f>
        <v>0</v>
      </c>
      <c r="DH30" s="133" t="n">
        <f aca="false">IF(OR(DH$4="",$B30=""),0,SUMIF('DADOS BRUTOS'!$A$3:$A$500,$B30,'DADOS BRUTOS'!AH$3:AH$500)+IF($C30="",0,SUMIF('DADOS BRUTOS'!$A$3:$A$500,$C30,'DADOS BRUTOS'!AH$3:AH$500)))</f>
        <v>0</v>
      </c>
      <c r="DI30" s="133" t="n">
        <f aca="false">IF(OR(DI$4="",$B30=""),0,SUMIF('DADOS BRUTOS'!$A$3:$A$500,$B30,'DADOS BRUTOS'!AI$3:AI$500)+IF($C30="",0,SUMIF('DADOS BRUTOS'!$A$3:$A$500,$C30,'DADOS BRUTOS'!AI$3:AI$500)))</f>
        <v>0</v>
      </c>
      <c r="DJ30" s="133" t="n">
        <f aca="false">IF(OR(DJ$4="",$B30=""),0,SUMIF('DADOS BRUTOS'!$A$3:$A$500,$B30,'DADOS BRUTOS'!AJ$3:AJ$500)+IF($C30="",0,SUMIF('DADOS BRUTOS'!$A$3:$A$500,$C30,'DADOS BRUTOS'!AJ$3:AJ$500)))</f>
        <v>0</v>
      </c>
      <c r="DK30" s="133" t="n">
        <f aca="false">IF(OR(DK$4="",$B30=""),0,SUMIF('DADOS BRUTOS'!$A$3:$A$500,$B30,'DADOS BRUTOS'!AK$3:AK$500)+IF($C30="",0,SUMIF('DADOS BRUTOS'!$A$3:$A$500,$C30,'DADOS BRUTOS'!AK$3:AK$500)))</f>
        <v>0</v>
      </c>
      <c r="DL30" s="133" t="n">
        <f aca="false">IF(OR(DL$4="",$B30=""),0,SUMIF('DADOS BRUTOS'!$A$3:$A$500,$B30,'DADOS BRUTOS'!AL$3:AL$500)+IF($C30="",0,SUMIF('DADOS BRUTOS'!$A$3:$A$500,$C30,'DADOS BRUTOS'!AL$3:AL$500)))</f>
        <v>0</v>
      </c>
      <c r="DM30" s="133" t="n">
        <f aca="false">IF(OR(DM$4="",$B30=""),0,SUMIF('DADOS BRUTOS'!$A$3:$A$500,$B30,'DADOS BRUTOS'!AM$3:AM$500)+IF($C30="",0,SUMIF('DADOS BRUTOS'!$A$3:$A$500,$C30,'DADOS BRUTOS'!AM$3:AM$500)))</f>
        <v>0</v>
      </c>
      <c r="DN30" s="133" t="n">
        <f aca="false">IF(OR(DN$4="",$B30=""),0,SUMIF('DADOS BRUTOS'!$A$3:$A$500,$B30,'DADOS BRUTOS'!AN$3:AN$500)+IF($C30="",0,SUMIF('DADOS BRUTOS'!$A$3:$A$500,$C30,'DADOS BRUTOS'!AN$3:AN$500)))</f>
        <v>0</v>
      </c>
      <c r="DO30" s="133" t="n">
        <f aca="false">IF(OR(DO$4="",$B30=""),0,SUMIF('DADOS BRUTOS'!$A$3:$A$500,$B30,'DADOS BRUTOS'!AO$3:AO$500)+IF($C30="",0,SUMIF('DADOS BRUTOS'!$A$3:$A$500,$C30,'DADOS BRUTOS'!AO$3:AO$500)))</f>
        <v>0</v>
      </c>
      <c r="DP30" s="133" t="n">
        <f aca="false">IF(OR(DP$4="",$B30=""),0,SUMIF('DADOS BRUTOS'!$A$3:$A$500,$B30,'DADOS BRUTOS'!AP$3:AP$500)+IF($C30="",0,SUMIF('DADOS BRUTOS'!$A$3:$A$500,$C30,'DADOS BRUTOS'!AP$3:AP$500)))</f>
        <v>0</v>
      </c>
      <c r="DQ30" s="133" t="n">
        <f aca="false">IF(OR(DQ$4="",$B30=""),0,SUMIF('DADOS BRUTOS'!$A$3:$A$500,$B30,'DADOS BRUTOS'!AQ$3:AQ$500)+IF($C30="",0,SUMIF('DADOS BRUTOS'!$A$3:$A$500,$C30,'DADOS BRUTOS'!AQ$3:AQ$500)))</f>
        <v>0</v>
      </c>
      <c r="DR30" s="133" t="n">
        <f aca="false">IF(OR(DR$4="",$B30=""),0,SUMIF('DADOS BRUTOS'!$A$3:$A$500,$B30,'DADOS BRUTOS'!AR$3:AR$500)+IF($C30="",0,SUMIF('DADOS BRUTOS'!$A$3:$A$500,$C30,'DADOS BRUTOS'!AR$3:AR$500)))</f>
        <v>0</v>
      </c>
      <c r="DS30" s="133" t="n">
        <f aca="false">IF(OR(DS$4="",$B30=""),0,SUMIF('DADOS BRUTOS'!$A$3:$A$500,$B30,'DADOS BRUTOS'!AS$3:AS$500)+IF($C30="",0,SUMIF('DADOS BRUTOS'!$A$3:$A$500,$C30,'DADOS BRUTOS'!AS$3:AS$500)))</f>
        <v>0</v>
      </c>
      <c r="DT30" s="133" t="n">
        <f aca="false">IF(OR(DT$4="",$B30=""),0,SUMIF('DADOS BRUTOS'!$A$3:$A$500,$B30,'DADOS BRUTOS'!AT$3:AT$500)+IF($C30="",0,SUMIF('DADOS BRUTOS'!$A$3:$A$500,$C30,'DADOS BRUTOS'!AT$3:AT$500)))</f>
        <v>0</v>
      </c>
      <c r="DU30" s="133" t="n">
        <f aca="false">IF(OR(DU$4="",$B30=""),0,SUMIF('DADOS BRUTOS'!$A$3:$A$500,$B30,'DADOS BRUTOS'!AU$3:AU$500)+IF($C30="",0,SUMIF('DADOS BRUTOS'!$A$3:$A$500,$C30,'DADOS BRUTOS'!AU$3:AU$500)))</f>
        <v>0</v>
      </c>
      <c r="DV30" s="133" t="n">
        <f aca="false">IF(OR(DV$4="",$B30=""),0,SUMIF('DADOS BRUTOS'!$A$3:$A$500,$B30,'DADOS BRUTOS'!AV$3:AV$500)+IF($C30="",0,SUMIF('DADOS BRUTOS'!$A$3:$A$500,$C30,'DADOS BRUTOS'!AV$3:AV$500)))</f>
        <v>0</v>
      </c>
      <c r="DW30" s="133" t="n">
        <f aca="false">IF(OR(DW$4="",$B30=""),0,SUMIF('DADOS BRUTOS'!$A$3:$A$500,$B30,'DADOS BRUTOS'!AW$3:AW$500)+IF($C30="",0,SUMIF('DADOS BRUTOS'!$A$3:$A$500,$C30,'DADOS BRUTOS'!AW$3:AW$500)))</f>
        <v>0</v>
      </c>
      <c r="DX30" s="133" t="n">
        <f aca="false">IF(OR(DX$4="",$B30=""),0,SUMIF('DADOS BRUTOS'!$A$3:$A$500,$B30,'DADOS BRUTOS'!AX$3:AX$500)+IF($C30="",0,SUMIF('DADOS BRUTOS'!$A$3:$A$500,$C30,'DADOS BRUTOS'!AX$3:AX$500)))</f>
        <v>0</v>
      </c>
      <c r="DY30" s="133" t="n">
        <f aca="false">IF(OR(DY$4="",$B30=""),0,SUMIF('DADOS BRUTOS'!$A$3:$A$500,$B30,'DADOS BRUTOS'!AY$3:AY$500)+IF($C30="",0,SUMIF('DADOS BRUTOS'!$A$3:$A$500,$C30,'DADOS BRUTOS'!AY$3:AY$500)))</f>
        <v>0</v>
      </c>
      <c r="DZ30" s="133" t="n">
        <f aca="false">IF(OR(DZ$4="",$B30=""),0,SUMIF('DADOS BRUTOS'!$A$3:$A$500,$B30,'DADOS BRUTOS'!AZ$3:AZ$500)+IF($C30="",0,SUMIF('DADOS BRUTOS'!$A$3:$A$500,$C30,'DADOS BRUTOS'!AZ$3:AZ$500)))</f>
        <v>0</v>
      </c>
      <c r="EA30" s="133" t="n">
        <f aca="false">IF(OR(EA$4="",$B30=""),0,SUMIF('DADOS BRUTOS'!$A$3:$A$500,$B30,'DADOS BRUTOS'!BA$3:BA$500)+IF($C30="",0,SUMIF('DADOS BRUTOS'!$A$3:$A$500,$C30,'DADOS BRUTOS'!BA$3:BA$500)))</f>
        <v>0</v>
      </c>
      <c r="EB30" s="133" t="n">
        <f aca="false">IF(OR(EB$4="",$B30=""),0,SUMIF('DADOS BRUTOS'!$A$3:$A$500,$B30,'DADOS BRUTOS'!BB$3:BB$500)+IF($C30="",0,SUMIF('DADOS BRUTOS'!$A$3:$A$500,$C30,'DADOS BRUTOS'!BB$3:BB$500)))</f>
        <v>0</v>
      </c>
      <c r="EC30" s="133" t="n">
        <f aca="false">IF(OR(EC$4="",$B30=""),0,SUMIF('DADOS BRUTOS'!$A$3:$A$500,$B30,'DADOS BRUTOS'!BC$3:BC$500)+IF($C30="",0,SUMIF('DADOS BRUTOS'!$A$3:$A$500,$C30,'DADOS BRUTOS'!BC$3:BC$500)))</f>
        <v>0</v>
      </c>
      <c r="ED30" s="133" t="n">
        <f aca="false">IF(OR(ED$4="",$B30=""),0,SUMIF('DADOS BRUTOS'!$A$3:$A$500,$B30,'DADOS BRUTOS'!BD$3:BD$500)+IF($C30="",0,SUMIF('DADOS BRUTOS'!$A$3:$A$500,$C30,'DADOS BRUTOS'!BD$3:BD$500)))</f>
        <v>0</v>
      </c>
      <c r="EE30" s="133" t="n">
        <f aca="false">IF(OR(EE$4="",$B30=""),0,SUMIF('DADOS BRUTOS'!$A$3:$A$500,$B30,'DADOS BRUTOS'!BE$3:BE$500)+IF($C30="",0,SUMIF('DADOS BRUTOS'!$A$3:$A$500,$C30,'DADOS BRUTOS'!BE$3:BE$500)))</f>
        <v>0</v>
      </c>
      <c r="EF30" s="133" t="n">
        <f aca="false">IF(OR(EF$4="",$B30=""),0,SUMIF('DADOS BRUTOS'!$A$3:$A$500,$B30,'DADOS BRUTOS'!BF$3:BF$500)+IF($C30="",0,SUMIF('DADOS BRUTOS'!$A$3:$A$500,$C30,'DADOS BRUTOS'!BF$3:BF$500)))</f>
        <v>0</v>
      </c>
      <c r="EG30" s="133" t="n">
        <f aca="false">IF(OR(EG$4="",$B30=""),0,SUMIF('DADOS BRUTOS'!$A$3:$A$500,$B30,'DADOS BRUTOS'!BG$3:BG$500)+IF($C30="",0,SUMIF('DADOS BRUTOS'!$A$3:$A$500,$C30,'DADOS BRUTOS'!BG$3:BG$500)))</f>
        <v>0</v>
      </c>
      <c r="EH30" s="133" t="n">
        <f aca="false">IF(OR(EH$4="",$B30=""),0,SUMIF('DADOS BRUTOS'!$A$3:$A$500,$B30,'DADOS BRUTOS'!BH$3:BH$500)+IF($C30="",0,SUMIF('DADOS BRUTOS'!$A$3:$A$500,$C30,'DADOS BRUTOS'!BH$3:BH$500)))</f>
        <v>0</v>
      </c>
      <c r="EI30" s="133" t="n">
        <f aca="false">IF(OR(EI$4="",$B30=""),0,SUMIF('DADOS BRUTOS'!$A$3:$A$500,$B30,'DADOS BRUTOS'!BI$3:BI$500)+IF($C30="",0,SUMIF('DADOS BRUTOS'!$A$3:$A$500,$C30,'DADOS BRUTOS'!BI$3:BI$500)))</f>
        <v>0</v>
      </c>
      <c r="EJ30" s="133" t="n">
        <f aca="false">IF(OR(EJ$4="",$B30=""),0,SUMIF('DADOS BRUTOS'!$A$3:$A$500,$B30,'DADOS BRUTOS'!BJ$3:BJ$500)+IF($C30="",0,SUMIF('DADOS BRUTOS'!$A$3:$A$500,$C30,'DADOS BRUTOS'!BJ$3:BJ$500)))</f>
        <v>0</v>
      </c>
      <c r="EK30" s="133" t="n">
        <f aca="false">IF(OR(EK$4="",$B30=""),0,SUMIF('DADOS BRUTOS'!$A$3:$A$500,$B30,'DADOS BRUTOS'!BK$3:BK$500)+IF($C30="",0,SUMIF('DADOS BRUTOS'!$A$3:$A$500,$C30,'DADOS BRUTOS'!BK$3:BK$500)))</f>
        <v>0</v>
      </c>
      <c r="EL30" s="133" t="n">
        <f aca="false">IF(OR(EL$4="",$B30=""),0,SUMIF('DADOS BRUTOS'!$A$3:$A$500,$B30,'DADOS BRUTOS'!BL$3:BL$500)+IF($C30="",0,SUMIF('DADOS BRUTOS'!$A$3:$A$500,$C30,'DADOS BRUTOS'!BL$3:BL$500)))</f>
        <v>0</v>
      </c>
      <c r="EM30" s="133" t="n">
        <f aca="false">IF(OR(EM$4="",$B30=""),0,SUMIF('DADOS BRUTOS'!$A$3:$A$500,$B30,'DADOS BRUTOS'!BM$3:BM$500)+IF($C30="",0,SUMIF('DADOS BRUTOS'!$A$3:$A$500,$C30,'DADOS BRUTOS'!BM$3:BM$500)))</f>
        <v>0</v>
      </c>
      <c r="EN30" s="133" t="n">
        <f aca="false">IF(OR(EN$4="",$B30=""),0,SUMIF('DADOS BRUTOS'!$A$3:$A$500,$B30,'DADOS BRUTOS'!BN$3:BN$500)+IF($C30="",0,SUMIF('DADOS BRUTOS'!$A$3:$A$500,$C30,'DADOS BRUTOS'!BN$3:BN$500)))</f>
        <v>0</v>
      </c>
      <c r="EO30" s="133" t="n">
        <f aca="false">IF(OR(EO$4="",$B30=""),0,SUMIF('DADOS BRUTOS'!$A$3:$A$500,$B30,'DADOS BRUTOS'!BO$3:BO$500)+IF($C30="",0,SUMIF('DADOS BRUTOS'!$A$3:$A$500,$C30,'DADOS BRUTOS'!BO$3:BO$500)))</f>
        <v>0</v>
      </c>
      <c r="EP30" s="133" t="n">
        <f aca="false">IF(OR(EP$4="",$B30=""),0,SUMIF('DADOS BRUTOS'!$A$3:$A$500,$B30,'DADOS BRUTOS'!BP$3:BP$500)+IF($C30="",0,SUMIF('DADOS BRUTOS'!$A$3:$A$500,$C30,'DADOS BRUTOS'!BP$3:BP$500)))</f>
        <v>0</v>
      </c>
      <c r="EQ30" s="133" t="n">
        <f aca="false">IF(OR(EQ$4="",$B30=""),0,SUMIF('DADOS BRUTOS'!$A$3:$A$500,$B30,'DADOS BRUTOS'!BQ$3:BQ$500)+IF($C30="",0,SUMIF('DADOS BRUTOS'!$A$3:$A$500,$C30,'DADOS BRUTOS'!BQ$3:BQ$500)))</f>
        <v>0</v>
      </c>
      <c r="ER30" s="133" t="n">
        <f aca="false">IF(OR(ER$4="",$B30=""),0,SUMIF('DADOS BRUTOS'!$A$3:$A$500,$B30,'DADOS BRUTOS'!BR$3:BR$500)+IF($C30="",0,SUMIF('DADOS BRUTOS'!$A$3:$A$500,$C30,'DADOS BRUTOS'!BR$3:BR$500)))</f>
        <v>0</v>
      </c>
      <c r="ES30" s="133" t="n">
        <f aca="false">IF(OR(ES$4="",$B30=""),0,SUMIF('DADOS BRUTOS'!$A$3:$A$500,$B30,'DADOS BRUTOS'!BS$3:BS$500)+IF($C30="",0,SUMIF('DADOS BRUTOS'!$A$3:$A$500,$C30,'DADOS BRUTOS'!BS$3:BS$500)))</f>
        <v>0</v>
      </c>
      <c r="ET30" s="133" t="n">
        <f aca="false">IF(OR(ET$4="",$B30=""),0,SUMIF('DADOS BRUTOS'!$A$3:$A$500,$B30,'DADOS BRUTOS'!BT$3:BT$500)+IF($C30="",0,SUMIF('DADOS BRUTOS'!$A$3:$A$500,$C30,'DADOS BRUTOS'!BT$3:BT$500)))</f>
        <v>0</v>
      </c>
      <c r="EU30" s="133" t="n">
        <f aca="false">IF(OR(EU$4="",$B30=""),0,SUMIF('DADOS BRUTOS'!$A$3:$A$500,$B30,'DADOS BRUTOS'!BU$3:BU$500)+IF($C30="",0,SUMIF('DADOS BRUTOS'!$A$3:$A$500,$C30,'DADOS BRUTOS'!BU$3:BU$500)))</f>
        <v>0</v>
      </c>
      <c r="EV30" s="133" t="n">
        <f aca="false">IF(OR(EV$4="",$B30=""),0,SUMIF('DADOS BRUTOS'!$A$3:$A$500,$B30,'DADOS BRUTOS'!BV$3:BV$500)+IF($C30="",0,SUMIF('DADOS BRUTOS'!$A$3:$A$500,$C30,'DADOS BRUTOS'!BV$3:BV$500)))</f>
        <v>0</v>
      </c>
      <c r="EW30" s="133" t="n">
        <f aca="false">IF(OR(EW$4="",$B30=""),0,SUMIF('DADOS BRUTOS'!$A$3:$A$500,$B30,'DADOS BRUTOS'!BW$3:BW$500)+IF($C30="",0,SUMIF('DADOS BRUTOS'!$A$3:$A$500,$C30,'DADOS BRUTOS'!BW$3:BW$500)))</f>
        <v>0</v>
      </c>
      <c r="EX30" s="133" t="n">
        <f aca="false">IF(OR(EX$4="",$B30=""),0,SUMIF('DADOS BRUTOS'!$A$3:$A$500,$B30,'DADOS BRUTOS'!BX$3:BX$500)+IF($C30="",0,SUMIF('DADOS BRUTOS'!$A$3:$A$500,$C30,'DADOS BRUTOS'!BX$3:BX$500)))</f>
        <v>0</v>
      </c>
      <c r="EY30" s="133" t="n">
        <f aca="false">IF(OR(EY$4="",$B30=""),0,SUMIF('DADOS BRUTOS'!$A$3:$A$500,$B30,'DADOS BRUTOS'!BY$3:BY$500)+IF($C30="",0,SUMIF('DADOS BRUTOS'!$A$3:$A$500,$C30,'DADOS BRUTOS'!BY$3:BY$500)))</f>
        <v>0</v>
      </c>
      <c r="EZ30" s="133" t="n">
        <f aca="false">IF(OR(EZ$4="",$B30=""),0,SUMIF('DADOS BRUTOS'!$A$3:$A$500,$B30,'DADOS BRUTOS'!BZ$3:BZ$500)+IF($C30="",0,SUMIF('DADOS BRUTOS'!$A$3:$A$500,$C30,'DADOS BRUTOS'!BZ$3:BZ$500)))</f>
        <v>0</v>
      </c>
      <c r="FA30" s="133" t="n">
        <f aca="false">IF(OR(FA$4="",$B30=""),0,SUMIF('DADOS BRUTOS'!$A$3:$A$500,$B30,'DADOS BRUTOS'!CA$3:CA$500)+IF($C30="",0,SUMIF('DADOS BRUTOS'!$A$3:$A$500,$C30,'DADOS BRUTOS'!CA$3:CA$500)))</f>
        <v>0</v>
      </c>
      <c r="FB30" s="133" t="n">
        <f aca="false">IF(OR(FB$4="",$B30=""),0,SUMIF('DADOS BRUTOS'!$A$3:$A$500,$B30,'DADOS BRUTOS'!CB$3:CB$500)+IF($C30="",0,SUMIF('DADOS BRUTOS'!$A$3:$A$500,$C30,'DADOS BRUTOS'!CB$3:CB$500)))</f>
        <v>0</v>
      </c>
      <c r="FC30" s="133" t="n">
        <f aca="false">IF(OR(FC$4="",$B30=""),0,SUMIF('DADOS BRUTOS'!$A$3:$A$500,$B30,'DADOS BRUTOS'!CC$3:CC$500)+IF($C30="",0,SUMIF('DADOS BRUTOS'!$A$3:$A$500,$C30,'DADOS BRUTOS'!CC$3:CC$500)))</f>
        <v>0</v>
      </c>
      <c r="FD30" s="133" t="n">
        <f aca="false">IF(OR(FD$4="",$B30=""),0,SUMIF('DADOS BRUTOS'!$A$3:$A$500,$B30,'DADOS BRUTOS'!CD$3:CD$500)+IF($C30="",0,SUMIF('DADOS BRUTOS'!$A$3:$A$500,$C30,'DADOS BRUTOS'!CD$3:CD$500)))</f>
        <v>0</v>
      </c>
      <c r="FE30" s="133" t="n">
        <f aca="false">IF(OR(FE$4="",$B30=""),0,SUMIF('DADOS BRUTOS'!$A$3:$A$500,$B30,'DADOS BRUTOS'!CE$3:CE$500)+IF($C30="",0,SUMIF('DADOS BRUTOS'!$A$3:$A$500,$C30,'DADOS BRUTOS'!CE$3:CE$500)))</f>
        <v>0</v>
      </c>
      <c r="FF30" s="133" t="n">
        <f aca="false">IF(OR(FF$4="",$B30=""),0,SUMIF('DADOS BRUTOS'!$A$3:$A$500,$B30,'DADOS BRUTOS'!CF$3:CF$500)+IF($C30="",0,SUMIF('DADOS BRUTOS'!$A$3:$A$500,$C30,'DADOS BRUTOS'!CF$3:CF$500)))</f>
        <v>0</v>
      </c>
      <c r="FG30" s="133" t="n">
        <f aca="false">IF(OR(FG$4="",$B30=""),0,SUMIF('DADOS BRUTOS'!$A$3:$A$500,$B30,'DADOS BRUTOS'!CG$3:CG$500)+IF($C30="",0,SUMIF('DADOS BRUTOS'!$A$3:$A$500,$C30,'DADOS BRUTOS'!CG$3:CG$500)))</f>
        <v>0</v>
      </c>
      <c r="FH30" s="133" t="n">
        <f aca="false">IF(OR(FH$4="",$B30=""),0,SUMIF('DADOS BRUTOS'!$A$3:$A$500,$B30,'DADOS BRUTOS'!CH$3:CH$500)+IF($C30="",0,SUMIF('DADOS BRUTOS'!$A$3:$A$500,$C30,'DADOS BRUTOS'!CH$3:CH$500)))</f>
        <v>0</v>
      </c>
      <c r="FI30" s="133" t="n">
        <f aca="false">IF(OR(FI$4="",$B30=""),0,SUMIF('DADOS BRUTOS'!$A$3:$A$500,$B30,'DADOS BRUTOS'!CI$3:CI$500)+IF($C30="",0,SUMIF('DADOS BRUTOS'!$A$3:$A$500,$C30,'DADOS BRUTOS'!CI$3:CI$500)))</f>
        <v>0</v>
      </c>
      <c r="FJ30" s="133" t="n">
        <f aca="false">IF(OR(FJ$4="",$B30=""),0,SUMIF('DADOS BRUTOS'!$A$3:$A$500,$B30,'DADOS BRUTOS'!CJ$3:CJ$500)+IF($C30="",0,SUMIF('DADOS BRUTOS'!$A$3:$A$500,$C30,'DADOS BRUTOS'!CJ$3:CJ$500)))</f>
        <v>0</v>
      </c>
      <c r="FK30" s="133" t="n">
        <f aca="false">IF(OR(FK$4="",$B30=""),0,SUMIF('DADOS BRUTOS'!$A$3:$A$500,$B30,'DADOS BRUTOS'!CK$3:CK$500)+IF($C30="",0,SUMIF('DADOS BRUTOS'!$A$3:$A$500,$C30,'DADOS BRUTOS'!CK$3:CK$500)))</f>
        <v>0</v>
      </c>
      <c r="FL30" s="133" t="n">
        <f aca="false">IF(OR(FL$4="",$B30=""),0,SUMIF('DADOS BRUTOS'!$A$3:$A$500,$B30,'DADOS BRUTOS'!CL$3:CL$500)+IF($C30="",0,SUMIF('DADOS BRUTOS'!$A$3:$A$500,$C30,'DADOS BRUTOS'!CL$3:CL$500)))</f>
        <v>0</v>
      </c>
      <c r="FM30" s="133" t="n">
        <f aca="false">IF(OR(FM$4="",$B30=""),0,SUMIF('DADOS BRUTOS'!$A$3:$A$500,$B30,'DADOS BRUTOS'!CM$3:CM$500)+IF($C30="",0,SUMIF('DADOS BRUTOS'!$A$3:$A$500,$C30,'DADOS BRUTOS'!CM$3:CM$500)))</f>
        <v>0</v>
      </c>
      <c r="FN30" s="133" t="n">
        <f aca="false">IF(OR(FN$4="",$B30=""),0,SUMIF('DADOS BRUTOS'!$A$3:$A$500,$B30,'DADOS BRUTOS'!CN$3:CN$500)+IF($C30="",0,SUMIF('DADOS BRUTOS'!$A$3:$A$500,$C30,'DADOS BRUTOS'!CN$3:CN$500)))</f>
        <v>0</v>
      </c>
      <c r="FO30" s="133" t="n">
        <f aca="false">IF(OR(FO$4="",$B30=""),0,SUMIF('DADOS BRUTOS'!$A$3:$A$500,$B30,'DADOS BRUTOS'!CO$3:CO$500)+IF($C30="",0,SUMIF('DADOS BRUTOS'!$A$3:$A$500,$C30,'DADOS BRUTOS'!CO$3:CO$500)))</f>
        <v>0</v>
      </c>
      <c r="FP30" s="133" t="n">
        <f aca="false">IF(OR(FP$4="",$B30=""),0,SUMIF('DADOS BRUTOS'!$A$3:$A$500,$B30,'DADOS BRUTOS'!CP$3:CP$500)+IF($C30="",0,SUMIF('DADOS BRUTOS'!$A$3:$A$500,$C30,'DADOS BRUTOS'!CP$3:CP$500)))</f>
        <v>0</v>
      </c>
      <c r="FQ30" s="133" t="n">
        <f aca="false">IF(OR(FQ$4="",$B30=""),0,SUMIF('DADOS BRUTOS'!$A$3:$A$500,$B30,'DADOS BRUTOS'!CQ$3:CQ$500)+IF($C30="",0,SUMIF('DADOS BRUTOS'!$A$3:$A$500,$C30,'DADOS BRUTOS'!CQ$3:CQ$500)))</f>
        <v>0</v>
      </c>
      <c r="FR30" s="133" t="n">
        <f aca="false">IF(OR(FR$4="",$B30=""),0,SUMIF('DADOS BRUTOS'!$A$3:$A$500,$B30,'DADOS BRUTOS'!CR$3:CR$500)+IF($C30="",0,SUMIF('DADOS BRUTOS'!$A$3:$A$500,$C30,'DADOS BRUTOS'!CR$3:CR$500)))</f>
        <v>0</v>
      </c>
      <c r="FS30" s="133" t="n">
        <f aca="false">IF(OR(FS$4="",$B30=""),0,SUMIF('DADOS BRUTOS'!$A$3:$A$500,$B30,'DADOS BRUTOS'!CS$3:CS$500)+IF($C30="",0,SUMIF('DADOS BRUTOS'!$A$3:$A$500,$C30,'DADOS BRUTOS'!CS$3:CS$500)))</f>
        <v>0</v>
      </c>
      <c r="FT30" s="133" t="n">
        <f aca="false">IF(OR(FT$4="",$B30=""),0,SUMIF('DADOS BRUTOS'!$A$3:$A$500,$B30,'DADOS BRUTOS'!CT$3:CT$500)+IF($C30="",0,SUMIF('DADOS BRUTOS'!$A$3:$A$500,$C30,'DADOS BRUTOS'!CT$3:CT$500)))</f>
        <v>0</v>
      </c>
      <c r="FU30" s="133" t="n">
        <f aca="false">IF(OR(FU$4="",$B30=""),0,SUMIF('DADOS BRUTOS'!$A$3:$A$500,$B30,'DADOS BRUTOS'!CU$3:CU$500)+IF($C30="",0,SUMIF('DADOS BRUTOS'!$A$3:$A$500,$C30,'DADOS BRUTOS'!CU$3:CU$500)))</f>
        <v>0</v>
      </c>
      <c r="FV30" s="133" t="n">
        <f aca="false">IF(OR(FV$4="",$B30=""),0,SUMIF('DADOS BRUTOS'!$A$3:$A$500,$B30,'DADOS BRUTOS'!CV$3:CV$500)+IF($C30="",0,SUMIF('DADOS BRUTOS'!$A$3:$A$500,$C30,'DADOS BRUTOS'!CV$3:CV$500)))</f>
        <v>0</v>
      </c>
      <c r="FW30" s="133" t="n">
        <f aca="false">IF(OR(FW$4="",$B30=""),0,SUMIF('DADOS BRUTOS'!$A$3:$A$500,$B30,'DADOS BRUTOS'!CW$3:CW$500)+IF($C30="",0,SUMIF('DADOS BRUTOS'!$A$3:$A$500,$C30,'DADOS BRUTOS'!CW$3:CW$500)))</f>
        <v>0</v>
      </c>
      <c r="FX30" s="133" t="n">
        <f aca="false">IF(OR(FX$4="",$B30=""),0,SUMIF('DADOS BRUTOS'!$A$3:$A$500,$B30,'DADOS BRUTOS'!CX$3:CX$500)+IF($C30="",0,SUMIF('DADOS BRUTOS'!$A$3:$A$500,$C30,'DADOS BRUTOS'!CX$3:CX$500)))</f>
        <v>0</v>
      </c>
      <c r="FY30" s="133" t="n">
        <f aca="false">IF(OR(FY$4="",$B30=""),0,SUMIF('DADOS BRUTOS'!$A$3:$A$500,$B30,'DADOS BRUTOS'!CY$3:CY$500)+IF($C30="",0,SUMIF('DADOS BRUTOS'!$A$3:$A$500,$C30,'DADOS BRUTOS'!CY$3:CY$500)))</f>
        <v>0</v>
      </c>
      <c r="FZ30" s="133" t="n">
        <f aca="false">IF(OR(FZ$4="",$B30=""),0,SUMIF('DADOS BRUTOS'!$A$3:$A$500,$B30,'DADOS BRUTOS'!CZ$3:CZ$500)+IF($C30="",0,SUMIF('DADOS BRUTOS'!$A$3:$A$500,$C30,'DADOS BRUTOS'!CZ$3:CZ$500)))</f>
        <v>0</v>
      </c>
      <c r="GA30" s="133" t="n">
        <f aca="false">IF(OR(GA$4="",$B30=""),0,SUMIF('DADOS BRUTOS'!$A$3:$A$500,$B30,'DADOS BRUTOS'!DA$3:DA$500)+IF($C30="",0,SUMIF('DADOS BRUTOS'!$A$3:$A$500,$C30,'DADOS BRUTOS'!DA$3:DA$500)))</f>
        <v>0</v>
      </c>
      <c r="GB30" s="133" t="n">
        <f aca="false">IF(OR(GB$4="",$B30=""),0,SUMIF('DADOS BRUTOS'!$A$3:$A$500,$B30,'DADOS BRUTOS'!DB$3:DB$500)+IF($C30="",0,SUMIF('DADOS BRUTOS'!$A$3:$A$500,$C30,'DADOS BRUTOS'!DB$3:DB$500)))</f>
        <v>0</v>
      </c>
      <c r="GC30" s="133" t="n">
        <f aca="false">IF(OR(GC$4="",$B30=""),0,SUMIF('DADOS BRUTOS'!$A$3:$A$500,$B30,'DADOS BRUTOS'!DC$3:DC$500)+IF($C30="",0,SUMIF('DADOS BRUTOS'!$A$3:$A$500,$C30,'DADOS BRUTOS'!DC$3:DC$500)))</f>
        <v>0</v>
      </c>
      <c r="GD30" s="133" t="n">
        <f aca="false">IF(OR(GD$4="",$B30=""),0,SUMIF('DADOS BRUTOS'!$A$3:$A$500,$B30,'DADOS BRUTOS'!DD$3:DD$500)+IF($C30="",0,SUMIF('DADOS BRUTOS'!$A$3:$A$500,$C30,'DADOS BRUTOS'!DD$3:DD$500)))</f>
        <v>0</v>
      </c>
      <c r="GE30" s="133" t="n">
        <f aca="false">IF(OR(GE$4="",$B30=""),0,SUMIF('DADOS BRUTOS'!$A$3:$A$500,$B30,'DADOS BRUTOS'!DE$3:DE$500)+IF($C30="",0,SUMIF('DADOS BRUTOS'!$A$3:$A$500,$C30,'DADOS BRUTOS'!DE$3:DE$500)))</f>
        <v>0</v>
      </c>
      <c r="GF30" s="133" t="n">
        <f aca="false">IF(OR(GF$4="",$B30=""),0,SUMIF('DADOS BRUTOS'!$A$3:$A$500,$B30,'DADOS BRUTOS'!DF$3:DF$500)+IF($C30="",0,SUMIF('DADOS BRUTOS'!$A$3:$A$500,$C30,'DADOS BRUTOS'!DF$3:DF$500)))</f>
        <v>0</v>
      </c>
      <c r="GG30" s="133" t="n">
        <f aca="false">IF(OR(GG$4="",$B30=""),0,SUMIF('DADOS BRUTOS'!$A$3:$A$500,$B30,'DADOS BRUTOS'!DG$3:DG$500)+IF($C30="",0,SUMIF('DADOS BRUTOS'!$A$3:$A$500,$C30,'DADOS BRUTOS'!DG$3:DG$500)))</f>
        <v>0</v>
      </c>
      <c r="GH30" s="133" t="n">
        <f aca="false">IF(OR(GH$4="",$B30=""),0,SUMIF('DADOS BRUTOS'!$A$3:$A$500,$B30,'DADOS BRUTOS'!DH$3:DH$500)+IF($C30="",0,SUMIF('DADOS BRUTOS'!$A$3:$A$500,$C30,'DADOS BRUTOS'!DH$3:DH$500)))</f>
        <v>0</v>
      </c>
      <c r="GI30" s="133" t="n">
        <f aca="false">IF(OR(GI$4="",$B30=""),0,SUMIF('DADOS BRUTOS'!$A$3:$A$500,$B30,'DADOS BRUTOS'!DI$3:DI$500)+IF($C30="",0,SUMIF('DADOS BRUTOS'!$A$3:$A$500,$C30,'DADOS BRUTOS'!DI$3:DI$500)))</f>
        <v>0</v>
      </c>
      <c r="GJ30" s="133" t="n">
        <f aca="false">IF(OR(GJ$4="",$B30=""),0,SUMIF('DADOS BRUTOS'!$A$3:$A$500,$B30,'DADOS BRUTOS'!DJ$3:DJ$500)+IF($C30="",0,SUMIF('DADOS BRUTOS'!$A$3:$A$500,$C30,'DADOS BRUTOS'!DJ$3:DJ$500)))</f>
        <v>0</v>
      </c>
      <c r="GK30" s="133" t="n">
        <f aca="false">IF(OR(GK$4="",$B30=""),0,SUMIF('DADOS BRUTOS'!$A$3:$A$500,$B30,'DADOS BRUTOS'!DK$3:DK$500)+IF($C30="",0,SUMIF('DADOS BRUTOS'!$A$3:$A$500,$C30,'DADOS BRUTOS'!DK$3:DK$500)))</f>
        <v>0</v>
      </c>
      <c r="GL30" s="133" t="n">
        <f aca="false">IF(OR(GL$4="",$B30=""),0,SUMIF('DADOS BRUTOS'!$A$3:$A$500,$B30,'DADOS BRUTOS'!DL$3:DL$500)+IF($C30="",0,SUMIF('DADOS BRUTOS'!$A$3:$A$500,$C30,'DADOS BRUTOS'!DL$3:DL$500)))</f>
        <v>0</v>
      </c>
      <c r="GM30" s="133" t="n">
        <f aca="false">IF(OR(GM$4="",$B30=""),0,SUMIF('DADOS BRUTOS'!$A$3:$A$500,$B30,'DADOS BRUTOS'!DM$3:DM$500)+IF($C30="",0,SUMIF('DADOS BRUTOS'!$A$3:$A$500,$C30,'DADOS BRUTOS'!DM$3:DM$500)))</f>
        <v>0</v>
      </c>
      <c r="GN30" s="133" t="n">
        <f aca="false">IF(OR(GN$4="",$B30=""),0,SUMIF('DADOS BRUTOS'!$A$3:$A$500,$B30,'DADOS BRUTOS'!DN$3:DN$500)+IF($C30="",0,SUMIF('DADOS BRUTOS'!$A$3:$A$500,$C30,'DADOS BRUTOS'!DN$3:DN$500)))</f>
        <v>0</v>
      </c>
      <c r="GO30" s="133" t="n">
        <f aca="false">IF(OR(GO$4="",$B30=""),0,SUMIF('DADOS BRUTOS'!$A$3:$A$500,$B30,'DADOS BRUTOS'!DO$3:DO$500)+IF($C30="",0,SUMIF('DADOS BRUTOS'!$A$3:$A$500,$C30,'DADOS BRUTOS'!DO$3:DO$500)))</f>
        <v>0</v>
      </c>
      <c r="GP30" s="133" t="n">
        <f aca="false">IF(OR(GP$4="",$B30=""),0,SUMIF('DADOS BRUTOS'!$A$3:$A$500,$B30,'DADOS BRUTOS'!DP$3:DP$500)+IF($C30="",0,SUMIF('DADOS BRUTOS'!$A$3:$A$500,$C30,'DADOS BRUTOS'!DP$3:DP$500)))</f>
        <v>0</v>
      </c>
      <c r="GQ30" s="133" t="n">
        <f aca="false">IF(OR(GQ$4="",$B30=""),0,SUMIF('DADOS BRUTOS'!$A$3:$A$500,$B30,'DADOS BRUTOS'!DQ$3:DQ$500)+IF($C30="",0,SUMIF('DADOS BRUTOS'!$A$3:$A$500,$C30,'DADOS BRUTOS'!DQ$3:DQ$500)))</f>
        <v>0</v>
      </c>
      <c r="GR30" s="133" t="n">
        <f aca="false">IF(OR(GR$4="",$B30=""),0,SUMIF('DADOS BRUTOS'!$A$3:$A$500,$B30,'DADOS BRUTOS'!DR$3:DR$500)+IF($C30="",0,SUMIF('DADOS BRUTOS'!$A$3:$A$500,$C30,'DADOS BRUTOS'!DR$3:DR$500)))</f>
        <v>0</v>
      </c>
      <c r="GS30" s="133" t="n">
        <f aca="false">IF(OR(GS$4="",$B30=""),0,SUMIF('DADOS BRUTOS'!$A$3:$A$500,$B30,'DADOS BRUTOS'!DS$3:DS$500)+IF($C30="",0,SUMIF('DADOS BRUTOS'!$A$3:$A$500,$C30,'DADOS BRUTOS'!DS$3:DS$500)))</f>
        <v>0</v>
      </c>
      <c r="GT30" s="133" t="n">
        <f aca="false">IF(OR(GT$4="",$B30=""),0,SUMIF('DADOS BRUTOS'!$A$3:$A$500,$B30,'DADOS BRUTOS'!DT$3:DT$500)+IF($C30="",0,SUMIF('DADOS BRUTOS'!$A$3:$A$500,$C30,'DADOS BRUTOS'!DT$3:DT$500)))</f>
        <v>0</v>
      </c>
      <c r="GU30" s="133" t="n">
        <f aca="false">IF(OR(GU$4="",$B30=""),0,SUMIF('DADOS BRUTOS'!$A$3:$A$500,$B30,'DADOS BRUTOS'!DU$3:DU$500)+IF($C30="",0,SUMIF('DADOS BRUTOS'!$A$3:$A$500,$C30,'DADOS BRUTOS'!DU$3:DU$500)))</f>
        <v>0</v>
      </c>
      <c r="GV30" s="133" t="n">
        <f aca="false">IF(OR(GV$4="",$B30=""),0,SUMIF('DADOS BRUTOS'!$A$3:$A$500,$B30,'DADOS BRUTOS'!DV$3:DV$500)+IF($C30="",0,SUMIF('DADOS BRUTOS'!$A$3:$A$500,$C30,'DADOS BRUTOS'!DV$3:DV$500)))</f>
        <v>0</v>
      </c>
      <c r="GW30" s="133" t="n">
        <f aca="false">IF(OR(GW$4="",$B30=""),0,SUMIF('DADOS BRUTOS'!$A$3:$A$500,$B30,'DADOS BRUTOS'!DW$3:DW$500)+IF($C30="",0,SUMIF('DADOS BRUTOS'!$A$3:$A$500,$C30,'DADOS BRUTOS'!DW$3:DW$500)))</f>
        <v>0</v>
      </c>
      <c r="GX30" s="133" t="n">
        <f aca="false">IF(OR(GX$4="",$B30=""),0,SUMIF('DADOS BRUTOS'!$A$3:$A$500,$B30,'DADOS BRUTOS'!DX$3:DX$500)+IF($C30="",0,SUMIF('DADOS BRUTOS'!$A$3:$A$500,$C30,'DADOS BRUTOS'!DX$3:DX$500)))</f>
        <v>0</v>
      </c>
      <c r="GY30" s="133" t="n">
        <f aca="false">IF(OR(GY$4="",$B30=""),0,SUMIF('DADOS BRUTOS'!$A$3:$A$500,$B30,'DADOS BRUTOS'!DY$3:DY$500)+IF($C30="",0,SUMIF('DADOS BRUTOS'!$A$3:$A$500,$C30,'DADOS BRUTOS'!DY$3:DY$500)))</f>
        <v>0</v>
      </c>
      <c r="GZ30" s="133" t="n">
        <f aca="false">IF(OR(GZ$4="",$B30=""),0,SUMIF('DADOS BRUTOS'!$A$3:$A$500,$B30,'DADOS BRUTOS'!DZ$3:DZ$500)+IF($C30="",0,SUMIF('DADOS BRUTOS'!$A$3:$A$500,$C30,'DADOS BRUTOS'!DZ$3:DZ$500)))</f>
        <v>0</v>
      </c>
      <c r="HA30" s="133" t="n">
        <f aca="false">IF(OR(HA$4="",$B30=""),0,SUMIF('DADOS BRUTOS'!$A$3:$A$500,$B30,'DADOS BRUTOS'!EA$3:EA$500)+IF($C30="",0,SUMIF('DADOS BRUTOS'!$A$3:$A$500,$C30,'DADOS BRUTOS'!EA$3:EA$500)))</f>
        <v>0</v>
      </c>
      <c r="HB30" s="133" t="n">
        <f aca="false">IF(OR(HB$4="",$B30=""),0,SUMIF('DADOS BRUTOS'!$A$3:$A$500,$B30,'DADOS BRUTOS'!EB$3:EB$500)+IF($C30="",0,SUMIF('DADOS BRUTOS'!$A$3:$A$500,$C30,'DADOS BRUTOS'!EB$3:EB$500)))</f>
        <v>0</v>
      </c>
      <c r="HC30" s="133" t="n">
        <f aca="false">IF(OR(HC$4="",$B30=""),0,SUMIF('DADOS BRUTOS'!$A$3:$A$500,$B30,'DADOS BRUTOS'!EC$3:EC$500)+IF($C30="",0,SUMIF('DADOS BRUTOS'!$A$3:$A$500,$C30,'DADOS BRUTOS'!EC$3:EC$500)))</f>
        <v>0</v>
      </c>
      <c r="HD30" s="133" t="n">
        <f aca="false">IF(OR(HD$4="",$B30=""),0,SUMIF('DADOS BRUTOS'!$A$3:$A$500,$B30,'DADOS BRUTOS'!ED$3:ED$500)+IF($C30="",0,SUMIF('DADOS BRUTOS'!$A$3:$A$500,$C30,'DADOS BRUTOS'!ED$3:ED$500)))</f>
        <v>0</v>
      </c>
      <c r="HE30" s="133" t="n">
        <f aca="false">IF(OR(HE$4="",$B30=""),0,SUMIF('DADOS BRUTOS'!$A$3:$A$500,$B30,'DADOS BRUTOS'!EE$3:EE$500)+IF($C30="",0,SUMIF('DADOS BRUTOS'!$A$3:$A$500,$C30,'DADOS BRUTOS'!EE$3:EE$500)))</f>
        <v>0</v>
      </c>
      <c r="HF30" s="133" t="n">
        <f aca="false">IF(OR(HF$4="",$B30=""),0,SUMIF('DADOS BRUTOS'!$A$3:$A$500,$B30,'DADOS BRUTOS'!EF$3:EF$500)+IF($C30="",0,SUMIF('DADOS BRUTOS'!$A$3:$A$500,$C30,'DADOS BRUTOS'!EF$3:EF$500)))</f>
        <v>0</v>
      </c>
      <c r="HG30" s="133" t="n">
        <f aca="false">IF(OR(HG$4="",$B30=""),0,SUMIF('DADOS BRUTOS'!$A$3:$A$500,$B30,'DADOS BRUTOS'!EG$3:EG$500)+IF($C30="",0,SUMIF('DADOS BRUTOS'!$A$3:$A$500,$C30,'DADOS BRUTOS'!EG$3:EG$500)))</f>
        <v>0</v>
      </c>
      <c r="HH30" s="133" t="n">
        <f aca="false">IF(OR(HH$4="",$B30=""),0,SUMIF('DADOS BRUTOS'!$A$3:$A$500,$B30,'DADOS BRUTOS'!EH$3:EH$500)+IF($C30="",0,SUMIF('DADOS BRUTOS'!$A$3:$A$500,$C30,'DADOS BRUTOS'!EH$3:EH$500)))</f>
        <v>0</v>
      </c>
      <c r="HI30" s="133" t="n">
        <f aca="false">IF(OR(HI$4="",$B30=""),0,SUMIF('DADOS BRUTOS'!$A$3:$A$500,$B30,'DADOS BRUTOS'!EI$3:EI$500)+IF($C30="",0,SUMIF('DADOS BRUTOS'!$A$3:$A$500,$C30,'DADOS BRUTOS'!EI$3:EI$500)))</f>
        <v>0</v>
      </c>
      <c r="HJ30" s="133" t="n">
        <f aca="false">IF(OR(HJ$4="",$B30=""),0,SUMIF('DADOS BRUTOS'!$A$3:$A$500,$B30,'DADOS BRUTOS'!EJ$3:EJ$500)+IF($C30="",0,SUMIF('DADOS BRUTOS'!$A$3:$A$500,$C30,'DADOS BRUTOS'!EJ$3:EJ$500)))</f>
        <v>0</v>
      </c>
      <c r="HK30" s="133" t="n">
        <f aca="false">IF(OR(HK$4="",$B30=""),0,SUMIF('DADOS BRUTOS'!$A$3:$A$500,$B30,'DADOS BRUTOS'!EK$3:EK$500)+IF($C30="",0,SUMIF('DADOS BRUTOS'!$A$3:$A$500,$C30,'DADOS BRUTOS'!EK$3:EK$500)))</f>
        <v>0</v>
      </c>
      <c r="HL30" s="133" t="n">
        <f aca="false">IF(OR(HL$4="",$B30=""),0,SUMIF('DADOS BRUTOS'!$A$3:$A$500,$B30,'DADOS BRUTOS'!EL$3:EL$500)+IF($C30="",0,SUMIF('DADOS BRUTOS'!$A$3:$A$500,$C30,'DADOS BRUTOS'!EL$3:EL$500)))</f>
        <v>0</v>
      </c>
      <c r="HM30" s="133" t="n">
        <f aca="false">IF(OR(HM$4="",$B30=""),0,SUMIF('DADOS BRUTOS'!$A$3:$A$500,$B30,'DADOS BRUTOS'!EM$3:EM$500)+IF($C30="",0,SUMIF('DADOS BRUTOS'!$A$3:$A$500,$C30,'DADOS BRUTOS'!EM$3:EM$500)))</f>
        <v>0</v>
      </c>
      <c r="HN30" s="133" t="n">
        <f aca="false">IF(OR(HN$4="",$B30=""),0,SUMIF('DADOS BRUTOS'!$A$3:$A$500,$B30,'DADOS BRUTOS'!EN$3:EN$500)+IF($C30="",0,SUMIF('DADOS BRUTOS'!$A$3:$A$500,$C30,'DADOS BRUTOS'!EN$3:EN$500)))</f>
        <v>0</v>
      </c>
      <c r="HO30" s="133" t="n">
        <f aca="false">IF(OR(HO$4="",$B30=""),0,SUMIF('DADOS BRUTOS'!$A$3:$A$500,$B30,'DADOS BRUTOS'!EO$3:EO$500)+IF($C30="",0,SUMIF('DADOS BRUTOS'!$A$3:$A$500,$C30,'DADOS BRUTOS'!EO$3:EO$500)))</f>
        <v>0</v>
      </c>
      <c r="HP30" s="133" t="n">
        <f aca="false">IF(OR(HP$4="",$B30=""),0,SUMIF('DADOS BRUTOS'!$A$3:$A$500,$B30,'DADOS BRUTOS'!EP$3:EP$500)+IF($C30="",0,SUMIF('DADOS BRUTOS'!$A$3:$A$500,$C30,'DADOS BRUTOS'!EP$3:EP$500)))</f>
        <v>0</v>
      </c>
      <c r="HQ30" s="133" t="n">
        <f aca="false">IF(OR(HQ$4="",$B30=""),0,SUMIF('DADOS BRUTOS'!$A$3:$A$500,$B30,'DADOS BRUTOS'!EQ$3:EQ$500)+IF($C30="",0,SUMIF('DADOS BRUTOS'!$A$3:$A$500,$C30,'DADOS BRUTOS'!EQ$3:EQ$500)))</f>
        <v>0</v>
      </c>
      <c r="HR30" s="133" t="n">
        <f aca="false">IF(OR(HR$4="",$B30=""),0,SUMIF('DADOS BRUTOS'!$A$3:$A$500,$B30,'DADOS BRUTOS'!ER$3:ER$500)+IF($C30="",0,SUMIF('DADOS BRUTOS'!$A$3:$A$500,$C30,'DADOS BRUTOS'!ER$3:ER$500)))</f>
        <v>0</v>
      </c>
      <c r="HS30" s="133" t="n">
        <f aca="false">IF(OR(HS$4="",$B30=""),0,SUMIF('DADOS BRUTOS'!$A$3:$A$500,$B30,'DADOS BRUTOS'!ES$3:ES$500)+IF($C30="",0,SUMIF('DADOS BRUTOS'!$A$3:$A$500,$C30,'DADOS BRUTOS'!ES$3:ES$500)))</f>
        <v>0</v>
      </c>
      <c r="HT30" s="133" t="n">
        <f aca="false">IF(OR(HT$4="",$B30=""),0,SUMIF('DADOS BRUTOS'!$A$3:$A$500,$B30,'DADOS BRUTOS'!ET$3:ET$500)+IF($C30="",0,SUMIF('DADOS BRUTOS'!$A$3:$A$500,$C30,'DADOS BRUTOS'!ET$3:ET$500)))</f>
        <v>0</v>
      </c>
      <c r="HU30" s="133" t="n">
        <f aca="false">IF(OR(HU$4="",$B30=""),0,SUMIF('DADOS BRUTOS'!$A$3:$A$500,$B30,'DADOS BRUTOS'!EU$3:EU$500)+IF($C30="",0,SUMIF('DADOS BRUTOS'!$A$3:$A$500,$C30,'DADOS BRUTOS'!EU$3:EU$500)))</f>
        <v>0</v>
      </c>
      <c r="HV30" s="133" t="n">
        <f aca="false">IF(OR(HV$4="",$B30=""),0,SUMIF('DADOS BRUTOS'!$A$3:$A$500,$B30,'DADOS BRUTOS'!EV$3:EV$500)+IF($C30="",0,SUMIF('DADOS BRUTOS'!$A$3:$A$500,$C30,'DADOS BRUTOS'!EV$3:EV$500)))</f>
        <v>0</v>
      </c>
      <c r="HW30" s="133" t="n">
        <f aca="false">IF(OR(HW$4="",$B30=""),0,SUMIF('DADOS BRUTOS'!$A$3:$A$500,$B30,'DADOS BRUTOS'!EW$3:EW$500)+IF($C30="",0,SUMIF('DADOS BRUTOS'!$A$3:$A$500,$C30,'DADOS BRUTOS'!EW$3:EW$500)))</f>
        <v>0</v>
      </c>
      <c r="HX30" s="133" t="n">
        <f aca="false">IF(OR(HX$4="",$B30=""),0,SUMIF('DADOS BRUTOS'!$A$3:$A$500,$B30,'DADOS BRUTOS'!EX$3:EX$500)+IF($C30="",0,SUMIF('DADOS BRUTOS'!$A$3:$A$500,$C30,'DADOS BRUTOS'!EX$3:EX$500)))</f>
        <v>0</v>
      </c>
      <c r="HY30" s="133" t="n">
        <f aca="false">IF(OR(HY$4="",$B30=""),0,SUMIF('DADOS BRUTOS'!$A$3:$A$500,$B30,'DADOS BRUTOS'!EY$3:EY$500)+IF($C30="",0,SUMIF('DADOS BRUTOS'!$A$3:$A$500,$C30,'DADOS BRUTOS'!EY$3:EY$500)))</f>
        <v>0</v>
      </c>
      <c r="HZ30" s="133" t="n">
        <f aca="false">IF(OR(HZ$4="",$B30=""),0,SUMIF('DADOS BRUTOS'!$A$3:$A$500,$B30,'DADOS BRUTOS'!EZ$3:EZ$500)+IF($C30="",0,SUMIF('DADOS BRUTOS'!$A$3:$A$500,$C30,'DADOS BRUTOS'!EZ$3:EZ$500)))</f>
        <v>0</v>
      </c>
      <c r="IA30" s="133" t="n">
        <f aca="false">IF(OR(IA$4="",$B30=""),0,SUMIF('DADOS BRUTOS'!$A$3:$A$500,$B30,'DADOS BRUTOS'!FA$3:FA$500)+IF($C30="",0,SUMIF('DADOS BRUTOS'!$A$3:$A$500,$C30,'DADOS BRUTOS'!FA$3:FA$500)))</f>
        <v>0</v>
      </c>
      <c r="IB30" s="133" t="n">
        <f aca="false">IF(OR(IB$4="",$B30=""),0,SUMIF('DADOS BRUTOS'!$A$3:$A$500,$B30,'DADOS BRUTOS'!FB$3:FB$500)+IF($C30="",0,SUMIF('DADOS BRUTOS'!$A$3:$A$500,$C30,'DADOS BRUTOS'!FB$3:FB$500)))</f>
        <v>0</v>
      </c>
      <c r="IC30" s="133" t="n">
        <f aca="false">IF(OR(IC$4="",$B30=""),0,SUMIF('DADOS BRUTOS'!$A$3:$A$500,$B30,'DADOS BRUTOS'!FC$3:FC$500)+IF($C30="",0,SUMIF('DADOS BRUTOS'!$A$3:$A$500,$C30,'DADOS BRUTOS'!FC$3:FC$500)))</f>
        <v>0</v>
      </c>
      <c r="ID30" s="133" t="n">
        <f aca="false">IF(OR(ID$4="",$B30=""),0,SUMIF('DADOS BRUTOS'!$A$3:$A$500,$B30,'DADOS BRUTOS'!FD$3:FD$500)+IF($C30="",0,SUMIF('DADOS BRUTOS'!$A$3:$A$500,$C30,'DADOS BRUTOS'!FD$3:FD$500)))</f>
        <v>0</v>
      </c>
      <c r="IE30" s="133" t="n">
        <f aca="false">IF(OR(IE$4="",$B30=""),0,SUMIF('DADOS BRUTOS'!$A$3:$A$500,$B30,'DADOS BRUTOS'!FE$3:FE$500)+IF($C30="",0,SUMIF('DADOS BRUTOS'!$A$3:$A$500,$C30,'DADOS BRUTOS'!FE$3:FE$500)))</f>
        <v>0</v>
      </c>
      <c r="IF30" s="133" t="n">
        <f aca="false">IF(OR(IF$4="",$B30=""),0,SUMIF('DADOS BRUTOS'!$A$3:$A$500,$B30,'DADOS BRUTOS'!FF$3:FF$500)+IF($C30="",0,SUMIF('DADOS BRUTOS'!$A$3:$A$500,$C30,'DADOS BRUTOS'!FF$3:FF$500)))</f>
        <v>0</v>
      </c>
      <c r="IG30" s="133" t="n">
        <f aca="false">IF(OR(IG$4="",$B30=""),0,SUMIF('DADOS BRUTOS'!$A$3:$A$500,$B30,'DADOS BRUTOS'!FG$3:FG$500)+IF($C30="",0,SUMIF('DADOS BRUTOS'!$A$3:$A$500,$C30,'DADOS BRUTOS'!FG$3:FG$500)))</f>
        <v>0</v>
      </c>
      <c r="IH30" s="133" t="n">
        <f aca="false">IF(OR(IH$4="",$B30=""),0,SUMIF('DADOS BRUTOS'!$A$3:$A$500,$B30,'DADOS BRUTOS'!FH$3:FH$500)+IF($C30="",0,SUMIF('DADOS BRUTOS'!$A$3:$A$500,$C30,'DADOS BRUTOS'!FH$3:FH$500)))</f>
        <v>0</v>
      </c>
      <c r="II30" s="133" t="n">
        <f aca="false">IF(OR(II$4="",$B30=""),0,SUMIF('DADOS BRUTOS'!$A$3:$A$500,$B30,'DADOS BRUTOS'!FI$3:FI$500)+IF($C30="",0,SUMIF('DADOS BRUTOS'!$A$3:$A$500,$C30,'DADOS BRUTOS'!FI$3:FI$500)))</f>
        <v>0</v>
      </c>
      <c r="IJ30" s="133" t="n">
        <f aca="false">IF(OR(IJ$4="",$B30=""),0,SUMIF('DADOS BRUTOS'!$A$3:$A$500,$B30,'DADOS BRUTOS'!FJ$3:FJ$500)+IF($C30="",0,SUMIF('DADOS BRUTOS'!$A$3:$A$500,$C30,'DADOS BRUTOS'!FJ$3:FJ$500)))</f>
        <v>0</v>
      </c>
      <c r="IK30" s="133" t="n">
        <f aca="false">IF(OR(IK$4="",$B30=""),0,SUMIF('DADOS BRUTOS'!$A$3:$A$500,$B30,'DADOS BRUTOS'!FK$3:FK$500)+IF($C30="",0,SUMIF('DADOS BRUTOS'!$A$3:$A$500,$C30,'DADOS BRUTOS'!FK$3:FK$500)))</f>
        <v>0</v>
      </c>
      <c r="IL30" s="133" t="n">
        <f aca="false">IF(OR(IL$4="",$B30=""),0,SUMIF('DADOS BRUTOS'!$A$3:$A$500,$B30,'DADOS BRUTOS'!FL$3:FL$500)+IF($C30="",0,SUMIF('DADOS BRUTOS'!$A$3:$A$500,$C30,'DADOS BRUTOS'!FL$3:FL$500)))</f>
        <v>0</v>
      </c>
      <c r="IM30" s="133" t="n">
        <f aca="false">IF(OR(IM$4="",$B30=""),0,SUMIF('DADOS BRUTOS'!$A$3:$A$500,$B30,'DADOS BRUTOS'!FM$3:FM$500)+IF($C30="",0,SUMIF('DADOS BRUTOS'!$A$3:$A$500,$C30,'DADOS BRUTOS'!FM$3:FM$500)))</f>
        <v>0</v>
      </c>
      <c r="IN30" s="133" t="n">
        <f aca="false">IF(OR(IN$4="",$B30=""),0,SUMIF('DADOS BRUTOS'!$A$3:$A$500,$B30,'DADOS BRUTOS'!FN$3:FN$500)+IF($C30="",0,SUMIF('DADOS BRUTOS'!$A$3:$A$500,$C30,'DADOS BRUTOS'!FN$3:FN$500)))</f>
        <v>0</v>
      </c>
      <c r="IO30" s="133" t="n">
        <f aca="false">IF(OR(IO$4="",$B30=""),0,SUMIF('DADOS BRUTOS'!$A$3:$A$500,$B30,'DADOS BRUTOS'!FO$3:FO$500)+IF($C30="",0,SUMIF('DADOS BRUTOS'!$A$3:$A$500,$C30,'DADOS BRUTOS'!FO$3:FO$500)))</f>
        <v>0</v>
      </c>
      <c r="IP30" s="133" t="n">
        <f aca="false">IF(OR(IP$4="",$B30=""),0,SUMIF('DADOS BRUTOS'!$A$3:$A$500,$B30,'DADOS BRUTOS'!FP$3:FP$500)+IF($C30="",0,SUMIF('DADOS BRUTOS'!$A$3:$A$500,$C30,'DADOS BRUTOS'!FP$3:FP$500)))</f>
        <v>0</v>
      </c>
      <c r="IQ30" s="133" t="n">
        <f aca="false">IF(OR(IQ$4="",$B30=""),0,SUMIF('DADOS BRUTOS'!$A$3:$A$500,$B30,'DADOS BRUTOS'!FQ$3:FQ$500)+IF($C30="",0,SUMIF('DADOS BRUTOS'!$A$3:$A$500,$C30,'DADOS BRUTOS'!FQ$3:FQ$500)))</f>
        <v>0</v>
      </c>
      <c r="IR30" s="133" t="n">
        <f aca="false">IF(OR(IR$4="",$B30=""),0,SUMIF('DADOS BRUTOS'!$A$3:$A$500,$B30,'DADOS BRUTOS'!FR$3:FR$500)+IF($C30="",0,SUMIF('DADOS BRUTOS'!$A$3:$A$500,$C30,'DADOS BRUTOS'!FR$3:FR$500)))</f>
        <v>0</v>
      </c>
      <c r="IS30" s="133" t="n">
        <f aca="false">IF(OR(IS$4="",$B30=""),0,SUMIF('DADOS BRUTOS'!$A$3:$A$500,$B30,'DADOS BRUTOS'!FS$3:FS$500)+IF($C30="",0,SUMIF('DADOS BRUTOS'!$A$3:$A$500,$C30,'DADOS BRUTOS'!FS$3:FS$500)))</f>
        <v>0</v>
      </c>
      <c r="IT30" s="133" t="n">
        <f aca="false">IF(OR(IT$4="",$B30=""),0,SUMIF('DADOS BRUTOS'!$A$3:$A$500,$B30,'DADOS BRUTOS'!FT$3:FT$500)+IF($C30="",0,SUMIF('DADOS BRUTOS'!$A$3:$A$500,$C30,'DADOS BRUTOS'!FT$3:FT$500)))</f>
        <v>0</v>
      </c>
      <c r="IU30" s="133" t="n">
        <f aca="false">IF(OR(IU$4="",$B30=""),0,SUMIF('DADOS BRUTOS'!$A$3:$A$500,$B30,'DADOS BRUTOS'!FU$3:FU$500)+IF($C30="",0,SUMIF('DADOS BRUTOS'!$A$3:$A$500,$C30,'DADOS BRUTOS'!FU$3:FU$500)))</f>
        <v>0</v>
      </c>
      <c r="IV30" s="133" t="n">
        <f aca="false">IF(OR(IV$4="",$B30=""),0,SUMIF('DADOS BRUTOS'!$A$3:$A$500,$B30,'DADOS BRUTOS'!FV$3:FV$500)+IF($C30="",0,SUMIF('DADOS BRUTOS'!$A$3:$A$500,$C30,'DADOS BRUTOS'!FV$3:FV$500)))</f>
        <v>0</v>
      </c>
      <c r="IW30" s="133" t="n">
        <f aca="false">IF(OR(IW$4="",$B30=""),0,SUMIF('DADOS BRUTOS'!$A$3:$A$500,$B30,'DADOS BRUTOS'!FW$3:FW$500)+IF($C30="",0,SUMIF('DADOS BRUTOS'!$A$3:$A$500,$C30,'DADOS BRUTOS'!FW$3:FW$500)))</f>
        <v>0</v>
      </c>
      <c r="IX30" s="133" t="n">
        <f aca="false">IF(OR(IX$4="",$B30=""),0,SUMIF('DADOS BRUTOS'!$A$3:$A$500,$B30,'DADOS BRUTOS'!FX$3:FX$500)+IF($C30="",0,SUMIF('DADOS BRUTOS'!$A$3:$A$500,$C30,'DADOS BRUTOS'!FX$3:FX$500)))</f>
        <v>0</v>
      </c>
      <c r="IY30" s="133" t="n">
        <f aca="false">IF(OR(IY$4="",$B30=""),0,SUMIF('DADOS BRUTOS'!$A$3:$A$500,$B30,'DADOS BRUTOS'!FY$3:FY$500)+IF($C30="",0,SUMIF('DADOS BRUTOS'!$A$3:$A$500,$C30,'DADOS BRUTOS'!FY$3:FY$500)))</f>
        <v>0</v>
      </c>
      <c r="IZ30" s="133" t="n">
        <f aca="false">IF(OR(IZ$4="",$B30=""),0,SUMIF('DADOS BRUTOS'!$A$3:$A$500,$B30,'DADOS BRUTOS'!FZ$3:FZ$500)+IF($C30="",0,SUMIF('DADOS BRUTOS'!$A$3:$A$500,$C30,'DADOS BRUTOS'!FZ$3:FZ$500)))</f>
        <v>0</v>
      </c>
      <c r="JA30" s="133" t="n">
        <f aca="false">IF(OR(JA$4="",$B30=""),0,SUMIF('DADOS BRUTOS'!$A$3:$A$500,$B30,'DADOS BRUTOS'!GA$3:GA$500)+IF($C30="",0,SUMIF('DADOS BRUTOS'!$A$3:$A$500,$C30,'DADOS BRUTOS'!GA$3:GA$500)))</f>
        <v>0</v>
      </c>
      <c r="JB30" s="133" t="n">
        <f aca="false">IF(OR(JB$4="",$B30=""),0,SUMIF('DADOS BRUTOS'!$A$3:$A$500,$B30,'DADOS BRUTOS'!GB$3:GB$500)+IF($C30="",0,SUMIF('DADOS BRUTOS'!$A$3:$A$500,$C30,'DADOS BRUTOS'!GB$3:GB$500)))</f>
        <v>0</v>
      </c>
      <c r="JC30" s="133" t="n">
        <f aca="false">IF(OR(JC$4="",$B30=""),0,SUMIF('DADOS BRUTOS'!$A$3:$A$500,$B30,'DADOS BRUTOS'!GC$3:GC$500)+IF($C30="",0,SUMIF('DADOS BRUTOS'!$A$3:$A$500,$C30,'DADOS BRUTOS'!GC$3:GC$500)))</f>
        <v>0</v>
      </c>
      <c r="JD30" s="133" t="n">
        <f aca="false">IF(OR(JD$4="",$B30=""),0,SUMIF('DADOS BRUTOS'!$A$3:$A$500,$B30,'DADOS BRUTOS'!GD$3:GD$500)+IF($C30="",0,SUMIF('DADOS BRUTOS'!$A$3:$A$500,$C30,'DADOS BRUTOS'!GD$3:GD$500)))</f>
        <v>0</v>
      </c>
      <c r="JE30" s="133" t="n">
        <f aca="false">IF(OR(JE$4="",$B30=""),0,SUMIF('DADOS BRUTOS'!$A$3:$A$500,$B30,'DADOS BRUTOS'!GE$3:GE$500)+IF($C30="",0,SUMIF('DADOS BRUTOS'!$A$3:$A$500,$C30,'DADOS BRUTOS'!GE$3:GE$500)))</f>
        <v>0</v>
      </c>
      <c r="JF30" s="133" t="n">
        <f aca="false">IF(OR(JF$4="",$B30=""),0,SUMIF('DADOS BRUTOS'!$A$3:$A$500,$B30,'DADOS BRUTOS'!GF$3:GF$500)+IF($C30="",0,SUMIF('DADOS BRUTOS'!$A$3:$A$500,$C30,'DADOS BRUTOS'!GF$3:GF$500)))</f>
        <v>0</v>
      </c>
      <c r="JG30" s="133" t="n">
        <f aca="false">IF(OR(JG$4="",$B30=""),0,SUMIF('DADOS BRUTOS'!$A$3:$A$500,$B30,'DADOS BRUTOS'!GG$3:GG$500)+IF($C30="",0,SUMIF('DADOS BRUTOS'!$A$3:$A$500,$C30,'DADOS BRUTOS'!GG$3:GG$500)))</f>
        <v>0</v>
      </c>
      <c r="JH30" s="133" t="n">
        <f aca="false">IF(OR(JH$4="",$B30=""),0,SUMIF('DADOS BRUTOS'!$A$3:$A$500,$B30,'DADOS BRUTOS'!GH$3:GH$500)+IF($C30="",0,SUMIF('DADOS BRUTOS'!$A$3:$A$500,$C30,'DADOS BRUTOS'!GH$3:GH$500)))</f>
        <v>0</v>
      </c>
      <c r="JI30" s="133" t="n">
        <f aca="false">IF(OR(JI$4="",$B30=""),0,SUMIF('DADOS BRUTOS'!$A$3:$A$500,$B30,'DADOS BRUTOS'!GI$3:GI$500)+IF($C30="",0,SUMIF('DADOS BRUTOS'!$A$3:$A$500,$C30,'DADOS BRUTOS'!GI$3:GI$500)))</f>
        <v>0</v>
      </c>
      <c r="JJ30" s="133" t="n">
        <f aca="false">IF(OR(JJ$4="",$B30=""),0,SUMIF('DADOS BRUTOS'!$A$3:$A$500,$B30,'DADOS BRUTOS'!GJ$3:GJ$500)+IF($C30="",0,SUMIF('DADOS BRUTOS'!$A$3:$A$500,$C30,'DADOS BRUTOS'!GJ$3:GJ$500)))</f>
        <v>0</v>
      </c>
      <c r="JK30" s="133" t="n">
        <f aca="false">IF(OR(JK$4="",$B30=""),0,SUMIF('DADOS BRUTOS'!$A$3:$A$500,$B30,'DADOS BRUTOS'!GK$3:GK$500)+IF($C30="",0,SUMIF('DADOS BRUTOS'!$A$3:$A$500,$C30,'DADOS BRUTOS'!GK$3:GK$500)))</f>
        <v>0</v>
      </c>
      <c r="JL30" s="133" t="n">
        <f aca="false">IF(OR(JL$4="",$B30=""),0,SUMIF('DADOS BRUTOS'!$A$3:$A$500,$B30,'DADOS BRUTOS'!GL$3:GL$500)+IF($C30="",0,SUMIF('DADOS BRUTOS'!$A$3:$A$500,$C30,'DADOS BRUTOS'!GL$3:GL$500)))</f>
        <v>0</v>
      </c>
      <c r="JM30" s="133" t="n">
        <f aca="false">IF(OR(JM$4="",$B30=""),0,SUMIF('DADOS BRUTOS'!$A$3:$A$500,$B30,'DADOS BRUTOS'!GM$3:GM$500)+IF($C30="",0,SUMIF('DADOS BRUTOS'!$A$3:$A$500,$C30,'DADOS BRUTOS'!GM$3:GM$500)))</f>
        <v>0</v>
      </c>
      <c r="JN30" s="133" t="n">
        <f aca="false">IF(OR(JN$4="",$B30=""),0,SUMIF('DADOS BRUTOS'!$A$3:$A$500,$B30,'DADOS BRUTOS'!GN$3:GN$500)+IF($C30="",0,SUMIF('DADOS BRUTOS'!$A$3:$A$500,$C30,'DADOS BRUTOS'!GN$3:GN$500)))</f>
        <v>0</v>
      </c>
      <c r="JO30" s="133" t="n">
        <f aca="false">IF(OR(JO$4="",$B30=""),0,SUMIF('DADOS BRUTOS'!$A$3:$A$500,$B30,'DADOS BRUTOS'!GO$3:GO$500)+IF($C30="",0,SUMIF('DADOS BRUTOS'!$A$3:$A$500,$C30,'DADOS BRUTOS'!GO$3:GO$500)))</f>
        <v>0</v>
      </c>
      <c r="JP30" s="133" t="n">
        <f aca="false">IF(OR(JP$4="",$B30=""),0,SUMIF('DADOS BRUTOS'!$A$3:$A$500,$B30,'DADOS BRUTOS'!GP$3:GP$500)+IF($C30="",0,SUMIF('DADOS BRUTOS'!$A$3:$A$500,$C30,'DADOS BRUTOS'!GP$3:GP$500)))</f>
        <v>0</v>
      </c>
      <c r="JQ30" s="133" t="n">
        <f aca="false">IF(OR(JQ$4="",$B30=""),0,SUMIF('DADOS BRUTOS'!$A$3:$A$500,$B30,'DADOS BRUTOS'!GQ$3:GQ$500)+IF($C30="",0,SUMIF('DADOS BRUTOS'!$A$3:$A$500,$C30,'DADOS BRUTOS'!GQ$3:GQ$500)))</f>
        <v>0</v>
      </c>
      <c r="JR30" s="133" t="n">
        <f aca="false">IF(OR(JR$4="",$B30=""),0,SUMIF('DADOS BRUTOS'!$A$3:$A$500,$B30,'DADOS BRUTOS'!GR$3:GR$500)+IF($C30="",0,SUMIF('DADOS BRUTOS'!$A$3:$A$500,$C30,'DADOS BRUTOS'!GR$3:GR$500)))</f>
        <v>0</v>
      </c>
      <c r="JS30" s="133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189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3" t="n">
        <f aca="false">IF(OR(CB$4="",$B31=""),0,SUMIF('DADOS BRUTOS'!$A$3:$A$500,$B31,'DADOS BRUTOS'!B$3:B$500)+IF($C31="",0,SUMIF('DADOS BRUTOS'!$A$3:$A$500,$C31,'DADOS BRUTOS'!B$3:B$500)))</f>
        <v>0</v>
      </c>
      <c r="CC31" s="133" t="n">
        <f aca="false">IF(OR(CC$4="",$B31=""),0,SUMIF('DADOS BRUTOS'!$A$3:$A$500,$B31,'DADOS BRUTOS'!C$3:C$500)+IF($C31="",0,SUMIF('DADOS BRUTOS'!$A$3:$A$500,$C31,'DADOS BRUTOS'!C$3:C$500)))</f>
        <v>0</v>
      </c>
      <c r="CD31" s="133" t="n">
        <f aca="false">IF(OR(CD$4="",$B31=""),0,SUMIF('DADOS BRUTOS'!$A$3:$A$500,$B31,'DADOS BRUTOS'!D$3:D$500)+IF($C31="",0,SUMIF('DADOS BRUTOS'!$A$3:$A$500,$C31,'DADOS BRUTOS'!D$3:D$500)))</f>
        <v>0</v>
      </c>
      <c r="CE31" s="133" t="n">
        <f aca="false">IF(OR(CE$4="",$B31=""),0,SUMIF('DADOS BRUTOS'!$A$3:$A$500,$B31,'DADOS BRUTOS'!E$3:E$500)+IF($C31="",0,SUMIF('DADOS BRUTOS'!$A$3:$A$500,$C31,'DADOS BRUTOS'!E$3:E$500)))</f>
        <v>0</v>
      </c>
      <c r="CF31" s="133" t="n">
        <f aca="false">IF(OR(CF$4="",$B31=""),0,SUMIF('DADOS BRUTOS'!$A$3:$A$500,$B31,'DADOS BRUTOS'!F$3:F$500)+IF($C31="",0,SUMIF('DADOS BRUTOS'!$A$3:$A$500,$C31,'DADOS BRUTOS'!F$3:F$500)))</f>
        <v>0</v>
      </c>
      <c r="CG31" s="133" t="n">
        <f aca="false">IF(OR(CG$4="",$B31=""),0,SUMIF('DADOS BRUTOS'!$A$3:$A$500,$B31,'DADOS BRUTOS'!G$3:G$500)+IF($C31="",0,SUMIF('DADOS BRUTOS'!$A$3:$A$500,$C31,'DADOS BRUTOS'!G$3:G$500)))</f>
        <v>0</v>
      </c>
      <c r="CH31" s="133" t="n">
        <f aca="false">IF(OR(CH$4="",$B31=""),0,SUMIF('DADOS BRUTOS'!$A$3:$A$500,$B31,'DADOS BRUTOS'!H$3:H$500)+IF($C31="",0,SUMIF('DADOS BRUTOS'!$A$3:$A$500,$C31,'DADOS BRUTOS'!H$3:H$500)))</f>
        <v>0</v>
      </c>
      <c r="CI31" s="133" t="n">
        <f aca="false">IF(OR(CI$4="",$B31=""),0,SUMIF('DADOS BRUTOS'!$A$3:$A$500,$B31,'DADOS BRUTOS'!I$3:I$500)+IF($C31="",0,SUMIF('DADOS BRUTOS'!$A$3:$A$500,$C31,'DADOS BRUTOS'!I$3:I$500)))</f>
        <v>0</v>
      </c>
      <c r="CJ31" s="133" t="n">
        <f aca="false">IF(OR(CJ$4="",$B31=""),0,SUMIF('DADOS BRUTOS'!$A$3:$A$500,$B31,'DADOS BRUTOS'!J$3:J$500)+IF($C31="",0,SUMIF('DADOS BRUTOS'!$A$3:$A$500,$C31,'DADOS BRUTOS'!J$3:J$500)))</f>
        <v>0</v>
      </c>
      <c r="CK31" s="133" t="n">
        <f aca="false">IF(OR(CK$4="",$B31=""),0,SUMIF('DADOS BRUTOS'!$A$3:$A$500,$B31,'DADOS BRUTOS'!K$3:K$500)+IF($C31="",0,SUMIF('DADOS BRUTOS'!$A$3:$A$500,$C31,'DADOS BRUTOS'!K$3:K$500)))</f>
        <v>0</v>
      </c>
      <c r="CL31" s="133" t="n">
        <f aca="false">IF(OR(CL$4="",$B31=""),0,SUMIF('DADOS BRUTOS'!$A$3:$A$500,$B31,'DADOS BRUTOS'!L$3:L$500)+IF($C31="",0,SUMIF('DADOS BRUTOS'!$A$3:$A$500,$C31,'DADOS BRUTOS'!L$3:L$500)))</f>
        <v>0</v>
      </c>
      <c r="CM31" s="133" t="n">
        <f aca="false">IF(OR(CM$4="",$B31=""),0,SUMIF('DADOS BRUTOS'!$A$3:$A$500,$B31,'DADOS BRUTOS'!M$3:M$500)+IF($C31="",0,SUMIF('DADOS BRUTOS'!$A$3:$A$500,$C31,'DADOS BRUTOS'!M$3:M$500)))</f>
        <v>0</v>
      </c>
      <c r="CN31" s="133" t="n">
        <f aca="false">IF(OR(CN$4="",$B31=""),0,SUMIF('DADOS BRUTOS'!$A$3:$A$500,$B31,'DADOS BRUTOS'!N$3:N$500)+IF($C31="",0,SUMIF('DADOS BRUTOS'!$A$3:$A$500,$C31,'DADOS BRUTOS'!N$3:N$500)))</f>
        <v>0</v>
      </c>
      <c r="CO31" s="133" t="n">
        <f aca="false">IF(OR(CO$4="",$B31=""),0,SUMIF('DADOS BRUTOS'!$A$3:$A$500,$B31,'DADOS BRUTOS'!O$3:O$500)+IF($C31="",0,SUMIF('DADOS BRUTOS'!$A$3:$A$500,$C31,'DADOS BRUTOS'!O$3:O$500)))</f>
        <v>0</v>
      </c>
      <c r="CP31" s="133" t="n">
        <f aca="false">IF(OR(CP$4="",$B31=""),0,SUMIF('DADOS BRUTOS'!$A$3:$A$500,$B31,'DADOS BRUTOS'!P$3:P$500)+IF($C31="",0,SUMIF('DADOS BRUTOS'!$A$3:$A$500,$C31,'DADOS BRUTOS'!P$3:P$500)))</f>
        <v>0</v>
      </c>
      <c r="CQ31" s="133" t="n">
        <f aca="false">IF(OR(CQ$4="",$B31=""),0,SUMIF('DADOS BRUTOS'!$A$3:$A$500,$B31,'DADOS BRUTOS'!Q$3:Q$500)+IF($C31="",0,SUMIF('DADOS BRUTOS'!$A$3:$A$500,$C31,'DADOS BRUTOS'!Q$3:Q$500)))</f>
        <v>0</v>
      </c>
      <c r="CR31" s="133" t="n">
        <f aca="false">IF(OR(CR$4="",$B31=""),0,SUMIF('DADOS BRUTOS'!$A$3:$A$500,$B31,'DADOS BRUTOS'!R$3:R$500)+IF($C31="",0,SUMIF('DADOS BRUTOS'!$A$3:$A$500,$C31,'DADOS BRUTOS'!R$3:R$500)))</f>
        <v>0</v>
      </c>
      <c r="CS31" s="133" t="n">
        <f aca="false">IF(OR(CS$4="",$B31=""),0,SUMIF('DADOS BRUTOS'!$A$3:$A$500,$B31,'DADOS BRUTOS'!S$3:S$500)+IF($C31="",0,SUMIF('DADOS BRUTOS'!$A$3:$A$500,$C31,'DADOS BRUTOS'!S$3:S$500)))</f>
        <v>0</v>
      </c>
      <c r="CT31" s="133" t="n">
        <f aca="false">IF(OR(CT$4="",$B31=""),0,SUMIF('DADOS BRUTOS'!$A$3:$A$500,$B31,'DADOS BRUTOS'!T$3:T$500)+IF($C31="",0,SUMIF('DADOS BRUTOS'!$A$3:$A$500,$C31,'DADOS BRUTOS'!T$3:T$500)))</f>
        <v>0</v>
      </c>
      <c r="CU31" s="133" t="n">
        <f aca="false">IF(OR(CU$4="",$B31=""),0,SUMIF('DADOS BRUTOS'!$A$3:$A$500,$B31,'DADOS BRUTOS'!U$3:U$500)+IF($C31="",0,SUMIF('DADOS BRUTOS'!$A$3:$A$500,$C31,'DADOS BRUTOS'!U$3:U$500)))</f>
        <v>0</v>
      </c>
      <c r="CV31" s="133" t="n">
        <f aca="false">IF(OR(CV$4="",$B31=""),0,SUMIF('DADOS BRUTOS'!$A$3:$A$500,$B31,'DADOS BRUTOS'!V$3:V$500)+IF($C31="",0,SUMIF('DADOS BRUTOS'!$A$3:$A$500,$C31,'DADOS BRUTOS'!V$3:V$500)))</f>
        <v>0</v>
      </c>
      <c r="CW31" s="133" t="n">
        <f aca="false">IF(OR(CW$4="",$B31=""),0,SUMIF('DADOS BRUTOS'!$A$3:$A$500,$B31,'DADOS BRUTOS'!W$3:W$500)+IF($C31="",0,SUMIF('DADOS BRUTOS'!$A$3:$A$500,$C31,'DADOS BRUTOS'!W$3:W$500)))</f>
        <v>0</v>
      </c>
      <c r="CX31" s="133" t="n">
        <f aca="false">IF(OR(CX$4="",$B31=""),0,SUMIF('DADOS BRUTOS'!$A$3:$A$500,$B31,'DADOS BRUTOS'!X$3:X$500)+IF($C31="",0,SUMIF('DADOS BRUTOS'!$A$3:$A$500,$C31,'DADOS BRUTOS'!X$3:X$500)))</f>
        <v>0</v>
      </c>
      <c r="CY31" s="133" t="n">
        <f aca="false">IF(OR(CY$4="",$B31=""),0,SUMIF('DADOS BRUTOS'!$A$3:$A$500,$B31,'DADOS BRUTOS'!Y$3:Y$500)+IF($C31="",0,SUMIF('DADOS BRUTOS'!$A$3:$A$500,$C31,'DADOS BRUTOS'!Y$3:Y$500)))</f>
        <v>0</v>
      </c>
      <c r="CZ31" s="133" t="n">
        <f aca="false">IF(OR(CZ$4="",$B31=""),0,SUMIF('DADOS BRUTOS'!$A$3:$A$500,$B31,'DADOS BRUTOS'!Z$3:Z$500)+IF($C31="",0,SUMIF('DADOS BRUTOS'!$A$3:$A$500,$C31,'DADOS BRUTOS'!Z$3:Z$500)))</f>
        <v>0</v>
      </c>
      <c r="DA31" s="133" t="n">
        <f aca="false">IF(OR(DA$4="",$B31=""),0,SUMIF('DADOS BRUTOS'!$A$3:$A$500,$B31,'DADOS BRUTOS'!AA$3:AA$500)+IF($C31="",0,SUMIF('DADOS BRUTOS'!$A$3:$A$500,$C31,'DADOS BRUTOS'!AA$3:AA$500)))</f>
        <v>0</v>
      </c>
      <c r="DB31" s="133" t="n">
        <f aca="false">IF(OR(DB$4="",$B31=""),0,SUMIF('DADOS BRUTOS'!$A$3:$A$500,$B31,'DADOS BRUTOS'!AB$3:AB$500)+IF($C31="",0,SUMIF('DADOS BRUTOS'!$A$3:$A$500,$C31,'DADOS BRUTOS'!AB$3:AB$500)))</f>
        <v>0</v>
      </c>
      <c r="DC31" s="133" t="n">
        <f aca="false">IF(OR(DC$4="",$B31=""),0,SUMIF('DADOS BRUTOS'!$A$3:$A$500,$B31,'DADOS BRUTOS'!AC$3:AC$500)+IF($C31="",0,SUMIF('DADOS BRUTOS'!$A$3:$A$500,$C31,'DADOS BRUTOS'!AC$3:AC$500)))</f>
        <v>0</v>
      </c>
      <c r="DD31" s="133" t="n">
        <f aca="false">IF(OR(DD$4="",$B31=""),0,SUMIF('DADOS BRUTOS'!$A$3:$A$500,$B31,'DADOS BRUTOS'!AD$3:AD$500)+IF($C31="",0,SUMIF('DADOS BRUTOS'!$A$3:$A$500,$C31,'DADOS BRUTOS'!AD$3:AD$500)))</f>
        <v>0</v>
      </c>
      <c r="DE31" s="133" t="n">
        <f aca="false">IF(OR(DE$4="",$B31=""),0,SUMIF('DADOS BRUTOS'!$A$3:$A$500,$B31,'DADOS BRUTOS'!AE$3:AE$500)+IF($C31="",0,SUMIF('DADOS BRUTOS'!$A$3:$A$500,$C31,'DADOS BRUTOS'!AE$3:AE$500)))</f>
        <v>0</v>
      </c>
      <c r="DF31" s="133" t="n">
        <f aca="false">IF(OR(DF$4="",$B31=""),0,SUMIF('DADOS BRUTOS'!$A$3:$A$500,$B31,'DADOS BRUTOS'!AF$3:AF$500)+IF($C31="",0,SUMIF('DADOS BRUTOS'!$A$3:$A$500,$C31,'DADOS BRUTOS'!AF$3:AF$500)))</f>
        <v>0</v>
      </c>
      <c r="DG31" s="133" t="n">
        <f aca="false">IF(OR(DG$4="",$B31=""),0,SUMIF('DADOS BRUTOS'!$A$3:$A$500,$B31,'DADOS BRUTOS'!AG$3:AG$500)+IF($C31="",0,SUMIF('DADOS BRUTOS'!$A$3:$A$500,$C31,'DADOS BRUTOS'!AG$3:AG$500)))</f>
        <v>0</v>
      </c>
      <c r="DH31" s="133" t="n">
        <f aca="false">IF(OR(DH$4="",$B31=""),0,SUMIF('DADOS BRUTOS'!$A$3:$A$500,$B31,'DADOS BRUTOS'!AH$3:AH$500)+IF($C31="",0,SUMIF('DADOS BRUTOS'!$A$3:$A$500,$C31,'DADOS BRUTOS'!AH$3:AH$500)))</f>
        <v>0</v>
      </c>
      <c r="DI31" s="133" t="n">
        <f aca="false">IF(OR(DI$4="",$B31=""),0,SUMIF('DADOS BRUTOS'!$A$3:$A$500,$B31,'DADOS BRUTOS'!AI$3:AI$500)+IF($C31="",0,SUMIF('DADOS BRUTOS'!$A$3:$A$500,$C31,'DADOS BRUTOS'!AI$3:AI$500)))</f>
        <v>0</v>
      </c>
      <c r="DJ31" s="133" t="n">
        <f aca="false">IF(OR(DJ$4="",$B31=""),0,SUMIF('DADOS BRUTOS'!$A$3:$A$500,$B31,'DADOS BRUTOS'!AJ$3:AJ$500)+IF($C31="",0,SUMIF('DADOS BRUTOS'!$A$3:$A$500,$C31,'DADOS BRUTOS'!AJ$3:AJ$500)))</f>
        <v>0</v>
      </c>
      <c r="DK31" s="133" t="n">
        <f aca="false">IF(OR(DK$4="",$B31=""),0,SUMIF('DADOS BRUTOS'!$A$3:$A$500,$B31,'DADOS BRUTOS'!AK$3:AK$500)+IF($C31="",0,SUMIF('DADOS BRUTOS'!$A$3:$A$500,$C31,'DADOS BRUTOS'!AK$3:AK$500)))</f>
        <v>0</v>
      </c>
      <c r="DL31" s="133" t="n">
        <f aca="false">IF(OR(DL$4="",$B31=""),0,SUMIF('DADOS BRUTOS'!$A$3:$A$500,$B31,'DADOS BRUTOS'!AL$3:AL$500)+IF($C31="",0,SUMIF('DADOS BRUTOS'!$A$3:$A$500,$C31,'DADOS BRUTOS'!AL$3:AL$500)))</f>
        <v>0</v>
      </c>
      <c r="DM31" s="133" t="n">
        <f aca="false">IF(OR(DM$4="",$B31=""),0,SUMIF('DADOS BRUTOS'!$A$3:$A$500,$B31,'DADOS BRUTOS'!AM$3:AM$500)+IF($C31="",0,SUMIF('DADOS BRUTOS'!$A$3:$A$500,$C31,'DADOS BRUTOS'!AM$3:AM$500)))</f>
        <v>0</v>
      </c>
      <c r="DN31" s="133" t="n">
        <f aca="false">IF(OR(DN$4="",$B31=""),0,SUMIF('DADOS BRUTOS'!$A$3:$A$500,$B31,'DADOS BRUTOS'!AN$3:AN$500)+IF($C31="",0,SUMIF('DADOS BRUTOS'!$A$3:$A$500,$C31,'DADOS BRUTOS'!AN$3:AN$500)))</f>
        <v>0</v>
      </c>
      <c r="DO31" s="133" t="n">
        <f aca="false">IF(OR(DO$4="",$B31=""),0,SUMIF('DADOS BRUTOS'!$A$3:$A$500,$B31,'DADOS BRUTOS'!AO$3:AO$500)+IF($C31="",0,SUMIF('DADOS BRUTOS'!$A$3:$A$500,$C31,'DADOS BRUTOS'!AO$3:AO$500)))</f>
        <v>0</v>
      </c>
      <c r="DP31" s="133" t="n">
        <f aca="false">IF(OR(DP$4="",$B31=""),0,SUMIF('DADOS BRUTOS'!$A$3:$A$500,$B31,'DADOS BRUTOS'!AP$3:AP$500)+IF($C31="",0,SUMIF('DADOS BRUTOS'!$A$3:$A$500,$C31,'DADOS BRUTOS'!AP$3:AP$500)))</f>
        <v>0</v>
      </c>
      <c r="DQ31" s="133" t="n">
        <f aca="false">IF(OR(DQ$4="",$B31=""),0,SUMIF('DADOS BRUTOS'!$A$3:$A$500,$B31,'DADOS BRUTOS'!AQ$3:AQ$500)+IF($C31="",0,SUMIF('DADOS BRUTOS'!$A$3:$A$500,$C31,'DADOS BRUTOS'!AQ$3:AQ$500)))</f>
        <v>0</v>
      </c>
      <c r="DR31" s="133" t="n">
        <f aca="false">IF(OR(DR$4="",$B31=""),0,SUMIF('DADOS BRUTOS'!$A$3:$A$500,$B31,'DADOS BRUTOS'!AR$3:AR$500)+IF($C31="",0,SUMIF('DADOS BRUTOS'!$A$3:$A$500,$C31,'DADOS BRUTOS'!AR$3:AR$500)))</f>
        <v>0</v>
      </c>
      <c r="DS31" s="133" t="n">
        <f aca="false">IF(OR(DS$4="",$B31=""),0,SUMIF('DADOS BRUTOS'!$A$3:$A$500,$B31,'DADOS BRUTOS'!AS$3:AS$500)+IF($C31="",0,SUMIF('DADOS BRUTOS'!$A$3:$A$500,$C31,'DADOS BRUTOS'!AS$3:AS$500)))</f>
        <v>0</v>
      </c>
      <c r="DT31" s="133" t="n">
        <f aca="false">IF(OR(DT$4="",$B31=""),0,SUMIF('DADOS BRUTOS'!$A$3:$A$500,$B31,'DADOS BRUTOS'!AT$3:AT$500)+IF($C31="",0,SUMIF('DADOS BRUTOS'!$A$3:$A$500,$C31,'DADOS BRUTOS'!AT$3:AT$500)))</f>
        <v>0</v>
      </c>
      <c r="DU31" s="133" t="n">
        <f aca="false">IF(OR(DU$4="",$B31=""),0,SUMIF('DADOS BRUTOS'!$A$3:$A$500,$B31,'DADOS BRUTOS'!AU$3:AU$500)+IF($C31="",0,SUMIF('DADOS BRUTOS'!$A$3:$A$500,$C31,'DADOS BRUTOS'!AU$3:AU$500)))</f>
        <v>0</v>
      </c>
      <c r="DV31" s="133" t="n">
        <f aca="false">IF(OR(DV$4="",$B31=""),0,SUMIF('DADOS BRUTOS'!$A$3:$A$500,$B31,'DADOS BRUTOS'!AV$3:AV$500)+IF($C31="",0,SUMIF('DADOS BRUTOS'!$A$3:$A$500,$C31,'DADOS BRUTOS'!AV$3:AV$500)))</f>
        <v>0</v>
      </c>
      <c r="DW31" s="133" t="n">
        <f aca="false">IF(OR(DW$4="",$B31=""),0,SUMIF('DADOS BRUTOS'!$A$3:$A$500,$B31,'DADOS BRUTOS'!AW$3:AW$500)+IF($C31="",0,SUMIF('DADOS BRUTOS'!$A$3:$A$500,$C31,'DADOS BRUTOS'!AW$3:AW$500)))</f>
        <v>0</v>
      </c>
      <c r="DX31" s="133" t="n">
        <f aca="false">IF(OR(DX$4="",$B31=""),0,SUMIF('DADOS BRUTOS'!$A$3:$A$500,$B31,'DADOS BRUTOS'!AX$3:AX$500)+IF($C31="",0,SUMIF('DADOS BRUTOS'!$A$3:$A$500,$C31,'DADOS BRUTOS'!AX$3:AX$500)))</f>
        <v>0</v>
      </c>
      <c r="DY31" s="133" t="n">
        <f aca="false">IF(OR(DY$4="",$B31=""),0,SUMIF('DADOS BRUTOS'!$A$3:$A$500,$B31,'DADOS BRUTOS'!AY$3:AY$500)+IF($C31="",0,SUMIF('DADOS BRUTOS'!$A$3:$A$500,$C31,'DADOS BRUTOS'!AY$3:AY$500)))</f>
        <v>0</v>
      </c>
      <c r="DZ31" s="133" t="n">
        <f aca="false">IF(OR(DZ$4="",$B31=""),0,SUMIF('DADOS BRUTOS'!$A$3:$A$500,$B31,'DADOS BRUTOS'!AZ$3:AZ$500)+IF($C31="",0,SUMIF('DADOS BRUTOS'!$A$3:$A$500,$C31,'DADOS BRUTOS'!AZ$3:AZ$500)))</f>
        <v>0</v>
      </c>
      <c r="EA31" s="133" t="n">
        <f aca="false">IF(OR(EA$4="",$B31=""),0,SUMIF('DADOS BRUTOS'!$A$3:$A$500,$B31,'DADOS BRUTOS'!BA$3:BA$500)+IF($C31="",0,SUMIF('DADOS BRUTOS'!$A$3:$A$500,$C31,'DADOS BRUTOS'!BA$3:BA$500)))</f>
        <v>0</v>
      </c>
      <c r="EB31" s="133" t="n">
        <f aca="false">IF(OR(EB$4="",$B31=""),0,SUMIF('DADOS BRUTOS'!$A$3:$A$500,$B31,'DADOS BRUTOS'!BB$3:BB$500)+IF($C31="",0,SUMIF('DADOS BRUTOS'!$A$3:$A$500,$C31,'DADOS BRUTOS'!BB$3:BB$500)))</f>
        <v>0</v>
      </c>
      <c r="EC31" s="133" t="n">
        <f aca="false">IF(OR(EC$4="",$B31=""),0,SUMIF('DADOS BRUTOS'!$A$3:$A$500,$B31,'DADOS BRUTOS'!BC$3:BC$500)+IF($C31="",0,SUMIF('DADOS BRUTOS'!$A$3:$A$500,$C31,'DADOS BRUTOS'!BC$3:BC$500)))</f>
        <v>0</v>
      </c>
      <c r="ED31" s="133" t="n">
        <f aca="false">IF(OR(ED$4="",$B31=""),0,SUMIF('DADOS BRUTOS'!$A$3:$A$500,$B31,'DADOS BRUTOS'!BD$3:BD$500)+IF($C31="",0,SUMIF('DADOS BRUTOS'!$A$3:$A$500,$C31,'DADOS BRUTOS'!BD$3:BD$500)))</f>
        <v>0</v>
      </c>
      <c r="EE31" s="133" t="n">
        <f aca="false">IF(OR(EE$4="",$B31=""),0,SUMIF('DADOS BRUTOS'!$A$3:$A$500,$B31,'DADOS BRUTOS'!BE$3:BE$500)+IF($C31="",0,SUMIF('DADOS BRUTOS'!$A$3:$A$500,$C31,'DADOS BRUTOS'!BE$3:BE$500)))</f>
        <v>0</v>
      </c>
      <c r="EF31" s="133" t="n">
        <f aca="false">IF(OR(EF$4="",$B31=""),0,SUMIF('DADOS BRUTOS'!$A$3:$A$500,$B31,'DADOS BRUTOS'!BF$3:BF$500)+IF($C31="",0,SUMIF('DADOS BRUTOS'!$A$3:$A$500,$C31,'DADOS BRUTOS'!BF$3:BF$500)))</f>
        <v>0</v>
      </c>
      <c r="EG31" s="133" t="n">
        <f aca="false">IF(OR(EG$4="",$B31=""),0,SUMIF('DADOS BRUTOS'!$A$3:$A$500,$B31,'DADOS BRUTOS'!BG$3:BG$500)+IF($C31="",0,SUMIF('DADOS BRUTOS'!$A$3:$A$500,$C31,'DADOS BRUTOS'!BG$3:BG$500)))</f>
        <v>0</v>
      </c>
      <c r="EH31" s="133" t="n">
        <f aca="false">IF(OR(EH$4="",$B31=""),0,SUMIF('DADOS BRUTOS'!$A$3:$A$500,$B31,'DADOS BRUTOS'!BH$3:BH$500)+IF($C31="",0,SUMIF('DADOS BRUTOS'!$A$3:$A$500,$C31,'DADOS BRUTOS'!BH$3:BH$500)))</f>
        <v>0</v>
      </c>
      <c r="EI31" s="133" t="n">
        <f aca="false">IF(OR(EI$4="",$B31=""),0,SUMIF('DADOS BRUTOS'!$A$3:$A$500,$B31,'DADOS BRUTOS'!BI$3:BI$500)+IF($C31="",0,SUMIF('DADOS BRUTOS'!$A$3:$A$500,$C31,'DADOS BRUTOS'!BI$3:BI$500)))</f>
        <v>0</v>
      </c>
      <c r="EJ31" s="133" t="n">
        <f aca="false">IF(OR(EJ$4="",$B31=""),0,SUMIF('DADOS BRUTOS'!$A$3:$A$500,$B31,'DADOS BRUTOS'!BJ$3:BJ$500)+IF($C31="",0,SUMIF('DADOS BRUTOS'!$A$3:$A$500,$C31,'DADOS BRUTOS'!BJ$3:BJ$500)))</f>
        <v>0</v>
      </c>
      <c r="EK31" s="133" t="n">
        <f aca="false">IF(OR(EK$4="",$B31=""),0,SUMIF('DADOS BRUTOS'!$A$3:$A$500,$B31,'DADOS BRUTOS'!BK$3:BK$500)+IF($C31="",0,SUMIF('DADOS BRUTOS'!$A$3:$A$500,$C31,'DADOS BRUTOS'!BK$3:BK$500)))</f>
        <v>0</v>
      </c>
      <c r="EL31" s="133" t="n">
        <f aca="false">IF(OR(EL$4="",$B31=""),0,SUMIF('DADOS BRUTOS'!$A$3:$A$500,$B31,'DADOS BRUTOS'!BL$3:BL$500)+IF($C31="",0,SUMIF('DADOS BRUTOS'!$A$3:$A$500,$C31,'DADOS BRUTOS'!BL$3:BL$500)))</f>
        <v>0</v>
      </c>
      <c r="EM31" s="133" t="n">
        <f aca="false">IF(OR(EM$4="",$B31=""),0,SUMIF('DADOS BRUTOS'!$A$3:$A$500,$B31,'DADOS BRUTOS'!BM$3:BM$500)+IF($C31="",0,SUMIF('DADOS BRUTOS'!$A$3:$A$500,$C31,'DADOS BRUTOS'!BM$3:BM$500)))</f>
        <v>0</v>
      </c>
      <c r="EN31" s="133" t="n">
        <f aca="false">IF(OR(EN$4="",$B31=""),0,SUMIF('DADOS BRUTOS'!$A$3:$A$500,$B31,'DADOS BRUTOS'!BN$3:BN$500)+IF($C31="",0,SUMIF('DADOS BRUTOS'!$A$3:$A$500,$C31,'DADOS BRUTOS'!BN$3:BN$500)))</f>
        <v>0</v>
      </c>
      <c r="EO31" s="133" t="n">
        <f aca="false">IF(OR(EO$4="",$B31=""),0,SUMIF('DADOS BRUTOS'!$A$3:$A$500,$B31,'DADOS BRUTOS'!BO$3:BO$500)+IF($C31="",0,SUMIF('DADOS BRUTOS'!$A$3:$A$500,$C31,'DADOS BRUTOS'!BO$3:BO$500)))</f>
        <v>0</v>
      </c>
      <c r="EP31" s="133" t="n">
        <f aca="false">IF(OR(EP$4="",$B31=""),0,SUMIF('DADOS BRUTOS'!$A$3:$A$500,$B31,'DADOS BRUTOS'!BP$3:BP$500)+IF($C31="",0,SUMIF('DADOS BRUTOS'!$A$3:$A$500,$C31,'DADOS BRUTOS'!BP$3:BP$500)))</f>
        <v>0</v>
      </c>
      <c r="EQ31" s="133" t="n">
        <f aca="false">IF(OR(EQ$4="",$B31=""),0,SUMIF('DADOS BRUTOS'!$A$3:$A$500,$B31,'DADOS BRUTOS'!BQ$3:BQ$500)+IF($C31="",0,SUMIF('DADOS BRUTOS'!$A$3:$A$500,$C31,'DADOS BRUTOS'!BQ$3:BQ$500)))</f>
        <v>0</v>
      </c>
      <c r="ER31" s="133" t="n">
        <f aca="false">IF(OR(ER$4="",$B31=""),0,SUMIF('DADOS BRUTOS'!$A$3:$A$500,$B31,'DADOS BRUTOS'!BR$3:BR$500)+IF($C31="",0,SUMIF('DADOS BRUTOS'!$A$3:$A$500,$C31,'DADOS BRUTOS'!BR$3:BR$500)))</f>
        <v>0</v>
      </c>
      <c r="ES31" s="133" t="n">
        <f aca="false">IF(OR(ES$4="",$B31=""),0,SUMIF('DADOS BRUTOS'!$A$3:$A$500,$B31,'DADOS BRUTOS'!BS$3:BS$500)+IF($C31="",0,SUMIF('DADOS BRUTOS'!$A$3:$A$500,$C31,'DADOS BRUTOS'!BS$3:BS$500)))</f>
        <v>0</v>
      </c>
      <c r="ET31" s="133" t="n">
        <f aca="false">IF(OR(ET$4="",$B31=""),0,SUMIF('DADOS BRUTOS'!$A$3:$A$500,$B31,'DADOS BRUTOS'!BT$3:BT$500)+IF($C31="",0,SUMIF('DADOS BRUTOS'!$A$3:$A$500,$C31,'DADOS BRUTOS'!BT$3:BT$500)))</f>
        <v>0</v>
      </c>
      <c r="EU31" s="133" t="n">
        <f aca="false">IF(OR(EU$4="",$B31=""),0,SUMIF('DADOS BRUTOS'!$A$3:$A$500,$B31,'DADOS BRUTOS'!BU$3:BU$500)+IF($C31="",0,SUMIF('DADOS BRUTOS'!$A$3:$A$500,$C31,'DADOS BRUTOS'!BU$3:BU$500)))</f>
        <v>0</v>
      </c>
      <c r="EV31" s="133" t="n">
        <f aca="false">IF(OR(EV$4="",$B31=""),0,SUMIF('DADOS BRUTOS'!$A$3:$A$500,$B31,'DADOS BRUTOS'!BV$3:BV$500)+IF($C31="",0,SUMIF('DADOS BRUTOS'!$A$3:$A$500,$C31,'DADOS BRUTOS'!BV$3:BV$500)))</f>
        <v>0</v>
      </c>
      <c r="EW31" s="133" t="n">
        <f aca="false">IF(OR(EW$4="",$B31=""),0,SUMIF('DADOS BRUTOS'!$A$3:$A$500,$B31,'DADOS BRUTOS'!BW$3:BW$500)+IF($C31="",0,SUMIF('DADOS BRUTOS'!$A$3:$A$500,$C31,'DADOS BRUTOS'!BW$3:BW$500)))</f>
        <v>0</v>
      </c>
      <c r="EX31" s="133" t="n">
        <f aca="false">IF(OR(EX$4="",$B31=""),0,SUMIF('DADOS BRUTOS'!$A$3:$A$500,$B31,'DADOS BRUTOS'!BX$3:BX$500)+IF($C31="",0,SUMIF('DADOS BRUTOS'!$A$3:$A$500,$C31,'DADOS BRUTOS'!BX$3:BX$500)))</f>
        <v>0</v>
      </c>
      <c r="EY31" s="133" t="n">
        <f aca="false">IF(OR(EY$4="",$B31=""),0,SUMIF('DADOS BRUTOS'!$A$3:$A$500,$B31,'DADOS BRUTOS'!BY$3:BY$500)+IF($C31="",0,SUMIF('DADOS BRUTOS'!$A$3:$A$500,$C31,'DADOS BRUTOS'!BY$3:BY$500)))</f>
        <v>0</v>
      </c>
      <c r="EZ31" s="133" t="n">
        <f aca="false">IF(OR(EZ$4="",$B31=""),0,SUMIF('DADOS BRUTOS'!$A$3:$A$500,$B31,'DADOS BRUTOS'!BZ$3:BZ$500)+IF($C31="",0,SUMIF('DADOS BRUTOS'!$A$3:$A$500,$C31,'DADOS BRUTOS'!BZ$3:BZ$500)))</f>
        <v>0</v>
      </c>
      <c r="FA31" s="133" t="n">
        <f aca="false">IF(OR(FA$4="",$B31=""),0,SUMIF('DADOS BRUTOS'!$A$3:$A$500,$B31,'DADOS BRUTOS'!CA$3:CA$500)+IF($C31="",0,SUMIF('DADOS BRUTOS'!$A$3:$A$500,$C31,'DADOS BRUTOS'!CA$3:CA$500)))</f>
        <v>0</v>
      </c>
      <c r="FB31" s="133" t="n">
        <f aca="false">IF(OR(FB$4="",$B31=""),0,SUMIF('DADOS BRUTOS'!$A$3:$A$500,$B31,'DADOS BRUTOS'!CB$3:CB$500)+IF($C31="",0,SUMIF('DADOS BRUTOS'!$A$3:$A$500,$C31,'DADOS BRUTOS'!CB$3:CB$500)))</f>
        <v>0</v>
      </c>
      <c r="FC31" s="133" t="n">
        <f aca="false">IF(OR(FC$4="",$B31=""),0,SUMIF('DADOS BRUTOS'!$A$3:$A$500,$B31,'DADOS BRUTOS'!CC$3:CC$500)+IF($C31="",0,SUMIF('DADOS BRUTOS'!$A$3:$A$500,$C31,'DADOS BRUTOS'!CC$3:CC$500)))</f>
        <v>0</v>
      </c>
      <c r="FD31" s="133" t="n">
        <f aca="false">IF(OR(FD$4="",$B31=""),0,SUMIF('DADOS BRUTOS'!$A$3:$A$500,$B31,'DADOS BRUTOS'!CD$3:CD$500)+IF($C31="",0,SUMIF('DADOS BRUTOS'!$A$3:$A$500,$C31,'DADOS BRUTOS'!CD$3:CD$500)))</f>
        <v>0</v>
      </c>
      <c r="FE31" s="133" t="n">
        <f aca="false">IF(OR(FE$4="",$B31=""),0,SUMIF('DADOS BRUTOS'!$A$3:$A$500,$B31,'DADOS BRUTOS'!CE$3:CE$500)+IF($C31="",0,SUMIF('DADOS BRUTOS'!$A$3:$A$500,$C31,'DADOS BRUTOS'!CE$3:CE$500)))</f>
        <v>0</v>
      </c>
      <c r="FF31" s="133" t="n">
        <f aca="false">IF(OR(FF$4="",$B31=""),0,SUMIF('DADOS BRUTOS'!$A$3:$A$500,$B31,'DADOS BRUTOS'!CF$3:CF$500)+IF($C31="",0,SUMIF('DADOS BRUTOS'!$A$3:$A$500,$C31,'DADOS BRUTOS'!CF$3:CF$500)))</f>
        <v>0</v>
      </c>
      <c r="FG31" s="133" t="n">
        <f aca="false">IF(OR(FG$4="",$B31=""),0,SUMIF('DADOS BRUTOS'!$A$3:$A$500,$B31,'DADOS BRUTOS'!CG$3:CG$500)+IF($C31="",0,SUMIF('DADOS BRUTOS'!$A$3:$A$500,$C31,'DADOS BRUTOS'!CG$3:CG$500)))</f>
        <v>0</v>
      </c>
      <c r="FH31" s="133" t="n">
        <f aca="false">IF(OR(FH$4="",$B31=""),0,SUMIF('DADOS BRUTOS'!$A$3:$A$500,$B31,'DADOS BRUTOS'!CH$3:CH$500)+IF($C31="",0,SUMIF('DADOS BRUTOS'!$A$3:$A$500,$C31,'DADOS BRUTOS'!CH$3:CH$500)))</f>
        <v>0</v>
      </c>
      <c r="FI31" s="133" t="n">
        <f aca="false">IF(OR(FI$4="",$B31=""),0,SUMIF('DADOS BRUTOS'!$A$3:$A$500,$B31,'DADOS BRUTOS'!CI$3:CI$500)+IF($C31="",0,SUMIF('DADOS BRUTOS'!$A$3:$A$500,$C31,'DADOS BRUTOS'!CI$3:CI$500)))</f>
        <v>0</v>
      </c>
      <c r="FJ31" s="133" t="n">
        <f aca="false">IF(OR(FJ$4="",$B31=""),0,SUMIF('DADOS BRUTOS'!$A$3:$A$500,$B31,'DADOS BRUTOS'!CJ$3:CJ$500)+IF($C31="",0,SUMIF('DADOS BRUTOS'!$A$3:$A$500,$C31,'DADOS BRUTOS'!CJ$3:CJ$500)))</f>
        <v>0</v>
      </c>
      <c r="FK31" s="133" t="n">
        <f aca="false">IF(OR(FK$4="",$B31=""),0,SUMIF('DADOS BRUTOS'!$A$3:$A$500,$B31,'DADOS BRUTOS'!CK$3:CK$500)+IF($C31="",0,SUMIF('DADOS BRUTOS'!$A$3:$A$500,$C31,'DADOS BRUTOS'!CK$3:CK$500)))</f>
        <v>0</v>
      </c>
      <c r="FL31" s="133" t="n">
        <f aca="false">IF(OR(FL$4="",$B31=""),0,SUMIF('DADOS BRUTOS'!$A$3:$A$500,$B31,'DADOS BRUTOS'!CL$3:CL$500)+IF($C31="",0,SUMIF('DADOS BRUTOS'!$A$3:$A$500,$C31,'DADOS BRUTOS'!CL$3:CL$500)))</f>
        <v>0</v>
      </c>
      <c r="FM31" s="133" t="n">
        <f aca="false">IF(OR(FM$4="",$B31=""),0,SUMIF('DADOS BRUTOS'!$A$3:$A$500,$B31,'DADOS BRUTOS'!CM$3:CM$500)+IF($C31="",0,SUMIF('DADOS BRUTOS'!$A$3:$A$500,$C31,'DADOS BRUTOS'!CM$3:CM$500)))</f>
        <v>0</v>
      </c>
      <c r="FN31" s="133" t="n">
        <f aca="false">IF(OR(FN$4="",$B31=""),0,SUMIF('DADOS BRUTOS'!$A$3:$A$500,$B31,'DADOS BRUTOS'!CN$3:CN$500)+IF($C31="",0,SUMIF('DADOS BRUTOS'!$A$3:$A$500,$C31,'DADOS BRUTOS'!CN$3:CN$500)))</f>
        <v>0</v>
      </c>
      <c r="FO31" s="133" t="n">
        <f aca="false">IF(OR(FO$4="",$B31=""),0,SUMIF('DADOS BRUTOS'!$A$3:$A$500,$B31,'DADOS BRUTOS'!CO$3:CO$500)+IF($C31="",0,SUMIF('DADOS BRUTOS'!$A$3:$A$500,$C31,'DADOS BRUTOS'!CO$3:CO$500)))</f>
        <v>0</v>
      </c>
      <c r="FP31" s="133" t="n">
        <f aca="false">IF(OR(FP$4="",$B31=""),0,SUMIF('DADOS BRUTOS'!$A$3:$A$500,$B31,'DADOS BRUTOS'!CP$3:CP$500)+IF($C31="",0,SUMIF('DADOS BRUTOS'!$A$3:$A$500,$C31,'DADOS BRUTOS'!CP$3:CP$500)))</f>
        <v>0</v>
      </c>
      <c r="FQ31" s="133" t="n">
        <f aca="false">IF(OR(FQ$4="",$B31=""),0,SUMIF('DADOS BRUTOS'!$A$3:$A$500,$B31,'DADOS BRUTOS'!CQ$3:CQ$500)+IF($C31="",0,SUMIF('DADOS BRUTOS'!$A$3:$A$500,$C31,'DADOS BRUTOS'!CQ$3:CQ$500)))</f>
        <v>0</v>
      </c>
      <c r="FR31" s="133" t="n">
        <f aca="false">IF(OR(FR$4="",$B31=""),0,SUMIF('DADOS BRUTOS'!$A$3:$A$500,$B31,'DADOS BRUTOS'!CR$3:CR$500)+IF($C31="",0,SUMIF('DADOS BRUTOS'!$A$3:$A$500,$C31,'DADOS BRUTOS'!CR$3:CR$500)))</f>
        <v>0</v>
      </c>
      <c r="FS31" s="133" t="n">
        <f aca="false">IF(OR(FS$4="",$B31=""),0,SUMIF('DADOS BRUTOS'!$A$3:$A$500,$B31,'DADOS BRUTOS'!CS$3:CS$500)+IF($C31="",0,SUMIF('DADOS BRUTOS'!$A$3:$A$500,$C31,'DADOS BRUTOS'!CS$3:CS$500)))</f>
        <v>0</v>
      </c>
      <c r="FT31" s="133" t="n">
        <f aca="false">IF(OR(FT$4="",$B31=""),0,SUMIF('DADOS BRUTOS'!$A$3:$A$500,$B31,'DADOS BRUTOS'!CT$3:CT$500)+IF($C31="",0,SUMIF('DADOS BRUTOS'!$A$3:$A$500,$C31,'DADOS BRUTOS'!CT$3:CT$500)))</f>
        <v>0</v>
      </c>
      <c r="FU31" s="133" t="n">
        <f aca="false">IF(OR(FU$4="",$B31=""),0,SUMIF('DADOS BRUTOS'!$A$3:$A$500,$B31,'DADOS BRUTOS'!CU$3:CU$500)+IF($C31="",0,SUMIF('DADOS BRUTOS'!$A$3:$A$500,$C31,'DADOS BRUTOS'!CU$3:CU$500)))</f>
        <v>0</v>
      </c>
      <c r="FV31" s="133" t="n">
        <f aca="false">IF(OR(FV$4="",$B31=""),0,SUMIF('DADOS BRUTOS'!$A$3:$A$500,$B31,'DADOS BRUTOS'!CV$3:CV$500)+IF($C31="",0,SUMIF('DADOS BRUTOS'!$A$3:$A$500,$C31,'DADOS BRUTOS'!CV$3:CV$500)))</f>
        <v>0</v>
      </c>
      <c r="FW31" s="133" t="n">
        <f aca="false">IF(OR(FW$4="",$B31=""),0,SUMIF('DADOS BRUTOS'!$A$3:$A$500,$B31,'DADOS BRUTOS'!CW$3:CW$500)+IF($C31="",0,SUMIF('DADOS BRUTOS'!$A$3:$A$500,$C31,'DADOS BRUTOS'!CW$3:CW$500)))</f>
        <v>0</v>
      </c>
      <c r="FX31" s="133" t="n">
        <f aca="false">IF(OR(FX$4="",$B31=""),0,SUMIF('DADOS BRUTOS'!$A$3:$A$500,$B31,'DADOS BRUTOS'!CX$3:CX$500)+IF($C31="",0,SUMIF('DADOS BRUTOS'!$A$3:$A$500,$C31,'DADOS BRUTOS'!CX$3:CX$500)))</f>
        <v>0</v>
      </c>
      <c r="FY31" s="133" t="n">
        <f aca="false">IF(OR(FY$4="",$B31=""),0,SUMIF('DADOS BRUTOS'!$A$3:$A$500,$B31,'DADOS BRUTOS'!CY$3:CY$500)+IF($C31="",0,SUMIF('DADOS BRUTOS'!$A$3:$A$500,$C31,'DADOS BRUTOS'!CY$3:CY$500)))</f>
        <v>0</v>
      </c>
      <c r="FZ31" s="133" t="n">
        <f aca="false">IF(OR(FZ$4="",$B31=""),0,SUMIF('DADOS BRUTOS'!$A$3:$A$500,$B31,'DADOS BRUTOS'!CZ$3:CZ$500)+IF($C31="",0,SUMIF('DADOS BRUTOS'!$A$3:$A$500,$C31,'DADOS BRUTOS'!CZ$3:CZ$500)))</f>
        <v>0</v>
      </c>
      <c r="GA31" s="133" t="n">
        <f aca="false">IF(OR(GA$4="",$B31=""),0,SUMIF('DADOS BRUTOS'!$A$3:$A$500,$B31,'DADOS BRUTOS'!DA$3:DA$500)+IF($C31="",0,SUMIF('DADOS BRUTOS'!$A$3:$A$500,$C31,'DADOS BRUTOS'!DA$3:DA$500)))</f>
        <v>0</v>
      </c>
      <c r="GB31" s="133" t="n">
        <f aca="false">IF(OR(GB$4="",$B31=""),0,SUMIF('DADOS BRUTOS'!$A$3:$A$500,$B31,'DADOS BRUTOS'!DB$3:DB$500)+IF($C31="",0,SUMIF('DADOS BRUTOS'!$A$3:$A$500,$C31,'DADOS BRUTOS'!DB$3:DB$500)))</f>
        <v>0</v>
      </c>
      <c r="GC31" s="133" t="n">
        <f aca="false">IF(OR(GC$4="",$B31=""),0,SUMIF('DADOS BRUTOS'!$A$3:$A$500,$B31,'DADOS BRUTOS'!DC$3:DC$500)+IF($C31="",0,SUMIF('DADOS BRUTOS'!$A$3:$A$500,$C31,'DADOS BRUTOS'!DC$3:DC$500)))</f>
        <v>0</v>
      </c>
      <c r="GD31" s="133" t="n">
        <f aca="false">IF(OR(GD$4="",$B31=""),0,SUMIF('DADOS BRUTOS'!$A$3:$A$500,$B31,'DADOS BRUTOS'!DD$3:DD$500)+IF($C31="",0,SUMIF('DADOS BRUTOS'!$A$3:$A$500,$C31,'DADOS BRUTOS'!DD$3:DD$500)))</f>
        <v>0</v>
      </c>
      <c r="GE31" s="133" t="n">
        <f aca="false">IF(OR(GE$4="",$B31=""),0,SUMIF('DADOS BRUTOS'!$A$3:$A$500,$B31,'DADOS BRUTOS'!DE$3:DE$500)+IF($C31="",0,SUMIF('DADOS BRUTOS'!$A$3:$A$500,$C31,'DADOS BRUTOS'!DE$3:DE$500)))</f>
        <v>0</v>
      </c>
      <c r="GF31" s="133" t="n">
        <f aca="false">IF(OR(GF$4="",$B31=""),0,SUMIF('DADOS BRUTOS'!$A$3:$A$500,$B31,'DADOS BRUTOS'!DF$3:DF$500)+IF($C31="",0,SUMIF('DADOS BRUTOS'!$A$3:$A$500,$C31,'DADOS BRUTOS'!DF$3:DF$500)))</f>
        <v>0</v>
      </c>
      <c r="GG31" s="133" t="n">
        <f aca="false">IF(OR(GG$4="",$B31=""),0,SUMIF('DADOS BRUTOS'!$A$3:$A$500,$B31,'DADOS BRUTOS'!DG$3:DG$500)+IF($C31="",0,SUMIF('DADOS BRUTOS'!$A$3:$A$500,$C31,'DADOS BRUTOS'!DG$3:DG$500)))</f>
        <v>0</v>
      </c>
      <c r="GH31" s="133" t="n">
        <f aca="false">IF(OR(GH$4="",$B31=""),0,SUMIF('DADOS BRUTOS'!$A$3:$A$500,$B31,'DADOS BRUTOS'!DH$3:DH$500)+IF($C31="",0,SUMIF('DADOS BRUTOS'!$A$3:$A$500,$C31,'DADOS BRUTOS'!DH$3:DH$500)))</f>
        <v>0</v>
      </c>
      <c r="GI31" s="133" t="n">
        <f aca="false">IF(OR(GI$4="",$B31=""),0,SUMIF('DADOS BRUTOS'!$A$3:$A$500,$B31,'DADOS BRUTOS'!DI$3:DI$500)+IF($C31="",0,SUMIF('DADOS BRUTOS'!$A$3:$A$500,$C31,'DADOS BRUTOS'!DI$3:DI$500)))</f>
        <v>0</v>
      </c>
      <c r="GJ31" s="133" t="n">
        <f aca="false">IF(OR(GJ$4="",$B31=""),0,SUMIF('DADOS BRUTOS'!$A$3:$A$500,$B31,'DADOS BRUTOS'!DJ$3:DJ$500)+IF($C31="",0,SUMIF('DADOS BRUTOS'!$A$3:$A$500,$C31,'DADOS BRUTOS'!DJ$3:DJ$500)))</f>
        <v>0</v>
      </c>
      <c r="GK31" s="133" t="n">
        <f aca="false">IF(OR(GK$4="",$B31=""),0,SUMIF('DADOS BRUTOS'!$A$3:$A$500,$B31,'DADOS BRUTOS'!DK$3:DK$500)+IF($C31="",0,SUMIF('DADOS BRUTOS'!$A$3:$A$500,$C31,'DADOS BRUTOS'!DK$3:DK$500)))</f>
        <v>0</v>
      </c>
      <c r="GL31" s="133" t="n">
        <f aca="false">IF(OR(GL$4="",$B31=""),0,SUMIF('DADOS BRUTOS'!$A$3:$A$500,$B31,'DADOS BRUTOS'!DL$3:DL$500)+IF($C31="",0,SUMIF('DADOS BRUTOS'!$A$3:$A$500,$C31,'DADOS BRUTOS'!DL$3:DL$500)))</f>
        <v>0</v>
      </c>
      <c r="GM31" s="133" t="n">
        <f aca="false">IF(OR(GM$4="",$B31=""),0,SUMIF('DADOS BRUTOS'!$A$3:$A$500,$B31,'DADOS BRUTOS'!DM$3:DM$500)+IF($C31="",0,SUMIF('DADOS BRUTOS'!$A$3:$A$500,$C31,'DADOS BRUTOS'!DM$3:DM$500)))</f>
        <v>0</v>
      </c>
      <c r="GN31" s="133" t="n">
        <f aca="false">IF(OR(GN$4="",$B31=""),0,SUMIF('DADOS BRUTOS'!$A$3:$A$500,$B31,'DADOS BRUTOS'!DN$3:DN$500)+IF($C31="",0,SUMIF('DADOS BRUTOS'!$A$3:$A$500,$C31,'DADOS BRUTOS'!DN$3:DN$500)))</f>
        <v>0</v>
      </c>
      <c r="GO31" s="133" t="n">
        <f aca="false">IF(OR(GO$4="",$B31=""),0,SUMIF('DADOS BRUTOS'!$A$3:$A$500,$B31,'DADOS BRUTOS'!DO$3:DO$500)+IF($C31="",0,SUMIF('DADOS BRUTOS'!$A$3:$A$500,$C31,'DADOS BRUTOS'!DO$3:DO$500)))</f>
        <v>0</v>
      </c>
      <c r="GP31" s="133" t="n">
        <f aca="false">IF(OR(GP$4="",$B31=""),0,SUMIF('DADOS BRUTOS'!$A$3:$A$500,$B31,'DADOS BRUTOS'!DP$3:DP$500)+IF($C31="",0,SUMIF('DADOS BRUTOS'!$A$3:$A$500,$C31,'DADOS BRUTOS'!DP$3:DP$500)))</f>
        <v>0</v>
      </c>
      <c r="GQ31" s="133" t="n">
        <f aca="false">IF(OR(GQ$4="",$B31=""),0,SUMIF('DADOS BRUTOS'!$A$3:$A$500,$B31,'DADOS BRUTOS'!DQ$3:DQ$500)+IF($C31="",0,SUMIF('DADOS BRUTOS'!$A$3:$A$500,$C31,'DADOS BRUTOS'!DQ$3:DQ$500)))</f>
        <v>0</v>
      </c>
      <c r="GR31" s="133" t="n">
        <f aca="false">IF(OR(GR$4="",$B31=""),0,SUMIF('DADOS BRUTOS'!$A$3:$A$500,$B31,'DADOS BRUTOS'!DR$3:DR$500)+IF($C31="",0,SUMIF('DADOS BRUTOS'!$A$3:$A$500,$C31,'DADOS BRUTOS'!DR$3:DR$500)))</f>
        <v>0</v>
      </c>
      <c r="GS31" s="133" t="n">
        <f aca="false">IF(OR(GS$4="",$B31=""),0,SUMIF('DADOS BRUTOS'!$A$3:$A$500,$B31,'DADOS BRUTOS'!DS$3:DS$500)+IF($C31="",0,SUMIF('DADOS BRUTOS'!$A$3:$A$500,$C31,'DADOS BRUTOS'!DS$3:DS$500)))</f>
        <v>0</v>
      </c>
      <c r="GT31" s="133" t="n">
        <f aca="false">IF(OR(GT$4="",$B31=""),0,SUMIF('DADOS BRUTOS'!$A$3:$A$500,$B31,'DADOS BRUTOS'!DT$3:DT$500)+IF($C31="",0,SUMIF('DADOS BRUTOS'!$A$3:$A$500,$C31,'DADOS BRUTOS'!DT$3:DT$500)))</f>
        <v>0</v>
      </c>
      <c r="GU31" s="133" t="n">
        <f aca="false">IF(OR(GU$4="",$B31=""),0,SUMIF('DADOS BRUTOS'!$A$3:$A$500,$B31,'DADOS BRUTOS'!DU$3:DU$500)+IF($C31="",0,SUMIF('DADOS BRUTOS'!$A$3:$A$500,$C31,'DADOS BRUTOS'!DU$3:DU$500)))</f>
        <v>0</v>
      </c>
      <c r="GV31" s="133" t="n">
        <f aca="false">IF(OR(GV$4="",$B31=""),0,SUMIF('DADOS BRUTOS'!$A$3:$A$500,$B31,'DADOS BRUTOS'!DV$3:DV$500)+IF($C31="",0,SUMIF('DADOS BRUTOS'!$A$3:$A$500,$C31,'DADOS BRUTOS'!DV$3:DV$500)))</f>
        <v>0</v>
      </c>
      <c r="GW31" s="133" t="n">
        <f aca="false">IF(OR(GW$4="",$B31=""),0,SUMIF('DADOS BRUTOS'!$A$3:$A$500,$B31,'DADOS BRUTOS'!DW$3:DW$500)+IF($C31="",0,SUMIF('DADOS BRUTOS'!$A$3:$A$500,$C31,'DADOS BRUTOS'!DW$3:DW$500)))</f>
        <v>0</v>
      </c>
      <c r="GX31" s="133" t="n">
        <f aca="false">IF(OR(GX$4="",$B31=""),0,SUMIF('DADOS BRUTOS'!$A$3:$A$500,$B31,'DADOS BRUTOS'!DX$3:DX$500)+IF($C31="",0,SUMIF('DADOS BRUTOS'!$A$3:$A$500,$C31,'DADOS BRUTOS'!DX$3:DX$500)))</f>
        <v>0</v>
      </c>
      <c r="GY31" s="133" t="n">
        <f aca="false">IF(OR(GY$4="",$B31=""),0,SUMIF('DADOS BRUTOS'!$A$3:$A$500,$B31,'DADOS BRUTOS'!DY$3:DY$500)+IF($C31="",0,SUMIF('DADOS BRUTOS'!$A$3:$A$500,$C31,'DADOS BRUTOS'!DY$3:DY$500)))</f>
        <v>0</v>
      </c>
      <c r="GZ31" s="133" t="n">
        <f aca="false">IF(OR(GZ$4="",$B31=""),0,SUMIF('DADOS BRUTOS'!$A$3:$A$500,$B31,'DADOS BRUTOS'!DZ$3:DZ$500)+IF($C31="",0,SUMIF('DADOS BRUTOS'!$A$3:$A$500,$C31,'DADOS BRUTOS'!DZ$3:DZ$500)))</f>
        <v>0</v>
      </c>
      <c r="HA31" s="133" t="n">
        <f aca="false">IF(OR(HA$4="",$B31=""),0,SUMIF('DADOS BRUTOS'!$A$3:$A$500,$B31,'DADOS BRUTOS'!EA$3:EA$500)+IF($C31="",0,SUMIF('DADOS BRUTOS'!$A$3:$A$500,$C31,'DADOS BRUTOS'!EA$3:EA$500)))</f>
        <v>0</v>
      </c>
      <c r="HB31" s="133" t="n">
        <f aca="false">IF(OR(HB$4="",$B31=""),0,SUMIF('DADOS BRUTOS'!$A$3:$A$500,$B31,'DADOS BRUTOS'!EB$3:EB$500)+IF($C31="",0,SUMIF('DADOS BRUTOS'!$A$3:$A$500,$C31,'DADOS BRUTOS'!EB$3:EB$500)))</f>
        <v>0</v>
      </c>
      <c r="HC31" s="133" t="n">
        <f aca="false">IF(OR(HC$4="",$B31=""),0,SUMIF('DADOS BRUTOS'!$A$3:$A$500,$B31,'DADOS BRUTOS'!EC$3:EC$500)+IF($C31="",0,SUMIF('DADOS BRUTOS'!$A$3:$A$500,$C31,'DADOS BRUTOS'!EC$3:EC$500)))</f>
        <v>0</v>
      </c>
      <c r="HD31" s="133" t="n">
        <f aca="false">IF(OR(HD$4="",$B31=""),0,SUMIF('DADOS BRUTOS'!$A$3:$A$500,$B31,'DADOS BRUTOS'!ED$3:ED$500)+IF($C31="",0,SUMIF('DADOS BRUTOS'!$A$3:$A$500,$C31,'DADOS BRUTOS'!ED$3:ED$500)))</f>
        <v>0</v>
      </c>
      <c r="HE31" s="133" t="n">
        <f aca="false">IF(OR(HE$4="",$B31=""),0,SUMIF('DADOS BRUTOS'!$A$3:$A$500,$B31,'DADOS BRUTOS'!EE$3:EE$500)+IF($C31="",0,SUMIF('DADOS BRUTOS'!$A$3:$A$500,$C31,'DADOS BRUTOS'!EE$3:EE$500)))</f>
        <v>0</v>
      </c>
      <c r="HF31" s="133" t="n">
        <f aca="false">IF(OR(HF$4="",$B31=""),0,SUMIF('DADOS BRUTOS'!$A$3:$A$500,$B31,'DADOS BRUTOS'!EF$3:EF$500)+IF($C31="",0,SUMIF('DADOS BRUTOS'!$A$3:$A$500,$C31,'DADOS BRUTOS'!EF$3:EF$500)))</f>
        <v>0</v>
      </c>
      <c r="HG31" s="133" t="n">
        <f aca="false">IF(OR(HG$4="",$B31=""),0,SUMIF('DADOS BRUTOS'!$A$3:$A$500,$B31,'DADOS BRUTOS'!EG$3:EG$500)+IF($C31="",0,SUMIF('DADOS BRUTOS'!$A$3:$A$500,$C31,'DADOS BRUTOS'!EG$3:EG$500)))</f>
        <v>0</v>
      </c>
      <c r="HH31" s="133" t="n">
        <f aca="false">IF(OR(HH$4="",$B31=""),0,SUMIF('DADOS BRUTOS'!$A$3:$A$500,$B31,'DADOS BRUTOS'!EH$3:EH$500)+IF($C31="",0,SUMIF('DADOS BRUTOS'!$A$3:$A$500,$C31,'DADOS BRUTOS'!EH$3:EH$500)))</f>
        <v>0</v>
      </c>
      <c r="HI31" s="133" t="n">
        <f aca="false">IF(OR(HI$4="",$B31=""),0,SUMIF('DADOS BRUTOS'!$A$3:$A$500,$B31,'DADOS BRUTOS'!EI$3:EI$500)+IF($C31="",0,SUMIF('DADOS BRUTOS'!$A$3:$A$500,$C31,'DADOS BRUTOS'!EI$3:EI$500)))</f>
        <v>0</v>
      </c>
      <c r="HJ31" s="133" t="n">
        <f aca="false">IF(OR(HJ$4="",$B31=""),0,SUMIF('DADOS BRUTOS'!$A$3:$A$500,$B31,'DADOS BRUTOS'!EJ$3:EJ$500)+IF($C31="",0,SUMIF('DADOS BRUTOS'!$A$3:$A$500,$C31,'DADOS BRUTOS'!EJ$3:EJ$500)))</f>
        <v>0</v>
      </c>
      <c r="HK31" s="133" t="n">
        <f aca="false">IF(OR(HK$4="",$B31=""),0,SUMIF('DADOS BRUTOS'!$A$3:$A$500,$B31,'DADOS BRUTOS'!EK$3:EK$500)+IF($C31="",0,SUMIF('DADOS BRUTOS'!$A$3:$A$500,$C31,'DADOS BRUTOS'!EK$3:EK$500)))</f>
        <v>0</v>
      </c>
      <c r="HL31" s="133" t="n">
        <f aca="false">IF(OR(HL$4="",$B31=""),0,SUMIF('DADOS BRUTOS'!$A$3:$A$500,$B31,'DADOS BRUTOS'!EL$3:EL$500)+IF($C31="",0,SUMIF('DADOS BRUTOS'!$A$3:$A$500,$C31,'DADOS BRUTOS'!EL$3:EL$500)))</f>
        <v>0</v>
      </c>
      <c r="HM31" s="133" t="n">
        <f aca="false">IF(OR(HM$4="",$B31=""),0,SUMIF('DADOS BRUTOS'!$A$3:$A$500,$B31,'DADOS BRUTOS'!EM$3:EM$500)+IF($C31="",0,SUMIF('DADOS BRUTOS'!$A$3:$A$500,$C31,'DADOS BRUTOS'!EM$3:EM$500)))</f>
        <v>0</v>
      </c>
      <c r="HN31" s="133" t="n">
        <f aca="false">IF(OR(HN$4="",$B31=""),0,SUMIF('DADOS BRUTOS'!$A$3:$A$500,$B31,'DADOS BRUTOS'!EN$3:EN$500)+IF($C31="",0,SUMIF('DADOS BRUTOS'!$A$3:$A$500,$C31,'DADOS BRUTOS'!EN$3:EN$500)))</f>
        <v>0</v>
      </c>
      <c r="HO31" s="133" t="n">
        <f aca="false">IF(OR(HO$4="",$B31=""),0,SUMIF('DADOS BRUTOS'!$A$3:$A$500,$B31,'DADOS BRUTOS'!EO$3:EO$500)+IF($C31="",0,SUMIF('DADOS BRUTOS'!$A$3:$A$500,$C31,'DADOS BRUTOS'!EO$3:EO$500)))</f>
        <v>0</v>
      </c>
      <c r="HP31" s="133" t="n">
        <f aca="false">IF(OR(HP$4="",$B31=""),0,SUMIF('DADOS BRUTOS'!$A$3:$A$500,$B31,'DADOS BRUTOS'!EP$3:EP$500)+IF($C31="",0,SUMIF('DADOS BRUTOS'!$A$3:$A$500,$C31,'DADOS BRUTOS'!EP$3:EP$500)))</f>
        <v>0</v>
      </c>
      <c r="HQ31" s="133" t="n">
        <f aca="false">IF(OR(HQ$4="",$B31=""),0,SUMIF('DADOS BRUTOS'!$A$3:$A$500,$B31,'DADOS BRUTOS'!EQ$3:EQ$500)+IF($C31="",0,SUMIF('DADOS BRUTOS'!$A$3:$A$500,$C31,'DADOS BRUTOS'!EQ$3:EQ$500)))</f>
        <v>0</v>
      </c>
      <c r="HR31" s="133" t="n">
        <f aca="false">IF(OR(HR$4="",$B31=""),0,SUMIF('DADOS BRUTOS'!$A$3:$A$500,$B31,'DADOS BRUTOS'!ER$3:ER$500)+IF($C31="",0,SUMIF('DADOS BRUTOS'!$A$3:$A$500,$C31,'DADOS BRUTOS'!ER$3:ER$500)))</f>
        <v>0</v>
      </c>
      <c r="HS31" s="133" t="n">
        <f aca="false">IF(OR(HS$4="",$B31=""),0,SUMIF('DADOS BRUTOS'!$A$3:$A$500,$B31,'DADOS BRUTOS'!ES$3:ES$500)+IF($C31="",0,SUMIF('DADOS BRUTOS'!$A$3:$A$500,$C31,'DADOS BRUTOS'!ES$3:ES$500)))</f>
        <v>0</v>
      </c>
      <c r="HT31" s="133" t="n">
        <f aca="false">IF(OR(HT$4="",$B31=""),0,SUMIF('DADOS BRUTOS'!$A$3:$A$500,$B31,'DADOS BRUTOS'!ET$3:ET$500)+IF($C31="",0,SUMIF('DADOS BRUTOS'!$A$3:$A$500,$C31,'DADOS BRUTOS'!ET$3:ET$500)))</f>
        <v>0</v>
      </c>
      <c r="HU31" s="133" t="n">
        <f aca="false">IF(OR(HU$4="",$B31=""),0,SUMIF('DADOS BRUTOS'!$A$3:$A$500,$B31,'DADOS BRUTOS'!EU$3:EU$500)+IF($C31="",0,SUMIF('DADOS BRUTOS'!$A$3:$A$500,$C31,'DADOS BRUTOS'!EU$3:EU$500)))</f>
        <v>0</v>
      </c>
      <c r="HV31" s="133" t="n">
        <f aca="false">IF(OR(HV$4="",$B31=""),0,SUMIF('DADOS BRUTOS'!$A$3:$A$500,$B31,'DADOS BRUTOS'!EV$3:EV$500)+IF($C31="",0,SUMIF('DADOS BRUTOS'!$A$3:$A$500,$C31,'DADOS BRUTOS'!EV$3:EV$500)))</f>
        <v>0</v>
      </c>
      <c r="HW31" s="133" t="n">
        <f aca="false">IF(OR(HW$4="",$B31=""),0,SUMIF('DADOS BRUTOS'!$A$3:$A$500,$B31,'DADOS BRUTOS'!EW$3:EW$500)+IF($C31="",0,SUMIF('DADOS BRUTOS'!$A$3:$A$500,$C31,'DADOS BRUTOS'!EW$3:EW$500)))</f>
        <v>0</v>
      </c>
      <c r="HX31" s="133" t="n">
        <f aca="false">IF(OR(HX$4="",$B31=""),0,SUMIF('DADOS BRUTOS'!$A$3:$A$500,$B31,'DADOS BRUTOS'!EX$3:EX$500)+IF($C31="",0,SUMIF('DADOS BRUTOS'!$A$3:$A$500,$C31,'DADOS BRUTOS'!EX$3:EX$500)))</f>
        <v>0</v>
      </c>
      <c r="HY31" s="133" t="n">
        <f aca="false">IF(OR(HY$4="",$B31=""),0,SUMIF('DADOS BRUTOS'!$A$3:$A$500,$B31,'DADOS BRUTOS'!EY$3:EY$500)+IF($C31="",0,SUMIF('DADOS BRUTOS'!$A$3:$A$500,$C31,'DADOS BRUTOS'!EY$3:EY$500)))</f>
        <v>0</v>
      </c>
      <c r="HZ31" s="133" t="n">
        <f aca="false">IF(OR(HZ$4="",$B31=""),0,SUMIF('DADOS BRUTOS'!$A$3:$A$500,$B31,'DADOS BRUTOS'!EZ$3:EZ$500)+IF($C31="",0,SUMIF('DADOS BRUTOS'!$A$3:$A$500,$C31,'DADOS BRUTOS'!EZ$3:EZ$500)))</f>
        <v>0</v>
      </c>
      <c r="IA31" s="133" t="n">
        <f aca="false">IF(OR(IA$4="",$B31=""),0,SUMIF('DADOS BRUTOS'!$A$3:$A$500,$B31,'DADOS BRUTOS'!FA$3:FA$500)+IF($C31="",0,SUMIF('DADOS BRUTOS'!$A$3:$A$500,$C31,'DADOS BRUTOS'!FA$3:FA$500)))</f>
        <v>0</v>
      </c>
      <c r="IB31" s="133" t="n">
        <f aca="false">IF(OR(IB$4="",$B31=""),0,SUMIF('DADOS BRUTOS'!$A$3:$A$500,$B31,'DADOS BRUTOS'!FB$3:FB$500)+IF($C31="",0,SUMIF('DADOS BRUTOS'!$A$3:$A$500,$C31,'DADOS BRUTOS'!FB$3:FB$500)))</f>
        <v>0</v>
      </c>
      <c r="IC31" s="133" t="n">
        <f aca="false">IF(OR(IC$4="",$B31=""),0,SUMIF('DADOS BRUTOS'!$A$3:$A$500,$B31,'DADOS BRUTOS'!FC$3:FC$500)+IF($C31="",0,SUMIF('DADOS BRUTOS'!$A$3:$A$500,$C31,'DADOS BRUTOS'!FC$3:FC$500)))</f>
        <v>0</v>
      </c>
      <c r="ID31" s="133" t="n">
        <f aca="false">IF(OR(ID$4="",$B31=""),0,SUMIF('DADOS BRUTOS'!$A$3:$A$500,$B31,'DADOS BRUTOS'!FD$3:FD$500)+IF($C31="",0,SUMIF('DADOS BRUTOS'!$A$3:$A$500,$C31,'DADOS BRUTOS'!FD$3:FD$500)))</f>
        <v>0</v>
      </c>
      <c r="IE31" s="133" t="n">
        <f aca="false">IF(OR(IE$4="",$B31=""),0,SUMIF('DADOS BRUTOS'!$A$3:$A$500,$B31,'DADOS BRUTOS'!FE$3:FE$500)+IF($C31="",0,SUMIF('DADOS BRUTOS'!$A$3:$A$500,$C31,'DADOS BRUTOS'!FE$3:FE$500)))</f>
        <v>0</v>
      </c>
      <c r="IF31" s="133" t="n">
        <f aca="false">IF(OR(IF$4="",$B31=""),0,SUMIF('DADOS BRUTOS'!$A$3:$A$500,$B31,'DADOS BRUTOS'!FF$3:FF$500)+IF($C31="",0,SUMIF('DADOS BRUTOS'!$A$3:$A$500,$C31,'DADOS BRUTOS'!FF$3:FF$500)))</f>
        <v>0</v>
      </c>
      <c r="IG31" s="133" t="n">
        <f aca="false">IF(OR(IG$4="",$B31=""),0,SUMIF('DADOS BRUTOS'!$A$3:$A$500,$B31,'DADOS BRUTOS'!FG$3:FG$500)+IF($C31="",0,SUMIF('DADOS BRUTOS'!$A$3:$A$500,$C31,'DADOS BRUTOS'!FG$3:FG$500)))</f>
        <v>0</v>
      </c>
      <c r="IH31" s="133" t="n">
        <f aca="false">IF(OR(IH$4="",$B31=""),0,SUMIF('DADOS BRUTOS'!$A$3:$A$500,$B31,'DADOS BRUTOS'!FH$3:FH$500)+IF($C31="",0,SUMIF('DADOS BRUTOS'!$A$3:$A$500,$C31,'DADOS BRUTOS'!FH$3:FH$500)))</f>
        <v>0</v>
      </c>
      <c r="II31" s="133" t="n">
        <f aca="false">IF(OR(II$4="",$B31=""),0,SUMIF('DADOS BRUTOS'!$A$3:$A$500,$B31,'DADOS BRUTOS'!FI$3:FI$500)+IF($C31="",0,SUMIF('DADOS BRUTOS'!$A$3:$A$500,$C31,'DADOS BRUTOS'!FI$3:FI$500)))</f>
        <v>0</v>
      </c>
      <c r="IJ31" s="133" t="n">
        <f aca="false">IF(OR(IJ$4="",$B31=""),0,SUMIF('DADOS BRUTOS'!$A$3:$A$500,$B31,'DADOS BRUTOS'!FJ$3:FJ$500)+IF($C31="",0,SUMIF('DADOS BRUTOS'!$A$3:$A$500,$C31,'DADOS BRUTOS'!FJ$3:FJ$500)))</f>
        <v>0</v>
      </c>
      <c r="IK31" s="133" t="n">
        <f aca="false">IF(OR(IK$4="",$B31=""),0,SUMIF('DADOS BRUTOS'!$A$3:$A$500,$B31,'DADOS BRUTOS'!FK$3:FK$500)+IF($C31="",0,SUMIF('DADOS BRUTOS'!$A$3:$A$500,$C31,'DADOS BRUTOS'!FK$3:FK$500)))</f>
        <v>0</v>
      </c>
      <c r="IL31" s="133" t="n">
        <f aca="false">IF(OR(IL$4="",$B31=""),0,SUMIF('DADOS BRUTOS'!$A$3:$A$500,$B31,'DADOS BRUTOS'!FL$3:FL$500)+IF($C31="",0,SUMIF('DADOS BRUTOS'!$A$3:$A$500,$C31,'DADOS BRUTOS'!FL$3:FL$500)))</f>
        <v>0</v>
      </c>
      <c r="IM31" s="133" t="n">
        <f aca="false">IF(OR(IM$4="",$B31=""),0,SUMIF('DADOS BRUTOS'!$A$3:$A$500,$B31,'DADOS BRUTOS'!FM$3:FM$500)+IF($C31="",0,SUMIF('DADOS BRUTOS'!$A$3:$A$500,$C31,'DADOS BRUTOS'!FM$3:FM$500)))</f>
        <v>0</v>
      </c>
      <c r="IN31" s="133" t="n">
        <f aca="false">IF(OR(IN$4="",$B31=""),0,SUMIF('DADOS BRUTOS'!$A$3:$A$500,$B31,'DADOS BRUTOS'!FN$3:FN$500)+IF($C31="",0,SUMIF('DADOS BRUTOS'!$A$3:$A$500,$C31,'DADOS BRUTOS'!FN$3:FN$500)))</f>
        <v>0</v>
      </c>
      <c r="IO31" s="133" t="n">
        <f aca="false">IF(OR(IO$4="",$B31=""),0,SUMIF('DADOS BRUTOS'!$A$3:$A$500,$B31,'DADOS BRUTOS'!FO$3:FO$500)+IF($C31="",0,SUMIF('DADOS BRUTOS'!$A$3:$A$500,$C31,'DADOS BRUTOS'!FO$3:FO$500)))</f>
        <v>0</v>
      </c>
      <c r="IP31" s="133" t="n">
        <f aca="false">IF(OR(IP$4="",$B31=""),0,SUMIF('DADOS BRUTOS'!$A$3:$A$500,$B31,'DADOS BRUTOS'!FP$3:FP$500)+IF($C31="",0,SUMIF('DADOS BRUTOS'!$A$3:$A$500,$C31,'DADOS BRUTOS'!FP$3:FP$500)))</f>
        <v>0</v>
      </c>
      <c r="IQ31" s="133" t="n">
        <f aca="false">IF(OR(IQ$4="",$B31=""),0,SUMIF('DADOS BRUTOS'!$A$3:$A$500,$B31,'DADOS BRUTOS'!FQ$3:FQ$500)+IF($C31="",0,SUMIF('DADOS BRUTOS'!$A$3:$A$500,$C31,'DADOS BRUTOS'!FQ$3:FQ$500)))</f>
        <v>0</v>
      </c>
      <c r="IR31" s="133" t="n">
        <f aca="false">IF(OR(IR$4="",$B31=""),0,SUMIF('DADOS BRUTOS'!$A$3:$A$500,$B31,'DADOS BRUTOS'!FR$3:FR$500)+IF($C31="",0,SUMIF('DADOS BRUTOS'!$A$3:$A$500,$C31,'DADOS BRUTOS'!FR$3:FR$500)))</f>
        <v>0</v>
      </c>
      <c r="IS31" s="133" t="n">
        <f aca="false">IF(OR(IS$4="",$B31=""),0,SUMIF('DADOS BRUTOS'!$A$3:$A$500,$B31,'DADOS BRUTOS'!FS$3:FS$500)+IF($C31="",0,SUMIF('DADOS BRUTOS'!$A$3:$A$500,$C31,'DADOS BRUTOS'!FS$3:FS$500)))</f>
        <v>0</v>
      </c>
      <c r="IT31" s="133" t="n">
        <f aca="false">IF(OR(IT$4="",$B31=""),0,SUMIF('DADOS BRUTOS'!$A$3:$A$500,$B31,'DADOS BRUTOS'!FT$3:FT$500)+IF($C31="",0,SUMIF('DADOS BRUTOS'!$A$3:$A$500,$C31,'DADOS BRUTOS'!FT$3:FT$500)))</f>
        <v>0</v>
      </c>
      <c r="IU31" s="133" t="n">
        <f aca="false">IF(OR(IU$4="",$B31=""),0,SUMIF('DADOS BRUTOS'!$A$3:$A$500,$B31,'DADOS BRUTOS'!FU$3:FU$500)+IF($C31="",0,SUMIF('DADOS BRUTOS'!$A$3:$A$500,$C31,'DADOS BRUTOS'!FU$3:FU$500)))</f>
        <v>0</v>
      </c>
      <c r="IV31" s="133" t="n">
        <f aca="false">IF(OR(IV$4="",$B31=""),0,SUMIF('DADOS BRUTOS'!$A$3:$A$500,$B31,'DADOS BRUTOS'!FV$3:FV$500)+IF($C31="",0,SUMIF('DADOS BRUTOS'!$A$3:$A$500,$C31,'DADOS BRUTOS'!FV$3:FV$500)))</f>
        <v>0</v>
      </c>
      <c r="IW31" s="133" t="n">
        <f aca="false">IF(OR(IW$4="",$B31=""),0,SUMIF('DADOS BRUTOS'!$A$3:$A$500,$B31,'DADOS BRUTOS'!FW$3:FW$500)+IF($C31="",0,SUMIF('DADOS BRUTOS'!$A$3:$A$500,$C31,'DADOS BRUTOS'!FW$3:FW$500)))</f>
        <v>0</v>
      </c>
      <c r="IX31" s="133" t="n">
        <f aca="false">IF(OR(IX$4="",$B31=""),0,SUMIF('DADOS BRUTOS'!$A$3:$A$500,$B31,'DADOS BRUTOS'!FX$3:FX$500)+IF($C31="",0,SUMIF('DADOS BRUTOS'!$A$3:$A$500,$C31,'DADOS BRUTOS'!FX$3:FX$500)))</f>
        <v>0</v>
      </c>
      <c r="IY31" s="133" t="n">
        <f aca="false">IF(OR(IY$4="",$B31=""),0,SUMIF('DADOS BRUTOS'!$A$3:$A$500,$B31,'DADOS BRUTOS'!FY$3:FY$500)+IF($C31="",0,SUMIF('DADOS BRUTOS'!$A$3:$A$500,$C31,'DADOS BRUTOS'!FY$3:FY$500)))</f>
        <v>0</v>
      </c>
      <c r="IZ31" s="133" t="n">
        <f aca="false">IF(OR(IZ$4="",$B31=""),0,SUMIF('DADOS BRUTOS'!$A$3:$A$500,$B31,'DADOS BRUTOS'!FZ$3:FZ$500)+IF($C31="",0,SUMIF('DADOS BRUTOS'!$A$3:$A$500,$C31,'DADOS BRUTOS'!FZ$3:FZ$500)))</f>
        <v>0</v>
      </c>
      <c r="JA31" s="133" t="n">
        <f aca="false">IF(OR(JA$4="",$B31=""),0,SUMIF('DADOS BRUTOS'!$A$3:$A$500,$B31,'DADOS BRUTOS'!GA$3:GA$500)+IF($C31="",0,SUMIF('DADOS BRUTOS'!$A$3:$A$500,$C31,'DADOS BRUTOS'!GA$3:GA$500)))</f>
        <v>0</v>
      </c>
      <c r="JB31" s="133" t="n">
        <f aca="false">IF(OR(JB$4="",$B31=""),0,SUMIF('DADOS BRUTOS'!$A$3:$A$500,$B31,'DADOS BRUTOS'!GB$3:GB$500)+IF($C31="",0,SUMIF('DADOS BRUTOS'!$A$3:$A$500,$C31,'DADOS BRUTOS'!GB$3:GB$500)))</f>
        <v>0</v>
      </c>
      <c r="JC31" s="133" t="n">
        <f aca="false">IF(OR(JC$4="",$B31=""),0,SUMIF('DADOS BRUTOS'!$A$3:$A$500,$B31,'DADOS BRUTOS'!GC$3:GC$500)+IF($C31="",0,SUMIF('DADOS BRUTOS'!$A$3:$A$500,$C31,'DADOS BRUTOS'!GC$3:GC$500)))</f>
        <v>0</v>
      </c>
      <c r="JD31" s="133" t="n">
        <f aca="false">IF(OR(JD$4="",$B31=""),0,SUMIF('DADOS BRUTOS'!$A$3:$A$500,$B31,'DADOS BRUTOS'!GD$3:GD$500)+IF($C31="",0,SUMIF('DADOS BRUTOS'!$A$3:$A$500,$C31,'DADOS BRUTOS'!GD$3:GD$500)))</f>
        <v>0</v>
      </c>
      <c r="JE31" s="133" t="n">
        <f aca="false">IF(OR(JE$4="",$B31=""),0,SUMIF('DADOS BRUTOS'!$A$3:$A$500,$B31,'DADOS BRUTOS'!GE$3:GE$500)+IF($C31="",0,SUMIF('DADOS BRUTOS'!$A$3:$A$500,$C31,'DADOS BRUTOS'!GE$3:GE$500)))</f>
        <v>0</v>
      </c>
      <c r="JF31" s="133" t="n">
        <f aca="false">IF(OR(JF$4="",$B31=""),0,SUMIF('DADOS BRUTOS'!$A$3:$A$500,$B31,'DADOS BRUTOS'!GF$3:GF$500)+IF($C31="",0,SUMIF('DADOS BRUTOS'!$A$3:$A$500,$C31,'DADOS BRUTOS'!GF$3:GF$500)))</f>
        <v>0</v>
      </c>
      <c r="JG31" s="133" t="n">
        <f aca="false">IF(OR(JG$4="",$B31=""),0,SUMIF('DADOS BRUTOS'!$A$3:$A$500,$B31,'DADOS BRUTOS'!GG$3:GG$500)+IF($C31="",0,SUMIF('DADOS BRUTOS'!$A$3:$A$500,$C31,'DADOS BRUTOS'!GG$3:GG$500)))</f>
        <v>0</v>
      </c>
      <c r="JH31" s="133" t="n">
        <f aca="false">IF(OR(JH$4="",$B31=""),0,SUMIF('DADOS BRUTOS'!$A$3:$A$500,$B31,'DADOS BRUTOS'!GH$3:GH$500)+IF($C31="",0,SUMIF('DADOS BRUTOS'!$A$3:$A$500,$C31,'DADOS BRUTOS'!GH$3:GH$500)))</f>
        <v>0</v>
      </c>
      <c r="JI31" s="133" t="n">
        <f aca="false">IF(OR(JI$4="",$B31=""),0,SUMIF('DADOS BRUTOS'!$A$3:$A$500,$B31,'DADOS BRUTOS'!GI$3:GI$500)+IF($C31="",0,SUMIF('DADOS BRUTOS'!$A$3:$A$500,$C31,'DADOS BRUTOS'!GI$3:GI$500)))</f>
        <v>0</v>
      </c>
      <c r="JJ31" s="133" t="n">
        <f aca="false">IF(OR(JJ$4="",$B31=""),0,SUMIF('DADOS BRUTOS'!$A$3:$A$500,$B31,'DADOS BRUTOS'!GJ$3:GJ$500)+IF($C31="",0,SUMIF('DADOS BRUTOS'!$A$3:$A$500,$C31,'DADOS BRUTOS'!GJ$3:GJ$500)))</f>
        <v>0</v>
      </c>
      <c r="JK31" s="133" t="n">
        <f aca="false">IF(OR(JK$4="",$B31=""),0,SUMIF('DADOS BRUTOS'!$A$3:$A$500,$B31,'DADOS BRUTOS'!GK$3:GK$500)+IF($C31="",0,SUMIF('DADOS BRUTOS'!$A$3:$A$500,$C31,'DADOS BRUTOS'!GK$3:GK$500)))</f>
        <v>0</v>
      </c>
      <c r="JL31" s="133" t="n">
        <f aca="false">IF(OR(JL$4="",$B31=""),0,SUMIF('DADOS BRUTOS'!$A$3:$A$500,$B31,'DADOS BRUTOS'!GL$3:GL$500)+IF($C31="",0,SUMIF('DADOS BRUTOS'!$A$3:$A$500,$C31,'DADOS BRUTOS'!GL$3:GL$500)))</f>
        <v>0</v>
      </c>
      <c r="JM31" s="133" t="n">
        <f aca="false">IF(OR(JM$4="",$B31=""),0,SUMIF('DADOS BRUTOS'!$A$3:$A$500,$B31,'DADOS BRUTOS'!GM$3:GM$500)+IF($C31="",0,SUMIF('DADOS BRUTOS'!$A$3:$A$500,$C31,'DADOS BRUTOS'!GM$3:GM$500)))</f>
        <v>0</v>
      </c>
      <c r="JN31" s="133" t="n">
        <f aca="false">IF(OR(JN$4="",$B31=""),0,SUMIF('DADOS BRUTOS'!$A$3:$A$500,$B31,'DADOS BRUTOS'!GN$3:GN$500)+IF($C31="",0,SUMIF('DADOS BRUTOS'!$A$3:$A$500,$C31,'DADOS BRUTOS'!GN$3:GN$500)))</f>
        <v>0</v>
      </c>
      <c r="JO31" s="133" t="n">
        <f aca="false">IF(OR(JO$4="",$B31=""),0,SUMIF('DADOS BRUTOS'!$A$3:$A$500,$B31,'DADOS BRUTOS'!GO$3:GO$500)+IF($C31="",0,SUMIF('DADOS BRUTOS'!$A$3:$A$500,$C31,'DADOS BRUTOS'!GO$3:GO$500)))</f>
        <v>0</v>
      </c>
      <c r="JP31" s="133" t="n">
        <f aca="false">IF(OR(JP$4="",$B31=""),0,SUMIF('DADOS BRUTOS'!$A$3:$A$500,$B31,'DADOS BRUTOS'!GP$3:GP$500)+IF($C31="",0,SUMIF('DADOS BRUTOS'!$A$3:$A$500,$C31,'DADOS BRUTOS'!GP$3:GP$500)))</f>
        <v>0</v>
      </c>
      <c r="JQ31" s="133" t="n">
        <f aca="false">IF(OR(JQ$4="",$B31=""),0,SUMIF('DADOS BRUTOS'!$A$3:$A$500,$B31,'DADOS BRUTOS'!GQ$3:GQ$500)+IF($C31="",0,SUMIF('DADOS BRUTOS'!$A$3:$A$500,$C31,'DADOS BRUTOS'!GQ$3:GQ$500)))</f>
        <v>0</v>
      </c>
      <c r="JR31" s="133" t="n">
        <f aca="false">IF(OR(JR$4="",$B31=""),0,SUMIF('DADOS BRUTOS'!$A$3:$A$500,$B31,'DADOS BRUTOS'!GR$3:GR$500)+IF($C31="",0,SUMIF('DADOS BRUTOS'!$A$3:$A$500,$C31,'DADOS BRUTOS'!GR$3:GR$500)))</f>
        <v>0</v>
      </c>
      <c r="JS31" s="133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192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3" t="n">
        <f aca="false">IF(OR(CB$4="",$B32=""),0,SUMIF('DADOS BRUTOS'!$A$3:$A$500,$B32,'DADOS BRUTOS'!B$3:B$500)+IF($C32="",0,SUMIF('DADOS BRUTOS'!$A$3:$A$500,$C32,'DADOS BRUTOS'!B$3:B$500)))</f>
        <v>0</v>
      </c>
      <c r="CC32" s="133" t="n">
        <f aca="false">IF(OR(CC$4="",$B32=""),0,SUMIF('DADOS BRUTOS'!$A$3:$A$500,$B32,'DADOS BRUTOS'!C$3:C$500)+IF($C32="",0,SUMIF('DADOS BRUTOS'!$A$3:$A$500,$C32,'DADOS BRUTOS'!C$3:C$500)))</f>
        <v>0</v>
      </c>
      <c r="CD32" s="133" t="n">
        <f aca="false">IF(OR(CD$4="",$B32=""),0,SUMIF('DADOS BRUTOS'!$A$3:$A$500,$B32,'DADOS BRUTOS'!D$3:D$500)+IF($C32="",0,SUMIF('DADOS BRUTOS'!$A$3:$A$500,$C32,'DADOS BRUTOS'!D$3:D$500)))</f>
        <v>0</v>
      </c>
      <c r="CE32" s="133" t="n">
        <f aca="false">IF(OR(CE$4="",$B32=""),0,SUMIF('DADOS BRUTOS'!$A$3:$A$500,$B32,'DADOS BRUTOS'!E$3:E$500)+IF($C32="",0,SUMIF('DADOS BRUTOS'!$A$3:$A$500,$C32,'DADOS BRUTOS'!E$3:E$500)))</f>
        <v>0</v>
      </c>
      <c r="CF32" s="133" t="n">
        <f aca="false">IF(OR(CF$4="",$B32=""),0,SUMIF('DADOS BRUTOS'!$A$3:$A$500,$B32,'DADOS BRUTOS'!F$3:F$500)+IF($C32="",0,SUMIF('DADOS BRUTOS'!$A$3:$A$500,$C32,'DADOS BRUTOS'!F$3:F$500)))</f>
        <v>0</v>
      </c>
      <c r="CG32" s="133" t="n">
        <f aca="false">IF(OR(CG$4="",$B32=""),0,SUMIF('DADOS BRUTOS'!$A$3:$A$500,$B32,'DADOS BRUTOS'!G$3:G$500)+IF($C32="",0,SUMIF('DADOS BRUTOS'!$A$3:$A$500,$C32,'DADOS BRUTOS'!G$3:G$500)))</f>
        <v>0</v>
      </c>
      <c r="CH32" s="133" t="n">
        <f aca="false">IF(OR(CH$4="",$B32=""),0,SUMIF('DADOS BRUTOS'!$A$3:$A$500,$B32,'DADOS BRUTOS'!H$3:H$500)+IF($C32="",0,SUMIF('DADOS BRUTOS'!$A$3:$A$500,$C32,'DADOS BRUTOS'!H$3:H$500)))</f>
        <v>0</v>
      </c>
      <c r="CI32" s="133" t="n">
        <f aca="false">IF(OR(CI$4="",$B32=""),0,SUMIF('DADOS BRUTOS'!$A$3:$A$500,$B32,'DADOS BRUTOS'!I$3:I$500)+IF($C32="",0,SUMIF('DADOS BRUTOS'!$A$3:$A$500,$C32,'DADOS BRUTOS'!I$3:I$500)))</f>
        <v>0</v>
      </c>
      <c r="CJ32" s="133" t="n">
        <f aca="false">IF(OR(CJ$4="",$B32=""),0,SUMIF('DADOS BRUTOS'!$A$3:$A$500,$B32,'DADOS BRUTOS'!J$3:J$500)+IF($C32="",0,SUMIF('DADOS BRUTOS'!$A$3:$A$500,$C32,'DADOS BRUTOS'!J$3:J$500)))</f>
        <v>0</v>
      </c>
      <c r="CK32" s="133" t="n">
        <f aca="false">IF(OR(CK$4="",$B32=""),0,SUMIF('DADOS BRUTOS'!$A$3:$A$500,$B32,'DADOS BRUTOS'!K$3:K$500)+IF($C32="",0,SUMIF('DADOS BRUTOS'!$A$3:$A$500,$C32,'DADOS BRUTOS'!K$3:K$500)))</f>
        <v>0</v>
      </c>
      <c r="CL32" s="133" t="n">
        <f aca="false">IF(OR(CL$4="",$B32=""),0,SUMIF('DADOS BRUTOS'!$A$3:$A$500,$B32,'DADOS BRUTOS'!L$3:L$500)+IF($C32="",0,SUMIF('DADOS BRUTOS'!$A$3:$A$500,$C32,'DADOS BRUTOS'!L$3:L$500)))</f>
        <v>0</v>
      </c>
      <c r="CM32" s="133" t="n">
        <f aca="false">IF(OR(CM$4="",$B32=""),0,SUMIF('DADOS BRUTOS'!$A$3:$A$500,$B32,'DADOS BRUTOS'!M$3:M$500)+IF($C32="",0,SUMIF('DADOS BRUTOS'!$A$3:$A$500,$C32,'DADOS BRUTOS'!M$3:M$500)))</f>
        <v>0</v>
      </c>
      <c r="CN32" s="133" t="n">
        <f aca="false">IF(OR(CN$4="",$B32=""),0,SUMIF('DADOS BRUTOS'!$A$3:$A$500,$B32,'DADOS BRUTOS'!N$3:N$500)+IF($C32="",0,SUMIF('DADOS BRUTOS'!$A$3:$A$500,$C32,'DADOS BRUTOS'!N$3:N$500)))</f>
        <v>0</v>
      </c>
      <c r="CO32" s="133" t="n">
        <f aca="false">IF(OR(CO$4="",$B32=""),0,SUMIF('DADOS BRUTOS'!$A$3:$A$500,$B32,'DADOS BRUTOS'!O$3:O$500)+IF($C32="",0,SUMIF('DADOS BRUTOS'!$A$3:$A$500,$C32,'DADOS BRUTOS'!O$3:O$500)))</f>
        <v>0</v>
      </c>
      <c r="CP32" s="133" t="n">
        <f aca="false">IF(OR(CP$4="",$B32=""),0,SUMIF('DADOS BRUTOS'!$A$3:$A$500,$B32,'DADOS BRUTOS'!P$3:P$500)+IF($C32="",0,SUMIF('DADOS BRUTOS'!$A$3:$A$500,$C32,'DADOS BRUTOS'!P$3:P$500)))</f>
        <v>0</v>
      </c>
      <c r="CQ32" s="133" t="n">
        <f aca="false">IF(OR(CQ$4="",$B32=""),0,SUMIF('DADOS BRUTOS'!$A$3:$A$500,$B32,'DADOS BRUTOS'!Q$3:Q$500)+IF($C32="",0,SUMIF('DADOS BRUTOS'!$A$3:$A$500,$C32,'DADOS BRUTOS'!Q$3:Q$500)))</f>
        <v>0</v>
      </c>
      <c r="CR32" s="133" t="n">
        <f aca="false">IF(OR(CR$4="",$B32=""),0,SUMIF('DADOS BRUTOS'!$A$3:$A$500,$B32,'DADOS BRUTOS'!R$3:R$500)+IF($C32="",0,SUMIF('DADOS BRUTOS'!$A$3:$A$500,$C32,'DADOS BRUTOS'!R$3:R$500)))</f>
        <v>0</v>
      </c>
      <c r="CS32" s="133" t="n">
        <f aca="false">IF(OR(CS$4="",$B32=""),0,SUMIF('DADOS BRUTOS'!$A$3:$A$500,$B32,'DADOS BRUTOS'!S$3:S$500)+IF($C32="",0,SUMIF('DADOS BRUTOS'!$A$3:$A$500,$C32,'DADOS BRUTOS'!S$3:S$500)))</f>
        <v>0</v>
      </c>
      <c r="CT32" s="133" t="n">
        <f aca="false">IF(OR(CT$4="",$B32=""),0,SUMIF('DADOS BRUTOS'!$A$3:$A$500,$B32,'DADOS BRUTOS'!T$3:T$500)+IF($C32="",0,SUMIF('DADOS BRUTOS'!$A$3:$A$500,$C32,'DADOS BRUTOS'!T$3:T$500)))</f>
        <v>0</v>
      </c>
      <c r="CU32" s="133" t="n">
        <f aca="false">IF(OR(CU$4="",$B32=""),0,SUMIF('DADOS BRUTOS'!$A$3:$A$500,$B32,'DADOS BRUTOS'!U$3:U$500)+IF($C32="",0,SUMIF('DADOS BRUTOS'!$A$3:$A$500,$C32,'DADOS BRUTOS'!U$3:U$500)))</f>
        <v>0</v>
      </c>
      <c r="CV32" s="133" t="n">
        <f aca="false">IF(OR(CV$4="",$B32=""),0,SUMIF('DADOS BRUTOS'!$A$3:$A$500,$B32,'DADOS BRUTOS'!V$3:V$500)+IF($C32="",0,SUMIF('DADOS BRUTOS'!$A$3:$A$500,$C32,'DADOS BRUTOS'!V$3:V$500)))</f>
        <v>0</v>
      </c>
      <c r="CW32" s="133" t="n">
        <f aca="false">IF(OR(CW$4="",$B32=""),0,SUMIF('DADOS BRUTOS'!$A$3:$A$500,$B32,'DADOS BRUTOS'!W$3:W$500)+IF($C32="",0,SUMIF('DADOS BRUTOS'!$A$3:$A$500,$C32,'DADOS BRUTOS'!W$3:W$500)))</f>
        <v>0</v>
      </c>
      <c r="CX32" s="133" t="n">
        <f aca="false">IF(OR(CX$4="",$B32=""),0,SUMIF('DADOS BRUTOS'!$A$3:$A$500,$B32,'DADOS BRUTOS'!X$3:X$500)+IF($C32="",0,SUMIF('DADOS BRUTOS'!$A$3:$A$500,$C32,'DADOS BRUTOS'!X$3:X$500)))</f>
        <v>0</v>
      </c>
      <c r="CY32" s="133" t="n">
        <f aca="false">IF(OR(CY$4="",$B32=""),0,SUMIF('DADOS BRUTOS'!$A$3:$A$500,$B32,'DADOS BRUTOS'!Y$3:Y$500)+IF($C32="",0,SUMIF('DADOS BRUTOS'!$A$3:$A$500,$C32,'DADOS BRUTOS'!Y$3:Y$500)))</f>
        <v>0</v>
      </c>
      <c r="CZ32" s="133" t="n">
        <f aca="false">IF(OR(CZ$4="",$B32=""),0,SUMIF('DADOS BRUTOS'!$A$3:$A$500,$B32,'DADOS BRUTOS'!Z$3:Z$500)+IF($C32="",0,SUMIF('DADOS BRUTOS'!$A$3:$A$500,$C32,'DADOS BRUTOS'!Z$3:Z$500)))</f>
        <v>0</v>
      </c>
      <c r="DA32" s="133" t="n">
        <f aca="false">IF(OR(DA$4="",$B32=""),0,SUMIF('DADOS BRUTOS'!$A$3:$A$500,$B32,'DADOS BRUTOS'!AA$3:AA$500)+IF($C32="",0,SUMIF('DADOS BRUTOS'!$A$3:$A$500,$C32,'DADOS BRUTOS'!AA$3:AA$500)))</f>
        <v>0</v>
      </c>
      <c r="DB32" s="133" t="n">
        <f aca="false">IF(OR(DB$4="",$B32=""),0,SUMIF('DADOS BRUTOS'!$A$3:$A$500,$B32,'DADOS BRUTOS'!AB$3:AB$500)+IF($C32="",0,SUMIF('DADOS BRUTOS'!$A$3:$A$500,$C32,'DADOS BRUTOS'!AB$3:AB$500)))</f>
        <v>0</v>
      </c>
      <c r="DC32" s="133" t="n">
        <f aca="false">IF(OR(DC$4="",$B32=""),0,SUMIF('DADOS BRUTOS'!$A$3:$A$500,$B32,'DADOS BRUTOS'!AC$3:AC$500)+IF($C32="",0,SUMIF('DADOS BRUTOS'!$A$3:$A$500,$C32,'DADOS BRUTOS'!AC$3:AC$500)))</f>
        <v>0</v>
      </c>
      <c r="DD32" s="133" t="n">
        <f aca="false">IF(OR(DD$4="",$B32=""),0,SUMIF('DADOS BRUTOS'!$A$3:$A$500,$B32,'DADOS BRUTOS'!AD$3:AD$500)+IF($C32="",0,SUMIF('DADOS BRUTOS'!$A$3:$A$500,$C32,'DADOS BRUTOS'!AD$3:AD$500)))</f>
        <v>0</v>
      </c>
      <c r="DE32" s="133" t="n">
        <f aca="false">IF(OR(DE$4="",$B32=""),0,SUMIF('DADOS BRUTOS'!$A$3:$A$500,$B32,'DADOS BRUTOS'!AE$3:AE$500)+IF($C32="",0,SUMIF('DADOS BRUTOS'!$A$3:$A$500,$C32,'DADOS BRUTOS'!AE$3:AE$500)))</f>
        <v>0</v>
      </c>
      <c r="DF32" s="133" t="n">
        <f aca="false">IF(OR(DF$4="",$B32=""),0,SUMIF('DADOS BRUTOS'!$A$3:$A$500,$B32,'DADOS BRUTOS'!AF$3:AF$500)+IF($C32="",0,SUMIF('DADOS BRUTOS'!$A$3:$A$500,$C32,'DADOS BRUTOS'!AF$3:AF$500)))</f>
        <v>0</v>
      </c>
      <c r="DG32" s="133" t="n">
        <f aca="false">IF(OR(DG$4="",$B32=""),0,SUMIF('DADOS BRUTOS'!$A$3:$A$500,$B32,'DADOS BRUTOS'!AG$3:AG$500)+IF($C32="",0,SUMIF('DADOS BRUTOS'!$A$3:$A$500,$C32,'DADOS BRUTOS'!AG$3:AG$500)))</f>
        <v>0</v>
      </c>
      <c r="DH32" s="133" t="n">
        <f aca="false">IF(OR(DH$4="",$B32=""),0,SUMIF('DADOS BRUTOS'!$A$3:$A$500,$B32,'DADOS BRUTOS'!AH$3:AH$500)+IF($C32="",0,SUMIF('DADOS BRUTOS'!$A$3:$A$500,$C32,'DADOS BRUTOS'!AH$3:AH$500)))</f>
        <v>0</v>
      </c>
      <c r="DI32" s="133" t="n">
        <f aca="false">IF(OR(DI$4="",$B32=""),0,SUMIF('DADOS BRUTOS'!$A$3:$A$500,$B32,'DADOS BRUTOS'!AI$3:AI$500)+IF($C32="",0,SUMIF('DADOS BRUTOS'!$A$3:$A$500,$C32,'DADOS BRUTOS'!AI$3:AI$500)))</f>
        <v>0</v>
      </c>
      <c r="DJ32" s="133" t="n">
        <f aca="false">IF(OR(DJ$4="",$B32=""),0,SUMIF('DADOS BRUTOS'!$A$3:$A$500,$B32,'DADOS BRUTOS'!AJ$3:AJ$500)+IF($C32="",0,SUMIF('DADOS BRUTOS'!$A$3:$A$500,$C32,'DADOS BRUTOS'!AJ$3:AJ$500)))</f>
        <v>0</v>
      </c>
      <c r="DK32" s="133" t="n">
        <f aca="false">IF(OR(DK$4="",$B32=""),0,SUMIF('DADOS BRUTOS'!$A$3:$A$500,$B32,'DADOS BRUTOS'!AK$3:AK$500)+IF($C32="",0,SUMIF('DADOS BRUTOS'!$A$3:$A$500,$C32,'DADOS BRUTOS'!AK$3:AK$500)))</f>
        <v>0</v>
      </c>
      <c r="DL32" s="133" t="n">
        <f aca="false">IF(OR(DL$4="",$B32=""),0,SUMIF('DADOS BRUTOS'!$A$3:$A$500,$B32,'DADOS BRUTOS'!AL$3:AL$500)+IF($C32="",0,SUMIF('DADOS BRUTOS'!$A$3:$A$500,$C32,'DADOS BRUTOS'!AL$3:AL$500)))</f>
        <v>0</v>
      </c>
      <c r="DM32" s="133" t="n">
        <f aca="false">IF(OR(DM$4="",$B32=""),0,SUMIF('DADOS BRUTOS'!$A$3:$A$500,$B32,'DADOS BRUTOS'!AM$3:AM$500)+IF($C32="",0,SUMIF('DADOS BRUTOS'!$A$3:$A$500,$C32,'DADOS BRUTOS'!AM$3:AM$500)))</f>
        <v>0</v>
      </c>
      <c r="DN32" s="133" t="n">
        <f aca="false">IF(OR(DN$4="",$B32=""),0,SUMIF('DADOS BRUTOS'!$A$3:$A$500,$B32,'DADOS BRUTOS'!AN$3:AN$500)+IF($C32="",0,SUMIF('DADOS BRUTOS'!$A$3:$A$500,$C32,'DADOS BRUTOS'!AN$3:AN$500)))</f>
        <v>0</v>
      </c>
      <c r="DO32" s="133" t="n">
        <f aca="false">IF(OR(DO$4="",$B32=""),0,SUMIF('DADOS BRUTOS'!$A$3:$A$500,$B32,'DADOS BRUTOS'!AO$3:AO$500)+IF($C32="",0,SUMIF('DADOS BRUTOS'!$A$3:$A$500,$C32,'DADOS BRUTOS'!AO$3:AO$500)))</f>
        <v>0</v>
      </c>
      <c r="DP32" s="133" t="n">
        <f aca="false">IF(OR(DP$4="",$B32=""),0,SUMIF('DADOS BRUTOS'!$A$3:$A$500,$B32,'DADOS BRUTOS'!AP$3:AP$500)+IF($C32="",0,SUMIF('DADOS BRUTOS'!$A$3:$A$500,$C32,'DADOS BRUTOS'!AP$3:AP$500)))</f>
        <v>0</v>
      </c>
      <c r="DQ32" s="133" t="n">
        <f aca="false">IF(OR(DQ$4="",$B32=""),0,SUMIF('DADOS BRUTOS'!$A$3:$A$500,$B32,'DADOS BRUTOS'!AQ$3:AQ$500)+IF($C32="",0,SUMIF('DADOS BRUTOS'!$A$3:$A$500,$C32,'DADOS BRUTOS'!AQ$3:AQ$500)))</f>
        <v>0</v>
      </c>
      <c r="DR32" s="133" t="n">
        <f aca="false">IF(OR(DR$4="",$B32=""),0,SUMIF('DADOS BRUTOS'!$A$3:$A$500,$B32,'DADOS BRUTOS'!AR$3:AR$500)+IF($C32="",0,SUMIF('DADOS BRUTOS'!$A$3:$A$500,$C32,'DADOS BRUTOS'!AR$3:AR$500)))</f>
        <v>0</v>
      </c>
      <c r="DS32" s="133" t="n">
        <f aca="false">IF(OR(DS$4="",$B32=""),0,SUMIF('DADOS BRUTOS'!$A$3:$A$500,$B32,'DADOS BRUTOS'!AS$3:AS$500)+IF($C32="",0,SUMIF('DADOS BRUTOS'!$A$3:$A$500,$C32,'DADOS BRUTOS'!AS$3:AS$500)))</f>
        <v>0</v>
      </c>
      <c r="DT32" s="133" t="n">
        <f aca="false">IF(OR(DT$4="",$B32=""),0,SUMIF('DADOS BRUTOS'!$A$3:$A$500,$B32,'DADOS BRUTOS'!AT$3:AT$500)+IF($C32="",0,SUMIF('DADOS BRUTOS'!$A$3:$A$500,$C32,'DADOS BRUTOS'!AT$3:AT$500)))</f>
        <v>0</v>
      </c>
      <c r="DU32" s="133" t="n">
        <f aca="false">IF(OR(DU$4="",$B32=""),0,SUMIF('DADOS BRUTOS'!$A$3:$A$500,$B32,'DADOS BRUTOS'!AU$3:AU$500)+IF($C32="",0,SUMIF('DADOS BRUTOS'!$A$3:$A$500,$C32,'DADOS BRUTOS'!AU$3:AU$500)))</f>
        <v>0</v>
      </c>
      <c r="DV32" s="133" t="n">
        <f aca="false">IF(OR(DV$4="",$B32=""),0,SUMIF('DADOS BRUTOS'!$A$3:$A$500,$B32,'DADOS BRUTOS'!AV$3:AV$500)+IF($C32="",0,SUMIF('DADOS BRUTOS'!$A$3:$A$500,$C32,'DADOS BRUTOS'!AV$3:AV$500)))</f>
        <v>0</v>
      </c>
      <c r="DW32" s="133" t="n">
        <f aca="false">IF(OR(DW$4="",$B32=""),0,SUMIF('DADOS BRUTOS'!$A$3:$A$500,$B32,'DADOS BRUTOS'!AW$3:AW$500)+IF($C32="",0,SUMIF('DADOS BRUTOS'!$A$3:$A$500,$C32,'DADOS BRUTOS'!AW$3:AW$500)))</f>
        <v>0</v>
      </c>
      <c r="DX32" s="133" t="n">
        <f aca="false">IF(OR(DX$4="",$B32=""),0,SUMIF('DADOS BRUTOS'!$A$3:$A$500,$B32,'DADOS BRUTOS'!AX$3:AX$500)+IF($C32="",0,SUMIF('DADOS BRUTOS'!$A$3:$A$500,$C32,'DADOS BRUTOS'!AX$3:AX$500)))</f>
        <v>0</v>
      </c>
      <c r="DY32" s="133" t="n">
        <f aca="false">IF(OR(DY$4="",$B32=""),0,SUMIF('DADOS BRUTOS'!$A$3:$A$500,$B32,'DADOS BRUTOS'!AY$3:AY$500)+IF($C32="",0,SUMIF('DADOS BRUTOS'!$A$3:$A$500,$C32,'DADOS BRUTOS'!AY$3:AY$500)))</f>
        <v>0</v>
      </c>
      <c r="DZ32" s="133" t="n">
        <f aca="false">IF(OR(DZ$4="",$B32=""),0,SUMIF('DADOS BRUTOS'!$A$3:$A$500,$B32,'DADOS BRUTOS'!AZ$3:AZ$500)+IF($C32="",0,SUMIF('DADOS BRUTOS'!$A$3:$A$500,$C32,'DADOS BRUTOS'!AZ$3:AZ$500)))</f>
        <v>0</v>
      </c>
      <c r="EA32" s="133" t="n">
        <f aca="false">IF(OR(EA$4="",$B32=""),0,SUMIF('DADOS BRUTOS'!$A$3:$A$500,$B32,'DADOS BRUTOS'!BA$3:BA$500)+IF($C32="",0,SUMIF('DADOS BRUTOS'!$A$3:$A$500,$C32,'DADOS BRUTOS'!BA$3:BA$500)))</f>
        <v>0</v>
      </c>
      <c r="EB32" s="133" t="n">
        <f aca="false">IF(OR(EB$4="",$B32=""),0,SUMIF('DADOS BRUTOS'!$A$3:$A$500,$B32,'DADOS BRUTOS'!BB$3:BB$500)+IF($C32="",0,SUMIF('DADOS BRUTOS'!$A$3:$A$500,$C32,'DADOS BRUTOS'!BB$3:BB$500)))</f>
        <v>0</v>
      </c>
      <c r="EC32" s="133" t="n">
        <f aca="false">IF(OR(EC$4="",$B32=""),0,SUMIF('DADOS BRUTOS'!$A$3:$A$500,$B32,'DADOS BRUTOS'!BC$3:BC$500)+IF($C32="",0,SUMIF('DADOS BRUTOS'!$A$3:$A$500,$C32,'DADOS BRUTOS'!BC$3:BC$500)))</f>
        <v>0</v>
      </c>
      <c r="ED32" s="133" t="n">
        <f aca="false">IF(OR(ED$4="",$B32=""),0,SUMIF('DADOS BRUTOS'!$A$3:$A$500,$B32,'DADOS BRUTOS'!BD$3:BD$500)+IF($C32="",0,SUMIF('DADOS BRUTOS'!$A$3:$A$500,$C32,'DADOS BRUTOS'!BD$3:BD$500)))</f>
        <v>0</v>
      </c>
      <c r="EE32" s="133" t="n">
        <f aca="false">IF(OR(EE$4="",$B32=""),0,SUMIF('DADOS BRUTOS'!$A$3:$A$500,$B32,'DADOS BRUTOS'!BE$3:BE$500)+IF($C32="",0,SUMIF('DADOS BRUTOS'!$A$3:$A$500,$C32,'DADOS BRUTOS'!BE$3:BE$500)))</f>
        <v>0</v>
      </c>
      <c r="EF32" s="133" t="n">
        <f aca="false">IF(OR(EF$4="",$B32=""),0,SUMIF('DADOS BRUTOS'!$A$3:$A$500,$B32,'DADOS BRUTOS'!BF$3:BF$500)+IF($C32="",0,SUMIF('DADOS BRUTOS'!$A$3:$A$500,$C32,'DADOS BRUTOS'!BF$3:BF$500)))</f>
        <v>0</v>
      </c>
      <c r="EG32" s="133" t="n">
        <f aca="false">IF(OR(EG$4="",$B32=""),0,SUMIF('DADOS BRUTOS'!$A$3:$A$500,$B32,'DADOS BRUTOS'!BG$3:BG$500)+IF($C32="",0,SUMIF('DADOS BRUTOS'!$A$3:$A$500,$C32,'DADOS BRUTOS'!BG$3:BG$500)))</f>
        <v>0</v>
      </c>
      <c r="EH32" s="133" t="n">
        <f aca="false">IF(OR(EH$4="",$B32=""),0,SUMIF('DADOS BRUTOS'!$A$3:$A$500,$B32,'DADOS BRUTOS'!BH$3:BH$500)+IF($C32="",0,SUMIF('DADOS BRUTOS'!$A$3:$A$500,$C32,'DADOS BRUTOS'!BH$3:BH$500)))</f>
        <v>0</v>
      </c>
      <c r="EI32" s="133" t="n">
        <f aca="false">IF(OR(EI$4="",$B32=""),0,SUMIF('DADOS BRUTOS'!$A$3:$A$500,$B32,'DADOS BRUTOS'!BI$3:BI$500)+IF($C32="",0,SUMIF('DADOS BRUTOS'!$A$3:$A$500,$C32,'DADOS BRUTOS'!BI$3:BI$500)))</f>
        <v>0</v>
      </c>
      <c r="EJ32" s="133" t="n">
        <f aca="false">IF(OR(EJ$4="",$B32=""),0,SUMIF('DADOS BRUTOS'!$A$3:$A$500,$B32,'DADOS BRUTOS'!BJ$3:BJ$500)+IF($C32="",0,SUMIF('DADOS BRUTOS'!$A$3:$A$500,$C32,'DADOS BRUTOS'!BJ$3:BJ$500)))</f>
        <v>0</v>
      </c>
      <c r="EK32" s="133" t="n">
        <f aca="false">IF(OR(EK$4="",$B32=""),0,SUMIF('DADOS BRUTOS'!$A$3:$A$500,$B32,'DADOS BRUTOS'!BK$3:BK$500)+IF($C32="",0,SUMIF('DADOS BRUTOS'!$A$3:$A$500,$C32,'DADOS BRUTOS'!BK$3:BK$500)))</f>
        <v>0</v>
      </c>
      <c r="EL32" s="133" t="n">
        <f aca="false">IF(OR(EL$4="",$B32=""),0,SUMIF('DADOS BRUTOS'!$A$3:$A$500,$B32,'DADOS BRUTOS'!BL$3:BL$500)+IF($C32="",0,SUMIF('DADOS BRUTOS'!$A$3:$A$500,$C32,'DADOS BRUTOS'!BL$3:BL$500)))</f>
        <v>0</v>
      </c>
      <c r="EM32" s="133" t="n">
        <f aca="false">IF(OR(EM$4="",$B32=""),0,SUMIF('DADOS BRUTOS'!$A$3:$A$500,$B32,'DADOS BRUTOS'!BM$3:BM$500)+IF($C32="",0,SUMIF('DADOS BRUTOS'!$A$3:$A$500,$C32,'DADOS BRUTOS'!BM$3:BM$500)))</f>
        <v>0</v>
      </c>
      <c r="EN32" s="133" t="n">
        <f aca="false">IF(OR(EN$4="",$B32=""),0,SUMIF('DADOS BRUTOS'!$A$3:$A$500,$B32,'DADOS BRUTOS'!BN$3:BN$500)+IF($C32="",0,SUMIF('DADOS BRUTOS'!$A$3:$A$500,$C32,'DADOS BRUTOS'!BN$3:BN$500)))</f>
        <v>0</v>
      </c>
      <c r="EO32" s="133" t="n">
        <f aca="false">IF(OR(EO$4="",$B32=""),0,SUMIF('DADOS BRUTOS'!$A$3:$A$500,$B32,'DADOS BRUTOS'!BO$3:BO$500)+IF($C32="",0,SUMIF('DADOS BRUTOS'!$A$3:$A$500,$C32,'DADOS BRUTOS'!BO$3:BO$500)))</f>
        <v>0</v>
      </c>
      <c r="EP32" s="133" t="n">
        <f aca="false">IF(OR(EP$4="",$B32=""),0,SUMIF('DADOS BRUTOS'!$A$3:$A$500,$B32,'DADOS BRUTOS'!BP$3:BP$500)+IF($C32="",0,SUMIF('DADOS BRUTOS'!$A$3:$A$500,$C32,'DADOS BRUTOS'!BP$3:BP$500)))</f>
        <v>0</v>
      </c>
      <c r="EQ32" s="133" t="n">
        <f aca="false">IF(OR(EQ$4="",$B32=""),0,SUMIF('DADOS BRUTOS'!$A$3:$A$500,$B32,'DADOS BRUTOS'!BQ$3:BQ$500)+IF($C32="",0,SUMIF('DADOS BRUTOS'!$A$3:$A$500,$C32,'DADOS BRUTOS'!BQ$3:BQ$500)))</f>
        <v>0</v>
      </c>
      <c r="ER32" s="133" t="n">
        <f aca="false">IF(OR(ER$4="",$B32=""),0,SUMIF('DADOS BRUTOS'!$A$3:$A$500,$B32,'DADOS BRUTOS'!BR$3:BR$500)+IF($C32="",0,SUMIF('DADOS BRUTOS'!$A$3:$A$500,$C32,'DADOS BRUTOS'!BR$3:BR$500)))</f>
        <v>0</v>
      </c>
      <c r="ES32" s="133" t="n">
        <f aca="false">IF(OR(ES$4="",$B32=""),0,SUMIF('DADOS BRUTOS'!$A$3:$A$500,$B32,'DADOS BRUTOS'!BS$3:BS$500)+IF($C32="",0,SUMIF('DADOS BRUTOS'!$A$3:$A$500,$C32,'DADOS BRUTOS'!BS$3:BS$500)))</f>
        <v>0</v>
      </c>
      <c r="ET32" s="133" t="n">
        <f aca="false">IF(OR(ET$4="",$B32=""),0,SUMIF('DADOS BRUTOS'!$A$3:$A$500,$B32,'DADOS BRUTOS'!BT$3:BT$500)+IF($C32="",0,SUMIF('DADOS BRUTOS'!$A$3:$A$500,$C32,'DADOS BRUTOS'!BT$3:BT$500)))</f>
        <v>0</v>
      </c>
      <c r="EU32" s="133" t="n">
        <f aca="false">IF(OR(EU$4="",$B32=""),0,SUMIF('DADOS BRUTOS'!$A$3:$A$500,$B32,'DADOS BRUTOS'!BU$3:BU$500)+IF($C32="",0,SUMIF('DADOS BRUTOS'!$A$3:$A$500,$C32,'DADOS BRUTOS'!BU$3:BU$500)))</f>
        <v>0</v>
      </c>
      <c r="EV32" s="133" t="n">
        <f aca="false">IF(OR(EV$4="",$B32=""),0,SUMIF('DADOS BRUTOS'!$A$3:$A$500,$B32,'DADOS BRUTOS'!BV$3:BV$500)+IF($C32="",0,SUMIF('DADOS BRUTOS'!$A$3:$A$500,$C32,'DADOS BRUTOS'!BV$3:BV$500)))</f>
        <v>0</v>
      </c>
      <c r="EW32" s="133" t="n">
        <f aca="false">IF(OR(EW$4="",$B32=""),0,SUMIF('DADOS BRUTOS'!$A$3:$A$500,$B32,'DADOS BRUTOS'!BW$3:BW$500)+IF($C32="",0,SUMIF('DADOS BRUTOS'!$A$3:$A$500,$C32,'DADOS BRUTOS'!BW$3:BW$500)))</f>
        <v>0</v>
      </c>
      <c r="EX32" s="133" t="n">
        <f aca="false">IF(OR(EX$4="",$B32=""),0,SUMIF('DADOS BRUTOS'!$A$3:$A$500,$B32,'DADOS BRUTOS'!BX$3:BX$500)+IF($C32="",0,SUMIF('DADOS BRUTOS'!$A$3:$A$500,$C32,'DADOS BRUTOS'!BX$3:BX$500)))</f>
        <v>0</v>
      </c>
      <c r="EY32" s="133" t="n">
        <f aca="false">IF(OR(EY$4="",$B32=""),0,SUMIF('DADOS BRUTOS'!$A$3:$A$500,$B32,'DADOS BRUTOS'!BY$3:BY$500)+IF($C32="",0,SUMIF('DADOS BRUTOS'!$A$3:$A$500,$C32,'DADOS BRUTOS'!BY$3:BY$500)))</f>
        <v>0</v>
      </c>
      <c r="EZ32" s="133" t="n">
        <f aca="false">IF(OR(EZ$4="",$B32=""),0,SUMIF('DADOS BRUTOS'!$A$3:$A$500,$B32,'DADOS BRUTOS'!BZ$3:BZ$500)+IF($C32="",0,SUMIF('DADOS BRUTOS'!$A$3:$A$500,$C32,'DADOS BRUTOS'!BZ$3:BZ$500)))</f>
        <v>0</v>
      </c>
      <c r="FA32" s="133" t="n">
        <f aca="false">IF(OR(FA$4="",$B32=""),0,SUMIF('DADOS BRUTOS'!$A$3:$A$500,$B32,'DADOS BRUTOS'!CA$3:CA$500)+IF($C32="",0,SUMIF('DADOS BRUTOS'!$A$3:$A$500,$C32,'DADOS BRUTOS'!CA$3:CA$500)))</f>
        <v>0</v>
      </c>
      <c r="FB32" s="133" t="n">
        <f aca="false">IF(OR(FB$4="",$B32=""),0,SUMIF('DADOS BRUTOS'!$A$3:$A$500,$B32,'DADOS BRUTOS'!CB$3:CB$500)+IF($C32="",0,SUMIF('DADOS BRUTOS'!$A$3:$A$500,$C32,'DADOS BRUTOS'!CB$3:CB$500)))</f>
        <v>0</v>
      </c>
      <c r="FC32" s="133" t="n">
        <f aca="false">IF(OR(FC$4="",$B32=""),0,SUMIF('DADOS BRUTOS'!$A$3:$A$500,$B32,'DADOS BRUTOS'!CC$3:CC$500)+IF($C32="",0,SUMIF('DADOS BRUTOS'!$A$3:$A$500,$C32,'DADOS BRUTOS'!CC$3:CC$500)))</f>
        <v>0</v>
      </c>
      <c r="FD32" s="133" t="n">
        <f aca="false">IF(OR(FD$4="",$B32=""),0,SUMIF('DADOS BRUTOS'!$A$3:$A$500,$B32,'DADOS BRUTOS'!CD$3:CD$500)+IF($C32="",0,SUMIF('DADOS BRUTOS'!$A$3:$A$500,$C32,'DADOS BRUTOS'!CD$3:CD$500)))</f>
        <v>0</v>
      </c>
      <c r="FE32" s="133" t="n">
        <f aca="false">IF(OR(FE$4="",$B32=""),0,SUMIF('DADOS BRUTOS'!$A$3:$A$500,$B32,'DADOS BRUTOS'!CE$3:CE$500)+IF($C32="",0,SUMIF('DADOS BRUTOS'!$A$3:$A$500,$C32,'DADOS BRUTOS'!CE$3:CE$500)))</f>
        <v>0</v>
      </c>
      <c r="FF32" s="133" t="n">
        <f aca="false">IF(OR(FF$4="",$B32=""),0,SUMIF('DADOS BRUTOS'!$A$3:$A$500,$B32,'DADOS BRUTOS'!CF$3:CF$500)+IF($C32="",0,SUMIF('DADOS BRUTOS'!$A$3:$A$500,$C32,'DADOS BRUTOS'!CF$3:CF$500)))</f>
        <v>0</v>
      </c>
      <c r="FG32" s="133" t="n">
        <f aca="false">IF(OR(FG$4="",$B32=""),0,SUMIF('DADOS BRUTOS'!$A$3:$A$500,$B32,'DADOS BRUTOS'!CG$3:CG$500)+IF($C32="",0,SUMIF('DADOS BRUTOS'!$A$3:$A$500,$C32,'DADOS BRUTOS'!CG$3:CG$500)))</f>
        <v>0</v>
      </c>
      <c r="FH32" s="133" t="n">
        <f aca="false">IF(OR(FH$4="",$B32=""),0,SUMIF('DADOS BRUTOS'!$A$3:$A$500,$B32,'DADOS BRUTOS'!CH$3:CH$500)+IF($C32="",0,SUMIF('DADOS BRUTOS'!$A$3:$A$500,$C32,'DADOS BRUTOS'!CH$3:CH$500)))</f>
        <v>0</v>
      </c>
      <c r="FI32" s="133" t="n">
        <f aca="false">IF(OR(FI$4="",$B32=""),0,SUMIF('DADOS BRUTOS'!$A$3:$A$500,$B32,'DADOS BRUTOS'!CI$3:CI$500)+IF($C32="",0,SUMIF('DADOS BRUTOS'!$A$3:$A$500,$C32,'DADOS BRUTOS'!CI$3:CI$500)))</f>
        <v>0</v>
      </c>
      <c r="FJ32" s="133" t="n">
        <f aca="false">IF(OR(FJ$4="",$B32=""),0,SUMIF('DADOS BRUTOS'!$A$3:$A$500,$B32,'DADOS BRUTOS'!CJ$3:CJ$500)+IF($C32="",0,SUMIF('DADOS BRUTOS'!$A$3:$A$500,$C32,'DADOS BRUTOS'!CJ$3:CJ$500)))</f>
        <v>0</v>
      </c>
      <c r="FK32" s="133" t="n">
        <f aca="false">IF(OR(FK$4="",$B32=""),0,SUMIF('DADOS BRUTOS'!$A$3:$A$500,$B32,'DADOS BRUTOS'!CK$3:CK$500)+IF($C32="",0,SUMIF('DADOS BRUTOS'!$A$3:$A$500,$C32,'DADOS BRUTOS'!CK$3:CK$500)))</f>
        <v>0</v>
      </c>
      <c r="FL32" s="133" t="n">
        <f aca="false">IF(OR(FL$4="",$B32=""),0,SUMIF('DADOS BRUTOS'!$A$3:$A$500,$B32,'DADOS BRUTOS'!CL$3:CL$500)+IF($C32="",0,SUMIF('DADOS BRUTOS'!$A$3:$A$500,$C32,'DADOS BRUTOS'!CL$3:CL$500)))</f>
        <v>0</v>
      </c>
      <c r="FM32" s="133" t="n">
        <f aca="false">IF(OR(FM$4="",$B32=""),0,SUMIF('DADOS BRUTOS'!$A$3:$A$500,$B32,'DADOS BRUTOS'!CM$3:CM$500)+IF($C32="",0,SUMIF('DADOS BRUTOS'!$A$3:$A$500,$C32,'DADOS BRUTOS'!CM$3:CM$500)))</f>
        <v>0</v>
      </c>
      <c r="FN32" s="133" t="n">
        <f aca="false">IF(OR(FN$4="",$B32=""),0,SUMIF('DADOS BRUTOS'!$A$3:$A$500,$B32,'DADOS BRUTOS'!CN$3:CN$500)+IF($C32="",0,SUMIF('DADOS BRUTOS'!$A$3:$A$500,$C32,'DADOS BRUTOS'!CN$3:CN$500)))</f>
        <v>0</v>
      </c>
      <c r="FO32" s="133" t="n">
        <f aca="false">IF(OR(FO$4="",$B32=""),0,SUMIF('DADOS BRUTOS'!$A$3:$A$500,$B32,'DADOS BRUTOS'!CO$3:CO$500)+IF($C32="",0,SUMIF('DADOS BRUTOS'!$A$3:$A$500,$C32,'DADOS BRUTOS'!CO$3:CO$500)))</f>
        <v>0</v>
      </c>
      <c r="FP32" s="133" t="n">
        <f aca="false">IF(OR(FP$4="",$B32=""),0,SUMIF('DADOS BRUTOS'!$A$3:$A$500,$B32,'DADOS BRUTOS'!CP$3:CP$500)+IF($C32="",0,SUMIF('DADOS BRUTOS'!$A$3:$A$500,$C32,'DADOS BRUTOS'!CP$3:CP$500)))</f>
        <v>0</v>
      </c>
      <c r="FQ32" s="133" t="n">
        <f aca="false">IF(OR(FQ$4="",$B32=""),0,SUMIF('DADOS BRUTOS'!$A$3:$A$500,$B32,'DADOS BRUTOS'!CQ$3:CQ$500)+IF($C32="",0,SUMIF('DADOS BRUTOS'!$A$3:$A$500,$C32,'DADOS BRUTOS'!CQ$3:CQ$500)))</f>
        <v>0</v>
      </c>
      <c r="FR32" s="133" t="n">
        <f aca="false">IF(OR(FR$4="",$B32=""),0,SUMIF('DADOS BRUTOS'!$A$3:$A$500,$B32,'DADOS BRUTOS'!CR$3:CR$500)+IF($C32="",0,SUMIF('DADOS BRUTOS'!$A$3:$A$500,$C32,'DADOS BRUTOS'!CR$3:CR$500)))</f>
        <v>0</v>
      </c>
      <c r="FS32" s="133" t="n">
        <f aca="false">IF(OR(FS$4="",$B32=""),0,SUMIF('DADOS BRUTOS'!$A$3:$A$500,$B32,'DADOS BRUTOS'!CS$3:CS$500)+IF($C32="",0,SUMIF('DADOS BRUTOS'!$A$3:$A$500,$C32,'DADOS BRUTOS'!CS$3:CS$500)))</f>
        <v>0</v>
      </c>
      <c r="FT32" s="133" t="n">
        <f aca="false">IF(OR(FT$4="",$B32=""),0,SUMIF('DADOS BRUTOS'!$A$3:$A$500,$B32,'DADOS BRUTOS'!CT$3:CT$500)+IF($C32="",0,SUMIF('DADOS BRUTOS'!$A$3:$A$500,$C32,'DADOS BRUTOS'!CT$3:CT$500)))</f>
        <v>0</v>
      </c>
      <c r="FU32" s="133" t="n">
        <f aca="false">IF(OR(FU$4="",$B32=""),0,SUMIF('DADOS BRUTOS'!$A$3:$A$500,$B32,'DADOS BRUTOS'!CU$3:CU$500)+IF($C32="",0,SUMIF('DADOS BRUTOS'!$A$3:$A$500,$C32,'DADOS BRUTOS'!CU$3:CU$500)))</f>
        <v>0</v>
      </c>
      <c r="FV32" s="133" t="n">
        <f aca="false">IF(OR(FV$4="",$B32=""),0,SUMIF('DADOS BRUTOS'!$A$3:$A$500,$B32,'DADOS BRUTOS'!CV$3:CV$500)+IF($C32="",0,SUMIF('DADOS BRUTOS'!$A$3:$A$500,$C32,'DADOS BRUTOS'!CV$3:CV$500)))</f>
        <v>0</v>
      </c>
      <c r="FW32" s="133" t="n">
        <f aca="false">IF(OR(FW$4="",$B32=""),0,SUMIF('DADOS BRUTOS'!$A$3:$A$500,$B32,'DADOS BRUTOS'!CW$3:CW$500)+IF($C32="",0,SUMIF('DADOS BRUTOS'!$A$3:$A$500,$C32,'DADOS BRUTOS'!CW$3:CW$500)))</f>
        <v>0</v>
      </c>
      <c r="FX32" s="133" t="n">
        <f aca="false">IF(OR(FX$4="",$B32=""),0,SUMIF('DADOS BRUTOS'!$A$3:$A$500,$B32,'DADOS BRUTOS'!CX$3:CX$500)+IF($C32="",0,SUMIF('DADOS BRUTOS'!$A$3:$A$500,$C32,'DADOS BRUTOS'!CX$3:CX$500)))</f>
        <v>0</v>
      </c>
      <c r="FY32" s="133" t="n">
        <f aca="false">IF(OR(FY$4="",$B32=""),0,SUMIF('DADOS BRUTOS'!$A$3:$A$500,$B32,'DADOS BRUTOS'!CY$3:CY$500)+IF($C32="",0,SUMIF('DADOS BRUTOS'!$A$3:$A$500,$C32,'DADOS BRUTOS'!CY$3:CY$500)))</f>
        <v>0</v>
      </c>
      <c r="FZ32" s="133" t="n">
        <f aca="false">IF(OR(FZ$4="",$B32=""),0,SUMIF('DADOS BRUTOS'!$A$3:$A$500,$B32,'DADOS BRUTOS'!CZ$3:CZ$500)+IF($C32="",0,SUMIF('DADOS BRUTOS'!$A$3:$A$500,$C32,'DADOS BRUTOS'!CZ$3:CZ$500)))</f>
        <v>0</v>
      </c>
      <c r="GA32" s="133" t="n">
        <f aca="false">IF(OR(GA$4="",$B32=""),0,SUMIF('DADOS BRUTOS'!$A$3:$A$500,$B32,'DADOS BRUTOS'!DA$3:DA$500)+IF($C32="",0,SUMIF('DADOS BRUTOS'!$A$3:$A$500,$C32,'DADOS BRUTOS'!DA$3:DA$500)))</f>
        <v>0</v>
      </c>
      <c r="GB32" s="133" t="n">
        <f aca="false">IF(OR(GB$4="",$B32=""),0,SUMIF('DADOS BRUTOS'!$A$3:$A$500,$B32,'DADOS BRUTOS'!DB$3:DB$500)+IF($C32="",0,SUMIF('DADOS BRUTOS'!$A$3:$A$500,$C32,'DADOS BRUTOS'!DB$3:DB$500)))</f>
        <v>0</v>
      </c>
      <c r="GC32" s="133" t="n">
        <f aca="false">IF(OR(GC$4="",$B32=""),0,SUMIF('DADOS BRUTOS'!$A$3:$A$500,$B32,'DADOS BRUTOS'!DC$3:DC$500)+IF($C32="",0,SUMIF('DADOS BRUTOS'!$A$3:$A$500,$C32,'DADOS BRUTOS'!DC$3:DC$500)))</f>
        <v>0</v>
      </c>
      <c r="GD32" s="133" t="n">
        <f aca="false">IF(OR(GD$4="",$B32=""),0,SUMIF('DADOS BRUTOS'!$A$3:$A$500,$B32,'DADOS BRUTOS'!DD$3:DD$500)+IF($C32="",0,SUMIF('DADOS BRUTOS'!$A$3:$A$500,$C32,'DADOS BRUTOS'!DD$3:DD$500)))</f>
        <v>0</v>
      </c>
      <c r="GE32" s="133" t="n">
        <f aca="false">IF(OR(GE$4="",$B32=""),0,SUMIF('DADOS BRUTOS'!$A$3:$A$500,$B32,'DADOS BRUTOS'!DE$3:DE$500)+IF($C32="",0,SUMIF('DADOS BRUTOS'!$A$3:$A$500,$C32,'DADOS BRUTOS'!DE$3:DE$500)))</f>
        <v>0</v>
      </c>
      <c r="GF32" s="133" t="n">
        <f aca="false">IF(OR(GF$4="",$B32=""),0,SUMIF('DADOS BRUTOS'!$A$3:$A$500,$B32,'DADOS BRUTOS'!DF$3:DF$500)+IF($C32="",0,SUMIF('DADOS BRUTOS'!$A$3:$A$500,$C32,'DADOS BRUTOS'!DF$3:DF$500)))</f>
        <v>0</v>
      </c>
      <c r="GG32" s="133" t="n">
        <f aca="false">IF(OR(GG$4="",$B32=""),0,SUMIF('DADOS BRUTOS'!$A$3:$A$500,$B32,'DADOS BRUTOS'!DG$3:DG$500)+IF($C32="",0,SUMIF('DADOS BRUTOS'!$A$3:$A$500,$C32,'DADOS BRUTOS'!DG$3:DG$500)))</f>
        <v>0</v>
      </c>
      <c r="GH32" s="133" t="n">
        <f aca="false">IF(OR(GH$4="",$B32=""),0,SUMIF('DADOS BRUTOS'!$A$3:$A$500,$B32,'DADOS BRUTOS'!DH$3:DH$500)+IF($C32="",0,SUMIF('DADOS BRUTOS'!$A$3:$A$500,$C32,'DADOS BRUTOS'!DH$3:DH$500)))</f>
        <v>0</v>
      </c>
      <c r="GI32" s="133" t="n">
        <f aca="false">IF(OR(GI$4="",$B32=""),0,SUMIF('DADOS BRUTOS'!$A$3:$A$500,$B32,'DADOS BRUTOS'!DI$3:DI$500)+IF($C32="",0,SUMIF('DADOS BRUTOS'!$A$3:$A$500,$C32,'DADOS BRUTOS'!DI$3:DI$500)))</f>
        <v>0</v>
      </c>
      <c r="GJ32" s="133" t="n">
        <f aca="false">IF(OR(GJ$4="",$B32=""),0,SUMIF('DADOS BRUTOS'!$A$3:$A$500,$B32,'DADOS BRUTOS'!DJ$3:DJ$500)+IF($C32="",0,SUMIF('DADOS BRUTOS'!$A$3:$A$500,$C32,'DADOS BRUTOS'!DJ$3:DJ$500)))</f>
        <v>0</v>
      </c>
      <c r="GK32" s="133" t="n">
        <f aca="false">IF(OR(GK$4="",$B32=""),0,SUMIF('DADOS BRUTOS'!$A$3:$A$500,$B32,'DADOS BRUTOS'!DK$3:DK$500)+IF($C32="",0,SUMIF('DADOS BRUTOS'!$A$3:$A$500,$C32,'DADOS BRUTOS'!DK$3:DK$500)))</f>
        <v>0</v>
      </c>
      <c r="GL32" s="133" t="n">
        <f aca="false">IF(OR(GL$4="",$B32=""),0,SUMIF('DADOS BRUTOS'!$A$3:$A$500,$B32,'DADOS BRUTOS'!DL$3:DL$500)+IF($C32="",0,SUMIF('DADOS BRUTOS'!$A$3:$A$500,$C32,'DADOS BRUTOS'!DL$3:DL$500)))</f>
        <v>0</v>
      </c>
      <c r="GM32" s="133" t="n">
        <f aca="false">IF(OR(GM$4="",$B32=""),0,SUMIF('DADOS BRUTOS'!$A$3:$A$500,$B32,'DADOS BRUTOS'!DM$3:DM$500)+IF($C32="",0,SUMIF('DADOS BRUTOS'!$A$3:$A$500,$C32,'DADOS BRUTOS'!DM$3:DM$500)))</f>
        <v>0</v>
      </c>
      <c r="GN32" s="133" t="n">
        <f aca="false">IF(OR(GN$4="",$B32=""),0,SUMIF('DADOS BRUTOS'!$A$3:$A$500,$B32,'DADOS BRUTOS'!DN$3:DN$500)+IF($C32="",0,SUMIF('DADOS BRUTOS'!$A$3:$A$500,$C32,'DADOS BRUTOS'!DN$3:DN$500)))</f>
        <v>0</v>
      </c>
      <c r="GO32" s="133" t="n">
        <f aca="false">IF(OR(GO$4="",$B32=""),0,SUMIF('DADOS BRUTOS'!$A$3:$A$500,$B32,'DADOS BRUTOS'!DO$3:DO$500)+IF($C32="",0,SUMIF('DADOS BRUTOS'!$A$3:$A$500,$C32,'DADOS BRUTOS'!DO$3:DO$500)))</f>
        <v>0</v>
      </c>
      <c r="GP32" s="133" t="n">
        <f aca="false">IF(OR(GP$4="",$B32=""),0,SUMIF('DADOS BRUTOS'!$A$3:$A$500,$B32,'DADOS BRUTOS'!DP$3:DP$500)+IF($C32="",0,SUMIF('DADOS BRUTOS'!$A$3:$A$500,$C32,'DADOS BRUTOS'!DP$3:DP$500)))</f>
        <v>0</v>
      </c>
      <c r="GQ32" s="133" t="n">
        <f aca="false">IF(OR(GQ$4="",$B32=""),0,SUMIF('DADOS BRUTOS'!$A$3:$A$500,$B32,'DADOS BRUTOS'!DQ$3:DQ$500)+IF($C32="",0,SUMIF('DADOS BRUTOS'!$A$3:$A$500,$C32,'DADOS BRUTOS'!DQ$3:DQ$500)))</f>
        <v>0</v>
      </c>
      <c r="GR32" s="133" t="n">
        <f aca="false">IF(OR(GR$4="",$B32=""),0,SUMIF('DADOS BRUTOS'!$A$3:$A$500,$B32,'DADOS BRUTOS'!DR$3:DR$500)+IF($C32="",0,SUMIF('DADOS BRUTOS'!$A$3:$A$500,$C32,'DADOS BRUTOS'!DR$3:DR$500)))</f>
        <v>0</v>
      </c>
      <c r="GS32" s="133" t="n">
        <f aca="false">IF(OR(GS$4="",$B32=""),0,SUMIF('DADOS BRUTOS'!$A$3:$A$500,$B32,'DADOS BRUTOS'!DS$3:DS$500)+IF($C32="",0,SUMIF('DADOS BRUTOS'!$A$3:$A$500,$C32,'DADOS BRUTOS'!DS$3:DS$500)))</f>
        <v>0</v>
      </c>
      <c r="GT32" s="133" t="n">
        <f aca="false">IF(OR(GT$4="",$B32=""),0,SUMIF('DADOS BRUTOS'!$A$3:$A$500,$B32,'DADOS BRUTOS'!DT$3:DT$500)+IF($C32="",0,SUMIF('DADOS BRUTOS'!$A$3:$A$500,$C32,'DADOS BRUTOS'!DT$3:DT$500)))</f>
        <v>0</v>
      </c>
      <c r="GU32" s="133" t="n">
        <f aca="false">IF(OR(GU$4="",$B32=""),0,SUMIF('DADOS BRUTOS'!$A$3:$A$500,$B32,'DADOS BRUTOS'!DU$3:DU$500)+IF($C32="",0,SUMIF('DADOS BRUTOS'!$A$3:$A$500,$C32,'DADOS BRUTOS'!DU$3:DU$500)))</f>
        <v>0</v>
      </c>
      <c r="GV32" s="133" t="n">
        <f aca="false">IF(OR(GV$4="",$B32=""),0,SUMIF('DADOS BRUTOS'!$A$3:$A$500,$B32,'DADOS BRUTOS'!DV$3:DV$500)+IF($C32="",0,SUMIF('DADOS BRUTOS'!$A$3:$A$500,$C32,'DADOS BRUTOS'!DV$3:DV$500)))</f>
        <v>0</v>
      </c>
      <c r="GW32" s="133" t="n">
        <f aca="false">IF(OR(GW$4="",$B32=""),0,SUMIF('DADOS BRUTOS'!$A$3:$A$500,$B32,'DADOS BRUTOS'!DW$3:DW$500)+IF($C32="",0,SUMIF('DADOS BRUTOS'!$A$3:$A$500,$C32,'DADOS BRUTOS'!DW$3:DW$500)))</f>
        <v>0</v>
      </c>
      <c r="GX32" s="133" t="n">
        <f aca="false">IF(OR(GX$4="",$B32=""),0,SUMIF('DADOS BRUTOS'!$A$3:$A$500,$B32,'DADOS BRUTOS'!DX$3:DX$500)+IF($C32="",0,SUMIF('DADOS BRUTOS'!$A$3:$A$500,$C32,'DADOS BRUTOS'!DX$3:DX$500)))</f>
        <v>0</v>
      </c>
      <c r="GY32" s="133" t="n">
        <f aca="false">IF(OR(GY$4="",$B32=""),0,SUMIF('DADOS BRUTOS'!$A$3:$A$500,$B32,'DADOS BRUTOS'!DY$3:DY$500)+IF($C32="",0,SUMIF('DADOS BRUTOS'!$A$3:$A$500,$C32,'DADOS BRUTOS'!DY$3:DY$500)))</f>
        <v>0</v>
      </c>
      <c r="GZ32" s="133" t="n">
        <f aca="false">IF(OR(GZ$4="",$B32=""),0,SUMIF('DADOS BRUTOS'!$A$3:$A$500,$B32,'DADOS BRUTOS'!DZ$3:DZ$500)+IF($C32="",0,SUMIF('DADOS BRUTOS'!$A$3:$A$500,$C32,'DADOS BRUTOS'!DZ$3:DZ$500)))</f>
        <v>0</v>
      </c>
      <c r="HA32" s="133" t="n">
        <f aca="false">IF(OR(HA$4="",$B32=""),0,SUMIF('DADOS BRUTOS'!$A$3:$A$500,$B32,'DADOS BRUTOS'!EA$3:EA$500)+IF($C32="",0,SUMIF('DADOS BRUTOS'!$A$3:$A$500,$C32,'DADOS BRUTOS'!EA$3:EA$500)))</f>
        <v>0</v>
      </c>
      <c r="HB32" s="133" t="n">
        <f aca="false">IF(OR(HB$4="",$B32=""),0,SUMIF('DADOS BRUTOS'!$A$3:$A$500,$B32,'DADOS BRUTOS'!EB$3:EB$500)+IF($C32="",0,SUMIF('DADOS BRUTOS'!$A$3:$A$500,$C32,'DADOS BRUTOS'!EB$3:EB$500)))</f>
        <v>0</v>
      </c>
      <c r="HC32" s="133" t="n">
        <f aca="false">IF(OR(HC$4="",$B32=""),0,SUMIF('DADOS BRUTOS'!$A$3:$A$500,$B32,'DADOS BRUTOS'!EC$3:EC$500)+IF($C32="",0,SUMIF('DADOS BRUTOS'!$A$3:$A$500,$C32,'DADOS BRUTOS'!EC$3:EC$500)))</f>
        <v>0</v>
      </c>
      <c r="HD32" s="133" t="n">
        <f aca="false">IF(OR(HD$4="",$B32=""),0,SUMIF('DADOS BRUTOS'!$A$3:$A$500,$B32,'DADOS BRUTOS'!ED$3:ED$500)+IF($C32="",0,SUMIF('DADOS BRUTOS'!$A$3:$A$500,$C32,'DADOS BRUTOS'!ED$3:ED$500)))</f>
        <v>0</v>
      </c>
      <c r="HE32" s="133" t="n">
        <f aca="false">IF(OR(HE$4="",$B32=""),0,SUMIF('DADOS BRUTOS'!$A$3:$A$500,$B32,'DADOS BRUTOS'!EE$3:EE$500)+IF($C32="",0,SUMIF('DADOS BRUTOS'!$A$3:$A$500,$C32,'DADOS BRUTOS'!EE$3:EE$500)))</f>
        <v>0</v>
      </c>
      <c r="HF32" s="133" t="n">
        <f aca="false">IF(OR(HF$4="",$B32=""),0,SUMIF('DADOS BRUTOS'!$A$3:$A$500,$B32,'DADOS BRUTOS'!EF$3:EF$500)+IF($C32="",0,SUMIF('DADOS BRUTOS'!$A$3:$A$500,$C32,'DADOS BRUTOS'!EF$3:EF$500)))</f>
        <v>0</v>
      </c>
      <c r="HG32" s="133" t="n">
        <f aca="false">IF(OR(HG$4="",$B32=""),0,SUMIF('DADOS BRUTOS'!$A$3:$A$500,$B32,'DADOS BRUTOS'!EG$3:EG$500)+IF($C32="",0,SUMIF('DADOS BRUTOS'!$A$3:$A$500,$C32,'DADOS BRUTOS'!EG$3:EG$500)))</f>
        <v>0</v>
      </c>
      <c r="HH32" s="133" t="n">
        <f aca="false">IF(OR(HH$4="",$B32=""),0,SUMIF('DADOS BRUTOS'!$A$3:$A$500,$B32,'DADOS BRUTOS'!EH$3:EH$500)+IF($C32="",0,SUMIF('DADOS BRUTOS'!$A$3:$A$500,$C32,'DADOS BRUTOS'!EH$3:EH$500)))</f>
        <v>0</v>
      </c>
      <c r="HI32" s="133" t="n">
        <f aca="false">IF(OR(HI$4="",$B32=""),0,SUMIF('DADOS BRUTOS'!$A$3:$A$500,$B32,'DADOS BRUTOS'!EI$3:EI$500)+IF($C32="",0,SUMIF('DADOS BRUTOS'!$A$3:$A$500,$C32,'DADOS BRUTOS'!EI$3:EI$500)))</f>
        <v>0</v>
      </c>
      <c r="HJ32" s="133" t="n">
        <f aca="false">IF(OR(HJ$4="",$B32=""),0,SUMIF('DADOS BRUTOS'!$A$3:$A$500,$B32,'DADOS BRUTOS'!EJ$3:EJ$500)+IF($C32="",0,SUMIF('DADOS BRUTOS'!$A$3:$A$500,$C32,'DADOS BRUTOS'!EJ$3:EJ$500)))</f>
        <v>0</v>
      </c>
      <c r="HK32" s="133" t="n">
        <f aca="false">IF(OR(HK$4="",$B32=""),0,SUMIF('DADOS BRUTOS'!$A$3:$A$500,$B32,'DADOS BRUTOS'!EK$3:EK$500)+IF($C32="",0,SUMIF('DADOS BRUTOS'!$A$3:$A$500,$C32,'DADOS BRUTOS'!EK$3:EK$500)))</f>
        <v>0</v>
      </c>
      <c r="HL32" s="133" t="n">
        <f aca="false">IF(OR(HL$4="",$B32=""),0,SUMIF('DADOS BRUTOS'!$A$3:$A$500,$B32,'DADOS BRUTOS'!EL$3:EL$500)+IF($C32="",0,SUMIF('DADOS BRUTOS'!$A$3:$A$500,$C32,'DADOS BRUTOS'!EL$3:EL$500)))</f>
        <v>0</v>
      </c>
      <c r="HM32" s="133" t="n">
        <f aca="false">IF(OR(HM$4="",$B32=""),0,SUMIF('DADOS BRUTOS'!$A$3:$A$500,$B32,'DADOS BRUTOS'!EM$3:EM$500)+IF($C32="",0,SUMIF('DADOS BRUTOS'!$A$3:$A$500,$C32,'DADOS BRUTOS'!EM$3:EM$500)))</f>
        <v>0</v>
      </c>
      <c r="HN32" s="133" t="n">
        <f aca="false">IF(OR(HN$4="",$B32=""),0,SUMIF('DADOS BRUTOS'!$A$3:$A$500,$B32,'DADOS BRUTOS'!EN$3:EN$500)+IF($C32="",0,SUMIF('DADOS BRUTOS'!$A$3:$A$500,$C32,'DADOS BRUTOS'!EN$3:EN$500)))</f>
        <v>0</v>
      </c>
      <c r="HO32" s="133" t="n">
        <f aca="false">IF(OR(HO$4="",$B32=""),0,SUMIF('DADOS BRUTOS'!$A$3:$A$500,$B32,'DADOS BRUTOS'!EO$3:EO$500)+IF($C32="",0,SUMIF('DADOS BRUTOS'!$A$3:$A$500,$C32,'DADOS BRUTOS'!EO$3:EO$500)))</f>
        <v>0</v>
      </c>
      <c r="HP32" s="133" t="n">
        <f aca="false">IF(OR(HP$4="",$B32=""),0,SUMIF('DADOS BRUTOS'!$A$3:$A$500,$B32,'DADOS BRUTOS'!EP$3:EP$500)+IF($C32="",0,SUMIF('DADOS BRUTOS'!$A$3:$A$500,$C32,'DADOS BRUTOS'!EP$3:EP$500)))</f>
        <v>0</v>
      </c>
      <c r="HQ32" s="133" t="n">
        <f aca="false">IF(OR(HQ$4="",$B32=""),0,SUMIF('DADOS BRUTOS'!$A$3:$A$500,$B32,'DADOS BRUTOS'!EQ$3:EQ$500)+IF($C32="",0,SUMIF('DADOS BRUTOS'!$A$3:$A$500,$C32,'DADOS BRUTOS'!EQ$3:EQ$500)))</f>
        <v>0</v>
      </c>
      <c r="HR32" s="133" t="n">
        <f aca="false">IF(OR(HR$4="",$B32=""),0,SUMIF('DADOS BRUTOS'!$A$3:$A$500,$B32,'DADOS BRUTOS'!ER$3:ER$500)+IF($C32="",0,SUMIF('DADOS BRUTOS'!$A$3:$A$500,$C32,'DADOS BRUTOS'!ER$3:ER$500)))</f>
        <v>0</v>
      </c>
      <c r="HS32" s="133" t="n">
        <f aca="false">IF(OR(HS$4="",$B32=""),0,SUMIF('DADOS BRUTOS'!$A$3:$A$500,$B32,'DADOS BRUTOS'!ES$3:ES$500)+IF($C32="",0,SUMIF('DADOS BRUTOS'!$A$3:$A$500,$C32,'DADOS BRUTOS'!ES$3:ES$500)))</f>
        <v>0</v>
      </c>
      <c r="HT32" s="133" t="n">
        <f aca="false">IF(OR(HT$4="",$B32=""),0,SUMIF('DADOS BRUTOS'!$A$3:$A$500,$B32,'DADOS BRUTOS'!ET$3:ET$500)+IF($C32="",0,SUMIF('DADOS BRUTOS'!$A$3:$A$500,$C32,'DADOS BRUTOS'!ET$3:ET$500)))</f>
        <v>0</v>
      </c>
      <c r="HU32" s="133" t="n">
        <f aca="false">IF(OR(HU$4="",$B32=""),0,SUMIF('DADOS BRUTOS'!$A$3:$A$500,$B32,'DADOS BRUTOS'!EU$3:EU$500)+IF($C32="",0,SUMIF('DADOS BRUTOS'!$A$3:$A$500,$C32,'DADOS BRUTOS'!EU$3:EU$500)))</f>
        <v>0</v>
      </c>
      <c r="HV32" s="133" t="n">
        <f aca="false">IF(OR(HV$4="",$B32=""),0,SUMIF('DADOS BRUTOS'!$A$3:$A$500,$B32,'DADOS BRUTOS'!EV$3:EV$500)+IF($C32="",0,SUMIF('DADOS BRUTOS'!$A$3:$A$500,$C32,'DADOS BRUTOS'!EV$3:EV$500)))</f>
        <v>0</v>
      </c>
      <c r="HW32" s="133" t="n">
        <f aca="false">IF(OR(HW$4="",$B32=""),0,SUMIF('DADOS BRUTOS'!$A$3:$A$500,$B32,'DADOS BRUTOS'!EW$3:EW$500)+IF($C32="",0,SUMIF('DADOS BRUTOS'!$A$3:$A$500,$C32,'DADOS BRUTOS'!EW$3:EW$500)))</f>
        <v>0</v>
      </c>
      <c r="HX32" s="133" t="n">
        <f aca="false">IF(OR(HX$4="",$B32=""),0,SUMIF('DADOS BRUTOS'!$A$3:$A$500,$B32,'DADOS BRUTOS'!EX$3:EX$500)+IF($C32="",0,SUMIF('DADOS BRUTOS'!$A$3:$A$500,$C32,'DADOS BRUTOS'!EX$3:EX$500)))</f>
        <v>0</v>
      </c>
      <c r="HY32" s="133" t="n">
        <f aca="false">IF(OR(HY$4="",$B32=""),0,SUMIF('DADOS BRUTOS'!$A$3:$A$500,$B32,'DADOS BRUTOS'!EY$3:EY$500)+IF($C32="",0,SUMIF('DADOS BRUTOS'!$A$3:$A$500,$C32,'DADOS BRUTOS'!EY$3:EY$500)))</f>
        <v>0</v>
      </c>
      <c r="HZ32" s="133" t="n">
        <f aca="false">IF(OR(HZ$4="",$B32=""),0,SUMIF('DADOS BRUTOS'!$A$3:$A$500,$B32,'DADOS BRUTOS'!EZ$3:EZ$500)+IF($C32="",0,SUMIF('DADOS BRUTOS'!$A$3:$A$500,$C32,'DADOS BRUTOS'!EZ$3:EZ$500)))</f>
        <v>0</v>
      </c>
      <c r="IA32" s="133" t="n">
        <f aca="false">IF(OR(IA$4="",$B32=""),0,SUMIF('DADOS BRUTOS'!$A$3:$A$500,$B32,'DADOS BRUTOS'!FA$3:FA$500)+IF($C32="",0,SUMIF('DADOS BRUTOS'!$A$3:$A$500,$C32,'DADOS BRUTOS'!FA$3:FA$500)))</f>
        <v>0</v>
      </c>
      <c r="IB32" s="133" t="n">
        <f aca="false">IF(OR(IB$4="",$B32=""),0,SUMIF('DADOS BRUTOS'!$A$3:$A$500,$B32,'DADOS BRUTOS'!FB$3:FB$500)+IF($C32="",0,SUMIF('DADOS BRUTOS'!$A$3:$A$500,$C32,'DADOS BRUTOS'!FB$3:FB$500)))</f>
        <v>0</v>
      </c>
      <c r="IC32" s="133" t="n">
        <f aca="false">IF(OR(IC$4="",$B32=""),0,SUMIF('DADOS BRUTOS'!$A$3:$A$500,$B32,'DADOS BRUTOS'!FC$3:FC$500)+IF($C32="",0,SUMIF('DADOS BRUTOS'!$A$3:$A$500,$C32,'DADOS BRUTOS'!FC$3:FC$500)))</f>
        <v>0</v>
      </c>
      <c r="ID32" s="133" t="n">
        <f aca="false">IF(OR(ID$4="",$B32=""),0,SUMIF('DADOS BRUTOS'!$A$3:$A$500,$B32,'DADOS BRUTOS'!FD$3:FD$500)+IF($C32="",0,SUMIF('DADOS BRUTOS'!$A$3:$A$500,$C32,'DADOS BRUTOS'!FD$3:FD$500)))</f>
        <v>0</v>
      </c>
      <c r="IE32" s="133" t="n">
        <f aca="false">IF(OR(IE$4="",$B32=""),0,SUMIF('DADOS BRUTOS'!$A$3:$A$500,$B32,'DADOS BRUTOS'!FE$3:FE$500)+IF($C32="",0,SUMIF('DADOS BRUTOS'!$A$3:$A$500,$C32,'DADOS BRUTOS'!FE$3:FE$500)))</f>
        <v>0</v>
      </c>
      <c r="IF32" s="133" t="n">
        <f aca="false">IF(OR(IF$4="",$B32=""),0,SUMIF('DADOS BRUTOS'!$A$3:$A$500,$B32,'DADOS BRUTOS'!FF$3:FF$500)+IF($C32="",0,SUMIF('DADOS BRUTOS'!$A$3:$A$500,$C32,'DADOS BRUTOS'!FF$3:FF$500)))</f>
        <v>0</v>
      </c>
      <c r="IG32" s="133" t="n">
        <f aca="false">IF(OR(IG$4="",$B32=""),0,SUMIF('DADOS BRUTOS'!$A$3:$A$500,$B32,'DADOS BRUTOS'!FG$3:FG$500)+IF($C32="",0,SUMIF('DADOS BRUTOS'!$A$3:$A$500,$C32,'DADOS BRUTOS'!FG$3:FG$500)))</f>
        <v>0</v>
      </c>
      <c r="IH32" s="133" t="n">
        <f aca="false">IF(OR(IH$4="",$B32=""),0,SUMIF('DADOS BRUTOS'!$A$3:$A$500,$B32,'DADOS BRUTOS'!FH$3:FH$500)+IF($C32="",0,SUMIF('DADOS BRUTOS'!$A$3:$A$500,$C32,'DADOS BRUTOS'!FH$3:FH$500)))</f>
        <v>0</v>
      </c>
      <c r="II32" s="133" t="n">
        <f aca="false">IF(OR(II$4="",$B32=""),0,SUMIF('DADOS BRUTOS'!$A$3:$A$500,$B32,'DADOS BRUTOS'!FI$3:FI$500)+IF($C32="",0,SUMIF('DADOS BRUTOS'!$A$3:$A$500,$C32,'DADOS BRUTOS'!FI$3:FI$500)))</f>
        <v>0</v>
      </c>
      <c r="IJ32" s="133" t="n">
        <f aca="false">IF(OR(IJ$4="",$B32=""),0,SUMIF('DADOS BRUTOS'!$A$3:$A$500,$B32,'DADOS BRUTOS'!FJ$3:FJ$500)+IF($C32="",0,SUMIF('DADOS BRUTOS'!$A$3:$A$500,$C32,'DADOS BRUTOS'!FJ$3:FJ$500)))</f>
        <v>0</v>
      </c>
      <c r="IK32" s="133" t="n">
        <f aca="false">IF(OR(IK$4="",$B32=""),0,SUMIF('DADOS BRUTOS'!$A$3:$A$500,$B32,'DADOS BRUTOS'!FK$3:FK$500)+IF($C32="",0,SUMIF('DADOS BRUTOS'!$A$3:$A$500,$C32,'DADOS BRUTOS'!FK$3:FK$500)))</f>
        <v>0</v>
      </c>
      <c r="IL32" s="133" t="n">
        <f aca="false">IF(OR(IL$4="",$B32=""),0,SUMIF('DADOS BRUTOS'!$A$3:$A$500,$B32,'DADOS BRUTOS'!FL$3:FL$500)+IF($C32="",0,SUMIF('DADOS BRUTOS'!$A$3:$A$500,$C32,'DADOS BRUTOS'!FL$3:FL$500)))</f>
        <v>0</v>
      </c>
      <c r="IM32" s="133" t="n">
        <f aca="false">IF(OR(IM$4="",$B32=""),0,SUMIF('DADOS BRUTOS'!$A$3:$A$500,$B32,'DADOS BRUTOS'!FM$3:FM$500)+IF($C32="",0,SUMIF('DADOS BRUTOS'!$A$3:$A$500,$C32,'DADOS BRUTOS'!FM$3:FM$500)))</f>
        <v>0</v>
      </c>
      <c r="IN32" s="133" t="n">
        <f aca="false">IF(OR(IN$4="",$B32=""),0,SUMIF('DADOS BRUTOS'!$A$3:$A$500,$B32,'DADOS BRUTOS'!FN$3:FN$500)+IF($C32="",0,SUMIF('DADOS BRUTOS'!$A$3:$A$500,$C32,'DADOS BRUTOS'!FN$3:FN$500)))</f>
        <v>0</v>
      </c>
      <c r="IO32" s="133" t="n">
        <f aca="false">IF(OR(IO$4="",$B32=""),0,SUMIF('DADOS BRUTOS'!$A$3:$A$500,$B32,'DADOS BRUTOS'!FO$3:FO$500)+IF($C32="",0,SUMIF('DADOS BRUTOS'!$A$3:$A$500,$C32,'DADOS BRUTOS'!FO$3:FO$500)))</f>
        <v>0</v>
      </c>
      <c r="IP32" s="133" t="n">
        <f aca="false">IF(OR(IP$4="",$B32=""),0,SUMIF('DADOS BRUTOS'!$A$3:$A$500,$B32,'DADOS BRUTOS'!FP$3:FP$500)+IF($C32="",0,SUMIF('DADOS BRUTOS'!$A$3:$A$500,$C32,'DADOS BRUTOS'!FP$3:FP$500)))</f>
        <v>0</v>
      </c>
      <c r="IQ32" s="133" t="n">
        <f aca="false">IF(OR(IQ$4="",$B32=""),0,SUMIF('DADOS BRUTOS'!$A$3:$A$500,$B32,'DADOS BRUTOS'!FQ$3:FQ$500)+IF($C32="",0,SUMIF('DADOS BRUTOS'!$A$3:$A$500,$C32,'DADOS BRUTOS'!FQ$3:FQ$500)))</f>
        <v>0</v>
      </c>
      <c r="IR32" s="133" t="n">
        <f aca="false">IF(OR(IR$4="",$B32=""),0,SUMIF('DADOS BRUTOS'!$A$3:$A$500,$B32,'DADOS BRUTOS'!FR$3:FR$500)+IF($C32="",0,SUMIF('DADOS BRUTOS'!$A$3:$A$500,$C32,'DADOS BRUTOS'!FR$3:FR$500)))</f>
        <v>0</v>
      </c>
      <c r="IS32" s="133" t="n">
        <f aca="false">IF(OR(IS$4="",$B32=""),0,SUMIF('DADOS BRUTOS'!$A$3:$A$500,$B32,'DADOS BRUTOS'!FS$3:FS$500)+IF($C32="",0,SUMIF('DADOS BRUTOS'!$A$3:$A$500,$C32,'DADOS BRUTOS'!FS$3:FS$500)))</f>
        <v>0</v>
      </c>
      <c r="IT32" s="133" t="n">
        <f aca="false">IF(OR(IT$4="",$B32=""),0,SUMIF('DADOS BRUTOS'!$A$3:$A$500,$B32,'DADOS BRUTOS'!FT$3:FT$500)+IF($C32="",0,SUMIF('DADOS BRUTOS'!$A$3:$A$500,$C32,'DADOS BRUTOS'!FT$3:FT$500)))</f>
        <v>0</v>
      </c>
      <c r="IU32" s="133" t="n">
        <f aca="false">IF(OR(IU$4="",$B32=""),0,SUMIF('DADOS BRUTOS'!$A$3:$A$500,$B32,'DADOS BRUTOS'!FU$3:FU$500)+IF($C32="",0,SUMIF('DADOS BRUTOS'!$A$3:$A$500,$C32,'DADOS BRUTOS'!FU$3:FU$500)))</f>
        <v>0</v>
      </c>
      <c r="IV32" s="133" t="n">
        <f aca="false">IF(OR(IV$4="",$B32=""),0,SUMIF('DADOS BRUTOS'!$A$3:$A$500,$B32,'DADOS BRUTOS'!FV$3:FV$500)+IF($C32="",0,SUMIF('DADOS BRUTOS'!$A$3:$A$500,$C32,'DADOS BRUTOS'!FV$3:FV$500)))</f>
        <v>0</v>
      </c>
      <c r="IW32" s="133" t="n">
        <f aca="false">IF(OR(IW$4="",$B32=""),0,SUMIF('DADOS BRUTOS'!$A$3:$A$500,$B32,'DADOS BRUTOS'!FW$3:FW$500)+IF($C32="",0,SUMIF('DADOS BRUTOS'!$A$3:$A$500,$C32,'DADOS BRUTOS'!FW$3:FW$500)))</f>
        <v>0</v>
      </c>
      <c r="IX32" s="133" t="n">
        <f aca="false">IF(OR(IX$4="",$B32=""),0,SUMIF('DADOS BRUTOS'!$A$3:$A$500,$B32,'DADOS BRUTOS'!FX$3:FX$500)+IF($C32="",0,SUMIF('DADOS BRUTOS'!$A$3:$A$500,$C32,'DADOS BRUTOS'!FX$3:FX$500)))</f>
        <v>0</v>
      </c>
      <c r="IY32" s="133" t="n">
        <f aca="false">IF(OR(IY$4="",$B32=""),0,SUMIF('DADOS BRUTOS'!$A$3:$A$500,$B32,'DADOS BRUTOS'!FY$3:FY$500)+IF($C32="",0,SUMIF('DADOS BRUTOS'!$A$3:$A$500,$C32,'DADOS BRUTOS'!FY$3:FY$500)))</f>
        <v>0</v>
      </c>
      <c r="IZ32" s="133" t="n">
        <f aca="false">IF(OR(IZ$4="",$B32=""),0,SUMIF('DADOS BRUTOS'!$A$3:$A$500,$B32,'DADOS BRUTOS'!FZ$3:FZ$500)+IF($C32="",0,SUMIF('DADOS BRUTOS'!$A$3:$A$500,$C32,'DADOS BRUTOS'!FZ$3:FZ$500)))</f>
        <v>0</v>
      </c>
      <c r="JA32" s="133" t="n">
        <f aca="false">IF(OR(JA$4="",$B32=""),0,SUMIF('DADOS BRUTOS'!$A$3:$A$500,$B32,'DADOS BRUTOS'!GA$3:GA$500)+IF($C32="",0,SUMIF('DADOS BRUTOS'!$A$3:$A$500,$C32,'DADOS BRUTOS'!GA$3:GA$500)))</f>
        <v>0</v>
      </c>
      <c r="JB32" s="133" t="n">
        <f aca="false">IF(OR(JB$4="",$B32=""),0,SUMIF('DADOS BRUTOS'!$A$3:$A$500,$B32,'DADOS BRUTOS'!GB$3:GB$500)+IF($C32="",0,SUMIF('DADOS BRUTOS'!$A$3:$A$500,$C32,'DADOS BRUTOS'!GB$3:GB$500)))</f>
        <v>0</v>
      </c>
      <c r="JC32" s="133" t="n">
        <f aca="false">IF(OR(JC$4="",$B32=""),0,SUMIF('DADOS BRUTOS'!$A$3:$A$500,$B32,'DADOS BRUTOS'!GC$3:GC$500)+IF($C32="",0,SUMIF('DADOS BRUTOS'!$A$3:$A$500,$C32,'DADOS BRUTOS'!GC$3:GC$500)))</f>
        <v>0</v>
      </c>
      <c r="JD32" s="133" t="n">
        <f aca="false">IF(OR(JD$4="",$B32=""),0,SUMIF('DADOS BRUTOS'!$A$3:$A$500,$B32,'DADOS BRUTOS'!GD$3:GD$500)+IF($C32="",0,SUMIF('DADOS BRUTOS'!$A$3:$A$500,$C32,'DADOS BRUTOS'!GD$3:GD$500)))</f>
        <v>0</v>
      </c>
      <c r="JE32" s="133" t="n">
        <f aca="false">IF(OR(JE$4="",$B32=""),0,SUMIF('DADOS BRUTOS'!$A$3:$A$500,$B32,'DADOS BRUTOS'!GE$3:GE$500)+IF($C32="",0,SUMIF('DADOS BRUTOS'!$A$3:$A$500,$C32,'DADOS BRUTOS'!GE$3:GE$500)))</f>
        <v>0</v>
      </c>
      <c r="JF32" s="133" t="n">
        <f aca="false">IF(OR(JF$4="",$B32=""),0,SUMIF('DADOS BRUTOS'!$A$3:$A$500,$B32,'DADOS BRUTOS'!GF$3:GF$500)+IF($C32="",0,SUMIF('DADOS BRUTOS'!$A$3:$A$500,$C32,'DADOS BRUTOS'!GF$3:GF$500)))</f>
        <v>0</v>
      </c>
      <c r="JG32" s="133" t="n">
        <f aca="false">IF(OR(JG$4="",$B32=""),0,SUMIF('DADOS BRUTOS'!$A$3:$A$500,$B32,'DADOS BRUTOS'!GG$3:GG$500)+IF($C32="",0,SUMIF('DADOS BRUTOS'!$A$3:$A$500,$C32,'DADOS BRUTOS'!GG$3:GG$500)))</f>
        <v>0</v>
      </c>
      <c r="JH32" s="133" t="n">
        <f aca="false">IF(OR(JH$4="",$B32=""),0,SUMIF('DADOS BRUTOS'!$A$3:$A$500,$B32,'DADOS BRUTOS'!GH$3:GH$500)+IF($C32="",0,SUMIF('DADOS BRUTOS'!$A$3:$A$500,$C32,'DADOS BRUTOS'!GH$3:GH$500)))</f>
        <v>0</v>
      </c>
      <c r="JI32" s="133" t="n">
        <f aca="false">IF(OR(JI$4="",$B32=""),0,SUMIF('DADOS BRUTOS'!$A$3:$A$500,$B32,'DADOS BRUTOS'!GI$3:GI$500)+IF($C32="",0,SUMIF('DADOS BRUTOS'!$A$3:$A$500,$C32,'DADOS BRUTOS'!GI$3:GI$500)))</f>
        <v>0</v>
      </c>
      <c r="JJ32" s="133" t="n">
        <f aca="false">IF(OR(JJ$4="",$B32=""),0,SUMIF('DADOS BRUTOS'!$A$3:$A$500,$B32,'DADOS BRUTOS'!GJ$3:GJ$500)+IF($C32="",0,SUMIF('DADOS BRUTOS'!$A$3:$A$500,$C32,'DADOS BRUTOS'!GJ$3:GJ$500)))</f>
        <v>0</v>
      </c>
      <c r="JK32" s="133" t="n">
        <f aca="false">IF(OR(JK$4="",$B32=""),0,SUMIF('DADOS BRUTOS'!$A$3:$A$500,$B32,'DADOS BRUTOS'!GK$3:GK$500)+IF($C32="",0,SUMIF('DADOS BRUTOS'!$A$3:$A$500,$C32,'DADOS BRUTOS'!GK$3:GK$500)))</f>
        <v>0</v>
      </c>
      <c r="JL32" s="133" t="n">
        <f aca="false">IF(OR(JL$4="",$B32=""),0,SUMIF('DADOS BRUTOS'!$A$3:$A$500,$B32,'DADOS BRUTOS'!GL$3:GL$500)+IF($C32="",0,SUMIF('DADOS BRUTOS'!$A$3:$A$500,$C32,'DADOS BRUTOS'!GL$3:GL$500)))</f>
        <v>0</v>
      </c>
      <c r="JM32" s="133" t="n">
        <f aca="false">IF(OR(JM$4="",$B32=""),0,SUMIF('DADOS BRUTOS'!$A$3:$A$500,$B32,'DADOS BRUTOS'!GM$3:GM$500)+IF($C32="",0,SUMIF('DADOS BRUTOS'!$A$3:$A$500,$C32,'DADOS BRUTOS'!GM$3:GM$500)))</f>
        <v>0</v>
      </c>
      <c r="JN32" s="133" t="n">
        <f aca="false">IF(OR(JN$4="",$B32=""),0,SUMIF('DADOS BRUTOS'!$A$3:$A$500,$B32,'DADOS BRUTOS'!GN$3:GN$500)+IF($C32="",0,SUMIF('DADOS BRUTOS'!$A$3:$A$500,$C32,'DADOS BRUTOS'!GN$3:GN$500)))</f>
        <v>0</v>
      </c>
      <c r="JO32" s="133" t="n">
        <f aca="false">IF(OR(JO$4="",$B32=""),0,SUMIF('DADOS BRUTOS'!$A$3:$A$500,$B32,'DADOS BRUTOS'!GO$3:GO$500)+IF($C32="",0,SUMIF('DADOS BRUTOS'!$A$3:$A$500,$C32,'DADOS BRUTOS'!GO$3:GO$500)))</f>
        <v>0</v>
      </c>
      <c r="JP32" s="133" t="n">
        <f aca="false">IF(OR(JP$4="",$B32=""),0,SUMIF('DADOS BRUTOS'!$A$3:$A$500,$B32,'DADOS BRUTOS'!GP$3:GP$500)+IF($C32="",0,SUMIF('DADOS BRUTOS'!$A$3:$A$500,$C32,'DADOS BRUTOS'!GP$3:GP$500)))</f>
        <v>0</v>
      </c>
      <c r="JQ32" s="133" t="n">
        <f aca="false">IF(OR(JQ$4="",$B32=""),0,SUMIF('DADOS BRUTOS'!$A$3:$A$500,$B32,'DADOS BRUTOS'!GQ$3:GQ$500)+IF($C32="",0,SUMIF('DADOS BRUTOS'!$A$3:$A$500,$C32,'DADOS BRUTOS'!GQ$3:GQ$500)))</f>
        <v>0</v>
      </c>
      <c r="JR32" s="133" t="n">
        <f aca="false">IF(OR(JR$4="",$B32=""),0,SUMIF('DADOS BRUTOS'!$A$3:$A$500,$B32,'DADOS BRUTOS'!GR$3:GR$500)+IF($C32="",0,SUMIF('DADOS BRUTOS'!$A$3:$A$500,$C32,'DADOS BRUTOS'!GR$3:GR$500)))</f>
        <v>0</v>
      </c>
      <c r="JS32" s="133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3852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0</v>
      </c>
      <c r="T33" s="50" t="n">
        <f aca="false">SUMIF($CB$4:$JS$4,T$4,$CB33:$JS33)</f>
        <v>0</v>
      </c>
      <c r="U33" s="50" t="n">
        <f aca="false">SUMIF($CB$4:$JS$4,U$4,$CB33:$JS33)</f>
        <v>0</v>
      </c>
      <c r="V33" s="50" t="n">
        <f aca="false">SUMIF($CB$4:$JS$4,V$4,$CB33:$JS33)</f>
        <v>0</v>
      </c>
      <c r="W33" s="50" t="n">
        <f aca="false">SUMIF($CB$4:$JS$4,W$4,$CB33:$JS33)</f>
        <v>3934.89</v>
      </c>
      <c r="X33" s="50" t="n">
        <f aca="false">SUMIF($CB$4:$JS$4,X$4,$CB33:$JS33)</f>
        <v>29912.96</v>
      </c>
      <c r="Y33" s="50" t="n">
        <f aca="false">SUMIF($CB$4:$JS$4,Y$4,$CB33:$JS33)</f>
        <v>19676.88</v>
      </c>
      <c r="Z33" s="50" t="n">
        <f aca="false">SUMIF($CB$4:$JS$4,Z$4,$CB33:$JS33)</f>
        <v>51248.3</v>
      </c>
      <c r="AA33" s="50" t="n">
        <f aca="false">SUMIF($CB$4:$JS$4,AA$4,$CB33:$JS33)</f>
        <v>0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0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0</v>
      </c>
      <c r="AN33" s="50" t="n">
        <f aca="false">SUMIF($CB$4:$JS$4,AN$4,$CB33:$JS33)</f>
        <v>0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1608.16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0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106381.19</v>
      </c>
      <c r="BZ33" s="45" t="n">
        <f aca="false">SUMPRODUCT(($CB$4:$JS$4&lt;&gt;"")*($CB$4:$JS$4&lt;=$D$4),$CB33:$JS33,$CB$1:$JS$1)</f>
        <v>0</v>
      </c>
      <c r="CB33" s="133" t="n">
        <f aca="false">IF(OR(CB$4="",$B33=""),0,SUMIF('DADOS BRUTOS'!$A$3:$A$500,$B33,'DADOS BRUTOS'!B$3:B$500)+IF($C33="",0,SUMIF('DADOS BRUTOS'!$A$3:$A$500,$C33,'DADOS BRUTOS'!B$3:B$500)))</f>
        <v>0</v>
      </c>
      <c r="CC33" s="133" t="n">
        <f aca="false">IF(OR(CC$4="",$B33=""),0,SUMIF('DADOS BRUTOS'!$A$3:$A$500,$B33,'DADOS BRUTOS'!C$3:C$500)+IF($C33="",0,SUMIF('DADOS BRUTOS'!$A$3:$A$500,$C33,'DADOS BRUTOS'!C$3:C$500)))</f>
        <v>0</v>
      </c>
      <c r="CD33" s="133" t="n">
        <f aca="false">IF(OR(CD$4="",$B33=""),0,SUMIF('DADOS BRUTOS'!$A$3:$A$500,$B33,'DADOS BRUTOS'!D$3:D$500)+IF($C33="",0,SUMIF('DADOS BRUTOS'!$A$3:$A$500,$C33,'DADOS BRUTOS'!D$3:D$500)))</f>
        <v>0</v>
      </c>
      <c r="CE33" s="133" t="n">
        <f aca="false">IF(OR(CE$4="",$B33=""),0,SUMIF('DADOS BRUTOS'!$A$3:$A$500,$B33,'DADOS BRUTOS'!E$3:E$500)+IF($C33="",0,SUMIF('DADOS BRUTOS'!$A$3:$A$500,$C33,'DADOS BRUTOS'!E$3:E$500)))</f>
        <v>0</v>
      </c>
      <c r="CF33" s="133" t="n">
        <f aca="false">IF(OR(CF$4="",$B33=""),0,SUMIF('DADOS BRUTOS'!$A$3:$A$500,$B33,'DADOS BRUTOS'!F$3:F$500)+IF($C33="",0,SUMIF('DADOS BRUTOS'!$A$3:$A$500,$C33,'DADOS BRUTOS'!F$3:F$500)))</f>
        <v>0</v>
      </c>
      <c r="CG33" s="133" t="n">
        <f aca="false">IF(OR(CG$4="",$B33=""),0,SUMIF('DADOS BRUTOS'!$A$3:$A$500,$B33,'DADOS BRUTOS'!G$3:G$500)+IF($C33="",0,SUMIF('DADOS BRUTOS'!$A$3:$A$500,$C33,'DADOS BRUTOS'!G$3:G$500)))</f>
        <v>0</v>
      </c>
      <c r="CH33" s="133" t="n">
        <f aca="false">IF(OR(CH$4="",$B33=""),0,SUMIF('DADOS BRUTOS'!$A$3:$A$500,$B33,'DADOS BRUTOS'!H$3:H$500)+IF($C33="",0,SUMIF('DADOS BRUTOS'!$A$3:$A$500,$C33,'DADOS BRUTOS'!H$3:H$500)))</f>
        <v>0</v>
      </c>
      <c r="CI33" s="133" t="n">
        <f aca="false">IF(OR(CI$4="",$B33=""),0,SUMIF('DADOS BRUTOS'!$A$3:$A$500,$B33,'DADOS BRUTOS'!I$3:I$500)+IF($C33="",0,SUMIF('DADOS BRUTOS'!$A$3:$A$500,$C33,'DADOS BRUTOS'!I$3:I$500)))</f>
        <v>0</v>
      </c>
      <c r="CJ33" s="133" t="n">
        <f aca="false">IF(OR(CJ$4="",$B33=""),0,SUMIF('DADOS BRUTOS'!$A$3:$A$500,$B33,'DADOS BRUTOS'!J$3:J$500)+IF($C33="",0,SUMIF('DADOS BRUTOS'!$A$3:$A$500,$C33,'DADOS BRUTOS'!J$3:J$500)))</f>
        <v>0</v>
      </c>
      <c r="CK33" s="133" t="n">
        <f aca="false">IF(OR(CK$4="",$B33=""),0,SUMIF('DADOS BRUTOS'!$A$3:$A$500,$B33,'DADOS BRUTOS'!K$3:K$500)+IF($C33="",0,SUMIF('DADOS BRUTOS'!$A$3:$A$500,$C33,'DADOS BRUTOS'!K$3:K$500)))</f>
        <v>0</v>
      </c>
      <c r="CL33" s="133" t="n">
        <f aca="false">IF(OR(CL$4="",$B33=""),0,SUMIF('DADOS BRUTOS'!$A$3:$A$500,$B33,'DADOS BRUTOS'!L$3:L$500)+IF($C33="",0,SUMIF('DADOS BRUTOS'!$A$3:$A$500,$C33,'DADOS BRUTOS'!L$3:L$500)))</f>
        <v>0</v>
      </c>
      <c r="CM33" s="133" t="n">
        <f aca="false">IF(OR(CM$4="",$B33=""),0,SUMIF('DADOS BRUTOS'!$A$3:$A$500,$B33,'DADOS BRUTOS'!M$3:M$500)+IF($C33="",0,SUMIF('DADOS BRUTOS'!$A$3:$A$500,$C33,'DADOS BRUTOS'!M$3:M$500)))</f>
        <v>0</v>
      </c>
      <c r="CN33" s="133" t="n">
        <f aca="false">IF(OR(CN$4="",$B33=""),0,SUMIF('DADOS BRUTOS'!$A$3:$A$500,$B33,'DADOS BRUTOS'!N$3:N$500)+IF($C33="",0,SUMIF('DADOS BRUTOS'!$A$3:$A$500,$C33,'DADOS BRUTOS'!N$3:N$500)))</f>
        <v>0</v>
      </c>
      <c r="CO33" s="133" t="n">
        <f aca="false">IF(OR(CO$4="",$B33=""),0,SUMIF('DADOS BRUTOS'!$A$3:$A$500,$B33,'DADOS BRUTOS'!O$3:O$500)+IF($C33="",0,SUMIF('DADOS BRUTOS'!$A$3:$A$500,$C33,'DADOS BRUTOS'!O$3:O$500)))</f>
        <v>0</v>
      </c>
      <c r="CP33" s="133" t="n">
        <f aca="false">IF(OR(CP$4="",$B33=""),0,SUMIF('DADOS BRUTOS'!$A$3:$A$500,$B33,'DADOS BRUTOS'!P$3:P$500)+IF($C33="",0,SUMIF('DADOS BRUTOS'!$A$3:$A$500,$C33,'DADOS BRUTOS'!P$3:P$500)))</f>
        <v>0</v>
      </c>
      <c r="CQ33" s="133" t="n">
        <f aca="false">IF(OR(CQ$4="",$B33=""),0,SUMIF('DADOS BRUTOS'!$A$3:$A$500,$B33,'DADOS BRUTOS'!Q$3:Q$500)+IF($C33="",0,SUMIF('DADOS BRUTOS'!$A$3:$A$500,$C33,'DADOS BRUTOS'!Q$3:Q$500)))</f>
        <v>0</v>
      </c>
      <c r="CR33" s="133" t="n">
        <f aca="false">IF(OR(CR$4="",$B33=""),0,SUMIF('DADOS BRUTOS'!$A$3:$A$500,$B33,'DADOS BRUTOS'!R$3:R$500)+IF($C33="",0,SUMIF('DADOS BRUTOS'!$A$3:$A$500,$C33,'DADOS BRUTOS'!R$3:R$500)))</f>
        <v>0</v>
      </c>
      <c r="CS33" s="133" t="n">
        <f aca="false">IF(OR(CS$4="",$B33=""),0,SUMIF('DADOS BRUTOS'!$A$3:$A$500,$B33,'DADOS BRUTOS'!S$3:S$500)+IF($C33="",0,SUMIF('DADOS BRUTOS'!$A$3:$A$500,$C33,'DADOS BRUTOS'!S$3:S$500)))</f>
        <v>0</v>
      </c>
      <c r="CT33" s="133" t="n">
        <f aca="false">IF(OR(CT$4="",$B33=""),0,SUMIF('DADOS BRUTOS'!$A$3:$A$500,$B33,'DADOS BRUTOS'!T$3:T$500)+IF($C33="",0,SUMIF('DADOS BRUTOS'!$A$3:$A$500,$C33,'DADOS BRUTOS'!T$3:T$500)))</f>
        <v>0</v>
      </c>
      <c r="CU33" s="133" t="n">
        <f aca="false">IF(OR(CU$4="",$B33=""),0,SUMIF('DADOS BRUTOS'!$A$3:$A$500,$B33,'DADOS BRUTOS'!U$3:U$500)+IF($C33="",0,SUMIF('DADOS BRUTOS'!$A$3:$A$500,$C33,'DADOS BRUTOS'!U$3:U$500)))</f>
        <v>0</v>
      </c>
      <c r="CV33" s="133" t="n">
        <f aca="false">IF(OR(CV$4="",$B33=""),0,SUMIF('DADOS BRUTOS'!$A$3:$A$500,$B33,'DADOS BRUTOS'!V$3:V$500)+IF($C33="",0,SUMIF('DADOS BRUTOS'!$A$3:$A$500,$C33,'DADOS BRUTOS'!V$3:V$500)))</f>
        <v>0</v>
      </c>
      <c r="CW33" s="133" t="n">
        <f aca="false">IF(OR(CW$4="",$B33=""),0,SUMIF('DADOS BRUTOS'!$A$3:$A$500,$B33,'DADOS BRUTOS'!W$3:W$500)+IF($C33="",0,SUMIF('DADOS BRUTOS'!$A$3:$A$500,$C33,'DADOS BRUTOS'!W$3:W$500)))</f>
        <v>0</v>
      </c>
      <c r="CX33" s="133" t="n">
        <f aca="false">IF(OR(CX$4="",$B33=""),0,SUMIF('DADOS BRUTOS'!$A$3:$A$500,$B33,'DADOS BRUTOS'!X$3:X$500)+IF($C33="",0,SUMIF('DADOS BRUTOS'!$A$3:$A$500,$C33,'DADOS BRUTOS'!X$3:X$500)))</f>
        <v>0</v>
      </c>
      <c r="CY33" s="133" t="n">
        <f aca="false">IF(OR(CY$4="",$B33=""),0,SUMIF('DADOS BRUTOS'!$A$3:$A$500,$B33,'DADOS BRUTOS'!Y$3:Y$500)+IF($C33="",0,SUMIF('DADOS BRUTOS'!$A$3:$A$500,$C33,'DADOS BRUTOS'!Y$3:Y$500)))</f>
        <v>0</v>
      </c>
      <c r="CZ33" s="133" t="n">
        <f aca="false">IF(OR(CZ$4="",$B33=""),0,SUMIF('DADOS BRUTOS'!$A$3:$A$500,$B33,'DADOS BRUTOS'!Z$3:Z$500)+IF($C33="",0,SUMIF('DADOS BRUTOS'!$A$3:$A$500,$C33,'DADOS BRUTOS'!Z$3:Z$500)))</f>
        <v>0</v>
      </c>
      <c r="DA33" s="133" t="n">
        <f aca="false">IF(OR(DA$4="",$B33=""),0,SUMIF('DADOS BRUTOS'!$A$3:$A$500,$B33,'DADOS BRUTOS'!AA$3:AA$500)+IF($C33="",0,SUMIF('DADOS BRUTOS'!$A$3:$A$500,$C33,'DADOS BRUTOS'!AA$3:AA$500)))</f>
        <v>0</v>
      </c>
      <c r="DB33" s="133" t="n">
        <f aca="false">IF(OR(DB$4="",$B33=""),0,SUMIF('DADOS BRUTOS'!$A$3:$A$500,$B33,'DADOS BRUTOS'!AB$3:AB$500)+IF($C33="",0,SUMIF('DADOS BRUTOS'!$A$3:$A$500,$C33,'DADOS BRUTOS'!AB$3:AB$500)))</f>
        <v>0</v>
      </c>
      <c r="DC33" s="133" t="n">
        <f aca="false">IF(OR(DC$4="",$B33=""),0,SUMIF('DADOS BRUTOS'!$A$3:$A$500,$B33,'DADOS BRUTOS'!AC$3:AC$500)+IF($C33="",0,SUMIF('DADOS BRUTOS'!$A$3:$A$500,$C33,'DADOS BRUTOS'!AC$3:AC$500)))</f>
        <v>0</v>
      </c>
      <c r="DD33" s="133" t="n">
        <f aca="false">IF(OR(DD$4="",$B33=""),0,SUMIF('DADOS BRUTOS'!$A$3:$A$500,$B33,'DADOS BRUTOS'!AD$3:AD$500)+IF($C33="",0,SUMIF('DADOS BRUTOS'!$A$3:$A$500,$C33,'DADOS BRUTOS'!AD$3:AD$500)))</f>
        <v>0</v>
      </c>
      <c r="DE33" s="133" t="n">
        <f aca="false">IF(OR(DE$4="",$B33=""),0,SUMIF('DADOS BRUTOS'!$A$3:$A$500,$B33,'DADOS BRUTOS'!AE$3:AE$500)+IF($C33="",0,SUMIF('DADOS BRUTOS'!$A$3:$A$500,$C33,'DADOS BRUTOS'!AE$3:AE$500)))</f>
        <v>0</v>
      </c>
      <c r="DF33" s="133" t="n">
        <f aca="false">IF(OR(DF$4="",$B33=""),0,SUMIF('DADOS BRUTOS'!$A$3:$A$500,$B33,'DADOS BRUTOS'!AF$3:AF$500)+IF($C33="",0,SUMIF('DADOS BRUTOS'!$A$3:$A$500,$C33,'DADOS BRUTOS'!AF$3:AF$500)))</f>
        <v>0</v>
      </c>
      <c r="DG33" s="133" t="n">
        <f aca="false">IF(OR(DG$4="",$B33=""),0,SUMIF('DADOS BRUTOS'!$A$3:$A$500,$B33,'DADOS BRUTOS'!AG$3:AG$500)+IF($C33="",0,SUMIF('DADOS BRUTOS'!$A$3:$A$500,$C33,'DADOS BRUTOS'!AG$3:AG$500)))</f>
        <v>0</v>
      </c>
      <c r="DH33" s="133" t="n">
        <f aca="false">IF(OR(DH$4="",$B33=""),0,SUMIF('DADOS BRUTOS'!$A$3:$A$500,$B33,'DADOS BRUTOS'!AH$3:AH$500)+IF($C33="",0,SUMIF('DADOS BRUTOS'!$A$3:$A$500,$C33,'DADOS BRUTOS'!AH$3:AH$500)))</f>
        <v>0</v>
      </c>
      <c r="DI33" s="133" t="n">
        <f aca="false">IF(OR(DI$4="",$B33=""),0,SUMIF('DADOS BRUTOS'!$A$3:$A$500,$B33,'DADOS BRUTOS'!AI$3:AI$500)+IF($C33="",0,SUMIF('DADOS BRUTOS'!$A$3:$A$500,$C33,'DADOS BRUTOS'!AI$3:AI$500)))</f>
        <v>0</v>
      </c>
      <c r="DJ33" s="133" t="n">
        <f aca="false">IF(OR(DJ$4="",$B33=""),0,SUMIF('DADOS BRUTOS'!$A$3:$A$500,$B33,'DADOS BRUTOS'!AJ$3:AJ$500)+IF($C33="",0,SUMIF('DADOS BRUTOS'!$A$3:$A$500,$C33,'DADOS BRUTOS'!AJ$3:AJ$500)))</f>
        <v>0</v>
      </c>
      <c r="DK33" s="133" t="n">
        <f aca="false">IF(OR(DK$4="",$B33=""),0,SUMIF('DADOS BRUTOS'!$A$3:$A$500,$B33,'DADOS BRUTOS'!AK$3:AK$500)+IF($C33="",0,SUMIF('DADOS BRUTOS'!$A$3:$A$500,$C33,'DADOS BRUTOS'!AK$3:AK$500)))</f>
        <v>0</v>
      </c>
      <c r="DL33" s="133" t="n">
        <f aca="false">IF(OR(DL$4="",$B33=""),0,SUMIF('DADOS BRUTOS'!$A$3:$A$500,$B33,'DADOS BRUTOS'!AL$3:AL$500)+IF($C33="",0,SUMIF('DADOS BRUTOS'!$A$3:$A$500,$C33,'DADOS BRUTOS'!AL$3:AL$500)))</f>
        <v>0</v>
      </c>
      <c r="DM33" s="133" t="n">
        <f aca="false">IF(OR(DM$4="",$B33=""),0,SUMIF('DADOS BRUTOS'!$A$3:$A$500,$B33,'DADOS BRUTOS'!AM$3:AM$500)+IF($C33="",0,SUMIF('DADOS BRUTOS'!$A$3:$A$500,$C33,'DADOS BRUTOS'!AM$3:AM$500)))</f>
        <v>0</v>
      </c>
      <c r="DN33" s="133" t="n">
        <f aca="false">IF(OR(DN$4="",$B33=""),0,SUMIF('DADOS BRUTOS'!$A$3:$A$500,$B33,'DADOS BRUTOS'!AN$3:AN$500)+IF($C33="",0,SUMIF('DADOS BRUTOS'!$A$3:$A$500,$C33,'DADOS BRUTOS'!AN$3:AN$500)))</f>
        <v>0</v>
      </c>
      <c r="DO33" s="133" t="n">
        <f aca="false">IF(OR(DO$4="",$B33=""),0,SUMIF('DADOS BRUTOS'!$A$3:$A$500,$B33,'DADOS BRUTOS'!AO$3:AO$500)+IF($C33="",0,SUMIF('DADOS BRUTOS'!$A$3:$A$500,$C33,'DADOS BRUTOS'!AO$3:AO$500)))</f>
        <v>0</v>
      </c>
      <c r="DP33" s="133" t="n">
        <f aca="false">IF(OR(DP$4="",$B33=""),0,SUMIF('DADOS BRUTOS'!$A$3:$A$500,$B33,'DADOS BRUTOS'!AP$3:AP$500)+IF($C33="",0,SUMIF('DADOS BRUTOS'!$A$3:$A$500,$C33,'DADOS BRUTOS'!AP$3:AP$500)))</f>
        <v>0</v>
      </c>
      <c r="DQ33" s="133" t="n">
        <f aca="false">IF(OR(DQ$4="",$B33=""),0,SUMIF('DADOS BRUTOS'!$A$3:$A$500,$B33,'DADOS BRUTOS'!AQ$3:AQ$500)+IF($C33="",0,SUMIF('DADOS BRUTOS'!$A$3:$A$500,$C33,'DADOS BRUTOS'!AQ$3:AQ$500)))</f>
        <v>0</v>
      </c>
      <c r="DR33" s="133" t="n">
        <f aca="false">IF(OR(DR$4="",$B33=""),0,SUMIF('DADOS BRUTOS'!$A$3:$A$500,$B33,'DADOS BRUTOS'!AR$3:AR$500)+IF($C33="",0,SUMIF('DADOS BRUTOS'!$A$3:$A$500,$C33,'DADOS BRUTOS'!AR$3:AR$500)))</f>
        <v>0</v>
      </c>
      <c r="DS33" s="133" t="n">
        <f aca="false">IF(OR(DS$4="",$B33=""),0,SUMIF('DADOS BRUTOS'!$A$3:$A$500,$B33,'DADOS BRUTOS'!AS$3:AS$500)+IF($C33="",0,SUMIF('DADOS BRUTOS'!$A$3:$A$500,$C33,'DADOS BRUTOS'!AS$3:AS$500)))</f>
        <v>0</v>
      </c>
      <c r="DT33" s="133" t="n">
        <f aca="false">IF(OR(DT$4="",$B33=""),0,SUMIF('DADOS BRUTOS'!$A$3:$A$500,$B33,'DADOS BRUTOS'!AT$3:AT$500)+IF($C33="",0,SUMIF('DADOS BRUTOS'!$A$3:$A$500,$C33,'DADOS BRUTOS'!AT$3:AT$500)))</f>
        <v>0</v>
      </c>
      <c r="DU33" s="133" t="n">
        <f aca="false">IF(OR(DU$4="",$B33=""),0,SUMIF('DADOS BRUTOS'!$A$3:$A$500,$B33,'DADOS BRUTOS'!AU$3:AU$500)+IF($C33="",0,SUMIF('DADOS BRUTOS'!$A$3:$A$500,$C33,'DADOS BRUTOS'!AU$3:AU$500)))</f>
        <v>0</v>
      </c>
      <c r="DV33" s="133" t="n">
        <f aca="false">IF(OR(DV$4="",$B33=""),0,SUMIF('DADOS BRUTOS'!$A$3:$A$500,$B33,'DADOS BRUTOS'!AV$3:AV$500)+IF($C33="",0,SUMIF('DADOS BRUTOS'!$A$3:$A$500,$C33,'DADOS BRUTOS'!AV$3:AV$500)))</f>
        <v>0</v>
      </c>
      <c r="DW33" s="133" t="n">
        <f aca="false">IF(OR(DW$4="",$B33=""),0,SUMIF('DADOS BRUTOS'!$A$3:$A$500,$B33,'DADOS BRUTOS'!AW$3:AW$500)+IF($C33="",0,SUMIF('DADOS BRUTOS'!$A$3:$A$500,$C33,'DADOS BRUTOS'!AW$3:AW$500)))</f>
        <v>0</v>
      </c>
      <c r="DX33" s="133" t="n">
        <f aca="false">IF(OR(DX$4="",$B33=""),0,SUMIF('DADOS BRUTOS'!$A$3:$A$500,$B33,'DADOS BRUTOS'!AX$3:AX$500)+IF($C33="",0,SUMIF('DADOS BRUTOS'!$A$3:$A$500,$C33,'DADOS BRUTOS'!AX$3:AX$500)))</f>
        <v>0</v>
      </c>
      <c r="DY33" s="133" t="n">
        <f aca="false">IF(OR(DY$4="",$B33=""),0,SUMIF('DADOS BRUTOS'!$A$3:$A$500,$B33,'DADOS BRUTOS'!AY$3:AY$500)+IF($C33="",0,SUMIF('DADOS BRUTOS'!$A$3:$A$500,$C33,'DADOS BRUTOS'!AY$3:AY$500)))</f>
        <v>0</v>
      </c>
      <c r="DZ33" s="133" t="n">
        <f aca="false">IF(OR(DZ$4="",$B33=""),0,SUMIF('DADOS BRUTOS'!$A$3:$A$500,$B33,'DADOS BRUTOS'!AZ$3:AZ$500)+IF($C33="",0,SUMIF('DADOS BRUTOS'!$A$3:$A$500,$C33,'DADOS BRUTOS'!AZ$3:AZ$500)))</f>
        <v>0</v>
      </c>
      <c r="EA33" s="133" t="n">
        <f aca="false">IF(OR(EA$4="",$B33=""),0,SUMIF('DADOS BRUTOS'!$A$3:$A$500,$B33,'DADOS BRUTOS'!BA$3:BA$500)+IF($C33="",0,SUMIF('DADOS BRUTOS'!$A$3:$A$500,$C33,'DADOS BRUTOS'!BA$3:BA$500)))</f>
        <v>3934.89</v>
      </c>
      <c r="EB33" s="133" t="n">
        <f aca="false">IF(OR(EB$4="",$B33=""),0,SUMIF('DADOS BRUTOS'!$A$3:$A$500,$B33,'DADOS BRUTOS'!BB$3:BB$500)+IF($C33="",0,SUMIF('DADOS BRUTOS'!$A$3:$A$500,$C33,'DADOS BRUTOS'!BB$3:BB$500)))</f>
        <v>29912.96</v>
      </c>
      <c r="EC33" s="133" t="n">
        <f aca="false">IF(OR(EC$4="",$B33=""),0,SUMIF('DADOS BRUTOS'!$A$3:$A$500,$B33,'DADOS BRUTOS'!BC$3:BC$500)+IF($C33="",0,SUMIF('DADOS BRUTOS'!$A$3:$A$500,$C33,'DADOS BRUTOS'!BC$3:BC$500)))</f>
        <v>19676.88</v>
      </c>
      <c r="ED33" s="133" t="n">
        <f aca="false">IF(OR(ED$4="",$B33=""),0,SUMIF('DADOS BRUTOS'!$A$3:$A$500,$B33,'DADOS BRUTOS'!BD$3:BD$500)+IF($C33="",0,SUMIF('DADOS BRUTOS'!$A$3:$A$500,$C33,'DADOS BRUTOS'!BD$3:BD$500)))</f>
        <v>51248.3</v>
      </c>
      <c r="EE33" s="133" t="n">
        <f aca="false">IF(OR(EE$4="",$B33=""),0,SUMIF('DADOS BRUTOS'!$A$3:$A$500,$B33,'DADOS BRUTOS'!BE$3:BE$500)+IF($C33="",0,SUMIF('DADOS BRUTOS'!$A$3:$A$500,$C33,'DADOS BRUTOS'!BE$3:BE$500)))</f>
        <v>0</v>
      </c>
      <c r="EF33" s="133" t="n">
        <f aca="false">IF(OR(EF$4="",$B33=""),0,SUMIF('DADOS BRUTOS'!$A$3:$A$500,$B33,'DADOS BRUTOS'!BF$3:BF$500)+IF($C33="",0,SUMIF('DADOS BRUTOS'!$A$3:$A$500,$C33,'DADOS BRUTOS'!BF$3:BF$500)))</f>
        <v>0</v>
      </c>
      <c r="EG33" s="133" t="n">
        <f aca="false">IF(OR(EG$4="",$B33=""),0,SUMIF('DADOS BRUTOS'!$A$3:$A$500,$B33,'DADOS BRUTOS'!BG$3:BG$500)+IF($C33="",0,SUMIF('DADOS BRUTOS'!$A$3:$A$500,$C33,'DADOS BRUTOS'!BG$3:BG$500)))</f>
        <v>0</v>
      </c>
      <c r="EH33" s="133" t="n">
        <f aca="false">IF(OR(EH$4="",$B33=""),0,SUMIF('DADOS BRUTOS'!$A$3:$A$500,$B33,'DADOS BRUTOS'!BH$3:BH$500)+IF($C33="",0,SUMIF('DADOS BRUTOS'!$A$3:$A$500,$C33,'DADOS BRUTOS'!BH$3:BH$500)))</f>
        <v>0</v>
      </c>
      <c r="EI33" s="133" t="n">
        <f aca="false">IF(OR(EI$4="",$B33=""),0,SUMIF('DADOS BRUTOS'!$A$3:$A$500,$B33,'DADOS BRUTOS'!BI$3:BI$500)+IF($C33="",0,SUMIF('DADOS BRUTOS'!$A$3:$A$500,$C33,'DADOS BRUTOS'!BI$3:BI$500)))</f>
        <v>0</v>
      </c>
      <c r="EJ33" s="133" t="n">
        <f aca="false">IF(OR(EJ$4="",$B33=""),0,SUMIF('DADOS BRUTOS'!$A$3:$A$500,$B33,'DADOS BRUTOS'!BJ$3:BJ$500)+IF($C33="",0,SUMIF('DADOS BRUTOS'!$A$3:$A$500,$C33,'DADOS BRUTOS'!BJ$3:BJ$500)))</f>
        <v>0</v>
      </c>
      <c r="EK33" s="133" t="n">
        <f aca="false">IF(OR(EK$4="",$B33=""),0,SUMIF('DADOS BRUTOS'!$A$3:$A$500,$B33,'DADOS BRUTOS'!BK$3:BK$500)+IF($C33="",0,SUMIF('DADOS BRUTOS'!$A$3:$A$500,$C33,'DADOS BRUTOS'!BK$3:BK$500)))</f>
        <v>0</v>
      </c>
      <c r="EL33" s="133" t="n">
        <f aca="false">IF(OR(EL$4="",$B33=""),0,SUMIF('DADOS BRUTOS'!$A$3:$A$500,$B33,'DADOS BRUTOS'!BL$3:BL$500)+IF($C33="",0,SUMIF('DADOS BRUTOS'!$A$3:$A$500,$C33,'DADOS BRUTOS'!BL$3:BL$500)))</f>
        <v>0</v>
      </c>
      <c r="EM33" s="133" t="n">
        <f aca="false">IF(OR(EM$4="",$B33=""),0,SUMIF('DADOS BRUTOS'!$A$3:$A$500,$B33,'DADOS BRUTOS'!BM$3:BM$500)+IF($C33="",0,SUMIF('DADOS BRUTOS'!$A$3:$A$500,$C33,'DADOS BRUTOS'!BM$3:BM$500)))</f>
        <v>0</v>
      </c>
      <c r="EN33" s="133" t="n">
        <f aca="false">IF(OR(EN$4="",$B33=""),0,SUMIF('DADOS BRUTOS'!$A$3:$A$500,$B33,'DADOS BRUTOS'!BN$3:BN$500)+IF($C33="",0,SUMIF('DADOS BRUTOS'!$A$3:$A$500,$C33,'DADOS BRUTOS'!BN$3:BN$500)))</f>
        <v>0</v>
      </c>
      <c r="EO33" s="133" t="n">
        <f aca="false">IF(OR(EO$4="",$B33=""),0,SUMIF('DADOS BRUTOS'!$A$3:$A$500,$B33,'DADOS BRUTOS'!BO$3:BO$500)+IF($C33="",0,SUMIF('DADOS BRUTOS'!$A$3:$A$500,$C33,'DADOS BRUTOS'!BO$3:BO$500)))</f>
        <v>0</v>
      </c>
      <c r="EP33" s="133" t="n">
        <f aca="false">IF(OR(EP$4="",$B33=""),0,SUMIF('DADOS BRUTOS'!$A$3:$A$500,$B33,'DADOS BRUTOS'!BP$3:BP$500)+IF($C33="",0,SUMIF('DADOS BRUTOS'!$A$3:$A$500,$C33,'DADOS BRUTOS'!BP$3:BP$500)))</f>
        <v>0</v>
      </c>
      <c r="EQ33" s="133" t="n">
        <f aca="false">IF(OR(EQ$4="",$B33=""),0,SUMIF('DADOS BRUTOS'!$A$3:$A$500,$B33,'DADOS BRUTOS'!BQ$3:BQ$500)+IF($C33="",0,SUMIF('DADOS BRUTOS'!$A$3:$A$500,$C33,'DADOS BRUTOS'!BQ$3:BQ$500)))</f>
        <v>0</v>
      </c>
      <c r="ER33" s="133" t="n">
        <f aca="false">IF(OR(ER$4="",$B33=""),0,SUMIF('DADOS BRUTOS'!$A$3:$A$500,$B33,'DADOS BRUTOS'!BR$3:BR$500)+IF($C33="",0,SUMIF('DADOS BRUTOS'!$A$3:$A$500,$C33,'DADOS BRUTOS'!BR$3:BR$500)))</f>
        <v>0</v>
      </c>
      <c r="ES33" s="133" t="n">
        <f aca="false">IF(OR(ES$4="",$B33=""),0,SUMIF('DADOS BRUTOS'!$A$3:$A$500,$B33,'DADOS BRUTOS'!BS$3:BS$500)+IF($C33="",0,SUMIF('DADOS BRUTOS'!$A$3:$A$500,$C33,'DADOS BRUTOS'!BS$3:BS$500)))</f>
        <v>0</v>
      </c>
      <c r="ET33" s="133" t="n">
        <f aca="false">IF(OR(ET$4="",$B33=""),0,SUMIF('DADOS BRUTOS'!$A$3:$A$500,$B33,'DADOS BRUTOS'!BT$3:BT$500)+IF($C33="",0,SUMIF('DADOS BRUTOS'!$A$3:$A$500,$C33,'DADOS BRUTOS'!BT$3:BT$500)))</f>
        <v>0</v>
      </c>
      <c r="EU33" s="133" t="n">
        <f aca="false">IF(OR(EU$4="",$B33=""),0,SUMIF('DADOS BRUTOS'!$A$3:$A$500,$B33,'DADOS BRUTOS'!BU$3:BU$500)+IF($C33="",0,SUMIF('DADOS BRUTOS'!$A$3:$A$500,$C33,'DADOS BRUTOS'!BU$3:BU$500)))</f>
        <v>0</v>
      </c>
      <c r="EV33" s="133" t="n">
        <f aca="false">IF(OR(EV$4="",$B33=""),0,SUMIF('DADOS BRUTOS'!$A$3:$A$500,$B33,'DADOS BRUTOS'!BV$3:BV$500)+IF($C33="",0,SUMIF('DADOS BRUTOS'!$A$3:$A$500,$C33,'DADOS BRUTOS'!BV$3:BV$500)))</f>
        <v>0</v>
      </c>
      <c r="EW33" s="133" t="n">
        <f aca="false">IF(OR(EW$4="",$B33=""),0,SUMIF('DADOS BRUTOS'!$A$3:$A$500,$B33,'DADOS BRUTOS'!BW$3:BW$500)+IF($C33="",0,SUMIF('DADOS BRUTOS'!$A$3:$A$500,$C33,'DADOS BRUTOS'!BW$3:BW$500)))</f>
        <v>0</v>
      </c>
      <c r="EX33" s="133" t="n">
        <f aca="false">IF(OR(EX$4="",$B33=""),0,SUMIF('DADOS BRUTOS'!$A$3:$A$500,$B33,'DADOS BRUTOS'!BX$3:BX$500)+IF($C33="",0,SUMIF('DADOS BRUTOS'!$A$3:$A$500,$C33,'DADOS BRUTOS'!BX$3:BX$500)))</f>
        <v>0</v>
      </c>
      <c r="EY33" s="133" t="n">
        <f aca="false">IF(OR(EY$4="",$B33=""),0,SUMIF('DADOS BRUTOS'!$A$3:$A$500,$B33,'DADOS BRUTOS'!BY$3:BY$500)+IF($C33="",0,SUMIF('DADOS BRUTOS'!$A$3:$A$500,$C33,'DADOS BRUTOS'!BY$3:BY$500)))</f>
        <v>1608.16</v>
      </c>
      <c r="EZ33" s="133" t="n">
        <f aca="false">IF(OR(EZ$4="",$B33=""),0,SUMIF('DADOS BRUTOS'!$A$3:$A$500,$B33,'DADOS BRUTOS'!BZ$3:BZ$500)+IF($C33="",0,SUMIF('DADOS BRUTOS'!$A$3:$A$500,$C33,'DADOS BRUTOS'!BZ$3:BZ$500)))</f>
        <v>0</v>
      </c>
      <c r="FA33" s="133" t="n">
        <f aca="false">IF(OR(FA$4="",$B33=""),0,SUMIF('DADOS BRUTOS'!$A$3:$A$500,$B33,'DADOS BRUTOS'!CA$3:CA$500)+IF($C33="",0,SUMIF('DADOS BRUTOS'!$A$3:$A$500,$C33,'DADOS BRUTOS'!CA$3:CA$500)))</f>
        <v>0</v>
      </c>
      <c r="FB33" s="133" t="n">
        <f aca="false">IF(OR(FB$4="",$B33=""),0,SUMIF('DADOS BRUTOS'!$A$3:$A$500,$B33,'DADOS BRUTOS'!CB$3:CB$500)+IF($C33="",0,SUMIF('DADOS BRUTOS'!$A$3:$A$500,$C33,'DADOS BRUTOS'!CB$3:CB$500)))</f>
        <v>0</v>
      </c>
      <c r="FC33" s="133" t="n">
        <f aca="false">IF(OR(FC$4="",$B33=""),0,SUMIF('DADOS BRUTOS'!$A$3:$A$500,$B33,'DADOS BRUTOS'!CC$3:CC$500)+IF($C33="",0,SUMIF('DADOS BRUTOS'!$A$3:$A$500,$C33,'DADOS BRUTOS'!CC$3:CC$500)))</f>
        <v>0</v>
      </c>
      <c r="FD33" s="133" t="n">
        <f aca="false">IF(OR(FD$4="",$B33=""),0,SUMIF('DADOS BRUTOS'!$A$3:$A$500,$B33,'DADOS BRUTOS'!CD$3:CD$500)+IF($C33="",0,SUMIF('DADOS BRUTOS'!$A$3:$A$500,$C33,'DADOS BRUTOS'!CD$3:CD$500)))</f>
        <v>0</v>
      </c>
      <c r="FE33" s="133" t="n">
        <f aca="false">IF(OR(FE$4="",$B33=""),0,SUMIF('DADOS BRUTOS'!$A$3:$A$500,$B33,'DADOS BRUTOS'!CE$3:CE$500)+IF($C33="",0,SUMIF('DADOS BRUTOS'!$A$3:$A$500,$C33,'DADOS BRUTOS'!CE$3:CE$500)))</f>
        <v>0</v>
      </c>
      <c r="FF33" s="133" t="n">
        <f aca="false">IF(OR(FF$4="",$B33=""),0,SUMIF('DADOS BRUTOS'!$A$3:$A$500,$B33,'DADOS BRUTOS'!CF$3:CF$500)+IF($C33="",0,SUMIF('DADOS BRUTOS'!$A$3:$A$500,$C33,'DADOS BRUTOS'!CF$3:CF$500)))</f>
        <v>0</v>
      </c>
      <c r="FG33" s="133" t="n">
        <f aca="false">IF(OR(FG$4="",$B33=""),0,SUMIF('DADOS BRUTOS'!$A$3:$A$500,$B33,'DADOS BRUTOS'!CG$3:CG$500)+IF($C33="",0,SUMIF('DADOS BRUTOS'!$A$3:$A$500,$C33,'DADOS BRUTOS'!CG$3:CG$500)))</f>
        <v>0</v>
      </c>
      <c r="FH33" s="133" t="n">
        <f aca="false">IF(OR(FH$4="",$B33=""),0,SUMIF('DADOS BRUTOS'!$A$3:$A$500,$B33,'DADOS BRUTOS'!CH$3:CH$500)+IF($C33="",0,SUMIF('DADOS BRUTOS'!$A$3:$A$500,$C33,'DADOS BRUTOS'!CH$3:CH$500)))</f>
        <v>0</v>
      </c>
      <c r="FI33" s="133" t="n">
        <f aca="false">IF(OR(FI$4="",$B33=""),0,SUMIF('DADOS BRUTOS'!$A$3:$A$500,$B33,'DADOS BRUTOS'!CI$3:CI$500)+IF($C33="",0,SUMIF('DADOS BRUTOS'!$A$3:$A$500,$C33,'DADOS BRUTOS'!CI$3:CI$500)))</f>
        <v>0</v>
      </c>
      <c r="FJ33" s="133" t="n">
        <f aca="false">IF(OR(FJ$4="",$B33=""),0,SUMIF('DADOS BRUTOS'!$A$3:$A$500,$B33,'DADOS BRUTOS'!CJ$3:CJ$500)+IF($C33="",0,SUMIF('DADOS BRUTOS'!$A$3:$A$500,$C33,'DADOS BRUTOS'!CJ$3:CJ$500)))</f>
        <v>0</v>
      </c>
      <c r="FK33" s="133" t="n">
        <f aca="false">IF(OR(FK$4="",$B33=""),0,SUMIF('DADOS BRUTOS'!$A$3:$A$500,$B33,'DADOS BRUTOS'!CK$3:CK$500)+IF($C33="",0,SUMIF('DADOS BRUTOS'!$A$3:$A$500,$C33,'DADOS BRUTOS'!CK$3:CK$500)))</f>
        <v>0</v>
      </c>
      <c r="FL33" s="133" t="n">
        <f aca="false">IF(OR(FL$4="",$B33=""),0,SUMIF('DADOS BRUTOS'!$A$3:$A$500,$B33,'DADOS BRUTOS'!CL$3:CL$500)+IF($C33="",0,SUMIF('DADOS BRUTOS'!$A$3:$A$500,$C33,'DADOS BRUTOS'!CL$3:CL$500)))</f>
        <v>0</v>
      </c>
      <c r="FM33" s="133" t="n">
        <f aca="false">IF(OR(FM$4="",$B33=""),0,SUMIF('DADOS BRUTOS'!$A$3:$A$500,$B33,'DADOS BRUTOS'!CM$3:CM$500)+IF($C33="",0,SUMIF('DADOS BRUTOS'!$A$3:$A$500,$C33,'DADOS BRUTOS'!CM$3:CM$500)))</f>
        <v>0</v>
      </c>
      <c r="FN33" s="133" t="n">
        <f aca="false">IF(OR(FN$4="",$B33=""),0,SUMIF('DADOS BRUTOS'!$A$3:$A$500,$B33,'DADOS BRUTOS'!CN$3:CN$500)+IF($C33="",0,SUMIF('DADOS BRUTOS'!$A$3:$A$500,$C33,'DADOS BRUTOS'!CN$3:CN$500)))</f>
        <v>0</v>
      </c>
      <c r="FO33" s="133" t="n">
        <f aca="false">IF(OR(FO$4="",$B33=""),0,SUMIF('DADOS BRUTOS'!$A$3:$A$500,$B33,'DADOS BRUTOS'!CO$3:CO$500)+IF($C33="",0,SUMIF('DADOS BRUTOS'!$A$3:$A$500,$C33,'DADOS BRUTOS'!CO$3:CO$500)))</f>
        <v>0</v>
      </c>
      <c r="FP33" s="133" t="n">
        <f aca="false">IF(OR(FP$4="",$B33=""),0,SUMIF('DADOS BRUTOS'!$A$3:$A$500,$B33,'DADOS BRUTOS'!CP$3:CP$500)+IF($C33="",0,SUMIF('DADOS BRUTOS'!$A$3:$A$500,$C33,'DADOS BRUTOS'!CP$3:CP$500)))</f>
        <v>0</v>
      </c>
      <c r="FQ33" s="133" t="n">
        <f aca="false">IF(OR(FQ$4="",$B33=""),0,SUMIF('DADOS BRUTOS'!$A$3:$A$500,$B33,'DADOS BRUTOS'!CQ$3:CQ$500)+IF($C33="",0,SUMIF('DADOS BRUTOS'!$A$3:$A$500,$C33,'DADOS BRUTOS'!CQ$3:CQ$500)))</f>
        <v>0</v>
      </c>
      <c r="FR33" s="133" t="n">
        <f aca="false">IF(OR(FR$4="",$B33=""),0,SUMIF('DADOS BRUTOS'!$A$3:$A$500,$B33,'DADOS BRUTOS'!CR$3:CR$500)+IF($C33="",0,SUMIF('DADOS BRUTOS'!$A$3:$A$500,$C33,'DADOS BRUTOS'!CR$3:CR$500)))</f>
        <v>0</v>
      </c>
      <c r="FS33" s="133" t="n">
        <f aca="false">IF(OR(FS$4="",$B33=""),0,SUMIF('DADOS BRUTOS'!$A$3:$A$500,$B33,'DADOS BRUTOS'!CS$3:CS$500)+IF($C33="",0,SUMIF('DADOS BRUTOS'!$A$3:$A$500,$C33,'DADOS BRUTOS'!CS$3:CS$500)))</f>
        <v>0</v>
      </c>
      <c r="FT33" s="133" t="n">
        <f aca="false">IF(OR(FT$4="",$B33=""),0,SUMIF('DADOS BRUTOS'!$A$3:$A$500,$B33,'DADOS BRUTOS'!CT$3:CT$500)+IF($C33="",0,SUMIF('DADOS BRUTOS'!$A$3:$A$500,$C33,'DADOS BRUTOS'!CT$3:CT$500)))</f>
        <v>0</v>
      </c>
      <c r="FU33" s="133" t="n">
        <f aca="false">IF(OR(FU$4="",$B33=""),0,SUMIF('DADOS BRUTOS'!$A$3:$A$500,$B33,'DADOS BRUTOS'!CU$3:CU$500)+IF($C33="",0,SUMIF('DADOS BRUTOS'!$A$3:$A$500,$C33,'DADOS BRUTOS'!CU$3:CU$500)))</f>
        <v>0</v>
      </c>
      <c r="FV33" s="133" t="n">
        <f aca="false">IF(OR(FV$4="",$B33=""),0,SUMIF('DADOS BRUTOS'!$A$3:$A$500,$B33,'DADOS BRUTOS'!CV$3:CV$500)+IF($C33="",0,SUMIF('DADOS BRUTOS'!$A$3:$A$500,$C33,'DADOS BRUTOS'!CV$3:CV$500)))</f>
        <v>0</v>
      </c>
      <c r="FW33" s="133" t="n">
        <f aca="false">IF(OR(FW$4="",$B33=""),0,SUMIF('DADOS BRUTOS'!$A$3:$A$500,$B33,'DADOS BRUTOS'!CW$3:CW$500)+IF($C33="",0,SUMIF('DADOS BRUTOS'!$A$3:$A$500,$C33,'DADOS BRUTOS'!CW$3:CW$500)))</f>
        <v>0</v>
      </c>
      <c r="FX33" s="133" t="n">
        <f aca="false">IF(OR(FX$4="",$B33=""),0,SUMIF('DADOS BRUTOS'!$A$3:$A$500,$B33,'DADOS BRUTOS'!CX$3:CX$500)+IF($C33="",0,SUMIF('DADOS BRUTOS'!$A$3:$A$500,$C33,'DADOS BRUTOS'!CX$3:CX$500)))</f>
        <v>0</v>
      </c>
      <c r="FY33" s="133" t="n">
        <f aca="false">IF(OR(FY$4="",$B33=""),0,SUMIF('DADOS BRUTOS'!$A$3:$A$500,$B33,'DADOS BRUTOS'!CY$3:CY$500)+IF($C33="",0,SUMIF('DADOS BRUTOS'!$A$3:$A$500,$C33,'DADOS BRUTOS'!CY$3:CY$500)))</f>
        <v>0</v>
      </c>
      <c r="FZ33" s="133" t="n">
        <f aca="false">IF(OR(FZ$4="",$B33=""),0,SUMIF('DADOS BRUTOS'!$A$3:$A$500,$B33,'DADOS BRUTOS'!CZ$3:CZ$500)+IF($C33="",0,SUMIF('DADOS BRUTOS'!$A$3:$A$500,$C33,'DADOS BRUTOS'!CZ$3:CZ$500)))</f>
        <v>0</v>
      </c>
      <c r="GA33" s="133" t="n">
        <f aca="false">IF(OR(GA$4="",$B33=""),0,SUMIF('DADOS BRUTOS'!$A$3:$A$500,$B33,'DADOS BRUTOS'!DA$3:DA$500)+IF($C33="",0,SUMIF('DADOS BRUTOS'!$A$3:$A$500,$C33,'DADOS BRUTOS'!DA$3:DA$500)))</f>
        <v>0</v>
      </c>
      <c r="GB33" s="133" t="n">
        <f aca="false">IF(OR(GB$4="",$B33=""),0,SUMIF('DADOS BRUTOS'!$A$3:$A$500,$B33,'DADOS BRUTOS'!DB$3:DB$500)+IF($C33="",0,SUMIF('DADOS BRUTOS'!$A$3:$A$500,$C33,'DADOS BRUTOS'!DB$3:DB$500)))</f>
        <v>0</v>
      </c>
      <c r="GC33" s="133" t="n">
        <f aca="false">IF(OR(GC$4="",$B33=""),0,SUMIF('DADOS BRUTOS'!$A$3:$A$500,$B33,'DADOS BRUTOS'!DC$3:DC$500)+IF($C33="",0,SUMIF('DADOS BRUTOS'!$A$3:$A$500,$C33,'DADOS BRUTOS'!DC$3:DC$500)))</f>
        <v>0</v>
      </c>
      <c r="GD33" s="133" t="n">
        <f aca="false">IF(OR(GD$4="",$B33=""),0,SUMIF('DADOS BRUTOS'!$A$3:$A$500,$B33,'DADOS BRUTOS'!DD$3:DD$500)+IF($C33="",0,SUMIF('DADOS BRUTOS'!$A$3:$A$500,$C33,'DADOS BRUTOS'!DD$3:DD$500)))</f>
        <v>0</v>
      </c>
      <c r="GE33" s="133" t="n">
        <f aca="false">IF(OR(GE$4="",$B33=""),0,SUMIF('DADOS BRUTOS'!$A$3:$A$500,$B33,'DADOS BRUTOS'!DE$3:DE$500)+IF($C33="",0,SUMIF('DADOS BRUTOS'!$A$3:$A$500,$C33,'DADOS BRUTOS'!DE$3:DE$500)))</f>
        <v>0</v>
      </c>
      <c r="GF33" s="133" t="n">
        <f aca="false">IF(OR(GF$4="",$B33=""),0,SUMIF('DADOS BRUTOS'!$A$3:$A$500,$B33,'DADOS BRUTOS'!DF$3:DF$500)+IF($C33="",0,SUMIF('DADOS BRUTOS'!$A$3:$A$500,$C33,'DADOS BRUTOS'!DF$3:DF$500)))</f>
        <v>0</v>
      </c>
      <c r="GG33" s="133" t="n">
        <f aca="false">IF(OR(GG$4="",$B33=""),0,SUMIF('DADOS BRUTOS'!$A$3:$A$500,$B33,'DADOS BRUTOS'!DG$3:DG$500)+IF($C33="",0,SUMIF('DADOS BRUTOS'!$A$3:$A$500,$C33,'DADOS BRUTOS'!DG$3:DG$500)))</f>
        <v>0</v>
      </c>
      <c r="GH33" s="133" t="n">
        <f aca="false">IF(OR(GH$4="",$B33=""),0,SUMIF('DADOS BRUTOS'!$A$3:$A$500,$B33,'DADOS BRUTOS'!DH$3:DH$500)+IF($C33="",0,SUMIF('DADOS BRUTOS'!$A$3:$A$500,$C33,'DADOS BRUTOS'!DH$3:DH$500)))</f>
        <v>0</v>
      </c>
      <c r="GI33" s="133" t="n">
        <f aca="false">IF(OR(GI$4="",$B33=""),0,SUMIF('DADOS BRUTOS'!$A$3:$A$500,$B33,'DADOS BRUTOS'!DI$3:DI$500)+IF($C33="",0,SUMIF('DADOS BRUTOS'!$A$3:$A$500,$C33,'DADOS BRUTOS'!DI$3:DI$500)))</f>
        <v>0</v>
      </c>
      <c r="GJ33" s="133" t="n">
        <f aca="false">IF(OR(GJ$4="",$B33=""),0,SUMIF('DADOS BRUTOS'!$A$3:$A$500,$B33,'DADOS BRUTOS'!DJ$3:DJ$500)+IF($C33="",0,SUMIF('DADOS BRUTOS'!$A$3:$A$500,$C33,'DADOS BRUTOS'!DJ$3:DJ$500)))</f>
        <v>0</v>
      </c>
      <c r="GK33" s="133" t="n">
        <f aca="false">IF(OR(GK$4="",$B33=""),0,SUMIF('DADOS BRUTOS'!$A$3:$A$500,$B33,'DADOS BRUTOS'!DK$3:DK$500)+IF($C33="",0,SUMIF('DADOS BRUTOS'!$A$3:$A$500,$C33,'DADOS BRUTOS'!DK$3:DK$500)))</f>
        <v>0</v>
      </c>
      <c r="GL33" s="133" t="n">
        <f aca="false">IF(OR(GL$4="",$B33=""),0,SUMIF('DADOS BRUTOS'!$A$3:$A$500,$B33,'DADOS BRUTOS'!DL$3:DL$500)+IF($C33="",0,SUMIF('DADOS BRUTOS'!$A$3:$A$500,$C33,'DADOS BRUTOS'!DL$3:DL$500)))</f>
        <v>0</v>
      </c>
      <c r="GM33" s="133" t="n">
        <f aca="false">IF(OR(GM$4="",$B33=""),0,SUMIF('DADOS BRUTOS'!$A$3:$A$500,$B33,'DADOS BRUTOS'!DM$3:DM$500)+IF($C33="",0,SUMIF('DADOS BRUTOS'!$A$3:$A$500,$C33,'DADOS BRUTOS'!DM$3:DM$500)))</f>
        <v>0</v>
      </c>
      <c r="GN33" s="133" t="n">
        <f aca="false">IF(OR(GN$4="",$B33=""),0,SUMIF('DADOS BRUTOS'!$A$3:$A$500,$B33,'DADOS BRUTOS'!DN$3:DN$500)+IF($C33="",0,SUMIF('DADOS BRUTOS'!$A$3:$A$500,$C33,'DADOS BRUTOS'!DN$3:DN$500)))</f>
        <v>0</v>
      </c>
      <c r="GO33" s="133" t="n">
        <f aca="false">IF(OR(GO$4="",$B33=""),0,SUMIF('DADOS BRUTOS'!$A$3:$A$500,$B33,'DADOS BRUTOS'!DO$3:DO$500)+IF($C33="",0,SUMIF('DADOS BRUTOS'!$A$3:$A$500,$C33,'DADOS BRUTOS'!DO$3:DO$500)))</f>
        <v>0</v>
      </c>
      <c r="GP33" s="133" t="n">
        <f aca="false">IF(OR(GP$4="",$B33=""),0,SUMIF('DADOS BRUTOS'!$A$3:$A$500,$B33,'DADOS BRUTOS'!DP$3:DP$500)+IF($C33="",0,SUMIF('DADOS BRUTOS'!$A$3:$A$500,$C33,'DADOS BRUTOS'!DP$3:DP$500)))</f>
        <v>0</v>
      </c>
      <c r="GQ33" s="133" t="n">
        <f aca="false">IF(OR(GQ$4="",$B33=""),0,SUMIF('DADOS BRUTOS'!$A$3:$A$500,$B33,'DADOS BRUTOS'!DQ$3:DQ$500)+IF($C33="",0,SUMIF('DADOS BRUTOS'!$A$3:$A$500,$C33,'DADOS BRUTOS'!DQ$3:DQ$500)))</f>
        <v>0</v>
      </c>
      <c r="GR33" s="133" t="n">
        <f aca="false">IF(OR(GR$4="",$B33=""),0,SUMIF('DADOS BRUTOS'!$A$3:$A$500,$B33,'DADOS BRUTOS'!DR$3:DR$500)+IF($C33="",0,SUMIF('DADOS BRUTOS'!$A$3:$A$500,$C33,'DADOS BRUTOS'!DR$3:DR$500)))</f>
        <v>0</v>
      </c>
      <c r="GS33" s="133" t="n">
        <f aca="false">IF(OR(GS$4="",$B33=""),0,SUMIF('DADOS BRUTOS'!$A$3:$A$500,$B33,'DADOS BRUTOS'!DS$3:DS$500)+IF($C33="",0,SUMIF('DADOS BRUTOS'!$A$3:$A$500,$C33,'DADOS BRUTOS'!DS$3:DS$500)))</f>
        <v>0</v>
      </c>
      <c r="GT33" s="133" t="n">
        <f aca="false">IF(OR(GT$4="",$B33=""),0,SUMIF('DADOS BRUTOS'!$A$3:$A$500,$B33,'DADOS BRUTOS'!DT$3:DT$500)+IF($C33="",0,SUMIF('DADOS BRUTOS'!$A$3:$A$500,$C33,'DADOS BRUTOS'!DT$3:DT$500)))</f>
        <v>0</v>
      </c>
      <c r="GU33" s="133" t="n">
        <f aca="false">IF(OR(GU$4="",$B33=""),0,SUMIF('DADOS BRUTOS'!$A$3:$A$500,$B33,'DADOS BRUTOS'!DU$3:DU$500)+IF($C33="",0,SUMIF('DADOS BRUTOS'!$A$3:$A$500,$C33,'DADOS BRUTOS'!DU$3:DU$500)))</f>
        <v>0</v>
      </c>
      <c r="GV33" s="133" t="n">
        <f aca="false">IF(OR(GV$4="",$B33=""),0,SUMIF('DADOS BRUTOS'!$A$3:$A$500,$B33,'DADOS BRUTOS'!DV$3:DV$500)+IF($C33="",0,SUMIF('DADOS BRUTOS'!$A$3:$A$500,$C33,'DADOS BRUTOS'!DV$3:DV$500)))</f>
        <v>0</v>
      </c>
      <c r="GW33" s="133" t="n">
        <f aca="false">IF(OR(GW$4="",$B33=""),0,SUMIF('DADOS BRUTOS'!$A$3:$A$500,$B33,'DADOS BRUTOS'!DW$3:DW$500)+IF($C33="",0,SUMIF('DADOS BRUTOS'!$A$3:$A$500,$C33,'DADOS BRUTOS'!DW$3:DW$500)))</f>
        <v>0</v>
      </c>
      <c r="GX33" s="133" t="n">
        <f aca="false">IF(OR(GX$4="",$B33=""),0,SUMIF('DADOS BRUTOS'!$A$3:$A$500,$B33,'DADOS BRUTOS'!DX$3:DX$500)+IF($C33="",0,SUMIF('DADOS BRUTOS'!$A$3:$A$500,$C33,'DADOS BRUTOS'!DX$3:DX$500)))</f>
        <v>0</v>
      </c>
      <c r="GY33" s="133" t="n">
        <f aca="false">IF(OR(GY$4="",$B33=""),0,SUMIF('DADOS BRUTOS'!$A$3:$A$500,$B33,'DADOS BRUTOS'!DY$3:DY$500)+IF($C33="",0,SUMIF('DADOS BRUTOS'!$A$3:$A$500,$C33,'DADOS BRUTOS'!DY$3:DY$500)))</f>
        <v>0</v>
      </c>
      <c r="GZ33" s="133" t="n">
        <f aca="false">IF(OR(GZ$4="",$B33=""),0,SUMIF('DADOS BRUTOS'!$A$3:$A$500,$B33,'DADOS BRUTOS'!DZ$3:DZ$500)+IF($C33="",0,SUMIF('DADOS BRUTOS'!$A$3:$A$500,$C33,'DADOS BRUTOS'!DZ$3:DZ$500)))</f>
        <v>0</v>
      </c>
      <c r="HA33" s="133" t="n">
        <f aca="false">IF(OR(HA$4="",$B33=""),0,SUMIF('DADOS BRUTOS'!$A$3:$A$500,$B33,'DADOS BRUTOS'!EA$3:EA$500)+IF($C33="",0,SUMIF('DADOS BRUTOS'!$A$3:$A$500,$C33,'DADOS BRUTOS'!EA$3:EA$500)))</f>
        <v>0</v>
      </c>
      <c r="HB33" s="133" t="n">
        <f aca="false">IF(OR(HB$4="",$B33=""),0,SUMIF('DADOS BRUTOS'!$A$3:$A$500,$B33,'DADOS BRUTOS'!EB$3:EB$500)+IF($C33="",0,SUMIF('DADOS BRUTOS'!$A$3:$A$500,$C33,'DADOS BRUTOS'!EB$3:EB$500)))</f>
        <v>0</v>
      </c>
      <c r="HC33" s="133" t="n">
        <f aca="false">IF(OR(HC$4="",$B33=""),0,SUMIF('DADOS BRUTOS'!$A$3:$A$500,$B33,'DADOS BRUTOS'!EC$3:EC$500)+IF($C33="",0,SUMIF('DADOS BRUTOS'!$A$3:$A$500,$C33,'DADOS BRUTOS'!EC$3:EC$500)))</f>
        <v>0</v>
      </c>
      <c r="HD33" s="133" t="n">
        <f aca="false">IF(OR(HD$4="",$B33=""),0,SUMIF('DADOS BRUTOS'!$A$3:$A$500,$B33,'DADOS BRUTOS'!ED$3:ED$500)+IF($C33="",0,SUMIF('DADOS BRUTOS'!$A$3:$A$500,$C33,'DADOS BRUTOS'!ED$3:ED$500)))</f>
        <v>0</v>
      </c>
      <c r="HE33" s="133" t="n">
        <f aca="false">IF(OR(HE$4="",$B33=""),0,SUMIF('DADOS BRUTOS'!$A$3:$A$500,$B33,'DADOS BRUTOS'!EE$3:EE$500)+IF($C33="",0,SUMIF('DADOS BRUTOS'!$A$3:$A$500,$C33,'DADOS BRUTOS'!EE$3:EE$500)))</f>
        <v>0</v>
      </c>
      <c r="HF33" s="133" t="n">
        <f aca="false">IF(OR(HF$4="",$B33=""),0,SUMIF('DADOS BRUTOS'!$A$3:$A$500,$B33,'DADOS BRUTOS'!EF$3:EF$500)+IF($C33="",0,SUMIF('DADOS BRUTOS'!$A$3:$A$500,$C33,'DADOS BRUTOS'!EF$3:EF$500)))</f>
        <v>0</v>
      </c>
      <c r="HG33" s="133" t="n">
        <f aca="false">IF(OR(HG$4="",$B33=""),0,SUMIF('DADOS BRUTOS'!$A$3:$A$500,$B33,'DADOS BRUTOS'!EG$3:EG$500)+IF($C33="",0,SUMIF('DADOS BRUTOS'!$A$3:$A$500,$C33,'DADOS BRUTOS'!EG$3:EG$500)))</f>
        <v>0</v>
      </c>
      <c r="HH33" s="133" t="n">
        <f aca="false">IF(OR(HH$4="",$B33=""),0,SUMIF('DADOS BRUTOS'!$A$3:$A$500,$B33,'DADOS BRUTOS'!EH$3:EH$500)+IF($C33="",0,SUMIF('DADOS BRUTOS'!$A$3:$A$500,$C33,'DADOS BRUTOS'!EH$3:EH$500)))</f>
        <v>0</v>
      </c>
      <c r="HI33" s="133" t="n">
        <f aca="false">IF(OR(HI$4="",$B33=""),0,SUMIF('DADOS BRUTOS'!$A$3:$A$500,$B33,'DADOS BRUTOS'!EI$3:EI$500)+IF($C33="",0,SUMIF('DADOS BRUTOS'!$A$3:$A$500,$C33,'DADOS BRUTOS'!EI$3:EI$500)))</f>
        <v>0</v>
      </c>
      <c r="HJ33" s="133" t="n">
        <f aca="false">IF(OR(HJ$4="",$B33=""),0,SUMIF('DADOS BRUTOS'!$A$3:$A$500,$B33,'DADOS BRUTOS'!EJ$3:EJ$500)+IF($C33="",0,SUMIF('DADOS BRUTOS'!$A$3:$A$500,$C33,'DADOS BRUTOS'!EJ$3:EJ$500)))</f>
        <v>0</v>
      </c>
      <c r="HK33" s="133" t="n">
        <f aca="false">IF(OR(HK$4="",$B33=""),0,SUMIF('DADOS BRUTOS'!$A$3:$A$500,$B33,'DADOS BRUTOS'!EK$3:EK$500)+IF($C33="",0,SUMIF('DADOS BRUTOS'!$A$3:$A$500,$C33,'DADOS BRUTOS'!EK$3:EK$500)))</f>
        <v>0</v>
      </c>
      <c r="HL33" s="133" t="n">
        <f aca="false">IF(OR(HL$4="",$B33=""),0,SUMIF('DADOS BRUTOS'!$A$3:$A$500,$B33,'DADOS BRUTOS'!EL$3:EL$500)+IF($C33="",0,SUMIF('DADOS BRUTOS'!$A$3:$A$500,$C33,'DADOS BRUTOS'!EL$3:EL$500)))</f>
        <v>0</v>
      </c>
      <c r="HM33" s="133" t="n">
        <f aca="false">IF(OR(HM$4="",$B33=""),0,SUMIF('DADOS BRUTOS'!$A$3:$A$500,$B33,'DADOS BRUTOS'!EM$3:EM$500)+IF($C33="",0,SUMIF('DADOS BRUTOS'!$A$3:$A$500,$C33,'DADOS BRUTOS'!EM$3:EM$500)))</f>
        <v>0</v>
      </c>
      <c r="HN33" s="133" t="n">
        <f aca="false">IF(OR(HN$4="",$B33=""),0,SUMIF('DADOS BRUTOS'!$A$3:$A$500,$B33,'DADOS BRUTOS'!EN$3:EN$500)+IF($C33="",0,SUMIF('DADOS BRUTOS'!$A$3:$A$500,$C33,'DADOS BRUTOS'!EN$3:EN$500)))</f>
        <v>0</v>
      </c>
      <c r="HO33" s="133" t="n">
        <f aca="false">IF(OR(HO$4="",$B33=""),0,SUMIF('DADOS BRUTOS'!$A$3:$A$500,$B33,'DADOS BRUTOS'!EO$3:EO$500)+IF($C33="",0,SUMIF('DADOS BRUTOS'!$A$3:$A$500,$C33,'DADOS BRUTOS'!EO$3:EO$500)))</f>
        <v>0</v>
      </c>
      <c r="HP33" s="133" t="n">
        <f aca="false">IF(OR(HP$4="",$B33=""),0,SUMIF('DADOS BRUTOS'!$A$3:$A$500,$B33,'DADOS BRUTOS'!EP$3:EP$500)+IF($C33="",0,SUMIF('DADOS BRUTOS'!$A$3:$A$500,$C33,'DADOS BRUTOS'!EP$3:EP$500)))</f>
        <v>0</v>
      </c>
      <c r="HQ33" s="133" t="n">
        <f aca="false">IF(OR(HQ$4="",$B33=""),0,SUMIF('DADOS BRUTOS'!$A$3:$A$500,$B33,'DADOS BRUTOS'!EQ$3:EQ$500)+IF($C33="",0,SUMIF('DADOS BRUTOS'!$A$3:$A$500,$C33,'DADOS BRUTOS'!EQ$3:EQ$500)))</f>
        <v>0</v>
      </c>
      <c r="HR33" s="133" t="n">
        <f aca="false">IF(OR(HR$4="",$B33=""),0,SUMIF('DADOS BRUTOS'!$A$3:$A$500,$B33,'DADOS BRUTOS'!ER$3:ER$500)+IF($C33="",0,SUMIF('DADOS BRUTOS'!$A$3:$A$500,$C33,'DADOS BRUTOS'!ER$3:ER$500)))</f>
        <v>0</v>
      </c>
      <c r="HS33" s="133" t="n">
        <f aca="false">IF(OR(HS$4="",$B33=""),0,SUMIF('DADOS BRUTOS'!$A$3:$A$500,$B33,'DADOS BRUTOS'!ES$3:ES$500)+IF($C33="",0,SUMIF('DADOS BRUTOS'!$A$3:$A$500,$C33,'DADOS BRUTOS'!ES$3:ES$500)))</f>
        <v>0</v>
      </c>
      <c r="HT33" s="133" t="n">
        <f aca="false">IF(OR(HT$4="",$B33=""),0,SUMIF('DADOS BRUTOS'!$A$3:$A$500,$B33,'DADOS BRUTOS'!ET$3:ET$500)+IF($C33="",0,SUMIF('DADOS BRUTOS'!$A$3:$A$500,$C33,'DADOS BRUTOS'!ET$3:ET$500)))</f>
        <v>0</v>
      </c>
      <c r="HU33" s="133" t="n">
        <f aca="false">IF(OR(HU$4="",$B33=""),0,SUMIF('DADOS BRUTOS'!$A$3:$A$500,$B33,'DADOS BRUTOS'!EU$3:EU$500)+IF($C33="",0,SUMIF('DADOS BRUTOS'!$A$3:$A$500,$C33,'DADOS BRUTOS'!EU$3:EU$500)))</f>
        <v>0</v>
      </c>
      <c r="HV33" s="133" t="n">
        <f aca="false">IF(OR(HV$4="",$B33=""),0,SUMIF('DADOS BRUTOS'!$A$3:$A$500,$B33,'DADOS BRUTOS'!EV$3:EV$500)+IF($C33="",0,SUMIF('DADOS BRUTOS'!$A$3:$A$500,$C33,'DADOS BRUTOS'!EV$3:EV$500)))</f>
        <v>0</v>
      </c>
      <c r="HW33" s="133" t="n">
        <f aca="false">IF(OR(HW$4="",$B33=""),0,SUMIF('DADOS BRUTOS'!$A$3:$A$500,$B33,'DADOS BRUTOS'!EW$3:EW$500)+IF($C33="",0,SUMIF('DADOS BRUTOS'!$A$3:$A$500,$C33,'DADOS BRUTOS'!EW$3:EW$500)))</f>
        <v>0</v>
      </c>
      <c r="HX33" s="133" t="n">
        <f aca="false">IF(OR(HX$4="",$B33=""),0,SUMIF('DADOS BRUTOS'!$A$3:$A$500,$B33,'DADOS BRUTOS'!EX$3:EX$500)+IF($C33="",0,SUMIF('DADOS BRUTOS'!$A$3:$A$500,$C33,'DADOS BRUTOS'!EX$3:EX$500)))</f>
        <v>0</v>
      </c>
      <c r="HY33" s="133" t="n">
        <f aca="false">IF(OR(HY$4="",$B33=""),0,SUMIF('DADOS BRUTOS'!$A$3:$A$500,$B33,'DADOS BRUTOS'!EY$3:EY$500)+IF($C33="",0,SUMIF('DADOS BRUTOS'!$A$3:$A$500,$C33,'DADOS BRUTOS'!EY$3:EY$500)))</f>
        <v>0</v>
      </c>
      <c r="HZ33" s="133" t="n">
        <f aca="false">IF(OR(HZ$4="",$B33=""),0,SUMIF('DADOS BRUTOS'!$A$3:$A$500,$B33,'DADOS BRUTOS'!EZ$3:EZ$500)+IF($C33="",0,SUMIF('DADOS BRUTOS'!$A$3:$A$500,$C33,'DADOS BRUTOS'!EZ$3:EZ$500)))</f>
        <v>0</v>
      </c>
      <c r="IA33" s="133" t="n">
        <f aca="false">IF(OR(IA$4="",$B33=""),0,SUMIF('DADOS BRUTOS'!$A$3:$A$500,$B33,'DADOS BRUTOS'!FA$3:FA$500)+IF($C33="",0,SUMIF('DADOS BRUTOS'!$A$3:$A$500,$C33,'DADOS BRUTOS'!FA$3:FA$500)))</f>
        <v>0</v>
      </c>
      <c r="IB33" s="133" t="n">
        <f aca="false">IF(OR(IB$4="",$B33=""),0,SUMIF('DADOS BRUTOS'!$A$3:$A$500,$B33,'DADOS BRUTOS'!FB$3:FB$500)+IF($C33="",0,SUMIF('DADOS BRUTOS'!$A$3:$A$500,$C33,'DADOS BRUTOS'!FB$3:FB$500)))</f>
        <v>0</v>
      </c>
      <c r="IC33" s="133" t="n">
        <f aca="false">IF(OR(IC$4="",$B33=""),0,SUMIF('DADOS BRUTOS'!$A$3:$A$500,$B33,'DADOS BRUTOS'!FC$3:FC$500)+IF($C33="",0,SUMIF('DADOS BRUTOS'!$A$3:$A$500,$C33,'DADOS BRUTOS'!FC$3:FC$500)))</f>
        <v>0</v>
      </c>
      <c r="ID33" s="133" t="n">
        <f aca="false">IF(OR(ID$4="",$B33=""),0,SUMIF('DADOS BRUTOS'!$A$3:$A$500,$B33,'DADOS BRUTOS'!FD$3:FD$500)+IF($C33="",0,SUMIF('DADOS BRUTOS'!$A$3:$A$500,$C33,'DADOS BRUTOS'!FD$3:FD$500)))</f>
        <v>0</v>
      </c>
      <c r="IE33" s="133" t="n">
        <f aca="false">IF(OR(IE$4="",$B33=""),0,SUMIF('DADOS BRUTOS'!$A$3:$A$500,$B33,'DADOS BRUTOS'!FE$3:FE$500)+IF($C33="",0,SUMIF('DADOS BRUTOS'!$A$3:$A$500,$C33,'DADOS BRUTOS'!FE$3:FE$500)))</f>
        <v>0</v>
      </c>
      <c r="IF33" s="133" t="n">
        <f aca="false">IF(OR(IF$4="",$B33=""),0,SUMIF('DADOS BRUTOS'!$A$3:$A$500,$B33,'DADOS BRUTOS'!FF$3:FF$500)+IF($C33="",0,SUMIF('DADOS BRUTOS'!$A$3:$A$500,$C33,'DADOS BRUTOS'!FF$3:FF$500)))</f>
        <v>0</v>
      </c>
      <c r="IG33" s="133" t="n">
        <f aca="false">IF(OR(IG$4="",$B33=""),0,SUMIF('DADOS BRUTOS'!$A$3:$A$500,$B33,'DADOS BRUTOS'!FG$3:FG$500)+IF($C33="",0,SUMIF('DADOS BRUTOS'!$A$3:$A$500,$C33,'DADOS BRUTOS'!FG$3:FG$500)))</f>
        <v>0</v>
      </c>
      <c r="IH33" s="133" t="n">
        <f aca="false">IF(OR(IH$4="",$B33=""),0,SUMIF('DADOS BRUTOS'!$A$3:$A$500,$B33,'DADOS BRUTOS'!FH$3:FH$500)+IF($C33="",0,SUMIF('DADOS BRUTOS'!$A$3:$A$500,$C33,'DADOS BRUTOS'!FH$3:FH$500)))</f>
        <v>0</v>
      </c>
      <c r="II33" s="133" t="n">
        <f aca="false">IF(OR(II$4="",$B33=""),0,SUMIF('DADOS BRUTOS'!$A$3:$A$500,$B33,'DADOS BRUTOS'!FI$3:FI$500)+IF($C33="",0,SUMIF('DADOS BRUTOS'!$A$3:$A$500,$C33,'DADOS BRUTOS'!FI$3:FI$500)))</f>
        <v>0</v>
      </c>
      <c r="IJ33" s="133" t="n">
        <f aca="false">IF(OR(IJ$4="",$B33=""),0,SUMIF('DADOS BRUTOS'!$A$3:$A$500,$B33,'DADOS BRUTOS'!FJ$3:FJ$500)+IF($C33="",0,SUMIF('DADOS BRUTOS'!$A$3:$A$500,$C33,'DADOS BRUTOS'!FJ$3:FJ$500)))</f>
        <v>0</v>
      </c>
      <c r="IK33" s="133" t="n">
        <f aca="false">IF(OR(IK$4="",$B33=""),0,SUMIF('DADOS BRUTOS'!$A$3:$A$500,$B33,'DADOS BRUTOS'!FK$3:FK$500)+IF($C33="",0,SUMIF('DADOS BRUTOS'!$A$3:$A$500,$C33,'DADOS BRUTOS'!FK$3:FK$500)))</f>
        <v>0</v>
      </c>
      <c r="IL33" s="133" t="n">
        <f aca="false">IF(OR(IL$4="",$B33=""),0,SUMIF('DADOS BRUTOS'!$A$3:$A$500,$B33,'DADOS BRUTOS'!FL$3:FL$500)+IF($C33="",0,SUMIF('DADOS BRUTOS'!$A$3:$A$500,$C33,'DADOS BRUTOS'!FL$3:FL$500)))</f>
        <v>0</v>
      </c>
      <c r="IM33" s="133" t="n">
        <f aca="false">IF(OR(IM$4="",$B33=""),0,SUMIF('DADOS BRUTOS'!$A$3:$A$500,$B33,'DADOS BRUTOS'!FM$3:FM$500)+IF($C33="",0,SUMIF('DADOS BRUTOS'!$A$3:$A$500,$C33,'DADOS BRUTOS'!FM$3:FM$500)))</f>
        <v>0</v>
      </c>
      <c r="IN33" s="133" t="n">
        <f aca="false">IF(OR(IN$4="",$B33=""),0,SUMIF('DADOS BRUTOS'!$A$3:$A$500,$B33,'DADOS BRUTOS'!FN$3:FN$500)+IF($C33="",0,SUMIF('DADOS BRUTOS'!$A$3:$A$500,$C33,'DADOS BRUTOS'!FN$3:FN$500)))</f>
        <v>0</v>
      </c>
      <c r="IO33" s="133" t="n">
        <f aca="false">IF(OR(IO$4="",$B33=""),0,SUMIF('DADOS BRUTOS'!$A$3:$A$500,$B33,'DADOS BRUTOS'!FO$3:FO$500)+IF($C33="",0,SUMIF('DADOS BRUTOS'!$A$3:$A$500,$C33,'DADOS BRUTOS'!FO$3:FO$500)))</f>
        <v>0</v>
      </c>
      <c r="IP33" s="133" t="n">
        <f aca="false">IF(OR(IP$4="",$B33=""),0,SUMIF('DADOS BRUTOS'!$A$3:$A$500,$B33,'DADOS BRUTOS'!FP$3:FP$500)+IF($C33="",0,SUMIF('DADOS BRUTOS'!$A$3:$A$500,$C33,'DADOS BRUTOS'!FP$3:FP$500)))</f>
        <v>0</v>
      </c>
      <c r="IQ33" s="133" t="n">
        <f aca="false">IF(OR(IQ$4="",$B33=""),0,SUMIF('DADOS BRUTOS'!$A$3:$A$500,$B33,'DADOS BRUTOS'!FQ$3:FQ$500)+IF($C33="",0,SUMIF('DADOS BRUTOS'!$A$3:$A$500,$C33,'DADOS BRUTOS'!FQ$3:FQ$500)))</f>
        <v>0</v>
      </c>
      <c r="IR33" s="133" t="n">
        <f aca="false">IF(OR(IR$4="",$B33=""),0,SUMIF('DADOS BRUTOS'!$A$3:$A$500,$B33,'DADOS BRUTOS'!FR$3:FR$500)+IF($C33="",0,SUMIF('DADOS BRUTOS'!$A$3:$A$500,$C33,'DADOS BRUTOS'!FR$3:FR$500)))</f>
        <v>0</v>
      </c>
      <c r="IS33" s="133" t="n">
        <f aca="false">IF(OR(IS$4="",$B33=""),0,SUMIF('DADOS BRUTOS'!$A$3:$A$500,$B33,'DADOS BRUTOS'!FS$3:FS$500)+IF($C33="",0,SUMIF('DADOS BRUTOS'!$A$3:$A$500,$C33,'DADOS BRUTOS'!FS$3:FS$500)))</f>
        <v>0</v>
      </c>
      <c r="IT33" s="133" t="n">
        <f aca="false">IF(OR(IT$4="",$B33=""),0,SUMIF('DADOS BRUTOS'!$A$3:$A$500,$B33,'DADOS BRUTOS'!FT$3:FT$500)+IF($C33="",0,SUMIF('DADOS BRUTOS'!$A$3:$A$500,$C33,'DADOS BRUTOS'!FT$3:FT$500)))</f>
        <v>0</v>
      </c>
      <c r="IU33" s="133" t="n">
        <f aca="false">IF(OR(IU$4="",$B33=""),0,SUMIF('DADOS BRUTOS'!$A$3:$A$500,$B33,'DADOS BRUTOS'!FU$3:FU$500)+IF($C33="",0,SUMIF('DADOS BRUTOS'!$A$3:$A$500,$C33,'DADOS BRUTOS'!FU$3:FU$500)))</f>
        <v>0</v>
      </c>
      <c r="IV33" s="133" t="n">
        <f aca="false">IF(OR(IV$4="",$B33=""),0,SUMIF('DADOS BRUTOS'!$A$3:$A$500,$B33,'DADOS BRUTOS'!FV$3:FV$500)+IF($C33="",0,SUMIF('DADOS BRUTOS'!$A$3:$A$500,$C33,'DADOS BRUTOS'!FV$3:FV$500)))</f>
        <v>0</v>
      </c>
      <c r="IW33" s="133" t="n">
        <f aca="false">IF(OR(IW$4="",$B33=""),0,SUMIF('DADOS BRUTOS'!$A$3:$A$500,$B33,'DADOS BRUTOS'!FW$3:FW$500)+IF($C33="",0,SUMIF('DADOS BRUTOS'!$A$3:$A$500,$C33,'DADOS BRUTOS'!FW$3:FW$500)))</f>
        <v>0</v>
      </c>
      <c r="IX33" s="133" t="n">
        <f aca="false">IF(OR(IX$4="",$B33=""),0,SUMIF('DADOS BRUTOS'!$A$3:$A$500,$B33,'DADOS BRUTOS'!FX$3:FX$500)+IF($C33="",0,SUMIF('DADOS BRUTOS'!$A$3:$A$500,$C33,'DADOS BRUTOS'!FX$3:FX$500)))</f>
        <v>0</v>
      </c>
      <c r="IY33" s="133" t="n">
        <f aca="false">IF(OR(IY$4="",$B33=""),0,SUMIF('DADOS BRUTOS'!$A$3:$A$500,$B33,'DADOS BRUTOS'!FY$3:FY$500)+IF($C33="",0,SUMIF('DADOS BRUTOS'!$A$3:$A$500,$C33,'DADOS BRUTOS'!FY$3:FY$500)))</f>
        <v>0</v>
      </c>
      <c r="IZ33" s="133" t="n">
        <f aca="false">IF(OR(IZ$4="",$B33=""),0,SUMIF('DADOS BRUTOS'!$A$3:$A$500,$B33,'DADOS BRUTOS'!FZ$3:FZ$500)+IF($C33="",0,SUMIF('DADOS BRUTOS'!$A$3:$A$500,$C33,'DADOS BRUTOS'!FZ$3:FZ$500)))</f>
        <v>0</v>
      </c>
      <c r="JA33" s="133" t="n">
        <f aca="false">IF(OR(JA$4="",$B33=""),0,SUMIF('DADOS BRUTOS'!$A$3:$A$500,$B33,'DADOS BRUTOS'!GA$3:GA$500)+IF($C33="",0,SUMIF('DADOS BRUTOS'!$A$3:$A$500,$C33,'DADOS BRUTOS'!GA$3:GA$500)))</f>
        <v>0</v>
      </c>
      <c r="JB33" s="133" t="n">
        <f aca="false">IF(OR(JB$4="",$B33=""),0,SUMIF('DADOS BRUTOS'!$A$3:$A$500,$B33,'DADOS BRUTOS'!GB$3:GB$500)+IF($C33="",0,SUMIF('DADOS BRUTOS'!$A$3:$A$500,$C33,'DADOS BRUTOS'!GB$3:GB$500)))</f>
        <v>0</v>
      </c>
      <c r="JC33" s="133" t="n">
        <f aca="false">IF(OR(JC$4="",$B33=""),0,SUMIF('DADOS BRUTOS'!$A$3:$A$500,$B33,'DADOS BRUTOS'!GC$3:GC$500)+IF($C33="",0,SUMIF('DADOS BRUTOS'!$A$3:$A$500,$C33,'DADOS BRUTOS'!GC$3:GC$500)))</f>
        <v>0</v>
      </c>
      <c r="JD33" s="133" t="n">
        <f aca="false">IF(OR(JD$4="",$B33=""),0,SUMIF('DADOS BRUTOS'!$A$3:$A$500,$B33,'DADOS BRUTOS'!GD$3:GD$500)+IF($C33="",0,SUMIF('DADOS BRUTOS'!$A$3:$A$500,$C33,'DADOS BRUTOS'!GD$3:GD$500)))</f>
        <v>0</v>
      </c>
      <c r="JE33" s="133" t="n">
        <f aca="false">IF(OR(JE$4="",$B33=""),0,SUMIF('DADOS BRUTOS'!$A$3:$A$500,$B33,'DADOS BRUTOS'!GE$3:GE$500)+IF($C33="",0,SUMIF('DADOS BRUTOS'!$A$3:$A$500,$C33,'DADOS BRUTOS'!GE$3:GE$500)))</f>
        <v>0</v>
      </c>
      <c r="JF33" s="133" t="n">
        <f aca="false">IF(OR(JF$4="",$B33=""),0,SUMIF('DADOS BRUTOS'!$A$3:$A$500,$B33,'DADOS BRUTOS'!GF$3:GF$500)+IF($C33="",0,SUMIF('DADOS BRUTOS'!$A$3:$A$500,$C33,'DADOS BRUTOS'!GF$3:GF$500)))</f>
        <v>0</v>
      </c>
      <c r="JG33" s="133" t="n">
        <f aca="false">IF(OR(JG$4="",$B33=""),0,SUMIF('DADOS BRUTOS'!$A$3:$A$500,$B33,'DADOS BRUTOS'!GG$3:GG$500)+IF($C33="",0,SUMIF('DADOS BRUTOS'!$A$3:$A$500,$C33,'DADOS BRUTOS'!GG$3:GG$500)))</f>
        <v>0</v>
      </c>
      <c r="JH33" s="133" t="n">
        <f aca="false">IF(OR(JH$4="",$B33=""),0,SUMIF('DADOS BRUTOS'!$A$3:$A$500,$B33,'DADOS BRUTOS'!GH$3:GH$500)+IF($C33="",0,SUMIF('DADOS BRUTOS'!$A$3:$A$500,$C33,'DADOS BRUTOS'!GH$3:GH$500)))</f>
        <v>0</v>
      </c>
      <c r="JI33" s="133" t="n">
        <f aca="false">IF(OR(JI$4="",$B33=""),0,SUMIF('DADOS BRUTOS'!$A$3:$A$500,$B33,'DADOS BRUTOS'!GI$3:GI$500)+IF($C33="",0,SUMIF('DADOS BRUTOS'!$A$3:$A$500,$C33,'DADOS BRUTOS'!GI$3:GI$500)))</f>
        <v>0</v>
      </c>
      <c r="JJ33" s="133" t="n">
        <f aca="false">IF(OR(JJ$4="",$B33=""),0,SUMIF('DADOS BRUTOS'!$A$3:$A$500,$B33,'DADOS BRUTOS'!GJ$3:GJ$500)+IF($C33="",0,SUMIF('DADOS BRUTOS'!$A$3:$A$500,$C33,'DADOS BRUTOS'!GJ$3:GJ$500)))</f>
        <v>0</v>
      </c>
      <c r="JK33" s="133" t="n">
        <f aca="false">IF(OR(JK$4="",$B33=""),0,SUMIF('DADOS BRUTOS'!$A$3:$A$500,$B33,'DADOS BRUTOS'!GK$3:GK$500)+IF($C33="",0,SUMIF('DADOS BRUTOS'!$A$3:$A$500,$C33,'DADOS BRUTOS'!GK$3:GK$500)))</f>
        <v>0</v>
      </c>
      <c r="JL33" s="133" t="n">
        <f aca="false">IF(OR(JL$4="",$B33=""),0,SUMIF('DADOS BRUTOS'!$A$3:$A$500,$B33,'DADOS BRUTOS'!GL$3:GL$500)+IF($C33="",0,SUMIF('DADOS BRUTOS'!$A$3:$A$500,$C33,'DADOS BRUTOS'!GL$3:GL$500)))</f>
        <v>0</v>
      </c>
      <c r="JM33" s="133" t="n">
        <f aca="false">IF(OR(JM$4="",$B33=""),0,SUMIF('DADOS BRUTOS'!$A$3:$A$500,$B33,'DADOS BRUTOS'!GM$3:GM$500)+IF($C33="",0,SUMIF('DADOS BRUTOS'!$A$3:$A$500,$C33,'DADOS BRUTOS'!GM$3:GM$500)))</f>
        <v>0</v>
      </c>
      <c r="JN33" s="133" t="n">
        <f aca="false">IF(OR(JN$4="",$B33=""),0,SUMIF('DADOS BRUTOS'!$A$3:$A$500,$B33,'DADOS BRUTOS'!GN$3:GN$500)+IF($C33="",0,SUMIF('DADOS BRUTOS'!$A$3:$A$500,$C33,'DADOS BRUTOS'!GN$3:GN$500)))</f>
        <v>0</v>
      </c>
      <c r="JO33" s="133" t="n">
        <f aca="false">IF(OR(JO$4="",$B33=""),0,SUMIF('DADOS BRUTOS'!$A$3:$A$500,$B33,'DADOS BRUTOS'!GO$3:GO$500)+IF($C33="",0,SUMIF('DADOS BRUTOS'!$A$3:$A$500,$C33,'DADOS BRUTOS'!GO$3:GO$500)))</f>
        <v>0</v>
      </c>
      <c r="JP33" s="133" t="n">
        <f aca="false">IF(OR(JP$4="",$B33=""),0,SUMIF('DADOS BRUTOS'!$A$3:$A$500,$B33,'DADOS BRUTOS'!GP$3:GP$500)+IF($C33="",0,SUMIF('DADOS BRUTOS'!$A$3:$A$500,$C33,'DADOS BRUTOS'!GP$3:GP$500)))</f>
        <v>0</v>
      </c>
      <c r="JQ33" s="133" t="n">
        <f aca="false">IF(OR(JQ$4="",$B33=""),0,SUMIF('DADOS BRUTOS'!$A$3:$A$500,$B33,'DADOS BRUTOS'!GQ$3:GQ$500)+IF($C33="",0,SUMIF('DADOS BRUTOS'!$A$3:$A$500,$C33,'DADOS BRUTOS'!GQ$3:GQ$500)))</f>
        <v>0</v>
      </c>
      <c r="JR33" s="133" t="n">
        <f aca="false">IF(OR(JR$4="",$B33=""),0,SUMIF('DADOS BRUTOS'!$A$3:$A$500,$B33,'DADOS BRUTOS'!GR$3:GR$500)+IF($C33="",0,SUMIF('DADOS BRUTOS'!$A$3:$A$500,$C33,'DADOS BRUTOS'!GR$3:GR$500)))</f>
        <v>0</v>
      </c>
      <c r="JS33" s="133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199</v>
      </c>
      <c r="C34" s="55" t="s">
        <v>3853</v>
      </c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1883.62</v>
      </c>
      <c r="W34" s="50" t="n">
        <f aca="false">SUMIF($CB$4:$JS$4,W$4,$CB34:$JS34)</f>
        <v>39357.13</v>
      </c>
      <c r="X34" s="50" t="n">
        <f aca="false">SUMIF($CB$4:$JS$4,X$4,$CB34:$JS34)</f>
        <v>1389.63</v>
      </c>
      <c r="Y34" s="50" t="n">
        <f aca="false">SUMIF($CB$4:$JS$4,Y$4,$CB34:$JS34)</f>
        <v>1389.62</v>
      </c>
      <c r="Z34" s="50" t="n">
        <f aca="false">SUMIF($CB$4:$JS$4,Z$4,$CB34:$JS34)</f>
        <v>0</v>
      </c>
      <c r="AA34" s="50" t="n">
        <f aca="false">SUMIF($CB$4:$JS$4,AA$4,$CB34:$JS34)</f>
        <v>1052.8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45072.8</v>
      </c>
      <c r="BZ34" s="45" t="n">
        <f aca="false">SUMPRODUCT(($CB$4:$JS$4&lt;&gt;"")*($CB$4:$JS$4&lt;=$D$4),$CB34:$JS34,$CB$1:$JS$1)</f>
        <v>0</v>
      </c>
      <c r="CB34" s="133" t="n">
        <f aca="false">IF(OR(CB$4="",$B34=""),0,SUMIF('DADOS BRUTOS'!$A$3:$A$500,$B34,'DADOS BRUTOS'!B$3:B$500)+IF($C34="",0,SUMIF('DADOS BRUTOS'!$A$3:$A$500,$C34,'DADOS BRUTOS'!B$3:B$500)))</f>
        <v>0</v>
      </c>
      <c r="CC34" s="133" t="n">
        <f aca="false">IF(OR(CC$4="",$B34=""),0,SUMIF('DADOS BRUTOS'!$A$3:$A$500,$B34,'DADOS BRUTOS'!C$3:C$500)+IF($C34="",0,SUMIF('DADOS BRUTOS'!$A$3:$A$500,$C34,'DADOS BRUTOS'!C$3:C$500)))</f>
        <v>0</v>
      </c>
      <c r="CD34" s="133" t="n">
        <f aca="false">IF(OR(CD$4="",$B34=""),0,SUMIF('DADOS BRUTOS'!$A$3:$A$500,$B34,'DADOS BRUTOS'!D$3:D$500)+IF($C34="",0,SUMIF('DADOS BRUTOS'!$A$3:$A$500,$C34,'DADOS BRUTOS'!D$3:D$500)))</f>
        <v>0</v>
      </c>
      <c r="CE34" s="133" t="n">
        <f aca="false">IF(OR(CE$4="",$B34=""),0,SUMIF('DADOS BRUTOS'!$A$3:$A$500,$B34,'DADOS BRUTOS'!E$3:E$500)+IF($C34="",0,SUMIF('DADOS BRUTOS'!$A$3:$A$500,$C34,'DADOS BRUTOS'!E$3:E$500)))</f>
        <v>0</v>
      </c>
      <c r="CF34" s="133" t="n">
        <f aca="false">IF(OR(CF$4="",$B34=""),0,SUMIF('DADOS BRUTOS'!$A$3:$A$500,$B34,'DADOS BRUTOS'!F$3:F$500)+IF($C34="",0,SUMIF('DADOS BRUTOS'!$A$3:$A$500,$C34,'DADOS BRUTOS'!F$3:F$500)))</f>
        <v>0</v>
      </c>
      <c r="CG34" s="133" t="n">
        <f aca="false">IF(OR(CG$4="",$B34=""),0,SUMIF('DADOS BRUTOS'!$A$3:$A$500,$B34,'DADOS BRUTOS'!G$3:G$500)+IF($C34="",0,SUMIF('DADOS BRUTOS'!$A$3:$A$500,$C34,'DADOS BRUTOS'!G$3:G$500)))</f>
        <v>0</v>
      </c>
      <c r="CH34" s="133" t="n">
        <f aca="false">IF(OR(CH$4="",$B34=""),0,SUMIF('DADOS BRUTOS'!$A$3:$A$500,$B34,'DADOS BRUTOS'!H$3:H$500)+IF($C34="",0,SUMIF('DADOS BRUTOS'!$A$3:$A$500,$C34,'DADOS BRUTOS'!H$3:H$500)))</f>
        <v>0</v>
      </c>
      <c r="CI34" s="133" t="n">
        <f aca="false">IF(OR(CI$4="",$B34=""),0,SUMIF('DADOS BRUTOS'!$A$3:$A$500,$B34,'DADOS BRUTOS'!I$3:I$500)+IF($C34="",0,SUMIF('DADOS BRUTOS'!$A$3:$A$500,$C34,'DADOS BRUTOS'!I$3:I$500)))</f>
        <v>0</v>
      </c>
      <c r="CJ34" s="133" t="n">
        <f aca="false">IF(OR(CJ$4="",$B34=""),0,SUMIF('DADOS BRUTOS'!$A$3:$A$500,$B34,'DADOS BRUTOS'!J$3:J$500)+IF($C34="",0,SUMIF('DADOS BRUTOS'!$A$3:$A$500,$C34,'DADOS BRUTOS'!J$3:J$500)))</f>
        <v>0</v>
      </c>
      <c r="CK34" s="133" t="n">
        <f aca="false">IF(OR(CK$4="",$B34=""),0,SUMIF('DADOS BRUTOS'!$A$3:$A$500,$B34,'DADOS BRUTOS'!K$3:K$500)+IF($C34="",0,SUMIF('DADOS BRUTOS'!$A$3:$A$500,$C34,'DADOS BRUTOS'!K$3:K$500)))</f>
        <v>0</v>
      </c>
      <c r="CL34" s="133" t="n">
        <f aca="false">IF(OR(CL$4="",$B34=""),0,SUMIF('DADOS BRUTOS'!$A$3:$A$500,$B34,'DADOS BRUTOS'!L$3:L$500)+IF($C34="",0,SUMIF('DADOS BRUTOS'!$A$3:$A$500,$C34,'DADOS BRUTOS'!L$3:L$500)))</f>
        <v>0</v>
      </c>
      <c r="CM34" s="133" t="n">
        <f aca="false">IF(OR(CM$4="",$B34=""),0,SUMIF('DADOS BRUTOS'!$A$3:$A$500,$B34,'DADOS BRUTOS'!M$3:M$500)+IF($C34="",0,SUMIF('DADOS BRUTOS'!$A$3:$A$500,$C34,'DADOS BRUTOS'!M$3:M$500)))</f>
        <v>0</v>
      </c>
      <c r="CN34" s="133" t="n">
        <f aca="false">IF(OR(CN$4="",$B34=""),0,SUMIF('DADOS BRUTOS'!$A$3:$A$500,$B34,'DADOS BRUTOS'!N$3:N$500)+IF($C34="",0,SUMIF('DADOS BRUTOS'!$A$3:$A$500,$C34,'DADOS BRUTOS'!N$3:N$500)))</f>
        <v>0</v>
      </c>
      <c r="CO34" s="133" t="n">
        <f aca="false">IF(OR(CO$4="",$B34=""),0,SUMIF('DADOS BRUTOS'!$A$3:$A$500,$B34,'DADOS BRUTOS'!O$3:O$500)+IF($C34="",0,SUMIF('DADOS BRUTOS'!$A$3:$A$500,$C34,'DADOS BRUTOS'!O$3:O$500)))</f>
        <v>0</v>
      </c>
      <c r="CP34" s="133" t="n">
        <f aca="false">IF(OR(CP$4="",$B34=""),0,SUMIF('DADOS BRUTOS'!$A$3:$A$500,$B34,'DADOS BRUTOS'!P$3:P$500)+IF($C34="",0,SUMIF('DADOS BRUTOS'!$A$3:$A$500,$C34,'DADOS BRUTOS'!P$3:P$500)))</f>
        <v>0</v>
      </c>
      <c r="CQ34" s="133" t="n">
        <f aca="false">IF(OR(CQ$4="",$B34=""),0,SUMIF('DADOS BRUTOS'!$A$3:$A$500,$B34,'DADOS BRUTOS'!Q$3:Q$500)+IF($C34="",0,SUMIF('DADOS BRUTOS'!$A$3:$A$500,$C34,'DADOS BRUTOS'!Q$3:Q$500)))</f>
        <v>0</v>
      </c>
      <c r="CR34" s="133" t="n">
        <f aca="false">IF(OR(CR$4="",$B34=""),0,SUMIF('DADOS BRUTOS'!$A$3:$A$500,$B34,'DADOS BRUTOS'!R$3:R$500)+IF($C34="",0,SUMIF('DADOS BRUTOS'!$A$3:$A$500,$C34,'DADOS BRUTOS'!R$3:R$500)))</f>
        <v>0</v>
      </c>
      <c r="CS34" s="133" t="n">
        <f aca="false">IF(OR(CS$4="",$B34=""),0,SUMIF('DADOS BRUTOS'!$A$3:$A$500,$B34,'DADOS BRUTOS'!S$3:S$500)+IF($C34="",0,SUMIF('DADOS BRUTOS'!$A$3:$A$500,$C34,'DADOS BRUTOS'!S$3:S$500)))</f>
        <v>0</v>
      </c>
      <c r="CT34" s="133" t="n">
        <f aca="false">IF(OR(CT$4="",$B34=""),0,SUMIF('DADOS BRUTOS'!$A$3:$A$500,$B34,'DADOS BRUTOS'!T$3:T$500)+IF($C34="",0,SUMIF('DADOS BRUTOS'!$A$3:$A$500,$C34,'DADOS BRUTOS'!T$3:T$500)))</f>
        <v>0</v>
      </c>
      <c r="CU34" s="133" t="n">
        <f aca="false">IF(OR(CU$4="",$B34=""),0,SUMIF('DADOS BRUTOS'!$A$3:$A$500,$B34,'DADOS BRUTOS'!U$3:U$500)+IF($C34="",0,SUMIF('DADOS BRUTOS'!$A$3:$A$500,$C34,'DADOS BRUTOS'!U$3:U$500)))</f>
        <v>0</v>
      </c>
      <c r="CV34" s="133" t="n">
        <f aca="false">IF(OR(CV$4="",$B34=""),0,SUMIF('DADOS BRUTOS'!$A$3:$A$500,$B34,'DADOS BRUTOS'!V$3:V$500)+IF($C34="",0,SUMIF('DADOS BRUTOS'!$A$3:$A$500,$C34,'DADOS BRUTOS'!V$3:V$500)))</f>
        <v>0</v>
      </c>
      <c r="CW34" s="133" t="n">
        <f aca="false">IF(OR(CW$4="",$B34=""),0,SUMIF('DADOS BRUTOS'!$A$3:$A$500,$B34,'DADOS BRUTOS'!W$3:W$500)+IF($C34="",0,SUMIF('DADOS BRUTOS'!$A$3:$A$500,$C34,'DADOS BRUTOS'!W$3:W$500)))</f>
        <v>0</v>
      </c>
      <c r="CX34" s="133" t="n">
        <f aca="false">IF(OR(CX$4="",$B34=""),0,SUMIF('DADOS BRUTOS'!$A$3:$A$500,$B34,'DADOS BRUTOS'!X$3:X$500)+IF($C34="",0,SUMIF('DADOS BRUTOS'!$A$3:$A$500,$C34,'DADOS BRUTOS'!X$3:X$500)))</f>
        <v>0</v>
      </c>
      <c r="CY34" s="133" t="n">
        <f aca="false">IF(OR(CY$4="",$B34=""),0,SUMIF('DADOS BRUTOS'!$A$3:$A$500,$B34,'DADOS BRUTOS'!Y$3:Y$500)+IF($C34="",0,SUMIF('DADOS BRUTOS'!$A$3:$A$500,$C34,'DADOS BRUTOS'!Y$3:Y$500)))</f>
        <v>0</v>
      </c>
      <c r="CZ34" s="133" t="n">
        <f aca="false">IF(OR(CZ$4="",$B34=""),0,SUMIF('DADOS BRUTOS'!$A$3:$A$500,$B34,'DADOS BRUTOS'!Z$3:Z$500)+IF($C34="",0,SUMIF('DADOS BRUTOS'!$A$3:$A$500,$C34,'DADOS BRUTOS'!Z$3:Z$500)))</f>
        <v>0</v>
      </c>
      <c r="DA34" s="133" t="n">
        <f aca="false">IF(OR(DA$4="",$B34=""),0,SUMIF('DADOS BRUTOS'!$A$3:$A$500,$B34,'DADOS BRUTOS'!AA$3:AA$500)+IF($C34="",0,SUMIF('DADOS BRUTOS'!$A$3:$A$500,$C34,'DADOS BRUTOS'!AA$3:AA$500)))</f>
        <v>0</v>
      </c>
      <c r="DB34" s="133" t="n">
        <f aca="false">IF(OR(DB$4="",$B34=""),0,SUMIF('DADOS BRUTOS'!$A$3:$A$500,$B34,'DADOS BRUTOS'!AB$3:AB$500)+IF($C34="",0,SUMIF('DADOS BRUTOS'!$A$3:$A$500,$C34,'DADOS BRUTOS'!AB$3:AB$500)))</f>
        <v>0</v>
      </c>
      <c r="DC34" s="133" t="n">
        <f aca="false">IF(OR(DC$4="",$B34=""),0,SUMIF('DADOS BRUTOS'!$A$3:$A$500,$B34,'DADOS BRUTOS'!AC$3:AC$500)+IF($C34="",0,SUMIF('DADOS BRUTOS'!$A$3:$A$500,$C34,'DADOS BRUTOS'!AC$3:AC$500)))</f>
        <v>0</v>
      </c>
      <c r="DD34" s="133" t="n">
        <f aca="false">IF(OR(DD$4="",$B34=""),0,SUMIF('DADOS BRUTOS'!$A$3:$A$500,$B34,'DADOS BRUTOS'!AD$3:AD$500)+IF($C34="",0,SUMIF('DADOS BRUTOS'!$A$3:$A$500,$C34,'DADOS BRUTOS'!AD$3:AD$500)))</f>
        <v>0</v>
      </c>
      <c r="DE34" s="133" t="n">
        <f aca="false">IF(OR(DE$4="",$B34=""),0,SUMIF('DADOS BRUTOS'!$A$3:$A$500,$B34,'DADOS BRUTOS'!AE$3:AE$500)+IF($C34="",0,SUMIF('DADOS BRUTOS'!$A$3:$A$500,$C34,'DADOS BRUTOS'!AE$3:AE$500)))</f>
        <v>0</v>
      </c>
      <c r="DF34" s="133" t="n">
        <f aca="false">IF(OR(DF$4="",$B34=""),0,SUMIF('DADOS BRUTOS'!$A$3:$A$500,$B34,'DADOS BRUTOS'!AF$3:AF$500)+IF($C34="",0,SUMIF('DADOS BRUTOS'!$A$3:$A$500,$C34,'DADOS BRUTOS'!AF$3:AF$500)))</f>
        <v>0</v>
      </c>
      <c r="DG34" s="133" t="n">
        <f aca="false">IF(OR(DG$4="",$B34=""),0,SUMIF('DADOS BRUTOS'!$A$3:$A$500,$B34,'DADOS BRUTOS'!AG$3:AG$500)+IF($C34="",0,SUMIF('DADOS BRUTOS'!$A$3:$A$500,$C34,'DADOS BRUTOS'!AG$3:AG$500)))</f>
        <v>0</v>
      </c>
      <c r="DH34" s="133" t="n">
        <f aca="false">IF(OR(DH$4="",$B34=""),0,SUMIF('DADOS BRUTOS'!$A$3:$A$500,$B34,'DADOS BRUTOS'!AH$3:AH$500)+IF($C34="",0,SUMIF('DADOS BRUTOS'!$A$3:$A$500,$C34,'DADOS BRUTOS'!AH$3:AH$500)))</f>
        <v>0</v>
      </c>
      <c r="DI34" s="133" t="n">
        <f aca="false">IF(OR(DI$4="",$B34=""),0,SUMIF('DADOS BRUTOS'!$A$3:$A$500,$B34,'DADOS BRUTOS'!AI$3:AI$500)+IF($C34="",0,SUMIF('DADOS BRUTOS'!$A$3:$A$500,$C34,'DADOS BRUTOS'!AI$3:AI$500)))</f>
        <v>0</v>
      </c>
      <c r="DJ34" s="133" t="n">
        <f aca="false">IF(OR(DJ$4="",$B34=""),0,SUMIF('DADOS BRUTOS'!$A$3:$A$500,$B34,'DADOS BRUTOS'!AJ$3:AJ$500)+IF($C34="",0,SUMIF('DADOS BRUTOS'!$A$3:$A$500,$C34,'DADOS BRUTOS'!AJ$3:AJ$500)))</f>
        <v>0</v>
      </c>
      <c r="DK34" s="133" t="n">
        <f aca="false">IF(OR(DK$4="",$B34=""),0,SUMIF('DADOS BRUTOS'!$A$3:$A$500,$B34,'DADOS BRUTOS'!AK$3:AK$500)+IF($C34="",0,SUMIF('DADOS BRUTOS'!$A$3:$A$500,$C34,'DADOS BRUTOS'!AK$3:AK$500)))</f>
        <v>0</v>
      </c>
      <c r="DL34" s="133" t="n">
        <f aca="false">IF(OR(DL$4="",$B34=""),0,SUMIF('DADOS BRUTOS'!$A$3:$A$500,$B34,'DADOS BRUTOS'!AL$3:AL$500)+IF($C34="",0,SUMIF('DADOS BRUTOS'!$A$3:$A$500,$C34,'DADOS BRUTOS'!AL$3:AL$500)))</f>
        <v>0</v>
      </c>
      <c r="DM34" s="133" t="n">
        <f aca="false">IF(OR(DM$4="",$B34=""),0,SUMIF('DADOS BRUTOS'!$A$3:$A$500,$B34,'DADOS BRUTOS'!AM$3:AM$500)+IF($C34="",0,SUMIF('DADOS BRUTOS'!$A$3:$A$500,$C34,'DADOS BRUTOS'!AM$3:AM$500)))</f>
        <v>0</v>
      </c>
      <c r="DN34" s="133" t="n">
        <f aca="false">IF(OR(DN$4="",$B34=""),0,SUMIF('DADOS BRUTOS'!$A$3:$A$500,$B34,'DADOS BRUTOS'!AN$3:AN$500)+IF($C34="",0,SUMIF('DADOS BRUTOS'!$A$3:$A$500,$C34,'DADOS BRUTOS'!AN$3:AN$500)))</f>
        <v>0</v>
      </c>
      <c r="DO34" s="133" t="n">
        <f aca="false">IF(OR(DO$4="",$B34=""),0,SUMIF('DADOS BRUTOS'!$A$3:$A$500,$B34,'DADOS BRUTOS'!AO$3:AO$500)+IF($C34="",0,SUMIF('DADOS BRUTOS'!$A$3:$A$500,$C34,'DADOS BRUTOS'!AO$3:AO$500)))</f>
        <v>0</v>
      </c>
      <c r="DP34" s="133" t="n">
        <f aca="false">IF(OR(DP$4="",$B34=""),0,SUMIF('DADOS BRUTOS'!$A$3:$A$500,$B34,'DADOS BRUTOS'!AP$3:AP$500)+IF($C34="",0,SUMIF('DADOS BRUTOS'!$A$3:$A$500,$C34,'DADOS BRUTOS'!AP$3:AP$500)))</f>
        <v>0</v>
      </c>
      <c r="DQ34" s="133" t="n">
        <f aca="false">IF(OR(DQ$4="",$B34=""),0,SUMIF('DADOS BRUTOS'!$A$3:$A$500,$B34,'DADOS BRUTOS'!AQ$3:AQ$500)+IF($C34="",0,SUMIF('DADOS BRUTOS'!$A$3:$A$500,$C34,'DADOS BRUTOS'!AQ$3:AQ$500)))</f>
        <v>0</v>
      </c>
      <c r="DR34" s="133" t="n">
        <f aca="false">IF(OR(DR$4="",$B34=""),0,SUMIF('DADOS BRUTOS'!$A$3:$A$500,$B34,'DADOS BRUTOS'!AR$3:AR$500)+IF($C34="",0,SUMIF('DADOS BRUTOS'!$A$3:$A$500,$C34,'DADOS BRUTOS'!AR$3:AR$500)))</f>
        <v>0</v>
      </c>
      <c r="DS34" s="133" t="n">
        <f aca="false">IF(OR(DS$4="",$B34=""),0,SUMIF('DADOS BRUTOS'!$A$3:$A$500,$B34,'DADOS BRUTOS'!AS$3:AS$500)+IF($C34="",0,SUMIF('DADOS BRUTOS'!$A$3:$A$500,$C34,'DADOS BRUTOS'!AS$3:AS$500)))</f>
        <v>0</v>
      </c>
      <c r="DT34" s="133" t="n">
        <f aca="false">IF(OR(DT$4="",$B34=""),0,SUMIF('DADOS BRUTOS'!$A$3:$A$500,$B34,'DADOS BRUTOS'!AT$3:AT$500)+IF($C34="",0,SUMIF('DADOS BRUTOS'!$A$3:$A$500,$C34,'DADOS BRUTOS'!AT$3:AT$500)))</f>
        <v>0</v>
      </c>
      <c r="DU34" s="133" t="n">
        <f aca="false">IF(OR(DU$4="",$B34=""),0,SUMIF('DADOS BRUTOS'!$A$3:$A$500,$B34,'DADOS BRUTOS'!AU$3:AU$500)+IF($C34="",0,SUMIF('DADOS BRUTOS'!$A$3:$A$500,$C34,'DADOS BRUTOS'!AU$3:AU$500)))</f>
        <v>0</v>
      </c>
      <c r="DV34" s="133" t="n">
        <f aca="false">IF(OR(DV$4="",$B34=""),0,SUMIF('DADOS BRUTOS'!$A$3:$A$500,$B34,'DADOS BRUTOS'!AV$3:AV$500)+IF($C34="",0,SUMIF('DADOS BRUTOS'!$A$3:$A$500,$C34,'DADOS BRUTOS'!AV$3:AV$500)))</f>
        <v>0</v>
      </c>
      <c r="DW34" s="133" t="n">
        <f aca="false">IF(OR(DW$4="",$B34=""),0,SUMIF('DADOS BRUTOS'!$A$3:$A$500,$B34,'DADOS BRUTOS'!AW$3:AW$500)+IF($C34="",0,SUMIF('DADOS BRUTOS'!$A$3:$A$500,$C34,'DADOS BRUTOS'!AW$3:AW$500)))</f>
        <v>0</v>
      </c>
      <c r="DX34" s="133" t="n">
        <f aca="false">IF(OR(DX$4="",$B34=""),0,SUMIF('DADOS BRUTOS'!$A$3:$A$500,$B34,'DADOS BRUTOS'!AX$3:AX$500)+IF($C34="",0,SUMIF('DADOS BRUTOS'!$A$3:$A$500,$C34,'DADOS BRUTOS'!AX$3:AX$500)))</f>
        <v>0</v>
      </c>
      <c r="DY34" s="133" t="n">
        <f aca="false">IF(OR(DY$4="",$B34=""),0,SUMIF('DADOS BRUTOS'!$A$3:$A$500,$B34,'DADOS BRUTOS'!AY$3:AY$500)+IF($C34="",0,SUMIF('DADOS BRUTOS'!$A$3:$A$500,$C34,'DADOS BRUTOS'!AY$3:AY$500)))</f>
        <v>0</v>
      </c>
      <c r="DZ34" s="133" t="n">
        <f aca="false">IF(OR(DZ$4="",$B34=""),0,SUMIF('DADOS BRUTOS'!$A$3:$A$500,$B34,'DADOS BRUTOS'!AZ$3:AZ$500)+IF($C34="",0,SUMIF('DADOS BRUTOS'!$A$3:$A$500,$C34,'DADOS BRUTOS'!AZ$3:AZ$500)))</f>
        <v>1883.62</v>
      </c>
      <c r="EA34" s="133" t="n">
        <f aca="false">IF(OR(EA$4="",$B34=""),0,SUMIF('DADOS BRUTOS'!$A$3:$A$500,$B34,'DADOS BRUTOS'!BA$3:BA$500)+IF($C34="",0,SUMIF('DADOS BRUTOS'!$A$3:$A$500,$C34,'DADOS BRUTOS'!BA$3:BA$500)))</f>
        <v>39357.13</v>
      </c>
      <c r="EB34" s="133" t="n">
        <f aca="false">IF(OR(EB$4="",$B34=""),0,SUMIF('DADOS BRUTOS'!$A$3:$A$500,$B34,'DADOS BRUTOS'!BB$3:BB$500)+IF($C34="",0,SUMIF('DADOS BRUTOS'!$A$3:$A$500,$C34,'DADOS BRUTOS'!BB$3:BB$500)))</f>
        <v>1389.63</v>
      </c>
      <c r="EC34" s="133" t="n">
        <f aca="false">IF(OR(EC$4="",$B34=""),0,SUMIF('DADOS BRUTOS'!$A$3:$A$500,$B34,'DADOS BRUTOS'!BC$3:BC$500)+IF($C34="",0,SUMIF('DADOS BRUTOS'!$A$3:$A$500,$C34,'DADOS BRUTOS'!BC$3:BC$500)))</f>
        <v>1389.62</v>
      </c>
      <c r="ED34" s="133" t="n">
        <f aca="false">IF(OR(ED$4="",$B34=""),0,SUMIF('DADOS BRUTOS'!$A$3:$A$500,$B34,'DADOS BRUTOS'!BD$3:BD$500)+IF($C34="",0,SUMIF('DADOS BRUTOS'!$A$3:$A$500,$C34,'DADOS BRUTOS'!BD$3:BD$500)))</f>
        <v>0</v>
      </c>
      <c r="EE34" s="133" t="n">
        <f aca="false">IF(OR(EE$4="",$B34=""),0,SUMIF('DADOS BRUTOS'!$A$3:$A$500,$B34,'DADOS BRUTOS'!BE$3:BE$500)+IF($C34="",0,SUMIF('DADOS BRUTOS'!$A$3:$A$500,$C34,'DADOS BRUTOS'!BE$3:BE$500)))</f>
        <v>1052.8</v>
      </c>
      <c r="EF34" s="133" t="n">
        <f aca="false">IF(OR(EF$4="",$B34=""),0,SUMIF('DADOS BRUTOS'!$A$3:$A$500,$B34,'DADOS BRUTOS'!BF$3:BF$500)+IF($C34="",0,SUMIF('DADOS BRUTOS'!$A$3:$A$500,$C34,'DADOS BRUTOS'!BF$3:BF$500)))</f>
        <v>0</v>
      </c>
      <c r="EG34" s="133" t="n">
        <f aca="false">IF(OR(EG$4="",$B34=""),0,SUMIF('DADOS BRUTOS'!$A$3:$A$500,$B34,'DADOS BRUTOS'!BG$3:BG$500)+IF($C34="",0,SUMIF('DADOS BRUTOS'!$A$3:$A$500,$C34,'DADOS BRUTOS'!BG$3:BG$500)))</f>
        <v>0</v>
      </c>
      <c r="EH34" s="133" t="n">
        <f aca="false">IF(OR(EH$4="",$B34=""),0,SUMIF('DADOS BRUTOS'!$A$3:$A$500,$B34,'DADOS BRUTOS'!BH$3:BH$500)+IF($C34="",0,SUMIF('DADOS BRUTOS'!$A$3:$A$500,$C34,'DADOS BRUTOS'!BH$3:BH$500)))</f>
        <v>0</v>
      </c>
      <c r="EI34" s="133" t="n">
        <f aca="false">IF(OR(EI$4="",$B34=""),0,SUMIF('DADOS BRUTOS'!$A$3:$A$500,$B34,'DADOS BRUTOS'!BI$3:BI$500)+IF($C34="",0,SUMIF('DADOS BRUTOS'!$A$3:$A$500,$C34,'DADOS BRUTOS'!BI$3:BI$500)))</f>
        <v>0</v>
      </c>
      <c r="EJ34" s="133" t="n">
        <f aca="false">IF(OR(EJ$4="",$B34=""),0,SUMIF('DADOS BRUTOS'!$A$3:$A$500,$B34,'DADOS BRUTOS'!BJ$3:BJ$500)+IF($C34="",0,SUMIF('DADOS BRUTOS'!$A$3:$A$500,$C34,'DADOS BRUTOS'!BJ$3:BJ$500)))</f>
        <v>0</v>
      </c>
      <c r="EK34" s="133" t="n">
        <f aca="false">IF(OR(EK$4="",$B34=""),0,SUMIF('DADOS BRUTOS'!$A$3:$A$500,$B34,'DADOS BRUTOS'!BK$3:BK$500)+IF($C34="",0,SUMIF('DADOS BRUTOS'!$A$3:$A$500,$C34,'DADOS BRUTOS'!BK$3:BK$500)))</f>
        <v>0</v>
      </c>
      <c r="EL34" s="133" t="n">
        <f aca="false">IF(OR(EL$4="",$B34=""),0,SUMIF('DADOS BRUTOS'!$A$3:$A$500,$B34,'DADOS BRUTOS'!BL$3:BL$500)+IF($C34="",0,SUMIF('DADOS BRUTOS'!$A$3:$A$500,$C34,'DADOS BRUTOS'!BL$3:BL$500)))</f>
        <v>0</v>
      </c>
      <c r="EM34" s="133" t="n">
        <f aca="false">IF(OR(EM$4="",$B34=""),0,SUMIF('DADOS BRUTOS'!$A$3:$A$500,$B34,'DADOS BRUTOS'!BM$3:BM$500)+IF($C34="",0,SUMIF('DADOS BRUTOS'!$A$3:$A$500,$C34,'DADOS BRUTOS'!BM$3:BM$500)))</f>
        <v>0</v>
      </c>
      <c r="EN34" s="133" t="n">
        <f aca="false">IF(OR(EN$4="",$B34=""),0,SUMIF('DADOS BRUTOS'!$A$3:$A$500,$B34,'DADOS BRUTOS'!BN$3:BN$500)+IF($C34="",0,SUMIF('DADOS BRUTOS'!$A$3:$A$500,$C34,'DADOS BRUTOS'!BN$3:BN$500)))</f>
        <v>0</v>
      </c>
      <c r="EO34" s="133" t="n">
        <f aca="false">IF(OR(EO$4="",$B34=""),0,SUMIF('DADOS BRUTOS'!$A$3:$A$500,$B34,'DADOS BRUTOS'!BO$3:BO$500)+IF($C34="",0,SUMIF('DADOS BRUTOS'!$A$3:$A$500,$C34,'DADOS BRUTOS'!BO$3:BO$500)))</f>
        <v>0</v>
      </c>
      <c r="EP34" s="133" t="n">
        <f aca="false">IF(OR(EP$4="",$B34=""),0,SUMIF('DADOS BRUTOS'!$A$3:$A$500,$B34,'DADOS BRUTOS'!BP$3:BP$500)+IF($C34="",0,SUMIF('DADOS BRUTOS'!$A$3:$A$500,$C34,'DADOS BRUTOS'!BP$3:BP$500)))</f>
        <v>0</v>
      </c>
      <c r="EQ34" s="133" t="n">
        <f aca="false">IF(OR(EQ$4="",$B34=""),0,SUMIF('DADOS BRUTOS'!$A$3:$A$500,$B34,'DADOS BRUTOS'!BQ$3:BQ$500)+IF($C34="",0,SUMIF('DADOS BRUTOS'!$A$3:$A$500,$C34,'DADOS BRUTOS'!BQ$3:BQ$500)))</f>
        <v>0</v>
      </c>
      <c r="ER34" s="133" t="n">
        <f aca="false">IF(OR(ER$4="",$B34=""),0,SUMIF('DADOS BRUTOS'!$A$3:$A$500,$B34,'DADOS BRUTOS'!BR$3:BR$500)+IF($C34="",0,SUMIF('DADOS BRUTOS'!$A$3:$A$500,$C34,'DADOS BRUTOS'!BR$3:BR$500)))</f>
        <v>0</v>
      </c>
      <c r="ES34" s="133" t="n">
        <f aca="false">IF(OR(ES$4="",$B34=""),0,SUMIF('DADOS BRUTOS'!$A$3:$A$500,$B34,'DADOS BRUTOS'!BS$3:BS$500)+IF($C34="",0,SUMIF('DADOS BRUTOS'!$A$3:$A$500,$C34,'DADOS BRUTOS'!BS$3:BS$500)))</f>
        <v>0</v>
      </c>
      <c r="ET34" s="133" t="n">
        <f aca="false">IF(OR(ET$4="",$B34=""),0,SUMIF('DADOS BRUTOS'!$A$3:$A$500,$B34,'DADOS BRUTOS'!BT$3:BT$500)+IF($C34="",0,SUMIF('DADOS BRUTOS'!$A$3:$A$500,$C34,'DADOS BRUTOS'!BT$3:BT$500)))</f>
        <v>0</v>
      </c>
      <c r="EU34" s="133" t="n">
        <f aca="false">IF(OR(EU$4="",$B34=""),0,SUMIF('DADOS BRUTOS'!$A$3:$A$500,$B34,'DADOS BRUTOS'!BU$3:BU$500)+IF($C34="",0,SUMIF('DADOS BRUTOS'!$A$3:$A$500,$C34,'DADOS BRUTOS'!BU$3:BU$500)))</f>
        <v>0</v>
      </c>
      <c r="EV34" s="133" t="n">
        <f aca="false">IF(OR(EV$4="",$B34=""),0,SUMIF('DADOS BRUTOS'!$A$3:$A$500,$B34,'DADOS BRUTOS'!BV$3:BV$500)+IF($C34="",0,SUMIF('DADOS BRUTOS'!$A$3:$A$500,$C34,'DADOS BRUTOS'!BV$3:BV$500)))</f>
        <v>0</v>
      </c>
      <c r="EW34" s="133" t="n">
        <f aca="false">IF(OR(EW$4="",$B34=""),0,SUMIF('DADOS BRUTOS'!$A$3:$A$500,$B34,'DADOS BRUTOS'!BW$3:BW$500)+IF($C34="",0,SUMIF('DADOS BRUTOS'!$A$3:$A$500,$C34,'DADOS BRUTOS'!BW$3:BW$500)))</f>
        <v>0</v>
      </c>
      <c r="EX34" s="133" t="n">
        <f aca="false">IF(OR(EX$4="",$B34=""),0,SUMIF('DADOS BRUTOS'!$A$3:$A$500,$B34,'DADOS BRUTOS'!BX$3:BX$500)+IF($C34="",0,SUMIF('DADOS BRUTOS'!$A$3:$A$500,$C34,'DADOS BRUTOS'!BX$3:BX$500)))</f>
        <v>0</v>
      </c>
      <c r="EY34" s="133" t="n">
        <f aca="false">IF(OR(EY$4="",$B34=""),0,SUMIF('DADOS BRUTOS'!$A$3:$A$500,$B34,'DADOS BRUTOS'!BY$3:BY$500)+IF($C34="",0,SUMIF('DADOS BRUTOS'!$A$3:$A$500,$C34,'DADOS BRUTOS'!BY$3:BY$500)))</f>
        <v>0</v>
      </c>
      <c r="EZ34" s="133" t="n">
        <f aca="false">IF(OR(EZ$4="",$B34=""),0,SUMIF('DADOS BRUTOS'!$A$3:$A$500,$B34,'DADOS BRUTOS'!BZ$3:BZ$500)+IF($C34="",0,SUMIF('DADOS BRUTOS'!$A$3:$A$500,$C34,'DADOS BRUTOS'!BZ$3:BZ$500)))</f>
        <v>0</v>
      </c>
      <c r="FA34" s="133" t="n">
        <f aca="false">IF(OR(FA$4="",$B34=""),0,SUMIF('DADOS BRUTOS'!$A$3:$A$500,$B34,'DADOS BRUTOS'!CA$3:CA$500)+IF($C34="",0,SUMIF('DADOS BRUTOS'!$A$3:$A$500,$C34,'DADOS BRUTOS'!CA$3:CA$500)))</f>
        <v>0</v>
      </c>
      <c r="FB34" s="133" t="n">
        <f aca="false">IF(OR(FB$4="",$B34=""),0,SUMIF('DADOS BRUTOS'!$A$3:$A$500,$B34,'DADOS BRUTOS'!CB$3:CB$500)+IF($C34="",0,SUMIF('DADOS BRUTOS'!$A$3:$A$500,$C34,'DADOS BRUTOS'!CB$3:CB$500)))</f>
        <v>0</v>
      </c>
      <c r="FC34" s="133" t="n">
        <f aca="false">IF(OR(FC$4="",$B34=""),0,SUMIF('DADOS BRUTOS'!$A$3:$A$500,$B34,'DADOS BRUTOS'!CC$3:CC$500)+IF($C34="",0,SUMIF('DADOS BRUTOS'!$A$3:$A$500,$C34,'DADOS BRUTOS'!CC$3:CC$500)))</f>
        <v>0</v>
      </c>
      <c r="FD34" s="133" t="n">
        <f aca="false">IF(OR(FD$4="",$B34=""),0,SUMIF('DADOS BRUTOS'!$A$3:$A$500,$B34,'DADOS BRUTOS'!CD$3:CD$500)+IF($C34="",0,SUMIF('DADOS BRUTOS'!$A$3:$A$500,$C34,'DADOS BRUTOS'!CD$3:CD$500)))</f>
        <v>0</v>
      </c>
      <c r="FE34" s="133" t="n">
        <f aca="false">IF(OR(FE$4="",$B34=""),0,SUMIF('DADOS BRUTOS'!$A$3:$A$500,$B34,'DADOS BRUTOS'!CE$3:CE$500)+IF($C34="",0,SUMIF('DADOS BRUTOS'!$A$3:$A$500,$C34,'DADOS BRUTOS'!CE$3:CE$500)))</f>
        <v>0</v>
      </c>
      <c r="FF34" s="133" t="n">
        <f aca="false">IF(OR(FF$4="",$B34=""),0,SUMIF('DADOS BRUTOS'!$A$3:$A$500,$B34,'DADOS BRUTOS'!CF$3:CF$500)+IF($C34="",0,SUMIF('DADOS BRUTOS'!$A$3:$A$500,$C34,'DADOS BRUTOS'!CF$3:CF$500)))</f>
        <v>0</v>
      </c>
      <c r="FG34" s="133" t="n">
        <f aca="false">IF(OR(FG$4="",$B34=""),0,SUMIF('DADOS BRUTOS'!$A$3:$A$500,$B34,'DADOS BRUTOS'!CG$3:CG$500)+IF($C34="",0,SUMIF('DADOS BRUTOS'!$A$3:$A$500,$C34,'DADOS BRUTOS'!CG$3:CG$500)))</f>
        <v>0</v>
      </c>
      <c r="FH34" s="133" t="n">
        <f aca="false">IF(OR(FH$4="",$B34=""),0,SUMIF('DADOS BRUTOS'!$A$3:$A$500,$B34,'DADOS BRUTOS'!CH$3:CH$500)+IF($C34="",0,SUMIF('DADOS BRUTOS'!$A$3:$A$500,$C34,'DADOS BRUTOS'!CH$3:CH$500)))</f>
        <v>0</v>
      </c>
      <c r="FI34" s="133" t="n">
        <f aca="false">IF(OR(FI$4="",$B34=""),0,SUMIF('DADOS BRUTOS'!$A$3:$A$500,$B34,'DADOS BRUTOS'!CI$3:CI$500)+IF($C34="",0,SUMIF('DADOS BRUTOS'!$A$3:$A$500,$C34,'DADOS BRUTOS'!CI$3:CI$500)))</f>
        <v>0</v>
      </c>
      <c r="FJ34" s="133" t="n">
        <f aca="false">IF(OR(FJ$4="",$B34=""),0,SUMIF('DADOS BRUTOS'!$A$3:$A$500,$B34,'DADOS BRUTOS'!CJ$3:CJ$500)+IF($C34="",0,SUMIF('DADOS BRUTOS'!$A$3:$A$500,$C34,'DADOS BRUTOS'!CJ$3:CJ$500)))</f>
        <v>0</v>
      </c>
      <c r="FK34" s="133" t="n">
        <f aca="false">IF(OR(FK$4="",$B34=""),0,SUMIF('DADOS BRUTOS'!$A$3:$A$500,$B34,'DADOS BRUTOS'!CK$3:CK$500)+IF($C34="",0,SUMIF('DADOS BRUTOS'!$A$3:$A$500,$C34,'DADOS BRUTOS'!CK$3:CK$500)))</f>
        <v>0</v>
      </c>
      <c r="FL34" s="133" t="n">
        <f aca="false">IF(OR(FL$4="",$B34=""),0,SUMIF('DADOS BRUTOS'!$A$3:$A$500,$B34,'DADOS BRUTOS'!CL$3:CL$500)+IF($C34="",0,SUMIF('DADOS BRUTOS'!$A$3:$A$500,$C34,'DADOS BRUTOS'!CL$3:CL$500)))</f>
        <v>0</v>
      </c>
      <c r="FM34" s="133" t="n">
        <f aca="false">IF(OR(FM$4="",$B34=""),0,SUMIF('DADOS BRUTOS'!$A$3:$A$500,$B34,'DADOS BRUTOS'!CM$3:CM$500)+IF($C34="",0,SUMIF('DADOS BRUTOS'!$A$3:$A$500,$C34,'DADOS BRUTOS'!CM$3:CM$500)))</f>
        <v>0</v>
      </c>
      <c r="FN34" s="133" t="n">
        <f aca="false">IF(OR(FN$4="",$B34=""),0,SUMIF('DADOS BRUTOS'!$A$3:$A$500,$B34,'DADOS BRUTOS'!CN$3:CN$500)+IF($C34="",0,SUMIF('DADOS BRUTOS'!$A$3:$A$500,$C34,'DADOS BRUTOS'!CN$3:CN$500)))</f>
        <v>0</v>
      </c>
      <c r="FO34" s="133" t="n">
        <f aca="false">IF(OR(FO$4="",$B34=""),0,SUMIF('DADOS BRUTOS'!$A$3:$A$500,$B34,'DADOS BRUTOS'!CO$3:CO$500)+IF($C34="",0,SUMIF('DADOS BRUTOS'!$A$3:$A$500,$C34,'DADOS BRUTOS'!CO$3:CO$500)))</f>
        <v>0</v>
      </c>
      <c r="FP34" s="133" t="n">
        <f aca="false">IF(OR(FP$4="",$B34=""),0,SUMIF('DADOS BRUTOS'!$A$3:$A$500,$B34,'DADOS BRUTOS'!CP$3:CP$500)+IF($C34="",0,SUMIF('DADOS BRUTOS'!$A$3:$A$500,$C34,'DADOS BRUTOS'!CP$3:CP$500)))</f>
        <v>0</v>
      </c>
      <c r="FQ34" s="133" t="n">
        <f aca="false">IF(OR(FQ$4="",$B34=""),0,SUMIF('DADOS BRUTOS'!$A$3:$A$500,$B34,'DADOS BRUTOS'!CQ$3:CQ$500)+IF($C34="",0,SUMIF('DADOS BRUTOS'!$A$3:$A$500,$C34,'DADOS BRUTOS'!CQ$3:CQ$500)))</f>
        <v>0</v>
      </c>
      <c r="FR34" s="133" t="n">
        <f aca="false">IF(OR(FR$4="",$B34=""),0,SUMIF('DADOS BRUTOS'!$A$3:$A$500,$B34,'DADOS BRUTOS'!CR$3:CR$500)+IF($C34="",0,SUMIF('DADOS BRUTOS'!$A$3:$A$500,$C34,'DADOS BRUTOS'!CR$3:CR$500)))</f>
        <v>0</v>
      </c>
      <c r="FS34" s="133" t="n">
        <f aca="false">IF(OR(FS$4="",$B34=""),0,SUMIF('DADOS BRUTOS'!$A$3:$A$500,$B34,'DADOS BRUTOS'!CS$3:CS$500)+IF($C34="",0,SUMIF('DADOS BRUTOS'!$A$3:$A$500,$C34,'DADOS BRUTOS'!CS$3:CS$500)))</f>
        <v>0</v>
      </c>
      <c r="FT34" s="133" t="n">
        <f aca="false">IF(OR(FT$4="",$B34=""),0,SUMIF('DADOS BRUTOS'!$A$3:$A$500,$B34,'DADOS BRUTOS'!CT$3:CT$500)+IF($C34="",0,SUMIF('DADOS BRUTOS'!$A$3:$A$500,$C34,'DADOS BRUTOS'!CT$3:CT$500)))</f>
        <v>0</v>
      </c>
      <c r="FU34" s="133" t="n">
        <f aca="false">IF(OR(FU$4="",$B34=""),0,SUMIF('DADOS BRUTOS'!$A$3:$A$500,$B34,'DADOS BRUTOS'!CU$3:CU$500)+IF($C34="",0,SUMIF('DADOS BRUTOS'!$A$3:$A$500,$C34,'DADOS BRUTOS'!CU$3:CU$500)))</f>
        <v>0</v>
      </c>
      <c r="FV34" s="133" t="n">
        <f aca="false">IF(OR(FV$4="",$B34=""),0,SUMIF('DADOS BRUTOS'!$A$3:$A$500,$B34,'DADOS BRUTOS'!CV$3:CV$500)+IF($C34="",0,SUMIF('DADOS BRUTOS'!$A$3:$A$500,$C34,'DADOS BRUTOS'!CV$3:CV$500)))</f>
        <v>0</v>
      </c>
      <c r="FW34" s="133" t="n">
        <f aca="false">IF(OR(FW$4="",$B34=""),0,SUMIF('DADOS BRUTOS'!$A$3:$A$500,$B34,'DADOS BRUTOS'!CW$3:CW$500)+IF($C34="",0,SUMIF('DADOS BRUTOS'!$A$3:$A$500,$C34,'DADOS BRUTOS'!CW$3:CW$500)))</f>
        <v>0</v>
      </c>
      <c r="FX34" s="133" t="n">
        <f aca="false">IF(OR(FX$4="",$B34=""),0,SUMIF('DADOS BRUTOS'!$A$3:$A$500,$B34,'DADOS BRUTOS'!CX$3:CX$500)+IF($C34="",0,SUMIF('DADOS BRUTOS'!$A$3:$A$500,$C34,'DADOS BRUTOS'!CX$3:CX$500)))</f>
        <v>0</v>
      </c>
      <c r="FY34" s="133" t="n">
        <f aca="false">IF(OR(FY$4="",$B34=""),0,SUMIF('DADOS BRUTOS'!$A$3:$A$500,$B34,'DADOS BRUTOS'!CY$3:CY$500)+IF($C34="",0,SUMIF('DADOS BRUTOS'!$A$3:$A$500,$C34,'DADOS BRUTOS'!CY$3:CY$500)))</f>
        <v>0</v>
      </c>
      <c r="FZ34" s="133" t="n">
        <f aca="false">IF(OR(FZ$4="",$B34=""),0,SUMIF('DADOS BRUTOS'!$A$3:$A$500,$B34,'DADOS BRUTOS'!CZ$3:CZ$500)+IF($C34="",0,SUMIF('DADOS BRUTOS'!$A$3:$A$500,$C34,'DADOS BRUTOS'!CZ$3:CZ$500)))</f>
        <v>0</v>
      </c>
      <c r="GA34" s="133" t="n">
        <f aca="false">IF(OR(GA$4="",$B34=""),0,SUMIF('DADOS BRUTOS'!$A$3:$A$500,$B34,'DADOS BRUTOS'!DA$3:DA$500)+IF($C34="",0,SUMIF('DADOS BRUTOS'!$A$3:$A$500,$C34,'DADOS BRUTOS'!DA$3:DA$500)))</f>
        <v>0</v>
      </c>
      <c r="GB34" s="133" t="n">
        <f aca="false">IF(OR(GB$4="",$B34=""),0,SUMIF('DADOS BRUTOS'!$A$3:$A$500,$B34,'DADOS BRUTOS'!DB$3:DB$500)+IF($C34="",0,SUMIF('DADOS BRUTOS'!$A$3:$A$500,$C34,'DADOS BRUTOS'!DB$3:DB$500)))</f>
        <v>0</v>
      </c>
      <c r="GC34" s="133" t="n">
        <f aca="false">IF(OR(GC$4="",$B34=""),0,SUMIF('DADOS BRUTOS'!$A$3:$A$500,$B34,'DADOS BRUTOS'!DC$3:DC$500)+IF($C34="",0,SUMIF('DADOS BRUTOS'!$A$3:$A$500,$C34,'DADOS BRUTOS'!DC$3:DC$500)))</f>
        <v>0</v>
      </c>
      <c r="GD34" s="133" t="n">
        <f aca="false">IF(OR(GD$4="",$B34=""),0,SUMIF('DADOS BRUTOS'!$A$3:$A$500,$B34,'DADOS BRUTOS'!DD$3:DD$500)+IF($C34="",0,SUMIF('DADOS BRUTOS'!$A$3:$A$500,$C34,'DADOS BRUTOS'!DD$3:DD$500)))</f>
        <v>0</v>
      </c>
      <c r="GE34" s="133" t="n">
        <f aca="false">IF(OR(GE$4="",$B34=""),0,SUMIF('DADOS BRUTOS'!$A$3:$A$500,$B34,'DADOS BRUTOS'!DE$3:DE$500)+IF($C34="",0,SUMIF('DADOS BRUTOS'!$A$3:$A$500,$C34,'DADOS BRUTOS'!DE$3:DE$500)))</f>
        <v>0</v>
      </c>
      <c r="GF34" s="133" t="n">
        <f aca="false">IF(OR(GF$4="",$B34=""),0,SUMIF('DADOS BRUTOS'!$A$3:$A$500,$B34,'DADOS BRUTOS'!DF$3:DF$500)+IF($C34="",0,SUMIF('DADOS BRUTOS'!$A$3:$A$500,$C34,'DADOS BRUTOS'!DF$3:DF$500)))</f>
        <v>0</v>
      </c>
      <c r="GG34" s="133" t="n">
        <f aca="false">IF(OR(GG$4="",$B34=""),0,SUMIF('DADOS BRUTOS'!$A$3:$A$500,$B34,'DADOS BRUTOS'!DG$3:DG$500)+IF($C34="",0,SUMIF('DADOS BRUTOS'!$A$3:$A$500,$C34,'DADOS BRUTOS'!DG$3:DG$500)))</f>
        <v>0</v>
      </c>
      <c r="GH34" s="133" t="n">
        <f aca="false">IF(OR(GH$4="",$B34=""),0,SUMIF('DADOS BRUTOS'!$A$3:$A$500,$B34,'DADOS BRUTOS'!DH$3:DH$500)+IF($C34="",0,SUMIF('DADOS BRUTOS'!$A$3:$A$500,$C34,'DADOS BRUTOS'!DH$3:DH$500)))</f>
        <v>0</v>
      </c>
      <c r="GI34" s="133" t="n">
        <f aca="false">IF(OR(GI$4="",$B34=""),0,SUMIF('DADOS BRUTOS'!$A$3:$A$500,$B34,'DADOS BRUTOS'!DI$3:DI$500)+IF($C34="",0,SUMIF('DADOS BRUTOS'!$A$3:$A$500,$C34,'DADOS BRUTOS'!DI$3:DI$500)))</f>
        <v>0</v>
      </c>
      <c r="GJ34" s="133" t="n">
        <f aca="false">IF(OR(GJ$4="",$B34=""),0,SUMIF('DADOS BRUTOS'!$A$3:$A$500,$B34,'DADOS BRUTOS'!DJ$3:DJ$500)+IF($C34="",0,SUMIF('DADOS BRUTOS'!$A$3:$A$500,$C34,'DADOS BRUTOS'!DJ$3:DJ$500)))</f>
        <v>0</v>
      </c>
      <c r="GK34" s="133" t="n">
        <f aca="false">IF(OR(GK$4="",$B34=""),0,SUMIF('DADOS BRUTOS'!$A$3:$A$500,$B34,'DADOS BRUTOS'!DK$3:DK$500)+IF($C34="",0,SUMIF('DADOS BRUTOS'!$A$3:$A$500,$C34,'DADOS BRUTOS'!DK$3:DK$500)))</f>
        <v>0</v>
      </c>
      <c r="GL34" s="133" t="n">
        <f aca="false">IF(OR(GL$4="",$B34=""),0,SUMIF('DADOS BRUTOS'!$A$3:$A$500,$B34,'DADOS BRUTOS'!DL$3:DL$500)+IF($C34="",0,SUMIF('DADOS BRUTOS'!$A$3:$A$500,$C34,'DADOS BRUTOS'!DL$3:DL$500)))</f>
        <v>0</v>
      </c>
      <c r="GM34" s="133" t="n">
        <f aca="false">IF(OR(GM$4="",$B34=""),0,SUMIF('DADOS BRUTOS'!$A$3:$A$500,$B34,'DADOS BRUTOS'!DM$3:DM$500)+IF($C34="",0,SUMIF('DADOS BRUTOS'!$A$3:$A$500,$C34,'DADOS BRUTOS'!DM$3:DM$500)))</f>
        <v>0</v>
      </c>
      <c r="GN34" s="133" t="n">
        <f aca="false">IF(OR(GN$4="",$B34=""),0,SUMIF('DADOS BRUTOS'!$A$3:$A$500,$B34,'DADOS BRUTOS'!DN$3:DN$500)+IF($C34="",0,SUMIF('DADOS BRUTOS'!$A$3:$A$500,$C34,'DADOS BRUTOS'!DN$3:DN$500)))</f>
        <v>0</v>
      </c>
      <c r="GO34" s="133" t="n">
        <f aca="false">IF(OR(GO$4="",$B34=""),0,SUMIF('DADOS BRUTOS'!$A$3:$A$500,$B34,'DADOS BRUTOS'!DO$3:DO$500)+IF($C34="",0,SUMIF('DADOS BRUTOS'!$A$3:$A$500,$C34,'DADOS BRUTOS'!DO$3:DO$500)))</f>
        <v>0</v>
      </c>
      <c r="GP34" s="133" t="n">
        <f aca="false">IF(OR(GP$4="",$B34=""),0,SUMIF('DADOS BRUTOS'!$A$3:$A$500,$B34,'DADOS BRUTOS'!DP$3:DP$500)+IF($C34="",0,SUMIF('DADOS BRUTOS'!$A$3:$A$500,$C34,'DADOS BRUTOS'!DP$3:DP$500)))</f>
        <v>0</v>
      </c>
      <c r="GQ34" s="133" t="n">
        <f aca="false">IF(OR(GQ$4="",$B34=""),0,SUMIF('DADOS BRUTOS'!$A$3:$A$500,$B34,'DADOS BRUTOS'!DQ$3:DQ$500)+IF($C34="",0,SUMIF('DADOS BRUTOS'!$A$3:$A$500,$C34,'DADOS BRUTOS'!DQ$3:DQ$500)))</f>
        <v>0</v>
      </c>
      <c r="GR34" s="133" t="n">
        <f aca="false">IF(OR(GR$4="",$B34=""),0,SUMIF('DADOS BRUTOS'!$A$3:$A$500,$B34,'DADOS BRUTOS'!DR$3:DR$500)+IF($C34="",0,SUMIF('DADOS BRUTOS'!$A$3:$A$500,$C34,'DADOS BRUTOS'!DR$3:DR$500)))</f>
        <v>0</v>
      </c>
      <c r="GS34" s="133" t="n">
        <f aca="false">IF(OR(GS$4="",$B34=""),0,SUMIF('DADOS BRUTOS'!$A$3:$A$500,$B34,'DADOS BRUTOS'!DS$3:DS$500)+IF($C34="",0,SUMIF('DADOS BRUTOS'!$A$3:$A$500,$C34,'DADOS BRUTOS'!DS$3:DS$500)))</f>
        <v>0</v>
      </c>
      <c r="GT34" s="133" t="n">
        <f aca="false">IF(OR(GT$4="",$B34=""),0,SUMIF('DADOS BRUTOS'!$A$3:$A$500,$B34,'DADOS BRUTOS'!DT$3:DT$500)+IF($C34="",0,SUMIF('DADOS BRUTOS'!$A$3:$A$500,$C34,'DADOS BRUTOS'!DT$3:DT$500)))</f>
        <v>0</v>
      </c>
      <c r="GU34" s="133" t="n">
        <f aca="false">IF(OR(GU$4="",$B34=""),0,SUMIF('DADOS BRUTOS'!$A$3:$A$500,$B34,'DADOS BRUTOS'!DU$3:DU$500)+IF($C34="",0,SUMIF('DADOS BRUTOS'!$A$3:$A$500,$C34,'DADOS BRUTOS'!DU$3:DU$500)))</f>
        <v>0</v>
      </c>
      <c r="GV34" s="133" t="n">
        <f aca="false">IF(OR(GV$4="",$B34=""),0,SUMIF('DADOS BRUTOS'!$A$3:$A$500,$B34,'DADOS BRUTOS'!DV$3:DV$500)+IF($C34="",0,SUMIF('DADOS BRUTOS'!$A$3:$A$500,$C34,'DADOS BRUTOS'!DV$3:DV$500)))</f>
        <v>0</v>
      </c>
      <c r="GW34" s="133" t="n">
        <f aca="false">IF(OR(GW$4="",$B34=""),0,SUMIF('DADOS BRUTOS'!$A$3:$A$500,$B34,'DADOS BRUTOS'!DW$3:DW$500)+IF($C34="",0,SUMIF('DADOS BRUTOS'!$A$3:$A$500,$C34,'DADOS BRUTOS'!DW$3:DW$500)))</f>
        <v>0</v>
      </c>
      <c r="GX34" s="133" t="n">
        <f aca="false">IF(OR(GX$4="",$B34=""),0,SUMIF('DADOS BRUTOS'!$A$3:$A$500,$B34,'DADOS BRUTOS'!DX$3:DX$500)+IF($C34="",0,SUMIF('DADOS BRUTOS'!$A$3:$A$500,$C34,'DADOS BRUTOS'!DX$3:DX$500)))</f>
        <v>0</v>
      </c>
      <c r="GY34" s="133" t="n">
        <f aca="false">IF(OR(GY$4="",$B34=""),0,SUMIF('DADOS BRUTOS'!$A$3:$A$500,$B34,'DADOS BRUTOS'!DY$3:DY$500)+IF($C34="",0,SUMIF('DADOS BRUTOS'!$A$3:$A$500,$C34,'DADOS BRUTOS'!DY$3:DY$500)))</f>
        <v>0</v>
      </c>
      <c r="GZ34" s="133" t="n">
        <f aca="false">IF(OR(GZ$4="",$B34=""),0,SUMIF('DADOS BRUTOS'!$A$3:$A$500,$B34,'DADOS BRUTOS'!DZ$3:DZ$500)+IF($C34="",0,SUMIF('DADOS BRUTOS'!$A$3:$A$500,$C34,'DADOS BRUTOS'!DZ$3:DZ$500)))</f>
        <v>0</v>
      </c>
      <c r="HA34" s="133" t="n">
        <f aca="false">IF(OR(HA$4="",$B34=""),0,SUMIF('DADOS BRUTOS'!$A$3:$A$500,$B34,'DADOS BRUTOS'!EA$3:EA$500)+IF($C34="",0,SUMIF('DADOS BRUTOS'!$A$3:$A$500,$C34,'DADOS BRUTOS'!EA$3:EA$500)))</f>
        <v>0</v>
      </c>
      <c r="HB34" s="133" t="n">
        <f aca="false">IF(OR(HB$4="",$B34=""),0,SUMIF('DADOS BRUTOS'!$A$3:$A$500,$B34,'DADOS BRUTOS'!EB$3:EB$500)+IF($C34="",0,SUMIF('DADOS BRUTOS'!$A$3:$A$500,$C34,'DADOS BRUTOS'!EB$3:EB$500)))</f>
        <v>0</v>
      </c>
      <c r="HC34" s="133" t="n">
        <f aca="false">IF(OR(HC$4="",$B34=""),0,SUMIF('DADOS BRUTOS'!$A$3:$A$500,$B34,'DADOS BRUTOS'!EC$3:EC$500)+IF($C34="",0,SUMIF('DADOS BRUTOS'!$A$3:$A$500,$C34,'DADOS BRUTOS'!EC$3:EC$500)))</f>
        <v>0</v>
      </c>
      <c r="HD34" s="133" t="n">
        <f aca="false">IF(OR(HD$4="",$B34=""),0,SUMIF('DADOS BRUTOS'!$A$3:$A$500,$B34,'DADOS BRUTOS'!ED$3:ED$500)+IF($C34="",0,SUMIF('DADOS BRUTOS'!$A$3:$A$500,$C34,'DADOS BRUTOS'!ED$3:ED$500)))</f>
        <v>0</v>
      </c>
      <c r="HE34" s="133" t="n">
        <f aca="false">IF(OR(HE$4="",$B34=""),0,SUMIF('DADOS BRUTOS'!$A$3:$A$500,$B34,'DADOS BRUTOS'!EE$3:EE$500)+IF($C34="",0,SUMIF('DADOS BRUTOS'!$A$3:$A$500,$C34,'DADOS BRUTOS'!EE$3:EE$500)))</f>
        <v>0</v>
      </c>
      <c r="HF34" s="133" t="n">
        <f aca="false">IF(OR(HF$4="",$B34=""),0,SUMIF('DADOS BRUTOS'!$A$3:$A$500,$B34,'DADOS BRUTOS'!EF$3:EF$500)+IF($C34="",0,SUMIF('DADOS BRUTOS'!$A$3:$A$500,$C34,'DADOS BRUTOS'!EF$3:EF$500)))</f>
        <v>0</v>
      </c>
      <c r="HG34" s="133" t="n">
        <f aca="false">IF(OR(HG$4="",$B34=""),0,SUMIF('DADOS BRUTOS'!$A$3:$A$500,$B34,'DADOS BRUTOS'!EG$3:EG$500)+IF($C34="",0,SUMIF('DADOS BRUTOS'!$A$3:$A$500,$C34,'DADOS BRUTOS'!EG$3:EG$500)))</f>
        <v>0</v>
      </c>
      <c r="HH34" s="133" t="n">
        <f aca="false">IF(OR(HH$4="",$B34=""),0,SUMIF('DADOS BRUTOS'!$A$3:$A$500,$B34,'DADOS BRUTOS'!EH$3:EH$500)+IF($C34="",0,SUMIF('DADOS BRUTOS'!$A$3:$A$500,$C34,'DADOS BRUTOS'!EH$3:EH$500)))</f>
        <v>0</v>
      </c>
      <c r="HI34" s="133" t="n">
        <f aca="false">IF(OR(HI$4="",$B34=""),0,SUMIF('DADOS BRUTOS'!$A$3:$A$500,$B34,'DADOS BRUTOS'!EI$3:EI$500)+IF($C34="",0,SUMIF('DADOS BRUTOS'!$A$3:$A$500,$C34,'DADOS BRUTOS'!EI$3:EI$500)))</f>
        <v>0</v>
      </c>
      <c r="HJ34" s="133" t="n">
        <f aca="false">IF(OR(HJ$4="",$B34=""),0,SUMIF('DADOS BRUTOS'!$A$3:$A$500,$B34,'DADOS BRUTOS'!EJ$3:EJ$500)+IF($C34="",0,SUMIF('DADOS BRUTOS'!$A$3:$A$500,$C34,'DADOS BRUTOS'!EJ$3:EJ$500)))</f>
        <v>0</v>
      </c>
      <c r="HK34" s="133" t="n">
        <f aca="false">IF(OR(HK$4="",$B34=""),0,SUMIF('DADOS BRUTOS'!$A$3:$A$500,$B34,'DADOS BRUTOS'!EK$3:EK$500)+IF($C34="",0,SUMIF('DADOS BRUTOS'!$A$3:$A$500,$C34,'DADOS BRUTOS'!EK$3:EK$500)))</f>
        <v>0</v>
      </c>
      <c r="HL34" s="133" t="n">
        <f aca="false">IF(OR(HL$4="",$B34=""),0,SUMIF('DADOS BRUTOS'!$A$3:$A$500,$B34,'DADOS BRUTOS'!EL$3:EL$500)+IF($C34="",0,SUMIF('DADOS BRUTOS'!$A$3:$A$500,$C34,'DADOS BRUTOS'!EL$3:EL$500)))</f>
        <v>0</v>
      </c>
      <c r="HM34" s="133" t="n">
        <f aca="false">IF(OR(HM$4="",$B34=""),0,SUMIF('DADOS BRUTOS'!$A$3:$A$500,$B34,'DADOS BRUTOS'!EM$3:EM$500)+IF($C34="",0,SUMIF('DADOS BRUTOS'!$A$3:$A$500,$C34,'DADOS BRUTOS'!EM$3:EM$500)))</f>
        <v>0</v>
      </c>
      <c r="HN34" s="133" t="n">
        <f aca="false">IF(OR(HN$4="",$B34=""),0,SUMIF('DADOS BRUTOS'!$A$3:$A$500,$B34,'DADOS BRUTOS'!EN$3:EN$500)+IF($C34="",0,SUMIF('DADOS BRUTOS'!$A$3:$A$500,$C34,'DADOS BRUTOS'!EN$3:EN$500)))</f>
        <v>0</v>
      </c>
      <c r="HO34" s="133" t="n">
        <f aca="false">IF(OR(HO$4="",$B34=""),0,SUMIF('DADOS BRUTOS'!$A$3:$A$500,$B34,'DADOS BRUTOS'!EO$3:EO$500)+IF($C34="",0,SUMIF('DADOS BRUTOS'!$A$3:$A$500,$C34,'DADOS BRUTOS'!EO$3:EO$500)))</f>
        <v>0</v>
      </c>
      <c r="HP34" s="133" t="n">
        <f aca="false">IF(OR(HP$4="",$B34=""),0,SUMIF('DADOS BRUTOS'!$A$3:$A$500,$B34,'DADOS BRUTOS'!EP$3:EP$500)+IF($C34="",0,SUMIF('DADOS BRUTOS'!$A$3:$A$500,$C34,'DADOS BRUTOS'!EP$3:EP$500)))</f>
        <v>0</v>
      </c>
      <c r="HQ34" s="133" t="n">
        <f aca="false">IF(OR(HQ$4="",$B34=""),0,SUMIF('DADOS BRUTOS'!$A$3:$A$500,$B34,'DADOS BRUTOS'!EQ$3:EQ$500)+IF($C34="",0,SUMIF('DADOS BRUTOS'!$A$3:$A$500,$C34,'DADOS BRUTOS'!EQ$3:EQ$500)))</f>
        <v>0</v>
      </c>
      <c r="HR34" s="133" t="n">
        <f aca="false">IF(OR(HR$4="",$B34=""),0,SUMIF('DADOS BRUTOS'!$A$3:$A$500,$B34,'DADOS BRUTOS'!ER$3:ER$500)+IF($C34="",0,SUMIF('DADOS BRUTOS'!$A$3:$A$500,$C34,'DADOS BRUTOS'!ER$3:ER$500)))</f>
        <v>0</v>
      </c>
      <c r="HS34" s="133" t="n">
        <f aca="false">IF(OR(HS$4="",$B34=""),0,SUMIF('DADOS BRUTOS'!$A$3:$A$500,$B34,'DADOS BRUTOS'!ES$3:ES$500)+IF($C34="",0,SUMIF('DADOS BRUTOS'!$A$3:$A$500,$C34,'DADOS BRUTOS'!ES$3:ES$500)))</f>
        <v>0</v>
      </c>
      <c r="HT34" s="133" t="n">
        <f aca="false">IF(OR(HT$4="",$B34=""),0,SUMIF('DADOS BRUTOS'!$A$3:$A$500,$B34,'DADOS BRUTOS'!ET$3:ET$500)+IF($C34="",0,SUMIF('DADOS BRUTOS'!$A$3:$A$500,$C34,'DADOS BRUTOS'!ET$3:ET$500)))</f>
        <v>0</v>
      </c>
      <c r="HU34" s="133" t="n">
        <f aca="false">IF(OR(HU$4="",$B34=""),0,SUMIF('DADOS BRUTOS'!$A$3:$A$500,$B34,'DADOS BRUTOS'!EU$3:EU$500)+IF($C34="",0,SUMIF('DADOS BRUTOS'!$A$3:$A$500,$C34,'DADOS BRUTOS'!EU$3:EU$500)))</f>
        <v>0</v>
      </c>
      <c r="HV34" s="133" t="n">
        <f aca="false">IF(OR(HV$4="",$B34=""),0,SUMIF('DADOS BRUTOS'!$A$3:$A$500,$B34,'DADOS BRUTOS'!EV$3:EV$500)+IF($C34="",0,SUMIF('DADOS BRUTOS'!$A$3:$A$500,$C34,'DADOS BRUTOS'!EV$3:EV$500)))</f>
        <v>0</v>
      </c>
      <c r="HW34" s="133" t="n">
        <f aca="false">IF(OR(HW$4="",$B34=""),0,SUMIF('DADOS BRUTOS'!$A$3:$A$500,$B34,'DADOS BRUTOS'!EW$3:EW$500)+IF($C34="",0,SUMIF('DADOS BRUTOS'!$A$3:$A$500,$C34,'DADOS BRUTOS'!EW$3:EW$500)))</f>
        <v>0</v>
      </c>
      <c r="HX34" s="133" t="n">
        <f aca="false">IF(OR(HX$4="",$B34=""),0,SUMIF('DADOS BRUTOS'!$A$3:$A$500,$B34,'DADOS BRUTOS'!EX$3:EX$500)+IF($C34="",0,SUMIF('DADOS BRUTOS'!$A$3:$A$500,$C34,'DADOS BRUTOS'!EX$3:EX$500)))</f>
        <v>0</v>
      </c>
      <c r="HY34" s="133" t="n">
        <f aca="false">IF(OR(HY$4="",$B34=""),0,SUMIF('DADOS BRUTOS'!$A$3:$A$500,$B34,'DADOS BRUTOS'!EY$3:EY$500)+IF($C34="",0,SUMIF('DADOS BRUTOS'!$A$3:$A$500,$C34,'DADOS BRUTOS'!EY$3:EY$500)))</f>
        <v>0</v>
      </c>
      <c r="HZ34" s="133" t="n">
        <f aca="false">IF(OR(HZ$4="",$B34=""),0,SUMIF('DADOS BRUTOS'!$A$3:$A$500,$B34,'DADOS BRUTOS'!EZ$3:EZ$500)+IF($C34="",0,SUMIF('DADOS BRUTOS'!$A$3:$A$500,$C34,'DADOS BRUTOS'!EZ$3:EZ$500)))</f>
        <v>0</v>
      </c>
      <c r="IA34" s="133" t="n">
        <f aca="false">IF(OR(IA$4="",$B34=""),0,SUMIF('DADOS BRUTOS'!$A$3:$A$500,$B34,'DADOS BRUTOS'!FA$3:FA$500)+IF($C34="",0,SUMIF('DADOS BRUTOS'!$A$3:$A$500,$C34,'DADOS BRUTOS'!FA$3:FA$500)))</f>
        <v>0</v>
      </c>
      <c r="IB34" s="133" t="n">
        <f aca="false">IF(OR(IB$4="",$B34=""),0,SUMIF('DADOS BRUTOS'!$A$3:$A$500,$B34,'DADOS BRUTOS'!FB$3:FB$500)+IF($C34="",0,SUMIF('DADOS BRUTOS'!$A$3:$A$500,$C34,'DADOS BRUTOS'!FB$3:FB$500)))</f>
        <v>0</v>
      </c>
      <c r="IC34" s="133" t="n">
        <f aca="false">IF(OR(IC$4="",$B34=""),0,SUMIF('DADOS BRUTOS'!$A$3:$A$500,$B34,'DADOS BRUTOS'!FC$3:FC$500)+IF($C34="",0,SUMIF('DADOS BRUTOS'!$A$3:$A$500,$C34,'DADOS BRUTOS'!FC$3:FC$500)))</f>
        <v>0</v>
      </c>
      <c r="ID34" s="133" t="n">
        <f aca="false">IF(OR(ID$4="",$B34=""),0,SUMIF('DADOS BRUTOS'!$A$3:$A$500,$B34,'DADOS BRUTOS'!FD$3:FD$500)+IF($C34="",0,SUMIF('DADOS BRUTOS'!$A$3:$A$500,$C34,'DADOS BRUTOS'!FD$3:FD$500)))</f>
        <v>0</v>
      </c>
      <c r="IE34" s="133" t="n">
        <f aca="false">IF(OR(IE$4="",$B34=""),0,SUMIF('DADOS BRUTOS'!$A$3:$A$500,$B34,'DADOS BRUTOS'!FE$3:FE$500)+IF($C34="",0,SUMIF('DADOS BRUTOS'!$A$3:$A$500,$C34,'DADOS BRUTOS'!FE$3:FE$500)))</f>
        <v>0</v>
      </c>
      <c r="IF34" s="133" t="n">
        <f aca="false">IF(OR(IF$4="",$B34=""),0,SUMIF('DADOS BRUTOS'!$A$3:$A$500,$B34,'DADOS BRUTOS'!FF$3:FF$500)+IF($C34="",0,SUMIF('DADOS BRUTOS'!$A$3:$A$500,$C34,'DADOS BRUTOS'!FF$3:FF$500)))</f>
        <v>0</v>
      </c>
      <c r="IG34" s="133" t="n">
        <f aca="false">IF(OR(IG$4="",$B34=""),0,SUMIF('DADOS BRUTOS'!$A$3:$A$500,$B34,'DADOS BRUTOS'!FG$3:FG$500)+IF($C34="",0,SUMIF('DADOS BRUTOS'!$A$3:$A$500,$C34,'DADOS BRUTOS'!FG$3:FG$500)))</f>
        <v>0</v>
      </c>
      <c r="IH34" s="133" t="n">
        <f aca="false">IF(OR(IH$4="",$B34=""),0,SUMIF('DADOS BRUTOS'!$A$3:$A$500,$B34,'DADOS BRUTOS'!FH$3:FH$500)+IF($C34="",0,SUMIF('DADOS BRUTOS'!$A$3:$A$500,$C34,'DADOS BRUTOS'!FH$3:FH$500)))</f>
        <v>0</v>
      </c>
      <c r="II34" s="133" t="n">
        <f aca="false">IF(OR(II$4="",$B34=""),0,SUMIF('DADOS BRUTOS'!$A$3:$A$500,$B34,'DADOS BRUTOS'!FI$3:FI$500)+IF($C34="",0,SUMIF('DADOS BRUTOS'!$A$3:$A$500,$C34,'DADOS BRUTOS'!FI$3:FI$500)))</f>
        <v>0</v>
      </c>
      <c r="IJ34" s="133" t="n">
        <f aca="false">IF(OR(IJ$4="",$B34=""),0,SUMIF('DADOS BRUTOS'!$A$3:$A$500,$B34,'DADOS BRUTOS'!FJ$3:FJ$500)+IF($C34="",0,SUMIF('DADOS BRUTOS'!$A$3:$A$500,$C34,'DADOS BRUTOS'!FJ$3:FJ$500)))</f>
        <v>0</v>
      </c>
      <c r="IK34" s="133" t="n">
        <f aca="false">IF(OR(IK$4="",$B34=""),0,SUMIF('DADOS BRUTOS'!$A$3:$A$500,$B34,'DADOS BRUTOS'!FK$3:FK$500)+IF($C34="",0,SUMIF('DADOS BRUTOS'!$A$3:$A$500,$C34,'DADOS BRUTOS'!FK$3:FK$500)))</f>
        <v>0</v>
      </c>
      <c r="IL34" s="133" t="n">
        <f aca="false">IF(OR(IL$4="",$B34=""),0,SUMIF('DADOS BRUTOS'!$A$3:$A$500,$B34,'DADOS BRUTOS'!FL$3:FL$500)+IF($C34="",0,SUMIF('DADOS BRUTOS'!$A$3:$A$500,$C34,'DADOS BRUTOS'!FL$3:FL$500)))</f>
        <v>0</v>
      </c>
      <c r="IM34" s="133" t="n">
        <f aca="false">IF(OR(IM$4="",$B34=""),0,SUMIF('DADOS BRUTOS'!$A$3:$A$500,$B34,'DADOS BRUTOS'!FM$3:FM$500)+IF($C34="",0,SUMIF('DADOS BRUTOS'!$A$3:$A$500,$C34,'DADOS BRUTOS'!FM$3:FM$500)))</f>
        <v>0</v>
      </c>
      <c r="IN34" s="133" t="n">
        <f aca="false">IF(OR(IN$4="",$B34=""),0,SUMIF('DADOS BRUTOS'!$A$3:$A$500,$B34,'DADOS BRUTOS'!FN$3:FN$500)+IF($C34="",0,SUMIF('DADOS BRUTOS'!$A$3:$A$500,$C34,'DADOS BRUTOS'!FN$3:FN$500)))</f>
        <v>0</v>
      </c>
      <c r="IO34" s="133" t="n">
        <f aca="false">IF(OR(IO$4="",$B34=""),0,SUMIF('DADOS BRUTOS'!$A$3:$A$500,$B34,'DADOS BRUTOS'!FO$3:FO$500)+IF($C34="",0,SUMIF('DADOS BRUTOS'!$A$3:$A$500,$C34,'DADOS BRUTOS'!FO$3:FO$500)))</f>
        <v>0</v>
      </c>
      <c r="IP34" s="133" t="n">
        <f aca="false">IF(OR(IP$4="",$B34=""),0,SUMIF('DADOS BRUTOS'!$A$3:$A$500,$B34,'DADOS BRUTOS'!FP$3:FP$500)+IF($C34="",0,SUMIF('DADOS BRUTOS'!$A$3:$A$500,$C34,'DADOS BRUTOS'!FP$3:FP$500)))</f>
        <v>0</v>
      </c>
      <c r="IQ34" s="133" t="n">
        <f aca="false">IF(OR(IQ$4="",$B34=""),0,SUMIF('DADOS BRUTOS'!$A$3:$A$500,$B34,'DADOS BRUTOS'!FQ$3:FQ$500)+IF($C34="",0,SUMIF('DADOS BRUTOS'!$A$3:$A$500,$C34,'DADOS BRUTOS'!FQ$3:FQ$500)))</f>
        <v>0</v>
      </c>
      <c r="IR34" s="133" t="n">
        <f aca="false">IF(OR(IR$4="",$B34=""),0,SUMIF('DADOS BRUTOS'!$A$3:$A$500,$B34,'DADOS BRUTOS'!FR$3:FR$500)+IF($C34="",0,SUMIF('DADOS BRUTOS'!$A$3:$A$500,$C34,'DADOS BRUTOS'!FR$3:FR$500)))</f>
        <v>0</v>
      </c>
      <c r="IS34" s="133" t="n">
        <f aca="false">IF(OR(IS$4="",$B34=""),0,SUMIF('DADOS BRUTOS'!$A$3:$A$500,$B34,'DADOS BRUTOS'!FS$3:FS$500)+IF($C34="",0,SUMIF('DADOS BRUTOS'!$A$3:$A$500,$C34,'DADOS BRUTOS'!FS$3:FS$500)))</f>
        <v>0</v>
      </c>
      <c r="IT34" s="133" t="n">
        <f aca="false">IF(OR(IT$4="",$B34=""),0,SUMIF('DADOS BRUTOS'!$A$3:$A$500,$B34,'DADOS BRUTOS'!FT$3:FT$500)+IF($C34="",0,SUMIF('DADOS BRUTOS'!$A$3:$A$500,$C34,'DADOS BRUTOS'!FT$3:FT$500)))</f>
        <v>0</v>
      </c>
      <c r="IU34" s="133" t="n">
        <f aca="false">IF(OR(IU$4="",$B34=""),0,SUMIF('DADOS BRUTOS'!$A$3:$A$500,$B34,'DADOS BRUTOS'!FU$3:FU$500)+IF($C34="",0,SUMIF('DADOS BRUTOS'!$A$3:$A$500,$C34,'DADOS BRUTOS'!FU$3:FU$500)))</f>
        <v>0</v>
      </c>
      <c r="IV34" s="133" t="n">
        <f aca="false">IF(OR(IV$4="",$B34=""),0,SUMIF('DADOS BRUTOS'!$A$3:$A$500,$B34,'DADOS BRUTOS'!FV$3:FV$500)+IF($C34="",0,SUMIF('DADOS BRUTOS'!$A$3:$A$500,$C34,'DADOS BRUTOS'!FV$3:FV$500)))</f>
        <v>0</v>
      </c>
      <c r="IW34" s="133" t="n">
        <f aca="false">IF(OR(IW$4="",$B34=""),0,SUMIF('DADOS BRUTOS'!$A$3:$A$500,$B34,'DADOS BRUTOS'!FW$3:FW$500)+IF($C34="",0,SUMIF('DADOS BRUTOS'!$A$3:$A$500,$C34,'DADOS BRUTOS'!FW$3:FW$500)))</f>
        <v>0</v>
      </c>
      <c r="IX34" s="133" t="n">
        <f aca="false">IF(OR(IX$4="",$B34=""),0,SUMIF('DADOS BRUTOS'!$A$3:$A$500,$B34,'DADOS BRUTOS'!FX$3:FX$500)+IF($C34="",0,SUMIF('DADOS BRUTOS'!$A$3:$A$500,$C34,'DADOS BRUTOS'!FX$3:FX$500)))</f>
        <v>0</v>
      </c>
      <c r="IY34" s="133" t="n">
        <f aca="false">IF(OR(IY$4="",$B34=""),0,SUMIF('DADOS BRUTOS'!$A$3:$A$500,$B34,'DADOS BRUTOS'!FY$3:FY$500)+IF($C34="",0,SUMIF('DADOS BRUTOS'!$A$3:$A$500,$C34,'DADOS BRUTOS'!FY$3:FY$500)))</f>
        <v>0</v>
      </c>
      <c r="IZ34" s="133" t="n">
        <f aca="false">IF(OR(IZ$4="",$B34=""),0,SUMIF('DADOS BRUTOS'!$A$3:$A$500,$B34,'DADOS BRUTOS'!FZ$3:FZ$500)+IF($C34="",0,SUMIF('DADOS BRUTOS'!$A$3:$A$500,$C34,'DADOS BRUTOS'!FZ$3:FZ$500)))</f>
        <v>0</v>
      </c>
      <c r="JA34" s="133" t="n">
        <f aca="false">IF(OR(JA$4="",$B34=""),0,SUMIF('DADOS BRUTOS'!$A$3:$A$500,$B34,'DADOS BRUTOS'!GA$3:GA$500)+IF($C34="",0,SUMIF('DADOS BRUTOS'!$A$3:$A$500,$C34,'DADOS BRUTOS'!GA$3:GA$500)))</f>
        <v>0</v>
      </c>
      <c r="JB34" s="133" t="n">
        <f aca="false">IF(OR(JB$4="",$B34=""),0,SUMIF('DADOS BRUTOS'!$A$3:$A$500,$B34,'DADOS BRUTOS'!GB$3:GB$500)+IF($C34="",0,SUMIF('DADOS BRUTOS'!$A$3:$A$500,$C34,'DADOS BRUTOS'!GB$3:GB$500)))</f>
        <v>0</v>
      </c>
      <c r="JC34" s="133" t="n">
        <f aca="false">IF(OR(JC$4="",$B34=""),0,SUMIF('DADOS BRUTOS'!$A$3:$A$500,$B34,'DADOS BRUTOS'!GC$3:GC$500)+IF($C34="",0,SUMIF('DADOS BRUTOS'!$A$3:$A$500,$C34,'DADOS BRUTOS'!GC$3:GC$500)))</f>
        <v>0</v>
      </c>
      <c r="JD34" s="133" t="n">
        <f aca="false">IF(OR(JD$4="",$B34=""),0,SUMIF('DADOS BRUTOS'!$A$3:$A$500,$B34,'DADOS BRUTOS'!GD$3:GD$500)+IF($C34="",0,SUMIF('DADOS BRUTOS'!$A$3:$A$500,$C34,'DADOS BRUTOS'!GD$3:GD$500)))</f>
        <v>0</v>
      </c>
      <c r="JE34" s="133" t="n">
        <f aca="false">IF(OR(JE$4="",$B34=""),0,SUMIF('DADOS BRUTOS'!$A$3:$A$500,$B34,'DADOS BRUTOS'!GE$3:GE$500)+IF($C34="",0,SUMIF('DADOS BRUTOS'!$A$3:$A$500,$C34,'DADOS BRUTOS'!GE$3:GE$500)))</f>
        <v>0</v>
      </c>
      <c r="JF34" s="133" t="n">
        <f aca="false">IF(OR(JF$4="",$B34=""),0,SUMIF('DADOS BRUTOS'!$A$3:$A$500,$B34,'DADOS BRUTOS'!GF$3:GF$500)+IF($C34="",0,SUMIF('DADOS BRUTOS'!$A$3:$A$500,$C34,'DADOS BRUTOS'!GF$3:GF$500)))</f>
        <v>0</v>
      </c>
      <c r="JG34" s="133" t="n">
        <f aca="false">IF(OR(JG$4="",$B34=""),0,SUMIF('DADOS BRUTOS'!$A$3:$A$500,$B34,'DADOS BRUTOS'!GG$3:GG$500)+IF($C34="",0,SUMIF('DADOS BRUTOS'!$A$3:$A$500,$C34,'DADOS BRUTOS'!GG$3:GG$500)))</f>
        <v>0</v>
      </c>
      <c r="JH34" s="133" t="n">
        <f aca="false">IF(OR(JH$4="",$B34=""),0,SUMIF('DADOS BRUTOS'!$A$3:$A$500,$B34,'DADOS BRUTOS'!GH$3:GH$500)+IF($C34="",0,SUMIF('DADOS BRUTOS'!$A$3:$A$500,$C34,'DADOS BRUTOS'!GH$3:GH$500)))</f>
        <v>0</v>
      </c>
      <c r="JI34" s="133" t="n">
        <f aca="false">IF(OR(JI$4="",$B34=""),0,SUMIF('DADOS BRUTOS'!$A$3:$A$500,$B34,'DADOS BRUTOS'!GI$3:GI$500)+IF($C34="",0,SUMIF('DADOS BRUTOS'!$A$3:$A$500,$C34,'DADOS BRUTOS'!GI$3:GI$500)))</f>
        <v>0</v>
      </c>
      <c r="JJ34" s="133" t="n">
        <f aca="false">IF(OR(JJ$4="",$B34=""),0,SUMIF('DADOS BRUTOS'!$A$3:$A$500,$B34,'DADOS BRUTOS'!GJ$3:GJ$500)+IF($C34="",0,SUMIF('DADOS BRUTOS'!$A$3:$A$500,$C34,'DADOS BRUTOS'!GJ$3:GJ$500)))</f>
        <v>0</v>
      </c>
      <c r="JK34" s="133" t="n">
        <f aca="false">IF(OR(JK$4="",$B34=""),0,SUMIF('DADOS BRUTOS'!$A$3:$A$500,$B34,'DADOS BRUTOS'!GK$3:GK$500)+IF($C34="",0,SUMIF('DADOS BRUTOS'!$A$3:$A$500,$C34,'DADOS BRUTOS'!GK$3:GK$500)))</f>
        <v>0</v>
      </c>
      <c r="JL34" s="133" t="n">
        <f aca="false">IF(OR(JL$4="",$B34=""),0,SUMIF('DADOS BRUTOS'!$A$3:$A$500,$B34,'DADOS BRUTOS'!GL$3:GL$500)+IF($C34="",0,SUMIF('DADOS BRUTOS'!$A$3:$A$500,$C34,'DADOS BRUTOS'!GL$3:GL$500)))</f>
        <v>0</v>
      </c>
      <c r="JM34" s="133" t="n">
        <f aca="false">IF(OR(JM$4="",$B34=""),0,SUMIF('DADOS BRUTOS'!$A$3:$A$500,$B34,'DADOS BRUTOS'!GM$3:GM$500)+IF($C34="",0,SUMIF('DADOS BRUTOS'!$A$3:$A$500,$C34,'DADOS BRUTOS'!GM$3:GM$500)))</f>
        <v>0</v>
      </c>
      <c r="JN34" s="133" t="n">
        <f aca="false">IF(OR(JN$4="",$B34=""),0,SUMIF('DADOS BRUTOS'!$A$3:$A$500,$B34,'DADOS BRUTOS'!GN$3:GN$500)+IF($C34="",0,SUMIF('DADOS BRUTOS'!$A$3:$A$500,$C34,'DADOS BRUTOS'!GN$3:GN$500)))</f>
        <v>0</v>
      </c>
      <c r="JO34" s="133" t="n">
        <f aca="false">IF(OR(JO$4="",$B34=""),0,SUMIF('DADOS BRUTOS'!$A$3:$A$500,$B34,'DADOS BRUTOS'!GO$3:GO$500)+IF($C34="",0,SUMIF('DADOS BRUTOS'!$A$3:$A$500,$C34,'DADOS BRUTOS'!GO$3:GO$500)))</f>
        <v>0</v>
      </c>
      <c r="JP34" s="133" t="n">
        <f aca="false">IF(OR(JP$4="",$B34=""),0,SUMIF('DADOS BRUTOS'!$A$3:$A$500,$B34,'DADOS BRUTOS'!GP$3:GP$500)+IF($C34="",0,SUMIF('DADOS BRUTOS'!$A$3:$A$500,$C34,'DADOS BRUTOS'!GP$3:GP$500)))</f>
        <v>0</v>
      </c>
      <c r="JQ34" s="133" t="n">
        <f aca="false">IF(OR(JQ$4="",$B34=""),0,SUMIF('DADOS BRUTOS'!$A$3:$A$500,$B34,'DADOS BRUTOS'!GQ$3:GQ$500)+IF($C34="",0,SUMIF('DADOS BRUTOS'!$A$3:$A$500,$C34,'DADOS BRUTOS'!GQ$3:GQ$500)))</f>
        <v>0</v>
      </c>
      <c r="JR34" s="133" t="n">
        <f aca="false">IF(OR(JR$4="",$B34=""),0,SUMIF('DADOS BRUTOS'!$A$3:$A$500,$B34,'DADOS BRUTOS'!GR$3:GR$500)+IF($C34="",0,SUMIF('DADOS BRUTOS'!$A$3:$A$500,$C34,'DADOS BRUTOS'!GR$3:GR$500)))</f>
        <v>0</v>
      </c>
      <c r="JS34" s="133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PAVIMENTAÇÃO</v>
      </c>
      <c r="B35" s="55" t="s">
        <v>202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3" t="n">
        <f aca="false">IF(OR(CB$4="",$B35=""),0,SUMIF('DADOS BRUTOS'!$A$3:$A$500,$B35,'DADOS BRUTOS'!B$3:B$500)+IF($C35="",0,SUMIF('DADOS BRUTOS'!$A$3:$A$500,$C35,'DADOS BRUTOS'!B$3:B$500)))</f>
        <v>0</v>
      </c>
      <c r="CC35" s="133" t="n">
        <f aca="false">IF(OR(CC$4="",$B35=""),0,SUMIF('DADOS BRUTOS'!$A$3:$A$500,$B35,'DADOS BRUTOS'!C$3:C$500)+IF($C35="",0,SUMIF('DADOS BRUTOS'!$A$3:$A$500,$C35,'DADOS BRUTOS'!C$3:C$500)))</f>
        <v>0</v>
      </c>
      <c r="CD35" s="133" t="n">
        <f aca="false">IF(OR(CD$4="",$B35=""),0,SUMIF('DADOS BRUTOS'!$A$3:$A$500,$B35,'DADOS BRUTOS'!D$3:D$500)+IF($C35="",0,SUMIF('DADOS BRUTOS'!$A$3:$A$500,$C35,'DADOS BRUTOS'!D$3:D$500)))</f>
        <v>0</v>
      </c>
      <c r="CE35" s="133" t="n">
        <f aca="false">IF(OR(CE$4="",$B35=""),0,SUMIF('DADOS BRUTOS'!$A$3:$A$500,$B35,'DADOS BRUTOS'!E$3:E$500)+IF($C35="",0,SUMIF('DADOS BRUTOS'!$A$3:$A$500,$C35,'DADOS BRUTOS'!E$3:E$500)))</f>
        <v>0</v>
      </c>
      <c r="CF35" s="133" t="n">
        <f aca="false">IF(OR(CF$4="",$B35=""),0,SUMIF('DADOS BRUTOS'!$A$3:$A$500,$B35,'DADOS BRUTOS'!F$3:F$500)+IF($C35="",0,SUMIF('DADOS BRUTOS'!$A$3:$A$500,$C35,'DADOS BRUTOS'!F$3:F$500)))</f>
        <v>0</v>
      </c>
      <c r="CG35" s="133" t="n">
        <f aca="false">IF(OR(CG$4="",$B35=""),0,SUMIF('DADOS BRUTOS'!$A$3:$A$500,$B35,'DADOS BRUTOS'!G$3:G$500)+IF($C35="",0,SUMIF('DADOS BRUTOS'!$A$3:$A$500,$C35,'DADOS BRUTOS'!G$3:G$500)))</f>
        <v>0</v>
      </c>
      <c r="CH35" s="133" t="n">
        <f aca="false">IF(OR(CH$4="",$B35=""),0,SUMIF('DADOS BRUTOS'!$A$3:$A$500,$B35,'DADOS BRUTOS'!H$3:H$500)+IF($C35="",0,SUMIF('DADOS BRUTOS'!$A$3:$A$500,$C35,'DADOS BRUTOS'!H$3:H$500)))</f>
        <v>0</v>
      </c>
      <c r="CI35" s="133" t="n">
        <f aca="false">IF(OR(CI$4="",$B35=""),0,SUMIF('DADOS BRUTOS'!$A$3:$A$500,$B35,'DADOS BRUTOS'!I$3:I$500)+IF($C35="",0,SUMIF('DADOS BRUTOS'!$A$3:$A$500,$C35,'DADOS BRUTOS'!I$3:I$500)))</f>
        <v>0</v>
      </c>
      <c r="CJ35" s="133" t="n">
        <f aca="false">IF(OR(CJ$4="",$B35=""),0,SUMIF('DADOS BRUTOS'!$A$3:$A$500,$B35,'DADOS BRUTOS'!J$3:J$500)+IF($C35="",0,SUMIF('DADOS BRUTOS'!$A$3:$A$500,$C35,'DADOS BRUTOS'!J$3:J$500)))</f>
        <v>0</v>
      </c>
      <c r="CK35" s="133" t="n">
        <f aca="false">IF(OR(CK$4="",$B35=""),0,SUMIF('DADOS BRUTOS'!$A$3:$A$500,$B35,'DADOS BRUTOS'!K$3:K$500)+IF($C35="",0,SUMIF('DADOS BRUTOS'!$A$3:$A$500,$C35,'DADOS BRUTOS'!K$3:K$500)))</f>
        <v>0</v>
      </c>
      <c r="CL35" s="133" t="n">
        <f aca="false">IF(OR(CL$4="",$B35=""),0,SUMIF('DADOS BRUTOS'!$A$3:$A$500,$B35,'DADOS BRUTOS'!L$3:L$500)+IF($C35="",0,SUMIF('DADOS BRUTOS'!$A$3:$A$500,$C35,'DADOS BRUTOS'!L$3:L$500)))</f>
        <v>0</v>
      </c>
      <c r="CM35" s="133" t="n">
        <f aca="false">IF(OR(CM$4="",$B35=""),0,SUMIF('DADOS BRUTOS'!$A$3:$A$500,$B35,'DADOS BRUTOS'!M$3:M$500)+IF($C35="",0,SUMIF('DADOS BRUTOS'!$A$3:$A$500,$C35,'DADOS BRUTOS'!M$3:M$500)))</f>
        <v>0</v>
      </c>
      <c r="CN35" s="133" t="n">
        <f aca="false">IF(OR(CN$4="",$B35=""),0,SUMIF('DADOS BRUTOS'!$A$3:$A$500,$B35,'DADOS BRUTOS'!N$3:N$500)+IF($C35="",0,SUMIF('DADOS BRUTOS'!$A$3:$A$500,$C35,'DADOS BRUTOS'!N$3:N$500)))</f>
        <v>0</v>
      </c>
      <c r="CO35" s="133" t="n">
        <f aca="false">IF(OR(CO$4="",$B35=""),0,SUMIF('DADOS BRUTOS'!$A$3:$A$500,$B35,'DADOS BRUTOS'!O$3:O$500)+IF($C35="",0,SUMIF('DADOS BRUTOS'!$A$3:$A$500,$C35,'DADOS BRUTOS'!O$3:O$500)))</f>
        <v>0</v>
      </c>
      <c r="CP35" s="133" t="n">
        <f aca="false">IF(OR(CP$4="",$B35=""),0,SUMIF('DADOS BRUTOS'!$A$3:$A$500,$B35,'DADOS BRUTOS'!P$3:P$500)+IF($C35="",0,SUMIF('DADOS BRUTOS'!$A$3:$A$500,$C35,'DADOS BRUTOS'!P$3:P$500)))</f>
        <v>0</v>
      </c>
      <c r="CQ35" s="133" t="n">
        <f aca="false">IF(OR(CQ$4="",$B35=""),0,SUMIF('DADOS BRUTOS'!$A$3:$A$500,$B35,'DADOS BRUTOS'!Q$3:Q$500)+IF($C35="",0,SUMIF('DADOS BRUTOS'!$A$3:$A$500,$C35,'DADOS BRUTOS'!Q$3:Q$500)))</f>
        <v>0</v>
      </c>
      <c r="CR35" s="133" t="n">
        <f aca="false">IF(OR(CR$4="",$B35=""),0,SUMIF('DADOS BRUTOS'!$A$3:$A$500,$B35,'DADOS BRUTOS'!R$3:R$500)+IF($C35="",0,SUMIF('DADOS BRUTOS'!$A$3:$A$500,$C35,'DADOS BRUTOS'!R$3:R$500)))</f>
        <v>0</v>
      </c>
      <c r="CS35" s="133" t="n">
        <f aca="false">IF(OR(CS$4="",$B35=""),0,SUMIF('DADOS BRUTOS'!$A$3:$A$500,$B35,'DADOS BRUTOS'!S$3:S$500)+IF($C35="",0,SUMIF('DADOS BRUTOS'!$A$3:$A$500,$C35,'DADOS BRUTOS'!S$3:S$500)))</f>
        <v>0</v>
      </c>
      <c r="CT35" s="133" t="n">
        <f aca="false">IF(OR(CT$4="",$B35=""),0,SUMIF('DADOS BRUTOS'!$A$3:$A$500,$B35,'DADOS BRUTOS'!T$3:T$500)+IF($C35="",0,SUMIF('DADOS BRUTOS'!$A$3:$A$500,$C35,'DADOS BRUTOS'!T$3:T$500)))</f>
        <v>0</v>
      </c>
      <c r="CU35" s="133" t="n">
        <f aca="false">IF(OR(CU$4="",$B35=""),0,SUMIF('DADOS BRUTOS'!$A$3:$A$500,$B35,'DADOS BRUTOS'!U$3:U$500)+IF($C35="",0,SUMIF('DADOS BRUTOS'!$A$3:$A$500,$C35,'DADOS BRUTOS'!U$3:U$500)))</f>
        <v>0</v>
      </c>
      <c r="CV35" s="133" t="n">
        <f aca="false">IF(OR(CV$4="",$B35=""),0,SUMIF('DADOS BRUTOS'!$A$3:$A$500,$B35,'DADOS BRUTOS'!V$3:V$500)+IF($C35="",0,SUMIF('DADOS BRUTOS'!$A$3:$A$500,$C35,'DADOS BRUTOS'!V$3:V$500)))</f>
        <v>0</v>
      </c>
      <c r="CW35" s="133" t="n">
        <f aca="false">IF(OR(CW$4="",$B35=""),0,SUMIF('DADOS BRUTOS'!$A$3:$A$500,$B35,'DADOS BRUTOS'!W$3:W$500)+IF($C35="",0,SUMIF('DADOS BRUTOS'!$A$3:$A$500,$C35,'DADOS BRUTOS'!W$3:W$500)))</f>
        <v>0</v>
      </c>
      <c r="CX35" s="133" t="n">
        <f aca="false">IF(OR(CX$4="",$B35=""),0,SUMIF('DADOS BRUTOS'!$A$3:$A$500,$B35,'DADOS BRUTOS'!X$3:X$500)+IF($C35="",0,SUMIF('DADOS BRUTOS'!$A$3:$A$500,$C35,'DADOS BRUTOS'!X$3:X$500)))</f>
        <v>0</v>
      </c>
      <c r="CY35" s="133" t="n">
        <f aca="false">IF(OR(CY$4="",$B35=""),0,SUMIF('DADOS BRUTOS'!$A$3:$A$500,$B35,'DADOS BRUTOS'!Y$3:Y$500)+IF($C35="",0,SUMIF('DADOS BRUTOS'!$A$3:$A$500,$C35,'DADOS BRUTOS'!Y$3:Y$500)))</f>
        <v>0</v>
      </c>
      <c r="CZ35" s="133" t="n">
        <f aca="false">IF(OR(CZ$4="",$B35=""),0,SUMIF('DADOS BRUTOS'!$A$3:$A$500,$B35,'DADOS BRUTOS'!Z$3:Z$500)+IF($C35="",0,SUMIF('DADOS BRUTOS'!$A$3:$A$500,$C35,'DADOS BRUTOS'!Z$3:Z$500)))</f>
        <v>0</v>
      </c>
      <c r="DA35" s="133" t="n">
        <f aca="false">IF(OR(DA$4="",$B35=""),0,SUMIF('DADOS BRUTOS'!$A$3:$A$500,$B35,'DADOS BRUTOS'!AA$3:AA$500)+IF($C35="",0,SUMIF('DADOS BRUTOS'!$A$3:$A$500,$C35,'DADOS BRUTOS'!AA$3:AA$500)))</f>
        <v>0</v>
      </c>
      <c r="DB35" s="133" t="n">
        <f aca="false">IF(OR(DB$4="",$B35=""),0,SUMIF('DADOS BRUTOS'!$A$3:$A$500,$B35,'DADOS BRUTOS'!AB$3:AB$500)+IF($C35="",0,SUMIF('DADOS BRUTOS'!$A$3:$A$500,$C35,'DADOS BRUTOS'!AB$3:AB$500)))</f>
        <v>0</v>
      </c>
      <c r="DC35" s="133" t="n">
        <f aca="false">IF(OR(DC$4="",$B35=""),0,SUMIF('DADOS BRUTOS'!$A$3:$A$500,$B35,'DADOS BRUTOS'!AC$3:AC$500)+IF($C35="",0,SUMIF('DADOS BRUTOS'!$A$3:$A$500,$C35,'DADOS BRUTOS'!AC$3:AC$500)))</f>
        <v>0</v>
      </c>
      <c r="DD35" s="133" t="n">
        <f aca="false">IF(OR(DD$4="",$B35=""),0,SUMIF('DADOS BRUTOS'!$A$3:$A$500,$B35,'DADOS BRUTOS'!AD$3:AD$500)+IF($C35="",0,SUMIF('DADOS BRUTOS'!$A$3:$A$500,$C35,'DADOS BRUTOS'!AD$3:AD$500)))</f>
        <v>0</v>
      </c>
      <c r="DE35" s="133" t="n">
        <f aca="false">IF(OR(DE$4="",$B35=""),0,SUMIF('DADOS BRUTOS'!$A$3:$A$500,$B35,'DADOS BRUTOS'!AE$3:AE$500)+IF($C35="",0,SUMIF('DADOS BRUTOS'!$A$3:$A$500,$C35,'DADOS BRUTOS'!AE$3:AE$500)))</f>
        <v>0</v>
      </c>
      <c r="DF35" s="133" t="n">
        <f aca="false">IF(OR(DF$4="",$B35=""),0,SUMIF('DADOS BRUTOS'!$A$3:$A$500,$B35,'DADOS BRUTOS'!AF$3:AF$500)+IF($C35="",0,SUMIF('DADOS BRUTOS'!$A$3:$A$500,$C35,'DADOS BRUTOS'!AF$3:AF$500)))</f>
        <v>0</v>
      </c>
      <c r="DG35" s="133" t="n">
        <f aca="false">IF(OR(DG$4="",$B35=""),0,SUMIF('DADOS BRUTOS'!$A$3:$A$500,$B35,'DADOS BRUTOS'!AG$3:AG$500)+IF($C35="",0,SUMIF('DADOS BRUTOS'!$A$3:$A$500,$C35,'DADOS BRUTOS'!AG$3:AG$500)))</f>
        <v>0</v>
      </c>
      <c r="DH35" s="133" t="n">
        <f aca="false">IF(OR(DH$4="",$B35=""),0,SUMIF('DADOS BRUTOS'!$A$3:$A$500,$B35,'DADOS BRUTOS'!AH$3:AH$500)+IF($C35="",0,SUMIF('DADOS BRUTOS'!$A$3:$A$500,$C35,'DADOS BRUTOS'!AH$3:AH$500)))</f>
        <v>0</v>
      </c>
      <c r="DI35" s="133" t="n">
        <f aca="false">IF(OR(DI$4="",$B35=""),0,SUMIF('DADOS BRUTOS'!$A$3:$A$500,$B35,'DADOS BRUTOS'!AI$3:AI$500)+IF($C35="",0,SUMIF('DADOS BRUTOS'!$A$3:$A$500,$C35,'DADOS BRUTOS'!AI$3:AI$500)))</f>
        <v>0</v>
      </c>
      <c r="DJ35" s="133" t="n">
        <f aca="false">IF(OR(DJ$4="",$B35=""),0,SUMIF('DADOS BRUTOS'!$A$3:$A$500,$B35,'DADOS BRUTOS'!AJ$3:AJ$500)+IF($C35="",0,SUMIF('DADOS BRUTOS'!$A$3:$A$500,$C35,'DADOS BRUTOS'!AJ$3:AJ$500)))</f>
        <v>0</v>
      </c>
      <c r="DK35" s="133" t="n">
        <f aca="false">IF(OR(DK$4="",$B35=""),0,SUMIF('DADOS BRUTOS'!$A$3:$A$500,$B35,'DADOS BRUTOS'!AK$3:AK$500)+IF($C35="",0,SUMIF('DADOS BRUTOS'!$A$3:$A$500,$C35,'DADOS BRUTOS'!AK$3:AK$500)))</f>
        <v>0</v>
      </c>
      <c r="DL35" s="133" t="n">
        <f aca="false">IF(OR(DL$4="",$B35=""),0,SUMIF('DADOS BRUTOS'!$A$3:$A$500,$B35,'DADOS BRUTOS'!AL$3:AL$500)+IF($C35="",0,SUMIF('DADOS BRUTOS'!$A$3:$A$500,$C35,'DADOS BRUTOS'!AL$3:AL$500)))</f>
        <v>0</v>
      </c>
      <c r="DM35" s="133" t="n">
        <f aca="false">IF(OR(DM$4="",$B35=""),0,SUMIF('DADOS BRUTOS'!$A$3:$A$500,$B35,'DADOS BRUTOS'!AM$3:AM$500)+IF($C35="",0,SUMIF('DADOS BRUTOS'!$A$3:$A$500,$C35,'DADOS BRUTOS'!AM$3:AM$500)))</f>
        <v>0</v>
      </c>
      <c r="DN35" s="133" t="n">
        <f aca="false">IF(OR(DN$4="",$B35=""),0,SUMIF('DADOS BRUTOS'!$A$3:$A$500,$B35,'DADOS BRUTOS'!AN$3:AN$500)+IF($C35="",0,SUMIF('DADOS BRUTOS'!$A$3:$A$500,$C35,'DADOS BRUTOS'!AN$3:AN$500)))</f>
        <v>0</v>
      </c>
      <c r="DO35" s="133" t="n">
        <f aca="false">IF(OR(DO$4="",$B35=""),0,SUMIF('DADOS BRUTOS'!$A$3:$A$500,$B35,'DADOS BRUTOS'!AO$3:AO$500)+IF($C35="",0,SUMIF('DADOS BRUTOS'!$A$3:$A$500,$C35,'DADOS BRUTOS'!AO$3:AO$500)))</f>
        <v>0</v>
      </c>
      <c r="DP35" s="133" t="n">
        <f aca="false">IF(OR(DP$4="",$B35=""),0,SUMIF('DADOS BRUTOS'!$A$3:$A$500,$B35,'DADOS BRUTOS'!AP$3:AP$500)+IF($C35="",0,SUMIF('DADOS BRUTOS'!$A$3:$A$500,$C35,'DADOS BRUTOS'!AP$3:AP$500)))</f>
        <v>0</v>
      </c>
      <c r="DQ35" s="133" t="n">
        <f aca="false">IF(OR(DQ$4="",$B35=""),0,SUMIF('DADOS BRUTOS'!$A$3:$A$500,$B35,'DADOS BRUTOS'!AQ$3:AQ$500)+IF($C35="",0,SUMIF('DADOS BRUTOS'!$A$3:$A$500,$C35,'DADOS BRUTOS'!AQ$3:AQ$500)))</f>
        <v>0</v>
      </c>
      <c r="DR35" s="133" t="n">
        <f aca="false">IF(OR(DR$4="",$B35=""),0,SUMIF('DADOS BRUTOS'!$A$3:$A$500,$B35,'DADOS BRUTOS'!AR$3:AR$500)+IF($C35="",0,SUMIF('DADOS BRUTOS'!$A$3:$A$500,$C35,'DADOS BRUTOS'!AR$3:AR$500)))</f>
        <v>0</v>
      </c>
      <c r="DS35" s="133" t="n">
        <f aca="false">IF(OR(DS$4="",$B35=""),0,SUMIF('DADOS BRUTOS'!$A$3:$A$500,$B35,'DADOS BRUTOS'!AS$3:AS$500)+IF($C35="",0,SUMIF('DADOS BRUTOS'!$A$3:$A$500,$C35,'DADOS BRUTOS'!AS$3:AS$500)))</f>
        <v>0</v>
      </c>
      <c r="DT35" s="133" t="n">
        <f aca="false">IF(OR(DT$4="",$B35=""),0,SUMIF('DADOS BRUTOS'!$A$3:$A$500,$B35,'DADOS BRUTOS'!AT$3:AT$500)+IF($C35="",0,SUMIF('DADOS BRUTOS'!$A$3:$A$500,$C35,'DADOS BRUTOS'!AT$3:AT$500)))</f>
        <v>0</v>
      </c>
      <c r="DU35" s="133" t="n">
        <f aca="false">IF(OR(DU$4="",$B35=""),0,SUMIF('DADOS BRUTOS'!$A$3:$A$500,$B35,'DADOS BRUTOS'!AU$3:AU$500)+IF($C35="",0,SUMIF('DADOS BRUTOS'!$A$3:$A$500,$C35,'DADOS BRUTOS'!AU$3:AU$500)))</f>
        <v>0</v>
      </c>
      <c r="DV35" s="133" t="n">
        <f aca="false">IF(OR(DV$4="",$B35=""),0,SUMIF('DADOS BRUTOS'!$A$3:$A$500,$B35,'DADOS BRUTOS'!AV$3:AV$500)+IF($C35="",0,SUMIF('DADOS BRUTOS'!$A$3:$A$500,$C35,'DADOS BRUTOS'!AV$3:AV$500)))</f>
        <v>0</v>
      </c>
      <c r="DW35" s="133" t="n">
        <f aca="false">IF(OR(DW$4="",$B35=""),0,SUMIF('DADOS BRUTOS'!$A$3:$A$500,$B35,'DADOS BRUTOS'!AW$3:AW$500)+IF($C35="",0,SUMIF('DADOS BRUTOS'!$A$3:$A$500,$C35,'DADOS BRUTOS'!AW$3:AW$500)))</f>
        <v>0</v>
      </c>
      <c r="DX35" s="133" t="n">
        <f aca="false">IF(OR(DX$4="",$B35=""),0,SUMIF('DADOS BRUTOS'!$A$3:$A$500,$B35,'DADOS BRUTOS'!AX$3:AX$500)+IF($C35="",0,SUMIF('DADOS BRUTOS'!$A$3:$A$500,$C35,'DADOS BRUTOS'!AX$3:AX$500)))</f>
        <v>0</v>
      </c>
      <c r="DY35" s="133" t="n">
        <f aca="false">IF(OR(DY$4="",$B35=""),0,SUMIF('DADOS BRUTOS'!$A$3:$A$500,$B35,'DADOS BRUTOS'!AY$3:AY$500)+IF($C35="",0,SUMIF('DADOS BRUTOS'!$A$3:$A$500,$C35,'DADOS BRUTOS'!AY$3:AY$500)))</f>
        <v>0</v>
      </c>
      <c r="DZ35" s="133" t="n">
        <f aca="false">IF(OR(DZ$4="",$B35=""),0,SUMIF('DADOS BRUTOS'!$A$3:$A$500,$B35,'DADOS BRUTOS'!AZ$3:AZ$500)+IF($C35="",0,SUMIF('DADOS BRUTOS'!$A$3:$A$500,$C35,'DADOS BRUTOS'!AZ$3:AZ$500)))</f>
        <v>0</v>
      </c>
      <c r="EA35" s="133" t="n">
        <f aca="false">IF(OR(EA$4="",$B35=""),0,SUMIF('DADOS BRUTOS'!$A$3:$A$500,$B35,'DADOS BRUTOS'!BA$3:BA$500)+IF($C35="",0,SUMIF('DADOS BRUTOS'!$A$3:$A$500,$C35,'DADOS BRUTOS'!BA$3:BA$500)))</f>
        <v>0</v>
      </c>
      <c r="EB35" s="133" t="n">
        <f aca="false">IF(OR(EB$4="",$B35=""),0,SUMIF('DADOS BRUTOS'!$A$3:$A$500,$B35,'DADOS BRUTOS'!BB$3:BB$500)+IF($C35="",0,SUMIF('DADOS BRUTOS'!$A$3:$A$500,$C35,'DADOS BRUTOS'!BB$3:BB$500)))</f>
        <v>0</v>
      </c>
      <c r="EC35" s="133" t="n">
        <f aca="false">IF(OR(EC$4="",$B35=""),0,SUMIF('DADOS BRUTOS'!$A$3:$A$500,$B35,'DADOS BRUTOS'!BC$3:BC$500)+IF($C35="",0,SUMIF('DADOS BRUTOS'!$A$3:$A$500,$C35,'DADOS BRUTOS'!BC$3:BC$500)))</f>
        <v>0</v>
      </c>
      <c r="ED35" s="133" t="n">
        <f aca="false">IF(OR(ED$4="",$B35=""),0,SUMIF('DADOS BRUTOS'!$A$3:$A$500,$B35,'DADOS BRUTOS'!BD$3:BD$500)+IF($C35="",0,SUMIF('DADOS BRUTOS'!$A$3:$A$500,$C35,'DADOS BRUTOS'!BD$3:BD$500)))</f>
        <v>0</v>
      </c>
      <c r="EE35" s="133" t="n">
        <f aca="false">IF(OR(EE$4="",$B35=""),0,SUMIF('DADOS BRUTOS'!$A$3:$A$500,$B35,'DADOS BRUTOS'!BE$3:BE$500)+IF($C35="",0,SUMIF('DADOS BRUTOS'!$A$3:$A$500,$C35,'DADOS BRUTOS'!BE$3:BE$500)))</f>
        <v>0</v>
      </c>
      <c r="EF35" s="133" t="n">
        <f aca="false">IF(OR(EF$4="",$B35=""),0,SUMIF('DADOS BRUTOS'!$A$3:$A$500,$B35,'DADOS BRUTOS'!BF$3:BF$500)+IF($C35="",0,SUMIF('DADOS BRUTOS'!$A$3:$A$500,$C35,'DADOS BRUTOS'!BF$3:BF$500)))</f>
        <v>0</v>
      </c>
      <c r="EG35" s="133" t="n">
        <f aca="false">IF(OR(EG$4="",$B35=""),0,SUMIF('DADOS BRUTOS'!$A$3:$A$500,$B35,'DADOS BRUTOS'!BG$3:BG$500)+IF($C35="",0,SUMIF('DADOS BRUTOS'!$A$3:$A$500,$C35,'DADOS BRUTOS'!BG$3:BG$500)))</f>
        <v>0</v>
      </c>
      <c r="EH35" s="133" t="n">
        <f aca="false">IF(OR(EH$4="",$B35=""),0,SUMIF('DADOS BRUTOS'!$A$3:$A$500,$B35,'DADOS BRUTOS'!BH$3:BH$500)+IF($C35="",0,SUMIF('DADOS BRUTOS'!$A$3:$A$500,$C35,'DADOS BRUTOS'!BH$3:BH$500)))</f>
        <v>0</v>
      </c>
      <c r="EI35" s="133" t="n">
        <f aca="false">IF(OR(EI$4="",$B35=""),0,SUMIF('DADOS BRUTOS'!$A$3:$A$500,$B35,'DADOS BRUTOS'!BI$3:BI$500)+IF($C35="",0,SUMIF('DADOS BRUTOS'!$A$3:$A$500,$C35,'DADOS BRUTOS'!BI$3:BI$500)))</f>
        <v>0</v>
      </c>
      <c r="EJ35" s="133" t="n">
        <f aca="false">IF(OR(EJ$4="",$B35=""),0,SUMIF('DADOS BRUTOS'!$A$3:$A$500,$B35,'DADOS BRUTOS'!BJ$3:BJ$500)+IF($C35="",0,SUMIF('DADOS BRUTOS'!$A$3:$A$500,$C35,'DADOS BRUTOS'!BJ$3:BJ$500)))</f>
        <v>0</v>
      </c>
      <c r="EK35" s="133" t="n">
        <f aca="false">IF(OR(EK$4="",$B35=""),0,SUMIF('DADOS BRUTOS'!$A$3:$A$500,$B35,'DADOS BRUTOS'!BK$3:BK$500)+IF($C35="",0,SUMIF('DADOS BRUTOS'!$A$3:$A$500,$C35,'DADOS BRUTOS'!BK$3:BK$500)))</f>
        <v>0</v>
      </c>
      <c r="EL35" s="133" t="n">
        <f aca="false">IF(OR(EL$4="",$B35=""),0,SUMIF('DADOS BRUTOS'!$A$3:$A$500,$B35,'DADOS BRUTOS'!BL$3:BL$500)+IF($C35="",0,SUMIF('DADOS BRUTOS'!$A$3:$A$500,$C35,'DADOS BRUTOS'!BL$3:BL$500)))</f>
        <v>0</v>
      </c>
      <c r="EM35" s="133" t="n">
        <f aca="false">IF(OR(EM$4="",$B35=""),0,SUMIF('DADOS BRUTOS'!$A$3:$A$500,$B35,'DADOS BRUTOS'!BM$3:BM$500)+IF($C35="",0,SUMIF('DADOS BRUTOS'!$A$3:$A$500,$C35,'DADOS BRUTOS'!BM$3:BM$500)))</f>
        <v>0</v>
      </c>
      <c r="EN35" s="133" t="n">
        <f aca="false">IF(OR(EN$4="",$B35=""),0,SUMIF('DADOS BRUTOS'!$A$3:$A$500,$B35,'DADOS BRUTOS'!BN$3:BN$500)+IF($C35="",0,SUMIF('DADOS BRUTOS'!$A$3:$A$500,$C35,'DADOS BRUTOS'!BN$3:BN$500)))</f>
        <v>0</v>
      </c>
      <c r="EO35" s="133" t="n">
        <f aca="false">IF(OR(EO$4="",$B35=""),0,SUMIF('DADOS BRUTOS'!$A$3:$A$500,$B35,'DADOS BRUTOS'!BO$3:BO$500)+IF($C35="",0,SUMIF('DADOS BRUTOS'!$A$3:$A$500,$C35,'DADOS BRUTOS'!BO$3:BO$500)))</f>
        <v>0</v>
      </c>
      <c r="EP35" s="133" t="n">
        <f aca="false">IF(OR(EP$4="",$B35=""),0,SUMIF('DADOS BRUTOS'!$A$3:$A$500,$B35,'DADOS BRUTOS'!BP$3:BP$500)+IF($C35="",0,SUMIF('DADOS BRUTOS'!$A$3:$A$500,$C35,'DADOS BRUTOS'!BP$3:BP$500)))</f>
        <v>0</v>
      </c>
      <c r="EQ35" s="133" t="n">
        <f aca="false">IF(OR(EQ$4="",$B35=""),0,SUMIF('DADOS BRUTOS'!$A$3:$A$500,$B35,'DADOS BRUTOS'!BQ$3:BQ$500)+IF($C35="",0,SUMIF('DADOS BRUTOS'!$A$3:$A$500,$C35,'DADOS BRUTOS'!BQ$3:BQ$500)))</f>
        <v>0</v>
      </c>
      <c r="ER35" s="133" t="n">
        <f aca="false">IF(OR(ER$4="",$B35=""),0,SUMIF('DADOS BRUTOS'!$A$3:$A$500,$B35,'DADOS BRUTOS'!BR$3:BR$500)+IF($C35="",0,SUMIF('DADOS BRUTOS'!$A$3:$A$500,$C35,'DADOS BRUTOS'!BR$3:BR$500)))</f>
        <v>0</v>
      </c>
      <c r="ES35" s="133" t="n">
        <f aca="false">IF(OR(ES$4="",$B35=""),0,SUMIF('DADOS BRUTOS'!$A$3:$A$500,$B35,'DADOS BRUTOS'!BS$3:BS$500)+IF($C35="",0,SUMIF('DADOS BRUTOS'!$A$3:$A$500,$C35,'DADOS BRUTOS'!BS$3:BS$500)))</f>
        <v>0</v>
      </c>
      <c r="ET35" s="133" t="n">
        <f aca="false">IF(OR(ET$4="",$B35=""),0,SUMIF('DADOS BRUTOS'!$A$3:$A$500,$B35,'DADOS BRUTOS'!BT$3:BT$500)+IF($C35="",0,SUMIF('DADOS BRUTOS'!$A$3:$A$500,$C35,'DADOS BRUTOS'!BT$3:BT$500)))</f>
        <v>0</v>
      </c>
      <c r="EU35" s="133" t="n">
        <f aca="false">IF(OR(EU$4="",$B35=""),0,SUMIF('DADOS BRUTOS'!$A$3:$A$500,$B35,'DADOS BRUTOS'!BU$3:BU$500)+IF($C35="",0,SUMIF('DADOS BRUTOS'!$A$3:$A$500,$C35,'DADOS BRUTOS'!BU$3:BU$500)))</f>
        <v>0</v>
      </c>
      <c r="EV35" s="133" t="n">
        <f aca="false">IF(OR(EV$4="",$B35=""),0,SUMIF('DADOS BRUTOS'!$A$3:$A$500,$B35,'DADOS BRUTOS'!BV$3:BV$500)+IF($C35="",0,SUMIF('DADOS BRUTOS'!$A$3:$A$500,$C35,'DADOS BRUTOS'!BV$3:BV$500)))</f>
        <v>0</v>
      </c>
      <c r="EW35" s="133" t="n">
        <f aca="false">IF(OR(EW$4="",$B35=""),0,SUMIF('DADOS BRUTOS'!$A$3:$A$500,$B35,'DADOS BRUTOS'!BW$3:BW$500)+IF($C35="",0,SUMIF('DADOS BRUTOS'!$A$3:$A$500,$C35,'DADOS BRUTOS'!BW$3:BW$500)))</f>
        <v>0</v>
      </c>
      <c r="EX35" s="133" t="n">
        <f aca="false">IF(OR(EX$4="",$B35=""),0,SUMIF('DADOS BRUTOS'!$A$3:$A$500,$B35,'DADOS BRUTOS'!BX$3:BX$500)+IF($C35="",0,SUMIF('DADOS BRUTOS'!$A$3:$A$500,$C35,'DADOS BRUTOS'!BX$3:BX$500)))</f>
        <v>0</v>
      </c>
      <c r="EY35" s="133" t="n">
        <f aca="false">IF(OR(EY$4="",$B35=""),0,SUMIF('DADOS BRUTOS'!$A$3:$A$500,$B35,'DADOS BRUTOS'!BY$3:BY$500)+IF($C35="",0,SUMIF('DADOS BRUTOS'!$A$3:$A$500,$C35,'DADOS BRUTOS'!BY$3:BY$500)))</f>
        <v>0</v>
      </c>
      <c r="EZ35" s="133" t="n">
        <f aca="false">IF(OR(EZ$4="",$B35=""),0,SUMIF('DADOS BRUTOS'!$A$3:$A$500,$B35,'DADOS BRUTOS'!BZ$3:BZ$500)+IF($C35="",0,SUMIF('DADOS BRUTOS'!$A$3:$A$500,$C35,'DADOS BRUTOS'!BZ$3:BZ$500)))</f>
        <v>0</v>
      </c>
      <c r="FA35" s="133" t="n">
        <f aca="false">IF(OR(FA$4="",$B35=""),0,SUMIF('DADOS BRUTOS'!$A$3:$A$500,$B35,'DADOS BRUTOS'!CA$3:CA$500)+IF($C35="",0,SUMIF('DADOS BRUTOS'!$A$3:$A$500,$C35,'DADOS BRUTOS'!CA$3:CA$500)))</f>
        <v>0</v>
      </c>
      <c r="FB35" s="133" t="n">
        <f aca="false">IF(OR(FB$4="",$B35=""),0,SUMIF('DADOS BRUTOS'!$A$3:$A$500,$B35,'DADOS BRUTOS'!CB$3:CB$500)+IF($C35="",0,SUMIF('DADOS BRUTOS'!$A$3:$A$500,$C35,'DADOS BRUTOS'!CB$3:CB$500)))</f>
        <v>0</v>
      </c>
      <c r="FC35" s="133" t="n">
        <f aca="false">IF(OR(FC$4="",$B35=""),0,SUMIF('DADOS BRUTOS'!$A$3:$A$500,$B35,'DADOS BRUTOS'!CC$3:CC$500)+IF($C35="",0,SUMIF('DADOS BRUTOS'!$A$3:$A$500,$C35,'DADOS BRUTOS'!CC$3:CC$500)))</f>
        <v>0</v>
      </c>
      <c r="FD35" s="133" t="n">
        <f aca="false">IF(OR(FD$4="",$B35=""),0,SUMIF('DADOS BRUTOS'!$A$3:$A$500,$B35,'DADOS BRUTOS'!CD$3:CD$500)+IF($C35="",0,SUMIF('DADOS BRUTOS'!$A$3:$A$500,$C35,'DADOS BRUTOS'!CD$3:CD$500)))</f>
        <v>0</v>
      </c>
      <c r="FE35" s="133" t="n">
        <f aca="false">IF(OR(FE$4="",$B35=""),0,SUMIF('DADOS BRUTOS'!$A$3:$A$500,$B35,'DADOS BRUTOS'!CE$3:CE$500)+IF($C35="",0,SUMIF('DADOS BRUTOS'!$A$3:$A$500,$C35,'DADOS BRUTOS'!CE$3:CE$500)))</f>
        <v>0</v>
      </c>
      <c r="FF35" s="133" t="n">
        <f aca="false">IF(OR(FF$4="",$B35=""),0,SUMIF('DADOS BRUTOS'!$A$3:$A$500,$B35,'DADOS BRUTOS'!CF$3:CF$500)+IF($C35="",0,SUMIF('DADOS BRUTOS'!$A$3:$A$500,$C35,'DADOS BRUTOS'!CF$3:CF$500)))</f>
        <v>0</v>
      </c>
      <c r="FG35" s="133" t="n">
        <f aca="false">IF(OR(FG$4="",$B35=""),0,SUMIF('DADOS BRUTOS'!$A$3:$A$500,$B35,'DADOS BRUTOS'!CG$3:CG$500)+IF($C35="",0,SUMIF('DADOS BRUTOS'!$A$3:$A$500,$C35,'DADOS BRUTOS'!CG$3:CG$500)))</f>
        <v>0</v>
      </c>
      <c r="FH35" s="133" t="n">
        <f aca="false">IF(OR(FH$4="",$B35=""),0,SUMIF('DADOS BRUTOS'!$A$3:$A$500,$B35,'DADOS BRUTOS'!CH$3:CH$500)+IF($C35="",0,SUMIF('DADOS BRUTOS'!$A$3:$A$500,$C35,'DADOS BRUTOS'!CH$3:CH$500)))</f>
        <v>0</v>
      </c>
      <c r="FI35" s="133" t="n">
        <f aca="false">IF(OR(FI$4="",$B35=""),0,SUMIF('DADOS BRUTOS'!$A$3:$A$500,$B35,'DADOS BRUTOS'!CI$3:CI$500)+IF($C35="",0,SUMIF('DADOS BRUTOS'!$A$3:$A$500,$C35,'DADOS BRUTOS'!CI$3:CI$500)))</f>
        <v>0</v>
      </c>
      <c r="FJ35" s="133" t="n">
        <f aca="false">IF(OR(FJ$4="",$B35=""),0,SUMIF('DADOS BRUTOS'!$A$3:$A$500,$B35,'DADOS BRUTOS'!CJ$3:CJ$500)+IF($C35="",0,SUMIF('DADOS BRUTOS'!$A$3:$A$500,$C35,'DADOS BRUTOS'!CJ$3:CJ$500)))</f>
        <v>0</v>
      </c>
      <c r="FK35" s="133" t="n">
        <f aca="false">IF(OR(FK$4="",$B35=""),0,SUMIF('DADOS BRUTOS'!$A$3:$A$500,$B35,'DADOS BRUTOS'!CK$3:CK$500)+IF($C35="",0,SUMIF('DADOS BRUTOS'!$A$3:$A$500,$C35,'DADOS BRUTOS'!CK$3:CK$500)))</f>
        <v>0</v>
      </c>
      <c r="FL35" s="133" t="n">
        <f aca="false">IF(OR(FL$4="",$B35=""),0,SUMIF('DADOS BRUTOS'!$A$3:$A$500,$B35,'DADOS BRUTOS'!CL$3:CL$500)+IF($C35="",0,SUMIF('DADOS BRUTOS'!$A$3:$A$500,$C35,'DADOS BRUTOS'!CL$3:CL$500)))</f>
        <v>0</v>
      </c>
      <c r="FM35" s="133" t="n">
        <f aca="false">IF(OR(FM$4="",$B35=""),0,SUMIF('DADOS BRUTOS'!$A$3:$A$500,$B35,'DADOS BRUTOS'!CM$3:CM$500)+IF($C35="",0,SUMIF('DADOS BRUTOS'!$A$3:$A$500,$C35,'DADOS BRUTOS'!CM$3:CM$500)))</f>
        <v>0</v>
      </c>
      <c r="FN35" s="133" t="n">
        <f aca="false">IF(OR(FN$4="",$B35=""),0,SUMIF('DADOS BRUTOS'!$A$3:$A$500,$B35,'DADOS BRUTOS'!CN$3:CN$500)+IF($C35="",0,SUMIF('DADOS BRUTOS'!$A$3:$A$500,$C35,'DADOS BRUTOS'!CN$3:CN$500)))</f>
        <v>0</v>
      </c>
      <c r="FO35" s="133" t="n">
        <f aca="false">IF(OR(FO$4="",$B35=""),0,SUMIF('DADOS BRUTOS'!$A$3:$A$500,$B35,'DADOS BRUTOS'!CO$3:CO$500)+IF($C35="",0,SUMIF('DADOS BRUTOS'!$A$3:$A$500,$C35,'DADOS BRUTOS'!CO$3:CO$500)))</f>
        <v>0</v>
      </c>
      <c r="FP35" s="133" t="n">
        <f aca="false">IF(OR(FP$4="",$B35=""),0,SUMIF('DADOS BRUTOS'!$A$3:$A$500,$B35,'DADOS BRUTOS'!CP$3:CP$500)+IF($C35="",0,SUMIF('DADOS BRUTOS'!$A$3:$A$500,$C35,'DADOS BRUTOS'!CP$3:CP$500)))</f>
        <v>0</v>
      </c>
      <c r="FQ35" s="133" t="n">
        <f aca="false">IF(OR(FQ$4="",$B35=""),0,SUMIF('DADOS BRUTOS'!$A$3:$A$500,$B35,'DADOS BRUTOS'!CQ$3:CQ$500)+IF($C35="",0,SUMIF('DADOS BRUTOS'!$A$3:$A$500,$C35,'DADOS BRUTOS'!CQ$3:CQ$500)))</f>
        <v>0</v>
      </c>
      <c r="FR35" s="133" t="n">
        <f aca="false">IF(OR(FR$4="",$B35=""),0,SUMIF('DADOS BRUTOS'!$A$3:$A$500,$B35,'DADOS BRUTOS'!CR$3:CR$500)+IF($C35="",0,SUMIF('DADOS BRUTOS'!$A$3:$A$500,$C35,'DADOS BRUTOS'!CR$3:CR$500)))</f>
        <v>0</v>
      </c>
      <c r="FS35" s="133" t="n">
        <f aca="false">IF(OR(FS$4="",$B35=""),0,SUMIF('DADOS BRUTOS'!$A$3:$A$500,$B35,'DADOS BRUTOS'!CS$3:CS$500)+IF($C35="",0,SUMIF('DADOS BRUTOS'!$A$3:$A$500,$C35,'DADOS BRUTOS'!CS$3:CS$500)))</f>
        <v>0</v>
      </c>
      <c r="FT35" s="133" t="n">
        <f aca="false">IF(OR(FT$4="",$B35=""),0,SUMIF('DADOS BRUTOS'!$A$3:$A$500,$B35,'DADOS BRUTOS'!CT$3:CT$500)+IF($C35="",0,SUMIF('DADOS BRUTOS'!$A$3:$A$500,$C35,'DADOS BRUTOS'!CT$3:CT$500)))</f>
        <v>0</v>
      </c>
      <c r="FU35" s="133" t="n">
        <f aca="false">IF(OR(FU$4="",$B35=""),0,SUMIF('DADOS BRUTOS'!$A$3:$A$500,$B35,'DADOS BRUTOS'!CU$3:CU$500)+IF($C35="",0,SUMIF('DADOS BRUTOS'!$A$3:$A$500,$C35,'DADOS BRUTOS'!CU$3:CU$500)))</f>
        <v>0</v>
      </c>
      <c r="FV35" s="133" t="n">
        <f aca="false">IF(OR(FV$4="",$B35=""),0,SUMIF('DADOS BRUTOS'!$A$3:$A$500,$B35,'DADOS BRUTOS'!CV$3:CV$500)+IF($C35="",0,SUMIF('DADOS BRUTOS'!$A$3:$A$500,$C35,'DADOS BRUTOS'!CV$3:CV$500)))</f>
        <v>0</v>
      </c>
      <c r="FW35" s="133" t="n">
        <f aca="false">IF(OR(FW$4="",$B35=""),0,SUMIF('DADOS BRUTOS'!$A$3:$A$500,$B35,'DADOS BRUTOS'!CW$3:CW$500)+IF($C35="",0,SUMIF('DADOS BRUTOS'!$A$3:$A$500,$C35,'DADOS BRUTOS'!CW$3:CW$500)))</f>
        <v>0</v>
      </c>
      <c r="FX35" s="133" t="n">
        <f aca="false">IF(OR(FX$4="",$B35=""),0,SUMIF('DADOS BRUTOS'!$A$3:$A$500,$B35,'DADOS BRUTOS'!CX$3:CX$500)+IF($C35="",0,SUMIF('DADOS BRUTOS'!$A$3:$A$500,$C35,'DADOS BRUTOS'!CX$3:CX$500)))</f>
        <v>0</v>
      </c>
      <c r="FY35" s="133" t="n">
        <f aca="false">IF(OR(FY$4="",$B35=""),0,SUMIF('DADOS BRUTOS'!$A$3:$A$500,$B35,'DADOS BRUTOS'!CY$3:CY$500)+IF($C35="",0,SUMIF('DADOS BRUTOS'!$A$3:$A$500,$C35,'DADOS BRUTOS'!CY$3:CY$500)))</f>
        <v>0</v>
      </c>
      <c r="FZ35" s="133" t="n">
        <f aca="false">IF(OR(FZ$4="",$B35=""),0,SUMIF('DADOS BRUTOS'!$A$3:$A$500,$B35,'DADOS BRUTOS'!CZ$3:CZ$500)+IF($C35="",0,SUMIF('DADOS BRUTOS'!$A$3:$A$500,$C35,'DADOS BRUTOS'!CZ$3:CZ$500)))</f>
        <v>0</v>
      </c>
      <c r="GA35" s="133" t="n">
        <f aca="false">IF(OR(GA$4="",$B35=""),0,SUMIF('DADOS BRUTOS'!$A$3:$A$500,$B35,'DADOS BRUTOS'!DA$3:DA$500)+IF($C35="",0,SUMIF('DADOS BRUTOS'!$A$3:$A$500,$C35,'DADOS BRUTOS'!DA$3:DA$500)))</f>
        <v>0</v>
      </c>
      <c r="GB35" s="133" t="n">
        <f aca="false">IF(OR(GB$4="",$B35=""),0,SUMIF('DADOS BRUTOS'!$A$3:$A$500,$B35,'DADOS BRUTOS'!DB$3:DB$500)+IF($C35="",0,SUMIF('DADOS BRUTOS'!$A$3:$A$500,$C35,'DADOS BRUTOS'!DB$3:DB$500)))</f>
        <v>0</v>
      </c>
      <c r="GC35" s="133" t="n">
        <f aca="false">IF(OR(GC$4="",$B35=""),0,SUMIF('DADOS BRUTOS'!$A$3:$A$500,$B35,'DADOS BRUTOS'!DC$3:DC$500)+IF($C35="",0,SUMIF('DADOS BRUTOS'!$A$3:$A$500,$C35,'DADOS BRUTOS'!DC$3:DC$500)))</f>
        <v>0</v>
      </c>
      <c r="GD35" s="133" t="n">
        <f aca="false">IF(OR(GD$4="",$B35=""),0,SUMIF('DADOS BRUTOS'!$A$3:$A$500,$B35,'DADOS BRUTOS'!DD$3:DD$500)+IF($C35="",0,SUMIF('DADOS BRUTOS'!$A$3:$A$500,$C35,'DADOS BRUTOS'!DD$3:DD$500)))</f>
        <v>0</v>
      </c>
      <c r="GE35" s="133" t="n">
        <f aca="false">IF(OR(GE$4="",$B35=""),0,SUMIF('DADOS BRUTOS'!$A$3:$A$500,$B35,'DADOS BRUTOS'!DE$3:DE$500)+IF($C35="",0,SUMIF('DADOS BRUTOS'!$A$3:$A$500,$C35,'DADOS BRUTOS'!DE$3:DE$500)))</f>
        <v>0</v>
      </c>
      <c r="GF35" s="133" t="n">
        <f aca="false">IF(OR(GF$4="",$B35=""),0,SUMIF('DADOS BRUTOS'!$A$3:$A$500,$B35,'DADOS BRUTOS'!DF$3:DF$500)+IF($C35="",0,SUMIF('DADOS BRUTOS'!$A$3:$A$500,$C35,'DADOS BRUTOS'!DF$3:DF$500)))</f>
        <v>0</v>
      </c>
      <c r="GG35" s="133" t="n">
        <f aca="false">IF(OR(GG$4="",$B35=""),0,SUMIF('DADOS BRUTOS'!$A$3:$A$500,$B35,'DADOS BRUTOS'!DG$3:DG$500)+IF($C35="",0,SUMIF('DADOS BRUTOS'!$A$3:$A$500,$C35,'DADOS BRUTOS'!DG$3:DG$500)))</f>
        <v>0</v>
      </c>
      <c r="GH35" s="133" t="n">
        <f aca="false">IF(OR(GH$4="",$B35=""),0,SUMIF('DADOS BRUTOS'!$A$3:$A$500,$B35,'DADOS BRUTOS'!DH$3:DH$500)+IF($C35="",0,SUMIF('DADOS BRUTOS'!$A$3:$A$500,$C35,'DADOS BRUTOS'!DH$3:DH$500)))</f>
        <v>0</v>
      </c>
      <c r="GI35" s="133" t="n">
        <f aca="false">IF(OR(GI$4="",$B35=""),0,SUMIF('DADOS BRUTOS'!$A$3:$A$500,$B35,'DADOS BRUTOS'!DI$3:DI$500)+IF($C35="",0,SUMIF('DADOS BRUTOS'!$A$3:$A$500,$C35,'DADOS BRUTOS'!DI$3:DI$500)))</f>
        <v>0</v>
      </c>
      <c r="GJ35" s="133" t="n">
        <f aca="false">IF(OR(GJ$4="",$B35=""),0,SUMIF('DADOS BRUTOS'!$A$3:$A$500,$B35,'DADOS BRUTOS'!DJ$3:DJ$500)+IF($C35="",0,SUMIF('DADOS BRUTOS'!$A$3:$A$500,$C35,'DADOS BRUTOS'!DJ$3:DJ$500)))</f>
        <v>0</v>
      </c>
      <c r="GK35" s="133" t="n">
        <f aca="false">IF(OR(GK$4="",$B35=""),0,SUMIF('DADOS BRUTOS'!$A$3:$A$500,$B35,'DADOS BRUTOS'!DK$3:DK$500)+IF($C35="",0,SUMIF('DADOS BRUTOS'!$A$3:$A$500,$C35,'DADOS BRUTOS'!DK$3:DK$500)))</f>
        <v>0</v>
      </c>
      <c r="GL35" s="133" t="n">
        <f aca="false">IF(OR(GL$4="",$B35=""),0,SUMIF('DADOS BRUTOS'!$A$3:$A$500,$B35,'DADOS BRUTOS'!DL$3:DL$500)+IF($C35="",0,SUMIF('DADOS BRUTOS'!$A$3:$A$500,$C35,'DADOS BRUTOS'!DL$3:DL$500)))</f>
        <v>0</v>
      </c>
      <c r="GM35" s="133" t="n">
        <f aca="false">IF(OR(GM$4="",$B35=""),0,SUMIF('DADOS BRUTOS'!$A$3:$A$500,$B35,'DADOS BRUTOS'!DM$3:DM$500)+IF($C35="",0,SUMIF('DADOS BRUTOS'!$A$3:$A$500,$C35,'DADOS BRUTOS'!DM$3:DM$500)))</f>
        <v>0</v>
      </c>
      <c r="GN35" s="133" t="n">
        <f aca="false">IF(OR(GN$4="",$B35=""),0,SUMIF('DADOS BRUTOS'!$A$3:$A$500,$B35,'DADOS BRUTOS'!DN$3:DN$500)+IF($C35="",0,SUMIF('DADOS BRUTOS'!$A$3:$A$500,$C35,'DADOS BRUTOS'!DN$3:DN$500)))</f>
        <v>0</v>
      </c>
      <c r="GO35" s="133" t="n">
        <f aca="false">IF(OR(GO$4="",$B35=""),0,SUMIF('DADOS BRUTOS'!$A$3:$A$500,$B35,'DADOS BRUTOS'!DO$3:DO$500)+IF($C35="",0,SUMIF('DADOS BRUTOS'!$A$3:$A$500,$C35,'DADOS BRUTOS'!DO$3:DO$500)))</f>
        <v>0</v>
      </c>
      <c r="GP35" s="133" t="n">
        <f aca="false">IF(OR(GP$4="",$B35=""),0,SUMIF('DADOS BRUTOS'!$A$3:$A$500,$B35,'DADOS BRUTOS'!DP$3:DP$500)+IF($C35="",0,SUMIF('DADOS BRUTOS'!$A$3:$A$500,$C35,'DADOS BRUTOS'!DP$3:DP$500)))</f>
        <v>0</v>
      </c>
      <c r="GQ35" s="133" t="n">
        <f aca="false">IF(OR(GQ$4="",$B35=""),0,SUMIF('DADOS BRUTOS'!$A$3:$A$500,$B35,'DADOS BRUTOS'!DQ$3:DQ$500)+IF($C35="",0,SUMIF('DADOS BRUTOS'!$A$3:$A$500,$C35,'DADOS BRUTOS'!DQ$3:DQ$500)))</f>
        <v>0</v>
      </c>
      <c r="GR35" s="133" t="n">
        <f aca="false">IF(OR(GR$4="",$B35=""),0,SUMIF('DADOS BRUTOS'!$A$3:$A$500,$B35,'DADOS BRUTOS'!DR$3:DR$500)+IF($C35="",0,SUMIF('DADOS BRUTOS'!$A$3:$A$500,$C35,'DADOS BRUTOS'!DR$3:DR$500)))</f>
        <v>0</v>
      </c>
      <c r="GS35" s="133" t="n">
        <f aca="false">IF(OR(GS$4="",$B35=""),0,SUMIF('DADOS BRUTOS'!$A$3:$A$500,$B35,'DADOS BRUTOS'!DS$3:DS$500)+IF($C35="",0,SUMIF('DADOS BRUTOS'!$A$3:$A$500,$C35,'DADOS BRUTOS'!DS$3:DS$500)))</f>
        <v>0</v>
      </c>
      <c r="GT35" s="133" t="n">
        <f aca="false">IF(OR(GT$4="",$B35=""),0,SUMIF('DADOS BRUTOS'!$A$3:$A$500,$B35,'DADOS BRUTOS'!DT$3:DT$500)+IF($C35="",0,SUMIF('DADOS BRUTOS'!$A$3:$A$500,$C35,'DADOS BRUTOS'!DT$3:DT$500)))</f>
        <v>0</v>
      </c>
      <c r="GU35" s="133" t="n">
        <f aca="false">IF(OR(GU$4="",$B35=""),0,SUMIF('DADOS BRUTOS'!$A$3:$A$500,$B35,'DADOS BRUTOS'!DU$3:DU$500)+IF($C35="",0,SUMIF('DADOS BRUTOS'!$A$3:$A$500,$C35,'DADOS BRUTOS'!DU$3:DU$500)))</f>
        <v>0</v>
      </c>
      <c r="GV35" s="133" t="n">
        <f aca="false">IF(OR(GV$4="",$B35=""),0,SUMIF('DADOS BRUTOS'!$A$3:$A$500,$B35,'DADOS BRUTOS'!DV$3:DV$500)+IF($C35="",0,SUMIF('DADOS BRUTOS'!$A$3:$A$500,$C35,'DADOS BRUTOS'!DV$3:DV$500)))</f>
        <v>0</v>
      </c>
      <c r="GW35" s="133" t="n">
        <f aca="false">IF(OR(GW$4="",$B35=""),0,SUMIF('DADOS BRUTOS'!$A$3:$A$500,$B35,'DADOS BRUTOS'!DW$3:DW$500)+IF($C35="",0,SUMIF('DADOS BRUTOS'!$A$3:$A$500,$C35,'DADOS BRUTOS'!DW$3:DW$500)))</f>
        <v>0</v>
      </c>
      <c r="GX35" s="133" t="n">
        <f aca="false">IF(OR(GX$4="",$B35=""),0,SUMIF('DADOS BRUTOS'!$A$3:$A$500,$B35,'DADOS BRUTOS'!DX$3:DX$500)+IF($C35="",0,SUMIF('DADOS BRUTOS'!$A$3:$A$500,$C35,'DADOS BRUTOS'!DX$3:DX$500)))</f>
        <v>0</v>
      </c>
      <c r="GY35" s="133" t="n">
        <f aca="false">IF(OR(GY$4="",$B35=""),0,SUMIF('DADOS BRUTOS'!$A$3:$A$500,$B35,'DADOS BRUTOS'!DY$3:DY$500)+IF($C35="",0,SUMIF('DADOS BRUTOS'!$A$3:$A$500,$C35,'DADOS BRUTOS'!DY$3:DY$500)))</f>
        <v>0</v>
      </c>
      <c r="GZ35" s="133" t="n">
        <f aca="false">IF(OR(GZ$4="",$B35=""),0,SUMIF('DADOS BRUTOS'!$A$3:$A$500,$B35,'DADOS BRUTOS'!DZ$3:DZ$500)+IF($C35="",0,SUMIF('DADOS BRUTOS'!$A$3:$A$500,$C35,'DADOS BRUTOS'!DZ$3:DZ$500)))</f>
        <v>0</v>
      </c>
      <c r="HA35" s="133" t="n">
        <f aca="false">IF(OR(HA$4="",$B35=""),0,SUMIF('DADOS BRUTOS'!$A$3:$A$500,$B35,'DADOS BRUTOS'!EA$3:EA$500)+IF($C35="",0,SUMIF('DADOS BRUTOS'!$A$3:$A$500,$C35,'DADOS BRUTOS'!EA$3:EA$500)))</f>
        <v>0</v>
      </c>
      <c r="HB35" s="133" t="n">
        <f aca="false">IF(OR(HB$4="",$B35=""),0,SUMIF('DADOS BRUTOS'!$A$3:$A$500,$B35,'DADOS BRUTOS'!EB$3:EB$500)+IF($C35="",0,SUMIF('DADOS BRUTOS'!$A$3:$A$500,$C35,'DADOS BRUTOS'!EB$3:EB$500)))</f>
        <v>0</v>
      </c>
      <c r="HC35" s="133" t="n">
        <f aca="false">IF(OR(HC$4="",$B35=""),0,SUMIF('DADOS BRUTOS'!$A$3:$A$500,$B35,'DADOS BRUTOS'!EC$3:EC$500)+IF($C35="",0,SUMIF('DADOS BRUTOS'!$A$3:$A$500,$C35,'DADOS BRUTOS'!EC$3:EC$500)))</f>
        <v>0</v>
      </c>
      <c r="HD35" s="133" t="n">
        <f aca="false">IF(OR(HD$4="",$B35=""),0,SUMIF('DADOS BRUTOS'!$A$3:$A$500,$B35,'DADOS BRUTOS'!ED$3:ED$500)+IF($C35="",0,SUMIF('DADOS BRUTOS'!$A$3:$A$500,$C35,'DADOS BRUTOS'!ED$3:ED$500)))</f>
        <v>0</v>
      </c>
      <c r="HE35" s="133" t="n">
        <f aca="false">IF(OR(HE$4="",$B35=""),0,SUMIF('DADOS BRUTOS'!$A$3:$A$500,$B35,'DADOS BRUTOS'!EE$3:EE$500)+IF($C35="",0,SUMIF('DADOS BRUTOS'!$A$3:$A$500,$C35,'DADOS BRUTOS'!EE$3:EE$500)))</f>
        <v>0</v>
      </c>
      <c r="HF35" s="133" t="n">
        <f aca="false">IF(OR(HF$4="",$B35=""),0,SUMIF('DADOS BRUTOS'!$A$3:$A$500,$B35,'DADOS BRUTOS'!EF$3:EF$500)+IF($C35="",0,SUMIF('DADOS BRUTOS'!$A$3:$A$500,$C35,'DADOS BRUTOS'!EF$3:EF$500)))</f>
        <v>0</v>
      </c>
      <c r="HG35" s="133" t="n">
        <f aca="false">IF(OR(HG$4="",$B35=""),0,SUMIF('DADOS BRUTOS'!$A$3:$A$500,$B35,'DADOS BRUTOS'!EG$3:EG$500)+IF($C35="",0,SUMIF('DADOS BRUTOS'!$A$3:$A$500,$C35,'DADOS BRUTOS'!EG$3:EG$500)))</f>
        <v>0</v>
      </c>
      <c r="HH35" s="133" t="n">
        <f aca="false">IF(OR(HH$4="",$B35=""),0,SUMIF('DADOS BRUTOS'!$A$3:$A$500,$B35,'DADOS BRUTOS'!EH$3:EH$500)+IF($C35="",0,SUMIF('DADOS BRUTOS'!$A$3:$A$500,$C35,'DADOS BRUTOS'!EH$3:EH$500)))</f>
        <v>0</v>
      </c>
      <c r="HI35" s="133" t="n">
        <f aca="false">IF(OR(HI$4="",$B35=""),0,SUMIF('DADOS BRUTOS'!$A$3:$A$500,$B35,'DADOS BRUTOS'!EI$3:EI$500)+IF($C35="",0,SUMIF('DADOS BRUTOS'!$A$3:$A$500,$C35,'DADOS BRUTOS'!EI$3:EI$500)))</f>
        <v>0</v>
      </c>
      <c r="HJ35" s="133" t="n">
        <f aca="false">IF(OR(HJ$4="",$B35=""),0,SUMIF('DADOS BRUTOS'!$A$3:$A$500,$B35,'DADOS BRUTOS'!EJ$3:EJ$500)+IF($C35="",0,SUMIF('DADOS BRUTOS'!$A$3:$A$500,$C35,'DADOS BRUTOS'!EJ$3:EJ$500)))</f>
        <v>0</v>
      </c>
      <c r="HK35" s="133" t="n">
        <f aca="false">IF(OR(HK$4="",$B35=""),0,SUMIF('DADOS BRUTOS'!$A$3:$A$500,$B35,'DADOS BRUTOS'!EK$3:EK$500)+IF($C35="",0,SUMIF('DADOS BRUTOS'!$A$3:$A$500,$C35,'DADOS BRUTOS'!EK$3:EK$500)))</f>
        <v>0</v>
      </c>
      <c r="HL35" s="133" t="n">
        <f aca="false">IF(OR(HL$4="",$B35=""),0,SUMIF('DADOS BRUTOS'!$A$3:$A$500,$B35,'DADOS BRUTOS'!EL$3:EL$500)+IF($C35="",0,SUMIF('DADOS BRUTOS'!$A$3:$A$500,$C35,'DADOS BRUTOS'!EL$3:EL$500)))</f>
        <v>0</v>
      </c>
      <c r="HM35" s="133" t="n">
        <f aca="false">IF(OR(HM$4="",$B35=""),0,SUMIF('DADOS BRUTOS'!$A$3:$A$500,$B35,'DADOS BRUTOS'!EM$3:EM$500)+IF($C35="",0,SUMIF('DADOS BRUTOS'!$A$3:$A$500,$C35,'DADOS BRUTOS'!EM$3:EM$500)))</f>
        <v>0</v>
      </c>
      <c r="HN35" s="133" t="n">
        <f aca="false">IF(OR(HN$4="",$B35=""),0,SUMIF('DADOS BRUTOS'!$A$3:$A$500,$B35,'DADOS BRUTOS'!EN$3:EN$500)+IF($C35="",0,SUMIF('DADOS BRUTOS'!$A$3:$A$500,$C35,'DADOS BRUTOS'!EN$3:EN$500)))</f>
        <v>0</v>
      </c>
      <c r="HO35" s="133" t="n">
        <f aca="false">IF(OR(HO$4="",$B35=""),0,SUMIF('DADOS BRUTOS'!$A$3:$A$500,$B35,'DADOS BRUTOS'!EO$3:EO$500)+IF($C35="",0,SUMIF('DADOS BRUTOS'!$A$3:$A$500,$C35,'DADOS BRUTOS'!EO$3:EO$500)))</f>
        <v>0</v>
      </c>
      <c r="HP35" s="133" t="n">
        <f aca="false">IF(OR(HP$4="",$B35=""),0,SUMIF('DADOS BRUTOS'!$A$3:$A$500,$B35,'DADOS BRUTOS'!EP$3:EP$500)+IF($C35="",0,SUMIF('DADOS BRUTOS'!$A$3:$A$500,$C35,'DADOS BRUTOS'!EP$3:EP$500)))</f>
        <v>0</v>
      </c>
      <c r="HQ35" s="133" t="n">
        <f aca="false">IF(OR(HQ$4="",$B35=""),0,SUMIF('DADOS BRUTOS'!$A$3:$A$500,$B35,'DADOS BRUTOS'!EQ$3:EQ$500)+IF($C35="",0,SUMIF('DADOS BRUTOS'!$A$3:$A$500,$C35,'DADOS BRUTOS'!EQ$3:EQ$500)))</f>
        <v>0</v>
      </c>
      <c r="HR35" s="133" t="n">
        <f aca="false">IF(OR(HR$4="",$B35=""),0,SUMIF('DADOS BRUTOS'!$A$3:$A$500,$B35,'DADOS BRUTOS'!ER$3:ER$500)+IF($C35="",0,SUMIF('DADOS BRUTOS'!$A$3:$A$500,$C35,'DADOS BRUTOS'!ER$3:ER$500)))</f>
        <v>0</v>
      </c>
      <c r="HS35" s="133" t="n">
        <f aca="false">IF(OR(HS$4="",$B35=""),0,SUMIF('DADOS BRUTOS'!$A$3:$A$500,$B35,'DADOS BRUTOS'!ES$3:ES$500)+IF($C35="",0,SUMIF('DADOS BRUTOS'!$A$3:$A$500,$C35,'DADOS BRUTOS'!ES$3:ES$500)))</f>
        <v>0</v>
      </c>
      <c r="HT35" s="133" t="n">
        <f aca="false">IF(OR(HT$4="",$B35=""),0,SUMIF('DADOS BRUTOS'!$A$3:$A$500,$B35,'DADOS BRUTOS'!ET$3:ET$500)+IF($C35="",0,SUMIF('DADOS BRUTOS'!$A$3:$A$500,$C35,'DADOS BRUTOS'!ET$3:ET$500)))</f>
        <v>0</v>
      </c>
      <c r="HU35" s="133" t="n">
        <f aca="false">IF(OR(HU$4="",$B35=""),0,SUMIF('DADOS BRUTOS'!$A$3:$A$500,$B35,'DADOS BRUTOS'!EU$3:EU$500)+IF($C35="",0,SUMIF('DADOS BRUTOS'!$A$3:$A$500,$C35,'DADOS BRUTOS'!EU$3:EU$500)))</f>
        <v>0</v>
      </c>
      <c r="HV35" s="133" t="n">
        <f aca="false">IF(OR(HV$4="",$B35=""),0,SUMIF('DADOS BRUTOS'!$A$3:$A$500,$B35,'DADOS BRUTOS'!EV$3:EV$500)+IF($C35="",0,SUMIF('DADOS BRUTOS'!$A$3:$A$500,$C35,'DADOS BRUTOS'!EV$3:EV$500)))</f>
        <v>0</v>
      </c>
      <c r="HW35" s="133" t="n">
        <f aca="false">IF(OR(HW$4="",$B35=""),0,SUMIF('DADOS BRUTOS'!$A$3:$A$500,$B35,'DADOS BRUTOS'!EW$3:EW$500)+IF($C35="",0,SUMIF('DADOS BRUTOS'!$A$3:$A$500,$C35,'DADOS BRUTOS'!EW$3:EW$500)))</f>
        <v>0</v>
      </c>
      <c r="HX35" s="133" t="n">
        <f aca="false">IF(OR(HX$4="",$B35=""),0,SUMIF('DADOS BRUTOS'!$A$3:$A$500,$B35,'DADOS BRUTOS'!EX$3:EX$500)+IF($C35="",0,SUMIF('DADOS BRUTOS'!$A$3:$A$500,$C35,'DADOS BRUTOS'!EX$3:EX$500)))</f>
        <v>0</v>
      </c>
      <c r="HY35" s="133" t="n">
        <f aca="false">IF(OR(HY$4="",$B35=""),0,SUMIF('DADOS BRUTOS'!$A$3:$A$500,$B35,'DADOS BRUTOS'!EY$3:EY$500)+IF($C35="",0,SUMIF('DADOS BRUTOS'!$A$3:$A$500,$C35,'DADOS BRUTOS'!EY$3:EY$500)))</f>
        <v>0</v>
      </c>
      <c r="HZ35" s="133" t="n">
        <f aca="false">IF(OR(HZ$4="",$B35=""),0,SUMIF('DADOS BRUTOS'!$A$3:$A$500,$B35,'DADOS BRUTOS'!EZ$3:EZ$500)+IF($C35="",0,SUMIF('DADOS BRUTOS'!$A$3:$A$500,$C35,'DADOS BRUTOS'!EZ$3:EZ$500)))</f>
        <v>0</v>
      </c>
      <c r="IA35" s="133" t="n">
        <f aca="false">IF(OR(IA$4="",$B35=""),0,SUMIF('DADOS BRUTOS'!$A$3:$A$500,$B35,'DADOS BRUTOS'!FA$3:FA$500)+IF($C35="",0,SUMIF('DADOS BRUTOS'!$A$3:$A$500,$C35,'DADOS BRUTOS'!FA$3:FA$500)))</f>
        <v>0</v>
      </c>
      <c r="IB35" s="133" t="n">
        <f aca="false">IF(OR(IB$4="",$B35=""),0,SUMIF('DADOS BRUTOS'!$A$3:$A$500,$B35,'DADOS BRUTOS'!FB$3:FB$500)+IF($C35="",0,SUMIF('DADOS BRUTOS'!$A$3:$A$500,$C35,'DADOS BRUTOS'!FB$3:FB$500)))</f>
        <v>0</v>
      </c>
      <c r="IC35" s="133" t="n">
        <f aca="false">IF(OR(IC$4="",$B35=""),0,SUMIF('DADOS BRUTOS'!$A$3:$A$500,$B35,'DADOS BRUTOS'!FC$3:FC$500)+IF($C35="",0,SUMIF('DADOS BRUTOS'!$A$3:$A$500,$C35,'DADOS BRUTOS'!FC$3:FC$500)))</f>
        <v>0</v>
      </c>
      <c r="ID35" s="133" t="n">
        <f aca="false">IF(OR(ID$4="",$B35=""),0,SUMIF('DADOS BRUTOS'!$A$3:$A$500,$B35,'DADOS BRUTOS'!FD$3:FD$500)+IF($C35="",0,SUMIF('DADOS BRUTOS'!$A$3:$A$500,$C35,'DADOS BRUTOS'!FD$3:FD$500)))</f>
        <v>0</v>
      </c>
      <c r="IE35" s="133" t="n">
        <f aca="false">IF(OR(IE$4="",$B35=""),0,SUMIF('DADOS BRUTOS'!$A$3:$A$500,$B35,'DADOS BRUTOS'!FE$3:FE$500)+IF($C35="",0,SUMIF('DADOS BRUTOS'!$A$3:$A$500,$C35,'DADOS BRUTOS'!FE$3:FE$500)))</f>
        <v>0</v>
      </c>
      <c r="IF35" s="133" t="n">
        <f aca="false">IF(OR(IF$4="",$B35=""),0,SUMIF('DADOS BRUTOS'!$A$3:$A$500,$B35,'DADOS BRUTOS'!FF$3:FF$500)+IF($C35="",0,SUMIF('DADOS BRUTOS'!$A$3:$A$500,$C35,'DADOS BRUTOS'!FF$3:FF$500)))</f>
        <v>0</v>
      </c>
      <c r="IG35" s="133" t="n">
        <f aca="false">IF(OR(IG$4="",$B35=""),0,SUMIF('DADOS BRUTOS'!$A$3:$A$500,$B35,'DADOS BRUTOS'!FG$3:FG$500)+IF($C35="",0,SUMIF('DADOS BRUTOS'!$A$3:$A$500,$C35,'DADOS BRUTOS'!FG$3:FG$500)))</f>
        <v>0</v>
      </c>
      <c r="IH35" s="133" t="n">
        <f aca="false">IF(OR(IH$4="",$B35=""),0,SUMIF('DADOS BRUTOS'!$A$3:$A$500,$B35,'DADOS BRUTOS'!FH$3:FH$500)+IF($C35="",0,SUMIF('DADOS BRUTOS'!$A$3:$A$500,$C35,'DADOS BRUTOS'!FH$3:FH$500)))</f>
        <v>0</v>
      </c>
      <c r="II35" s="133" t="n">
        <f aca="false">IF(OR(II$4="",$B35=""),0,SUMIF('DADOS BRUTOS'!$A$3:$A$500,$B35,'DADOS BRUTOS'!FI$3:FI$500)+IF($C35="",0,SUMIF('DADOS BRUTOS'!$A$3:$A$500,$C35,'DADOS BRUTOS'!FI$3:FI$500)))</f>
        <v>0</v>
      </c>
      <c r="IJ35" s="133" t="n">
        <f aca="false">IF(OR(IJ$4="",$B35=""),0,SUMIF('DADOS BRUTOS'!$A$3:$A$500,$B35,'DADOS BRUTOS'!FJ$3:FJ$500)+IF($C35="",0,SUMIF('DADOS BRUTOS'!$A$3:$A$500,$C35,'DADOS BRUTOS'!FJ$3:FJ$500)))</f>
        <v>0</v>
      </c>
      <c r="IK35" s="133" t="n">
        <f aca="false">IF(OR(IK$4="",$B35=""),0,SUMIF('DADOS BRUTOS'!$A$3:$A$500,$B35,'DADOS BRUTOS'!FK$3:FK$500)+IF($C35="",0,SUMIF('DADOS BRUTOS'!$A$3:$A$500,$C35,'DADOS BRUTOS'!FK$3:FK$500)))</f>
        <v>0</v>
      </c>
      <c r="IL35" s="133" t="n">
        <f aca="false">IF(OR(IL$4="",$B35=""),0,SUMIF('DADOS BRUTOS'!$A$3:$A$500,$B35,'DADOS BRUTOS'!FL$3:FL$500)+IF($C35="",0,SUMIF('DADOS BRUTOS'!$A$3:$A$500,$C35,'DADOS BRUTOS'!FL$3:FL$500)))</f>
        <v>0</v>
      </c>
      <c r="IM35" s="133" t="n">
        <f aca="false">IF(OR(IM$4="",$B35=""),0,SUMIF('DADOS BRUTOS'!$A$3:$A$500,$B35,'DADOS BRUTOS'!FM$3:FM$500)+IF($C35="",0,SUMIF('DADOS BRUTOS'!$A$3:$A$500,$C35,'DADOS BRUTOS'!FM$3:FM$500)))</f>
        <v>0</v>
      </c>
      <c r="IN35" s="133" t="n">
        <f aca="false">IF(OR(IN$4="",$B35=""),0,SUMIF('DADOS BRUTOS'!$A$3:$A$500,$B35,'DADOS BRUTOS'!FN$3:FN$500)+IF($C35="",0,SUMIF('DADOS BRUTOS'!$A$3:$A$500,$C35,'DADOS BRUTOS'!FN$3:FN$500)))</f>
        <v>0</v>
      </c>
      <c r="IO35" s="133" t="n">
        <f aca="false">IF(OR(IO$4="",$B35=""),0,SUMIF('DADOS BRUTOS'!$A$3:$A$500,$B35,'DADOS BRUTOS'!FO$3:FO$500)+IF($C35="",0,SUMIF('DADOS BRUTOS'!$A$3:$A$500,$C35,'DADOS BRUTOS'!FO$3:FO$500)))</f>
        <v>0</v>
      </c>
      <c r="IP35" s="133" t="n">
        <f aca="false">IF(OR(IP$4="",$B35=""),0,SUMIF('DADOS BRUTOS'!$A$3:$A$500,$B35,'DADOS BRUTOS'!FP$3:FP$500)+IF($C35="",0,SUMIF('DADOS BRUTOS'!$A$3:$A$500,$C35,'DADOS BRUTOS'!FP$3:FP$500)))</f>
        <v>0</v>
      </c>
      <c r="IQ35" s="133" t="n">
        <f aca="false">IF(OR(IQ$4="",$B35=""),0,SUMIF('DADOS BRUTOS'!$A$3:$A$500,$B35,'DADOS BRUTOS'!FQ$3:FQ$500)+IF($C35="",0,SUMIF('DADOS BRUTOS'!$A$3:$A$500,$C35,'DADOS BRUTOS'!FQ$3:FQ$500)))</f>
        <v>0</v>
      </c>
      <c r="IR35" s="133" t="n">
        <f aca="false">IF(OR(IR$4="",$B35=""),0,SUMIF('DADOS BRUTOS'!$A$3:$A$500,$B35,'DADOS BRUTOS'!FR$3:FR$500)+IF($C35="",0,SUMIF('DADOS BRUTOS'!$A$3:$A$500,$C35,'DADOS BRUTOS'!FR$3:FR$500)))</f>
        <v>0</v>
      </c>
      <c r="IS35" s="133" t="n">
        <f aca="false">IF(OR(IS$4="",$B35=""),0,SUMIF('DADOS BRUTOS'!$A$3:$A$500,$B35,'DADOS BRUTOS'!FS$3:FS$500)+IF($C35="",0,SUMIF('DADOS BRUTOS'!$A$3:$A$500,$C35,'DADOS BRUTOS'!FS$3:FS$500)))</f>
        <v>0</v>
      </c>
      <c r="IT35" s="133" t="n">
        <f aca="false">IF(OR(IT$4="",$B35=""),0,SUMIF('DADOS BRUTOS'!$A$3:$A$500,$B35,'DADOS BRUTOS'!FT$3:FT$500)+IF($C35="",0,SUMIF('DADOS BRUTOS'!$A$3:$A$500,$C35,'DADOS BRUTOS'!FT$3:FT$500)))</f>
        <v>0</v>
      </c>
      <c r="IU35" s="133" t="n">
        <f aca="false">IF(OR(IU$4="",$B35=""),0,SUMIF('DADOS BRUTOS'!$A$3:$A$500,$B35,'DADOS BRUTOS'!FU$3:FU$500)+IF($C35="",0,SUMIF('DADOS BRUTOS'!$A$3:$A$500,$C35,'DADOS BRUTOS'!FU$3:FU$500)))</f>
        <v>0</v>
      </c>
      <c r="IV35" s="133" t="n">
        <f aca="false">IF(OR(IV$4="",$B35=""),0,SUMIF('DADOS BRUTOS'!$A$3:$A$500,$B35,'DADOS BRUTOS'!FV$3:FV$500)+IF($C35="",0,SUMIF('DADOS BRUTOS'!$A$3:$A$500,$C35,'DADOS BRUTOS'!FV$3:FV$500)))</f>
        <v>0</v>
      </c>
      <c r="IW35" s="133" t="n">
        <f aca="false">IF(OR(IW$4="",$B35=""),0,SUMIF('DADOS BRUTOS'!$A$3:$A$500,$B35,'DADOS BRUTOS'!FW$3:FW$500)+IF($C35="",0,SUMIF('DADOS BRUTOS'!$A$3:$A$500,$C35,'DADOS BRUTOS'!FW$3:FW$500)))</f>
        <v>0</v>
      </c>
      <c r="IX35" s="133" t="n">
        <f aca="false">IF(OR(IX$4="",$B35=""),0,SUMIF('DADOS BRUTOS'!$A$3:$A$500,$B35,'DADOS BRUTOS'!FX$3:FX$500)+IF($C35="",0,SUMIF('DADOS BRUTOS'!$A$3:$A$500,$C35,'DADOS BRUTOS'!FX$3:FX$500)))</f>
        <v>0</v>
      </c>
      <c r="IY35" s="133" t="n">
        <f aca="false">IF(OR(IY$4="",$B35=""),0,SUMIF('DADOS BRUTOS'!$A$3:$A$500,$B35,'DADOS BRUTOS'!FY$3:FY$500)+IF($C35="",0,SUMIF('DADOS BRUTOS'!$A$3:$A$500,$C35,'DADOS BRUTOS'!FY$3:FY$500)))</f>
        <v>0</v>
      </c>
      <c r="IZ35" s="133" t="n">
        <f aca="false">IF(OR(IZ$4="",$B35=""),0,SUMIF('DADOS BRUTOS'!$A$3:$A$500,$B35,'DADOS BRUTOS'!FZ$3:FZ$500)+IF($C35="",0,SUMIF('DADOS BRUTOS'!$A$3:$A$500,$C35,'DADOS BRUTOS'!FZ$3:FZ$500)))</f>
        <v>0</v>
      </c>
      <c r="JA35" s="133" t="n">
        <f aca="false">IF(OR(JA$4="",$B35=""),0,SUMIF('DADOS BRUTOS'!$A$3:$A$500,$B35,'DADOS BRUTOS'!GA$3:GA$500)+IF($C35="",0,SUMIF('DADOS BRUTOS'!$A$3:$A$500,$C35,'DADOS BRUTOS'!GA$3:GA$500)))</f>
        <v>0</v>
      </c>
      <c r="JB35" s="133" t="n">
        <f aca="false">IF(OR(JB$4="",$B35=""),0,SUMIF('DADOS BRUTOS'!$A$3:$A$500,$B35,'DADOS BRUTOS'!GB$3:GB$500)+IF($C35="",0,SUMIF('DADOS BRUTOS'!$A$3:$A$500,$C35,'DADOS BRUTOS'!GB$3:GB$500)))</f>
        <v>0</v>
      </c>
      <c r="JC35" s="133" t="n">
        <f aca="false">IF(OR(JC$4="",$B35=""),0,SUMIF('DADOS BRUTOS'!$A$3:$A$500,$B35,'DADOS BRUTOS'!GC$3:GC$500)+IF($C35="",0,SUMIF('DADOS BRUTOS'!$A$3:$A$500,$C35,'DADOS BRUTOS'!GC$3:GC$500)))</f>
        <v>0</v>
      </c>
      <c r="JD35" s="133" t="n">
        <f aca="false">IF(OR(JD$4="",$B35=""),0,SUMIF('DADOS BRUTOS'!$A$3:$A$500,$B35,'DADOS BRUTOS'!GD$3:GD$500)+IF($C35="",0,SUMIF('DADOS BRUTOS'!$A$3:$A$500,$C35,'DADOS BRUTOS'!GD$3:GD$500)))</f>
        <v>0</v>
      </c>
      <c r="JE35" s="133" t="n">
        <f aca="false">IF(OR(JE$4="",$B35=""),0,SUMIF('DADOS BRUTOS'!$A$3:$A$500,$B35,'DADOS BRUTOS'!GE$3:GE$500)+IF($C35="",0,SUMIF('DADOS BRUTOS'!$A$3:$A$500,$C35,'DADOS BRUTOS'!GE$3:GE$500)))</f>
        <v>0</v>
      </c>
      <c r="JF35" s="133" t="n">
        <f aca="false">IF(OR(JF$4="",$B35=""),0,SUMIF('DADOS BRUTOS'!$A$3:$A$500,$B35,'DADOS BRUTOS'!GF$3:GF$500)+IF($C35="",0,SUMIF('DADOS BRUTOS'!$A$3:$A$500,$C35,'DADOS BRUTOS'!GF$3:GF$500)))</f>
        <v>0</v>
      </c>
      <c r="JG35" s="133" t="n">
        <f aca="false">IF(OR(JG$4="",$B35=""),0,SUMIF('DADOS BRUTOS'!$A$3:$A$500,$B35,'DADOS BRUTOS'!GG$3:GG$500)+IF($C35="",0,SUMIF('DADOS BRUTOS'!$A$3:$A$500,$C35,'DADOS BRUTOS'!GG$3:GG$500)))</f>
        <v>0</v>
      </c>
      <c r="JH35" s="133" t="n">
        <f aca="false">IF(OR(JH$4="",$B35=""),0,SUMIF('DADOS BRUTOS'!$A$3:$A$500,$B35,'DADOS BRUTOS'!GH$3:GH$500)+IF($C35="",0,SUMIF('DADOS BRUTOS'!$A$3:$A$500,$C35,'DADOS BRUTOS'!GH$3:GH$500)))</f>
        <v>0</v>
      </c>
      <c r="JI35" s="133" t="n">
        <f aca="false">IF(OR(JI$4="",$B35=""),0,SUMIF('DADOS BRUTOS'!$A$3:$A$500,$B35,'DADOS BRUTOS'!GI$3:GI$500)+IF($C35="",0,SUMIF('DADOS BRUTOS'!$A$3:$A$500,$C35,'DADOS BRUTOS'!GI$3:GI$500)))</f>
        <v>0</v>
      </c>
      <c r="JJ35" s="133" t="n">
        <f aca="false">IF(OR(JJ$4="",$B35=""),0,SUMIF('DADOS BRUTOS'!$A$3:$A$500,$B35,'DADOS BRUTOS'!GJ$3:GJ$500)+IF($C35="",0,SUMIF('DADOS BRUTOS'!$A$3:$A$500,$C35,'DADOS BRUTOS'!GJ$3:GJ$500)))</f>
        <v>0</v>
      </c>
      <c r="JK35" s="133" t="n">
        <f aca="false">IF(OR(JK$4="",$B35=""),0,SUMIF('DADOS BRUTOS'!$A$3:$A$500,$B35,'DADOS BRUTOS'!GK$3:GK$500)+IF($C35="",0,SUMIF('DADOS BRUTOS'!$A$3:$A$500,$C35,'DADOS BRUTOS'!GK$3:GK$500)))</f>
        <v>0</v>
      </c>
      <c r="JL35" s="133" t="n">
        <f aca="false">IF(OR(JL$4="",$B35=""),0,SUMIF('DADOS BRUTOS'!$A$3:$A$500,$B35,'DADOS BRUTOS'!GL$3:GL$500)+IF($C35="",0,SUMIF('DADOS BRUTOS'!$A$3:$A$500,$C35,'DADOS BRUTOS'!GL$3:GL$500)))</f>
        <v>0</v>
      </c>
      <c r="JM35" s="133" t="n">
        <f aca="false">IF(OR(JM$4="",$B35=""),0,SUMIF('DADOS BRUTOS'!$A$3:$A$500,$B35,'DADOS BRUTOS'!GM$3:GM$500)+IF($C35="",0,SUMIF('DADOS BRUTOS'!$A$3:$A$500,$C35,'DADOS BRUTOS'!GM$3:GM$500)))</f>
        <v>0</v>
      </c>
      <c r="JN35" s="133" t="n">
        <f aca="false">IF(OR(JN$4="",$B35=""),0,SUMIF('DADOS BRUTOS'!$A$3:$A$500,$B35,'DADOS BRUTOS'!GN$3:GN$500)+IF($C35="",0,SUMIF('DADOS BRUTOS'!$A$3:$A$500,$C35,'DADOS BRUTOS'!GN$3:GN$500)))</f>
        <v>0</v>
      </c>
      <c r="JO35" s="133" t="n">
        <f aca="false">IF(OR(JO$4="",$B35=""),0,SUMIF('DADOS BRUTOS'!$A$3:$A$500,$B35,'DADOS BRUTOS'!GO$3:GO$500)+IF($C35="",0,SUMIF('DADOS BRUTOS'!$A$3:$A$500,$C35,'DADOS BRUTOS'!GO$3:GO$500)))</f>
        <v>0</v>
      </c>
      <c r="JP35" s="133" t="n">
        <f aca="false">IF(OR(JP$4="",$B35=""),0,SUMIF('DADOS BRUTOS'!$A$3:$A$500,$B35,'DADOS BRUTOS'!GP$3:GP$500)+IF($C35="",0,SUMIF('DADOS BRUTOS'!$A$3:$A$500,$C35,'DADOS BRUTOS'!GP$3:GP$500)))</f>
        <v>0</v>
      </c>
      <c r="JQ35" s="133" t="n">
        <f aca="false">IF(OR(JQ$4="",$B35=""),0,SUMIF('DADOS BRUTOS'!$A$3:$A$500,$B35,'DADOS BRUTOS'!GQ$3:GQ$500)+IF($C35="",0,SUMIF('DADOS BRUTOS'!$A$3:$A$500,$C35,'DADOS BRUTOS'!GQ$3:GQ$500)))</f>
        <v>0</v>
      </c>
      <c r="JR35" s="133" t="n">
        <f aca="false">IF(OR(JR$4="",$B35=""),0,SUMIF('DADOS BRUTOS'!$A$3:$A$500,$B35,'DADOS BRUTOS'!GR$3:GR$500)+IF($C35="",0,SUMIF('DADOS BRUTOS'!$A$3:$A$500,$C35,'DADOS BRUTOS'!GR$3:GR$500)))</f>
        <v>0</v>
      </c>
      <c r="JS35" s="133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- FACHADA</v>
      </c>
      <c r="B36" s="55" t="s">
        <v>205</v>
      </c>
      <c r="C36" s="55"/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0</v>
      </c>
      <c r="M36" s="50" t="n">
        <f aca="false">SUMIF($CB$4:$JS$4,M$4,$CB36:$JS36)</f>
        <v>0</v>
      </c>
      <c r="N36" s="50" t="n">
        <f aca="false">SUMIF($CB$4:$JS$4,N$4,$CB36:$JS36)</f>
        <v>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0</v>
      </c>
      <c r="Y36" s="50" t="n">
        <f aca="false">SUMIF($CB$4:$JS$4,Y$4,$CB36:$JS36)</f>
        <v>0</v>
      </c>
      <c r="Z36" s="50" t="n">
        <f aca="false">SUMIF($CB$4:$JS$4,Z$4,$CB36:$JS36)</f>
        <v>443.43</v>
      </c>
      <c r="AA36" s="50" t="n">
        <f aca="false">SUMIF($CB$4:$JS$4,AA$4,$CB36:$JS36)</f>
        <v>0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0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443.43</v>
      </c>
      <c r="BZ36" s="45" t="n">
        <f aca="false">SUMPRODUCT(($CB$4:$JS$4&lt;&gt;"")*($CB$4:$JS$4&lt;=$D$4),$CB36:$JS36,$CB$1:$JS$1)</f>
        <v>0</v>
      </c>
      <c r="CB36" s="133" t="n">
        <f aca="false">IF(OR(CB$4="",$B36=""),0,SUMIF('DADOS BRUTOS'!$A$3:$A$500,$B36,'DADOS BRUTOS'!B$3:B$500)+IF($C36="",0,SUMIF('DADOS BRUTOS'!$A$3:$A$500,$C36,'DADOS BRUTOS'!B$3:B$500)))</f>
        <v>0</v>
      </c>
      <c r="CC36" s="133" t="n">
        <f aca="false">IF(OR(CC$4="",$B36=""),0,SUMIF('DADOS BRUTOS'!$A$3:$A$500,$B36,'DADOS BRUTOS'!C$3:C$500)+IF($C36="",0,SUMIF('DADOS BRUTOS'!$A$3:$A$500,$C36,'DADOS BRUTOS'!C$3:C$500)))</f>
        <v>0</v>
      </c>
      <c r="CD36" s="133" t="n">
        <f aca="false">IF(OR(CD$4="",$B36=""),0,SUMIF('DADOS BRUTOS'!$A$3:$A$500,$B36,'DADOS BRUTOS'!D$3:D$500)+IF($C36="",0,SUMIF('DADOS BRUTOS'!$A$3:$A$500,$C36,'DADOS BRUTOS'!D$3:D$500)))</f>
        <v>0</v>
      </c>
      <c r="CE36" s="133" t="n">
        <f aca="false">IF(OR(CE$4="",$B36=""),0,SUMIF('DADOS BRUTOS'!$A$3:$A$500,$B36,'DADOS BRUTOS'!E$3:E$500)+IF($C36="",0,SUMIF('DADOS BRUTOS'!$A$3:$A$500,$C36,'DADOS BRUTOS'!E$3:E$500)))</f>
        <v>0</v>
      </c>
      <c r="CF36" s="133" t="n">
        <f aca="false">IF(OR(CF$4="",$B36=""),0,SUMIF('DADOS BRUTOS'!$A$3:$A$500,$B36,'DADOS BRUTOS'!F$3:F$500)+IF($C36="",0,SUMIF('DADOS BRUTOS'!$A$3:$A$500,$C36,'DADOS BRUTOS'!F$3:F$500)))</f>
        <v>0</v>
      </c>
      <c r="CG36" s="133" t="n">
        <f aca="false">IF(OR(CG$4="",$B36=""),0,SUMIF('DADOS BRUTOS'!$A$3:$A$500,$B36,'DADOS BRUTOS'!G$3:G$500)+IF($C36="",0,SUMIF('DADOS BRUTOS'!$A$3:$A$500,$C36,'DADOS BRUTOS'!G$3:G$500)))</f>
        <v>0</v>
      </c>
      <c r="CH36" s="133" t="n">
        <f aca="false">IF(OR(CH$4="",$B36=""),0,SUMIF('DADOS BRUTOS'!$A$3:$A$500,$B36,'DADOS BRUTOS'!H$3:H$500)+IF($C36="",0,SUMIF('DADOS BRUTOS'!$A$3:$A$500,$C36,'DADOS BRUTOS'!H$3:H$500)))</f>
        <v>0</v>
      </c>
      <c r="CI36" s="133" t="n">
        <f aca="false">IF(OR(CI$4="",$B36=""),0,SUMIF('DADOS BRUTOS'!$A$3:$A$500,$B36,'DADOS BRUTOS'!I$3:I$500)+IF($C36="",0,SUMIF('DADOS BRUTOS'!$A$3:$A$500,$C36,'DADOS BRUTOS'!I$3:I$500)))</f>
        <v>0</v>
      </c>
      <c r="CJ36" s="133" t="n">
        <f aca="false">IF(OR(CJ$4="",$B36=""),0,SUMIF('DADOS BRUTOS'!$A$3:$A$500,$B36,'DADOS BRUTOS'!J$3:J$500)+IF($C36="",0,SUMIF('DADOS BRUTOS'!$A$3:$A$500,$C36,'DADOS BRUTOS'!J$3:J$500)))</f>
        <v>0</v>
      </c>
      <c r="CK36" s="133" t="n">
        <f aca="false">IF(OR(CK$4="",$B36=""),0,SUMIF('DADOS BRUTOS'!$A$3:$A$500,$B36,'DADOS BRUTOS'!K$3:K$500)+IF($C36="",0,SUMIF('DADOS BRUTOS'!$A$3:$A$500,$C36,'DADOS BRUTOS'!K$3:K$500)))</f>
        <v>0</v>
      </c>
      <c r="CL36" s="133" t="n">
        <f aca="false">IF(OR(CL$4="",$B36=""),0,SUMIF('DADOS BRUTOS'!$A$3:$A$500,$B36,'DADOS BRUTOS'!L$3:L$500)+IF($C36="",0,SUMIF('DADOS BRUTOS'!$A$3:$A$500,$C36,'DADOS BRUTOS'!L$3:L$500)))</f>
        <v>0</v>
      </c>
      <c r="CM36" s="133" t="n">
        <f aca="false">IF(OR(CM$4="",$B36=""),0,SUMIF('DADOS BRUTOS'!$A$3:$A$500,$B36,'DADOS BRUTOS'!M$3:M$500)+IF($C36="",0,SUMIF('DADOS BRUTOS'!$A$3:$A$500,$C36,'DADOS BRUTOS'!M$3:M$500)))</f>
        <v>0</v>
      </c>
      <c r="CN36" s="133" t="n">
        <f aca="false">IF(OR(CN$4="",$B36=""),0,SUMIF('DADOS BRUTOS'!$A$3:$A$500,$B36,'DADOS BRUTOS'!N$3:N$500)+IF($C36="",0,SUMIF('DADOS BRUTOS'!$A$3:$A$500,$C36,'DADOS BRUTOS'!N$3:N$500)))</f>
        <v>0</v>
      </c>
      <c r="CO36" s="133" t="n">
        <f aca="false">IF(OR(CO$4="",$B36=""),0,SUMIF('DADOS BRUTOS'!$A$3:$A$500,$B36,'DADOS BRUTOS'!O$3:O$500)+IF($C36="",0,SUMIF('DADOS BRUTOS'!$A$3:$A$500,$C36,'DADOS BRUTOS'!O$3:O$500)))</f>
        <v>0</v>
      </c>
      <c r="CP36" s="133" t="n">
        <f aca="false">IF(OR(CP$4="",$B36=""),0,SUMIF('DADOS BRUTOS'!$A$3:$A$500,$B36,'DADOS BRUTOS'!P$3:P$500)+IF($C36="",0,SUMIF('DADOS BRUTOS'!$A$3:$A$500,$C36,'DADOS BRUTOS'!P$3:P$500)))</f>
        <v>0</v>
      </c>
      <c r="CQ36" s="133" t="n">
        <f aca="false">IF(OR(CQ$4="",$B36=""),0,SUMIF('DADOS BRUTOS'!$A$3:$A$500,$B36,'DADOS BRUTOS'!Q$3:Q$500)+IF($C36="",0,SUMIF('DADOS BRUTOS'!$A$3:$A$500,$C36,'DADOS BRUTOS'!Q$3:Q$500)))</f>
        <v>0</v>
      </c>
      <c r="CR36" s="133" t="n">
        <f aca="false">IF(OR(CR$4="",$B36=""),0,SUMIF('DADOS BRUTOS'!$A$3:$A$500,$B36,'DADOS BRUTOS'!R$3:R$500)+IF($C36="",0,SUMIF('DADOS BRUTOS'!$A$3:$A$500,$C36,'DADOS BRUTOS'!R$3:R$500)))</f>
        <v>0</v>
      </c>
      <c r="CS36" s="133" t="n">
        <f aca="false">IF(OR(CS$4="",$B36=""),0,SUMIF('DADOS BRUTOS'!$A$3:$A$500,$B36,'DADOS BRUTOS'!S$3:S$500)+IF($C36="",0,SUMIF('DADOS BRUTOS'!$A$3:$A$500,$C36,'DADOS BRUTOS'!S$3:S$500)))</f>
        <v>0</v>
      </c>
      <c r="CT36" s="133" t="n">
        <f aca="false">IF(OR(CT$4="",$B36=""),0,SUMIF('DADOS BRUTOS'!$A$3:$A$500,$B36,'DADOS BRUTOS'!T$3:T$500)+IF($C36="",0,SUMIF('DADOS BRUTOS'!$A$3:$A$500,$C36,'DADOS BRUTOS'!T$3:T$500)))</f>
        <v>0</v>
      </c>
      <c r="CU36" s="133" t="n">
        <f aca="false">IF(OR(CU$4="",$B36=""),0,SUMIF('DADOS BRUTOS'!$A$3:$A$500,$B36,'DADOS BRUTOS'!U$3:U$500)+IF($C36="",0,SUMIF('DADOS BRUTOS'!$A$3:$A$500,$C36,'DADOS BRUTOS'!U$3:U$500)))</f>
        <v>0</v>
      </c>
      <c r="CV36" s="133" t="n">
        <f aca="false">IF(OR(CV$4="",$B36=""),0,SUMIF('DADOS BRUTOS'!$A$3:$A$500,$B36,'DADOS BRUTOS'!V$3:V$500)+IF($C36="",0,SUMIF('DADOS BRUTOS'!$A$3:$A$500,$C36,'DADOS BRUTOS'!V$3:V$500)))</f>
        <v>0</v>
      </c>
      <c r="CW36" s="133" t="n">
        <f aca="false">IF(OR(CW$4="",$B36=""),0,SUMIF('DADOS BRUTOS'!$A$3:$A$500,$B36,'DADOS BRUTOS'!W$3:W$500)+IF($C36="",0,SUMIF('DADOS BRUTOS'!$A$3:$A$500,$C36,'DADOS BRUTOS'!W$3:W$500)))</f>
        <v>0</v>
      </c>
      <c r="CX36" s="133" t="n">
        <f aca="false">IF(OR(CX$4="",$B36=""),0,SUMIF('DADOS BRUTOS'!$A$3:$A$500,$B36,'DADOS BRUTOS'!X$3:X$500)+IF($C36="",0,SUMIF('DADOS BRUTOS'!$A$3:$A$500,$C36,'DADOS BRUTOS'!X$3:X$500)))</f>
        <v>0</v>
      </c>
      <c r="CY36" s="133" t="n">
        <f aca="false">IF(OR(CY$4="",$B36=""),0,SUMIF('DADOS BRUTOS'!$A$3:$A$500,$B36,'DADOS BRUTOS'!Y$3:Y$500)+IF($C36="",0,SUMIF('DADOS BRUTOS'!$A$3:$A$500,$C36,'DADOS BRUTOS'!Y$3:Y$500)))</f>
        <v>0</v>
      </c>
      <c r="CZ36" s="133" t="n">
        <f aca="false">IF(OR(CZ$4="",$B36=""),0,SUMIF('DADOS BRUTOS'!$A$3:$A$500,$B36,'DADOS BRUTOS'!Z$3:Z$500)+IF($C36="",0,SUMIF('DADOS BRUTOS'!$A$3:$A$500,$C36,'DADOS BRUTOS'!Z$3:Z$500)))</f>
        <v>0</v>
      </c>
      <c r="DA36" s="133" t="n">
        <f aca="false">IF(OR(DA$4="",$B36=""),0,SUMIF('DADOS BRUTOS'!$A$3:$A$500,$B36,'DADOS BRUTOS'!AA$3:AA$500)+IF($C36="",0,SUMIF('DADOS BRUTOS'!$A$3:$A$500,$C36,'DADOS BRUTOS'!AA$3:AA$500)))</f>
        <v>0</v>
      </c>
      <c r="DB36" s="133" t="n">
        <f aca="false">IF(OR(DB$4="",$B36=""),0,SUMIF('DADOS BRUTOS'!$A$3:$A$500,$B36,'DADOS BRUTOS'!AB$3:AB$500)+IF($C36="",0,SUMIF('DADOS BRUTOS'!$A$3:$A$500,$C36,'DADOS BRUTOS'!AB$3:AB$500)))</f>
        <v>0</v>
      </c>
      <c r="DC36" s="133" t="n">
        <f aca="false">IF(OR(DC$4="",$B36=""),0,SUMIF('DADOS BRUTOS'!$A$3:$A$500,$B36,'DADOS BRUTOS'!AC$3:AC$500)+IF($C36="",0,SUMIF('DADOS BRUTOS'!$A$3:$A$500,$C36,'DADOS BRUTOS'!AC$3:AC$500)))</f>
        <v>0</v>
      </c>
      <c r="DD36" s="133" t="n">
        <f aca="false">IF(OR(DD$4="",$B36=""),0,SUMIF('DADOS BRUTOS'!$A$3:$A$500,$B36,'DADOS BRUTOS'!AD$3:AD$500)+IF($C36="",0,SUMIF('DADOS BRUTOS'!$A$3:$A$500,$C36,'DADOS BRUTOS'!AD$3:AD$500)))</f>
        <v>0</v>
      </c>
      <c r="DE36" s="133" t="n">
        <f aca="false">IF(OR(DE$4="",$B36=""),0,SUMIF('DADOS BRUTOS'!$A$3:$A$500,$B36,'DADOS BRUTOS'!AE$3:AE$500)+IF($C36="",0,SUMIF('DADOS BRUTOS'!$A$3:$A$500,$C36,'DADOS BRUTOS'!AE$3:AE$500)))</f>
        <v>0</v>
      </c>
      <c r="DF36" s="133" t="n">
        <f aca="false">IF(OR(DF$4="",$B36=""),0,SUMIF('DADOS BRUTOS'!$A$3:$A$500,$B36,'DADOS BRUTOS'!AF$3:AF$500)+IF($C36="",0,SUMIF('DADOS BRUTOS'!$A$3:$A$500,$C36,'DADOS BRUTOS'!AF$3:AF$500)))</f>
        <v>0</v>
      </c>
      <c r="DG36" s="133" t="n">
        <f aca="false">IF(OR(DG$4="",$B36=""),0,SUMIF('DADOS BRUTOS'!$A$3:$A$500,$B36,'DADOS BRUTOS'!AG$3:AG$500)+IF($C36="",0,SUMIF('DADOS BRUTOS'!$A$3:$A$500,$C36,'DADOS BRUTOS'!AG$3:AG$500)))</f>
        <v>0</v>
      </c>
      <c r="DH36" s="133" t="n">
        <f aca="false">IF(OR(DH$4="",$B36=""),0,SUMIF('DADOS BRUTOS'!$A$3:$A$500,$B36,'DADOS BRUTOS'!AH$3:AH$500)+IF($C36="",0,SUMIF('DADOS BRUTOS'!$A$3:$A$500,$C36,'DADOS BRUTOS'!AH$3:AH$500)))</f>
        <v>0</v>
      </c>
      <c r="DI36" s="133" t="n">
        <f aca="false">IF(OR(DI$4="",$B36=""),0,SUMIF('DADOS BRUTOS'!$A$3:$A$500,$B36,'DADOS BRUTOS'!AI$3:AI$500)+IF($C36="",0,SUMIF('DADOS BRUTOS'!$A$3:$A$500,$C36,'DADOS BRUTOS'!AI$3:AI$500)))</f>
        <v>0</v>
      </c>
      <c r="DJ36" s="133" t="n">
        <f aca="false">IF(OR(DJ$4="",$B36=""),0,SUMIF('DADOS BRUTOS'!$A$3:$A$500,$B36,'DADOS BRUTOS'!AJ$3:AJ$500)+IF($C36="",0,SUMIF('DADOS BRUTOS'!$A$3:$A$500,$C36,'DADOS BRUTOS'!AJ$3:AJ$500)))</f>
        <v>0</v>
      </c>
      <c r="DK36" s="133" t="n">
        <f aca="false">IF(OR(DK$4="",$B36=""),0,SUMIF('DADOS BRUTOS'!$A$3:$A$500,$B36,'DADOS BRUTOS'!AK$3:AK$500)+IF($C36="",0,SUMIF('DADOS BRUTOS'!$A$3:$A$500,$C36,'DADOS BRUTOS'!AK$3:AK$500)))</f>
        <v>0</v>
      </c>
      <c r="DL36" s="133" t="n">
        <f aca="false">IF(OR(DL$4="",$B36=""),0,SUMIF('DADOS BRUTOS'!$A$3:$A$500,$B36,'DADOS BRUTOS'!AL$3:AL$500)+IF($C36="",0,SUMIF('DADOS BRUTOS'!$A$3:$A$500,$C36,'DADOS BRUTOS'!AL$3:AL$500)))</f>
        <v>0</v>
      </c>
      <c r="DM36" s="133" t="n">
        <f aca="false">IF(OR(DM$4="",$B36=""),0,SUMIF('DADOS BRUTOS'!$A$3:$A$500,$B36,'DADOS BRUTOS'!AM$3:AM$500)+IF($C36="",0,SUMIF('DADOS BRUTOS'!$A$3:$A$500,$C36,'DADOS BRUTOS'!AM$3:AM$500)))</f>
        <v>0</v>
      </c>
      <c r="DN36" s="133" t="n">
        <f aca="false">IF(OR(DN$4="",$B36=""),0,SUMIF('DADOS BRUTOS'!$A$3:$A$500,$B36,'DADOS BRUTOS'!AN$3:AN$500)+IF($C36="",0,SUMIF('DADOS BRUTOS'!$A$3:$A$500,$C36,'DADOS BRUTOS'!AN$3:AN$500)))</f>
        <v>0</v>
      </c>
      <c r="DO36" s="133" t="n">
        <f aca="false">IF(OR(DO$4="",$B36=""),0,SUMIF('DADOS BRUTOS'!$A$3:$A$500,$B36,'DADOS BRUTOS'!AO$3:AO$500)+IF($C36="",0,SUMIF('DADOS BRUTOS'!$A$3:$A$500,$C36,'DADOS BRUTOS'!AO$3:AO$500)))</f>
        <v>0</v>
      </c>
      <c r="DP36" s="133" t="n">
        <f aca="false">IF(OR(DP$4="",$B36=""),0,SUMIF('DADOS BRUTOS'!$A$3:$A$500,$B36,'DADOS BRUTOS'!AP$3:AP$500)+IF($C36="",0,SUMIF('DADOS BRUTOS'!$A$3:$A$500,$C36,'DADOS BRUTOS'!AP$3:AP$500)))</f>
        <v>0</v>
      </c>
      <c r="DQ36" s="133" t="n">
        <f aca="false">IF(OR(DQ$4="",$B36=""),0,SUMIF('DADOS BRUTOS'!$A$3:$A$500,$B36,'DADOS BRUTOS'!AQ$3:AQ$500)+IF($C36="",0,SUMIF('DADOS BRUTOS'!$A$3:$A$500,$C36,'DADOS BRUTOS'!AQ$3:AQ$500)))</f>
        <v>0</v>
      </c>
      <c r="DR36" s="133" t="n">
        <f aca="false">IF(OR(DR$4="",$B36=""),0,SUMIF('DADOS BRUTOS'!$A$3:$A$500,$B36,'DADOS BRUTOS'!AR$3:AR$500)+IF($C36="",0,SUMIF('DADOS BRUTOS'!$A$3:$A$500,$C36,'DADOS BRUTOS'!AR$3:AR$500)))</f>
        <v>0</v>
      </c>
      <c r="DS36" s="133" t="n">
        <f aca="false">IF(OR(DS$4="",$B36=""),0,SUMIF('DADOS BRUTOS'!$A$3:$A$500,$B36,'DADOS BRUTOS'!AS$3:AS$500)+IF($C36="",0,SUMIF('DADOS BRUTOS'!$A$3:$A$500,$C36,'DADOS BRUTOS'!AS$3:AS$500)))</f>
        <v>0</v>
      </c>
      <c r="DT36" s="133" t="n">
        <f aca="false">IF(OR(DT$4="",$B36=""),0,SUMIF('DADOS BRUTOS'!$A$3:$A$500,$B36,'DADOS BRUTOS'!AT$3:AT$500)+IF($C36="",0,SUMIF('DADOS BRUTOS'!$A$3:$A$500,$C36,'DADOS BRUTOS'!AT$3:AT$500)))</f>
        <v>0</v>
      </c>
      <c r="DU36" s="133" t="n">
        <f aca="false">IF(OR(DU$4="",$B36=""),0,SUMIF('DADOS BRUTOS'!$A$3:$A$500,$B36,'DADOS BRUTOS'!AU$3:AU$500)+IF($C36="",0,SUMIF('DADOS BRUTOS'!$A$3:$A$500,$C36,'DADOS BRUTOS'!AU$3:AU$500)))</f>
        <v>0</v>
      </c>
      <c r="DV36" s="133" t="n">
        <f aca="false">IF(OR(DV$4="",$B36=""),0,SUMIF('DADOS BRUTOS'!$A$3:$A$500,$B36,'DADOS BRUTOS'!AV$3:AV$500)+IF($C36="",0,SUMIF('DADOS BRUTOS'!$A$3:$A$500,$C36,'DADOS BRUTOS'!AV$3:AV$500)))</f>
        <v>0</v>
      </c>
      <c r="DW36" s="133" t="n">
        <f aca="false">IF(OR(DW$4="",$B36=""),0,SUMIF('DADOS BRUTOS'!$A$3:$A$500,$B36,'DADOS BRUTOS'!AW$3:AW$500)+IF($C36="",0,SUMIF('DADOS BRUTOS'!$A$3:$A$500,$C36,'DADOS BRUTOS'!AW$3:AW$500)))</f>
        <v>0</v>
      </c>
      <c r="DX36" s="133" t="n">
        <f aca="false">IF(OR(DX$4="",$B36=""),0,SUMIF('DADOS BRUTOS'!$A$3:$A$500,$B36,'DADOS BRUTOS'!AX$3:AX$500)+IF($C36="",0,SUMIF('DADOS BRUTOS'!$A$3:$A$500,$C36,'DADOS BRUTOS'!AX$3:AX$500)))</f>
        <v>0</v>
      </c>
      <c r="DY36" s="133" t="n">
        <f aca="false">IF(OR(DY$4="",$B36=""),0,SUMIF('DADOS BRUTOS'!$A$3:$A$500,$B36,'DADOS BRUTOS'!AY$3:AY$500)+IF($C36="",0,SUMIF('DADOS BRUTOS'!$A$3:$A$500,$C36,'DADOS BRUTOS'!AY$3:AY$500)))</f>
        <v>0</v>
      </c>
      <c r="DZ36" s="133" t="n">
        <f aca="false">IF(OR(DZ$4="",$B36=""),0,SUMIF('DADOS BRUTOS'!$A$3:$A$500,$B36,'DADOS BRUTOS'!AZ$3:AZ$500)+IF($C36="",0,SUMIF('DADOS BRUTOS'!$A$3:$A$500,$C36,'DADOS BRUTOS'!AZ$3:AZ$500)))</f>
        <v>0</v>
      </c>
      <c r="EA36" s="133" t="n">
        <f aca="false">IF(OR(EA$4="",$B36=""),0,SUMIF('DADOS BRUTOS'!$A$3:$A$500,$B36,'DADOS BRUTOS'!BA$3:BA$500)+IF($C36="",0,SUMIF('DADOS BRUTOS'!$A$3:$A$500,$C36,'DADOS BRUTOS'!BA$3:BA$500)))</f>
        <v>0</v>
      </c>
      <c r="EB36" s="133" t="n">
        <f aca="false">IF(OR(EB$4="",$B36=""),0,SUMIF('DADOS BRUTOS'!$A$3:$A$500,$B36,'DADOS BRUTOS'!BB$3:BB$500)+IF($C36="",0,SUMIF('DADOS BRUTOS'!$A$3:$A$500,$C36,'DADOS BRUTOS'!BB$3:BB$500)))</f>
        <v>0</v>
      </c>
      <c r="EC36" s="133" t="n">
        <f aca="false">IF(OR(EC$4="",$B36=""),0,SUMIF('DADOS BRUTOS'!$A$3:$A$500,$B36,'DADOS BRUTOS'!BC$3:BC$500)+IF($C36="",0,SUMIF('DADOS BRUTOS'!$A$3:$A$500,$C36,'DADOS BRUTOS'!BC$3:BC$500)))</f>
        <v>0</v>
      </c>
      <c r="ED36" s="133" t="n">
        <f aca="false">IF(OR(ED$4="",$B36=""),0,SUMIF('DADOS BRUTOS'!$A$3:$A$500,$B36,'DADOS BRUTOS'!BD$3:BD$500)+IF($C36="",0,SUMIF('DADOS BRUTOS'!$A$3:$A$500,$C36,'DADOS BRUTOS'!BD$3:BD$500)))</f>
        <v>443.43</v>
      </c>
      <c r="EE36" s="133" t="n">
        <f aca="false">IF(OR(EE$4="",$B36=""),0,SUMIF('DADOS BRUTOS'!$A$3:$A$500,$B36,'DADOS BRUTOS'!BE$3:BE$500)+IF($C36="",0,SUMIF('DADOS BRUTOS'!$A$3:$A$500,$C36,'DADOS BRUTOS'!BE$3:BE$500)))</f>
        <v>0</v>
      </c>
      <c r="EF36" s="133" t="n">
        <f aca="false">IF(OR(EF$4="",$B36=""),0,SUMIF('DADOS BRUTOS'!$A$3:$A$500,$B36,'DADOS BRUTOS'!BF$3:BF$500)+IF($C36="",0,SUMIF('DADOS BRUTOS'!$A$3:$A$500,$C36,'DADOS BRUTOS'!BF$3:BF$500)))</f>
        <v>0</v>
      </c>
      <c r="EG36" s="133" t="n">
        <f aca="false">IF(OR(EG$4="",$B36=""),0,SUMIF('DADOS BRUTOS'!$A$3:$A$500,$B36,'DADOS BRUTOS'!BG$3:BG$500)+IF($C36="",0,SUMIF('DADOS BRUTOS'!$A$3:$A$500,$C36,'DADOS BRUTOS'!BG$3:BG$500)))</f>
        <v>0</v>
      </c>
      <c r="EH36" s="133" t="n">
        <f aca="false">IF(OR(EH$4="",$B36=""),0,SUMIF('DADOS BRUTOS'!$A$3:$A$500,$B36,'DADOS BRUTOS'!BH$3:BH$500)+IF($C36="",0,SUMIF('DADOS BRUTOS'!$A$3:$A$500,$C36,'DADOS BRUTOS'!BH$3:BH$500)))</f>
        <v>0</v>
      </c>
      <c r="EI36" s="133" t="n">
        <f aca="false">IF(OR(EI$4="",$B36=""),0,SUMIF('DADOS BRUTOS'!$A$3:$A$500,$B36,'DADOS BRUTOS'!BI$3:BI$500)+IF($C36="",0,SUMIF('DADOS BRUTOS'!$A$3:$A$500,$C36,'DADOS BRUTOS'!BI$3:BI$500)))</f>
        <v>0</v>
      </c>
      <c r="EJ36" s="133" t="n">
        <f aca="false">IF(OR(EJ$4="",$B36=""),0,SUMIF('DADOS BRUTOS'!$A$3:$A$500,$B36,'DADOS BRUTOS'!BJ$3:BJ$500)+IF($C36="",0,SUMIF('DADOS BRUTOS'!$A$3:$A$500,$C36,'DADOS BRUTOS'!BJ$3:BJ$500)))</f>
        <v>0</v>
      </c>
      <c r="EK36" s="133" t="n">
        <f aca="false">IF(OR(EK$4="",$B36=""),0,SUMIF('DADOS BRUTOS'!$A$3:$A$500,$B36,'DADOS BRUTOS'!BK$3:BK$500)+IF($C36="",0,SUMIF('DADOS BRUTOS'!$A$3:$A$500,$C36,'DADOS BRUTOS'!BK$3:BK$500)))</f>
        <v>0</v>
      </c>
      <c r="EL36" s="133" t="n">
        <f aca="false">IF(OR(EL$4="",$B36=""),0,SUMIF('DADOS BRUTOS'!$A$3:$A$500,$B36,'DADOS BRUTOS'!BL$3:BL$500)+IF($C36="",0,SUMIF('DADOS BRUTOS'!$A$3:$A$500,$C36,'DADOS BRUTOS'!BL$3:BL$500)))</f>
        <v>0</v>
      </c>
      <c r="EM36" s="133" t="n">
        <f aca="false">IF(OR(EM$4="",$B36=""),0,SUMIF('DADOS BRUTOS'!$A$3:$A$500,$B36,'DADOS BRUTOS'!BM$3:BM$500)+IF($C36="",0,SUMIF('DADOS BRUTOS'!$A$3:$A$500,$C36,'DADOS BRUTOS'!BM$3:BM$500)))</f>
        <v>0</v>
      </c>
      <c r="EN36" s="133" t="n">
        <f aca="false">IF(OR(EN$4="",$B36=""),0,SUMIF('DADOS BRUTOS'!$A$3:$A$500,$B36,'DADOS BRUTOS'!BN$3:BN$500)+IF($C36="",0,SUMIF('DADOS BRUTOS'!$A$3:$A$500,$C36,'DADOS BRUTOS'!BN$3:BN$500)))</f>
        <v>0</v>
      </c>
      <c r="EO36" s="133" t="n">
        <f aca="false">IF(OR(EO$4="",$B36=""),0,SUMIF('DADOS BRUTOS'!$A$3:$A$500,$B36,'DADOS BRUTOS'!BO$3:BO$500)+IF($C36="",0,SUMIF('DADOS BRUTOS'!$A$3:$A$500,$C36,'DADOS BRUTOS'!BO$3:BO$500)))</f>
        <v>0</v>
      </c>
      <c r="EP36" s="133" t="n">
        <f aca="false">IF(OR(EP$4="",$B36=""),0,SUMIF('DADOS BRUTOS'!$A$3:$A$500,$B36,'DADOS BRUTOS'!BP$3:BP$500)+IF($C36="",0,SUMIF('DADOS BRUTOS'!$A$3:$A$500,$C36,'DADOS BRUTOS'!BP$3:BP$500)))</f>
        <v>0</v>
      </c>
      <c r="EQ36" s="133" t="n">
        <f aca="false">IF(OR(EQ$4="",$B36=""),0,SUMIF('DADOS BRUTOS'!$A$3:$A$500,$B36,'DADOS BRUTOS'!BQ$3:BQ$500)+IF($C36="",0,SUMIF('DADOS BRUTOS'!$A$3:$A$500,$C36,'DADOS BRUTOS'!BQ$3:BQ$500)))</f>
        <v>0</v>
      </c>
      <c r="ER36" s="133" t="n">
        <f aca="false">IF(OR(ER$4="",$B36=""),0,SUMIF('DADOS BRUTOS'!$A$3:$A$500,$B36,'DADOS BRUTOS'!BR$3:BR$500)+IF($C36="",0,SUMIF('DADOS BRUTOS'!$A$3:$A$500,$C36,'DADOS BRUTOS'!BR$3:BR$500)))</f>
        <v>0</v>
      </c>
      <c r="ES36" s="133" t="n">
        <f aca="false">IF(OR(ES$4="",$B36=""),0,SUMIF('DADOS BRUTOS'!$A$3:$A$500,$B36,'DADOS BRUTOS'!BS$3:BS$500)+IF($C36="",0,SUMIF('DADOS BRUTOS'!$A$3:$A$500,$C36,'DADOS BRUTOS'!BS$3:BS$500)))</f>
        <v>0</v>
      </c>
      <c r="ET36" s="133" t="n">
        <f aca="false">IF(OR(ET$4="",$B36=""),0,SUMIF('DADOS BRUTOS'!$A$3:$A$500,$B36,'DADOS BRUTOS'!BT$3:BT$500)+IF($C36="",0,SUMIF('DADOS BRUTOS'!$A$3:$A$500,$C36,'DADOS BRUTOS'!BT$3:BT$500)))</f>
        <v>0</v>
      </c>
      <c r="EU36" s="133" t="n">
        <f aca="false">IF(OR(EU$4="",$B36=""),0,SUMIF('DADOS BRUTOS'!$A$3:$A$500,$B36,'DADOS BRUTOS'!BU$3:BU$500)+IF($C36="",0,SUMIF('DADOS BRUTOS'!$A$3:$A$500,$C36,'DADOS BRUTOS'!BU$3:BU$500)))</f>
        <v>0</v>
      </c>
      <c r="EV36" s="133" t="n">
        <f aca="false">IF(OR(EV$4="",$B36=""),0,SUMIF('DADOS BRUTOS'!$A$3:$A$500,$B36,'DADOS BRUTOS'!BV$3:BV$500)+IF($C36="",0,SUMIF('DADOS BRUTOS'!$A$3:$A$500,$C36,'DADOS BRUTOS'!BV$3:BV$500)))</f>
        <v>0</v>
      </c>
      <c r="EW36" s="133" t="n">
        <f aca="false">IF(OR(EW$4="",$B36=""),0,SUMIF('DADOS BRUTOS'!$A$3:$A$500,$B36,'DADOS BRUTOS'!BW$3:BW$500)+IF($C36="",0,SUMIF('DADOS BRUTOS'!$A$3:$A$500,$C36,'DADOS BRUTOS'!BW$3:BW$500)))</f>
        <v>0</v>
      </c>
      <c r="EX36" s="133" t="n">
        <f aca="false">IF(OR(EX$4="",$B36=""),0,SUMIF('DADOS BRUTOS'!$A$3:$A$500,$B36,'DADOS BRUTOS'!BX$3:BX$500)+IF($C36="",0,SUMIF('DADOS BRUTOS'!$A$3:$A$500,$C36,'DADOS BRUTOS'!BX$3:BX$500)))</f>
        <v>0</v>
      </c>
      <c r="EY36" s="133" t="n">
        <f aca="false">IF(OR(EY$4="",$B36=""),0,SUMIF('DADOS BRUTOS'!$A$3:$A$500,$B36,'DADOS BRUTOS'!BY$3:BY$500)+IF($C36="",0,SUMIF('DADOS BRUTOS'!$A$3:$A$500,$C36,'DADOS BRUTOS'!BY$3:BY$500)))</f>
        <v>0</v>
      </c>
      <c r="EZ36" s="133" t="n">
        <f aca="false">IF(OR(EZ$4="",$B36=""),0,SUMIF('DADOS BRUTOS'!$A$3:$A$500,$B36,'DADOS BRUTOS'!BZ$3:BZ$500)+IF($C36="",0,SUMIF('DADOS BRUTOS'!$A$3:$A$500,$C36,'DADOS BRUTOS'!BZ$3:BZ$500)))</f>
        <v>0</v>
      </c>
      <c r="FA36" s="133" t="n">
        <f aca="false">IF(OR(FA$4="",$B36=""),0,SUMIF('DADOS BRUTOS'!$A$3:$A$500,$B36,'DADOS BRUTOS'!CA$3:CA$500)+IF($C36="",0,SUMIF('DADOS BRUTOS'!$A$3:$A$500,$C36,'DADOS BRUTOS'!CA$3:CA$500)))</f>
        <v>0</v>
      </c>
      <c r="FB36" s="133" t="n">
        <f aca="false">IF(OR(FB$4="",$B36=""),0,SUMIF('DADOS BRUTOS'!$A$3:$A$500,$B36,'DADOS BRUTOS'!CB$3:CB$500)+IF($C36="",0,SUMIF('DADOS BRUTOS'!$A$3:$A$500,$C36,'DADOS BRUTOS'!CB$3:CB$500)))</f>
        <v>0</v>
      </c>
      <c r="FC36" s="133" t="n">
        <f aca="false">IF(OR(FC$4="",$B36=""),0,SUMIF('DADOS BRUTOS'!$A$3:$A$500,$B36,'DADOS BRUTOS'!CC$3:CC$500)+IF($C36="",0,SUMIF('DADOS BRUTOS'!$A$3:$A$500,$C36,'DADOS BRUTOS'!CC$3:CC$500)))</f>
        <v>0</v>
      </c>
      <c r="FD36" s="133" t="n">
        <f aca="false">IF(OR(FD$4="",$B36=""),0,SUMIF('DADOS BRUTOS'!$A$3:$A$500,$B36,'DADOS BRUTOS'!CD$3:CD$500)+IF($C36="",0,SUMIF('DADOS BRUTOS'!$A$3:$A$500,$C36,'DADOS BRUTOS'!CD$3:CD$500)))</f>
        <v>0</v>
      </c>
      <c r="FE36" s="133" t="n">
        <f aca="false">IF(OR(FE$4="",$B36=""),0,SUMIF('DADOS BRUTOS'!$A$3:$A$500,$B36,'DADOS BRUTOS'!CE$3:CE$500)+IF($C36="",0,SUMIF('DADOS BRUTOS'!$A$3:$A$500,$C36,'DADOS BRUTOS'!CE$3:CE$500)))</f>
        <v>0</v>
      </c>
      <c r="FF36" s="133" t="n">
        <f aca="false">IF(OR(FF$4="",$B36=""),0,SUMIF('DADOS BRUTOS'!$A$3:$A$500,$B36,'DADOS BRUTOS'!CF$3:CF$500)+IF($C36="",0,SUMIF('DADOS BRUTOS'!$A$3:$A$500,$C36,'DADOS BRUTOS'!CF$3:CF$500)))</f>
        <v>0</v>
      </c>
      <c r="FG36" s="133" t="n">
        <f aca="false">IF(OR(FG$4="",$B36=""),0,SUMIF('DADOS BRUTOS'!$A$3:$A$500,$B36,'DADOS BRUTOS'!CG$3:CG$500)+IF($C36="",0,SUMIF('DADOS BRUTOS'!$A$3:$A$500,$C36,'DADOS BRUTOS'!CG$3:CG$500)))</f>
        <v>0</v>
      </c>
      <c r="FH36" s="133" t="n">
        <f aca="false">IF(OR(FH$4="",$B36=""),0,SUMIF('DADOS BRUTOS'!$A$3:$A$500,$B36,'DADOS BRUTOS'!CH$3:CH$500)+IF($C36="",0,SUMIF('DADOS BRUTOS'!$A$3:$A$500,$C36,'DADOS BRUTOS'!CH$3:CH$500)))</f>
        <v>0</v>
      </c>
      <c r="FI36" s="133" t="n">
        <f aca="false">IF(OR(FI$4="",$B36=""),0,SUMIF('DADOS BRUTOS'!$A$3:$A$500,$B36,'DADOS BRUTOS'!CI$3:CI$500)+IF($C36="",0,SUMIF('DADOS BRUTOS'!$A$3:$A$500,$C36,'DADOS BRUTOS'!CI$3:CI$500)))</f>
        <v>0</v>
      </c>
      <c r="FJ36" s="133" t="n">
        <f aca="false">IF(OR(FJ$4="",$B36=""),0,SUMIF('DADOS BRUTOS'!$A$3:$A$500,$B36,'DADOS BRUTOS'!CJ$3:CJ$500)+IF($C36="",0,SUMIF('DADOS BRUTOS'!$A$3:$A$500,$C36,'DADOS BRUTOS'!CJ$3:CJ$500)))</f>
        <v>0</v>
      </c>
      <c r="FK36" s="133" t="n">
        <f aca="false">IF(OR(FK$4="",$B36=""),0,SUMIF('DADOS BRUTOS'!$A$3:$A$500,$B36,'DADOS BRUTOS'!CK$3:CK$500)+IF($C36="",0,SUMIF('DADOS BRUTOS'!$A$3:$A$500,$C36,'DADOS BRUTOS'!CK$3:CK$500)))</f>
        <v>0</v>
      </c>
      <c r="FL36" s="133" t="n">
        <f aca="false">IF(OR(FL$4="",$B36=""),0,SUMIF('DADOS BRUTOS'!$A$3:$A$500,$B36,'DADOS BRUTOS'!CL$3:CL$500)+IF($C36="",0,SUMIF('DADOS BRUTOS'!$A$3:$A$500,$C36,'DADOS BRUTOS'!CL$3:CL$500)))</f>
        <v>0</v>
      </c>
      <c r="FM36" s="133" t="n">
        <f aca="false">IF(OR(FM$4="",$B36=""),0,SUMIF('DADOS BRUTOS'!$A$3:$A$500,$B36,'DADOS BRUTOS'!CM$3:CM$500)+IF($C36="",0,SUMIF('DADOS BRUTOS'!$A$3:$A$500,$C36,'DADOS BRUTOS'!CM$3:CM$500)))</f>
        <v>0</v>
      </c>
      <c r="FN36" s="133" t="n">
        <f aca="false">IF(OR(FN$4="",$B36=""),0,SUMIF('DADOS BRUTOS'!$A$3:$A$500,$B36,'DADOS BRUTOS'!CN$3:CN$500)+IF($C36="",0,SUMIF('DADOS BRUTOS'!$A$3:$A$500,$C36,'DADOS BRUTOS'!CN$3:CN$500)))</f>
        <v>0</v>
      </c>
      <c r="FO36" s="133" t="n">
        <f aca="false">IF(OR(FO$4="",$B36=""),0,SUMIF('DADOS BRUTOS'!$A$3:$A$500,$B36,'DADOS BRUTOS'!CO$3:CO$500)+IF($C36="",0,SUMIF('DADOS BRUTOS'!$A$3:$A$500,$C36,'DADOS BRUTOS'!CO$3:CO$500)))</f>
        <v>0</v>
      </c>
      <c r="FP36" s="133" t="n">
        <f aca="false">IF(OR(FP$4="",$B36=""),0,SUMIF('DADOS BRUTOS'!$A$3:$A$500,$B36,'DADOS BRUTOS'!CP$3:CP$500)+IF($C36="",0,SUMIF('DADOS BRUTOS'!$A$3:$A$500,$C36,'DADOS BRUTOS'!CP$3:CP$500)))</f>
        <v>0</v>
      </c>
      <c r="FQ36" s="133" t="n">
        <f aca="false">IF(OR(FQ$4="",$B36=""),0,SUMIF('DADOS BRUTOS'!$A$3:$A$500,$B36,'DADOS BRUTOS'!CQ$3:CQ$500)+IF($C36="",0,SUMIF('DADOS BRUTOS'!$A$3:$A$500,$C36,'DADOS BRUTOS'!CQ$3:CQ$500)))</f>
        <v>0</v>
      </c>
      <c r="FR36" s="133" t="n">
        <f aca="false">IF(OR(FR$4="",$B36=""),0,SUMIF('DADOS BRUTOS'!$A$3:$A$500,$B36,'DADOS BRUTOS'!CR$3:CR$500)+IF($C36="",0,SUMIF('DADOS BRUTOS'!$A$3:$A$500,$C36,'DADOS BRUTOS'!CR$3:CR$500)))</f>
        <v>0</v>
      </c>
      <c r="FS36" s="133" t="n">
        <f aca="false">IF(OR(FS$4="",$B36=""),0,SUMIF('DADOS BRUTOS'!$A$3:$A$500,$B36,'DADOS BRUTOS'!CS$3:CS$500)+IF($C36="",0,SUMIF('DADOS BRUTOS'!$A$3:$A$500,$C36,'DADOS BRUTOS'!CS$3:CS$500)))</f>
        <v>0</v>
      </c>
      <c r="FT36" s="133" t="n">
        <f aca="false">IF(OR(FT$4="",$B36=""),0,SUMIF('DADOS BRUTOS'!$A$3:$A$500,$B36,'DADOS BRUTOS'!CT$3:CT$500)+IF($C36="",0,SUMIF('DADOS BRUTOS'!$A$3:$A$500,$C36,'DADOS BRUTOS'!CT$3:CT$500)))</f>
        <v>0</v>
      </c>
      <c r="FU36" s="133" t="n">
        <f aca="false">IF(OR(FU$4="",$B36=""),0,SUMIF('DADOS BRUTOS'!$A$3:$A$500,$B36,'DADOS BRUTOS'!CU$3:CU$500)+IF($C36="",0,SUMIF('DADOS BRUTOS'!$A$3:$A$500,$C36,'DADOS BRUTOS'!CU$3:CU$500)))</f>
        <v>0</v>
      </c>
      <c r="FV36" s="133" t="n">
        <f aca="false">IF(OR(FV$4="",$B36=""),0,SUMIF('DADOS BRUTOS'!$A$3:$A$500,$B36,'DADOS BRUTOS'!CV$3:CV$500)+IF($C36="",0,SUMIF('DADOS BRUTOS'!$A$3:$A$500,$C36,'DADOS BRUTOS'!CV$3:CV$500)))</f>
        <v>0</v>
      </c>
      <c r="FW36" s="133" t="n">
        <f aca="false">IF(OR(FW$4="",$B36=""),0,SUMIF('DADOS BRUTOS'!$A$3:$A$500,$B36,'DADOS BRUTOS'!CW$3:CW$500)+IF($C36="",0,SUMIF('DADOS BRUTOS'!$A$3:$A$500,$C36,'DADOS BRUTOS'!CW$3:CW$500)))</f>
        <v>0</v>
      </c>
      <c r="FX36" s="133" t="n">
        <f aca="false">IF(OR(FX$4="",$B36=""),0,SUMIF('DADOS BRUTOS'!$A$3:$A$500,$B36,'DADOS BRUTOS'!CX$3:CX$500)+IF($C36="",0,SUMIF('DADOS BRUTOS'!$A$3:$A$500,$C36,'DADOS BRUTOS'!CX$3:CX$500)))</f>
        <v>0</v>
      </c>
      <c r="FY36" s="133" t="n">
        <f aca="false">IF(OR(FY$4="",$B36=""),0,SUMIF('DADOS BRUTOS'!$A$3:$A$500,$B36,'DADOS BRUTOS'!CY$3:CY$500)+IF($C36="",0,SUMIF('DADOS BRUTOS'!$A$3:$A$500,$C36,'DADOS BRUTOS'!CY$3:CY$500)))</f>
        <v>0</v>
      </c>
      <c r="FZ36" s="133" t="n">
        <f aca="false">IF(OR(FZ$4="",$B36=""),0,SUMIF('DADOS BRUTOS'!$A$3:$A$500,$B36,'DADOS BRUTOS'!CZ$3:CZ$500)+IF($C36="",0,SUMIF('DADOS BRUTOS'!$A$3:$A$500,$C36,'DADOS BRUTOS'!CZ$3:CZ$500)))</f>
        <v>0</v>
      </c>
      <c r="GA36" s="133" t="n">
        <f aca="false">IF(OR(GA$4="",$B36=""),0,SUMIF('DADOS BRUTOS'!$A$3:$A$500,$B36,'DADOS BRUTOS'!DA$3:DA$500)+IF($C36="",0,SUMIF('DADOS BRUTOS'!$A$3:$A$500,$C36,'DADOS BRUTOS'!DA$3:DA$500)))</f>
        <v>0</v>
      </c>
      <c r="GB36" s="133" t="n">
        <f aca="false">IF(OR(GB$4="",$B36=""),0,SUMIF('DADOS BRUTOS'!$A$3:$A$500,$B36,'DADOS BRUTOS'!DB$3:DB$500)+IF($C36="",0,SUMIF('DADOS BRUTOS'!$A$3:$A$500,$C36,'DADOS BRUTOS'!DB$3:DB$500)))</f>
        <v>0</v>
      </c>
      <c r="GC36" s="133" t="n">
        <f aca="false">IF(OR(GC$4="",$B36=""),0,SUMIF('DADOS BRUTOS'!$A$3:$A$500,$B36,'DADOS BRUTOS'!DC$3:DC$500)+IF($C36="",0,SUMIF('DADOS BRUTOS'!$A$3:$A$500,$C36,'DADOS BRUTOS'!DC$3:DC$500)))</f>
        <v>0</v>
      </c>
      <c r="GD36" s="133" t="n">
        <f aca="false">IF(OR(GD$4="",$B36=""),0,SUMIF('DADOS BRUTOS'!$A$3:$A$500,$B36,'DADOS BRUTOS'!DD$3:DD$500)+IF($C36="",0,SUMIF('DADOS BRUTOS'!$A$3:$A$500,$C36,'DADOS BRUTOS'!DD$3:DD$500)))</f>
        <v>0</v>
      </c>
      <c r="GE36" s="133" t="n">
        <f aca="false">IF(OR(GE$4="",$B36=""),0,SUMIF('DADOS BRUTOS'!$A$3:$A$500,$B36,'DADOS BRUTOS'!DE$3:DE$500)+IF($C36="",0,SUMIF('DADOS BRUTOS'!$A$3:$A$500,$C36,'DADOS BRUTOS'!DE$3:DE$500)))</f>
        <v>0</v>
      </c>
      <c r="GF36" s="133" t="n">
        <f aca="false">IF(OR(GF$4="",$B36=""),0,SUMIF('DADOS BRUTOS'!$A$3:$A$500,$B36,'DADOS BRUTOS'!DF$3:DF$500)+IF($C36="",0,SUMIF('DADOS BRUTOS'!$A$3:$A$500,$C36,'DADOS BRUTOS'!DF$3:DF$500)))</f>
        <v>0</v>
      </c>
      <c r="GG36" s="133" t="n">
        <f aca="false">IF(OR(GG$4="",$B36=""),0,SUMIF('DADOS BRUTOS'!$A$3:$A$500,$B36,'DADOS BRUTOS'!DG$3:DG$500)+IF($C36="",0,SUMIF('DADOS BRUTOS'!$A$3:$A$500,$C36,'DADOS BRUTOS'!DG$3:DG$500)))</f>
        <v>0</v>
      </c>
      <c r="GH36" s="133" t="n">
        <f aca="false">IF(OR(GH$4="",$B36=""),0,SUMIF('DADOS BRUTOS'!$A$3:$A$500,$B36,'DADOS BRUTOS'!DH$3:DH$500)+IF($C36="",0,SUMIF('DADOS BRUTOS'!$A$3:$A$500,$C36,'DADOS BRUTOS'!DH$3:DH$500)))</f>
        <v>0</v>
      </c>
      <c r="GI36" s="133" t="n">
        <f aca="false">IF(OR(GI$4="",$B36=""),0,SUMIF('DADOS BRUTOS'!$A$3:$A$500,$B36,'DADOS BRUTOS'!DI$3:DI$500)+IF($C36="",0,SUMIF('DADOS BRUTOS'!$A$3:$A$500,$C36,'DADOS BRUTOS'!DI$3:DI$500)))</f>
        <v>0</v>
      </c>
      <c r="GJ36" s="133" t="n">
        <f aca="false">IF(OR(GJ$4="",$B36=""),0,SUMIF('DADOS BRUTOS'!$A$3:$A$500,$B36,'DADOS BRUTOS'!DJ$3:DJ$500)+IF($C36="",0,SUMIF('DADOS BRUTOS'!$A$3:$A$500,$C36,'DADOS BRUTOS'!DJ$3:DJ$500)))</f>
        <v>0</v>
      </c>
      <c r="GK36" s="133" t="n">
        <f aca="false">IF(OR(GK$4="",$B36=""),0,SUMIF('DADOS BRUTOS'!$A$3:$A$500,$B36,'DADOS BRUTOS'!DK$3:DK$500)+IF($C36="",0,SUMIF('DADOS BRUTOS'!$A$3:$A$500,$C36,'DADOS BRUTOS'!DK$3:DK$500)))</f>
        <v>0</v>
      </c>
      <c r="GL36" s="133" t="n">
        <f aca="false">IF(OR(GL$4="",$B36=""),0,SUMIF('DADOS BRUTOS'!$A$3:$A$500,$B36,'DADOS BRUTOS'!DL$3:DL$500)+IF($C36="",0,SUMIF('DADOS BRUTOS'!$A$3:$A$500,$C36,'DADOS BRUTOS'!DL$3:DL$500)))</f>
        <v>0</v>
      </c>
      <c r="GM36" s="133" t="n">
        <f aca="false">IF(OR(GM$4="",$B36=""),0,SUMIF('DADOS BRUTOS'!$A$3:$A$500,$B36,'DADOS BRUTOS'!DM$3:DM$500)+IF($C36="",0,SUMIF('DADOS BRUTOS'!$A$3:$A$500,$C36,'DADOS BRUTOS'!DM$3:DM$500)))</f>
        <v>0</v>
      </c>
      <c r="GN36" s="133" t="n">
        <f aca="false">IF(OR(GN$4="",$B36=""),0,SUMIF('DADOS BRUTOS'!$A$3:$A$500,$B36,'DADOS BRUTOS'!DN$3:DN$500)+IF($C36="",0,SUMIF('DADOS BRUTOS'!$A$3:$A$500,$C36,'DADOS BRUTOS'!DN$3:DN$500)))</f>
        <v>0</v>
      </c>
      <c r="GO36" s="133" t="n">
        <f aca="false">IF(OR(GO$4="",$B36=""),0,SUMIF('DADOS BRUTOS'!$A$3:$A$500,$B36,'DADOS BRUTOS'!DO$3:DO$500)+IF($C36="",0,SUMIF('DADOS BRUTOS'!$A$3:$A$500,$C36,'DADOS BRUTOS'!DO$3:DO$500)))</f>
        <v>0</v>
      </c>
      <c r="GP36" s="133" t="n">
        <f aca="false">IF(OR(GP$4="",$B36=""),0,SUMIF('DADOS BRUTOS'!$A$3:$A$500,$B36,'DADOS BRUTOS'!DP$3:DP$500)+IF($C36="",0,SUMIF('DADOS BRUTOS'!$A$3:$A$500,$C36,'DADOS BRUTOS'!DP$3:DP$500)))</f>
        <v>0</v>
      </c>
      <c r="GQ36" s="133" t="n">
        <f aca="false">IF(OR(GQ$4="",$B36=""),0,SUMIF('DADOS BRUTOS'!$A$3:$A$500,$B36,'DADOS BRUTOS'!DQ$3:DQ$500)+IF($C36="",0,SUMIF('DADOS BRUTOS'!$A$3:$A$500,$C36,'DADOS BRUTOS'!DQ$3:DQ$500)))</f>
        <v>0</v>
      </c>
      <c r="GR36" s="133" t="n">
        <f aca="false">IF(OR(GR$4="",$B36=""),0,SUMIF('DADOS BRUTOS'!$A$3:$A$500,$B36,'DADOS BRUTOS'!DR$3:DR$500)+IF($C36="",0,SUMIF('DADOS BRUTOS'!$A$3:$A$500,$C36,'DADOS BRUTOS'!DR$3:DR$500)))</f>
        <v>0</v>
      </c>
      <c r="GS36" s="133" t="n">
        <f aca="false">IF(OR(GS$4="",$B36=""),0,SUMIF('DADOS BRUTOS'!$A$3:$A$500,$B36,'DADOS BRUTOS'!DS$3:DS$500)+IF($C36="",0,SUMIF('DADOS BRUTOS'!$A$3:$A$500,$C36,'DADOS BRUTOS'!DS$3:DS$500)))</f>
        <v>0</v>
      </c>
      <c r="GT36" s="133" t="n">
        <f aca="false">IF(OR(GT$4="",$B36=""),0,SUMIF('DADOS BRUTOS'!$A$3:$A$500,$B36,'DADOS BRUTOS'!DT$3:DT$500)+IF($C36="",0,SUMIF('DADOS BRUTOS'!$A$3:$A$500,$C36,'DADOS BRUTOS'!DT$3:DT$500)))</f>
        <v>0</v>
      </c>
      <c r="GU36" s="133" t="n">
        <f aca="false">IF(OR(GU$4="",$B36=""),0,SUMIF('DADOS BRUTOS'!$A$3:$A$500,$B36,'DADOS BRUTOS'!DU$3:DU$500)+IF($C36="",0,SUMIF('DADOS BRUTOS'!$A$3:$A$500,$C36,'DADOS BRUTOS'!DU$3:DU$500)))</f>
        <v>0</v>
      </c>
      <c r="GV36" s="133" t="n">
        <f aca="false">IF(OR(GV$4="",$B36=""),0,SUMIF('DADOS BRUTOS'!$A$3:$A$500,$B36,'DADOS BRUTOS'!DV$3:DV$500)+IF($C36="",0,SUMIF('DADOS BRUTOS'!$A$3:$A$500,$C36,'DADOS BRUTOS'!DV$3:DV$500)))</f>
        <v>0</v>
      </c>
      <c r="GW36" s="133" t="n">
        <f aca="false">IF(OR(GW$4="",$B36=""),0,SUMIF('DADOS BRUTOS'!$A$3:$A$500,$B36,'DADOS BRUTOS'!DW$3:DW$500)+IF($C36="",0,SUMIF('DADOS BRUTOS'!$A$3:$A$500,$C36,'DADOS BRUTOS'!DW$3:DW$500)))</f>
        <v>0</v>
      </c>
      <c r="GX36" s="133" t="n">
        <f aca="false">IF(OR(GX$4="",$B36=""),0,SUMIF('DADOS BRUTOS'!$A$3:$A$500,$B36,'DADOS BRUTOS'!DX$3:DX$500)+IF($C36="",0,SUMIF('DADOS BRUTOS'!$A$3:$A$500,$C36,'DADOS BRUTOS'!DX$3:DX$500)))</f>
        <v>0</v>
      </c>
      <c r="GY36" s="133" t="n">
        <f aca="false">IF(OR(GY$4="",$B36=""),0,SUMIF('DADOS BRUTOS'!$A$3:$A$500,$B36,'DADOS BRUTOS'!DY$3:DY$500)+IF($C36="",0,SUMIF('DADOS BRUTOS'!$A$3:$A$500,$C36,'DADOS BRUTOS'!DY$3:DY$500)))</f>
        <v>0</v>
      </c>
      <c r="GZ36" s="133" t="n">
        <f aca="false">IF(OR(GZ$4="",$B36=""),0,SUMIF('DADOS BRUTOS'!$A$3:$A$500,$B36,'DADOS BRUTOS'!DZ$3:DZ$500)+IF($C36="",0,SUMIF('DADOS BRUTOS'!$A$3:$A$500,$C36,'DADOS BRUTOS'!DZ$3:DZ$500)))</f>
        <v>0</v>
      </c>
      <c r="HA36" s="133" t="n">
        <f aca="false">IF(OR(HA$4="",$B36=""),0,SUMIF('DADOS BRUTOS'!$A$3:$A$500,$B36,'DADOS BRUTOS'!EA$3:EA$500)+IF($C36="",0,SUMIF('DADOS BRUTOS'!$A$3:$A$500,$C36,'DADOS BRUTOS'!EA$3:EA$500)))</f>
        <v>0</v>
      </c>
      <c r="HB36" s="133" t="n">
        <f aca="false">IF(OR(HB$4="",$B36=""),0,SUMIF('DADOS BRUTOS'!$A$3:$A$500,$B36,'DADOS BRUTOS'!EB$3:EB$500)+IF($C36="",0,SUMIF('DADOS BRUTOS'!$A$3:$A$500,$C36,'DADOS BRUTOS'!EB$3:EB$500)))</f>
        <v>0</v>
      </c>
      <c r="HC36" s="133" t="n">
        <f aca="false">IF(OR(HC$4="",$B36=""),0,SUMIF('DADOS BRUTOS'!$A$3:$A$500,$B36,'DADOS BRUTOS'!EC$3:EC$500)+IF($C36="",0,SUMIF('DADOS BRUTOS'!$A$3:$A$500,$C36,'DADOS BRUTOS'!EC$3:EC$500)))</f>
        <v>0</v>
      </c>
      <c r="HD36" s="133" t="n">
        <f aca="false">IF(OR(HD$4="",$B36=""),0,SUMIF('DADOS BRUTOS'!$A$3:$A$500,$B36,'DADOS BRUTOS'!ED$3:ED$500)+IF($C36="",0,SUMIF('DADOS BRUTOS'!$A$3:$A$500,$C36,'DADOS BRUTOS'!ED$3:ED$500)))</f>
        <v>0</v>
      </c>
      <c r="HE36" s="133" t="n">
        <f aca="false">IF(OR(HE$4="",$B36=""),0,SUMIF('DADOS BRUTOS'!$A$3:$A$500,$B36,'DADOS BRUTOS'!EE$3:EE$500)+IF($C36="",0,SUMIF('DADOS BRUTOS'!$A$3:$A$500,$C36,'DADOS BRUTOS'!EE$3:EE$500)))</f>
        <v>0</v>
      </c>
      <c r="HF36" s="133" t="n">
        <f aca="false">IF(OR(HF$4="",$B36=""),0,SUMIF('DADOS BRUTOS'!$A$3:$A$500,$B36,'DADOS BRUTOS'!EF$3:EF$500)+IF($C36="",0,SUMIF('DADOS BRUTOS'!$A$3:$A$500,$C36,'DADOS BRUTOS'!EF$3:EF$500)))</f>
        <v>0</v>
      </c>
      <c r="HG36" s="133" t="n">
        <f aca="false">IF(OR(HG$4="",$B36=""),0,SUMIF('DADOS BRUTOS'!$A$3:$A$500,$B36,'DADOS BRUTOS'!EG$3:EG$500)+IF($C36="",0,SUMIF('DADOS BRUTOS'!$A$3:$A$500,$C36,'DADOS BRUTOS'!EG$3:EG$500)))</f>
        <v>0</v>
      </c>
      <c r="HH36" s="133" t="n">
        <f aca="false">IF(OR(HH$4="",$B36=""),0,SUMIF('DADOS BRUTOS'!$A$3:$A$500,$B36,'DADOS BRUTOS'!EH$3:EH$500)+IF($C36="",0,SUMIF('DADOS BRUTOS'!$A$3:$A$500,$C36,'DADOS BRUTOS'!EH$3:EH$500)))</f>
        <v>0</v>
      </c>
      <c r="HI36" s="133" t="n">
        <f aca="false">IF(OR(HI$4="",$B36=""),0,SUMIF('DADOS BRUTOS'!$A$3:$A$500,$B36,'DADOS BRUTOS'!EI$3:EI$500)+IF($C36="",0,SUMIF('DADOS BRUTOS'!$A$3:$A$500,$C36,'DADOS BRUTOS'!EI$3:EI$500)))</f>
        <v>0</v>
      </c>
      <c r="HJ36" s="133" t="n">
        <f aca="false">IF(OR(HJ$4="",$B36=""),0,SUMIF('DADOS BRUTOS'!$A$3:$A$500,$B36,'DADOS BRUTOS'!EJ$3:EJ$500)+IF($C36="",0,SUMIF('DADOS BRUTOS'!$A$3:$A$500,$C36,'DADOS BRUTOS'!EJ$3:EJ$500)))</f>
        <v>0</v>
      </c>
      <c r="HK36" s="133" t="n">
        <f aca="false">IF(OR(HK$4="",$B36=""),0,SUMIF('DADOS BRUTOS'!$A$3:$A$500,$B36,'DADOS BRUTOS'!EK$3:EK$500)+IF($C36="",0,SUMIF('DADOS BRUTOS'!$A$3:$A$500,$C36,'DADOS BRUTOS'!EK$3:EK$500)))</f>
        <v>0</v>
      </c>
      <c r="HL36" s="133" t="n">
        <f aca="false">IF(OR(HL$4="",$B36=""),0,SUMIF('DADOS BRUTOS'!$A$3:$A$500,$B36,'DADOS BRUTOS'!EL$3:EL$500)+IF($C36="",0,SUMIF('DADOS BRUTOS'!$A$3:$A$500,$C36,'DADOS BRUTOS'!EL$3:EL$500)))</f>
        <v>0</v>
      </c>
      <c r="HM36" s="133" t="n">
        <f aca="false">IF(OR(HM$4="",$B36=""),0,SUMIF('DADOS BRUTOS'!$A$3:$A$500,$B36,'DADOS BRUTOS'!EM$3:EM$500)+IF($C36="",0,SUMIF('DADOS BRUTOS'!$A$3:$A$500,$C36,'DADOS BRUTOS'!EM$3:EM$500)))</f>
        <v>0</v>
      </c>
      <c r="HN36" s="133" t="n">
        <f aca="false">IF(OR(HN$4="",$B36=""),0,SUMIF('DADOS BRUTOS'!$A$3:$A$500,$B36,'DADOS BRUTOS'!EN$3:EN$500)+IF($C36="",0,SUMIF('DADOS BRUTOS'!$A$3:$A$500,$C36,'DADOS BRUTOS'!EN$3:EN$500)))</f>
        <v>0</v>
      </c>
      <c r="HO36" s="133" t="n">
        <f aca="false">IF(OR(HO$4="",$B36=""),0,SUMIF('DADOS BRUTOS'!$A$3:$A$500,$B36,'DADOS BRUTOS'!EO$3:EO$500)+IF($C36="",0,SUMIF('DADOS BRUTOS'!$A$3:$A$500,$C36,'DADOS BRUTOS'!EO$3:EO$500)))</f>
        <v>0</v>
      </c>
      <c r="HP36" s="133" t="n">
        <f aca="false">IF(OR(HP$4="",$B36=""),0,SUMIF('DADOS BRUTOS'!$A$3:$A$500,$B36,'DADOS BRUTOS'!EP$3:EP$500)+IF($C36="",0,SUMIF('DADOS BRUTOS'!$A$3:$A$500,$C36,'DADOS BRUTOS'!EP$3:EP$500)))</f>
        <v>0</v>
      </c>
      <c r="HQ36" s="133" t="n">
        <f aca="false">IF(OR(HQ$4="",$B36=""),0,SUMIF('DADOS BRUTOS'!$A$3:$A$500,$B36,'DADOS BRUTOS'!EQ$3:EQ$500)+IF($C36="",0,SUMIF('DADOS BRUTOS'!$A$3:$A$500,$C36,'DADOS BRUTOS'!EQ$3:EQ$500)))</f>
        <v>0</v>
      </c>
      <c r="HR36" s="133" t="n">
        <f aca="false">IF(OR(HR$4="",$B36=""),0,SUMIF('DADOS BRUTOS'!$A$3:$A$500,$B36,'DADOS BRUTOS'!ER$3:ER$500)+IF($C36="",0,SUMIF('DADOS BRUTOS'!$A$3:$A$500,$C36,'DADOS BRUTOS'!ER$3:ER$500)))</f>
        <v>0</v>
      </c>
      <c r="HS36" s="133" t="n">
        <f aca="false">IF(OR(HS$4="",$B36=""),0,SUMIF('DADOS BRUTOS'!$A$3:$A$500,$B36,'DADOS BRUTOS'!ES$3:ES$500)+IF($C36="",0,SUMIF('DADOS BRUTOS'!$A$3:$A$500,$C36,'DADOS BRUTOS'!ES$3:ES$500)))</f>
        <v>0</v>
      </c>
      <c r="HT36" s="133" t="n">
        <f aca="false">IF(OR(HT$4="",$B36=""),0,SUMIF('DADOS BRUTOS'!$A$3:$A$500,$B36,'DADOS BRUTOS'!ET$3:ET$500)+IF($C36="",0,SUMIF('DADOS BRUTOS'!$A$3:$A$500,$C36,'DADOS BRUTOS'!ET$3:ET$500)))</f>
        <v>0</v>
      </c>
      <c r="HU36" s="133" t="n">
        <f aca="false">IF(OR(HU$4="",$B36=""),0,SUMIF('DADOS BRUTOS'!$A$3:$A$500,$B36,'DADOS BRUTOS'!EU$3:EU$500)+IF($C36="",0,SUMIF('DADOS BRUTOS'!$A$3:$A$500,$C36,'DADOS BRUTOS'!EU$3:EU$500)))</f>
        <v>0</v>
      </c>
      <c r="HV36" s="133" t="n">
        <f aca="false">IF(OR(HV$4="",$B36=""),0,SUMIF('DADOS BRUTOS'!$A$3:$A$500,$B36,'DADOS BRUTOS'!EV$3:EV$500)+IF($C36="",0,SUMIF('DADOS BRUTOS'!$A$3:$A$500,$C36,'DADOS BRUTOS'!EV$3:EV$500)))</f>
        <v>0</v>
      </c>
      <c r="HW36" s="133" t="n">
        <f aca="false">IF(OR(HW$4="",$B36=""),0,SUMIF('DADOS BRUTOS'!$A$3:$A$500,$B36,'DADOS BRUTOS'!EW$3:EW$500)+IF($C36="",0,SUMIF('DADOS BRUTOS'!$A$3:$A$500,$C36,'DADOS BRUTOS'!EW$3:EW$500)))</f>
        <v>0</v>
      </c>
      <c r="HX36" s="133" t="n">
        <f aca="false">IF(OR(HX$4="",$B36=""),0,SUMIF('DADOS BRUTOS'!$A$3:$A$500,$B36,'DADOS BRUTOS'!EX$3:EX$500)+IF($C36="",0,SUMIF('DADOS BRUTOS'!$A$3:$A$500,$C36,'DADOS BRUTOS'!EX$3:EX$500)))</f>
        <v>0</v>
      </c>
      <c r="HY36" s="133" t="n">
        <f aca="false">IF(OR(HY$4="",$B36=""),0,SUMIF('DADOS BRUTOS'!$A$3:$A$500,$B36,'DADOS BRUTOS'!EY$3:EY$500)+IF($C36="",0,SUMIF('DADOS BRUTOS'!$A$3:$A$500,$C36,'DADOS BRUTOS'!EY$3:EY$500)))</f>
        <v>0</v>
      </c>
      <c r="HZ36" s="133" t="n">
        <f aca="false">IF(OR(HZ$4="",$B36=""),0,SUMIF('DADOS BRUTOS'!$A$3:$A$500,$B36,'DADOS BRUTOS'!EZ$3:EZ$500)+IF($C36="",0,SUMIF('DADOS BRUTOS'!$A$3:$A$500,$C36,'DADOS BRUTOS'!EZ$3:EZ$500)))</f>
        <v>0</v>
      </c>
      <c r="IA36" s="133" t="n">
        <f aca="false">IF(OR(IA$4="",$B36=""),0,SUMIF('DADOS BRUTOS'!$A$3:$A$500,$B36,'DADOS BRUTOS'!FA$3:FA$500)+IF($C36="",0,SUMIF('DADOS BRUTOS'!$A$3:$A$500,$C36,'DADOS BRUTOS'!FA$3:FA$500)))</f>
        <v>0</v>
      </c>
      <c r="IB36" s="133" t="n">
        <f aca="false">IF(OR(IB$4="",$B36=""),0,SUMIF('DADOS BRUTOS'!$A$3:$A$500,$B36,'DADOS BRUTOS'!FB$3:FB$500)+IF($C36="",0,SUMIF('DADOS BRUTOS'!$A$3:$A$500,$C36,'DADOS BRUTOS'!FB$3:FB$500)))</f>
        <v>0</v>
      </c>
      <c r="IC36" s="133" t="n">
        <f aca="false">IF(OR(IC$4="",$B36=""),0,SUMIF('DADOS BRUTOS'!$A$3:$A$500,$B36,'DADOS BRUTOS'!FC$3:FC$500)+IF($C36="",0,SUMIF('DADOS BRUTOS'!$A$3:$A$500,$C36,'DADOS BRUTOS'!FC$3:FC$500)))</f>
        <v>0</v>
      </c>
      <c r="ID36" s="133" t="n">
        <f aca="false">IF(OR(ID$4="",$B36=""),0,SUMIF('DADOS BRUTOS'!$A$3:$A$500,$B36,'DADOS BRUTOS'!FD$3:FD$500)+IF($C36="",0,SUMIF('DADOS BRUTOS'!$A$3:$A$500,$C36,'DADOS BRUTOS'!FD$3:FD$500)))</f>
        <v>0</v>
      </c>
      <c r="IE36" s="133" t="n">
        <f aca="false">IF(OR(IE$4="",$B36=""),0,SUMIF('DADOS BRUTOS'!$A$3:$A$500,$B36,'DADOS BRUTOS'!FE$3:FE$500)+IF($C36="",0,SUMIF('DADOS BRUTOS'!$A$3:$A$500,$C36,'DADOS BRUTOS'!FE$3:FE$500)))</f>
        <v>0</v>
      </c>
      <c r="IF36" s="133" t="n">
        <f aca="false">IF(OR(IF$4="",$B36=""),0,SUMIF('DADOS BRUTOS'!$A$3:$A$500,$B36,'DADOS BRUTOS'!FF$3:FF$500)+IF($C36="",0,SUMIF('DADOS BRUTOS'!$A$3:$A$500,$C36,'DADOS BRUTOS'!FF$3:FF$500)))</f>
        <v>0</v>
      </c>
      <c r="IG36" s="133" t="n">
        <f aca="false">IF(OR(IG$4="",$B36=""),0,SUMIF('DADOS BRUTOS'!$A$3:$A$500,$B36,'DADOS BRUTOS'!FG$3:FG$500)+IF($C36="",0,SUMIF('DADOS BRUTOS'!$A$3:$A$500,$C36,'DADOS BRUTOS'!FG$3:FG$500)))</f>
        <v>0</v>
      </c>
      <c r="IH36" s="133" t="n">
        <f aca="false">IF(OR(IH$4="",$B36=""),0,SUMIF('DADOS BRUTOS'!$A$3:$A$500,$B36,'DADOS BRUTOS'!FH$3:FH$500)+IF($C36="",0,SUMIF('DADOS BRUTOS'!$A$3:$A$500,$C36,'DADOS BRUTOS'!FH$3:FH$500)))</f>
        <v>0</v>
      </c>
      <c r="II36" s="133" t="n">
        <f aca="false">IF(OR(II$4="",$B36=""),0,SUMIF('DADOS BRUTOS'!$A$3:$A$500,$B36,'DADOS BRUTOS'!FI$3:FI$500)+IF($C36="",0,SUMIF('DADOS BRUTOS'!$A$3:$A$500,$C36,'DADOS BRUTOS'!FI$3:FI$500)))</f>
        <v>0</v>
      </c>
      <c r="IJ36" s="133" t="n">
        <f aca="false">IF(OR(IJ$4="",$B36=""),0,SUMIF('DADOS BRUTOS'!$A$3:$A$500,$B36,'DADOS BRUTOS'!FJ$3:FJ$500)+IF($C36="",0,SUMIF('DADOS BRUTOS'!$A$3:$A$500,$C36,'DADOS BRUTOS'!FJ$3:FJ$500)))</f>
        <v>0</v>
      </c>
      <c r="IK36" s="133" t="n">
        <f aca="false">IF(OR(IK$4="",$B36=""),0,SUMIF('DADOS BRUTOS'!$A$3:$A$500,$B36,'DADOS BRUTOS'!FK$3:FK$500)+IF($C36="",0,SUMIF('DADOS BRUTOS'!$A$3:$A$500,$C36,'DADOS BRUTOS'!FK$3:FK$500)))</f>
        <v>0</v>
      </c>
      <c r="IL36" s="133" t="n">
        <f aca="false">IF(OR(IL$4="",$B36=""),0,SUMIF('DADOS BRUTOS'!$A$3:$A$500,$B36,'DADOS BRUTOS'!FL$3:FL$500)+IF($C36="",0,SUMIF('DADOS BRUTOS'!$A$3:$A$500,$C36,'DADOS BRUTOS'!FL$3:FL$500)))</f>
        <v>0</v>
      </c>
      <c r="IM36" s="133" t="n">
        <f aca="false">IF(OR(IM$4="",$B36=""),0,SUMIF('DADOS BRUTOS'!$A$3:$A$500,$B36,'DADOS BRUTOS'!FM$3:FM$500)+IF($C36="",0,SUMIF('DADOS BRUTOS'!$A$3:$A$500,$C36,'DADOS BRUTOS'!FM$3:FM$500)))</f>
        <v>0</v>
      </c>
      <c r="IN36" s="133" t="n">
        <f aca="false">IF(OR(IN$4="",$B36=""),0,SUMIF('DADOS BRUTOS'!$A$3:$A$500,$B36,'DADOS BRUTOS'!FN$3:FN$500)+IF($C36="",0,SUMIF('DADOS BRUTOS'!$A$3:$A$500,$C36,'DADOS BRUTOS'!FN$3:FN$500)))</f>
        <v>0</v>
      </c>
      <c r="IO36" s="133" t="n">
        <f aca="false">IF(OR(IO$4="",$B36=""),0,SUMIF('DADOS BRUTOS'!$A$3:$A$500,$B36,'DADOS BRUTOS'!FO$3:FO$500)+IF($C36="",0,SUMIF('DADOS BRUTOS'!$A$3:$A$500,$C36,'DADOS BRUTOS'!FO$3:FO$500)))</f>
        <v>0</v>
      </c>
      <c r="IP36" s="133" t="n">
        <f aca="false">IF(OR(IP$4="",$B36=""),0,SUMIF('DADOS BRUTOS'!$A$3:$A$500,$B36,'DADOS BRUTOS'!FP$3:FP$500)+IF($C36="",0,SUMIF('DADOS BRUTOS'!$A$3:$A$500,$C36,'DADOS BRUTOS'!FP$3:FP$500)))</f>
        <v>0</v>
      </c>
      <c r="IQ36" s="133" t="n">
        <f aca="false">IF(OR(IQ$4="",$B36=""),0,SUMIF('DADOS BRUTOS'!$A$3:$A$500,$B36,'DADOS BRUTOS'!FQ$3:FQ$500)+IF($C36="",0,SUMIF('DADOS BRUTOS'!$A$3:$A$500,$C36,'DADOS BRUTOS'!FQ$3:FQ$500)))</f>
        <v>0</v>
      </c>
      <c r="IR36" s="133" t="n">
        <f aca="false">IF(OR(IR$4="",$B36=""),0,SUMIF('DADOS BRUTOS'!$A$3:$A$500,$B36,'DADOS BRUTOS'!FR$3:FR$500)+IF($C36="",0,SUMIF('DADOS BRUTOS'!$A$3:$A$500,$C36,'DADOS BRUTOS'!FR$3:FR$500)))</f>
        <v>0</v>
      </c>
      <c r="IS36" s="133" t="n">
        <f aca="false">IF(OR(IS$4="",$B36=""),0,SUMIF('DADOS BRUTOS'!$A$3:$A$500,$B36,'DADOS BRUTOS'!FS$3:FS$500)+IF($C36="",0,SUMIF('DADOS BRUTOS'!$A$3:$A$500,$C36,'DADOS BRUTOS'!FS$3:FS$500)))</f>
        <v>0</v>
      </c>
      <c r="IT36" s="133" t="n">
        <f aca="false">IF(OR(IT$4="",$B36=""),0,SUMIF('DADOS BRUTOS'!$A$3:$A$500,$B36,'DADOS BRUTOS'!FT$3:FT$500)+IF($C36="",0,SUMIF('DADOS BRUTOS'!$A$3:$A$500,$C36,'DADOS BRUTOS'!FT$3:FT$500)))</f>
        <v>0</v>
      </c>
      <c r="IU36" s="133" t="n">
        <f aca="false">IF(OR(IU$4="",$B36=""),0,SUMIF('DADOS BRUTOS'!$A$3:$A$500,$B36,'DADOS BRUTOS'!FU$3:FU$500)+IF($C36="",0,SUMIF('DADOS BRUTOS'!$A$3:$A$500,$C36,'DADOS BRUTOS'!FU$3:FU$500)))</f>
        <v>0</v>
      </c>
      <c r="IV36" s="133" t="n">
        <f aca="false">IF(OR(IV$4="",$B36=""),0,SUMIF('DADOS BRUTOS'!$A$3:$A$500,$B36,'DADOS BRUTOS'!FV$3:FV$500)+IF($C36="",0,SUMIF('DADOS BRUTOS'!$A$3:$A$500,$C36,'DADOS BRUTOS'!FV$3:FV$500)))</f>
        <v>0</v>
      </c>
      <c r="IW36" s="133" t="n">
        <f aca="false">IF(OR(IW$4="",$B36=""),0,SUMIF('DADOS BRUTOS'!$A$3:$A$500,$B36,'DADOS BRUTOS'!FW$3:FW$500)+IF($C36="",0,SUMIF('DADOS BRUTOS'!$A$3:$A$500,$C36,'DADOS BRUTOS'!FW$3:FW$500)))</f>
        <v>0</v>
      </c>
      <c r="IX36" s="133" t="n">
        <f aca="false">IF(OR(IX$4="",$B36=""),0,SUMIF('DADOS BRUTOS'!$A$3:$A$500,$B36,'DADOS BRUTOS'!FX$3:FX$500)+IF($C36="",0,SUMIF('DADOS BRUTOS'!$A$3:$A$500,$C36,'DADOS BRUTOS'!FX$3:FX$500)))</f>
        <v>0</v>
      </c>
      <c r="IY36" s="133" t="n">
        <f aca="false">IF(OR(IY$4="",$B36=""),0,SUMIF('DADOS BRUTOS'!$A$3:$A$500,$B36,'DADOS BRUTOS'!FY$3:FY$500)+IF($C36="",0,SUMIF('DADOS BRUTOS'!$A$3:$A$500,$C36,'DADOS BRUTOS'!FY$3:FY$500)))</f>
        <v>0</v>
      </c>
      <c r="IZ36" s="133" t="n">
        <f aca="false">IF(OR(IZ$4="",$B36=""),0,SUMIF('DADOS BRUTOS'!$A$3:$A$500,$B36,'DADOS BRUTOS'!FZ$3:FZ$500)+IF($C36="",0,SUMIF('DADOS BRUTOS'!$A$3:$A$500,$C36,'DADOS BRUTOS'!FZ$3:FZ$500)))</f>
        <v>0</v>
      </c>
      <c r="JA36" s="133" t="n">
        <f aca="false">IF(OR(JA$4="",$B36=""),0,SUMIF('DADOS BRUTOS'!$A$3:$A$500,$B36,'DADOS BRUTOS'!GA$3:GA$500)+IF($C36="",0,SUMIF('DADOS BRUTOS'!$A$3:$A$500,$C36,'DADOS BRUTOS'!GA$3:GA$500)))</f>
        <v>0</v>
      </c>
      <c r="JB36" s="133" t="n">
        <f aca="false">IF(OR(JB$4="",$B36=""),0,SUMIF('DADOS BRUTOS'!$A$3:$A$500,$B36,'DADOS BRUTOS'!GB$3:GB$500)+IF($C36="",0,SUMIF('DADOS BRUTOS'!$A$3:$A$500,$C36,'DADOS BRUTOS'!GB$3:GB$500)))</f>
        <v>0</v>
      </c>
      <c r="JC36" s="133" t="n">
        <f aca="false">IF(OR(JC$4="",$B36=""),0,SUMIF('DADOS BRUTOS'!$A$3:$A$500,$B36,'DADOS BRUTOS'!GC$3:GC$500)+IF($C36="",0,SUMIF('DADOS BRUTOS'!$A$3:$A$500,$C36,'DADOS BRUTOS'!GC$3:GC$500)))</f>
        <v>0</v>
      </c>
      <c r="JD36" s="133" t="n">
        <f aca="false">IF(OR(JD$4="",$B36=""),0,SUMIF('DADOS BRUTOS'!$A$3:$A$500,$B36,'DADOS BRUTOS'!GD$3:GD$500)+IF($C36="",0,SUMIF('DADOS BRUTOS'!$A$3:$A$500,$C36,'DADOS BRUTOS'!GD$3:GD$500)))</f>
        <v>0</v>
      </c>
      <c r="JE36" s="133" t="n">
        <f aca="false">IF(OR(JE$4="",$B36=""),0,SUMIF('DADOS BRUTOS'!$A$3:$A$500,$B36,'DADOS BRUTOS'!GE$3:GE$500)+IF($C36="",0,SUMIF('DADOS BRUTOS'!$A$3:$A$500,$C36,'DADOS BRUTOS'!GE$3:GE$500)))</f>
        <v>0</v>
      </c>
      <c r="JF36" s="133" t="n">
        <f aca="false">IF(OR(JF$4="",$B36=""),0,SUMIF('DADOS BRUTOS'!$A$3:$A$500,$B36,'DADOS BRUTOS'!GF$3:GF$500)+IF($C36="",0,SUMIF('DADOS BRUTOS'!$A$3:$A$500,$C36,'DADOS BRUTOS'!GF$3:GF$500)))</f>
        <v>0</v>
      </c>
      <c r="JG36" s="133" t="n">
        <f aca="false">IF(OR(JG$4="",$B36=""),0,SUMIF('DADOS BRUTOS'!$A$3:$A$500,$B36,'DADOS BRUTOS'!GG$3:GG$500)+IF($C36="",0,SUMIF('DADOS BRUTOS'!$A$3:$A$500,$C36,'DADOS BRUTOS'!GG$3:GG$500)))</f>
        <v>0</v>
      </c>
      <c r="JH36" s="133" t="n">
        <f aca="false">IF(OR(JH$4="",$B36=""),0,SUMIF('DADOS BRUTOS'!$A$3:$A$500,$B36,'DADOS BRUTOS'!GH$3:GH$500)+IF($C36="",0,SUMIF('DADOS BRUTOS'!$A$3:$A$500,$C36,'DADOS BRUTOS'!GH$3:GH$500)))</f>
        <v>0</v>
      </c>
      <c r="JI36" s="133" t="n">
        <f aca="false">IF(OR(JI$4="",$B36=""),0,SUMIF('DADOS BRUTOS'!$A$3:$A$500,$B36,'DADOS BRUTOS'!GI$3:GI$500)+IF($C36="",0,SUMIF('DADOS BRUTOS'!$A$3:$A$500,$C36,'DADOS BRUTOS'!GI$3:GI$500)))</f>
        <v>0</v>
      </c>
      <c r="JJ36" s="133" t="n">
        <f aca="false">IF(OR(JJ$4="",$B36=""),0,SUMIF('DADOS BRUTOS'!$A$3:$A$500,$B36,'DADOS BRUTOS'!GJ$3:GJ$500)+IF($C36="",0,SUMIF('DADOS BRUTOS'!$A$3:$A$500,$C36,'DADOS BRUTOS'!GJ$3:GJ$500)))</f>
        <v>0</v>
      </c>
      <c r="JK36" s="133" t="n">
        <f aca="false">IF(OR(JK$4="",$B36=""),0,SUMIF('DADOS BRUTOS'!$A$3:$A$500,$B36,'DADOS BRUTOS'!GK$3:GK$500)+IF($C36="",0,SUMIF('DADOS BRUTOS'!$A$3:$A$500,$C36,'DADOS BRUTOS'!GK$3:GK$500)))</f>
        <v>0</v>
      </c>
      <c r="JL36" s="133" t="n">
        <f aca="false">IF(OR(JL$4="",$B36=""),0,SUMIF('DADOS BRUTOS'!$A$3:$A$500,$B36,'DADOS BRUTOS'!GL$3:GL$500)+IF($C36="",0,SUMIF('DADOS BRUTOS'!$A$3:$A$500,$C36,'DADOS BRUTOS'!GL$3:GL$500)))</f>
        <v>0</v>
      </c>
      <c r="JM36" s="133" t="n">
        <f aca="false">IF(OR(JM$4="",$B36=""),0,SUMIF('DADOS BRUTOS'!$A$3:$A$500,$B36,'DADOS BRUTOS'!GM$3:GM$500)+IF($C36="",0,SUMIF('DADOS BRUTOS'!$A$3:$A$500,$C36,'DADOS BRUTOS'!GM$3:GM$500)))</f>
        <v>0</v>
      </c>
      <c r="JN36" s="133" t="n">
        <f aca="false">IF(OR(JN$4="",$B36=""),0,SUMIF('DADOS BRUTOS'!$A$3:$A$500,$B36,'DADOS BRUTOS'!GN$3:GN$500)+IF($C36="",0,SUMIF('DADOS BRUTOS'!$A$3:$A$500,$C36,'DADOS BRUTOS'!GN$3:GN$500)))</f>
        <v>0</v>
      </c>
      <c r="JO36" s="133" t="n">
        <f aca="false">IF(OR(JO$4="",$B36=""),0,SUMIF('DADOS BRUTOS'!$A$3:$A$500,$B36,'DADOS BRUTOS'!GO$3:GO$500)+IF($C36="",0,SUMIF('DADOS BRUTOS'!$A$3:$A$500,$C36,'DADOS BRUTOS'!GO$3:GO$500)))</f>
        <v>0</v>
      </c>
      <c r="JP36" s="133" t="n">
        <f aca="false">IF(OR(JP$4="",$B36=""),0,SUMIF('DADOS BRUTOS'!$A$3:$A$500,$B36,'DADOS BRUTOS'!GP$3:GP$500)+IF($C36="",0,SUMIF('DADOS BRUTOS'!$A$3:$A$500,$C36,'DADOS BRUTOS'!GP$3:GP$500)))</f>
        <v>0</v>
      </c>
      <c r="JQ36" s="133" t="n">
        <f aca="false">IF(OR(JQ$4="",$B36=""),0,SUMIF('DADOS BRUTOS'!$A$3:$A$500,$B36,'DADOS BRUTOS'!GQ$3:GQ$500)+IF($C36="",0,SUMIF('DADOS BRUTOS'!$A$3:$A$500,$C36,'DADOS BRUTOS'!GQ$3:GQ$500)))</f>
        <v>0</v>
      </c>
      <c r="JR36" s="133" t="n">
        <f aca="false">IF(OR(JR$4="",$B36=""),0,SUMIF('DADOS BRUTOS'!$A$3:$A$500,$B36,'DADOS BRUTOS'!GR$3:GR$500)+IF($C36="",0,SUMIF('DADOS BRUTOS'!$A$3:$A$500,$C36,'DADOS BRUTOS'!GR$3:GR$500)))</f>
        <v>0</v>
      </c>
      <c r="JS36" s="133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208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3" t="n">
        <f aca="false">IF(OR(CB$4="",$B37=""),0,SUMIF('DADOS BRUTOS'!$A$3:$A$500,$B37,'DADOS BRUTOS'!B$3:B$500)+IF($C37="",0,SUMIF('DADOS BRUTOS'!$A$3:$A$500,$C37,'DADOS BRUTOS'!B$3:B$500)))</f>
        <v>0</v>
      </c>
      <c r="CC37" s="133" t="n">
        <f aca="false">IF(OR(CC$4="",$B37=""),0,SUMIF('DADOS BRUTOS'!$A$3:$A$500,$B37,'DADOS BRUTOS'!C$3:C$500)+IF($C37="",0,SUMIF('DADOS BRUTOS'!$A$3:$A$500,$C37,'DADOS BRUTOS'!C$3:C$500)))</f>
        <v>0</v>
      </c>
      <c r="CD37" s="133" t="n">
        <f aca="false">IF(OR(CD$4="",$B37=""),0,SUMIF('DADOS BRUTOS'!$A$3:$A$500,$B37,'DADOS BRUTOS'!D$3:D$500)+IF($C37="",0,SUMIF('DADOS BRUTOS'!$A$3:$A$500,$C37,'DADOS BRUTOS'!D$3:D$500)))</f>
        <v>0</v>
      </c>
      <c r="CE37" s="133" t="n">
        <f aca="false">IF(OR(CE$4="",$B37=""),0,SUMIF('DADOS BRUTOS'!$A$3:$A$500,$B37,'DADOS BRUTOS'!E$3:E$500)+IF($C37="",0,SUMIF('DADOS BRUTOS'!$A$3:$A$500,$C37,'DADOS BRUTOS'!E$3:E$500)))</f>
        <v>0</v>
      </c>
      <c r="CF37" s="133" t="n">
        <f aca="false">IF(OR(CF$4="",$B37=""),0,SUMIF('DADOS BRUTOS'!$A$3:$A$500,$B37,'DADOS BRUTOS'!F$3:F$500)+IF($C37="",0,SUMIF('DADOS BRUTOS'!$A$3:$A$500,$C37,'DADOS BRUTOS'!F$3:F$500)))</f>
        <v>0</v>
      </c>
      <c r="CG37" s="133" t="n">
        <f aca="false">IF(OR(CG$4="",$B37=""),0,SUMIF('DADOS BRUTOS'!$A$3:$A$500,$B37,'DADOS BRUTOS'!G$3:G$500)+IF($C37="",0,SUMIF('DADOS BRUTOS'!$A$3:$A$500,$C37,'DADOS BRUTOS'!G$3:G$500)))</f>
        <v>0</v>
      </c>
      <c r="CH37" s="133" t="n">
        <f aca="false">IF(OR(CH$4="",$B37=""),0,SUMIF('DADOS BRUTOS'!$A$3:$A$500,$B37,'DADOS BRUTOS'!H$3:H$500)+IF($C37="",0,SUMIF('DADOS BRUTOS'!$A$3:$A$500,$C37,'DADOS BRUTOS'!H$3:H$500)))</f>
        <v>0</v>
      </c>
      <c r="CI37" s="133" t="n">
        <f aca="false">IF(OR(CI$4="",$B37=""),0,SUMIF('DADOS BRUTOS'!$A$3:$A$500,$B37,'DADOS BRUTOS'!I$3:I$500)+IF($C37="",0,SUMIF('DADOS BRUTOS'!$A$3:$A$500,$C37,'DADOS BRUTOS'!I$3:I$500)))</f>
        <v>0</v>
      </c>
      <c r="CJ37" s="133" t="n">
        <f aca="false">IF(OR(CJ$4="",$B37=""),0,SUMIF('DADOS BRUTOS'!$A$3:$A$500,$B37,'DADOS BRUTOS'!J$3:J$500)+IF($C37="",0,SUMIF('DADOS BRUTOS'!$A$3:$A$500,$C37,'DADOS BRUTOS'!J$3:J$500)))</f>
        <v>0</v>
      </c>
      <c r="CK37" s="133" t="n">
        <f aca="false">IF(OR(CK$4="",$B37=""),0,SUMIF('DADOS BRUTOS'!$A$3:$A$500,$B37,'DADOS BRUTOS'!K$3:K$500)+IF($C37="",0,SUMIF('DADOS BRUTOS'!$A$3:$A$500,$C37,'DADOS BRUTOS'!K$3:K$500)))</f>
        <v>0</v>
      </c>
      <c r="CL37" s="133" t="n">
        <f aca="false">IF(OR(CL$4="",$B37=""),0,SUMIF('DADOS BRUTOS'!$A$3:$A$500,$B37,'DADOS BRUTOS'!L$3:L$500)+IF($C37="",0,SUMIF('DADOS BRUTOS'!$A$3:$A$500,$C37,'DADOS BRUTOS'!L$3:L$500)))</f>
        <v>0</v>
      </c>
      <c r="CM37" s="133" t="n">
        <f aca="false">IF(OR(CM$4="",$B37=""),0,SUMIF('DADOS BRUTOS'!$A$3:$A$500,$B37,'DADOS BRUTOS'!M$3:M$500)+IF($C37="",0,SUMIF('DADOS BRUTOS'!$A$3:$A$500,$C37,'DADOS BRUTOS'!M$3:M$500)))</f>
        <v>0</v>
      </c>
      <c r="CN37" s="133" t="n">
        <f aca="false">IF(OR(CN$4="",$B37=""),0,SUMIF('DADOS BRUTOS'!$A$3:$A$500,$B37,'DADOS BRUTOS'!N$3:N$500)+IF($C37="",0,SUMIF('DADOS BRUTOS'!$A$3:$A$500,$C37,'DADOS BRUTOS'!N$3:N$500)))</f>
        <v>0</v>
      </c>
      <c r="CO37" s="133" t="n">
        <f aca="false">IF(OR(CO$4="",$B37=""),0,SUMIF('DADOS BRUTOS'!$A$3:$A$500,$B37,'DADOS BRUTOS'!O$3:O$500)+IF($C37="",0,SUMIF('DADOS BRUTOS'!$A$3:$A$500,$C37,'DADOS BRUTOS'!O$3:O$500)))</f>
        <v>0</v>
      </c>
      <c r="CP37" s="133" t="n">
        <f aca="false">IF(OR(CP$4="",$B37=""),0,SUMIF('DADOS BRUTOS'!$A$3:$A$500,$B37,'DADOS BRUTOS'!P$3:P$500)+IF($C37="",0,SUMIF('DADOS BRUTOS'!$A$3:$A$500,$C37,'DADOS BRUTOS'!P$3:P$500)))</f>
        <v>0</v>
      </c>
      <c r="CQ37" s="133" t="n">
        <f aca="false">IF(OR(CQ$4="",$B37=""),0,SUMIF('DADOS BRUTOS'!$A$3:$A$500,$B37,'DADOS BRUTOS'!Q$3:Q$500)+IF($C37="",0,SUMIF('DADOS BRUTOS'!$A$3:$A$500,$C37,'DADOS BRUTOS'!Q$3:Q$500)))</f>
        <v>0</v>
      </c>
      <c r="CR37" s="133" t="n">
        <f aca="false">IF(OR(CR$4="",$B37=""),0,SUMIF('DADOS BRUTOS'!$A$3:$A$500,$B37,'DADOS BRUTOS'!R$3:R$500)+IF($C37="",0,SUMIF('DADOS BRUTOS'!$A$3:$A$500,$C37,'DADOS BRUTOS'!R$3:R$500)))</f>
        <v>0</v>
      </c>
      <c r="CS37" s="133" t="n">
        <f aca="false">IF(OR(CS$4="",$B37=""),0,SUMIF('DADOS BRUTOS'!$A$3:$A$500,$B37,'DADOS BRUTOS'!S$3:S$500)+IF($C37="",0,SUMIF('DADOS BRUTOS'!$A$3:$A$500,$C37,'DADOS BRUTOS'!S$3:S$500)))</f>
        <v>0</v>
      </c>
      <c r="CT37" s="133" t="n">
        <f aca="false">IF(OR(CT$4="",$B37=""),0,SUMIF('DADOS BRUTOS'!$A$3:$A$500,$B37,'DADOS BRUTOS'!T$3:T$500)+IF($C37="",0,SUMIF('DADOS BRUTOS'!$A$3:$A$500,$C37,'DADOS BRUTOS'!T$3:T$500)))</f>
        <v>0</v>
      </c>
      <c r="CU37" s="133" t="n">
        <f aca="false">IF(OR(CU$4="",$B37=""),0,SUMIF('DADOS BRUTOS'!$A$3:$A$500,$B37,'DADOS BRUTOS'!U$3:U$500)+IF($C37="",0,SUMIF('DADOS BRUTOS'!$A$3:$A$500,$C37,'DADOS BRUTOS'!U$3:U$500)))</f>
        <v>0</v>
      </c>
      <c r="CV37" s="133" t="n">
        <f aca="false">IF(OR(CV$4="",$B37=""),0,SUMIF('DADOS BRUTOS'!$A$3:$A$500,$B37,'DADOS BRUTOS'!V$3:V$500)+IF($C37="",0,SUMIF('DADOS BRUTOS'!$A$3:$A$500,$C37,'DADOS BRUTOS'!V$3:V$500)))</f>
        <v>0</v>
      </c>
      <c r="CW37" s="133" t="n">
        <f aca="false">IF(OR(CW$4="",$B37=""),0,SUMIF('DADOS BRUTOS'!$A$3:$A$500,$B37,'DADOS BRUTOS'!W$3:W$500)+IF($C37="",0,SUMIF('DADOS BRUTOS'!$A$3:$A$500,$C37,'DADOS BRUTOS'!W$3:W$500)))</f>
        <v>0</v>
      </c>
      <c r="CX37" s="133" t="n">
        <f aca="false">IF(OR(CX$4="",$B37=""),0,SUMIF('DADOS BRUTOS'!$A$3:$A$500,$B37,'DADOS BRUTOS'!X$3:X$500)+IF($C37="",0,SUMIF('DADOS BRUTOS'!$A$3:$A$500,$C37,'DADOS BRUTOS'!X$3:X$500)))</f>
        <v>0</v>
      </c>
      <c r="CY37" s="133" t="n">
        <f aca="false">IF(OR(CY$4="",$B37=""),0,SUMIF('DADOS BRUTOS'!$A$3:$A$500,$B37,'DADOS BRUTOS'!Y$3:Y$500)+IF($C37="",0,SUMIF('DADOS BRUTOS'!$A$3:$A$500,$C37,'DADOS BRUTOS'!Y$3:Y$500)))</f>
        <v>0</v>
      </c>
      <c r="CZ37" s="133" t="n">
        <f aca="false">IF(OR(CZ$4="",$B37=""),0,SUMIF('DADOS BRUTOS'!$A$3:$A$500,$B37,'DADOS BRUTOS'!Z$3:Z$500)+IF($C37="",0,SUMIF('DADOS BRUTOS'!$A$3:$A$500,$C37,'DADOS BRUTOS'!Z$3:Z$500)))</f>
        <v>0</v>
      </c>
      <c r="DA37" s="133" t="n">
        <f aca="false">IF(OR(DA$4="",$B37=""),0,SUMIF('DADOS BRUTOS'!$A$3:$A$500,$B37,'DADOS BRUTOS'!AA$3:AA$500)+IF($C37="",0,SUMIF('DADOS BRUTOS'!$A$3:$A$500,$C37,'DADOS BRUTOS'!AA$3:AA$500)))</f>
        <v>0</v>
      </c>
      <c r="DB37" s="133" t="n">
        <f aca="false">IF(OR(DB$4="",$B37=""),0,SUMIF('DADOS BRUTOS'!$A$3:$A$500,$B37,'DADOS BRUTOS'!AB$3:AB$500)+IF($C37="",0,SUMIF('DADOS BRUTOS'!$A$3:$A$500,$C37,'DADOS BRUTOS'!AB$3:AB$500)))</f>
        <v>0</v>
      </c>
      <c r="DC37" s="133" t="n">
        <f aca="false">IF(OR(DC$4="",$B37=""),0,SUMIF('DADOS BRUTOS'!$A$3:$A$500,$B37,'DADOS BRUTOS'!AC$3:AC$500)+IF($C37="",0,SUMIF('DADOS BRUTOS'!$A$3:$A$500,$C37,'DADOS BRUTOS'!AC$3:AC$500)))</f>
        <v>0</v>
      </c>
      <c r="DD37" s="133" t="n">
        <f aca="false">IF(OR(DD$4="",$B37=""),0,SUMIF('DADOS BRUTOS'!$A$3:$A$500,$B37,'DADOS BRUTOS'!AD$3:AD$500)+IF($C37="",0,SUMIF('DADOS BRUTOS'!$A$3:$A$500,$C37,'DADOS BRUTOS'!AD$3:AD$500)))</f>
        <v>0</v>
      </c>
      <c r="DE37" s="133" t="n">
        <f aca="false">IF(OR(DE$4="",$B37=""),0,SUMIF('DADOS BRUTOS'!$A$3:$A$500,$B37,'DADOS BRUTOS'!AE$3:AE$500)+IF($C37="",0,SUMIF('DADOS BRUTOS'!$A$3:$A$500,$C37,'DADOS BRUTOS'!AE$3:AE$500)))</f>
        <v>0</v>
      </c>
      <c r="DF37" s="133" t="n">
        <f aca="false">IF(OR(DF$4="",$B37=""),0,SUMIF('DADOS BRUTOS'!$A$3:$A$500,$B37,'DADOS BRUTOS'!AF$3:AF$500)+IF($C37="",0,SUMIF('DADOS BRUTOS'!$A$3:$A$500,$C37,'DADOS BRUTOS'!AF$3:AF$500)))</f>
        <v>0</v>
      </c>
      <c r="DG37" s="133" t="n">
        <f aca="false">IF(OR(DG$4="",$B37=""),0,SUMIF('DADOS BRUTOS'!$A$3:$A$500,$B37,'DADOS BRUTOS'!AG$3:AG$500)+IF($C37="",0,SUMIF('DADOS BRUTOS'!$A$3:$A$500,$C37,'DADOS BRUTOS'!AG$3:AG$500)))</f>
        <v>0</v>
      </c>
      <c r="DH37" s="133" t="n">
        <f aca="false">IF(OR(DH$4="",$B37=""),0,SUMIF('DADOS BRUTOS'!$A$3:$A$500,$B37,'DADOS BRUTOS'!AH$3:AH$500)+IF($C37="",0,SUMIF('DADOS BRUTOS'!$A$3:$A$500,$C37,'DADOS BRUTOS'!AH$3:AH$500)))</f>
        <v>0</v>
      </c>
      <c r="DI37" s="133" t="n">
        <f aca="false">IF(OR(DI$4="",$B37=""),0,SUMIF('DADOS BRUTOS'!$A$3:$A$500,$B37,'DADOS BRUTOS'!AI$3:AI$500)+IF($C37="",0,SUMIF('DADOS BRUTOS'!$A$3:$A$500,$C37,'DADOS BRUTOS'!AI$3:AI$500)))</f>
        <v>0</v>
      </c>
      <c r="DJ37" s="133" t="n">
        <f aca="false">IF(OR(DJ$4="",$B37=""),0,SUMIF('DADOS BRUTOS'!$A$3:$A$500,$B37,'DADOS BRUTOS'!AJ$3:AJ$500)+IF($C37="",0,SUMIF('DADOS BRUTOS'!$A$3:$A$500,$C37,'DADOS BRUTOS'!AJ$3:AJ$500)))</f>
        <v>0</v>
      </c>
      <c r="DK37" s="133" t="n">
        <f aca="false">IF(OR(DK$4="",$B37=""),0,SUMIF('DADOS BRUTOS'!$A$3:$A$500,$B37,'DADOS BRUTOS'!AK$3:AK$500)+IF($C37="",0,SUMIF('DADOS BRUTOS'!$A$3:$A$500,$C37,'DADOS BRUTOS'!AK$3:AK$500)))</f>
        <v>0</v>
      </c>
      <c r="DL37" s="133" t="n">
        <f aca="false">IF(OR(DL$4="",$B37=""),0,SUMIF('DADOS BRUTOS'!$A$3:$A$500,$B37,'DADOS BRUTOS'!AL$3:AL$500)+IF($C37="",0,SUMIF('DADOS BRUTOS'!$A$3:$A$500,$C37,'DADOS BRUTOS'!AL$3:AL$500)))</f>
        <v>0</v>
      </c>
      <c r="DM37" s="133" t="n">
        <f aca="false">IF(OR(DM$4="",$B37=""),0,SUMIF('DADOS BRUTOS'!$A$3:$A$500,$B37,'DADOS BRUTOS'!AM$3:AM$500)+IF($C37="",0,SUMIF('DADOS BRUTOS'!$A$3:$A$500,$C37,'DADOS BRUTOS'!AM$3:AM$500)))</f>
        <v>0</v>
      </c>
      <c r="DN37" s="133" t="n">
        <f aca="false">IF(OR(DN$4="",$B37=""),0,SUMIF('DADOS BRUTOS'!$A$3:$A$500,$B37,'DADOS BRUTOS'!AN$3:AN$500)+IF($C37="",0,SUMIF('DADOS BRUTOS'!$A$3:$A$500,$C37,'DADOS BRUTOS'!AN$3:AN$500)))</f>
        <v>0</v>
      </c>
      <c r="DO37" s="133" t="n">
        <f aca="false">IF(OR(DO$4="",$B37=""),0,SUMIF('DADOS BRUTOS'!$A$3:$A$500,$B37,'DADOS BRUTOS'!AO$3:AO$500)+IF($C37="",0,SUMIF('DADOS BRUTOS'!$A$3:$A$500,$C37,'DADOS BRUTOS'!AO$3:AO$500)))</f>
        <v>0</v>
      </c>
      <c r="DP37" s="133" t="n">
        <f aca="false">IF(OR(DP$4="",$B37=""),0,SUMIF('DADOS BRUTOS'!$A$3:$A$500,$B37,'DADOS BRUTOS'!AP$3:AP$500)+IF($C37="",0,SUMIF('DADOS BRUTOS'!$A$3:$A$500,$C37,'DADOS BRUTOS'!AP$3:AP$500)))</f>
        <v>0</v>
      </c>
      <c r="DQ37" s="133" t="n">
        <f aca="false">IF(OR(DQ$4="",$B37=""),0,SUMIF('DADOS BRUTOS'!$A$3:$A$500,$B37,'DADOS BRUTOS'!AQ$3:AQ$500)+IF($C37="",0,SUMIF('DADOS BRUTOS'!$A$3:$A$500,$C37,'DADOS BRUTOS'!AQ$3:AQ$500)))</f>
        <v>0</v>
      </c>
      <c r="DR37" s="133" t="n">
        <f aca="false">IF(OR(DR$4="",$B37=""),0,SUMIF('DADOS BRUTOS'!$A$3:$A$500,$B37,'DADOS BRUTOS'!AR$3:AR$500)+IF($C37="",0,SUMIF('DADOS BRUTOS'!$A$3:$A$500,$C37,'DADOS BRUTOS'!AR$3:AR$500)))</f>
        <v>0</v>
      </c>
      <c r="DS37" s="133" t="n">
        <f aca="false">IF(OR(DS$4="",$B37=""),0,SUMIF('DADOS BRUTOS'!$A$3:$A$500,$B37,'DADOS BRUTOS'!AS$3:AS$500)+IF($C37="",0,SUMIF('DADOS BRUTOS'!$A$3:$A$500,$C37,'DADOS BRUTOS'!AS$3:AS$500)))</f>
        <v>0</v>
      </c>
      <c r="DT37" s="133" t="n">
        <f aca="false">IF(OR(DT$4="",$B37=""),0,SUMIF('DADOS BRUTOS'!$A$3:$A$500,$B37,'DADOS BRUTOS'!AT$3:AT$500)+IF($C37="",0,SUMIF('DADOS BRUTOS'!$A$3:$A$500,$C37,'DADOS BRUTOS'!AT$3:AT$500)))</f>
        <v>0</v>
      </c>
      <c r="DU37" s="133" t="n">
        <f aca="false">IF(OR(DU$4="",$B37=""),0,SUMIF('DADOS BRUTOS'!$A$3:$A$500,$B37,'DADOS BRUTOS'!AU$3:AU$500)+IF($C37="",0,SUMIF('DADOS BRUTOS'!$A$3:$A$500,$C37,'DADOS BRUTOS'!AU$3:AU$500)))</f>
        <v>0</v>
      </c>
      <c r="DV37" s="133" t="n">
        <f aca="false">IF(OR(DV$4="",$B37=""),0,SUMIF('DADOS BRUTOS'!$A$3:$A$500,$B37,'DADOS BRUTOS'!AV$3:AV$500)+IF($C37="",0,SUMIF('DADOS BRUTOS'!$A$3:$A$500,$C37,'DADOS BRUTOS'!AV$3:AV$500)))</f>
        <v>0</v>
      </c>
      <c r="DW37" s="133" t="n">
        <f aca="false">IF(OR(DW$4="",$B37=""),0,SUMIF('DADOS BRUTOS'!$A$3:$A$500,$B37,'DADOS BRUTOS'!AW$3:AW$500)+IF($C37="",0,SUMIF('DADOS BRUTOS'!$A$3:$A$500,$C37,'DADOS BRUTOS'!AW$3:AW$500)))</f>
        <v>0</v>
      </c>
      <c r="DX37" s="133" t="n">
        <f aca="false">IF(OR(DX$4="",$B37=""),0,SUMIF('DADOS BRUTOS'!$A$3:$A$500,$B37,'DADOS BRUTOS'!AX$3:AX$500)+IF($C37="",0,SUMIF('DADOS BRUTOS'!$A$3:$A$500,$C37,'DADOS BRUTOS'!AX$3:AX$500)))</f>
        <v>0</v>
      </c>
      <c r="DY37" s="133" t="n">
        <f aca="false">IF(OR(DY$4="",$B37=""),0,SUMIF('DADOS BRUTOS'!$A$3:$A$500,$B37,'DADOS BRUTOS'!AY$3:AY$500)+IF($C37="",0,SUMIF('DADOS BRUTOS'!$A$3:$A$500,$C37,'DADOS BRUTOS'!AY$3:AY$500)))</f>
        <v>0</v>
      </c>
      <c r="DZ37" s="133" t="n">
        <f aca="false">IF(OR(DZ$4="",$B37=""),0,SUMIF('DADOS BRUTOS'!$A$3:$A$500,$B37,'DADOS BRUTOS'!AZ$3:AZ$500)+IF($C37="",0,SUMIF('DADOS BRUTOS'!$A$3:$A$500,$C37,'DADOS BRUTOS'!AZ$3:AZ$500)))</f>
        <v>0</v>
      </c>
      <c r="EA37" s="133" t="n">
        <f aca="false">IF(OR(EA$4="",$B37=""),0,SUMIF('DADOS BRUTOS'!$A$3:$A$500,$B37,'DADOS BRUTOS'!BA$3:BA$500)+IF($C37="",0,SUMIF('DADOS BRUTOS'!$A$3:$A$500,$C37,'DADOS BRUTOS'!BA$3:BA$500)))</f>
        <v>0</v>
      </c>
      <c r="EB37" s="133" t="n">
        <f aca="false">IF(OR(EB$4="",$B37=""),0,SUMIF('DADOS BRUTOS'!$A$3:$A$500,$B37,'DADOS BRUTOS'!BB$3:BB$500)+IF($C37="",0,SUMIF('DADOS BRUTOS'!$A$3:$A$500,$C37,'DADOS BRUTOS'!BB$3:BB$500)))</f>
        <v>0</v>
      </c>
      <c r="EC37" s="133" t="n">
        <f aca="false">IF(OR(EC$4="",$B37=""),0,SUMIF('DADOS BRUTOS'!$A$3:$A$500,$B37,'DADOS BRUTOS'!BC$3:BC$500)+IF($C37="",0,SUMIF('DADOS BRUTOS'!$A$3:$A$500,$C37,'DADOS BRUTOS'!BC$3:BC$500)))</f>
        <v>0</v>
      </c>
      <c r="ED37" s="133" t="n">
        <f aca="false">IF(OR(ED$4="",$B37=""),0,SUMIF('DADOS BRUTOS'!$A$3:$A$500,$B37,'DADOS BRUTOS'!BD$3:BD$500)+IF($C37="",0,SUMIF('DADOS BRUTOS'!$A$3:$A$500,$C37,'DADOS BRUTOS'!BD$3:BD$500)))</f>
        <v>0</v>
      </c>
      <c r="EE37" s="133" t="n">
        <f aca="false">IF(OR(EE$4="",$B37=""),0,SUMIF('DADOS BRUTOS'!$A$3:$A$500,$B37,'DADOS BRUTOS'!BE$3:BE$500)+IF($C37="",0,SUMIF('DADOS BRUTOS'!$A$3:$A$500,$C37,'DADOS BRUTOS'!BE$3:BE$500)))</f>
        <v>0</v>
      </c>
      <c r="EF37" s="133" t="n">
        <f aca="false">IF(OR(EF$4="",$B37=""),0,SUMIF('DADOS BRUTOS'!$A$3:$A$500,$B37,'DADOS BRUTOS'!BF$3:BF$500)+IF($C37="",0,SUMIF('DADOS BRUTOS'!$A$3:$A$500,$C37,'DADOS BRUTOS'!BF$3:BF$500)))</f>
        <v>0</v>
      </c>
      <c r="EG37" s="133" t="n">
        <f aca="false">IF(OR(EG$4="",$B37=""),0,SUMIF('DADOS BRUTOS'!$A$3:$A$500,$B37,'DADOS BRUTOS'!BG$3:BG$500)+IF($C37="",0,SUMIF('DADOS BRUTOS'!$A$3:$A$500,$C37,'DADOS BRUTOS'!BG$3:BG$500)))</f>
        <v>0</v>
      </c>
      <c r="EH37" s="133" t="n">
        <f aca="false">IF(OR(EH$4="",$B37=""),0,SUMIF('DADOS BRUTOS'!$A$3:$A$500,$B37,'DADOS BRUTOS'!BH$3:BH$500)+IF($C37="",0,SUMIF('DADOS BRUTOS'!$A$3:$A$500,$C37,'DADOS BRUTOS'!BH$3:BH$500)))</f>
        <v>0</v>
      </c>
      <c r="EI37" s="133" t="n">
        <f aca="false">IF(OR(EI$4="",$B37=""),0,SUMIF('DADOS BRUTOS'!$A$3:$A$500,$B37,'DADOS BRUTOS'!BI$3:BI$500)+IF($C37="",0,SUMIF('DADOS BRUTOS'!$A$3:$A$500,$C37,'DADOS BRUTOS'!BI$3:BI$500)))</f>
        <v>0</v>
      </c>
      <c r="EJ37" s="133" t="n">
        <f aca="false">IF(OR(EJ$4="",$B37=""),0,SUMIF('DADOS BRUTOS'!$A$3:$A$500,$B37,'DADOS BRUTOS'!BJ$3:BJ$500)+IF($C37="",0,SUMIF('DADOS BRUTOS'!$A$3:$A$500,$C37,'DADOS BRUTOS'!BJ$3:BJ$500)))</f>
        <v>0</v>
      </c>
      <c r="EK37" s="133" t="n">
        <f aca="false">IF(OR(EK$4="",$B37=""),0,SUMIF('DADOS BRUTOS'!$A$3:$A$500,$B37,'DADOS BRUTOS'!BK$3:BK$500)+IF($C37="",0,SUMIF('DADOS BRUTOS'!$A$3:$A$500,$C37,'DADOS BRUTOS'!BK$3:BK$500)))</f>
        <v>0</v>
      </c>
      <c r="EL37" s="133" t="n">
        <f aca="false">IF(OR(EL$4="",$B37=""),0,SUMIF('DADOS BRUTOS'!$A$3:$A$500,$B37,'DADOS BRUTOS'!BL$3:BL$500)+IF($C37="",0,SUMIF('DADOS BRUTOS'!$A$3:$A$500,$C37,'DADOS BRUTOS'!BL$3:BL$500)))</f>
        <v>0</v>
      </c>
      <c r="EM37" s="133" t="n">
        <f aca="false">IF(OR(EM$4="",$B37=""),0,SUMIF('DADOS BRUTOS'!$A$3:$A$500,$B37,'DADOS BRUTOS'!BM$3:BM$500)+IF($C37="",0,SUMIF('DADOS BRUTOS'!$A$3:$A$500,$C37,'DADOS BRUTOS'!BM$3:BM$500)))</f>
        <v>0</v>
      </c>
      <c r="EN37" s="133" t="n">
        <f aca="false">IF(OR(EN$4="",$B37=""),0,SUMIF('DADOS BRUTOS'!$A$3:$A$500,$B37,'DADOS BRUTOS'!BN$3:BN$500)+IF($C37="",0,SUMIF('DADOS BRUTOS'!$A$3:$A$500,$C37,'DADOS BRUTOS'!BN$3:BN$500)))</f>
        <v>0</v>
      </c>
      <c r="EO37" s="133" t="n">
        <f aca="false">IF(OR(EO$4="",$B37=""),0,SUMIF('DADOS BRUTOS'!$A$3:$A$500,$B37,'DADOS BRUTOS'!BO$3:BO$500)+IF($C37="",0,SUMIF('DADOS BRUTOS'!$A$3:$A$500,$C37,'DADOS BRUTOS'!BO$3:BO$500)))</f>
        <v>0</v>
      </c>
      <c r="EP37" s="133" t="n">
        <f aca="false">IF(OR(EP$4="",$B37=""),0,SUMIF('DADOS BRUTOS'!$A$3:$A$500,$B37,'DADOS BRUTOS'!BP$3:BP$500)+IF($C37="",0,SUMIF('DADOS BRUTOS'!$A$3:$A$500,$C37,'DADOS BRUTOS'!BP$3:BP$500)))</f>
        <v>0</v>
      </c>
      <c r="EQ37" s="133" t="n">
        <f aca="false">IF(OR(EQ$4="",$B37=""),0,SUMIF('DADOS BRUTOS'!$A$3:$A$500,$B37,'DADOS BRUTOS'!BQ$3:BQ$500)+IF($C37="",0,SUMIF('DADOS BRUTOS'!$A$3:$A$500,$C37,'DADOS BRUTOS'!BQ$3:BQ$500)))</f>
        <v>0</v>
      </c>
      <c r="ER37" s="133" t="n">
        <f aca="false">IF(OR(ER$4="",$B37=""),0,SUMIF('DADOS BRUTOS'!$A$3:$A$500,$B37,'DADOS BRUTOS'!BR$3:BR$500)+IF($C37="",0,SUMIF('DADOS BRUTOS'!$A$3:$A$500,$C37,'DADOS BRUTOS'!BR$3:BR$500)))</f>
        <v>0</v>
      </c>
      <c r="ES37" s="133" t="n">
        <f aca="false">IF(OR(ES$4="",$B37=""),0,SUMIF('DADOS BRUTOS'!$A$3:$A$500,$B37,'DADOS BRUTOS'!BS$3:BS$500)+IF($C37="",0,SUMIF('DADOS BRUTOS'!$A$3:$A$500,$C37,'DADOS BRUTOS'!BS$3:BS$500)))</f>
        <v>0</v>
      </c>
      <c r="ET37" s="133" t="n">
        <f aca="false">IF(OR(ET$4="",$B37=""),0,SUMIF('DADOS BRUTOS'!$A$3:$A$500,$B37,'DADOS BRUTOS'!BT$3:BT$500)+IF($C37="",0,SUMIF('DADOS BRUTOS'!$A$3:$A$500,$C37,'DADOS BRUTOS'!BT$3:BT$500)))</f>
        <v>0</v>
      </c>
      <c r="EU37" s="133" t="n">
        <f aca="false">IF(OR(EU$4="",$B37=""),0,SUMIF('DADOS BRUTOS'!$A$3:$A$500,$B37,'DADOS BRUTOS'!BU$3:BU$500)+IF($C37="",0,SUMIF('DADOS BRUTOS'!$A$3:$A$500,$C37,'DADOS BRUTOS'!BU$3:BU$500)))</f>
        <v>0</v>
      </c>
      <c r="EV37" s="133" t="n">
        <f aca="false">IF(OR(EV$4="",$B37=""),0,SUMIF('DADOS BRUTOS'!$A$3:$A$500,$B37,'DADOS BRUTOS'!BV$3:BV$500)+IF($C37="",0,SUMIF('DADOS BRUTOS'!$A$3:$A$500,$C37,'DADOS BRUTOS'!BV$3:BV$500)))</f>
        <v>0</v>
      </c>
      <c r="EW37" s="133" t="n">
        <f aca="false">IF(OR(EW$4="",$B37=""),0,SUMIF('DADOS BRUTOS'!$A$3:$A$500,$B37,'DADOS BRUTOS'!BW$3:BW$500)+IF($C37="",0,SUMIF('DADOS BRUTOS'!$A$3:$A$500,$C37,'DADOS BRUTOS'!BW$3:BW$500)))</f>
        <v>0</v>
      </c>
      <c r="EX37" s="133" t="n">
        <f aca="false">IF(OR(EX$4="",$B37=""),0,SUMIF('DADOS BRUTOS'!$A$3:$A$500,$B37,'DADOS BRUTOS'!BX$3:BX$500)+IF($C37="",0,SUMIF('DADOS BRUTOS'!$A$3:$A$500,$C37,'DADOS BRUTOS'!BX$3:BX$500)))</f>
        <v>0</v>
      </c>
      <c r="EY37" s="133" t="n">
        <f aca="false">IF(OR(EY$4="",$B37=""),0,SUMIF('DADOS BRUTOS'!$A$3:$A$500,$B37,'DADOS BRUTOS'!BY$3:BY$500)+IF($C37="",0,SUMIF('DADOS BRUTOS'!$A$3:$A$500,$C37,'DADOS BRUTOS'!BY$3:BY$500)))</f>
        <v>0</v>
      </c>
      <c r="EZ37" s="133" t="n">
        <f aca="false">IF(OR(EZ$4="",$B37=""),0,SUMIF('DADOS BRUTOS'!$A$3:$A$500,$B37,'DADOS BRUTOS'!BZ$3:BZ$500)+IF($C37="",0,SUMIF('DADOS BRUTOS'!$A$3:$A$500,$C37,'DADOS BRUTOS'!BZ$3:BZ$500)))</f>
        <v>0</v>
      </c>
      <c r="FA37" s="133" t="n">
        <f aca="false">IF(OR(FA$4="",$B37=""),0,SUMIF('DADOS BRUTOS'!$A$3:$A$500,$B37,'DADOS BRUTOS'!CA$3:CA$500)+IF($C37="",0,SUMIF('DADOS BRUTOS'!$A$3:$A$500,$C37,'DADOS BRUTOS'!CA$3:CA$500)))</f>
        <v>0</v>
      </c>
      <c r="FB37" s="133" t="n">
        <f aca="false">IF(OR(FB$4="",$B37=""),0,SUMIF('DADOS BRUTOS'!$A$3:$A$500,$B37,'DADOS BRUTOS'!CB$3:CB$500)+IF($C37="",0,SUMIF('DADOS BRUTOS'!$A$3:$A$500,$C37,'DADOS BRUTOS'!CB$3:CB$500)))</f>
        <v>0</v>
      </c>
      <c r="FC37" s="133" t="n">
        <f aca="false">IF(OR(FC$4="",$B37=""),0,SUMIF('DADOS BRUTOS'!$A$3:$A$500,$B37,'DADOS BRUTOS'!CC$3:CC$500)+IF($C37="",0,SUMIF('DADOS BRUTOS'!$A$3:$A$500,$C37,'DADOS BRUTOS'!CC$3:CC$500)))</f>
        <v>0</v>
      </c>
      <c r="FD37" s="133" t="n">
        <f aca="false">IF(OR(FD$4="",$B37=""),0,SUMIF('DADOS BRUTOS'!$A$3:$A$500,$B37,'DADOS BRUTOS'!CD$3:CD$500)+IF($C37="",0,SUMIF('DADOS BRUTOS'!$A$3:$A$500,$C37,'DADOS BRUTOS'!CD$3:CD$500)))</f>
        <v>0</v>
      </c>
      <c r="FE37" s="133" t="n">
        <f aca="false">IF(OR(FE$4="",$B37=""),0,SUMIF('DADOS BRUTOS'!$A$3:$A$500,$B37,'DADOS BRUTOS'!CE$3:CE$500)+IF($C37="",0,SUMIF('DADOS BRUTOS'!$A$3:$A$500,$C37,'DADOS BRUTOS'!CE$3:CE$500)))</f>
        <v>0</v>
      </c>
      <c r="FF37" s="133" t="n">
        <f aca="false">IF(OR(FF$4="",$B37=""),0,SUMIF('DADOS BRUTOS'!$A$3:$A$500,$B37,'DADOS BRUTOS'!CF$3:CF$500)+IF($C37="",0,SUMIF('DADOS BRUTOS'!$A$3:$A$500,$C37,'DADOS BRUTOS'!CF$3:CF$500)))</f>
        <v>0</v>
      </c>
      <c r="FG37" s="133" t="n">
        <f aca="false">IF(OR(FG$4="",$B37=""),0,SUMIF('DADOS BRUTOS'!$A$3:$A$500,$B37,'DADOS BRUTOS'!CG$3:CG$500)+IF($C37="",0,SUMIF('DADOS BRUTOS'!$A$3:$A$500,$C37,'DADOS BRUTOS'!CG$3:CG$500)))</f>
        <v>0</v>
      </c>
      <c r="FH37" s="133" t="n">
        <f aca="false">IF(OR(FH$4="",$B37=""),0,SUMIF('DADOS BRUTOS'!$A$3:$A$500,$B37,'DADOS BRUTOS'!CH$3:CH$500)+IF($C37="",0,SUMIF('DADOS BRUTOS'!$A$3:$A$500,$C37,'DADOS BRUTOS'!CH$3:CH$500)))</f>
        <v>0</v>
      </c>
      <c r="FI37" s="133" t="n">
        <f aca="false">IF(OR(FI$4="",$B37=""),0,SUMIF('DADOS BRUTOS'!$A$3:$A$500,$B37,'DADOS BRUTOS'!CI$3:CI$500)+IF($C37="",0,SUMIF('DADOS BRUTOS'!$A$3:$A$500,$C37,'DADOS BRUTOS'!CI$3:CI$500)))</f>
        <v>0</v>
      </c>
      <c r="FJ37" s="133" t="n">
        <f aca="false">IF(OR(FJ$4="",$B37=""),0,SUMIF('DADOS BRUTOS'!$A$3:$A$500,$B37,'DADOS BRUTOS'!CJ$3:CJ$500)+IF($C37="",0,SUMIF('DADOS BRUTOS'!$A$3:$A$500,$C37,'DADOS BRUTOS'!CJ$3:CJ$500)))</f>
        <v>0</v>
      </c>
      <c r="FK37" s="133" t="n">
        <f aca="false">IF(OR(FK$4="",$B37=""),0,SUMIF('DADOS BRUTOS'!$A$3:$A$500,$B37,'DADOS BRUTOS'!CK$3:CK$500)+IF($C37="",0,SUMIF('DADOS BRUTOS'!$A$3:$A$500,$C37,'DADOS BRUTOS'!CK$3:CK$500)))</f>
        <v>0</v>
      </c>
      <c r="FL37" s="133" t="n">
        <f aca="false">IF(OR(FL$4="",$B37=""),0,SUMIF('DADOS BRUTOS'!$A$3:$A$500,$B37,'DADOS BRUTOS'!CL$3:CL$500)+IF($C37="",0,SUMIF('DADOS BRUTOS'!$A$3:$A$500,$C37,'DADOS BRUTOS'!CL$3:CL$500)))</f>
        <v>0</v>
      </c>
      <c r="FM37" s="133" t="n">
        <f aca="false">IF(OR(FM$4="",$B37=""),0,SUMIF('DADOS BRUTOS'!$A$3:$A$500,$B37,'DADOS BRUTOS'!CM$3:CM$500)+IF($C37="",0,SUMIF('DADOS BRUTOS'!$A$3:$A$500,$C37,'DADOS BRUTOS'!CM$3:CM$500)))</f>
        <v>0</v>
      </c>
      <c r="FN37" s="133" t="n">
        <f aca="false">IF(OR(FN$4="",$B37=""),0,SUMIF('DADOS BRUTOS'!$A$3:$A$500,$B37,'DADOS BRUTOS'!CN$3:CN$500)+IF($C37="",0,SUMIF('DADOS BRUTOS'!$A$3:$A$500,$C37,'DADOS BRUTOS'!CN$3:CN$500)))</f>
        <v>0</v>
      </c>
      <c r="FO37" s="133" t="n">
        <f aca="false">IF(OR(FO$4="",$B37=""),0,SUMIF('DADOS BRUTOS'!$A$3:$A$500,$B37,'DADOS BRUTOS'!CO$3:CO$500)+IF($C37="",0,SUMIF('DADOS BRUTOS'!$A$3:$A$500,$C37,'DADOS BRUTOS'!CO$3:CO$500)))</f>
        <v>0</v>
      </c>
      <c r="FP37" s="133" t="n">
        <f aca="false">IF(OR(FP$4="",$B37=""),0,SUMIF('DADOS BRUTOS'!$A$3:$A$500,$B37,'DADOS BRUTOS'!CP$3:CP$500)+IF($C37="",0,SUMIF('DADOS BRUTOS'!$A$3:$A$500,$C37,'DADOS BRUTOS'!CP$3:CP$500)))</f>
        <v>0</v>
      </c>
      <c r="FQ37" s="133" t="n">
        <f aca="false">IF(OR(FQ$4="",$B37=""),0,SUMIF('DADOS BRUTOS'!$A$3:$A$500,$B37,'DADOS BRUTOS'!CQ$3:CQ$500)+IF($C37="",0,SUMIF('DADOS BRUTOS'!$A$3:$A$500,$C37,'DADOS BRUTOS'!CQ$3:CQ$500)))</f>
        <v>0</v>
      </c>
      <c r="FR37" s="133" t="n">
        <f aca="false">IF(OR(FR$4="",$B37=""),0,SUMIF('DADOS BRUTOS'!$A$3:$A$500,$B37,'DADOS BRUTOS'!CR$3:CR$500)+IF($C37="",0,SUMIF('DADOS BRUTOS'!$A$3:$A$500,$C37,'DADOS BRUTOS'!CR$3:CR$500)))</f>
        <v>0</v>
      </c>
      <c r="FS37" s="133" t="n">
        <f aca="false">IF(OR(FS$4="",$B37=""),0,SUMIF('DADOS BRUTOS'!$A$3:$A$500,$B37,'DADOS BRUTOS'!CS$3:CS$500)+IF($C37="",0,SUMIF('DADOS BRUTOS'!$A$3:$A$500,$C37,'DADOS BRUTOS'!CS$3:CS$500)))</f>
        <v>0</v>
      </c>
      <c r="FT37" s="133" t="n">
        <f aca="false">IF(OR(FT$4="",$B37=""),0,SUMIF('DADOS BRUTOS'!$A$3:$A$500,$B37,'DADOS BRUTOS'!CT$3:CT$500)+IF($C37="",0,SUMIF('DADOS BRUTOS'!$A$3:$A$500,$C37,'DADOS BRUTOS'!CT$3:CT$500)))</f>
        <v>0</v>
      </c>
      <c r="FU37" s="133" t="n">
        <f aca="false">IF(OR(FU$4="",$B37=""),0,SUMIF('DADOS BRUTOS'!$A$3:$A$500,$B37,'DADOS BRUTOS'!CU$3:CU$500)+IF($C37="",0,SUMIF('DADOS BRUTOS'!$A$3:$A$500,$C37,'DADOS BRUTOS'!CU$3:CU$500)))</f>
        <v>0</v>
      </c>
      <c r="FV37" s="133" t="n">
        <f aca="false">IF(OR(FV$4="",$B37=""),0,SUMIF('DADOS BRUTOS'!$A$3:$A$500,$B37,'DADOS BRUTOS'!CV$3:CV$500)+IF($C37="",0,SUMIF('DADOS BRUTOS'!$A$3:$A$500,$C37,'DADOS BRUTOS'!CV$3:CV$500)))</f>
        <v>0</v>
      </c>
      <c r="FW37" s="133" t="n">
        <f aca="false">IF(OR(FW$4="",$B37=""),0,SUMIF('DADOS BRUTOS'!$A$3:$A$500,$B37,'DADOS BRUTOS'!CW$3:CW$500)+IF($C37="",0,SUMIF('DADOS BRUTOS'!$A$3:$A$500,$C37,'DADOS BRUTOS'!CW$3:CW$500)))</f>
        <v>0</v>
      </c>
      <c r="FX37" s="133" t="n">
        <f aca="false">IF(OR(FX$4="",$B37=""),0,SUMIF('DADOS BRUTOS'!$A$3:$A$500,$B37,'DADOS BRUTOS'!CX$3:CX$500)+IF($C37="",0,SUMIF('DADOS BRUTOS'!$A$3:$A$500,$C37,'DADOS BRUTOS'!CX$3:CX$500)))</f>
        <v>0</v>
      </c>
      <c r="FY37" s="133" t="n">
        <f aca="false">IF(OR(FY$4="",$B37=""),0,SUMIF('DADOS BRUTOS'!$A$3:$A$500,$B37,'DADOS BRUTOS'!CY$3:CY$500)+IF($C37="",0,SUMIF('DADOS BRUTOS'!$A$3:$A$500,$C37,'DADOS BRUTOS'!CY$3:CY$500)))</f>
        <v>0</v>
      </c>
      <c r="FZ37" s="133" t="n">
        <f aca="false">IF(OR(FZ$4="",$B37=""),0,SUMIF('DADOS BRUTOS'!$A$3:$A$500,$B37,'DADOS BRUTOS'!CZ$3:CZ$500)+IF($C37="",0,SUMIF('DADOS BRUTOS'!$A$3:$A$500,$C37,'DADOS BRUTOS'!CZ$3:CZ$500)))</f>
        <v>0</v>
      </c>
      <c r="GA37" s="133" t="n">
        <f aca="false">IF(OR(GA$4="",$B37=""),0,SUMIF('DADOS BRUTOS'!$A$3:$A$500,$B37,'DADOS BRUTOS'!DA$3:DA$500)+IF($C37="",0,SUMIF('DADOS BRUTOS'!$A$3:$A$500,$C37,'DADOS BRUTOS'!DA$3:DA$500)))</f>
        <v>0</v>
      </c>
      <c r="GB37" s="133" t="n">
        <f aca="false">IF(OR(GB$4="",$B37=""),0,SUMIF('DADOS BRUTOS'!$A$3:$A$500,$B37,'DADOS BRUTOS'!DB$3:DB$500)+IF($C37="",0,SUMIF('DADOS BRUTOS'!$A$3:$A$500,$C37,'DADOS BRUTOS'!DB$3:DB$500)))</f>
        <v>0</v>
      </c>
      <c r="GC37" s="133" t="n">
        <f aca="false">IF(OR(GC$4="",$B37=""),0,SUMIF('DADOS BRUTOS'!$A$3:$A$500,$B37,'DADOS BRUTOS'!DC$3:DC$500)+IF($C37="",0,SUMIF('DADOS BRUTOS'!$A$3:$A$500,$C37,'DADOS BRUTOS'!DC$3:DC$500)))</f>
        <v>0</v>
      </c>
      <c r="GD37" s="133" t="n">
        <f aca="false">IF(OR(GD$4="",$B37=""),0,SUMIF('DADOS BRUTOS'!$A$3:$A$500,$B37,'DADOS BRUTOS'!DD$3:DD$500)+IF($C37="",0,SUMIF('DADOS BRUTOS'!$A$3:$A$500,$C37,'DADOS BRUTOS'!DD$3:DD$500)))</f>
        <v>0</v>
      </c>
      <c r="GE37" s="133" t="n">
        <f aca="false">IF(OR(GE$4="",$B37=""),0,SUMIF('DADOS BRUTOS'!$A$3:$A$500,$B37,'DADOS BRUTOS'!DE$3:DE$500)+IF($C37="",0,SUMIF('DADOS BRUTOS'!$A$3:$A$500,$C37,'DADOS BRUTOS'!DE$3:DE$500)))</f>
        <v>0</v>
      </c>
      <c r="GF37" s="133" t="n">
        <f aca="false">IF(OR(GF$4="",$B37=""),0,SUMIF('DADOS BRUTOS'!$A$3:$A$500,$B37,'DADOS BRUTOS'!DF$3:DF$500)+IF($C37="",0,SUMIF('DADOS BRUTOS'!$A$3:$A$500,$C37,'DADOS BRUTOS'!DF$3:DF$500)))</f>
        <v>0</v>
      </c>
      <c r="GG37" s="133" t="n">
        <f aca="false">IF(OR(GG$4="",$B37=""),0,SUMIF('DADOS BRUTOS'!$A$3:$A$500,$B37,'DADOS BRUTOS'!DG$3:DG$500)+IF($C37="",0,SUMIF('DADOS BRUTOS'!$A$3:$A$500,$C37,'DADOS BRUTOS'!DG$3:DG$500)))</f>
        <v>0</v>
      </c>
      <c r="GH37" s="133" t="n">
        <f aca="false">IF(OR(GH$4="",$B37=""),0,SUMIF('DADOS BRUTOS'!$A$3:$A$500,$B37,'DADOS BRUTOS'!DH$3:DH$500)+IF($C37="",0,SUMIF('DADOS BRUTOS'!$A$3:$A$500,$C37,'DADOS BRUTOS'!DH$3:DH$500)))</f>
        <v>0</v>
      </c>
      <c r="GI37" s="133" t="n">
        <f aca="false">IF(OR(GI$4="",$B37=""),0,SUMIF('DADOS BRUTOS'!$A$3:$A$500,$B37,'DADOS BRUTOS'!DI$3:DI$500)+IF($C37="",0,SUMIF('DADOS BRUTOS'!$A$3:$A$500,$C37,'DADOS BRUTOS'!DI$3:DI$500)))</f>
        <v>0</v>
      </c>
      <c r="GJ37" s="133" t="n">
        <f aca="false">IF(OR(GJ$4="",$B37=""),0,SUMIF('DADOS BRUTOS'!$A$3:$A$500,$B37,'DADOS BRUTOS'!DJ$3:DJ$500)+IF($C37="",0,SUMIF('DADOS BRUTOS'!$A$3:$A$500,$C37,'DADOS BRUTOS'!DJ$3:DJ$500)))</f>
        <v>0</v>
      </c>
      <c r="GK37" s="133" t="n">
        <f aca="false">IF(OR(GK$4="",$B37=""),0,SUMIF('DADOS BRUTOS'!$A$3:$A$500,$B37,'DADOS BRUTOS'!DK$3:DK$500)+IF($C37="",0,SUMIF('DADOS BRUTOS'!$A$3:$A$500,$C37,'DADOS BRUTOS'!DK$3:DK$500)))</f>
        <v>0</v>
      </c>
      <c r="GL37" s="133" t="n">
        <f aca="false">IF(OR(GL$4="",$B37=""),0,SUMIF('DADOS BRUTOS'!$A$3:$A$500,$B37,'DADOS BRUTOS'!DL$3:DL$500)+IF($C37="",0,SUMIF('DADOS BRUTOS'!$A$3:$A$500,$C37,'DADOS BRUTOS'!DL$3:DL$500)))</f>
        <v>0</v>
      </c>
      <c r="GM37" s="133" t="n">
        <f aca="false">IF(OR(GM$4="",$B37=""),0,SUMIF('DADOS BRUTOS'!$A$3:$A$500,$B37,'DADOS BRUTOS'!DM$3:DM$500)+IF($C37="",0,SUMIF('DADOS BRUTOS'!$A$3:$A$500,$C37,'DADOS BRUTOS'!DM$3:DM$500)))</f>
        <v>0</v>
      </c>
      <c r="GN37" s="133" t="n">
        <f aca="false">IF(OR(GN$4="",$B37=""),0,SUMIF('DADOS BRUTOS'!$A$3:$A$500,$B37,'DADOS BRUTOS'!DN$3:DN$500)+IF($C37="",0,SUMIF('DADOS BRUTOS'!$A$3:$A$500,$C37,'DADOS BRUTOS'!DN$3:DN$500)))</f>
        <v>0</v>
      </c>
      <c r="GO37" s="133" t="n">
        <f aca="false">IF(OR(GO$4="",$B37=""),0,SUMIF('DADOS BRUTOS'!$A$3:$A$500,$B37,'DADOS BRUTOS'!DO$3:DO$500)+IF($C37="",0,SUMIF('DADOS BRUTOS'!$A$3:$A$500,$C37,'DADOS BRUTOS'!DO$3:DO$500)))</f>
        <v>0</v>
      </c>
      <c r="GP37" s="133" t="n">
        <f aca="false">IF(OR(GP$4="",$B37=""),0,SUMIF('DADOS BRUTOS'!$A$3:$A$500,$B37,'DADOS BRUTOS'!DP$3:DP$500)+IF($C37="",0,SUMIF('DADOS BRUTOS'!$A$3:$A$500,$C37,'DADOS BRUTOS'!DP$3:DP$500)))</f>
        <v>0</v>
      </c>
      <c r="GQ37" s="133" t="n">
        <f aca="false">IF(OR(GQ$4="",$B37=""),0,SUMIF('DADOS BRUTOS'!$A$3:$A$500,$B37,'DADOS BRUTOS'!DQ$3:DQ$500)+IF($C37="",0,SUMIF('DADOS BRUTOS'!$A$3:$A$500,$C37,'DADOS BRUTOS'!DQ$3:DQ$500)))</f>
        <v>0</v>
      </c>
      <c r="GR37" s="133" t="n">
        <f aca="false">IF(OR(GR$4="",$B37=""),0,SUMIF('DADOS BRUTOS'!$A$3:$A$500,$B37,'DADOS BRUTOS'!DR$3:DR$500)+IF($C37="",0,SUMIF('DADOS BRUTOS'!$A$3:$A$500,$C37,'DADOS BRUTOS'!DR$3:DR$500)))</f>
        <v>0</v>
      </c>
      <c r="GS37" s="133" t="n">
        <f aca="false">IF(OR(GS$4="",$B37=""),0,SUMIF('DADOS BRUTOS'!$A$3:$A$500,$B37,'DADOS BRUTOS'!DS$3:DS$500)+IF($C37="",0,SUMIF('DADOS BRUTOS'!$A$3:$A$500,$C37,'DADOS BRUTOS'!DS$3:DS$500)))</f>
        <v>0</v>
      </c>
      <c r="GT37" s="133" t="n">
        <f aca="false">IF(OR(GT$4="",$B37=""),0,SUMIF('DADOS BRUTOS'!$A$3:$A$500,$B37,'DADOS BRUTOS'!DT$3:DT$500)+IF($C37="",0,SUMIF('DADOS BRUTOS'!$A$3:$A$500,$C37,'DADOS BRUTOS'!DT$3:DT$500)))</f>
        <v>0</v>
      </c>
      <c r="GU37" s="133" t="n">
        <f aca="false">IF(OR(GU$4="",$B37=""),0,SUMIF('DADOS BRUTOS'!$A$3:$A$500,$B37,'DADOS BRUTOS'!DU$3:DU$500)+IF($C37="",0,SUMIF('DADOS BRUTOS'!$A$3:$A$500,$C37,'DADOS BRUTOS'!DU$3:DU$500)))</f>
        <v>0</v>
      </c>
      <c r="GV37" s="133" t="n">
        <f aca="false">IF(OR(GV$4="",$B37=""),0,SUMIF('DADOS BRUTOS'!$A$3:$A$500,$B37,'DADOS BRUTOS'!DV$3:DV$500)+IF($C37="",0,SUMIF('DADOS BRUTOS'!$A$3:$A$500,$C37,'DADOS BRUTOS'!DV$3:DV$500)))</f>
        <v>0</v>
      </c>
      <c r="GW37" s="133" t="n">
        <f aca="false">IF(OR(GW$4="",$B37=""),0,SUMIF('DADOS BRUTOS'!$A$3:$A$500,$B37,'DADOS BRUTOS'!DW$3:DW$500)+IF($C37="",0,SUMIF('DADOS BRUTOS'!$A$3:$A$500,$C37,'DADOS BRUTOS'!DW$3:DW$500)))</f>
        <v>0</v>
      </c>
      <c r="GX37" s="133" t="n">
        <f aca="false">IF(OR(GX$4="",$B37=""),0,SUMIF('DADOS BRUTOS'!$A$3:$A$500,$B37,'DADOS BRUTOS'!DX$3:DX$500)+IF($C37="",0,SUMIF('DADOS BRUTOS'!$A$3:$A$500,$C37,'DADOS BRUTOS'!DX$3:DX$500)))</f>
        <v>0</v>
      </c>
      <c r="GY37" s="133" t="n">
        <f aca="false">IF(OR(GY$4="",$B37=""),0,SUMIF('DADOS BRUTOS'!$A$3:$A$500,$B37,'DADOS BRUTOS'!DY$3:DY$500)+IF($C37="",0,SUMIF('DADOS BRUTOS'!$A$3:$A$500,$C37,'DADOS BRUTOS'!DY$3:DY$500)))</f>
        <v>0</v>
      </c>
      <c r="GZ37" s="133" t="n">
        <f aca="false">IF(OR(GZ$4="",$B37=""),0,SUMIF('DADOS BRUTOS'!$A$3:$A$500,$B37,'DADOS BRUTOS'!DZ$3:DZ$500)+IF($C37="",0,SUMIF('DADOS BRUTOS'!$A$3:$A$500,$C37,'DADOS BRUTOS'!DZ$3:DZ$500)))</f>
        <v>0</v>
      </c>
      <c r="HA37" s="133" t="n">
        <f aca="false">IF(OR(HA$4="",$B37=""),0,SUMIF('DADOS BRUTOS'!$A$3:$A$500,$B37,'DADOS BRUTOS'!EA$3:EA$500)+IF($C37="",0,SUMIF('DADOS BRUTOS'!$A$3:$A$500,$C37,'DADOS BRUTOS'!EA$3:EA$500)))</f>
        <v>0</v>
      </c>
      <c r="HB37" s="133" t="n">
        <f aca="false">IF(OR(HB$4="",$B37=""),0,SUMIF('DADOS BRUTOS'!$A$3:$A$500,$B37,'DADOS BRUTOS'!EB$3:EB$500)+IF($C37="",0,SUMIF('DADOS BRUTOS'!$A$3:$A$500,$C37,'DADOS BRUTOS'!EB$3:EB$500)))</f>
        <v>0</v>
      </c>
      <c r="HC37" s="133" t="n">
        <f aca="false">IF(OR(HC$4="",$B37=""),0,SUMIF('DADOS BRUTOS'!$A$3:$A$500,$B37,'DADOS BRUTOS'!EC$3:EC$500)+IF($C37="",0,SUMIF('DADOS BRUTOS'!$A$3:$A$500,$C37,'DADOS BRUTOS'!EC$3:EC$500)))</f>
        <v>0</v>
      </c>
      <c r="HD37" s="133" t="n">
        <f aca="false">IF(OR(HD$4="",$B37=""),0,SUMIF('DADOS BRUTOS'!$A$3:$A$500,$B37,'DADOS BRUTOS'!ED$3:ED$500)+IF($C37="",0,SUMIF('DADOS BRUTOS'!$A$3:$A$500,$C37,'DADOS BRUTOS'!ED$3:ED$500)))</f>
        <v>0</v>
      </c>
      <c r="HE37" s="133" t="n">
        <f aca="false">IF(OR(HE$4="",$B37=""),0,SUMIF('DADOS BRUTOS'!$A$3:$A$500,$B37,'DADOS BRUTOS'!EE$3:EE$500)+IF($C37="",0,SUMIF('DADOS BRUTOS'!$A$3:$A$500,$C37,'DADOS BRUTOS'!EE$3:EE$500)))</f>
        <v>0</v>
      </c>
      <c r="HF37" s="133" t="n">
        <f aca="false">IF(OR(HF$4="",$B37=""),0,SUMIF('DADOS BRUTOS'!$A$3:$A$500,$B37,'DADOS BRUTOS'!EF$3:EF$500)+IF($C37="",0,SUMIF('DADOS BRUTOS'!$A$3:$A$500,$C37,'DADOS BRUTOS'!EF$3:EF$500)))</f>
        <v>0</v>
      </c>
      <c r="HG37" s="133" t="n">
        <f aca="false">IF(OR(HG$4="",$B37=""),0,SUMIF('DADOS BRUTOS'!$A$3:$A$500,$B37,'DADOS BRUTOS'!EG$3:EG$500)+IF($C37="",0,SUMIF('DADOS BRUTOS'!$A$3:$A$500,$C37,'DADOS BRUTOS'!EG$3:EG$500)))</f>
        <v>0</v>
      </c>
      <c r="HH37" s="133" t="n">
        <f aca="false">IF(OR(HH$4="",$B37=""),0,SUMIF('DADOS BRUTOS'!$A$3:$A$500,$B37,'DADOS BRUTOS'!EH$3:EH$500)+IF($C37="",0,SUMIF('DADOS BRUTOS'!$A$3:$A$500,$C37,'DADOS BRUTOS'!EH$3:EH$500)))</f>
        <v>0</v>
      </c>
      <c r="HI37" s="133" t="n">
        <f aca="false">IF(OR(HI$4="",$B37=""),0,SUMIF('DADOS BRUTOS'!$A$3:$A$500,$B37,'DADOS BRUTOS'!EI$3:EI$500)+IF($C37="",0,SUMIF('DADOS BRUTOS'!$A$3:$A$500,$C37,'DADOS BRUTOS'!EI$3:EI$500)))</f>
        <v>0</v>
      </c>
      <c r="HJ37" s="133" t="n">
        <f aca="false">IF(OR(HJ$4="",$B37=""),0,SUMIF('DADOS BRUTOS'!$A$3:$A$500,$B37,'DADOS BRUTOS'!EJ$3:EJ$500)+IF($C37="",0,SUMIF('DADOS BRUTOS'!$A$3:$A$500,$C37,'DADOS BRUTOS'!EJ$3:EJ$500)))</f>
        <v>0</v>
      </c>
      <c r="HK37" s="133" t="n">
        <f aca="false">IF(OR(HK$4="",$B37=""),0,SUMIF('DADOS BRUTOS'!$A$3:$A$500,$B37,'DADOS BRUTOS'!EK$3:EK$500)+IF($C37="",0,SUMIF('DADOS BRUTOS'!$A$3:$A$500,$C37,'DADOS BRUTOS'!EK$3:EK$500)))</f>
        <v>0</v>
      </c>
      <c r="HL37" s="133" t="n">
        <f aca="false">IF(OR(HL$4="",$B37=""),0,SUMIF('DADOS BRUTOS'!$A$3:$A$500,$B37,'DADOS BRUTOS'!EL$3:EL$500)+IF($C37="",0,SUMIF('DADOS BRUTOS'!$A$3:$A$500,$C37,'DADOS BRUTOS'!EL$3:EL$500)))</f>
        <v>0</v>
      </c>
      <c r="HM37" s="133" t="n">
        <f aca="false">IF(OR(HM$4="",$B37=""),0,SUMIF('DADOS BRUTOS'!$A$3:$A$500,$B37,'DADOS BRUTOS'!EM$3:EM$500)+IF($C37="",0,SUMIF('DADOS BRUTOS'!$A$3:$A$500,$C37,'DADOS BRUTOS'!EM$3:EM$500)))</f>
        <v>0</v>
      </c>
      <c r="HN37" s="133" t="n">
        <f aca="false">IF(OR(HN$4="",$B37=""),0,SUMIF('DADOS BRUTOS'!$A$3:$A$500,$B37,'DADOS BRUTOS'!EN$3:EN$500)+IF($C37="",0,SUMIF('DADOS BRUTOS'!$A$3:$A$500,$C37,'DADOS BRUTOS'!EN$3:EN$500)))</f>
        <v>0</v>
      </c>
      <c r="HO37" s="133" t="n">
        <f aca="false">IF(OR(HO$4="",$B37=""),0,SUMIF('DADOS BRUTOS'!$A$3:$A$500,$B37,'DADOS BRUTOS'!EO$3:EO$500)+IF($C37="",0,SUMIF('DADOS BRUTOS'!$A$3:$A$500,$C37,'DADOS BRUTOS'!EO$3:EO$500)))</f>
        <v>0</v>
      </c>
      <c r="HP37" s="133" t="n">
        <f aca="false">IF(OR(HP$4="",$B37=""),0,SUMIF('DADOS BRUTOS'!$A$3:$A$500,$B37,'DADOS BRUTOS'!EP$3:EP$500)+IF($C37="",0,SUMIF('DADOS BRUTOS'!$A$3:$A$500,$C37,'DADOS BRUTOS'!EP$3:EP$500)))</f>
        <v>0</v>
      </c>
      <c r="HQ37" s="133" t="n">
        <f aca="false">IF(OR(HQ$4="",$B37=""),0,SUMIF('DADOS BRUTOS'!$A$3:$A$500,$B37,'DADOS BRUTOS'!EQ$3:EQ$500)+IF($C37="",0,SUMIF('DADOS BRUTOS'!$A$3:$A$500,$C37,'DADOS BRUTOS'!EQ$3:EQ$500)))</f>
        <v>0</v>
      </c>
      <c r="HR37" s="133" t="n">
        <f aca="false">IF(OR(HR$4="",$B37=""),0,SUMIF('DADOS BRUTOS'!$A$3:$A$500,$B37,'DADOS BRUTOS'!ER$3:ER$500)+IF($C37="",0,SUMIF('DADOS BRUTOS'!$A$3:$A$500,$C37,'DADOS BRUTOS'!ER$3:ER$500)))</f>
        <v>0</v>
      </c>
      <c r="HS37" s="133" t="n">
        <f aca="false">IF(OR(HS$4="",$B37=""),0,SUMIF('DADOS BRUTOS'!$A$3:$A$500,$B37,'DADOS BRUTOS'!ES$3:ES$500)+IF($C37="",0,SUMIF('DADOS BRUTOS'!$A$3:$A$500,$C37,'DADOS BRUTOS'!ES$3:ES$500)))</f>
        <v>0</v>
      </c>
      <c r="HT37" s="133" t="n">
        <f aca="false">IF(OR(HT$4="",$B37=""),0,SUMIF('DADOS BRUTOS'!$A$3:$A$500,$B37,'DADOS BRUTOS'!ET$3:ET$500)+IF($C37="",0,SUMIF('DADOS BRUTOS'!$A$3:$A$500,$C37,'DADOS BRUTOS'!ET$3:ET$500)))</f>
        <v>0</v>
      </c>
      <c r="HU37" s="133" t="n">
        <f aca="false">IF(OR(HU$4="",$B37=""),0,SUMIF('DADOS BRUTOS'!$A$3:$A$500,$B37,'DADOS BRUTOS'!EU$3:EU$500)+IF($C37="",0,SUMIF('DADOS BRUTOS'!$A$3:$A$500,$C37,'DADOS BRUTOS'!EU$3:EU$500)))</f>
        <v>0</v>
      </c>
      <c r="HV37" s="133" t="n">
        <f aca="false">IF(OR(HV$4="",$B37=""),0,SUMIF('DADOS BRUTOS'!$A$3:$A$500,$B37,'DADOS BRUTOS'!EV$3:EV$500)+IF($C37="",0,SUMIF('DADOS BRUTOS'!$A$3:$A$500,$C37,'DADOS BRUTOS'!EV$3:EV$500)))</f>
        <v>0</v>
      </c>
      <c r="HW37" s="133" t="n">
        <f aca="false">IF(OR(HW$4="",$B37=""),0,SUMIF('DADOS BRUTOS'!$A$3:$A$500,$B37,'DADOS BRUTOS'!EW$3:EW$500)+IF($C37="",0,SUMIF('DADOS BRUTOS'!$A$3:$A$500,$C37,'DADOS BRUTOS'!EW$3:EW$500)))</f>
        <v>0</v>
      </c>
      <c r="HX37" s="133" t="n">
        <f aca="false">IF(OR(HX$4="",$B37=""),0,SUMIF('DADOS BRUTOS'!$A$3:$A$500,$B37,'DADOS BRUTOS'!EX$3:EX$500)+IF($C37="",0,SUMIF('DADOS BRUTOS'!$A$3:$A$500,$C37,'DADOS BRUTOS'!EX$3:EX$500)))</f>
        <v>0</v>
      </c>
      <c r="HY37" s="133" t="n">
        <f aca="false">IF(OR(HY$4="",$B37=""),0,SUMIF('DADOS BRUTOS'!$A$3:$A$500,$B37,'DADOS BRUTOS'!EY$3:EY$500)+IF($C37="",0,SUMIF('DADOS BRUTOS'!$A$3:$A$500,$C37,'DADOS BRUTOS'!EY$3:EY$500)))</f>
        <v>0</v>
      </c>
      <c r="HZ37" s="133" t="n">
        <f aca="false">IF(OR(HZ$4="",$B37=""),0,SUMIF('DADOS BRUTOS'!$A$3:$A$500,$B37,'DADOS BRUTOS'!EZ$3:EZ$500)+IF($C37="",0,SUMIF('DADOS BRUTOS'!$A$3:$A$500,$C37,'DADOS BRUTOS'!EZ$3:EZ$500)))</f>
        <v>0</v>
      </c>
      <c r="IA37" s="133" t="n">
        <f aca="false">IF(OR(IA$4="",$B37=""),0,SUMIF('DADOS BRUTOS'!$A$3:$A$500,$B37,'DADOS BRUTOS'!FA$3:FA$500)+IF($C37="",0,SUMIF('DADOS BRUTOS'!$A$3:$A$500,$C37,'DADOS BRUTOS'!FA$3:FA$500)))</f>
        <v>0</v>
      </c>
      <c r="IB37" s="133" t="n">
        <f aca="false">IF(OR(IB$4="",$B37=""),0,SUMIF('DADOS BRUTOS'!$A$3:$A$500,$B37,'DADOS BRUTOS'!FB$3:FB$500)+IF($C37="",0,SUMIF('DADOS BRUTOS'!$A$3:$A$500,$C37,'DADOS BRUTOS'!FB$3:FB$500)))</f>
        <v>0</v>
      </c>
      <c r="IC37" s="133" t="n">
        <f aca="false">IF(OR(IC$4="",$B37=""),0,SUMIF('DADOS BRUTOS'!$A$3:$A$500,$B37,'DADOS BRUTOS'!FC$3:FC$500)+IF($C37="",0,SUMIF('DADOS BRUTOS'!$A$3:$A$500,$C37,'DADOS BRUTOS'!FC$3:FC$500)))</f>
        <v>0</v>
      </c>
      <c r="ID37" s="133" t="n">
        <f aca="false">IF(OR(ID$4="",$B37=""),0,SUMIF('DADOS BRUTOS'!$A$3:$A$500,$B37,'DADOS BRUTOS'!FD$3:FD$500)+IF($C37="",0,SUMIF('DADOS BRUTOS'!$A$3:$A$500,$C37,'DADOS BRUTOS'!FD$3:FD$500)))</f>
        <v>0</v>
      </c>
      <c r="IE37" s="133" t="n">
        <f aca="false">IF(OR(IE$4="",$B37=""),0,SUMIF('DADOS BRUTOS'!$A$3:$A$500,$B37,'DADOS BRUTOS'!FE$3:FE$500)+IF($C37="",0,SUMIF('DADOS BRUTOS'!$A$3:$A$500,$C37,'DADOS BRUTOS'!FE$3:FE$500)))</f>
        <v>0</v>
      </c>
      <c r="IF37" s="133" t="n">
        <f aca="false">IF(OR(IF$4="",$B37=""),0,SUMIF('DADOS BRUTOS'!$A$3:$A$500,$B37,'DADOS BRUTOS'!FF$3:FF$500)+IF($C37="",0,SUMIF('DADOS BRUTOS'!$A$3:$A$500,$C37,'DADOS BRUTOS'!FF$3:FF$500)))</f>
        <v>0</v>
      </c>
      <c r="IG37" s="133" t="n">
        <f aca="false">IF(OR(IG$4="",$B37=""),0,SUMIF('DADOS BRUTOS'!$A$3:$A$500,$B37,'DADOS BRUTOS'!FG$3:FG$500)+IF($C37="",0,SUMIF('DADOS BRUTOS'!$A$3:$A$500,$C37,'DADOS BRUTOS'!FG$3:FG$500)))</f>
        <v>0</v>
      </c>
      <c r="IH37" s="133" t="n">
        <f aca="false">IF(OR(IH$4="",$B37=""),0,SUMIF('DADOS BRUTOS'!$A$3:$A$500,$B37,'DADOS BRUTOS'!FH$3:FH$500)+IF($C37="",0,SUMIF('DADOS BRUTOS'!$A$3:$A$500,$C37,'DADOS BRUTOS'!FH$3:FH$500)))</f>
        <v>0</v>
      </c>
      <c r="II37" s="133" t="n">
        <f aca="false">IF(OR(II$4="",$B37=""),0,SUMIF('DADOS BRUTOS'!$A$3:$A$500,$B37,'DADOS BRUTOS'!FI$3:FI$500)+IF($C37="",0,SUMIF('DADOS BRUTOS'!$A$3:$A$500,$C37,'DADOS BRUTOS'!FI$3:FI$500)))</f>
        <v>0</v>
      </c>
      <c r="IJ37" s="133" t="n">
        <f aca="false">IF(OR(IJ$4="",$B37=""),0,SUMIF('DADOS BRUTOS'!$A$3:$A$500,$B37,'DADOS BRUTOS'!FJ$3:FJ$500)+IF($C37="",0,SUMIF('DADOS BRUTOS'!$A$3:$A$500,$C37,'DADOS BRUTOS'!FJ$3:FJ$500)))</f>
        <v>0</v>
      </c>
      <c r="IK37" s="133" t="n">
        <f aca="false">IF(OR(IK$4="",$B37=""),0,SUMIF('DADOS BRUTOS'!$A$3:$A$500,$B37,'DADOS BRUTOS'!FK$3:FK$500)+IF($C37="",0,SUMIF('DADOS BRUTOS'!$A$3:$A$500,$C37,'DADOS BRUTOS'!FK$3:FK$500)))</f>
        <v>0</v>
      </c>
      <c r="IL37" s="133" t="n">
        <f aca="false">IF(OR(IL$4="",$B37=""),0,SUMIF('DADOS BRUTOS'!$A$3:$A$500,$B37,'DADOS BRUTOS'!FL$3:FL$500)+IF($C37="",0,SUMIF('DADOS BRUTOS'!$A$3:$A$500,$C37,'DADOS BRUTOS'!FL$3:FL$500)))</f>
        <v>0</v>
      </c>
      <c r="IM37" s="133" t="n">
        <f aca="false">IF(OR(IM$4="",$B37=""),0,SUMIF('DADOS BRUTOS'!$A$3:$A$500,$B37,'DADOS BRUTOS'!FM$3:FM$500)+IF($C37="",0,SUMIF('DADOS BRUTOS'!$A$3:$A$500,$C37,'DADOS BRUTOS'!FM$3:FM$500)))</f>
        <v>0</v>
      </c>
      <c r="IN37" s="133" t="n">
        <f aca="false">IF(OR(IN$4="",$B37=""),0,SUMIF('DADOS BRUTOS'!$A$3:$A$500,$B37,'DADOS BRUTOS'!FN$3:FN$500)+IF($C37="",0,SUMIF('DADOS BRUTOS'!$A$3:$A$500,$C37,'DADOS BRUTOS'!FN$3:FN$500)))</f>
        <v>0</v>
      </c>
      <c r="IO37" s="133" t="n">
        <f aca="false">IF(OR(IO$4="",$B37=""),0,SUMIF('DADOS BRUTOS'!$A$3:$A$500,$B37,'DADOS BRUTOS'!FO$3:FO$500)+IF($C37="",0,SUMIF('DADOS BRUTOS'!$A$3:$A$500,$C37,'DADOS BRUTOS'!FO$3:FO$500)))</f>
        <v>0</v>
      </c>
      <c r="IP37" s="133" t="n">
        <f aca="false">IF(OR(IP$4="",$B37=""),0,SUMIF('DADOS BRUTOS'!$A$3:$A$500,$B37,'DADOS BRUTOS'!FP$3:FP$500)+IF($C37="",0,SUMIF('DADOS BRUTOS'!$A$3:$A$500,$C37,'DADOS BRUTOS'!FP$3:FP$500)))</f>
        <v>0</v>
      </c>
      <c r="IQ37" s="133" t="n">
        <f aca="false">IF(OR(IQ$4="",$B37=""),0,SUMIF('DADOS BRUTOS'!$A$3:$A$500,$B37,'DADOS BRUTOS'!FQ$3:FQ$500)+IF($C37="",0,SUMIF('DADOS BRUTOS'!$A$3:$A$500,$C37,'DADOS BRUTOS'!FQ$3:FQ$500)))</f>
        <v>0</v>
      </c>
      <c r="IR37" s="133" t="n">
        <f aca="false">IF(OR(IR$4="",$B37=""),0,SUMIF('DADOS BRUTOS'!$A$3:$A$500,$B37,'DADOS BRUTOS'!FR$3:FR$500)+IF($C37="",0,SUMIF('DADOS BRUTOS'!$A$3:$A$500,$C37,'DADOS BRUTOS'!FR$3:FR$500)))</f>
        <v>0</v>
      </c>
      <c r="IS37" s="133" t="n">
        <f aca="false">IF(OR(IS$4="",$B37=""),0,SUMIF('DADOS BRUTOS'!$A$3:$A$500,$B37,'DADOS BRUTOS'!FS$3:FS$500)+IF($C37="",0,SUMIF('DADOS BRUTOS'!$A$3:$A$500,$C37,'DADOS BRUTOS'!FS$3:FS$500)))</f>
        <v>0</v>
      </c>
      <c r="IT37" s="133" t="n">
        <f aca="false">IF(OR(IT$4="",$B37=""),0,SUMIF('DADOS BRUTOS'!$A$3:$A$500,$B37,'DADOS BRUTOS'!FT$3:FT$500)+IF($C37="",0,SUMIF('DADOS BRUTOS'!$A$3:$A$500,$C37,'DADOS BRUTOS'!FT$3:FT$500)))</f>
        <v>0</v>
      </c>
      <c r="IU37" s="133" t="n">
        <f aca="false">IF(OR(IU$4="",$B37=""),0,SUMIF('DADOS BRUTOS'!$A$3:$A$500,$B37,'DADOS BRUTOS'!FU$3:FU$500)+IF($C37="",0,SUMIF('DADOS BRUTOS'!$A$3:$A$500,$C37,'DADOS BRUTOS'!FU$3:FU$500)))</f>
        <v>0</v>
      </c>
      <c r="IV37" s="133" t="n">
        <f aca="false">IF(OR(IV$4="",$B37=""),0,SUMIF('DADOS BRUTOS'!$A$3:$A$500,$B37,'DADOS BRUTOS'!FV$3:FV$500)+IF($C37="",0,SUMIF('DADOS BRUTOS'!$A$3:$A$500,$C37,'DADOS BRUTOS'!FV$3:FV$500)))</f>
        <v>0</v>
      </c>
      <c r="IW37" s="133" t="n">
        <f aca="false">IF(OR(IW$4="",$B37=""),0,SUMIF('DADOS BRUTOS'!$A$3:$A$500,$B37,'DADOS BRUTOS'!FW$3:FW$500)+IF($C37="",0,SUMIF('DADOS BRUTOS'!$A$3:$A$500,$C37,'DADOS BRUTOS'!FW$3:FW$500)))</f>
        <v>0</v>
      </c>
      <c r="IX37" s="133" t="n">
        <f aca="false">IF(OR(IX$4="",$B37=""),0,SUMIF('DADOS BRUTOS'!$A$3:$A$500,$B37,'DADOS BRUTOS'!FX$3:FX$500)+IF($C37="",0,SUMIF('DADOS BRUTOS'!$A$3:$A$500,$C37,'DADOS BRUTOS'!FX$3:FX$500)))</f>
        <v>0</v>
      </c>
      <c r="IY37" s="133" t="n">
        <f aca="false">IF(OR(IY$4="",$B37=""),0,SUMIF('DADOS BRUTOS'!$A$3:$A$500,$B37,'DADOS BRUTOS'!FY$3:FY$500)+IF($C37="",0,SUMIF('DADOS BRUTOS'!$A$3:$A$500,$C37,'DADOS BRUTOS'!FY$3:FY$500)))</f>
        <v>0</v>
      </c>
      <c r="IZ37" s="133" t="n">
        <f aca="false">IF(OR(IZ$4="",$B37=""),0,SUMIF('DADOS BRUTOS'!$A$3:$A$500,$B37,'DADOS BRUTOS'!FZ$3:FZ$500)+IF($C37="",0,SUMIF('DADOS BRUTOS'!$A$3:$A$500,$C37,'DADOS BRUTOS'!FZ$3:FZ$500)))</f>
        <v>0</v>
      </c>
      <c r="JA37" s="133" t="n">
        <f aca="false">IF(OR(JA$4="",$B37=""),0,SUMIF('DADOS BRUTOS'!$A$3:$A$500,$B37,'DADOS BRUTOS'!GA$3:GA$500)+IF($C37="",0,SUMIF('DADOS BRUTOS'!$A$3:$A$500,$C37,'DADOS BRUTOS'!GA$3:GA$500)))</f>
        <v>0</v>
      </c>
      <c r="JB37" s="133" t="n">
        <f aca="false">IF(OR(JB$4="",$B37=""),0,SUMIF('DADOS BRUTOS'!$A$3:$A$500,$B37,'DADOS BRUTOS'!GB$3:GB$500)+IF($C37="",0,SUMIF('DADOS BRUTOS'!$A$3:$A$500,$C37,'DADOS BRUTOS'!GB$3:GB$500)))</f>
        <v>0</v>
      </c>
      <c r="JC37" s="133" t="n">
        <f aca="false">IF(OR(JC$4="",$B37=""),0,SUMIF('DADOS BRUTOS'!$A$3:$A$500,$B37,'DADOS BRUTOS'!GC$3:GC$500)+IF($C37="",0,SUMIF('DADOS BRUTOS'!$A$3:$A$500,$C37,'DADOS BRUTOS'!GC$3:GC$500)))</f>
        <v>0</v>
      </c>
      <c r="JD37" s="133" t="n">
        <f aca="false">IF(OR(JD$4="",$B37=""),0,SUMIF('DADOS BRUTOS'!$A$3:$A$500,$B37,'DADOS BRUTOS'!GD$3:GD$500)+IF($C37="",0,SUMIF('DADOS BRUTOS'!$A$3:$A$500,$C37,'DADOS BRUTOS'!GD$3:GD$500)))</f>
        <v>0</v>
      </c>
      <c r="JE37" s="133" t="n">
        <f aca="false">IF(OR(JE$4="",$B37=""),0,SUMIF('DADOS BRUTOS'!$A$3:$A$500,$B37,'DADOS BRUTOS'!GE$3:GE$500)+IF($C37="",0,SUMIF('DADOS BRUTOS'!$A$3:$A$500,$C37,'DADOS BRUTOS'!GE$3:GE$500)))</f>
        <v>0</v>
      </c>
      <c r="JF37" s="133" t="n">
        <f aca="false">IF(OR(JF$4="",$B37=""),0,SUMIF('DADOS BRUTOS'!$A$3:$A$500,$B37,'DADOS BRUTOS'!GF$3:GF$500)+IF($C37="",0,SUMIF('DADOS BRUTOS'!$A$3:$A$500,$C37,'DADOS BRUTOS'!GF$3:GF$500)))</f>
        <v>0</v>
      </c>
      <c r="JG37" s="133" t="n">
        <f aca="false">IF(OR(JG$4="",$B37=""),0,SUMIF('DADOS BRUTOS'!$A$3:$A$500,$B37,'DADOS BRUTOS'!GG$3:GG$500)+IF($C37="",0,SUMIF('DADOS BRUTOS'!$A$3:$A$500,$C37,'DADOS BRUTOS'!GG$3:GG$500)))</f>
        <v>0</v>
      </c>
      <c r="JH37" s="133" t="n">
        <f aca="false">IF(OR(JH$4="",$B37=""),0,SUMIF('DADOS BRUTOS'!$A$3:$A$500,$B37,'DADOS BRUTOS'!GH$3:GH$500)+IF($C37="",0,SUMIF('DADOS BRUTOS'!$A$3:$A$500,$C37,'DADOS BRUTOS'!GH$3:GH$500)))</f>
        <v>0</v>
      </c>
      <c r="JI37" s="133" t="n">
        <f aca="false">IF(OR(JI$4="",$B37=""),0,SUMIF('DADOS BRUTOS'!$A$3:$A$500,$B37,'DADOS BRUTOS'!GI$3:GI$500)+IF($C37="",0,SUMIF('DADOS BRUTOS'!$A$3:$A$500,$C37,'DADOS BRUTOS'!GI$3:GI$500)))</f>
        <v>0</v>
      </c>
      <c r="JJ37" s="133" t="n">
        <f aca="false">IF(OR(JJ$4="",$B37=""),0,SUMIF('DADOS BRUTOS'!$A$3:$A$500,$B37,'DADOS BRUTOS'!GJ$3:GJ$500)+IF($C37="",0,SUMIF('DADOS BRUTOS'!$A$3:$A$500,$C37,'DADOS BRUTOS'!GJ$3:GJ$500)))</f>
        <v>0</v>
      </c>
      <c r="JK37" s="133" t="n">
        <f aca="false">IF(OR(JK$4="",$B37=""),0,SUMIF('DADOS BRUTOS'!$A$3:$A$500,$B37,'DADOS BRUTOS'!GK$3:GK$500)+IF($C37="",0,SUMIF('DADOS BRUTOS'!$A$3:$A$500,$C37,'DADOS BRUTOS'!GK$3:GK$500)))</f>
        <v>0</v>
      </c>
      <c r="JL37" s="133" t="n">
        <f aca="false">IF(OR(JL$4="",$B37=""),0,SUMIF('DADOS BRUTOS'!$A$3:$A$500,$B37,'DADOS BRUTOS'!GL$3:GL$500)+IF($C37="",0,SUMIF('DADOS BRUTOS'!$A$3:$A$500,$C37,'DADOS BRUTOS'!GL$3:GL$500)))</f>
        <v>0</v>
      </c>
      <c r="JM37" s="133" t="n">
        <f aca="false">IF(OR(JM$4="",$B37=""),0,SUMIF('DADOS BRUTOS'!$A$3:$A$500,$B37,'DADOS BRUTOS'!GM$3:GM$500)+IF($C37="",0,SUMIF('DADOS BRUTOS'!$A$3:$A$500,$C37,'DADOS BRUTOS'!GM$3:GM$500)))</f>
        <v>0</v>
      </c>
      <c r="JN37" s="133" t="n">
        <f aca="false">IF(OR(JN$4="",$B37=""),0,SUMIF('DADOS BRUTOS'!$A$3:$A$500,$B37,'DADOS BRUTOS'!GN$3:GN$500)+IF($C37="",0,SUMIF('DADOS BRUTOS'!$A$3:$A$500,$C37,'DADOS BRUTOS'!GN$3:GN$500)))</f>
        <v>0</v>
      </c>
      <c r="JO37" s="133" t="n">
        <f aca="false">IF(OR(JO$4="",$B37=""),0,SUMIF('DADOS BRUTOS'!$A$3:$A$500,$B37,'DADOS BRUTOS'!GO$3:GO$500)+IF($C37="",0,SUMIF('DADOS BRUTOS'!$A$3:$A$500,$C37,'DADOS BRUTOS'!GO$3:GO$500)))</f>
        <v>0</v>
      </c>
      <c r="JP37" s="133" t="n">
        <f aca="false">IF(OR(JP$4="",$B37=""),0,SUMIF('DADOS BRUTOS'!$A$3:$A$500,$B37,'DADOS BRUTOS'!GP$3:GP$500)+IF($C37="",0,SUMIF('DADOS BRUTOS'!$A$3:$A$500,$C37,'DADOS BRUTOS'!GP$3:GP$500)))</f>
        <v>0</v>
      </c>
      <c r="JQ37" s="133" t="n">
        <f aca="false">IF(OR(JQ$4="",$B37=""),0,SUMIF('DADOS BRUTOS'!$A$3:$A$500,$B37,'DADOS BRUTOS'!GQ$3:GQ$500)+IF($C37="",0,SUMIF('DADOS BRUTOS'!$A$3:$A$500,$C37,'DADOS BRUTOS'!GQ$3:GQ$500)))</f>
        <v>0</v>
      </c>
      <c r="JR37" s="133" t="n">
        <f aca="false">IF(OR(JR$4="",$B37=""),0,SUMIF('DADOS BRUTOS'!$A$3:$A$500,$B37,'DADOS BRUTOS'!GR$3:GR$500)+IF($C37="",0,SUMIF('DADOS BRUTOS'!$A$3:$A$500,$C37,'DADOS BRUTOS'!GR$3:GR$500)))</f>
        <v>0</v>
      </c>
      <c r="JS37" s="133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211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75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75</v>
      </c>
      <c r="BZ38" s="45" t="n">
        <f aca="false">SUMPRODUCT(($CB$4:$JS$4&lt;&gt;"")*($CB$4:$JS$4&lt;=$D$4),$CB38:$JS38,$CB$1:$JS$1)</f>
        <v>0</v>
      </c>
      <c r="CB38" s="133" t="n">
        <f aca="false">IF(OR(CB$4="",$B38=""),0,SUMIF('DADOS BRUTOS'!$A$3:$A$500,$B38,'DADOS BRUTOS'!B$3:B$500)+IF($C38="",0,SUMIF('DADOS BRUTOS'!$A$3:$A$500,$C38,'DADOS BRUTOS'!B$3:B$500)))</f>
        <v>0</v>
      </c>
      <c r="CC38" s="133" t="n">
        <f aca="false">IF(OR(CC$4="",$B38=""),0,SUMIF('DADOS BRUTOS'!$A$3:$A$500,$B38,'DADOS BRUTOS'!C$3:C$500)+IF($C38="",0,SUMIF('DADOS BRUTOS'!$A$3:$A$500,$C38,'DADOS BRUTOS'!C$3:C$500)))</f>
        <v>0</v>
      </c>
      <c r="CD38" s="133" t="n">
        <f aca="false">IF(OR(CD$4="",$B38=""),0,SUMIF('DADOS BRUTOS'!$A$3:$A$500,$B38,'DADOS BRUTOS'!D$3:D$500)+IF($C38="",0,SUMIF('DADOS BRUTOS'!$A$3:$A$500,$C38,'DADOS BRUTOS'!D$3:D$500)))</f>
        <v>0</v>
      </c>
      <c r="CE38" s="133" t="n">
        <f aca="false">IF(OR(CE$4="",$B38=""),0,SUMIF('DADOS BRUTOS'!$A$3:$A$500,$B38,'DADOS BRUTOS'!E$3:E$500)+IF($C38="",0,SUMIF('DADOS BRUTOS'!$A$3:$A$500,$C38,'DADOS BRUTOS'!E$3:E$500)))</f>
        <v>0</v>
      </c>
      <c r="CF38" s="133" t="n">
        <f aca="false">IF(OR(CF$4="",$B38=""),0,SUMIF('DADOS BRUTOS'!$A$3:$A$500,$B38,'DADOS BRUTOS'!F$3:F$500)+IF($C38="",0,SUMIF('DADOS BRUTOS'!$A$3:$A$500,$C38,'DADOS BRUTOS'!F$3:F$500)))</f>
        <v>0</v>
      </c>
      <c r="CG38" s="133" t="n">
        <f aca="false">IF(OR(CG$4="",$B38=""),0,SUMIF('DADOS BRUTOS'!$A$3:$A$500,$B38,'DADOS BRUTOS'!G$3:G$500)+IF($C38="",0,SUMIF('DADOS BRUTOS'!$A$3:$A$500,$C38,'DADOS BRUTOS'!G$3:G$500)))</f>
        <v>0</v>
      </c>
      <c r="CH38" s="133" t="n">
        <f aca="false">IF(OR(CH$4="",$B38=""),0,SUMIF('DADOS BRUTOS'!$A$3:$A$500,$B38,'DADOS BRUTOS'!H$3:H$500)+IF($C38="",0,SUMIF('DADOS BRUTOS'!$A$3:$A$500,$C38,'DADOS BRUTOS'!H$3:H$500)))</f>
        <v>0</v>
      </c>
      <c r="CI38" s="133" t="n">
        <f aca="false">IF(OR(CI$4="",$B38=""),0,SUMIF('DADOS BRUTOS'!$A$3:$A$500,$B38,'DADOS BRUTOS'!I$3:I$500)+IF($C38="",0,SUMIF('DADOS BRUTOS'!$A$3:$A$500,$C38,'DADOS BRUTOS'!I$3:I$500)))</f>
        <v>0</v>
      </c>
      <c r="CJ38" s="133" t="n">
        <f aca="false">IF(OR(CJ$4="",$B38=""),0,SUMIF('DADOS BRUTOS'!$A$3:$A$500,$B38,'DADOS BRUTOS'!J$3:J$500)+IF($C38="",0,SUMIF('DADOS BRUTOS'!$A$3:$A$500,$C38,'DADOS BRUTOS'!J$3:J$500)))</f>
        <v>0</v>
      </c>
      <c r="CK38" s="133" t="n">
        <f aca="false">IF(OR(CK$4="",$B38=""),0,SUMIF('DADOS BRUTOS'!$A$3:$A$500,$B38,'DADOS BRUTOS'!K$3:K$500)+IF($C38="",0,SUMIF('DADOS BRUTOS'!$A$3:$A$500,$C38,'DADOS BRUTOS'!K$3:K$500)))</f>
        <v>0</v>
      </c>
      <c r="CL38" s="133" t="n">
        <f aca="false">IF(OR(CL$4="",$B38=""),0,SUMIF('DADOS BRUTOS'!$A$3:$A$500,$B38,'DADOS BRUTOS'!L$3:L$500)+IF($C38="",0,SUMIF('DADOS BRUTOS'!$A$3:$A$500,$C38,'DADOS BRUTOS'!L$3:L$500)))</f>
        <v>0</v>
      </c>
      <c r="CM38" s="133" t="n">
        <f aca="false">IF(OR(CM$4="",$B38=""),0,SUMIF('DADOS BRUTOS'!$A$3:$A$500,$B38,'DADOS BRUTOS'!M$3:M$500)+IF($C38="",0,SUMIF('DADOS BRUTOS'!$A$3:$A$500,$C38,'DADOS BRUTOS'!M$3:M$500)))</f>
        <v>0</v>
      </c>
      <c r="CN38" s="133" t="n">
        <f aca="false">IF(OR(CN$4="",$B38=""),0,SUMIF('DADOS BRUTOS'!$A$3:$A$500,$B38,'DADOS BRUTOS'!N$3:N$500)+IF($C38="",0,SUMIF('DADOS BRUTOS'!$A$3:$A$500,$C38,'DADOS BRUTOS'!N$3:N$500)))</f>
        <v>0</v>
      </c>
      <c r="CO38" s="133" t="n">
        <f aca="false">IF(OR(CO$4="",$B38=""),0,SUMIF('DADOS BRUTOS'!$A$3:$A$500,$B38,'DADOS BRUTOS'!O$3:O$500)+IF($C38="",0,SUMIF('DADOS BRUTOS'!$A$3:$A$500,$C38,'DADOS BRUTOS'!O$3:O$500)))</f>
        <v>0</v>
      </c>
      <c r="CP38" s="133" t="n">
        <f aca="false">IF(OR(CP$4="",$B38=""),0,SUMIF('DADOS BRUTOS'!$A$3:$A$500,$B38,'DADOS BRUTOS'!P$3:P$500)+IF($C38="",0,SUMIF('DADOS BRUTOS'!$A$3:$A$500,$C38,'DADOS BRUTOS'!P$3:P$500)))</f>
        <v>0</v>
      </c>
      <c r="CQ38" s="133" t="n">
        <f aca="false">IF(OR(CQ$4="",$B38=""),0,SUMIF('DADOS BRUTOS'!$A$3:$A$500,$B38,'DADOS BRUTOS'!Q$3:Q$500)+IF($C38="",0,SUMIF('DADOS BRUTOS'!$A$3:$A$500,$C38,'DADOS BRUTOS'!Q$3:Q$500)))</f>
        <v>0</v>
      </c>
      <c r="CR38" s="133" t="n">
        <f aca="false">IF(OR(CR$4="",$B38=""),0,SUMIF('DADOS BRUTOS'!$A$3:$A$500,$B38,'DADOS BRUTOS'!R$3:R$500)+IF($C38="",0,SUMIF('DADOS BRUTOS'!$A$3:$A$500,$C38,'DADOS BRUTOS'!R$3:R$500)))</f>
        <v>0</v>
      </c>
      <c r="CS38" s="133" t="n">
        <f aca="false">IF(OR(CS$4="",$B38=""),0,SUMIF('DADOS BRUTOS'!$A$3:$A$500,$B38,'DADOS BRUTOS'!S$3:S$500)+IF($C38="",0,SUMIF('DADOS BRUTOS'!$A$3:$A$500,$C38,'DADOS BRUTOS'!S$3:S$500)))</f>
        <v>0</v>
      </c>
      <c r="CT38" s="133" t="n">
        <f aca="false">IF(OR(CT$4="",$B38=""),0,SUMIF('DADOS BRUTOS'!$A$3:$A$500,$B38,'DADOS BRUTOS'!T$3:T$500)+IF($C38="",0,SUMIF('DADOS BRUTOS'!$A$3:$A$500,$C38,'DADOS BRUTOS'!T$3:T$500)))</f>
        <v>0</v>
      </c>
      <c r="CU38" s="133" t="n">
        <f aca="false">IF(OR(CU$4="",$B38=""),0,SUMIF('DADOS BRUTOS'!$A$3:$A$500,$B38,'DADOS BRUTOS'!U$3:U$500)+IF($C38="",0,SUMIF('DADOS BRUTOS'!$A$3:$A$500,$C38,'DADOS BRUTOS'!U$3:U$500)))</f>
        <v>0</v>
      </c>
      <c r="CV38" s="133" t="n">
        <f aca="false">IF(OR(CV$4="",$B38=""),0,SUMIF('DADOS BRUTOS'!$A$3:$A$500,$B38,'DADOS BRUTOS'!V$3:V$500)+IF($C38="",0,SUMIF('DADOS BRUTOS'!$A$3:$A$500,$C38,'DADOS BRUTOS'!V$3:V$500)))</f>
        <v>0</v>
      </c>
      <c r="CW38" s="133" t="n">
        <f aca="false">IF(OR(CW$4="",$B38=""),0,SUMIF('DADOS BRUTOS'!$A$3:$A$500,$B38,'DADOS BRUTOS'!W$3:W$500)+IF($C38="",0,SUMIF('DADOS BRUTOS'!$A$3:$A$500,$C38,'DADOS BRUTOS'!W$3:W$500)))</f>
        <v>0</v>
      </c>
      <c r="CX38" s="133" t="n">
        <f aca="false">IF(OR(CX$4="",$B38=""),0,SUMIF('DADOS BRUTOS'!$A$3:$A$500,$B38,'DADOS BRUTOS'!X$3:X$500)+IF($C38="",0,SUMIF('DADOS BRUTOS'!$A$3:$A$500,$C38,'DADOS BRUTOS'!X$3:X$500)))</f>
        <v>0</v>
      </c>
      <c r="CY38" s="133" t="n">
        <f aca="false">IF(OR(CY$4="",$B38=""),0,SUMIF('DADOS BRUTOS'!$A$3:$A$500,$B38,'DADOS BRUTOS'!Y$3:Y$500)+IF($C38="",0,SUMIF('DADOS BRUTOS'!$A$3:$A$500,$C38,'DADOS BRUTOS'!Y$3:Y$500)))</f>
        <v>0</v>
      </c>
      <c r="CZ38" s="133" t="n">
        <f aca="false">IF(OR(CZ$4="",$B38=""),0,SUMIF('DADOS BRUTOS'!$A$3:$A$500,$B38,'DADOS BRUTOS'!Z$3:Z$500)+IF($C38="",0,SUMIF('DADOS BRUTOS'!$A$3:$A$500,$C38,'DADOS BRUTOS'!Z$3:Z$500)))</f>
        <v>0</v>
      </c>
      <c r="DA38" s="133" t="n">
        <f aca="false">IF(OR(DA$4="",$B38=""),0,SUMIF('DADOS BRUTOS'!$A$3:$A$500,$B38,'DADOS BRUTOS'!AA$3:AA$500)+IF($C38="",0,SUMIF('DADOS BRUTOS'!$A$3:$A$500,$C38,'DADOS BRUTOS'!AA$3:AA$500)))</f>
        <v>0</v>
      </c>
      <c r="DB38" s="133" t="n">
        <f aca="false">IF(OR(DB$4="",$B38=""),0,SUMIF('DADOS BRUTOS'!$A$3:$A$500,$B38,'DADOS BRUTOS'!AB$3:AB$500)+IF($C38="",0,SUMIF('DADOS BRUTOS'!$A$3:$A$500,$C38,'DADOS BRUTOS'!AB$3:AB$500)))</f>
        <v>0</v>
      </c>
      <c r="DC38" s="133" t="n">
        <f aca="false">IF(OR(DC$4="",$B38=""),0,SUMIF('DADOS BRUTOS'!$A$3:$A$500,$B38,'DADOS BRUTOS'!AC$3:AC$500)+IF($C38="",0,SUMIF('DADOS BRUTOS'!$A$3:$A$500,$C38,'DADOS BRUTOS'!AC$3:AC$500)))</f>
        <v>0</v>
      </c>
      <c r="DD38" s="133" t="n">
        <f aca="false">IF(OR(DD$4="",$B38=""),0,SUMIF('DADOS BRUTOS'!$A$3:$A$500,$B38,'DADOS BRUTOS'!AD$3:AD$500)+IF($C38="",0,SUMIF('DADOS BRUTOS'!$A$3:$A$500,$C38,'DADOS BRUTOS'!AD$3:AD$500)))</f>
        <v>0</v>
      </c>
      <c r="DE38" s="133" t="n">
        <f aca="false">IF(OR(DE$4="",$B38=""),0,SUMIF('DADOS BRUTOS'!$A$3:$A$500,$B38,'DADOS BRUTOS'!AE$3:AE$500)+IF($C38="",0,SUMIF('DADOS BRUTOS'!$A$3:$A$500,$C38,'DADOS BRUTOS'!AE$3:AE$500)))</f>
        <v>0</v>
      </c>
      <c r="DF38" s="133" t="n">
        <f aca="false">IF(OR(DF$4="",$B38=""),0,SUMIF('DADOS BRUTOS'!$A$3:$A$500,$B38,'DADOS BRUTOS'!AF$3:AF$500)+IF($C38="",0,SUMIF('DADOS BRUTOS'!$A$3:$A$500,$C38,'DADOS BRUTOS'!AF$3:AF$500)))</f>
        <v>0</v>
      </c>
      <c r="DG38" s="133" t="n">
        <f aca="false">IF(OR(DG$4="",$B38=""),0,SUMIF('DADOS BRUTOS'!$A$3:$A$500,$B38,'DADOS BRUTOS'!AG$3:AG$500)+IF($C38="",0,SUMIF('DADOS BRUTOS'!$A$3:$A$500,$C38,'DADOS BRUTOS'!AG$3:AG$500)))</f>
        <v>0</v>
      </c>
      <c r="DH38" s="133" t="n">
        <f aca="false">IF(OR(DH$4="",$B38=""),0,SUMIF('DADOS BRUTOS'!$A$3:$A$500,$B38,'DADOS BRUTOS'!AH$3:AH$500)+IF($C38="",0,SUMIF('DADOS BRUTOS'!$A$3:$A$500,$C38,'DADOS BRUTOS'!AH$3:AH$500)))</f>
        <v>0</v>
      </c>
      <c r="DI38" s="133" t="n">
        <f aca="false">IF(OR(DI$4="",$B38=""),0,SUMIF('DADOS BRUTOS'!$A$3:$A$500,$B38,'DADOS BRUTOS'!AI$3:AI$500)+IF($C38="",0,SUMIF('DADOS BRUTOS'!$A$3:$A$500,$C38,'DADOS BRUTOS'!AI$3:AI$500)))</f>
        <v>0</v>
      </c>
      <c r="DJ38" s="133" t="n">
        <f aca="false">IF(OR(DJ$4="",$B38=""),0,SUMIF('DADOS BRUTOS'!$A$3:$A$500,$B38,'DADOS BRUTOS'!AJ$3:AJ$500)+IF($C38="",0,SUMIF('DADOS BRUTOS'!$A$3:$A$500,$C38,'DADOS BRUTOS'!AJ$3:AJ$500)))</f>
        <v>0</v>
      </c>
      <c r="DK38" s="133" t="n">
        <f aca="false">IF(OR(DK$4="",$B38=""),0,SUMIF('DADOS BRUTOS'!$A$3:$A$500,$B38,'DADOS BRUTOS'!AK$3:AK$500)+IF($C38="",0,SUMIF('DADOS BRUTOS'!$A$3:$A$500,$C38,'DADOS BRUTOS'!AK$3:AK$500)))</f>
        <v>0</v>
      </c>
      <c r="DL38" s="133" t="n">
        <f aca="false">IF(OR(DL$4="",$B38=""),0,SUMIF('DADOS BRUTOS'!$A$3:$A$500,$B38,'DADOS BRUTOS'!AL$3:AL$500)+IF($C38="",0,SUMIF('DADOS BRUTOS'!$A$3:$A$500,$C38,'DADOS BRUTOS'!AL$3:AL$500)))</f>
        <v>0</v>
      </c>
      <c r="DM38" s="133" t="n">
        <f aca="false">IF(OR(DM$4="",$B38=""),0,SUMIF('DADOS BRUTOS'!$A$3:$A$500,$B38,'DADOS BRUTOS'!AM$3:AM$500)+IF($C38="",0,SUMIF('DADOS BRUTOS'!$A$3:$A$500,$C38,'DADOS BRUTOS'!AM$3:AM$500)))</f>
        <v>0</v>
      </c>
      <c r="DN38" s="133" t="n">
        <f aca="false">IF(OR(DN$4="",$B38=""),0,SUMIF('DADOS BRUTOS'!$A$3:$A$500,$B38,'DADOS BRUTOS'!AN$3:AN$500)+IF($C38="",0,SUMIF('DADOS BRUTOS'!$A$3:$A$500,$C38,'DADOS BRUTOS'!AN$3:AN$500)))</f>
        <v>0</v>
      </c>
      <c r="DO38" s="133" t="n">
        <f aca="false">IF(OR(DO$4="",$B38=""),0,SUMIF('DADOS BRUTOS'!$A$3:$A$500,$B38,'DADOS BRUTOS'!AO$3:AO$500)+IF($C38="",0,SUMIF('DADOS BRUTOS'!$A$3:$A$500,$C38,'DADOS BRUTOS'!AO$3:AO$500)))</f>
        <v>0</v>
      </c>
      <c r="DP38" s="133" t="n">
        <f aca="false">IF(OR(DP$4="",$B38=""),0,SUMIF('DADOS BRUTOS'!$A$3:$A$500,$B38,'DADOS BRUTOS'!AP$3:AP$500)+IF($C38="",0,SUMIF('DADOS BRUTOS'!$A$3:$A$500,$C38,'DADOS BRUTOS'!AP$3:AP$500)))</f>
        <v>0</v>
      </c>
      <c r="DQ38" s="133" t="n">
        <f aca="false">IF(OR(DQ$4="",$B38=""),0,SUMIF('DADOS BRUTOS'!$A$3:$A$500,$B38,'DADOS BRUTOS'!AQ$3:AQ$500)+IF($C38="",0,SUMIF('DADOS BRUTOS'!$A$3:$A$500,$C38,'DADOS BRUTOS'!AQ$3:AQ$500)))</f>
        <v>0</v>
      </c>
      <c r="DR38" s="133" t="n">
        <f aca="false">IF(OR(DR$4="",$B38=""),0,SUMIF('DADOS BRUTOS'!$A$3:$A$500,$B38,'DADOS BRUTOS'!AR$3:AR$500)+IF($C38="",0,SUMIF('DADOS BRUTOS'!$A$3:$A$500,$C38,'DADOS BRUTOS'!AR$3:AR$500)))</f>
        <v>0</v>
      </c>
      <c r="DS38" s="133" t="n">
        <f aca="false">IF(OR(DS$4="",$B38=""),0,SUMIF('DADOS BRUTOS'!$A$3:$A$500,$B38,'DADOS BRUTOS'!AS$3:AS$500)+IF($C38="",0,SUMIF('DADOS BRUTOS'!$A$3:$A$500,$C38,'DADOS BRUTOS'!AS$3:AS$500)))</f>
        <v>0</v>
      </c>
      <c r="DT38" s="133" t="n">
        <f aca="false">IF(OR(DT$4="",$B38=""),0,SUMIF('DADOS BRUTOS'!$A$3:$A$500,$B38,'DADOS BRUTOS'!AT$3:AT$500)+IF($C38="",0,SUMIF('DADOS BRUTOS'!$A$3:$A$500,$C38,'DADOS BRUTOS'!AT$3:AT$500)))</f>
        <v>0</v>
      </c>
      <c r="DU38" s="133" t="n">
        <f aca="false">IF(OR(DU$4="",$B38=""),0,SUMIF('DADOS BRUTOS'!$A$3:$A$500,$B38,'DADOS BRUTOS'!AU$3:AU$500)+IF($C38="",0,SUMIF('DADOS BRUTOS'!$A$3:$A$500,$C38,'DADOS BRUTOS'!AU$3:AU$500)))</f>
        <v>0</v>
      </c>
      <c r="DV38" s="133" t="n">
        <f aca="false">IF(OR(DV$4="",$B38=""),0,SUMIF('DADOS BRUTOS'!$A$3:$A$500,$B38,'DADOS BRUTOS'!AV$3:AV$500)+IF($C38="",0,SUMIF('DADOS BRUTOS'!$A$3:$A$500,$C38,'DADOS BRUTOS'!AV$3:AV$500)))</f>
        <v>0</v>
      </c>
      <c r="DW38" s="133" t="n">
        <f aca="false">IF(OR(DW$4="",$B38=""),0,SUMIF('DADOS BRUTOS'!$A$3:$A$500,$B38,'DADOS BRUTOS'!AW$3:AW$500)+IF($C38="",0,SUMIF('DADOS BRUTOS'!$A$3:$A$500,$C38,'DADOS BRUTOS'!AW$3:AW$500)))</f>
        <v>0</v>
      </c>
      <c r="DX38" s="133" t="n">
        <f aca="false">IF(OR(DX$4="",$B38=""),0,SUMIF('DADOS BRUTOS'!$A$3:$A$500,$B38,'DADOS BRUTOS'!AX$3:AX$500)+IF($C38="",0,SUMIF('DADOS BRUTOS'!$A$3:$A$500,$C38,'DADOS BRUTOS'!AX$3:AX$500)))</f>
        <v>0</v>
      </c>
      <c r="DY38" s="133" t="n">
        <f aca="false">IF(OR(DY$4="",$B38=""),0,SUMIF('DADOS BRUTOS'!$A$3:$A$500,$B38,'DADOS BRUTOS'!AY$3:AY$500)+IF($C38="",0,SUMIF('DADOS BRUTOS'!$A$3:$A$500,$C38,'DADOS BRUTOS'!AY$3:AY$500)))</f>
        <v>0</v>
      </c>
      <c r="DZ38" s="133" t="n">
        <f aca="false">IF(OR(DZ$4="",$B38=""),0,SUMIF('DADOS BRUTOS'!$A$3:$A$500,$B38,'DADOS BRUTOS'!AZ$3:AZ$500)+IF($C38="",0,SUMIF('DADOS BRUTOS'!$A$3:$A$500,$C38,'DADOS BRUTOS'!AZ$3:AZ$500)))</f>
        <v>0</v>
      </c>
      <c r="EA38" s="133" t="n">
        <f aca="false">IF(OR(EA$4="",$B38=""),0,SUMIF('DADOS BRUTOS'!$A$3:$A$500,$B38,'DADOS BRUTOS'!BA$3:BA$500)+IF($C38="",0,SUMIF('DADOS BRUTOS'!$A$3:$A$500,$C38,'DADOS BRUTOS'!BA$3:BA$500)))</f>
        <v>0</v>
      </c>
      <c r="EB38" s="133" t="n">
        <f aca="false">IF(OR(EB$4="",$B38=""),0,SUMIF('DADOS BRUTOS'!$A$3:$A$500,$B38,'DADOS BRUTOS'!BB$3:BB$500)+IF($C38="",0,SUMIF('DADOS BRUTOS'!$A$3:$A$500,$C38,'DADOS BRUTOS'!BB$3:BB$500)))</f>
        <v>0</v>
      </c>
      <c r="EC38" s="133" t="n">
        <f aca="false">IF(OR(EC$4="",$B38=""),0,SUMIF('DADOS BRUTOS'!$A$3:$A$500,$B38,'DADOS BRUTOS'!BC$3:BC$500)+IF($C38="",0,SUMIF('DADOS BRUTOS'!$A$3:$A$500,$C38,'DADOS BRUTOS'!BC$3:BC$500)))</f>
        <v>0</v>
      </c>
      <c r="ED38" s="133" t="n">
        <f aca="false">IF(OR(ED$4="",$B38=""),0,SUMIF('DADOS BRUTOS'!$A$3:$A$500,$B38,'DADOS BRUTOS'!BD$3:BD$500)+IF($C38="",0,SUMIF('DADOS BRUTOS'!$A$3:$A$500,$C38,'DADOS BRUTOS'!BD$3:BD$500)))</f>
        <v>0</v>
      </c>
      <c r="EE38" s="133" t="n">
        <f aca="false">IF(OR(EE$4="",$B38=""),0,SUMIF('DADOS BRUTOS'!$A$3:$A$500,$B38,'DADOS BRUTOS'!BE$3:BE$500)+IF($C38="",0,SUMIF('DADOS BRUTOS'!$A$3:$A$500,$C38,'DADOS BRUTOS'!BE$3:BE$500)))</f>
        <v>75</v>
      </c>
      <c r="EF38" s="133" t="n">
        <f aca="false">IF(OR(EF$4="",$B38=""),0,SUMIF('DADOS BRUTOS'!$A$3:$A$500,$B38,'DADOS BRUTOS'!BF$3:BF$500)+IF($C38="",0,SUMIF('DADOS BRUTOS'!$A$3:$A$500,$C38,'DADOS BRUTOS'!BF$3:BF$500)))</f>
        <v>0</v>
      </c>
      <c r="EG38" s="133" t="n">
        <f aca="false">IF(OR(EG$4="",$B38=""),0,SUMIF('DADOS BRUTOS'!$A$3:$A$500,$B38,'DADOS BRUTOS'!BG$3:BG$500)+IF($C38="",0,SUMIF('DADOS BRUTOS'!$A$3:$A$500,$C38,'DADOS BRUTOS'!BG$3:BG$500)))</f>
        <v>0</v>
      </c>
      <c r="EH38" s="133" t="n">
        <f aca="false">IF(OR(EH$4="",$B38=""),0,SUMIF('DADOS BRUTOS'!$A$3:$A$500,$B38,'DADOS BRUTOS'!BH$3:BH$500)+IF($C38="",0,SUMIF('DADOS BRUTOS'!$A$3:$A$500,$C38,'DADOS BRUTOS'!BH$3:BH$500)))</f>
        <v>0</v>
      </c>
      <c r="EI38" s="133" t="n">
        <f aca="false">IF(OR(EI$4="",$B38=""),0,SUMIF('DADOS BRUTOS'!$A$3:$A$500,$B38,'DADOS BRUTOS'!BI$3:BI$500)+IF($C38="",0,SUMIF('DADOS BRUTOS'!$A$3:$A$500,$C38,'DADOS BRUTOS'!BI$3:BI$500)))</f>
        <v>0</v>
      </c>
      <c r="EJ38" s="133" t="n">
        <f aca="false">IF(OR(EJ$4="",$B38=""),0,SUMIF('DADOS BRUTOS'!$A$3:$A$500,$B38,'DADOS BRUTOS'!BJ$3:BJ$500)+IF($C38="",0,SUMIF('DADOS BRUTOS'!$A$3:$A$500,$C38,'DADOS BRUTOS'!BJ$3:BJ$500)))</f>
        <v>0</v>
      </c>
      <c r="EK38" s="133" t="n">
        <f aca="false">IF(OR(EK$4="",$B38=""),0,SUMIF('DADOS BRUTOS'!$A$3:$A$500,$B38,'DADOS BRUTOS'!BK$3:BK$500)+IF($C38="",0,SUMIF('DADOS BRUTOS'!$A$3:$A$500,$C38,'DADOS BRUTOS'!BK$3:BK$500)))</f>
        <v>0</v>
      </c>
      <c r="EL38" s="133" t="n">
        <f aca="false">IF(OR(EL$4="",$B38=""),0,SUMIF('DADOS BRUTOS'!$A$3:$A$500,$B38,'DADOS BRUTOS'!BL$3:BL$500)+IF($C38="",0,SUMIF('DADOS BRUTOS'!$A$3:$A$500,$C38,'DADOS BRUTOS'!BL$3:BL$500)))</f>
        <v>0</v>
      </c>
      <c r="EM38" s="133" t="n">
        <f aca="false">IF(OR(EM$4="",$B38=""),0,SUMIF('DADOS BRUTOS'!$A$3:$A$500,$B38,'DADOS BRUTOS'!BM$3:BM$500)+IF($C38="",0,SUMIF('DADOS BRUTOS'!$A$3:$A$500,$C38,'DADOS BRUTOS'!BM$3:BM$500)))</f>
        <v>0</v>
      </c>
      <c r="EN38" s="133" t="n">
        <f aca="false">IF(OR(EN$4="",$B38=""),0,SUMIF('DADOS BRUTOS'!$A$3:$A$500,$B38,'DADOS BRUTOS'!BN$3:BN$500)+IF($C38="",0,SUMIF('DADOS BRUTOS'!$A$3:$A$500,$C38,'DADOS BRUTOS'!BN$3:BN$500)))</f>
        <v>0</v>
      </c>
      <c r="EO38" s="133" t="n">
        <f aca="false">IF(OR(EO$4="",$B38=""),0,SUMIF('DADOS BRUTOS'!$A$3:$A$500,$B38,'DADOS BRUTOS'!BO$3:BO$500)+IF($C38="",0,SUMIF('DADOS BRUTOS'!$A$3:$A$500,$C38,'DADOS BRUTOS'!BO$3:BO$500)))</f>
        <v>0</v>
      </c>
      <c r="EP38" s="133" t="n">
        <f aca="false">IF(OR(EP$4="",$B38=""),0,SUMIF('DADOS BRUTOS'!$A$3:$A$500,$B38,'DADOS BRUTOS'!BP$3:BP$500)+IF($C38="",0,SUMIF('DADOS BRUTOS'!$A$3:$A$500,$C38,'DADOS BRUTOS'!BP$3:BP$500)))</f>
        <v>0</v>
      </c>
      <c r="EQ38" s="133" t="n">
        <f aca="false">IF(OR(EQ$4="",$B38=""),0,SUMIF('DADOS BRUTOS'!$A$3:$A$500,$B38,'DADOS BRUTOS'!BQ$3:BQ$500)+IF($C38="",0,SUMIF('DADOS BRUTOS'!$A$3:$A$500,$C38,'DADOS BRUTOS'!BQ$3:BQ$500)))</f>
        <v>0</v>
      </c>
      <c r="ER38" s="133" t="n">
        <f aca="false">IF(OR(ER$4="",$B38=""),0,SUMIF('DADOS BRUTOS'!$A$3:$A$500,$B38,'DADOS BRUTOS'!BR$3:BR$500)+IF($C38="",0,SUMIF('DADOS BRUTOS'!$A$3:$A$500,$C38,'DADOS BRUTOS'!BR$3:BR$500)))</f>
        <v>0</v>
      </c>
      <c r="ES38" s="133" t="n">
        <f aca="false">IF(OR(ES$4="",$B38=""),0,SUMIF('DADOS BRUTOS'!$A$3:$A$500,$B38,'DADOS BRUTOS'!BS$3:BS$500)+IF($C38="",0,SUMIF('DADOS BRUTOS'!$A$3:$A$500,$C38,'DADOS BRUTOS'!BS$3:BS$500)))</f>
        <v>0</v>
      </c>
      <c r="ET38" s="133" t="n">
        <f aca="false">IF(OR(ET$4="",$B38=""),0,SUMIF('DADOS BRUTOS'!$A$3:$A$500,$B38,'DADOS BRUTOS'!BT$3:BT$500)+IF($C38="",0,SUMIF('DADOS BRUTOS'!$A$3:$A$500,$C38,'DADOS BRUTOS'!BT$3:BT$500)))</f>
        <v>0</v>
      </c>
      <c r="EU38" s="133" t="n">
        <f aca="false">IF(OR(EU$4="",$B38=""),0,SUMIF('DADOS BRUTOS'!$A$3:$A$500,$B38,'DADOS BRUTOS'!BU$3:BU$500)+IF($C38="",0,SUMIF('DADOS BRUTOS'!$A$3:$A$500,$C38,'DADOS BRUTOS'!BU$3:BU$500)))</f>
        <v>0</v>
      </c>
      <c r="EV38" s="133" t="n">
        <f aca="false">IF(OR(EV$4="",$B38=""),0,SUMIF('DADOS BRUTOS'!$A$3:$A$500,$B38,'DADOS BRUTOS'!BV$3:BV$500)+IF($C38="",0,SUMIF('DADOS BRUTOS'!$A$3:$A$500,$C38,'DADOS BRUTOS'!BV$3:BV$500)))</f>
        <v>0</v>
      </c>
      <c r="EW38" s="133" t="n">
        <f aca="false">IF(OR(EW$4="",$B38=""),0,SUMIF('DADOS BRUTOS'!$A$3:$A$500,$B38,'DADOS BRUTOS'!BW$3:BW$500)+IF($C38="",0,SUMIF('DADOS BRUTOS'!$A$3:$A$500,$C38,'DADOS BRUTOS'!BW$3:BW$500)))</f>
        <v>0</v>
      </c>
      <c r="EX38" s="133" t="n">
        <f aca="false">IF(OR(EX$4="",$B38=""),0,SUMIF('DADOS BRUTOS'!$A$3:$A$500,$B38,'DADOS BRUTOS'!BX$3:BX$500)+IF($C38="",0,SUMIF('DADOS BRUTOS'!$A$3:$A$500,$C38,'DADOS BRUTOS'!BX$3:BX$500)))</f>
        <v>0</v>
      </c>
      <c r="EY38" s="133" t="n">
        <f aca="false">IF(OR(EY$4="",$B38=""),0,SUMIF('DADOS BRUTOS'!$A$3:$A$500,$B38,'DADOS BRUTOS'!BY$3:BY$500)+IF($C38="",0,SUMIF('DADOS BRUTOS'!$A$3:$A$500,$C38,'DADOS BRUTOS'!BY$3:BY$500)))</f>
        <v>0</v>
      </c>
      <c r="EZ38" s="133" t="n">
        <f aca="false">IF(OR(EZ$4="",$B38=""),0,SUMIF('DADOS BRUTOS'!$A$3:$A$500,$B38,'DADOS BRUTOS'!BZ$3:BZ$500)+IF($C38="",0,SUMIF('DADOS BRUTOS'!$A$3:$A$500,$C38,'DADOS BRUTOS'!BZ$3:BZ$500)))</f>
        <v>0</v>
      </c>
      <c r="FA38" s="133" t="n">
        <f aca="false">IF(OR(FA$4="",$B38=""),0,SUMIF('DADOS BRUTOS'!$A$3:$A$500,$B38,'DADOS BRUTOS'!CA$3:CA$500)+IF($C38="",0,SUMIF('DADOS BRUTOS'!$A$3:$A$500,$C38,'DADOS BRUTOS'!CA$3:CA$500)))</f>
        <v>0</v>
      </c>
      <c r="FB38" s="133" t="n">
        <f aca="false">IF(OR(FB$4="",$B38=""),0,SUMIF('DADOS BRUTOS'!$A$3:$A$500,$B38,'DADOS BRUTOS'!CB$3:CB$500)+IF($C38="",0,SUMIF('DADOS BRUTOS'!$A$3:$A$500,$C38,'DADOS BRUTOS'!CB$3:CB$500)))</f>
        <v>0</v>
      </c>
      <c r="FC38" s="133" t="n">
        <f aca="false">IF(OR(FC$4="",$B38=""),0,SUMIF('DADOS BRUTOS'!$A$3:$A$500,$B38,'DADOS BRUTOS'!CC$3:CC$500)+IF($C38="",0,SUMIF('DADOS BRUTOS'!$A$3:$A$500,$C38,'DADOS BRUTOS'!CC$3:CC$500)))</f>
        <v>0</v>
      </c>
      <c r="FD38" s="133" t="n">
        <f aca="false">IF(OR(FD$4="",$B38=""),0,SUMIF('DADOS BRUTOS'!$A$3:$A$500,$B38,'DADOS BRUTOS'!CD$3:CD$500)+IF($C38="",0,SUMIF('DADOS BRUTOS'!$A$3:$A$500,$C38,'DADOS BRUTOS'!CD$3:CD$500)))</f>
        <v>0</v>
      </c>
      <c r="FE38" s="133" t="n">
        <f aca="false">IF(OR(FE$4="",$B38=""),0,SUMIF('DADOS BRUTOS'!$A$3:$A$500,$B38,'DADOS BRUTOS'!CE$3:CE$500)+IF($C38="",0,SUMIF('DADOS BRUTOS'!$A$3:$A$500,$C38,'DADOS BRUTOS'!CE$3:CE$500)))</f>
        <v>0</v>
      </c>
      <c r="FF38" s="133" t="n">
        <f aca="false">IF(OR(FF$4="",$B38=""),0,SUMIF('DADOS BRUTOS'!$A$3:$A$500,$B38,'DADOS BRUTOS'!CF$3:CF$500)+IF($C38="",0,SUMIF('DADOS BRUTOS'!$A$3:$A$500,$C38,'DADOS BRUTOS'!CF$3:CF$500)))</f>
        <v>0</v>
      </c>
      <c r="FG38" s="133" t="n">
        <f aca="false">IF(OR(FG$4="",$B38=""),0,SUMIF('DADOS BRUTOS'!$A$3:$A$500,$B38,'DADOS BRUTOS'!CG$3:CG$500)+IF($C38="",0,SUMIF('DADOS BRUTOS'!$A$3:$A$500,$C38,'DADOS BRUTOS'!CG$3:CG$500)))</f>
        <v>0</v>
      </c>
      <c r="FH38" s="133" t="n">
        <f aca="false">IF(OR(FH$4="",$B38=""),0,SUMIF('DADOS BRUTOS'!$A$3:$A$500,$B38,'DADOS BRUTOS'!CH$3:CH$500)+IF($C38="",0,SUMIF('DADOS BRUTOS'!$A$3:$A$500,$C38,'DADOS BRUTOS'!CH$3:CH$500)))</f>
        <v>0</v>
      </c>
      <c r="FI38" s="133" t="n">
        <f aca="false">IF(OR(FI$4="",$B38=""),0,SUMIF('DADOS BRUTOS'!$A$3:$A$500,$B38,'DADOS BRUTOS'!CI$3:CI$500)+IF($C38="",0,SUMIF('DADOS BRUTOS'!$A$3:$A$500,$C38,'DADOS BRUTOS'!CI$3:CI$500)))</f>
        <v>0</v>
      </c>
      <c r="FJ38" s="133" t="n">
        <f aca="false">IF(OR(FJ$4="",$B38=""),0,SUMIF('DADOS BRUTOS'!$A$3:$A$500,$B38,'DADOS BRUTOS'!CJ$3:CJ$500)+IF($C38="",0,SUMIF('DADOS BRUTOS'!$A$3:$A$500,$C38,'DADOS BRUTOS'!CJ$3:CJ$500)))</f>
        <v>0</v>
      </c>
      <c r="FK38" s="133" t="n">
        <f aca="false">IF(OR(FK$4="",$B38=""),0,SUMIF('DADOS BRUTOS'!$A$3:$A$500,$B38,'DADOS BRUTOS'!CK$3:CK$500)+IF($C38="",0,SUMIF('DADOS BRUTOS'!$A$3:$A$500,$C38,'DADOS BRUTOS'!CK$3:CK$500)))</f>
        <v>0</v>
      </c>
      <c r="FL38" s="133" t="n">
        <f aca="false">IF(OR(FL$4="",$B38=""),0,SUMIF('DADOS BRUTOS'!$A$3:$A$500,$B38,'DADOS BRUTOS'!CL$3:CL$500)+IF($C38="",0,SUMIF('DADOS BRUTOS'!$A$3:$A$500,$C38,'DADOS BRUTOS'!CL$3:CL$500)))</f>
        <v>0</v>
      </c>
      <c r="FM38" s="133" t="n">
        <f aca="false">IF(OR(FM$4="",$B38=""),0,SUMIF('DADOS BRUTOS'!$A$3:$A$500,$B38,'DADOS BRUTOS'!CM$3:CM$500)+IF($C38="",0,SUMIF('DADOS BRUTOS'!$A$3:$A$500,$C38,'DADOS BRUTOS'!CM$3:CM$500)))</f>
        <v>0</v>
      </c>
      <c r="FN38" s="133" t="n">
        <f aca="false">IF(OR(FN$4="",$B38=""),0,SUMIF('DADOS BRUTOS'!$A$3:$A$500,$B38,'DADOS BRUTOS'!CN$3:CN$500)+IF($C38="",0,SUMIF('DADOS BRUTOS'!$A$3:$A$500,$C38,'DADOS BRUTOS'!CN$3:CN$500)))</f>
        <v>0</v>
      </c>
      <c r="FO38" s="133" t="n">
        <f aca="false">IF(OR(FO$4="",$B38=""),0,SUMIF('DADOS BRUTOS'!$A$3:$A$500,$B38,'DADOS BRUTOS'!CO$3:CO$500)+IF($C38="",0,SUMIF('DADOS BRUTOS'!$A$3:$A$500,$C38,'DADOS BRUTOS'!CO$3:CO$500)))</f>
        <v>0</v>
      </c>
      <c r="FP38" s="133" t="n">
        <f aca="false">IF(OR(FP$4="",$B38=""),0,SUMIF('DADOS BRUTOS'!$A$3:$A$500,$B38,'DADOS BRUTOS'!CP$3:CP$500)+IF($C38="",0,SUMIF('DADOS BRUTOS'!$A$3:$A$500,$C38,'DADOS BRUTOS'!CP$3:CP$500)))</f>
        <v>0</v>
      </c>
      <c r="FQ38" s="133" t="n">
        <f aca="false">IF(OR(FQ$4="",$B38=""),0,SUMIF('DADOS BRUTOS'!$A$3:$A$500,$B38,'DADOS BRUTOS'!CQ$3:CQ$500)+IF($C38="",0,SUMIF('DADOS BRUTOS'!$A$3:$A$500,$C38,'DADOS BRUTOS'!CQ$3:CQ$500)))</f>
        <v>0</v>
      </c>
      <c r="FR38" s="133" t="n">
        <f aca="false">IF(OR(FR$4="",$B38=""),0,SUMIF('DADOS BRUTOS'!$A$3:$A$500,$B38,'DADOS BRUTOS'!CR$3:CR$500)+IF($C38="",0,SUMIF('DADOS BRUTOS'!$A$3:$A$500,$C38,'DADOS BRUTOS'!CR$3:CR$500)))</f>
        <v>0</v>
      </c>
      <c r="FS38" s="133" t="n">
        <f aca="false">IF(OR(FS$4="",$B38=""),0,SUMIF('DADOS BRUTOS'!$A$3:$A$500,$B38,'DADOS BRUTOS'!CS$3:CS$500)+IF($C38="",0,SUMIF('DADOS BRUTOS'!$A$3:$A$500,$C38,'DADOS BRUTOS'!CS$3:CS$500)))</f>
        <v>0</v>
      </c>
      <c r="FT38" s="133" t="n">
        <f aca="false">IF(OR(FT$4="",$B38=""),0,SUMIF('DADOS BRUTOS'!$A$3:$A$500,$B38,'DADOS BRUTOS'!CT$3:CT$500)+IF($C38="",0,SUMIF('DADOS BRUTOS'!$A$3:$A$500,$C38,'DADOS BRUTOS'!CT$3:CT$500)))</f>
        <v>0</v>
      </c>
      <c r="FU38" s="133" t="n">
        <f aca="false">IF(OR(FU$4="",$B38=""),0,SUMIF('DADOS BRUTOS'!$A$3:$A$500,$B38,'DADOS BRUTOS'!CU$3:CU$500)+IF($C38="",0,SUMIF('DADOS BRUTOS'!$A$3:$A$500,$C38,'DADOS BRUTOS'!CU$3:CU$500)))</f>
        <v>0</v>
      </c>
      <c r="FV38" s="133" t="n">
        <f aca="false">IF(OR(FV$4="",$B38=""),0,SUMIF('DADOS BRUTOS'!$A$3:$A$500,$B38,'DADOS BRUTOS'!CV$3:CV$500)+IF($C38="",0,SUMIF('DADOS BRUTOS'!$A$3:$A$500,$C38,'DADOS BRUTOS'!CV$3:CV$500)))</f>
        <v>0</v>
      </c>
      <c r="FW38" s="133" t="n">
        <f aca="false">IF(OR(FW$4="",$B38=""),0,SUMIF('DADOS BRUTOS'!$A$3:$A$500,$B38,'DADOS BRUTOS'!CW$3:CW$500)+IF($C38="",0,SUMIF('DADOS BRUTOS'!$A$3:$A$500,$C38,'DADOS BRUTOS'!CW$3:CW$500)))</f>
        <v>0</v>
      </c>
      <c r="FX38" s="133" t="n">
        <f aca="false">IF(OR(FX$4="",$B38=""),0,SUMIF('DADOS BRUTOS'!$A$3:$A$500,$B38,'DADOS BRUTOS'!CX$3:CX$500)+IF($C38="",0,SUMIF('DADOS BRUTOS'!$A$3:$A$500,$C38,'DADOS BRUTOS'!CX$3:CX$500)))</f>
        <v>0</v>
      </c>
      <c r="FY38" s="133" t="n">
        <f aca="false">IF(OR(FY$4="",$B38=""),0,SUMIF('DADOS BRUTOS'!$A$3:$A$500,$B38,'DADOS BRUTOS'!CY$3:CY$500)+IF($C38="",0,SUMIF('DADOS BRUTOS'!$A$3:$A$500,$C38,'DADOS BRUTOS'!CY$3:CY$500)))</f>
        <v>0</v>
      </c>
      <c r="FZ38" s="133" t="n">
        <f aca="false">IF(OR(FZ$4="",$B38=""),0,SUMIF('DADOS BRUTOS'!$A$3:$A$500,$B38,'DADOS BRUTOS'!CZ$3:CZ$500)+IF($C38="",0,SUMIF('DADOS BRUTOS'!$A$3:$A$500,$C38,'DADOS BRUTOS'!CZ$3:CZ$500)))</f>
        <v>0</v>
      </c>
      <c r="GA38" s="133" t="n">
        <f aca="false">IF(OR(GA$4="",$B38=""),0,SUMIF('DADOS BRUTOS'!$A$3:$A$500,$B38,'DADOS BRUTOS'!DA$3:DA$500)+IF($C38="",0,SUMIF('DADOS BRUTOS'!$A$3:$A$500,$C38,'DADOS BRUTOS'!DA$3:DA$500)))</f>
        <v>0</v>
      </c>
      <c r="GB38" s="133" t="n">
        <f aca="false">IF(OR(GB$4="",$B38=""),0,SUMIF('DADOS BRUTOS'!$A$3:$A$500,$B38,'DADOS BRUTOS'!DB$3:DB$500)+IF($C38="",0,SUMIF('DADOS BRUTOS'!$A$3:$A$500,$C38,'DADOS BRUTOS'!DB$3:DB$500)))</f>
        <v>0</v>
      </c>
      <c r="GC38" s="133" t="n">
        <f aca="false">IF(OR(GC$4="",$B38=""),0,SUMIF('DADOS BRUTOS'!$A$3:$A$500,$B38,'DADOS BRUTOS'!DC$3:DC$500)+IF($C38="",0,SUMIF('DADOS BRUTOS'!$A$3:$A$500,$C38,'DADOS BRUTOS'!DC$3:DC$500)))</f>
        <v>0</v>
      </c>
      <c r="GD38" s="133" t="n">
        <f aca="false">IF(OR(GD$4="",$B38=""),0,SUMIF('DADOS BRUTOS'!$A$3:$A$500,$B38,'DADOS BRUTOS'!DD$3:DD$500)+IF($C38="",0,SUMIF('DADOS BRUTOS'!$A$3:$A$500,$C38,'DADOS BRUTOS'!DD$3:DD$500)))</f>
        <v>0</v>
      </c>
      <c r="GE38" s="133" t="n">
        <f aca="false">IF(OR(GE$4="",$B38=""),0,SUMIF('DADOS BRUTOS'!$A$3:$A$500,$B38,'DADOS BRUTOS'!DE$3:DE$500)+IF($C38="",0,SUMIF('DADOS BRUTOS'!$A$3:$A$500,$C38,'DADOS BRUTOS'!DE$3:DE$500)))</f>
        <v>0</v>
      </c>
      <c r="GF38" s="133" t="n">
        <f aca="false">IF(OR(GF$4="",$B38=""),0,SUMIF('DADOS BRUTOS'!$A$3:$A$500,$B38,'DADOS BRUTOS'!DF$3:DF$500)+IF($C38="",0,SUMIF('DADOS BRUTOS'!$A$3:$A$500,$C38,'DADOS BRUTOS'!DF$3:DF$500)))</f>
        <v>0</v>
      </c>
      <c r="GG38" s="133" t="n">
        <f aca="false">IF(OR(GG$4="",$B38=""),0,SUMIF('DADOS BRUTOS'!$A$3:$A$500,$B38,'DADOS BRUTOS'!DG$3:DG$500)+IF($C38="",0,SUMIF('DADOS BRUTOS'!$A$3:$A$500,$C38,'DADOS BRUTOS'!DG$3:DG$500)))</f>
        <v>0</v>
      </c>
      <c r="GH38" s="133" t="n">
        <f aca="false">IF(OR(GH$4="",$B38=""),0,SUMIF('DADOS BRUTOS'!$A$3:$A$500,$B38,'DADOS BRUTOS'!DH$3:DH$500)+IF($C38="",0,SUMIF('DADOS BRUTOS'!$A$3:$A$500,$C38,'DADOS BRUTOS'!DH$3:DH$500)))</f>
        <v>0</v>
      </c>
      <c r="GI38" s="133" t="n">
        <f aca="false">IF(OR(GI$4="",$B38=""),0,SUMIF('DADOS BRUTOS'!$A$3:$A$500,$B38,'DADOS BRUTOS'!DI$3:DI$500)+IF($C38="",0,SUMIF('DADOS BRUTOS'!$A$3:$A$500,$C38,'DADOS BRUTOS'!DI$3:DI$500)))</f>
        <v>0</v>
      </c>
      <c r="GJ38" s="133" t="n">
        <f aca="false">IF(OR(GJ$4="",$B38=""),0,SUMIF('DADOS BRUTOS'!$A$3:$A$500,$B38,'DADOS BRUTOS'!DJ$3:DJ$500)+IF($C38="",0,SUMIF('DADOS BRUTOS'!$A$3:$A$500,$C38,'DADOS BRUTOS'!DJ$3:DJ$500)))</f>
        <v>0</v>
      </c>
      <c r="GK38" s="133" t="n">
        <f aca="false">IF(OR(GK$4="",$B38=""),0,SUMIF('DADOS BRUTOS'!$A$3:$A$500,$B38,'DADOS BRUTOS'!DK$3:DK$500)+IF($C38="",0,SUMIF('DADOS BRUTOS'!$A$3:$A$500,$C38,'DADOS BRUTOS'!DK$3:DK$500)))</f>
        <v>0</v>
      </c>
      <c r="GL38" s="133" t="n">
        <f aca="false">IF(OR(GL$4="",$B38=""),0,SUMIF('DADOS BRUTOS'!$A$3:$A$500,$B38,'DADOS BRUTOS'!DL$3:DL$500)+IF($C38="",0,SUMIF('DADOS BRUTOS'!$A$3:$A$500,$C38,'DADOS BRUTOS'!DL$3:DL$500)))</f>
        <v>0</v>
      </c>
      <c r="GM38" s="133" t="n">
        <f aca="false">IF(OR(GM$4="",$B38=""),0,SUMIF('DADOS BRUTOS'!$A$3:$A$500,$B38,'DADOS BRUTOS'!DM$3:DM$500)+IF($C38="",0,SUMIF('DADOS BRUTOS'!$A$3:$A$500,$C38,'DADOS BRUTOS'!DM$3:DM$500)))</f>
        <v>0</v>
      </c>
      <c r="GN38" s="133" t="n">
        <f aca="false">IF(OR(GN$4="",$B38=""),0,SUMIF('DADOS BRUTOS'!$A$3:$A$500,$B38,'DADOS BRUTOS'!DN$3:DN$500)+IF($C38="",0,SUMIF('DADOS BRUTOS'!$A$3:$A$500,$C38,'DADOS BRUTOS'!DN$3:DN$500)))</f>
        <v>0</v>
      </c>
      <c r="GO38" s="133" t="n">
        <f aca="false">IF(OR(GO$4="",$B38=""),0,SUMIF('DADOS BRUTOS'!$A$3:$A$500,$B38,'DADOS BRUTOS'!DO$3:DO$500)+IF($C38="",0,SUMIF('DADOS BRUTOS'!$A$3:$A$500,$C38,'DADOS BRUTOS'!DO$3:DO$500)))</f>
        <v>0</v>
      </c>
      <c r="GP38" s="133" t="n">
        <f aca="false">IF(OR(GP$4="",$B38=""),0,SUMIF('DADOS BRUTOS'!$A$3:$A$500,$B38,'DADOS BRUTOS'!DP$3:DP$500)+IF($C38="",0,SUMIF('DADOS BRUTOS'!$A$3:$A$500,$C38,'DADOS BRUTOS'!DP$3:DP$500)))</f>
        <v>0</v>
      </c>
      <c r="GQ38" s="133" t="n">
        <f aca="false">IF(OR(GQ$4="",$B38=""),0,SUMIF('DADOS BRUTOS'!$A$3:$A$500,$B38,'DADOS BRUTOS'!DQ$3:DQ$500)+IF($C38="",0,SUMIF('DADOS BRUTOS'!$A$3:$A$500,$C38,'DADOS BRUTOS'!DQ$3:DQ$500)))</f>
        <v>0</v>
      </c>
      <c r="GR38" s="133" t="n">
        <f aca="false">IF(OR(GR$4="",$B38=""),0,SUMIF('DADOS BRUTOS'!$A$3:$A$500,$B38,'DADOS BRUTOS'!DR$3:DR$500)+IF($C38="",0,SUMIF('DADOS BRUTOS'!$A$3:$A$500,$C38,'DADOS BRUTOS'!DR$3:DR$500)))</f>
        <v>0</v>
      </c>
      <c r="GS38" s="133" t="n">
        <f aca="false">IF(OR(GS$4="",$B38=""),0,SUMIF('DADOS BRUTOS'!$A$3:$A$500,$B38,'DADOS BRUTOS'!DS$3:DS$500)+IF($C38="",0,SUMIF('DADOS BRUTOS'!$A$3:$A$500,$C38,'DADOS BRUTOS'!DS$3:DS$500)))</f>
        <v>0</v>
      </c>
      <c r="GT38" s="133" t="n">
        <f aca="false">IF(OR(GT$4="",$B38=""),0,SUMIF('DADOS BRUTOS'!$A$3:$A$500,$B38,'DADOS BRUTOS'!DT$3:DT$500)+IF($C38="",0,SUMIF('DADOS BRUTOS'!$A$3:$A$500,$C38,'DADOS BRUTOS'!DT$3:DT$500)))</f>
        <v>0</v>
      </c>
      <c r="GU38" s="133" t="n">
        <f aca="false">IF(OR(GU$4="",$B38=""),0,SUMIF('DADOS BRUTOS'!$A$3:$A$500,$B38,'DADOS BRUTOS'!DU$3:DU$500)+IF($C38="",0,SUMIF('DADOS BRUTOS'!$A$3:$A$500,$C38,'DADOS BRUTOS'!DU$3:DU$500)))</f>
        <v>0</v>
      </c>
      <c r="GV38" s="133" t="n">
        <f aca="false">IF(OR(GV$4="",$B38=""),0,SUMIF('DADOS BRUTOS'!$A$3:$A$500,$B38,'DADOS BRUTOS'!DV$3:DV$500)+IF($C38="",0,SUMIF('DADOS BRUTOS'!$A$3:$A$500,$C38,'DADOS BRUTOS'!DV$3:DV$500)))</f>
        <v>0</v>
      </c>
      <c r="GW38" s="133" t="n">
        <f aca="false">IF(OR(GW$4="",$B38=""),0,SUMIF('DADOS BRUTOS'!$A$3:$A$500,$B38,'DADOS BRUTOS'!DW$3:DW$500)+IF($C38="",0,SUMIF('DADOS BRUTOS'!$A$3:$A$500,$C38,'DADOS BRUTOS'!DW$3:DW$500)))</f>
        <v>0</v>
      </c>
      <c r="GX38" s="133" t="n">
        <f aca="false">IF(OR(GX$4="",$B38=""),0,SUMIF('DADOS BRUTOS'!$A$3:$A$500,$B38,'DADOS BRUTOS'!DX$3:DX$500)+IF($C38="",0,SUMIF('DADOS BRUTOS'!$A$3:$A$500,$C38,'DADOS BRUTOS'!DX$3:DX$500)))</f>
        <v>0</v>
      </c>
      <c r="GY38" s="133" t="n">
        <f aca="false">IF(OR(GY$4="",$B38=""),0,SUMIF('DADOS BRUTOS'!$A$3:$A$500,$B38,'DADOS BRUTOS'!DY$3:DY$500)+IF($C38="",0,SUMIF('DADOS BRUTOS'!$A$3:$A$500,$C38,'DADOS BRUTOS'!DY$3:DY$500)))</f>
        <v>0</v>
      </c>
      <c r="GZ38" s="133" t="n">
        <f aca="false">IF(OR(GZ$4="",$B38=""),0,SUMIF('DADOS BRUTOS'!$A$3:$A$500,$B38,'DADOS BRUTOS'!DZ$3:DZ$500)+IF($C38="",0,SUMIF('DADOS BRUTOS'!$A$3:$A$500,$C38,'DADOS BRUTOS'!DZ$3:DZ$500)))</f>
        <v>0</v>
      </c>
      <c r="HA38" s="133" t="n">
        <f aca="false">IF(OR(HA$4="",$B38=""),0,SUMIF('DADOS BRUTOS'!$A$3:$A$500,$B38,'DADOS BRUTOS'!EA$3:EA$500)+IF($C38="",0,SUMIF('DADOS BRUTOS'!$A$3:$A$500,$C38,'DADOS BRUTOS'!EA$3:EA$500)))</f>
        <v>0</v>
      </c>
      <c r="HB38" s="133" t="n">
        <f aca="false">IF(OR(HB$4="",$B38=""),0,SUMIF('DADOS BRUTOS'!$A$3:$A$500,$B38,'DADOS BRUTOS'!EB$3:EB$500)+IF($C38="",0,SUMIF('DADOS BRUTOS'!$A$3:$A$500,$C38,'DADOS BRUTOS'!EB$3:EB$500)))</f>
        <v>0</v>
      </c>
      <c r="HC38" s="133" t="n">
        <f aca="false">IF(OR(HC$4="",$B38=""),0,SUMIF('DADOS BRUTOS'!$A$3:$A$500,$B38,'DADOS BRUTOS'!EC$3:EC$500)+IF($C38="",0,SUMIF('DADOS BRUTOS'!$A$3:$A$500,$C38,'DADOS BRUTOS'!EC$3:EC$500)))</f>
        <v>0</v>
      </c>
      <c r="HD38" s="133" t="n">
        <f aca="false">IF(OR(HD$4="",$B38=""),0,SUMIF('DADOS BRUTOS'!$A$3:$A$500,$B38,'DADOS BRUTOS'!ED$3:ED$500)+IF($C38="",0,SUMIF('DADOS BRUTOS'!$A$3:$A$500,$C38,'DADOS BRUTOS'!ED$3:ED$500)))</f>
        <v>0</v>
      </c>
      <c r="HE38" s="133" t="n">
        <f aca="false">IF(OR(HE$4="",$B38=""),0,SUMIF('DADOS BRUTOS'!$A$3:$A$500,$B38,'DADOS BRUTOS'!EE$3:EE$500)+IF($C38="",0,SUMIF('DADOS BRUTOS'!$A$3:$A$500,$C38,'DADOS BRUTOS'!EE$3:EE$500)))</f>
        <v>0</v>
      </c>
      <c r="HF38" s="133" t="n">
        <f aca="false">IF(OR(HF$4="",$B38=""),0,SUMIF('DADOS BRUTOS'!$A$3:$A$500,$B38,'DADOS BRUTOS'!EF$3:EF$500)+IF($C38="",0,SUMIF('DADOS BRUTOS'!$A$3:$A$500,$C38,'DADOS BRUTOS'!EF$3:EF$500)))</f>
        <v>0</v>
      </c>
      <c r="HG38" s="133" t="n">
        <f aca="false">IF(OR(HG$4="",$B38=""),0,SUMIF('DADOS BRUTOS'!$A$3:$A$500,$B38,'DADOS BRUTOS'!EG$3:EG$500)+IF($C38="",0,SUMIF('DADOS BRUTOS'!$A$3:$A$500,$C38,'DADOS BRUTOS'!EG$3:EG$500)))</f>
        <v>0</v>
      </c>
      <c r="HH38" s="133" t="n">
        <f aca="false">IF(OR(HH$4="",$B38=""),0,SUMIF('DADOS BRUTOS'!$A$3:$A$500,$B38,'DADOS BRUTOS'!EH$3:EH$500)+IF($C38="",0,SUMIF('DADOS BRUTOS'!$A$3:$A$500,$C38,'DADOS BRUTOS'!EH$3:EH$500)))</f>
        <v>0</v>
      </c>
      <c r="HI38" s="133" t="n">
        <f aca="false">IF(OR(HI$4="",$B38=""),0,SUMIF('DADOS BRUTOS'!$A$3:$A$500,$B38,'DADOS BRUTOS'!EI$3:EI$500)+IF($C38="",0,SUMIF('DADOS BRUTOS'!$A$3:$A$500,$C38,'DADOS BRUTOS'!EI$3:EI$500)))</f>
        <v>0</v>
      </c>
      <c r="HJ38" s="133" t="n">
        <f aca="false">IF(OR(HJ$4="",$B38=""),0,SUMIF('DADOS BRUTOS'!$A$3:$A$500,$B38,'DADOS BRUTOS'!EJ$3:EJ$500)+IF($C38="",0,SUMIF('DADOS BRUTOS'!$A$3:$A$500,$C38,'DADOS BRUTOS'!EJ$3:EJ$500)))</f>
        <v>0</v>
      </c>
      <c r="HK38" s="133" t="n">
        <f aca="false">IF(OR(HK$4="",$B38=""),0,SUMIF('DADOS BRUTOS'!$A$3:$A$500,$B38,'DADOS BRUTOS'!EK$3:EK$500)+IF($C38="",0,SUMIF('DADOS BRUTOS'!$A$3:$A$500,$C38,'DADOS BRUTOS'!EK$3:EK$500)))</f>
        <v>0</v>
      </c>
      <c r="HL38" s="133" t="n">
        <f aca="false">IF(OR(HL$4="",$B38=""),0,SUMIF('DADOS BRUTOS'!$A$3:$A$500,$B38,'DADOS BRUTOS'!EL$3:EL$500)+IF($C38="",0,SUMIF('DADOS BRUTOS'!$A$3:$A$500,$C38,'DADOS BRUTOS'!EL$3:EL$500)))</f>
        <v>0</v>
      </c>
      <c r="HM38" s="133" t="n">
        <f aca="false">IF(OR(HM$4="",$B38=""),0,SUMIF('DADOS BRUTOS'!$A$3:$A$500,$B38,'DADOS BRUTOS'!EM$3:EM$500)+IF($C38="",0,SUMIF('DADOS BRUTOS'!$A$3:$A$500,$C38,'DADOS BRUTOS'!EM$3:EM$500)))</f>
        <v>0</v>
      </c>
      <c r="HN38" s="133" t="n">
        <f aca="false">IF(OR(HN$4="",$B38=""),0,SUMIF('DADOS BRUTOS'!$A$3:$A$500,$B38,'DADOS BRUTOS'!EN$3:EN$500)+IF($C38="",0,SUMIF('DADOS BRUTOS'!$A$3:$A$500,$C38,'DADOS BRUTOS'!EN$3:EN$500)))</f>
        <v>0</v>
      </c>
      <c r="HO38" s="133" t="n">
        <f aca="false">IF(OR(HO$4="",$B38=""),0,SUMIF('DADOS BRUTOS'!$A$3:$A$500,$B38,'DADOS BRUTOS'!EO$3:EO$500)+IF($C38="",0,SUMIF('DADOS BRUTOS'!$A$3:$A$500,$C38,'DADOS BRUTOS'!EO$3:EO$500)))</f>
        <v>0</v>
      </c>
      <c r="HP38" s="133" t="n">
        <f aca="false">IF(OR(HP$4="",$B38=""),0,SUMIF('DADOS BRUTOS'!$A$3:$A$500,$B38,'DADOS BRUTOS'!EP$3:EP$500)+IF($C38="",0,SUMIF('DADOS BRUTOS'!$A$3:$A$500,$C38,'DADOS BRUTOS'!EP$3:EP$500)))</f>
        <v>0</v>
      </c>
      <c r="HQ38" s="133" t="n">
        <f aca="false">IF(OR(HQ$4="",$B38=""),0,SUMIF('DADOS BRUTOS'!$A$3:$A$500,$B38,'DADOS BRUTOS'!EQ$3:EQ$500)+IF($C38="",0,SUMIF('DADOS BRUTOS'!$A$3:$A$500,$C38,'DADOS BRUTOS'!EQ$3:EQ$500)))</f>
        <v>0</v>
      </c>
      <c r="HR38" s="133" t="n">
        <f aca="false">IF(OR(HR$4="",$B38=""),0,SUMIF('DADOS BRUTOS'!$A$3:$A$500,$B38,'DADOS BRUTOS'!ER$3:ER$500)+IF($C38="",0,SUMIF('DADOS BRUTOS'!$A$3:$A$500,$C38,'DADOS BRUTOS'!ER$3:ER$500)))</f>
        <v>0</v>
      </c>
      <c r="HS38" s="133" t="n">
        <f aca="false">IF(OR(HS$4="",$B38=""),0,SUMIF('DADOS BRUTOS'!$A$3:$A$500,$B38,'DADOS BRUTOS'!ES$3:ES$500)+IF($C38="",0,SUMIF('DADOS BRUTOS'!$A$3:$A$500,$C38,'DADOS BRUTOS'!ES$3:ES$500)))</f>
        <v>0</v>
      </c>
      <c r="HT38" s="133" t="n">
        <f aca="false">IF(OR(HT$4="",$B38=""),0,SUMIF('DADOS BRUTOS'!$A$3:$A$500,$B38,'DADOS BRUTOS'!ET$3:ET$500)+IF($C38="",0,SUMIF('DADOS BRUTOS'!$A$3:$A$500,$C38,'DADOS BRUTOS'!ET$3:ET$500)))</f>
        <v>0</v>
      </c>
      <c r="HU38" s="133" t="n">
        <f aca="false">IF(OR(HU$4="",$B38=""),0,SUMIF('DADOS BRUTOS'!$A$3:$A$500,$B38,'DADOS BRUTOS'!EU$3:EU$500)+IF($C38="",0,SUMIF('DADOS BRUTOS'!$A$3:$A$500,$C38,'DADOS BRUTOS'!EU$3:EU$500)))</f>
        <v>0</v>
      </c>
      <c r="HV38" s="133" t="n">
        <f aca="false">IF(OR(HV$4="",$B38=""),0,SUMIF('DADOS BRUTOS'!$A$3:$A$500,$B38,'DADOS BRUTOS'!EV$3:EV$500)+IF($C38="",0,SUMIF('DADOS BRUTOS'!$A$3:$A$500,$C38,'DADOS BRUTOS'!EV$3:EV$500)))</f>
        <v>0</v>
      </c>
      <c r="HW38" s="133" t="n">
        <f aca="false">IF(OR(HW$4="",$B38=""),0,SUMIF('DADOS BRUTOS'!$A$3:$A$500,$B38,'DADOS BRUTOS'!EW$3:EW$500)+IF($C38="",0,SUMIF('DADOS BRUTOS'!$A$3:$A$500,$C38,'DADOS BRUTOS'!EW$3:EW$500)))</f>
        <v>0</v>
      </c>
      <c r="HX38" s="133" t="n">
        <f aca="false">IF(OR(HX$4="",$B38=""),0,SUMIF('DADOS BRUTOS'!$A$3:$A$500,$B38,'DADOS BRUTOS'!EX$3:EX$500)+IF($C38="",0,SUMIF('DADOS BRUTOS'!$A$3:$A$500,$C38,'DADOS BRUTOS'!EX$3:EX$500)))</f>
        <v>0</v>
      </c>
      <c r="HY38" s="133" t="n">
        <f aca="false">IF(OR(HY$4="",$B38=""),0,SUMIF('DADOS BRUTOS'!$A$3:$A$500,$B38,'DADOS BRUTOS'!EY$3:EY$500)+IF($C38="",0,SUMIF('DADOS BRUTOS'!$A$3:$A$500,$C38,'DADOS BRUTOS'!EY$3:EY$500)))</f>
        <v>0</v>
      </c>
      <c r="HZ38" s="133" t="n">
        <f aca="false">IF(OR(HZ$4="",$B38=""),0,SUMIF('DADOS BRUTOS'!$A$3:$A$500,$B38,'DADOS BRUTOS'!EZ$3:EZ$500)+IF($C38="",0,SUMIF('DADOS BRUTOS'!$A$3:$A$500,$C38,'DADOS BRUTOS'!EZ$3:EZ$500)))</f>
        <v>0</v>
      </c>
      <c r="IA38" s="133" t="n">
        <f aca="false">IF(OR(IA$4="",$B38=""),0,SUMIF('DADOS BRUTOS'!$A$3:$A$500,$B38,'DADOS BRUTOS'!FA$3:FA$500)+IF($C38="",0,SUMIF('DADOS BRUTOS'!$A$3:$A$500,$C38,'DADOS BRUTOS'!FA$3:FA$500)))</f>
        <v>0</v>
      </c>
      <c r="IB38" s="133" t="n">
        <f aca="false">IF(OR(IB$4="",$B38=""),0,SUMIF('DADOS BRUTOS'!$A$3:$A$500,$B38,'DADOS BRUTOS'!FB$3:FB$500)+IF($C38="",0,SUMIF('DADOS BRUTOS'!$A$3:$A$500,$C38,'DADOS BRUTOS'!FB$3:FB$500)))</f>
        <v>0</v>
      </c>
      <c r="IC38" s="133" t="n">
        <f aca="false">IF(OR(IC$4="",$B38=""),0,SUMIF('DADOS BRUTOS'!$A$3:$A$500,$B38,'DADOS BRUTOS'!FC$3:FC$500)+IF($C38="",0,SUMIF('DADOS BRUTOS'!$A$3:$A$500,$C38,'DADOS BRUTOS'!FC$3:FC$500)))</f>
        <v>0</v>
      </c>
      <c r="ID38" s="133" t="n">
        <f aca="false">IF(OR(ID$4="",$B38=""),0,SUMIF('DADOS BRUTOS'!$A$3:$A$500,$B38,'DADOS BRUTOS'!FD$3:FD$500)+IF($C38="",0,SUMIF('DADOS BRUTOS'!$A$3:$A$500,$C38,'DADOS BRUTOS'!FD$3:FD$500)))</f>
        <v>0</v>
      </c>
      <c r="IE38" s="133" t="n">
        <f aca="false">IF(OR(IE$4="",$B38=""),0,SUMIF('DADOS BRUTOS'!$A$3:$A$500,$B38,'DADOS BRUTOS'!FE$3:FE$500)+IF($C38="",0,SUMIF('DADOS BRUTOS'!$A$3:$A$500,$C38,'DADOS BRUTOS'!FE$3:FE$500)))</f>
        <v>0</v>
      </c>
      <c r="IF38" s="133" t="n">
        <f aca="false">IF(OR(IF$4="",$B38=""),0,SUMIF('DADOS BRUTOS'!$A$3:$A$500,$B38,'DADOS BRUTOS'!FF$3:FF$500)+IF($C38="",0,SUMIF('DADOS BRUTOS'!$A$3:$A$500,$C38,'DADOS BRUTOS'!FF$3:FF$500)))</f>
        <v>0</v>
      </c>
      <c r="IG38" s="133" t="n">
        <f aca="false">IF(OR(IG$4="",$B38=""),0,SUMIF('DADOS BRUTOS'!$A$3:$A$500,$B38,'DADOS BRUTOS'!FG$3:FG$500)+IF($C38="",0,SUMIF('DADOS BRUTOS'!$A$3:$A$500,$C38,'DADOS BRUTOS'!FG$3:FG$500)))</f>
        <v>0</v>
      </c>
      <c r="IH38" s="133" t="n">
        <f aca="false">IF(OR(IH$4="",$B38=""),0,SUMIF('DADOS BRUTOS'!$A$3:$A$500,$B38,'DADOS BRUTOS'!FH$3:FH$500)+IF($C38="",0,SUMIF('DADOS BRUTOS'!$A$3:$A$500,$C38,'DADOS BRUTOS'!FH$3:FH$500)))</f>
        <v>0</v>
      </c>
      <c r="II38" s="133" t="n">
        <f aca="false">IF(OR(II$4="",$B38=""),0,SUMIF('DADOS BRUTOS'!$A$3:$A$500,$B38,'DADOS BRUTOS'!FI$3:FI$500)+IF($C38="",0,SUMIF('DADOS BRUTOS'!$A$3:$A$500,$C38,'DADOS BRUTOS'!FI$3:FI$500)))</f>
        <v>0</v>
      </c>
      <c r="IJ38" s="133" t="n">
        <f aca="false">IF(OR(IJ$4="",$B38=""),0,SUMIF('DADOS BRUTOS'!$A$3:$A$500,$B38,'DADOS BRUTOS'!FJ$3:FJ$500)+IF($C38="",0,SUMIF('DADOS BRUTOS'!$A$3:$A$500,$C38,'DADOS BRUTOS'!FJ$3:FJ$500)))</f>
        <v>0</v>
      </c>
      <c r="IK38" s="133" t="n">
        <f aca="false">IF(OR(IK$4="",$B38=""),0,SUMIF('DADOS BRUTOS'!$A$3:$A$500,$B38,'DADOS BRUTOS'!FK$3:FK$500)+IF($C38="",0,SUMIF('DADOS BRUTOS'!$A$3:$A$500,$C38,'DADOS BRUTOS'!FK$3:FK$500)))</f>
        <v>0</v>
      </c>
      <c r="IL38" s="133" t="n">
        <f aca="false">IF(OR(IL$4="",$B38=""),0,SUMIF('DADOS BRUTOS'!$A$3:$A$500,$B38,'DADOS BRUTOS'!FL$3:FL$500)+IF($C38="",0,SUMIF('DADOS BRUTOS'!$A$3:$A$500,$C38,'DADOS BRUTOS'!FL$3:FL$500)))</f>
        <v>0</v>
      </c>
      <c r="IM38" s="133" t="n">
        <f aca="false">IF(OR(IM$4="",$B38=""),0,SUMIF('DADOS BRUTOS'!$A$3:$A$500,$B38,'DADOS BRUTOS'!FM$3:FM$500)+IF($C38="",0,SUMIF('DADOS BRUTOS'!$A$3:$A$500,$C38,'DADOS BRUTOS'!FM$3:FM$500)))</f>
        <v>0</v>
      </c>
      <c r="IN38" s="133" t="n">
        <f aca="false">IF(OR(IN$4="",$B38=""),0,SUMIF('DADOS BRUTOS'!$A$3:$A$500,$B38,'DADOS BRUTOS'!FN$3:FN$500)+IF($C38="",0,SUMIF('DADOS BRUTOS'!$A$3:$A$500,$C38,'DADOS BRUTOS'!FN$3:FN$500)))</f>
        <v>0</v>
      </c>
      <c r="IO38" s="133" t="n">
        <f aca="false">IF(OR(IO$4="",$B38=""),0,SUMIF('DADOS BRUTOS'!$A$3:$A$500,$B38,'DADOS BRUTOS'!FO$3:FO$500)+IF($C38="",0,SUMIF('DADOS BRUTOS'!$A$3:$A$500,$C38,'DADOS BRUTOS'!FO$3:FO$500)))</f>
        <v>0</v>
      </c>
      <c r="IP38" s="133" t="n">
        <f aca="false">IF(OR(IP$4="",$B38=""),0,SUMIF('DADOS BRUTOS'!$A$3:$A$500,$B38,'DADOS BRUTOS'!FP$3:FP$500)+IF($C38="",0,SUMIF('DADOS BRUTOS'!$A$3:$A$500,$C38,'DADOS BRUTOS'!FP$3:FP$500)))</f>
        <v>0</v>
      </c>
      <c r="IQ38" s="133" t="n">
        <f aca="false">IF(OR(IQ$4="",$B38=""),0,SUMIF('DADOS BRUTOS'!$A$3:$A$500,$B38,'DADOS BRUTOS'!FQ$3:FQ$500)+IF($C38="",0,SUMIF('DADOS BRUTOS'!$A$3:$A$500,$C38,'DADOS BRUTOS'!FQ$3:FQ$500)))</f>
        <v>0</v>
      </c>
      <c r="IR38" s="133" t="n">
        <f aca="false">IF(OR(IR$4="",$B38=""),0,SUMIF('DADOS BRUTOS'!$A$3:$A$500,$B38,'DADOS BRUTOS'!FR$3:FR$500)+IF($C38="",0,SUMIF('DADOS BRUTOS'!$A$3:$A$500,$C38,'DADOS BRUTOS'!FR$3:FR$500)))</f>
        <v>0</v>
      </c>
      <c r="IS38" s="133" t="n">
        <f aca="false">IF(OR(IS$4="",$B38=""),0,SUMIF('DADOS BRUTOS'!$A$3:$A$500,$B38,'DADOS BRUTOS'!FS$3:FS$500)+IF($C38="",0,SUMIF('DADOS BRUTOS'!$A$3:$A$500,$C38,'DADOS BRUTOS'!FS$3:FS$500)))</f>
        <v>0</v>
      </c>
      <c r="IT38" s="133" t="n">
        <f aca="false">IF(OR(IT$4="",$B38=""),0,SUMIF('DADOS BRUTOS'!$A$3:$A$500,$B38,'DADOS BRUTOS'!FT$3:FT$500)+IF($C38="",0,SUMIF('DADOS BRUTOS'!$A$3:$A$500,$C38,'DADOS BRUTOS'!FT$3:FT$500)))</f>
        <v>0</v>
      </c>
      <c r="IU38" s="133" t="n">
        <f aca="false">IF(OR(IU$4="",$B38=""),0,SUMIF('DADOS BRUTOS'!$A$3:$A$500,$B38,'DADOS BRUTOS'!FU$3:FU$500)+IF($C38="",0,SUMIF('DADOS BRUTOS'!$A$3:$A$500,$C38,'DADOS BRUTOS'!FU$3:FU$500)))</f>
        <v>0</v>
      </c>
      <c r="IV38" s="133" t="n">
        <f aca="false">IF(OR(IV$4="",$B38=""),0,SUMIF('DADOS BRUTOS'!$A$3:$A$500,$B38,'DADOS BRUTOS'!FV$3:FV$500)+IF($C38="",0,SUMIF('DADOS BRUTOS'!$A$3:$A$500,$C38,'DADOS BRUTOS'!FV$3:FV$500)))</f>
        <v>0</v>
      </c>
      <c r="IW38" s="133" t="n">
        <f aca="false">IF(OR(IW$4="",$B38=""),0,SUMIF('DADOS BRUTOS'!$A$3:$A$500,$B38,'DADOS BRUTOS'!FW$3:FW$500)+IF($C38="",0,SUMIF('DADOS BRUTOS'!$A$3:$A$500,$C38,'DADOS BRUTOS'!FW$3:FW$500)))</f>
        <v>0</v>
      </c>
      <c r="IX38" s="133" t="n">
        <f aca="false">IF(OR(IX$4="",$B38=""),0,SUMIF('DADOS BRUTOS'!$A$3:$A$500,$B38,'DADOS BRUTOS'!FX$3:FX$500)+IF($C38="",0,SUMIF('DADOS BRUTOS'!$A$3:$A$500,$C38,'DADOS BRUTOS'!FX$3:FX$500)))</f>
        <v>0</v>
      </c>
      <c r="IY38" s="133" t="n">
        <f aca="false">IF(OR(IY$4="",$B38=""),0,SUMIF('DADOS BRUTOS'!$A$3:$A$500,$B38,'DADOS BRUTOS'!FY$3:FY$500)+IF($C38="",0,SUMIF('DADOS BRUTOS'!$A$3:$A$500,$C38,'DADOS BRUTOS'!FY$3:FY$500)))</f>
        <v>0</v>
      </c>
      <c r="IZ38" s="133" t="n">
        <f aca="false">IF(OR(IZ$4="",$B38=""),0,SUMIF('DADOS BRUTOS'!$A$3:$A$500,$B38,'DADOS BRUTOS'!FZ$3:FZ$500)+IF($C38="",0,SUMIF('DADOS BRUTOS'!$A$3:$A$500,$C38,'DADOS BRUTOS'!FZ$3:FZ$500)))</f>
        <v>0</v>
      </c>
      <c r="JA38" s="133" t="n">
        <f aca="false">IF(OR(JA$4="",$B38=""),0,SUMIF('DADOS BRUTOS'!$A$3:$A$500,$B38,'DADOS BRUTOS'!GA$3:GA$500)+IF($C38="",0,SUMIF('DADOS BRUTOS'!$A$3:$A$500,$C38,'DADOS BRUTOS'!GA$3:GA$500)))</f>
        <v>0</v>
      </c>
      <c r="JB38" s="133" t="n">
        <f aca="false">IF(OR(JB$4="",$B38=""),0,SUMIF('DADOS BRUTOS'!$A$3:$A$500,$B38,'DADOS BRUTOS'!GB$3:GB$500)+IF($C38="",0,SUMIF('DADOS BRUTOS'!$A$3:$A$500,$C38,'DADOS BRUTOS'!GB$3:GB$500)))</f>
        <v>0</v>
      </c>
      <c r="JC38" s="133" t="n">
        <f aca="false">IF(OR(JC$4="",$B38=""),0,SUMIF('DADOS BRUTOS'!$A$3:$A$500,$B38,'DADOS BRUTOS'!GC$3:GC$500)+IF($C38="",0,SUMIF('DADOS BRUTOS'!$A$3:$A$500,$C38,'DADOS BRUTOS'!GC$3:GC$500)))</f>
        <v>0</v>
      </c>
      <c r="JD38" s="133" t="n">
        <f aca="false">IF(OR(JD$4="",$B38=""),0,SUMIF('DADOS BRUTOS'!$A$3:$A$500,$B38,'DADOS BRUTOS'!GD$3:GD$500)+IF($C38="",0,SUMIF('DADOS BRUTOS'!$A$3:$A$500,$C38,'DADOS BRUTOS'!GD$3:GD$500)))</f>
        <v>0</v>
      </c>
      <c r="JE38" s="133" t="n">
        <f aca="false">IF(OR(JE$4="",$B38=""),0,SUMIF('DADOS BRUTOS'!$A$3:$A$500,$B38,'DADOS BRUTOS'!GE$3:GE$500)+IF($C38="",0,SUMIF('DADOS BRUTOS'!$A$3:$A$500,$C38,'DADOS BRUTOS'!GE$3:GE$500)))</f>
        <v>0</v>
      </c>
      <c r="JF38" s="133" t="n">
        <f aca="false">IF(OR(JF$4="",$B38=""),0,SUMIF('DADOS BRUTOS'!$A$3:$A$500,$B38,'DADOS BRUTOS'!GF$3:GF$500)+IF($C38="",0,SUMIF('DADOS BRUTOS'!$A$3:$A$500,$C38,'DADOS BRUTOS'!GF$3:GF$500)))</f>
        <v>0</v>
      </c>
      <c r="JG38" s="133" t="n">
        <f aca="false">IF(OR(JG$4="",$B38=""),0,SUMIF('DADOS BRUTOS'!$A$3:$A$500,$B38,'DADOS BRUTOS'!GG$3:GG$500)+IF($C38="",0,SUMIF('DADOS BRUTOS'!$A$3:$A$500,$C38,'DADOS BRUTOS'!GG$3:GG$500)))</f>
        <v>0</v>
      </c>
      <c r="JH38" s="133" t="n">
        <f aca="false">IF(OR(JH$4="",$B38=""),0,SUMIF('DADOS BRUTOS'!$A$3:$A$500,$B38,'DADOS BRUTOS'!GH$3:GH$500)+IF($C38="",0,SUMIF('DADOS BRUTOS'!$A$3:$A$500,$C38,'DADOS BRUTOS'!GH$3:GH$500)))</f>
        <v>0</v>
      </c>
      <c r="JI38" s="133" t="n">
        <f aca="false">IF(OR(JI$4="",$B38=""),0,SUMIF('DADOS BRUTOS'!$A$3:$A$500,$B38,'DADOS BRUTOS'!GI$3:GI$500)+IF($C38="",0,SUMIF('DADOS BRUTOS'!$A$3:$A$500,$C38,'DADOS BRUTOS'!GI$3:GI$500)))</f>
        <v>0</v>
      </c>
      <c r="JJ38" s="133" t="n">
        <f aca="false">IF(OR(JJ$4="",$B38=""),0,SUMIF('DADOS BRUTOS'!$A$3:$A$500,$B38,'DADOS BRUTOS'!GJ$3:GJ$500)+IF($C38="",0,SUMIF('DADOS BRUTOS'!$A$3:$A$500,$C38,'DADOS BRUTOS'!GJ$3:GJ$500)))</f>
        <v>0</v>
      </c>
      <c r="JK38" s="133" t="n">
        <f aca="false">IF(OR(JK$4="",$B38=""),0,SUMIF('DADOS BRUTOS'!$A$3:$A$500,$B38,'DADOS BRUTOS'!GK$3:GK$500)+IF($C38="",0,SUMIF('DADOS BRUTOS'!$A$3:$A$500,$C38,'DADOS BRUTOS'!GK$3:GK$500)))</f>
        <v>0</v>
      </c>
      <c r="JL38" s="133" t="n">
        <f aca="false">IF(OR(JL$4="",$B38=""),0,SUMIF('DADOS BRUTOS'!$A$3:$A$500,$B38,'DADOS BRUTOS'!GL$3:GL$500)+IF($C38="",0,SUMIF('DADOS BRUTOS'!$A$3:$A$500,$C38,'DADOS BRUTOS'!GL$3:GL$500)))</f>
        <v>0</v>
      </c>
      <c r="JM38" s="133" t="n">
        <f aca="false">IF(OR(JM$4="",$B38=""),0,SUMIF('DADOS BRUTOS'!$A$3:$A$500,$B38,'DADOS BRUTOS'!GM$3:GM$500)+IF($C38="",0,SUMIF('DADOS BRUTOS'!$A$3:$A$500,$C38,'DADOS BRUTOS'!GM$3:GM$500)))</f>
        <v>0</v>
      </c>
      <c r="JN38" s="133" t="n">
        <f aca="false">IF(OR(JN$4="",$B38=""),0,SUMIF('DADOS BRUTOS'!$A$3:$A$500,$B38,'DADOS BRUTOS'!GN$3:GN$500)+IF($C38="",0,SUMIF('DADOS BRUTOS'!$A$3:$A$500,$C38,'DADOS BRUTOS'!GN$3:GN$500)))</f>
        <v>0</v>
      </c>
      <c r="JO38" s="133" t="n">
        <f aca="false">IF(OR(JO$4="",$B38=""),0,SUMIF('DADOS BRUTOS'!$A$3:$A$500,$B38,'DADOS BRUTOS'!GO$3:GO$500)+IF($C38="",0,SUMIF('DADOS BRUTOS'!$A$3:$A$500,$C38,'DADOS BRUTOS'!GO$3:GO$500)))</f>
        <v>0</v>
      </c>
      <c r="JP38" s="133" t="n">
        <f aca="false">IF(OR(JP$4="",$B38=""),0,SUMIF('DADOS BRUTOS'!$A$3:$A$500,$B38,'DADOS BRUTOS'!GP$3:GP$500)+IF($C38="",0,SUMIF('DADOS BRUTOS'!$A$3:$A$500,$C38,'DADOS BRUTOS'!GP$3:GP$500)))</f>
        <v>0</v>
      </c>
      <c r="JQ38" s="133" t="n">
        <f aca="false">IF(OR(JQ$4="",$B38=""),0,SUMIF('DADOS BRUTOS'!$A$3:$A$500,$B38,'DADOS BRUTOS'!GQ$3:GQ$500)+IF($C38="",0,SUMIF('DADOS BRUTOS'!$A$3:$A$500,$C38,'DADOS BRUTOS'!GQ$3:GQ$500)))</f>
        <v>0</v>
      </c>
      <c r="JR38" s="133" t="n">
        <f aca="false">IF(OR(JR$4="",$B38=""),0,SUMIF('DADOS BRUTOS'!$A$3:$A$500,$B38,'DADOS BRUTOS'!GR$3:GR$500)+IF($C38="",0,SUMIF('DADOS BRUTOS'!$A$3:$A$500,$C38,'DADOS BRUTOS'!GR$3:GR$500)))</f>
        <v>0</v>
      </c>
      <c r="JS38" s="133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214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0</v>
      </c>
      <c r="R39" s="50" t="n">
        <f aca="false">SUMIF($CB$4:$JS$4,R$4,$CB39:$JS39)</f>
        <v>0</v>
      </c>
      <c r="S39" s="50" t="n">
        <f aca="false">SUMIF($CB$4:$JS$4,S$4,$CB39:$JS39)</f>
        <v>2371.88</v>
      </c>
      <c r="T39" s="50" t="n">
        <f aca="false">SUMIF($CB$4:$JS$4,T$4,$CB39:$JS39)</f>
        <v>6712.62</v>
      </c>
      <c r="U39" s="50" t="n">
        <f aca="false">SUMIF($CB$4:$JS$4,U$4,$CB39:$JS39)</f>
        <v>12812.41</v>
      </c>
      <c r="V39" s="50" t="n">
        <f aca="false">SUMIF($CB$4:$JS$4,V$4,$CB39:$JS39)</f>
        <v>13032.01</v>
      </c>
      <c r="W39" s="50" t="n">
        <f aca="false">SUMIF($CB$4:$JS$4,W$4,$CB39:$JS39)</f>
        <v>27991.11</v>
      </c>
      <c r="X39" s="50" t="n">
        <f aca="false">SUMIF($CB$4:$JS$4,X$4,$CB39:$JS39)</f>
        <v>23955.73</v>
      </c>
      <c r="Y39" s="50" t="n">
        <f aca="false">SUMIF($CB$4:$JS$4,Y$4,$CB39:$JS39)</f>
        <v>1621.89</v>
      </c>
      <c r="Z39" s="50" t="n">
        <f aca="false">SUMIF($CB$4:$JS$4,Z$4,$CB39:$JS39)</f>
        <v>28284.95</v>
      </c>
      <c r="AA39" s="50" t="n">
        <f aca="false">SUMIF($CB$4:$JS$4,AA$4,$CB39:$JS39)</f>
        <v>810.49</v>
      </c>
      <c r="AB39" s="50" t="n">
        <f aca="false">SUMIF($CB$4:$JS$4,AB$4,$CB39:$JS39)</f>
        <v>766.34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0</v>
      </c>
      <c r="AN39" s="50" t="n">
        <f aca="false">SUMIF($CB$4:$JS$4,AN$4,$CB39:$JS39)</f>
        <v>0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8382.84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126742.27</v>
      </c>
      <c r="BZ39" s="45" t="n">
        <f aca="false">SUMPRODUCT(($CB$4:$JS$4&lt;&gt;"")*($CB$4:$JS$4&lt;=$D$4),$CB39:$JS39,$CB$1:$JS$1)</f>
        <v>0</v>
      </c>
      <c r="CB39" s="133" t="n">
        <f aca="false">IF(OR(CB$4="",$B39=""),0,SUMIF('DADOS BRUTOS'!$A$3:$A$500,$B39,'DADOS BRUTOS'!B$3:B$500)+IF($C39="",0,SUMIF('DADOS BRUTOS'!$A$3:$A$500,$C39,'DADOS BRUTOS'!B$3:B$500)))</f>
        <v>0</v>
      </c>
      <c r="CC39" s="133" t="n">
        <f aca="false">IF(OR(CC$4="",$B39=""),0,SUMIF('DADOS BRUTOS'!$A$3:$A$500,$B39,'DADOS BRUTOS'!C$3:C$500)+IF($C39="",0,SUMIF('DADOS BRUTOS'!$A$3:$A$500,$C39,'DADOS BRUTOS'!C$3:C$500)))</f>
        <v>0</v>
      </c>
      <c r="CD39" s="133" t="n">
        <f aca="false">IF(OR(CD$4="",$B39=""),0,SUMIF('DADOS BRUTOS'!$A$3:$A$500,$B39,'DADOS BRUTOS'!D$3:D$500)+IF($C39="",0,SUMIF('DADOS BRUTOS'!$A$3:$A$500,$C39,'DADOS BRUTOS'!D$3:D$500)))</f>
        <v>0</v>
      </c>
      <c r="CE39" s="133" t="n">
        <f aca="false">IF(OR(CE$4="",$B39=""),0,SUMIF('DADOS BRUTOS'!$A$3:$A$500,$B39,'DADOS BRUTOS'!E$3:E$500)+IF($C39="",0,SUMIF('DADOS BRUTOS'!$A$3:$A$500,$C39,'DADOS BRUTOS'!E$3:E$500)))</f>
        <v>0</v>
      </c>
      <c r="CF39" s="133" t="n">
        <f aca="false">IF(OR(CF$4="",$B39=""),0,SUMIF('DADOS BRUTOS'!$A$3:$A$500,$B39,'DADOS BRUTOS'!F$3:F$500)+IF($C39="",0,SUMIF('DADOS BRUTOS'!$A$3:$A$500,$C39,'DADOS BRUTOS'!F$3:F$500)))</f>
        <v>0</v>
      </c>
      <c r="CG39" s="133" t="n">
        <f aca="false">IF(OR(CG$4="",$B39=""),0,SUMIF('DADOS BRUTOS'!$A$3:$A$500,$B39,'DADOS BRUTOS'!G$3:G$500)+IF($C39="",0,SUMIF('DADOS BRUTOS'!$A$3:$A$500,$C39,'DADOS BRUTOS'!G$3:G$500)))</f>
        <v>0</v>
      </c>
      <c r="CH39" s="133" t="n">
        <f aca="false">IF(OR(CH$4="",$B39=""),0,SUMIF('DADOS BRUTOS'!$A$3:$A$500,$B39,'DADOS BRUTOS'!H$3:H$500)+IF($C39="",0,SUMIF('DADOS BRUTOS'!$A$3:$A$500,$C39,'DADOS BRUTOS'!H$3:H$500)))</f>
        <v>0</v>
      </c>
      <c r="CI39" s="133" t="n">
        <f aca="false">IF(OR(CI$4="",$B39=""),0,SUMIF('DADOS BRUTOS'!$A$3:$A$500,$B39,'DADOS BRUTOS'!I$3:I$500)+IF($C39="",0,SUMIF('DADOS BRUTOS'!$A$3:$A$500,$C39,'DADOS BRUTOS'!I$3:I$500)))</f>
        <v>0</v>
      </c>
      <c r="CJ39" s="133" t="n">
        <f aca="false">IF(OR(CJ$4="",$B39=""),0,SUMIF('DADOS BRUTOS'!$A$3:$A$500,$B39,'DADOS BRUTOS'!J$3:J$500)+IF($C39="",0,SUMIF('DADOS BRUTOS'!$A$3:$A$500,$C39,'DADOS BRUTOS'!J$3:J$500)))</f>
        <v>0</v>
      </c>
      <c r="CK39" s="133" t="n">
        <f aca="false">IF(OR(CK$4="",$B39=""),0,SUMIF('DADOS BRUTOS'!$A$3:$A$500,$B39,'DADOS BRUTOS'!K$3:K$500)+IF($C39="",0,SUMIF('DADOS BRUTOS'!$A$3:$A$500,$C39,'DADOS BRUTOS'!K$3:K$500)))</f>
        <v>0</v>
      </c>
      <c r="CL39" s="133" t="n">
        <f aca="false">IF(OR(CL$4="",$B39=""),0,SUMIF('DADOS BRUTOS'!$A$3:$A$500,$B39,'DADOS BRUTOS'!L$3:L$500)+IF($C39="",0,SUMIF('DADOS BRUTOS'!$A$3:$A$500,$C39,'DADOS BRUTOS'!L$3:L$500)))</f>
        <v>0</v>
      </c>
      <c r="CM39" s="133" t="n">
        <f aca="false">IF(OR(CM$4="",$B39=""),0,SUMIF('DADOS BRUTOS'!$A$3:$A$500,$B39,'DADOS BRUTOS'!M$3:M$500)+IF($C39="",0,SUMIF('DADOS BRUTOS'!$A$3:$A$500,$C39,'DADOS BRUTOS'!M$3:M$500)))</f>
        <v>0</v>
      </c>
      <c r="CN39" s="133" t="n">
        <f aca="false">IF(OR(CN$4="",$B39=""),0,SUMIF('DADOS BRUTOS'!$A$3:$A$500,$B39,'DADOS BRUTOS'!N$3:N$500)+IF($C39="",0,SUMIF('DADOS BRUTOS'!$A$3:$A$500,$C39,'DADOS BRUTOS'!N$3:N$500)))</f>
        <v>0</v>
      </c>
      <c r="CO39" s="133" t="n">
        <f aca="false">IF(OR(CO$4="",$B39=""),0,SUMIF('DADOS BRUTOS'!$A$3:$A$500,$B39,'DADOS BRUTOS'!O$3:O$500)+IF($C39="",0,SUMIF('DADOS BRUTOS'!$A$3:$A$500,$C39,'DADOS BRUTOS'!O$3:O$500)))</f>
        <v>0</v>
      </c>
      <c r="CP39" s="133" t="n">
        <f aca="false">IF(OR(CP$4="",$B39=""),0,SUMIF('DADOS BRUTOS'!$A$3:$A$500,$B39,'DADOS BRUTOS'!P$3:P$500)+IF($C39="",0,SUMIF('DADOS BRUTOS'!$A$3:$A$500,$C39,'DADOS BRUTOS'!P$3:P$500)))</f>
        <v>0</v>
      </c>
      <c r="CQ39" s="133" t="n">
        <f aca="false">IF(OR(CQ$4="",$B39=""),0,SUMIF('DADOS BRUTOS'!$A$3:$A$500,$B39,'DADOS BRUTOS'!Q$3:Q$500)+IF($C39="",0,SUMIF('DADOS BRUTOS'!$A$3:$A$500,$C39,'DADOS BRUTOS'!Q$3:Q$500)))</f>
        <v>0</v>
      </c>
      <c r="CR39" s="133" t="n">
        <f aca="false">IF(OR(CR$4="",$B39=""),0,SUMIF('DADOS BRUTOS'!$A$3:$A$500,$B39,'DADOS BRUTOS'!R$3:R$500)+IF($C39="",0,SUMIF('DADOS BRUTOS'!$A$3:$A$500,$C39,'DADOS BRUTOS'!R$3:R$500)))</f>
        <v>0</v>
      </c>
      <c r="CS39" s="133" t="n">
        <f aca="false">IF(OR(CS$4="",$B39=""),0,SUMIF('DADOS BRUTOS'!$A$3:$A$500,$B39,'DADOS BRUTOS'!S$3:S$500)+IF($C39="",0,SUMIF('DADOS BRUTOS'!$A$3:$A$500,$C39,'DADOS BRUTOS'!S$3:S$500)))</f>
        <v>0</v>
      </c>
      <c r="CT39" s="133" t="n">
        <f aca="false">IF(OR(CT$4="",$B39=""),0,SUMIF('DADOS BRUTOS'!$A$3:$A$500,$B39,'DADOS BRUTOS'!T$3:T$500)+IF($C39="",0,SUMIF('DADOS BRUTOS'!$A$3:$A$500,$C39,'DADOS BRUTOS'!T$3:T$500)))</f>
        <v>0</v>
      </c>
      <c r="CU39" s="133" t="n">
        <f aca="false">IF(OR(CU$4="",$B39=""),0,SUMIF('DADOS BRUTOS'!$A$3:$A$500,$B39,'DADOS BRUTOS'!U$3:U$500)+IF($C39="",0,SUMIF('DADOS BRUTOS'!$A$3:$A$500,$C39,'DADOS BRUTOS'!U$3:U$500)))</f>
        <v>0</v>
      </c>
      <c r="CV39" s="133" t="n">
        <f aca="false">IF(OR(CV$4="",$B39=""),0,SUMIF('DADOS BRUTOS'!$A$3:$A$500,$B39,'DADOS BRUTOS'!V$3:V$500)+IF($C39="",0,SUMIF('DADOS BRUTOS'!$A$3:$A$500,$C39,'DADOS BRUTOS'!V$3:V$500)))</f>
        <v>0</v>
      </c>
      <c r="CW39" s="133" t="n">
        <f aca="false">IF(OR(CW$4="",$B39=""),0,SUMIF('DADOS BRUTOS'!$A$3:$A$500,$B39,'DADOS BRUTOS'!W$3:W$500)+IF($C39="",0,SUMIF('DADOS BRUTOS'!$A$3:$A$500,$C39,'DADOS BRUTOS'!W$3:W$500)))</f>
        <v>0</v>
      </c>
      <c r="CX39" s="133" t="n">
        <f aca="false">IF(OR(CX$4="",$B39=""),0,SUMIF('DADOS BRUTOS'!$A$3:$A$500,$B39,'DADOS BRUTOS'!X$3:X$500)+IF($C39="",0,SUMIF('DADOS BRUTOS'!$A$3:$A$500,$C39,'DADOS BRUTOS'!X$3:X$500)))</f>
        <v>0</v>
      </c>
      <c r="CY39" s="133" t="n">
        <f aca="false">IF(OR(CY$4="",$B39=""),0,SUMIF('DADOS BRUTOS'!$A$3:$A$500,$B39,'DADOS BRUTOS'!Y$3:Y$500)+IF($C39="",0,SUMIF('DADOS BRUTOS'!$A$3:$A$500,$C39,'DADOS BRUTOS'!Y$3:Y$500)))</f>
        <v>0</v>
      </c>
      <c r="CZ39" s="133" t="n">
        <f aca="false">IF(OR(CZ$4="",$B39=""),0,SUMIF('DADOS BRUTOS'!$A$3:$A$500,$B39,'DADOS BRUTOS'!Z$3:Z$500)+IF($C39="",0,SUMIF('DADOS BRUTOS'!$A$3:$A$500,$C39,'DADOS BRUTOS'!Z$3:Z$500)))</f>
        <v>0</v>
      </c>
      <c r="DA39" s="133" t="n">
        <f aca="false">IF(OR(DA$4="",$B39=""),0,SUMIF('DADOS BRUTOS'!$A$3:$A$500,$B39,'DADOS BRUTOS'!AA$3:AA$500)+IF($C39="",0,SUMIF('DADOS BRUTOS'!$A$3:$A$500,$C39,'DADOS BRUTOS'!AA$3:AA$500)))</f>
        <v>0</v>
      </c>
      <c r="DB39" s="133" t="n">
        <f aca="false">IF(OR(DB$4="",$B39=""),0,SUMIF('DADOS BRUTOS'!$A$3:$A$500,$B39,'DADOS BRUTOS'!AB$3:AB$500)+IF($C39="",0,SUMIF('DADOS BRUTOS'!$A$3:$A$500,$C39,'DADOS BRUTOS'!AB$3:AB$500)))</f>
        <v>0</v>
      </c>
      <c r="DC39" s="133" t="n">
        <f aca="false">IF(OR(DC$4="",$B39=""),0,SUMIF('DADOS BRUTOS'!$A$3:$A$500,$B39,'DADOS BRUTOS'!AC$3:AC$500)+IF($C39="",0,SUMIF('DADOS BRUTOS'!$A$3:$A$500,$C39,'DADOS BRUTOS'!AC$3:AC$500)))</f>
        <v>0</v>
      </c>
      <c r="DD39" s="133" t="n">
        <f aca="false">IF(OR(DD$4="",$B39=""),0,SUMIF('DADOS BRUTOS'!$A$3:$A$500,$B39,'DADOS BRUTOS'!AD$3:AD$500)+IF($C39="",0,SUMIF('DADOS BRUTOS'!$A$3:$A$500,$C39,'DADOS BRUTOS'!AD$3:AD$500)))</f>
        <v>0</v>
      </c>
      <c r="DE39" s="133" t="n">
        <f aca="false">IF(OR(DE$4="",$B39=""),0,SUMIF('DADOS BRUTOS'!$A$3:$A$500,$B39,'DADOS BRUTOS'!AE$3:AE$500)+IF($C39="",0,SUMIF('DADOS BRUTOS'!$A$3:$A$500,$C39,'DADOS BRUTOS'!AE$3:AE$500)))</f>
        <v>0</v>
      </c>
      <c r="DF39" s="133" t="n">
        <f aca="false">IF(OR(DF$4="",$B39=""),0,SUMIF('DADOS BRUTOS'!$A$3:$A$500,$B39,'DADOS BRUTOS'!AF$3:AF$500)+IF($C39="",0,SUMIF('DADOS BRUTOS'!$A$3:$A$500,$C39,'DADOS BRUTOS'!AF$3:AF$500)))</f>
        <v>0</v>
      </c>
      <c r="DG39" s="133" t="n">
        <f aca="false">IF(OR(DG$4="",$B39=""),0,SUMIF('DADOS BRUTOS'!$A$3:$A$500,$B39,'DADOS BRUTOS'!AG$3:AG$500)+IF($C39="",0,SUMIF('DADOS BRUTOS'!$A$3:$A$500,$C39,'DADOS BRUTOS'!AG$3:AG$500)))</f>
        <v>0</v>
      </c>
      <c r="DH39" s="133" t="n">
        <f aca="false">IF(OR(DH$4="",$B39=""),0,SUMIF('DADOS BRUTOS'!$A$3:$A$500,$B39,'DADOS BRUTOS'!AH$3:AH$500)+IF($C39="",0,SUMIF('DADOS BRUTOS'!$A$3:$A$500,$C39,'DADOS BRUTOS'!AH$3:AH$500)))</f>
        <v>0</v>
      </c>
      <c r="DI39" s="133" t="n">
        <f aca="false">IF(OR(DI$4="",$B39=""),0,SUMIF('DADOS BRUTOS'!$A$3:$A$500,$B39,'DADOS BRUTOS'!AI$3:AI$500)+IF($C39="",0,SUMIF('DADOS BRUTOS'!$A$3:$A$500,$C39,'DADOS BRUTOS'!AI$3:AI$500)))</f>
        <v>0</v>
      </c>
      <c r="DJ39" s="133" t="n">
        <f aca="false">IF(OR(DJ$4="",$B39=""),0,SUMIF('DADOS BRUTOS'!$A$3:$A$500,$B39,'DADOS BRUTOS'!AJ$3:AJ$500)+IF($C39="",0,SUMIF('DADOS BRUTOS'!$A$3:$A$500,$C39,'DADOS BRUTOS'!AJ$3:AJ$500)))</f>
        <v>0</v>
      </c>
      <c r="DK39" s="133" t="n">
        <f aca="false">IF(OR(DK$4="",$B39=""),0,SUMIF('DADOS BRUTOS'!$A$3:$A$500,$B39,'DADOS BRUTOS'!AK$3:AK$500)+IF($C39="",0,SUMIF('DADOS BRUTOS'!$A$3:$A$500,$C39,'DADOS BRUTOS'!AK$3:AK$500)))</f>
        <v>0</v>
      </c>
      <c r="DL39" s="133" t="n">
        <f aca="false">IF(OR(DL$4="",$B39=""),0,SUMIF('DADOS BRUTOS'!$A$3:$A$500,$B39,'DADOS BRUTOS'!AL$3:AL$500)+IF($C39="",0,SUMIF('DADOS BRUTOS'!$A$3:$A$500,$C39,'DADOS BRUTOS'!AL$3:AL$500)))</f>
        <v>0</v>
      </c>
      <c r="DM39" s="133" t="n">
        <f aca="false">IF(OR(DM$4="",$B39=""),0,SUMIF('DADOS BRUTOS'!$A$3:$A$500,$B39,'DADOS BRUTOS'!AM$3:AM$500)+IF($C39="",0,SUMIF('DADOS BRUTOS'!$A$3:$A$500,$C39,'DADOS BRUTOS'!AM$3:AM$500)))</f>
        <v>0</v>
      </c>
      <c r="DN39" s="133" t="n">
        <f aca="false">IF(OR(DN$4="",$B39=""),0,SUMIF('DADOS BRUTOS'!$A$3:$A$500,$B39,'DADOS BRUTOS'!AN$3:AN$500)+IF($C39="",0,SUMIF('DADOS BRUTOS'!$A$3:$A$500,$C39,'DADOS BRUTOS'!AN$3:AN$500)))</f>
        <v>0</v>
      </c>
      <c r="DO39" s="133" t="n">
        <f aca="false">IF(OR(DO$4="",$B39=""),0,SUMIF('DADOS BRUTOS'!$A$3:$A$500,$B39,'DADOS BRUTOS'!AO$3:AO$500)+IF($C39="",0,SUMIF('DADOS BRUTOS'!$A$3:$A$500,$C39,'DADOS BRUTOS'!AO$3:AO$500)))</f>
        <v>0</v>
      </c>
      <c r="DP39" s="133" t="n">
        <f aca="false">IF(OR(DP$4="",$B39=""),0,SUMIF('DADOS BRUTOS'!$A$3:$A$500,$B39,'DADOS BRUTOS'!AP$3:AP$500)+IF($C39="",0,SUMIF('DADOS BRUTOS'!$A$3:$A$500,$C39,'DADOS BRUTOS'!AP$3:AP$500)))</f>
        <v>0</v>
      </c>
      <c r="DQ39" s="133" t="n">
        <f aca="false">IF(OR(DQ$4="",$B39=""),0,SUMIF('DADOS BRUTOS'!$A$3:$A$500,$B39,'DADOS BRUTOS'!AQ$3:AQ$500)+IF($C39="",0,SUMIF('DADOS BRUTOS'!$A$3:$A$500,$C39,'DADOS BRUTOS'!AQ$3:AQ$500)))</f>
        <v>0</v>
      </c>
      <c r="DR39" s="133" t="n">
        <f aca="false">IF(OR(DR$4="",$B39=""),0,SUMIF('DADOS BRUTOS'!$A$3:$A$500,$B39,'DADOS BRUTOS'!AR$3:AR$500)+IF($C39="",0,SUMIF('DADOS BRUTOS'!$A$3:$A$500,$C39,'DADOS BRUTOS'!AR$3:AR$500)))</f>
        <v>0</v>
      </c>
      <c r="DS39" s="133" t="n">
        <f aca="false">IF(OR(DS$4="",$B39=""),0,SUMIF('DADOS BRUTOS'!$A$3:$A$500,$B39,'DADOS BRUTOS'!AS$3:AS$500)+IF($C39="",0,SUMIF('DADOS BRUTOS'!$A$3:$A$500,$C39,'DADOS BRUTOS'!AS$3:AS$500)))</f>
        <v>0</v>
      </c>
      <c r="DT39" s="133" t="n">
        <f aca="false">IF(OR(DT$4="",$B39=""),0,SUMIF('DADOS BRUTOS'!$A$3:$A$500,$B39,'DADOS BRUTOS'!AT$3:AT$500)+IF($C39="",0,SUMIF('DADOS BRUTOS'!$A$3:$A$500,$C39,'DADOS BRUTOS'!AT$3:AT$500)))</f>
        <v>0</v>
      </c>
      <c r="DU39" s="133" t="n">
        <f aca="false">IF(OR(DU$4="",$B39=""),0,SUMIF('DADOS BRUTOS'!$A$3:$A$500,$B39,'DADOS BRUTOS'!AU$3:AU$500)+IF($C39="",0,SUMIF('DADOS BRUTOS'!$A$3:$A$500,$C39,'DADOS BRUTOS'!AU$3:AU$500)))</f>
        <v>0</v>
      </c>
      <c r="DV39" s="133" t="n">
        <f aca="false">IF(OR(DV$4="",$B39=""),0,SUMIF('DADOS BRUTOS'!$A$3:$A$500,$B39,'DADOS BRUTOS'!AV$3:AV$500)+IF($C39="",0,SUMIF('DADOS BRUTOS'!$A$3:$A$500,$C39,'DADOS BRUTOS'!AV$3:AV$500)))</f>
        <v>0</v>
      </c>
      <c r="DW39" s="133" t="n">
        <f aca="false">IF(OR(DW$4="",$B39=""),0,SUMIF('DADOS BRUTOS'!$A$3:$A$500,$B39,'DADOS BRUTOS'!AW$3:AW$500)+IF($C39="",0,SUMIF('DADOS BRUTOS'!$A$3:$A$500,$C39,'DADOS BRUTOS'!AW$3:AW$500)))</f>
        <v>2371.88</v>
      </c>
      <c r="DX39" s="133" t="n">
        <f aca="false">IF(OR(DX$4="",$B39=""),0,SUMIF('DADOS BRUTOS'!$A$3:$A$500,$B39,'DADOS BRUTOS'!AX$3:AX$500)+IF($C39="",0,SUMIF('DADOS BRUTOS'!$A$3:$A$500,$C39,'DADOS BRUTOS'!AX$3:AX$500)))</f>
        <v>6712.62</v>
      </c>
      <c r="DY39" s="133" t="n">
        <f aca="false">IF(OR(DY$4="",$B39=""),0,SUMIF('DADOS BRUTOS'!$A$3:$A$500,$B39,'DADOS BRUTOS'!AY$3:AY$500)+IF($C39="",0,SUMIF('DADOS BRUTOS'!$A$3:$A$500,$C39,'DADOS BRUTOS'!AY$3:AY$500)))</f>
        <v>12812.41</v>
      </c>
      <c r="DZ39" s="133" t="n">
        <f aca="false">IF(OR(DZ$4="",$B39=""),0,SUMIF('DADOS BRUTOS'!$A$3:$A$500,$B39,'DADOS BRUTOS'!AZ$3:AZ$500)+IF($C39="",0,SUMIF('DADOS BRUTOS'!$A$3:$A$500,$C39,'DADOS BRUTOS'!AZ$3:AZ$500)))</f>
        <v>13032.01</v>
      </c>
      <c r="EA39" s="133" t="n">
        <f aca="false">IF(OR(EA$4="",$B39=""),0,SUMIF('DADOS BRUTOS'!$A$3:$A$500,$B39,'DADOS BRUTOS'!BA$3:BA$500)+IF($C39="",0,SUMIF('DADOS BRUTOS'!$A$3:$A$500,$C39,'DADOS BRUTOS'!BA$3:BA$500)))</f>
        <v>27991.11</v>
      </c>
      <c r="EB39" s="133" t="n">
        <f aca="false">IF(OR(EB$4="",$B39=""),0,SUMIF('DADOS BRUTOS'!$A$3:$A$500,$B39,'DADOS BRUTOS'!BB$3:BB$500)+IF($C39="",0,SUMIF('DADOS BRUTOS'!$A$3:$A$500,$C39,'DADOS BRUTOS'!BB$3:BB$500)))</f>
        <v>23955.73</v>
      </c>
      <c r="EC39" s="133" t="n">
        <f aca="false">IF(OR(EC$4="",$B39=""),0,SUMIF('DADOS BRUTOS'!$A$3:$A$500,$B39,'DADOS BRUTOS'!BC$3:BC$500)+IF($C39="",0,SUMIF('DADOS BRUTOS'!$A$3:$A$500,$C39,'DADOS BRUTOS'!BC$3:BC$500)))</f>
        <v>1621.89</v>
      </c>
      <c r="ED39" s="133" t="n">
        <f aca="false">IF(OR(ED$4="",$B39=""),0,SUMIF('DADOS BRUTOS'!$A$3:$A$500,$B39,'DADOS BRUTOS'!BD$3:BD$500)+IF($C39="",0,SUMIF('DADOS BRUTOS'!$A$3:$A$500,$C39,'DADOS BRUTOS'!BD$3:BD$500)))</f>
        <v>28284.95</v>
      </c>
      <c r="EE39" s="133" t="n">
        <f aca="false">IF(OR(EE$4="",$B39=""),0,SUMIF('DADOS BRUTOS'!$A$3:$A$500,$B39,'DADOS BRUTOS'!BE$3:BE$500)+IF($C39="",0,SUMIF('DADOS BRUTOS'!$A$3:$A$500,$C39,'DADOS BRUTOS'!BE$3:BE$500)))</f>
        <v>810.49</v>
      </c>
      <c r="EF39" s="133" t="n">
        <f aca="false">IF(OR(EF$4="",$B39=""),0,SUMIF('DADOS BRUTOS'!$A$3:$A$500,$B39,'DADOS BRUTOS'!BF$3:BF$500)+IF($C39="",0,SUMIF('DADOS BRUTOS'!$A$3:$A$500,$C39,'DADOS BRUTOS'!BF$3:BF$500)))</f>
        <v>766.34</v>
      </c>
      <c r="EG39" s="133" t="n">
        <f aca="false">IF(OR(EG$4="",$B39=""),0,SUMIF('DADOS BRUTOS'!$A$3:$A$500,$B39,'DADOS BRUTOS'!BG$3:BG$500)+IF($C39="",0,SUMIF('DADOS BRUTOS'!$A$3:$A$500,$C39,'DADOS BRUTOS'!BG$3:BG$500)))</f>
        <v>0</v>
      </c>
      <c r="EH39" s="133" t="n">
        <f aca="false">IF(OR(EH$4="",$B39=""),0,SUMIF('DADOS BRUTOS'!$A$3:$A$500,$B39,'DADOS BRUTOS'!BH$3:BH$500)+IF($C39="",0,SUMIF('DADOS BRUTOS'!$A$3:$A$500,$C39,'DADOS BRUTOS'!BH$3:BH$500)))</f>
        <v>0</v>
      </c>
      <c r="EI39" s="133" t="n">
        <f aca="false">IF(OR(EI$4="",$B39=""),0,SUMIF('DADOS BRUTOS'!$A$3:$A$500,$B39,'DADOS BRUTOS'!BI$3:BI$500)+IF($C39="",0,SUMIF('DADOS BRUTOS'!$A$3:$A$500,$C39,'DADOS BRUTOS'!BI$3:BI$500)))</f>
        <v>0</v>
      </c>
      <c r="EJ39" s="133" t="n">
        <f aca="false">IF(OR(EJ$4="",$B39=""),0,SUMIF('DADOS BRUTOS'!$A$3:$A$500,$B39,'DADOS BRUTOS'!BJ$3:BJ$500)+IF($C39="",0,SUMIF('DADOS BRUTOS'!$A$3:$A$500,$C39,'DADOS BRUTOS'!BJ$3:BJ$500)))</f>
        <v>0</v>
      </c>
      <c r="EK39" s="133" t="n">
        <f aca="false">IF(OR(EK$4="",$B39=""),0,SUMIF('DADOS BRUTOS'!$A$3:$A$500,$B39,'DADOS BRUTOS'!BK$3:BK$500)+IF($C39="",0,SUMIF('DADOS BRUTOS'!$A$3:$A$500,$C39,'DADOS BRUTOS'!BK$3:BK$500)))</f>
        <v>0</v>
      </c>
      <c r="EL39" s="133" t="n">
        <f aca="false">IF(OR(EL$4="",$B39=""),0,SUMIF('DADOS BRUTOS'!$A$3:$A$500,$B39,'DADOS BRUTOS'!BL$3:BL$500)+IF($C39="",0,SUMIF('DADOS BRUTOS'!$A$3:$A$500,$C39,'DADOS BRUTOS'!BL$3:BL$500)))</f>
        <v>0</v>
      </c>
      <c r="EM39" s="133" t="n">
        <f aca="false">IF(OR(EM$4="",$B39=""),0,SUMIF('DADOS BRUTOS'!$A$3:$A$500,$B39,'DADOS BRUTOS'!BM$3:BM$500)+IF($C39="",0,SUMIF('DADOS BRUTOS'!$A$3:$A$500,$C39,'DADOS BRUTOS'!BM$3:BM$500)))</f>
        <v>0</v>
      </c>
      <c r="EN39" s="133" t="n">
        <f aca="false">IF(OR(EN$4="",$B39=""),0,SUMIF('DADOS BRUTOS'!$A$3:$A$500,$B39,'DADOS BRUTOS'!BN$3:BN$500)+IF($C39="",0,SUMIF('DADOS BRUTOS'!$A$3:$A$500,$C39,'DADOS BRUTOS'!BN$3:BN$500)))</f>
        <v>0</v>
      </c>
      <c r="EO39" s="133" t="n">
        <f aca="false">IF(OR(EO$4="",$B39=""),0,SUMIF('DADOS BRUTOS'!$A$3:$A$500,$B39,'DADOS BRUTOS'!BO$3:BO$500)+IF($C39="",0,SUMIF('DADOS BRUTOS'!$A$3:$A$500,$C39,'DADOS BRUTOS'!BO$3:BO$500)))</f>
        <v>0</v>
      </c>
      <c r="EP39" s="133" t="n">
        <f aca="false">IF(OR(EP$4="",$B39=""),0,SUMIF('DADOS BRUTOS'!$A$3:$A$500,$B39,'DADOS BRUTOS'!BP$3:BP$500)+IF($C39="",0,SUMIF('DADOS BRUTOS'!$A$3:$A$500,$C39,'DADOS BRUTOS'!BP$3:BP$500)))</f>
        <v>0</v>
      </c>
      <c r="EQ39" s="133" t="n">
        <f aca="false">IF(OR(EQ$4="",$B39=""),0,SUMIF('DADOS BRUTOS'!$A$3:$A$500,$B39,'DADOS BRUTOS'!BQ$3:BQ$500)+IF($C39="",0,SUMIF('DADOS BRUTOS'!$A$3:$A$500,$C39,'DADOS BRUTOS'!BQ$3:BQ$500)))</f>
        <v>0</v>
      </c>
      <c r="ER39" s="133" t="n">
        <f aca="false">IF(OR(ER$4="",$B39=""),0,SUMIF('DADOS BRUTOS'!$A$3:$A$500,$B39,'DADOS BRUTOS'!BR$3:BR$500)+IF($C39="",0,SUMIF('DADOS BRUTOS'!$A$3:$A$500,$C39,'DADOS BRUTOS'!BR$3:BR$500)))</f>
        <v>0</v>
      </c>
      <c r="ES39" s="133" t="n">
        <f aca="false">IF(OR(ES$4="",$B39=""),0,SUMIF('DADOS BRUTOS'!$A$3:$A$500,$B39,'DADOS BRUTOS'!BS$3:BS$500)+IF($C39="",0,SUMIF('DADOS BRUTOS'!$A$3:$A$500,$C39,'DADOS BRUTOS'!BS$3:BS$500)))</f>
        <v>0</v>
      </c>
      <c r="ET39" s="133" t="n">
        <f aca="false">IF(OR(ET$4="",$B39=""),0,SUMIF('DADOS BRUTOS'!$A$3:$A$500,$B39,'DADOS BRUTOS'!BT$3:BT$500)+IF($C39="",0,SUMIF('DADOS BRUTOS'!$A$3:$A$500,$C39,'DADOS BRUTOS'!BT$3:BT$500)))</f>
        <v>0</v>
      </c>
      <c r="EU39" s="133" t="n">
        <f aca="false">IF(OR(EU$4="",$B39=""),0,SUMIF('DADOS BRUTOS'!$A$3:$A$500,$B39,'DADOS BRUTOS'!BU$3:BU$500)+IF($C39="",0,SUMIF('DADOS BRUTOS'!$A$3:$A$500,$C39,'DADOS BRUTOS'!BU$3:BU$500)))</f>
        <v>0</v>
      </c>
      <c r="EV39" s="133" t="n">
        <f aca="false">IF(OR(EV$4="",$B39=""),0,SUMIF('DADOS BRUTOS'!$A$3:$A$500,$B39,'DADOS BRUTOS'!BV$3:BV$500)+IF($C39="",0,SUMIF('DADOS BRUTOS'!$A$3:$A$500,$C39,'DADOS BRUTOS'!BV$3:BV$500)))</f>
        <v>0</v>
      </c>
      <c r="EW39" s="133" t="n">
        <f aca="false">IF(OR(EW$4="",$B39=""),0,SUMIF('DADOS BRUTOS'!$A$3:$A$500,$B39,'DADOS BRUTOS'!BW$3:BW$500)+IF($C39="",0,SUMIF('DADOS BRUTOS'!$A$3:$A$500,$C39,'DADOS BRUTOS'!BW$3:BW$500)))</f>
        <v>0</v>
      </c>
      <c r="EX39" s="133" t="n">
        <f aca="false">IF(OR(EX$4="",$B39=""),0,SUMIF('DADOS BRUTOS'!$A$3:$A$500,$B39,'DADOS BRUTOS'!BX$3:BX$500)+IF($C39="",0,SUMIF('DADOS BRUTOS'!$A$3:$A$500,$C39,'DADOS BRUTOS'!BX$3:BX$500)))</f>
        <v>8382.84</v>
      </c>
      <c r="EY39" s="133" t="n">
        <f aca="false">IF(OR(EY$4="",$B39=""),0,SUMIF('DADOS BRUTOS'!$A$3:$A$500,$B39,'DADOS BRUTOS'!BY$3:BY$500)+IF($C39="",0,SUMIF('DADOS BRUTOS'!$A$3:$A$500,$C39,'DADOS BRUTOS'!BY$3:BY$500)))</f>
        <v>0</v>
      </c>
      <c r="EZ39" s="133" t="n">
        <f aca="false">IF(OR(EZ$4="",$B39=""),0,SUMIF('DADOS BRUTOS'!$A$3:$A$500,$B39,'DADOS BRUTOS'!BZ$3:BZ$500)+IF($C39="",0,SUMIF('DADOS BRUTOS'!$A$3:$A$500,$C39,'DADOS BRUTOS'!BZ$3:BZ$500)))</f>
        <v>0</v>
      </c>
      <c r="FA39" s="133" t="n">
        <f aca="false">IF(OR(FA$4="",$B39=""),0,SUMIF('DADOS BRUTOS'!$A$3:$A$500,$B39,'DADOS BRUTOS'!CA$3:CA$500)+IF($C39="",0,SUMIF('DADOS BRUTOS'!$A$3:$A$500,$C39,'DADOS BRUTOS'!CA$3:CA$500)))</f>
        <v>0</v>
      </c>
      <c r="FB39" s="133" t="n">
        <f aca="false">IF(OR(FB$4="",$B39=""),0,SUMIF('DADOS BRUTOS'!$A$3:$A$500,$B39,'DADOS BRUTOS'!CB$3:CB$500)+IF($C39="",0,SUMIF('DADOS BRUTOS'!$A$3:$A$500,$C39,'DADOS BRUTOS'!CB$3:CB$500)))</f>
        <v>0</v>
      </c>
      <c r="FC39" s="133" t="n">
        <f aca="false">IF(OR(FC$4="",$B39=""),0,SUMIF('DADOS BRUTOS'!$A$3:$A$500,$B39,'DADOS BRUTOS'!CC$3:CC$500)+IF($C39="",0,SUMIF('DADOS BRUTOS'!$A$3:$A$500,$C39,'DADOS BRUTOS'!CC$3:CC$500)))</f>
        <v>0</v>
      </c>
      <c r="FD39" s="133" t="n">
        <f aca="false">IF(OR(FD$4="",$B39=""),0,SUMIF('DADOS BRUTOS'!$A$3:$A$500,$B39,'DADOS BRUTOS'!CD$3:CD$500)+IF($C39="",0,SUMIF('DADOS BRUTOS'!$A$3:$A$500,$C39,'DADOS BRUTOS'!CD$3:CD$500)))</f>
        <v>0</v>
      </c>
      <c r="FE39" s="133" t="n">
        <f aca="false">IF(OR(FE$4="",$B39=""),0,SUMIF('DADOS BRUTOS'!$A$3:$A$500,$B39,'DADOS BRUTOS'!CE$3:CE$500)+IF($C39="",0,SUMIF('DADOS BRUTOS'!$A$3:$A$500,$C39,'DADOS BRUTOS'!CE$3:CE$500)))</f>
        <v>0</v>
      </c>
      <c r="FF39" s="133" t="n">
        <f aca="false">IF(OR(FF$4="",$B39=""),0,SUMIF('DADOS BRUTOS'!$A$3:$A$500,$B39,'DADOS BRUTOS'!CF$3:CF$500)+IF($C39="",0,SUMIF('DADOS BRUTOS'!$A$3:$A$500,$C39,'DADOS BRUTOS'!CF$3:CF$500)))</f>
        <v>0</v>
      </c>
      <c r="FG39" s="133" t="n">
        <f aca="false">IF(OR(FG$4="",$B39=""),0,SUMIF('DADOS BRUTOS'!$A$3:$A$500,$B39,'DADOS BRUTOS'!CG$3:CG$500)+IF($C39="",0,SUMIF('DADOS BRUTOS'!$A$3:$A$500,$C39,'DADOS BRUTOS'!CG$3:CG$500)))</f>
        <v>0</v>
      </c>
      <c r="FH39" s="133" t="n">
        <f aca="false">IF(OR(FH$4="",$B39=""),0,SUMIF('DADOS BRUTOS'!$A$3:$A$500,$B39,'DADOS BRUTOS'!CH$3:CH$500)+IF($C39="",0,SUMIF('DADOS BRUTOS'!$A$3:$A$500,$C39,'DADOS BRUTOS'!CH$3:CH$500)))</f>
        <v>0</v>
      </c>
      <c r="FI39" s="133" t="n">
        <f aca="false">IF(OR(FI$4="",$B39=""),0,SUMIF('DADOS BRUTOS'!$A$3:$A$500,$B39,'DADOS BRUTOS'!CI$3:CI$500)+IF($C39="",0,SUMIF('DADOS BRUTOS'!$A$3:$A$500,$C39,'DADOS BRUTOS'!CI$3:CI$500)))</f>
        <v>0</v>
      </c>
      <c r="FJ39" s="133" t="n">
        <f aca="false">IF(OR(FJ$4="",$B39=""),0,SUMIF('DADOS BRUTOS'!$A$3:$A$500,$B39,'DADOS BRUTOS'!CJ$3:CJ$500)+IF($C39="",0,SUMIF('DADOS BRUTOS'!$A$3:$A$500,$C39,'DADOS BRUTOS'!CJ$3:CJ$500)))</f>
        <v>0</v>
      </c>
      <c r="FK39" s="133" t="n">
        <f aca="false">IF(OR(FK$4="",$B39=""),0,SUMIF('DADOS BRUTOS'!$A$3:$A$500,$B39,'DADOS BRUTOS'!CK$3:CK$500)+IF($C39="",0,SUMIF('DADOS BRUTOS'!$A$3:$A$500,$C39,'DADOS BRUTOS'!CK$3:CK$500)))</f>
        <v>0</v>
      </c>
      <c r="FL39" s="133" t="n">
        <f aca="false">IF(OR(FL$4="",$B39=""),0,SUMIF('DADOS BRUTOS'!$A$3:$A$500,$B39,'DADOS BRUTOS'!CL$3:CL$500)+IF($C39="",0,SUMIF('DADOS BRUTOS'!$A$3:$A$500,$C39,'DADOS BRUTOS'!CL$3:CL$500)))</f>
        <v>0</v>
      </c>
      <c r="FM39" s="133" t="n">
        <f aca="false">IF(OR(FM$4="",$B39=""),0,SUMIF('DADOS BRUTOS'!$A$3:$A$500,$B39,'DADOS BRUTOS'!CM$3:CM$500)+IF($C39="",0,SUMIF('DADOS BRUTOS'!$A$3:$A$500,$C39,'DADOS BRUTOS'!CM$3:CM$500)))</f>
        <v>0</v>
      </c>
      <c r="FN39" s="133" t="n">
        <f aca="false">IF(OR(FN$4="",$B39=""),0,SUMIF('DADOS BRUTOS'!$A$3:$A$500,$B39,'DADOS BRUTOS'!CN$3:CN$500)+IF($C39="",0,SUMIF('DADOS BRUTOS'!$A$3:$A$500,$C39,'DADOS BRUTOS'!CN$3:CN$500)))</f>
        <v>0</v>
      </c>
      <c r="FO39" s="133" t="n">
        <f aca="false">IF(OR(FO$4="",$B39=""),0,SUMIF('DADOS BRUTOS'!$A$3:$A$500,$B39,'DADOS BRUTOS'!CO$3:CO$500)+IF($C39="",0,SUMIF('DADOS BRUTOS'!$A$3:$A$500,$C39,'DADOS BRUTOS'!CO$3:CO$500)))</f>
        <v>0</v>
      </c>
      <c r="FP39" s="133" t="n">
        <f aca="false">IF(OR(FP$4="",$B39=""),0,SUMIF('DADOS BRUTOS'!$A$3:$A$500,$B39,'DADOS BRUTOS'!CP$3:CP$500)+IF($C39="",0,SUMIF('DADOS BRUTOS'!$A$3:$A$500,$C39,'DADOS BRUTOS'!CP$3:CP$500)))</f>
        <v>0</v>
      </c>
      <c r="FQ39" s="133" t="n">
        <f aca="false">IF(OR(FQ$4="",$B39=""),0,SUMIF('DADOS BRUTOS'!$A$3:$A$500,$B39,'DADOS BRUTOS'!CQ$3:CQ$500)+IF($C39="",0,SUMIF('DADOS BRUTOS'!$A$3:$A$500,$C39,'DADOS BRUTOS'!CQ$3:CQ$500)))</f>
        <v>0</v>
      </c>
      <c r="FR39" s="133" t="n">
        <f aca="false">IF(OR(FR$4="",$B39=""),0,SUMIF('DADOS BRUTOS'!$A$3:$A$500,$B39,'DADOS BRUTOS'!CR$3:CR$500)+IF($C39="",0,SUMIF('DADOS BRUTOS'!$A$3:$A$500,$C39,'DADOS BRUTOS'!CR$3:CR$500)))</f>
        <v>0</v>
      </c>
      <c r="FS39" s="133" t="n">
        <f aca="false">IF(OR(FS$4="",$B39=""),0,SUMIF('DADOS BRUTOS'!$A$3:$A$500,$B39,'DADOS BRUTOS'!CS$3:CS$500)+IF($C39="",0,SUMIF('DADOS BRUTOS'!$A$3:$A$500,$C39,'DADOS BRUTOS'!CS$3:CS$500)))</f>
        <v>0</v>
      </c>
      <c r="FT39" s="133" t="n">
        <f aca="false">IF(OR(FT$4="",$B39=""),0,SUMIF('DADOS BRUTOS'!$A$3:$A$500,$B39,'DADOS BRUTOS'!CT$3:CT$500)+IF($C39="",0,SUMIF('DADOS BRUTOS'!$A$3:$A$500,$C39,'DADOS BRUTOS'!CT$3:CT$500)))</f>
        <v>0</v>
      </c>
      <c r="FU39" s="133" t="n">
        <f aca="false">IF(OR(FU$4="",$B39=""),0,SUMIF('DADOS BRUTOS'!$A$3:$A$500,$B39,'DADOS BRUTOS'!CU$3:CU$500)+IF($C39="",0,SUMIF('DADOS BRUTOS'!$A$3:$A$500,$C39,'DADOS BRUTOS'!CU$3:CU$500)))</f>
        <v>0</v>
      </c>
      <c r="FV39" s="133" t="n">
        <f aca="false">IF(OR(FV$4="",$B39=""),0,SUMIF('DADOS BRUTOS'!$A$3:$A$500,$B39,'DADOS BRUTOS'!CV$3:CV$500)+IF($C39="",0,SUMIF('DADOS BRUTOS'!$A$3:$A$500,$C39,'DADOS BRUTOS'!CV$3:CV$500)))</f>
        <v>0</v>
      </c>
      <c r="FW39" s="133" t="n">
        <f aca="false">IF(OR(FW$4="",$B39=""),0,SUMIF('DADOS BRUTOS'!$A$3:$A$500,$B39,'DADOS BRUTOS'!CW$3:CW$500)+IF($C39="",0,SUMIF('DADOS BRUTOS'!$A$3:$A$500,$C39,'DADOS BRUTOS'!CW$3:CW$500)))</f>
        <v>0</v>
      </c>
      <c r="FX39" s="133" t="n">
        <f aca="false">IF(OR(FX$4="",$B39=""),0,SUMIF('DADOS BRUTOS'!$A$3:$A$500,$B39,'DADOS BRUTOS'!CX$3:CX$500)+IF($C39="",0,SUMIF('DADOS BRUTOS'!$A$3:$A$500,$C39,'DADOS BRUTOS'!CX$3:CX$500)))</f>
        <v>0</v>
      </c>
      <c r="FY39" s="133" t="n">
        <f aca="false">IF(OR(FY$4="",$B39=""),0,SUMIF('DADOS BRUTOS'!$A$3:$A$500,$B39,'DADOS BRUTOS'!CY$3:CY$500)+IF($C39="",0,SUMIF('DADOS BRUTOS'!$A$3:$A$500,$C39,'DADOS BRUTOS'!CY$3:CY$500)))</f>
        <v>0</v>
      </c>
      <c r="FZ39" s="133" t="n">
        <f aca="false">IF(OR(FZ$4="",$B39=""),0,SUMIF('DADOS BRUTOS'!$A$3:$A$500,$B39,'DADOS BRUTOS'!CZ$3:CZ$500)+IF($C39="",0,SUMIF('DADOS BRUTOS'!$A$3:$A$500,$C39,'DADOS BRUTOS'!CZ$3:CZ$500)))</f>
        <v>0</v>
      </c>
      <c r="GA39" s="133" t="n">
        <f aca="false">IF(OR(GA$4="",$B39=""),0,SUMIF('DADOS BRUTOS'!$A$3:$A$500,$B39,'DADOS BRUTOS'!DA$3:DA$500)+IF($C39="",0,SUMIF('DADOS BRUTOS'!$A$3:$A$500,$C39,'DADOS BRUTOS'!DA$3:DA$500)))</f>
        <v>0</v>
      </c>
      <c r="GB39" s="133" t="n">
        <f aca="false">IF(OR(GB$4="",$B39=""),0,SUMIF('DADOS BRUTOS'!$A$3:$A$500,$B39,'DADOS BRUTOS'!DB$3:DB$500)+IF($C39="",0,SUMIF('DADOS BRUTOS'!$A$3:$A$500,$C39,'DADOS BRUTOS'!DB$3:DB$500)))</f>
        <v>0</v>
      </c>
      <c r="GC39" s="133" t="n">
        <f aca="false">IF(OR(GC$4="",$B39=""),0,SUMIF('DADOS BRUTOS'!$A$3:$A$500,$B39,'DADOS BRUTOS'!DC$3:DC$500)+IF($C39="",0,SUMIF('DADOS BRUTOS'!$A$3:$A$500,$C39,'DADOS BRUTOS'!DC$3:DC$500)))</f>
        <v>0</v>
      </c>
      <c r="GD39" s="133" t="n">
        <f aca="false">IF(OR(GD$4="",$B39=""),0,SUMIF('DADOS BRUTOS'!$A$3:$A$500,$B39,'DADOS BRUTOS'!DD$3:DD$500)+IF($C39="",0,SUMIF('DADOS BRUTOS'!$A$3:$A$500,$C39,'DADOS BRUTOS'!DD$3:DD$500)))</f>
        <v>0</v>
      </c>
      <c r="GE39" s="133" t="n">
        <f aca="false">IF(OR(GE$4="",$B39=""),0,SUMIF('DADOS BRUTOS'!$A$3:$A$500,$B39,'DADOS BRUTOS'!DE$3:DE$500)+IF($C39="",0,SUMIF('DADOS BRUTOS'!$A$3:$A$500,$C39,'DADOS BRUTOS'!DE$3:DE$500)))</f>
        <v>0</v>
      </c>
      <c r="GF39" s="133" t="n">
        <f aca="false">IF(OR(GF$4="",$B39=""),0,SUMIF('DADOS BRUTOS'!$A$3:$A$500,$B39,'DADOS BRUTOS'!DF$3:DF$500)+IF($C39="",0,SUMIF('DADOS BRUTOS'!$A$3:$A$500,$C39,'DADOS BRUTOS'!DF$3:DF$500)))</f>
        <v>0</v>
      </c>
      <c r="GG39" s="133" t="n">
        <f aca="false">IF(OR(GG$4="",$B39=""),0,SUMIF('DADOS BRUTOS'!$A$3:$A$500,$B39,'DADOS BRUTOS'!DG$3:DG$500)+IF($C39="",0,SUMIF('DADOS BRUTOS'!$A$3:$A$500,$C39,'DADOS BRUTOS'!DG$3:DG$500)))</f>
        <v>0</v>
      </c>
      <c r="GH39" s="133" t="n">
        <f aca="false">IF(OR(GH$4="",$B39=""),0,SUMIF('DADOS BRUTOS'!$A$3:$A$500,$B39,'DADOS BRUTOS'!DH$3:DH$500)+IF($C39="",0,SUMIF('DADOS BRUTOS'!$A$3:$A$500,$C39,'DADOS BRUTOS'!DH$3:DH$500)))</f>
        <v>0</v>
      </c>
      <c r="GI39" s="133" t="n">
        <f aca="false">IF(OR(GI$4="",$B39=""),0,SUMIF('DADOS BRUTOS'!$A$3:$A$500,$B39,'DADOS BRUTOS'!DI$3:DI$500)+IF($C39="",0,SUMIF('DADOS BRUTOS'!$A$3:$A$500,$C39,'DADOS BRUTOS'!DI$3:DI$500)))</f>
        <v>0</v>
      </c>
      <c r="GJ39" s="133" t="n">
        <f aca="false">IF(OR(GJ$4="",$B39=""),0,SUMIF('DADOS BRUTOS'!$A$3:$A$500,$B39,'DADOS BRUTOS'!DJ$3:DJ$500)+IF($C39="",0,SUMIF('DADOS BRUTOS'!$A$3:$A$500,$C39,'DADOS BRUTOS'!DJ$3:DJ$500)))</f>
        <v>0</v>
      </c>
      <c r="GK39" s="133" t="n">
        <f aca="false">IF(OR(GK$4="",$B39=""),0,SUMIF('DADOS BRUTOS'!$A$3:$A$500,$B39,'DADOS BRUTOS'!DK$3:DK$500)+IF($C39="",0,SUMIF('DADOS BRUTOS'!$A$3:$A$500,$C39,'DADOS BRUTOS'!DK$3:DK$500)))</f>
        <v>0</v>
      </c>
      <c r="GL39" s="133" t="n">
        <f aca="false">IF(OR(GL$4="",$B39=""),0,SUMIF('DADOS BRUTOS'!$A$3:$A$500,$B39,'DADOS BRUTOS'!DL$3:DL$500)+IF($C39="",0,SUMIF('DADOS BRUTOS'!$A$3:$A$500,$C39,'DADOS BRUTOS'!DL$3:DL$500)))</f>
        <v>0</v>
      </c>
      <c r="GM39" s="133" t="n">
        <f aca="false">IF(OR(GM$4="",$B39=""),0,SUMIF('DADOS BRUTOS'!$A$3:$A$500,$B39,'DADOS BRUTOS'!DM$3:DM$500)+IF($C39="",0,SUMIF('DADOS BRUTOS'!$A$3:$A$500,$C39,'DADOS BRUTOS'!DM$3:DM$500)))</f>
        <v>0</v>
      </c>
      <c r="GN39" s="133" t="n">
        <f aca="false">IF(OR(GN$4="",$B39=""),0,SUMIF('DADOS BRUTOS'!$A$3:$A$500,$B39,'DADOS BRUTOS'!DN$3:DN$500)+IF($C39="",0,SUMIF('DADOS BRUTOS'!$A$3:$A$500,$C39,'DADOS BRUTOS'!DN$3:DN$500)))</f>
        <v>0</v>
      </c>
      <c r="GO39" s="133" t="n">
        <f aca="false">IF(OR(GO$4="",$B39=""),0,SUMIF('DADOS BRUTOS'!$A$3:$A$500,$B39,'DADOS BRUTOS'!DO$3:DO$500)+IF($C39="",0,SUMIF('DADOS BRUTOS'!$A$3:$A$500,$C39,'DADOS BRUTOS'!DO$3:DO$500)))</f>
        <v>0</v>
      </c>
      <c r="GP39" s="133" t="n">
        <f aca="false">IF(OR(GP$4="",$B39=""),0,SUMIF('DADOS BRUTOS'!$A$3:$A$500,$B39,'DADOS BRUTOS'!DP$3:DP$500)+IF($C39="",0,SUMIF('DADOS BRUTOS'!$A$3:$A$500,$C39,'DADOS BRUTOS'!DP$3:DP$500)))</f>
        <v>0</v>
      </c>
      <c r="GQ39" s="133" t="n">
        <f aca="false">IF(OR(GQ$4="",$B39=""),0,SUMIF('DADOS BRUTOS'!$A$3:$A$500,$B39,'DADOS BRUTOS'!DQ$3:DQ$500)+IF($C39="",0,SUMIF('DADOS BRUTOS'!$A$3:$A$500,$C39,'DADOS BRUTOS'!DQ$3:DQ$500)))</f>
        <v>0</v>
      </c>
      <c r="GR39" s="133" t="n">
        <f aca="false">IF(OR(GR$4="",$B39=""),0,SUMIF('DADOS BRUTOS'!$A$3:$A$500,$B39,'DADOS BRUTOS'!DR$3:DR$500)+IF($C39="",0,SUMIF('DADOS BRUTOS'!$A$3:$A$500,$C39,'DADOS BRUTOS'!DR$3:DR$500)))</f>
        <v>0</v>
      </c>
      <c r="GS39" s="133" t="n">
        <f aca="false">IF(OR(GS$4="",$B39=""),0,SUMIF('DADOS BRUTOS'!$A$3:$A$500,$B39,'DADOS BRUTOS'!DS$3:DS$500)+IF($C39="",0,SUMIF('DADOS BRUTOS'!$A$3:$A$500,$C39,'DADOS BRUTOS'!DS$3:DS$500)))</f>
        <v>0</v>
      </c>
      <c r="GT39" s="133" t="n">
        <f aca="false">IF(OR(GT$4="",$B39=""),0,SUMIF('DADOS BRUTOS'!$A$3:$A$500,$B39,'DADOS BRUTOS'!DT$3:DT$500)+IF($C39="",0,SUMIF('DADOS BRUTOS'!$A$3:$A$500,$C39,'DADOS BRUTOS'!DT$3:DT$500)))</f>
        <v>0</v>
      </c>
      <c r="GU39" s="133" t="n">
        <f aca="false">IF(OR(GU$4="",$B39=""),0,SUMIF('DADOS BRUTOS'!$A$3:$A$500,$B39,'DADOS BRUTOS'!DU$3:DU$500)+IF($C39="",0,SUMIF('DADOS BRUTOS'!$A$3:$A$500,$C39,'DADOS BRUTOS'!DU$3:DU$500)))</f>
        <v>0</v>
      </c>
      <c r="GV39" s="133" t="n">
        <f aca="false">IF(OR(GV$4="",$B39=""),0,SUMIF('DADOS BRUTOS'!$A$3:$A$500,$B39,'DADOS BRUTOS'!DV$3:DV$500)+IF($C39="",0,SUMIF('DADOS BRUTOS'!$A$3:$A$500,$C39,'DADOS BRUTOS'!DV$3:DV$500)))</f>
        <v>0</v>
      </c>
      <c r="GW39" s="133" t="n">
        <f aca="false">IF(OR(GW$4="",$B39=""),0,SUMIF('DADOS BRUTOS'!$A$3:$A$500,$B39,'DADOS BRUTOS'!DW$3:DW$500)+IF($C39="",0,SUMIF('DADOS BRUTOS'!$A$3:$A$500,$C39,'DADOS BRUTOS'!DW$3:DW$500)))</f>
        <v>0</v>
      </c>
      <c r="GX39" s="133" t="n">
        <f aca="false">IF(OR(GX$4="",$B39=""),0,SUMIF('DADOS BRUTOS'!$A$3:$A$500,$B39,'DADOS BRUTOS'!DX$3:DX$500)+IF($C39="",0,SUMIF('DADOS BRUTOS'!$A$3:$A$500,$C39,'DADOS BRUTOS'!DX$3:DX$500)))</f>
        <v>0</v>
      </c>
      <c r="GY39" s="133" t="n">
        <f aca="false">IF(OR(GY$4="",$B39=""),0,SUMIF('DADOS BRUTOS'!$A$3:$A$500,$B39,'DADOS BRUTOS'!DY$3:DY$500)+IF($C39="",0,SUMIF('DADOS BRUTOS'!$A$3:$A$500,$C39,'DADOS BRUTOS'!DY$3:DY$500)))</f>
        <v>0</v>
      </c>
      <c r="GZ39" s="133" t="n">
        <f aca="false">IF(OR(GZ$4="",$B39=""),0,SUMIF('DADOS BRUTOS'!$A$3:$A$500,$B39,'DADOS BRUTOS'!DZ$3:DZ$500)+IF($C39="",0,SUMIF('DADOS BRUTOS'!$A$3:$A$500,$C39,'DADOS BRUTOS'!DZ$3:DZ$500)))</f>
        <v>0</v>
      </c>
      <c r="HA39" s="133" t="n">
        <f aca="false">IF(OR(HA$4="",$B39=""),0,SUMIF('DADOS BRUTOS'!$A$3:$A$500,$B39,'DADOS BRUTOS'!EA$3:EA$500)+IF($C39="",0,SUMIF('DADOS BRUTOS'!$A$3:$A$500,$C39,'DADOS BRUTOS'!EA$3:EA$500)))</f>
        <v>0</v>
      </c>
      <c r="HB39" s="133" t="n">
        <f aca="false">IF(OR(HB$4="",$B39=""),0,SUMIF('DADOS BRUTOS'!$A$3:$A$500,$B39,'DADOS BRUTOS'!EB$3:EB$500)+IF($C39="",0,SUMIF('DADOS BRUTOS'!$A$3:$A$500,$C39,'DADOS BRUTOS'!EB$3:EB$500)))</f>
        <v>0</v>
      </c>
      <c r="HC39" s="133" t="n">
        <f aca="false">IF(OR(HC$4="",$B39=""),0,SUMIF('DADOS BRUTOS'!$A$3:$A$500,$B39,'DADOS BRUTOS'!EC$3:EC$500)+IF($C39="",0,SUMIF('DADOS BRUTOS'!$A$3:$A$500,$C39,'DADOS BRUTOS'!EC$3:EC$500)))</f>
        <v>0</v>
      </c>
      <c r="HD39" s="133" t="n">
        <f aca="false">IF(OR(HD$4="",$B39=""),0,SUMIF('DADOS BRUTOS'!$A$3:$A$500,$B39,'DADOS BRUTOS'!ED$3:ED$500)+IF($C39="",0,SUMIF('DADOS BRUTOS'!$A$3:$A$500,$C39,'DADOS BRUTOS'!ED$3:ED$500)))</f>
        <v>0</v>
      </c>
      <c r="HE39" s="133" t="n">
        <f aca="false">IF(OR(HE$4="",$B39=""),0,SUMIF('DADOS BRUTOS'!$A$3:$A$500,$B39,'DADOS BRUTOS'!EE$3:EE$500)+IF($C39="",0,SUMIF('DADOS BRUTOS'!$A$3:$A$500,$C39,'DADOS BRUTOS'!EE$3:EE$500)))</f>
        <v>0</v>
      </c>
      <c r="HF39" s="133" t="n">
        <f aca="false">IF(OR(HF$4="",$B39=""),0,SUMIF('DADOS BRUTOS'!$A$3:$A$500,$B39,'DADOS BRUTOS'!EF$3:EF$500)+IF($C39="",0,SUMIF('DADOS BRUTOS'!$A$3:$A$500,$C39,'DADOS BRUTOS'!EF$3:EF$500)))</f>
        <v>0</v>
      </c>
      <c r="HG39" s="133" t="n">
        <f aca="false">IF(OR(HG$4="",$B39=""),0,SUMIF('DADOS BRUTOS'!$A$3:$A$500,$B39,'DADOS BRUTOS'!EG$3:EG$500)+IF($C39="",0,SUMIF('DADOS BRUTOS'!$A$3:$A$500,$C39,'DADOS BRUTOS'!EG$3:EG$500)))</f>
        <v>0</v>
      </c>
      <c r="HH39" s="133" t="n">
        <f aca="false">IF(OR(HH$4="",$B39=""),0,SUMIF('DADOS BRUTOS'!$A$3:$A$500,$B39,'DADOS BRUTOS'!EH$3:EH$500)+IF($C39="",0,SUMIF('DADOS BRUTOS'!$A$3:$A$500,$C39,'DADOS BRUTOS'!EH$3:EH$500)))</f>
        <v>0</v>
      </c>
      <c r="HI39" s="133" t="n">
        <f aca="false">IF(OR(HI$4="",$B39=""),0,SUMIF('DADOS BRUTOS'!$A$3:$A$500,$B39,'DADOS BRUTOS'!EI$3:EI$500)+IF($C39="",0,SUMIF('DADOS BRUTOS'!$A$3:$A$500,$C39,'DADOS BRUTOS'!EI$3:EI$500)))</f>
        <v>0</v>
      </c>
      <c r="HJ39" s="133" t="n">
        <f aca="false">IF(OR(HJ$4="",$B39=""),0,SUMIF('DADOS BRUTOS'!$A$3:$A$500,$B39,'DADOS BRUTOS'!EJ$3:EJ$500)+IF($C39="",0,SUMIF('DADOS BRUTOS'!$A$3:$A$500,$C39,'DADOS BRUTOS'!EJ$3:EJ$500)))</f>
        <v>0</v>
      </c>
      <c r="HK39" s="133" t="n">
        <f aca="false">IF(OR(HK$4="",$B39=""),0,SUMIF('DADOS BRUTOS'!$A$3:$A$500,$B39,'DADOS BRUTOS'!EK$3:EK$500)+IF($C39="",0,SUMIF('DADOS BRUTOS'!$A$3:$A$500,$C39,'DADOS BRUTOS'!EK$3:EK$500)))</f>
        <v>0</v>
      </c>
      <c r="HL39" s="133" t="n">
        <f aca="false">IF(OR(HL$4="",$B39=""),0,SUMIF('DADOS BRUTOS'!$A$3:$A$500,$B39,'DADOS BRUTOS'!EL$3:EL$500)+IF($C39="",0,SUMIF('DADOS BRUTOS'!$A$3:$A$500,$C39,'DADOS BRUTOS'!EL$3:EL$500)))</f>
        <v>0</v>
      </c>
      <c r="HM39" s="133" t="n">
        <f aca="false">IF(OR(HM$4="",$B39=""),0,SUMIF('DADOS BRUTOS'!$A$3:$A$500,$B39,'DADOS BRUTOS'!EM$3:EM$500)+IF($C39="",0,SUMIF('DADOS BRUTOS'!$A$3:$A$500,$C39,'DADOS BRUTOS'!EM$3:EM$500)))</f>
        <v>0</v>
      </c>
      <c r="HN39" s="133" t="n">
        <f aca="false">IF(OR(HN$4="",$B39=""),0,SUMIF('DADOS BRUTOS'!$A$3:$A$500,$B39,'DADOS BRUTOS'!EN$3:EN$500)+IF($C39="",0,SUMIF('DADOS BRUTOS'!$A$3:$A$500,$C39,'DADOS BRUTOS'!EN$3:EN$500)))</f>
        <v>0</v>
      </c>
      <c r="HO39" s="133" t="n">
        <f aca="false">IF(OR(HO$4="",$B39=""),0,SUMIF('DADOS BRUTOS'!$A$3:$A$500,$B39,'DADOS BRUTOS'!EO$3:EO$500)+IF($C39="",0,SUMIF('DADOS BRUTOS'!$A$3:$A$500,$C39,'DADOS BRUTOS'!EO$3:EO$500)))</f>
        <v>0</v>
      </c>
      <c r="HP39" s="133" t="n">
        <f aca="false">IF(OR(HP$4="",$B39=""),0,SUMIF('DADOS BRUTOS'!$A$3:$A$500,$B39,'DADOS BRUTOS'!EP$3:EP$500)+IF($C39="",0,SUMIF('DADOS BRUTOS'!$A$3:$A$500,$C39,'DADOS BRUTOS'!EP$3:EP$500)))</f>
        <v>0</v>
      </c>
      <c r="HQ39" s="133" t="n">
        <f aca="false">IF(OR(HQ$4="",$B39=""),0,SUMIF('DADOS BRUTOS'!$A$3:$A$500,$B39,'DADOS BRUTOS'!EQ$3:EQ$500)+IF($C39="",0,SUMIF('DADOS BRUTOS'!$A$3:$A$500,$C39,'DADOS BRUTOS'!EQ$3:EQ$500)))</f>
        <v>0</v>
      </c>
      <c r="HR39" s="133" t="n">
        <f aca="false">IF(OR(HR$4="",$B39=""),0,SUMIF('DADOS BRUTOS'!$A$3:$A$500,$B39,'DADOS BRUTOS'!ER$3:ER$500)+IF($C39="",0,SUMIF('DADOS BRUTOS'!$A$3:$A$500,$C39,'DADOS BRUTOS'!ER$3:ER$500)))</f>
        <v>0</v>
      </c>
      <c r="HS39" s="133" t="n">
        <f aca="false">IF(OR(HS$4="",$B39=""),0,SUMIF('DADOS BRUTOS'!$A$3:$A$500,$B39,'DADOS BRUTOS'!ES$3:ES$500)+IF($C39="",0,SUMIF('DADOS BRUTOS'!$A$3:$A$500,$C39,'DADOS BRUTOS'!ES$3:ES$500)))</f>
        <v>0</v>
      </c>
      <c r="HT39" s="133" t="n">
        <f aca="false">IF(OR(HT$4="",$B39=""),0,SUMIF('DADOS BRUTOS'!$A$3:$A$500,$B39,'DADOS BRUTOS'!ET$3:ET$500)+IF($C39="",0,SUMIF('DADOS BRUTOS'!$A$3:$A$500,$C39,'DADOS BRUTOS'!ET$3:ET$500)))</f>
        <v>0</v>
      </c>
      <c r="HU39" s="133" t="n">
        <f aca="false">IF(OR(HU$4="",$B39=""),0,SUMIF('DADOS BRUTOS'!$A$3:$A$500,$B39,'DADOS BRUTOS'!EU$3:EU$500)+IF($C39="",0,SUMIF('DADOS BRUTOS'!$A$3:$A$500,$C39,'DADOS BRUTOS'!EU$3:EU$500)))</f>
        <v>0</v>
      </c>
      <c r="HV39" s="133" t="n">
        <f aca="false">IF(OR(HV$4="",$B39=""),0,SUMIF('DADOS BRUTOS'!$A$3:$A$500,$B39,'DADOS BRUTOS'!EV$3:EV$500)+IF($C39="",0,SUMIF('DADOS BRUTOS'!$A$3:$A$500,$C39,'DADOS BRUTOS'!EV$3:EV$500)))</f>
        <v>0</v>
      </c>
      <c r="HW39" s="133" t="n">
        <f aca="false">IF(OR(HW$4="",$B39=""),0,SUMIF('DADOS BRUTOS'!$A$3:$A$500,$B39,'DADOS BRUTOS'!EW$3:EW$500)+IF($C39="",0,SUMIF('DADOS BRUTOS'!$A$3:$A$500,$C39,'DADOS BRUTOS'!EW$3:EW$500)))</f>
        <v>0</v>
      </c>
      <c r="HX39" s="133" t="n">
        <f aca="false">IF(OR(HX$4="",$B39=""),0,SUMIF('DADOS BRUTOS'!$A$3:$A$500,$B39,'DADOS BRUTOS'!EX$3:EX$500)+IF($C39="",0,SUMIF('DADOS BRUTOS'!$A$3:$A$500,$C39,'DADOS BRUTOS'!EX$3:EX$500)))</f>
        <v>0</v>
      </c>
      <c r="HY39" s="133" t="n">
        <f aca="false">IF(OR(HY$4="",$B39=""),0,SUMIF('DADOS BRUTOS'!$A$3:$A$500,$B39,'DADOS BRUTOS'!EY$3:EY$500)+IF($C39="",0,SUMIF('DADOS BRUTOS'!$A$3:$A$500,$C39,'DADOS BRUTOS'!EY$3:EY$500)))</f>
        <v>0</v>
      </c>
      <c r="HZ39" s="133" t="n">
        <f aca="false">IF(OR(HZ$4="",$B39=""),0,SUMIF('DADOS BRUTOS'!$A$3:$A$500,$B39,'DADOS BRUTOS'!EZ$3:EZ$500)+IF($C39="",0,SUMIF('DADOS BRUTOS'!$A$3:$A$500,$C39,'DADOS BRUTOS'!EZ$3:EZ$500)))</f>
        <v>0</v>
      </c>
      <c r="IA39" s="133" t="n">
        <f aca="false">IF(OR(IA$4="",$B39=""),0,SUMIF('DADOS BRUTOS'!$A$3:$A$500,$B39,'DADOS BRUTOS'!FA$3:FA$500)+IF($C39="",0,SUMIF('DADOS BRUTOS'!$A$3:$A$500,$C39,'DADOS BRUTOS'!FA$3:FA$500)))</f>
        <v>0</v>
      </c>
      <c r="IB39" s="133" t="n">
        <f aca="false">IF(OR(IB$4="",$B39=""),0,SUMIF('DADOS BRUTOS'!$A$3:$A$500,$B39,'DADOS BRUTOS'!FB$3:FB$500)+IF($C39="",0,SUMIF('DADOS BRUTOS'!$A$3:$A$500,$C39,'DADOS BRUTOS'!FB$3:FB$500)))</f>
        <v>0</v>
      </c>
      <c r="IC39" s="133" t="n">
        <f aca="false">IF(OR(IC$4="",$B39=""),0,SUMIF('DADOS BRUTOS'!$A$3:$A$500,$B39,'DADOS BRUTOS'!FC$3:FC$500)+IF($C39="",0,SUMIF('DADOS BRUTOS'!$A$3:$A$500,$C39,'DADOS BRUTOS'!FC$3:FC$500)))</f>
        <v>0</v>
      </c>
      <c r="ID39" s="133" t="n">
        <f aca="false">IF(OR(ID$4="",$B39=""),0,SUMIF('DADOS BRUTOS'!$A$3:$A$500,$B39,'DADOS BRUTOS'!FD$3:FD$500)+IF($C39="",0,SUMIF('DADOS BRUTOS'!$A$3:$A$500,$C39,'DADOS BRUTOS'!FD$3:FD$500)))</f>
        <v>0</v>
      </c>
      <c r="IE39" s="133" t="n">
        <f aca="false">IF(OR(IE$4="",$B39=""),0,SUMIF('DADOS BRUTOS'!$A$3:$A$500,$B39,'DADOS BRUTOS'!FE$3:FE$500)+IF($C39="",0,SUMIF('DADOS BRUTOS'!$A$3:$A$500,$C39,'DADOS BRUTOS'!FE$3:FE$500)))</f>
        <v>0</v>
      </c>
      <c r="IF39" s="133" t="n">
        <f aca="false">IF(OR(IF$4="",$B39=""),0,SUMIF('DADOS BRUTOS'!$A$3:$A$500,$B39,'DADOS BRUTOS'!FF$3:FF$500)+IF($C39="",0,SUMIF('DADOS BRUTOS'!$A$3:$A$500,$C39,'DADOS BRUTOS'!FF$3:FF$500)))</f>
        <v>0</v>
      </c>
      <c r="IG39" s="133" t="n">
        <f aca="false">IF(OR(IG$4="",$B39=""),0,SUMIF('DADOS BRUTOS'!$A$3:$A$500,$B39,'DADOS BRUTOS'!FG$3:FG$500)+IF($C39="",0,SUMIF('DADOS BRUTOS'!$A$3:$A$500,$C39,'DADOS BRUTOS'!FG$3:FG$500)))</f>
        <v>0</v>
      </c>
      <c r="IH39" s="133" t="n">
        <f aca="false">IF(OR(IH$4="",$B39=""),0,SUMIF('DADOS BRUTOS'!$A$3:$A$500,$B39,'DADOS BRUTOS'!FH$3:FH$500)+IF($C39="",0,SUMIF('DADOS BRUTOS'!$A$3:$A$500,$C39,'DADOS BRUTOS'!FH$3:FH$500)))</f>
        <v>0</v>
      </c>
      <c r="II39" s="133" t="n">
        <f aca="false">IF(OR(II$4="",$B39=""),0,SUMIF('DADOS BRUTOS'!$A$3:$A$500,$B39,'DADOS BRUTOS'!FI$3:FI$500)+IF($C39="",0,SUMIF('DADOS BRUTOS'!$A$3:$A$500,$C39,'DADOS BRUTOS'!FI$3:FI$500)))</f>
        <v>0</v>
      </c>
      <c r="IJ39" s="133" t="n">
        <f aca="false">IF(OR(IJ$4="",$B39=""),0,SUMIF('DADOS BRUTOS'!$A$3:$A$500,$B39,'DADOS BRUTOS'!FJ$3:FJ$500)+IF($C39="",0,SUMIF('DADOS BRUTOS'!$A$3:$A$500,$C39,'DADOS BRUTOS'!FJ$3:FJ$500)))</f>
        <v>0</v>
      </c>
      <c r="IK39" s="133" t="n">
        <f aca="false">IF(OR(IK$4="",$B39=""),0,SUMIF('DADOS BRUTOS'!$A$3:$A$500,$B39,'DADOS BRUTOS'!FK$3:FK$500)+IF($C39="",0,SUMIF('DADOS BRUTOS'!$A$3:$A$500,$C39,'DADOS BRUTOS'!FK$3:FK$500)))</f>
        <v>0</v>
      </c>
      <c r="IL39" s="133" t="n">
        <f aca="false">IF(OR(IL$4="",$B39=""),0,SUMIF('DADOS BRUTOS'!$A$3:$A$500,$B39,'DADOS BRUTOS'!FL$3:FL$500)+IF($C39="",0,SUMIF('DADOS BRUTOS'!$A$3:$A$500,$C39,'DADOS BRUTOS'!FL$3:FL$500)))</f>
        <v>0</v>
      </c>
      <c r="IM39" s="133" t="n">
        <f aca="false">IF(OR(IM$4="",$B39=""),0,SUMIF('DADOS BRUTOS'!$A$3:$A$500,$B39,'DADOS BRUTOS'!FM$3:FM$500)+IF($C39="",0,SUMIF('DADOS BRUTOS'!$A$3:$A$500,$C39,'DADOS BRUTOS'!FM$3:FM$500)))</f>
        <v>0</v>
      </c>
      <c r="IN39" s="133" t="n">
        <f aca="false">IF(OR(IN$4="",$B39=""),0,SUMIF('DADOS BRUTOS'!$A$3:$A$500,$B39,'DADOS BRUTOS'!FN$3:FN$500)+IF($C39="",0,SUMIF('DADOS BRUTOS'!$A$3:$A$500,$C39,'DADOS BRUTOS'!FN$3:FN$500)))</f>
        <v>0</v>
      </c>
      <c r="IO39" s="133" t="n">
        <f aca="false">IF(OR(IO$4="",$B39=""),0,SUMIF('DADOS BRUTOS'!$A$3:$A$500,$B39,'DADOS BRUTOS'!FO$3:FO$500)+IF($C39="",0,SUMIF('DADOS BRUTOS'!$A$3:$A$500,$C39,'DADOS BRUTOS'!FO$3:FO$500)))</f>
        <v>0</v>
      </c>
      <c r="IP39" s="133" t="n">
        <f aca="false">IF(OR(IP$4="",$B39=""),0,SUMIF('DADOS BRUTOS'!$A$3:$A$500,$B39,'DADOS BRUTOS'!FP$3:FP$500)+IF($C39="",0,SUMIF('DADOS BRUTOS'!$A$3:$A$500,$C39,'DADOS BRUTOS'!FP$3:FP$500)))</f>
        <v>0</v>
      </c>
      <c r="IQ39" s="133" t="n">
        <f aca="false">IF(OR(IQ$4="",$B39=""),0,SUMIF('DADOS BRUTOS'!$A$3:$A$500,$B39,'DADOS BRUTOS'!FQ$3:FQ$500)+IF($C39="",0,SUMIF('DADOS BRUTOS'!$A$3:$A$500,$C39,'DADOS BRUTOS'!FQ$3:FQ$500)))</f>
        <v>0</v>
      </c>
      <c r="IR39" s="133" t="n">
        <f aca="false">IF(OR(IR$4="",$B39=""),0,SUMIF('DADOS BRUTOS'!$A$3:$A$500,$B39,'DADOS BRUTOS'!FR$3:FR$500)+IF($C39="",0,SUMIF('DADOS BRUTOS'!$A$3:$A$500,$C39,'DADOS BRUTOS'!FR$3:FR$500)))</f>
        <v>0</v>
      </c>
      <c r="IS39" s="133" t="n">
        <f aca="false">IF(OR(IS$4="",$B39=""),0,SUMIF('DADOS BRUTOS'!$A$3:$A$500,$B39,'DADOS BRUTOS'!FS$3:FS$500)+IF($C39="",0,SUMIF('DADOS BRUTOS'!$A$3:$A$500,$C39,'DADOS BRUTOS'!FS$3:FS$500)))</f>
        <v>0</v>
      </c>
      <c r="IT39" s="133" t="n">
        <f aca="false">IF(OR(IT$4="",$B39=""),0,SUMIF('DADOS BRUTOS'!$A$3:$A$500,$B39,'DADOS BRUTOS'!FT$3:FT$500)+IF($C39="",0,SUMIF('DADOS BRUTOS'!$A$3:$A$500,$C39,'DADOS BRUTOS'!FT$3:FT$500)))</f>
        <v>0</v>
      </c>
      <c r="IU39" s="133" t="n">
        <f aca="false">IF(OR(IU$4="",$B39=""),0,SUMIF('DADOS BRUTOS'!$A$3:$A$500,$B39,'DADOS BRUTOS'!FU$3:FU$500)+IF($C39="",0,SUMIF('DADOS BRUTOS'!$A$3:$A$500,$C39,'DADOS BRUTOS'!FU$3:FU$500)))</f>
        <v>0</v>
      </c>
      <c r="IV39" s="133" t="n">
        <f aca="false">IF(OR(IV$4="",$B39=""),0,SUMIF('DADOS BRUTOS'!$A$3:$A$500,$B39,'DADOS BRUTOS'!FV$3:FV$500)+IF($C39="",0,SUMIF('DADOS BRUTOS'!$A$3:$A$500,$C39,'DADOS BRUTOS'!FV$3:FV$500)))</f>
        <v>0</v>
      </c>
      <c r="IW39" s="133" t="n">
        <f aca="false">IF(OR(IW$4="",$B39=""),0,SUMIF('DADOS BRUTOS'!$A$3:$A$500,$B39,'DADOS BRUTOS'!FW$3:FW$500)+IF($C39="",0,SUMIF('DADOS BRUTOS'!$A$3:$A$500,$C39,'DADOS BRUTOS'!FW$3:FW$500)))</f>
        <v>0</v>
      </c>
      <c r="IX39" s="133" t="n">
        <f aca="false">IF(OR(IX$4="",$B39=""),0,SUMIF('DADOS BRUTOS'!$A$3:$A$500,$B39,'DADOS BRUTOS'!FX$3:FX$500)+IF($C39="",0,SUMIF('DADOS BRUTOS'!$A$3:$A$500,$C39,'DADOS BRUTOS'!FX$3:FX$500)))</f>
        <v>0</v>
      </c>
      <c r="IY39" s="133" t="n">
        <f aca="false">IF(OR(IY$4="",$B39=""),0,SUMIF('DADOS BRUTOS'!$A$3:$A$500,$B39,'DADOS BRUTOS'!FY$3:FY$500)+IF($C39="",0,SUMIF('DADOS BRUTOS'!$A$3:$A$500,$C39,'DADOS BRUTOS'!FY$3:FY$500)))</f>
        <v>0</v>
      </c>
      <c r="IZ39" s="133" t="n">
        <f aca="false">IF(OR(IZ$4="",$B39=""),0,SUMIF('DADOS BRUTOS'!$A$3:$A$500,$B39,'DADOS BRUTOS'!FZ$3:FZ$500)+IF($C39="",0,SUMIF('DADOS BRUTOS'!$A$3:$A$500,$C39,'DADOS BRUTOS'!FZ$3:FZ$500)))</f>
        <v>0</v>
      </c>
      <c r="JA39" s="133" t="n">
        <f aca="false">IF(OR(JA$4="",$B39=""),0,SUMIF('DADOS BRUTOS'!$A$3:$A$500,$B39,'DADOS BRUTOS'!GA$3:GA$500)+IF($C39="",0,SUMIF('DADOS BRUTOS'!$A$3:$A$500,$C39,'DADOS BRUTOS'!GA$3:GA$500)))</f>
        <v>0</v>
      </c>
      <c r="JB39" s="133" t="n">
        <f aca="false">IF(OR(JB$4="",$B39=""),0,SUMIF('DADOS BRUTOS'!$A$3:$A$500,$B39,'DADOS BRUTOS'!GB$3:GB$500)+IF($C39="",0,SUMIF('DADOS BRUTOS'!$A$3:$A$500,$C39,'DADOS BRUTOS'!GB$3:GB$500)))</f>
        <v>0</v>
      </c>
      <c r="JC39" s="133" t="n">
        <f aca="false">IF(OR(JC$4="",$B39=""),0,SUMIF('DADOS BRUTOS'!$A$3:$A$500,$B39,'DADOS BRUTOS'!GC$3:GC$500)+IF($C39="",0,SUMIF('DADOS BRUTOS'!$A$3:$A$500,$C39,'DADOS BRUTOS'!GC$3:GC$500)))</f>
        <v>0</v>
      </c>
      <c r="JD39" s="133" t="n">
        <f aca="false">IF(OR(JD$4="",$B39=""),0,SUMIF('DADOS BRUTOS'!$A$3:$A$500,$B39,'DADOS BRUTOS'!GD$3:GD$500)+IF($C39="",0,SUMIF('DADOS BRUTOS'!$A$3:$A$500,$C39,'DADOS BRUTOS'!GD$3:GD$500)))</f>
        <v>0</v>
      </c>
      <c r="JE39" s="133" t="n">
        <f aca="false">IF(OR(JE$4="",$B39=""),0,SUMIF('DADOS BRUTOS'!$A$3:$A$500,$B39,'DADOS BRUTOS'!GE$3:GE$500)+IF($C39="",0,SUMIF('DADOS BRUTOS'!$A$3:$A$500,$C39,'DADOS BRUTOS'!GE$3:GE$500)))</f>
        <v>0</v>
      </c>
      <c r="JF39" s="133" t="n">
        <f aca="false">IF(OR(JF$4="",$B39=""),0,SUMIF('DADOS BRUTOS'!$A$3:$A$500,$B39,'DADOS BRUTOS'!GF$3:GF$500)+IF($C39="",0,SUMIF('DADOS BRUTOS'!$A$3:$A$500,$C39,'DADOS BRUTOS'!GF$3:GF$500)))</f>
        <v>0</v>
      </c>
      <c r="JG39" s="133" t="n">
        <f aca="false">IF(OR(JG$4="",$B39=""),0,SUMIF('DADOS BRUTOS'!$A$3:$A$500,$B39,'DADOS BRUTOS'!GG$3:GG$500)+IF($C39="",0,SUMIF('DADOS BRUTOS'!$A$3:$A$500,$C39,'DADOS BRUTOS'!GG$3:GG$500)))</f>
        <v>0</v>
      </c>
      <c r="JH39" s="133" t="n">
        <f aca="false">IF(OR(JH$4="",$B39=""),0,SUMIF('DADOS BRUTOS'!$A$3:$A$500,$B39,'DADOS BRUTOS'!GH$3:GH$500)+IF($C39="",0,SUMIF('DADOS BRUTOS'!$A$3:$A$500,$C39,'DADOS BRUTOS'!GH$3:GH$500)))</f>
        <v>0</v>
      </c>
      <c r="JI39" s="133" t="n">
        <f aca="false">IF(OR(JI$4="",$B39=""),0,SUMIF('DADOS BRUTOS'!$A$3:$A$500,$B39,'DADOS BRUTOS'!GI$3:GI$500)+IF($C39="",0,SUMIF('DADOS BRUTOS'!$A$3:$A$500,$C39,'DADOS BRUTOS'!GI$3:GI$500)))</f>
        <v>0</v>
      </c>
      <c r="JJ39" s="133" t="n">
        <f aca="false">IF(OR(JJ$4="",$B39=""),0,SUMIF('DADOS BRUTOS'!$A$3:$A$500,$B39,'DADOS BRUTOS'!GJ$3:GJ$500)+IF($C39="",0,SUMIF('DADOS BRUTOS'!$A$3:$A$500,$C39,'DADOS BRUTOS'!GJ$3:GJ$500)))</f>
        <v>0</v>
      </c>
      <c r="JK39" s="133" t="n">
        <f aca="false">IF(OR(JK$4="",$B39=""),0,SUMIF('DADOS BRUTOS'!$A$3:$A$500,$B39,'DADOS BRUTOS'!GK$3:GK$500)+IF($C39="",0,SUMIF('DADOS BRUTOS'!$A$3:$A$500,$C39,'DADOS BRUTOS'!GK$3:GK$500)))</f>
        <v>0</v>
      </c>
      <c r="JL39" s="133" t="n">
        <f aca="false">IF(OR(JL$4="",$B39=""),0,SUMIF('DADOS BRUTOS'!$A$3:$A$500,$B39,'DADOS BRUTOS'!GL$3:GL$500)+IF($C39="",0,SUMIF('DADOS BRUTOS'!$A$3:$A$500,$C39,'DADOS BRUTOS'!GL$3:GL$500)))</f>
        <v>0</v>
      </c>
      <c r="JM39" s="133" t="n">
        <f aca="false">IF(OR(JM$4="",$B39=""),0,SUMIF('DADOS BRUTOS'!$A$3:$A$500,$B39,'DADOS BRUTOS'!GM$3:GM$500)+IF($C39="",0,SUMIF('DADOS BRUTOS'!$A$3:$A$500,$C39,'DADOS BRUTOS'!GM$3:GM$500)))</f>
        <v>0</v>
      </c>
      <c r="JN39" s="133" t="n">
        <f aca="false">IF(OR(JN$4="",$B39=""),0,SUMIF('DADOS BRUTOS'!$A$3:$A$500,$B39,'DADOS BRUTOS'!GN$3:GN$500)+IF($C39="",0,SUMIF('DADOS BRUTOS'!$A$3:$A$500,$C39,'DADOS BRUTOS'!GN$3:GN$500)))</f>
        <v>0</v>
      </c>
      <c r="JO39" s="133" t="n">
        <f aca="false">IF(OR(JO$4="",$B39=""),0,SUMIF('DADOS BRUTOS'!$A$3:$A$500,$B39,'DADOS BRUTOS'!GO$3:GO$500)+IF($C39="",0,SUMIF('DADOS BRUTOS'!$A$3:$A$500,$C39,'DADOS BRUTOS'!GO$3:GO$500)))</f>
        <v>0</v>
      </c>
      <c r="JP39" s="133" t="n">
        <f aca="false">IF(OR(JP$4="",$B39=""),0,SUMIF('DADOS BRUTOS'!$A$3:$A$500,$B39,'DADOS BRUTOS'!GP$3:GP$500)+IF($C39="",0,SUMIF('DADOS BRUTOS'!$A$3:$A$500,$C39,'DADOS BRUTOS'!GP$3:GP$500)))</f>
        <v>0</v>
      </c>
      <c r="JQ39" s="133" t="n">
        <f aca="false">IF(OR(JQ$4="",$B39=""),0,SUMIF('DADOS BRUTOS'!$A$3:$A$500,$B39,'DADOS BRUTOS'!GQ$3:GQ$500)+IF($C39="",0,SUMIF('DADOS BRUTOS'!$A$3:$A$500,$C39,'DADOS BRUTOS'!GQ$3:GQ$500)))</f>
        <v>0</v>
      </c>
      <c r="JR39" s="133" t="n">
        <f aca="false">IF(OR(JR$4="",$B39=""),0,SUMIF('DADOS BRUTOS'!$A$3:$A$500,$B39,'DADOS BRUTOS'!GR$3:GR$500)+IF($C39="",0,SUMIF('DADOS BRUTOS'!$A$3:$A$500,$C39,'DADOS BRUTOS'!GR$3:GR$500)))</f>
        <v>0</v>
      </c>
      <c r="JS39" s="133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PAISAGISMO</v>
      </c>
      <c r="B40" s="55" t="s">
        <v>217</v>
      </c>
      <c r="C40" s="55"/>
      <c r="D40" s="50" t="n">
        <f aca="false">SUMIF($CB$4:$JS$4,"&lt;="&amp;D$4,$CB40:$JS40)</f>
        <v>0</v>
      </c>
      <c r="E40" s="50" t="n">
        <f aca="false">SUMIF($CB$4:$JS$4,E$4,$CB40:$JS40)</f>
        <v>0</v>
      </c>
      <c r="F40" s="50" t="n">
        <f aca="false">SUMIF($CB$4:$JS$4,F$4,$CB40:$JS40)</f>
        <v>0</v>
      </c>
      <c r="G40" s="50" t="n">
        <f aca="false">SUMIF($CB$4:$JS$4,G$4,$CB40:$JS40)</f>
        <v>0</v>
      </c>
      <c r="H40" s="50" t="n">
        <f aca="false">SUMIF($CB$4:$JS$4,H$4,$CB40:$JS40)</f>
        <v>0</v>
      </c>
      <c r="I40" s="50" t="n">
        <f aca="false">SUMIF($CB$4:$JS$4,I$4,$CB40:$JS40)</f>
        <v>0</v>
      </c>
      <c r="J40" s="50" t="n">
        <f aca="false">SUMIF($CB$4:$JS$4,J$4,$CB40:$JS40)</f>
        <v>0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0</v>
      </c>
      <c r="P40" s="50" t="n">
        <f aca="false">SUMIF($CB$4:$JS$4,P$4,$CB40:$JS40)</f>
        <v>0</v>
      </c>
      <c r="Q40" s="50" t="n">
        <f aca="false">SUMIF($CB$4:$JS$4,Q$4,$CB40:$JS40)</f>
        <v>0</v>
      </c>
      <c r="R40" s="50" t="n">
        <f aca="false">SUMIF($CB$4:$JS$4,R$4,$CB40:$JS40)</f>
        <v>0</v>
      </c>
      <c r="S40" s="50" t="n">
        <f aca="false">SUMIF($CB$4:$JS$4,S$4,$CB40:$JS40)</f>
        <v>0</v>
      </c>
      <c r="T40" s="50" t="n">
        <f aca="false">SUMIF($CB$4:$JS$4,T$4,$CB40:$JS40)</f>
        <v>0</v>
      </c>
      <c r="U40" s="50" t="n">
        <f aca="false">SUMIF($CB$4:$JS$4,U$4,$CB40:$JS40)</f>
        <v>0</v>
      </c>
      <c r="V40" s="50" t="n">
        <f aca="false">SUMIF($CB$4:$JS$4,V$4,$CB40:$JS40)</f>
        <v>0</v>
      </c>
      <c r="W40" s="50" t="n">
        <f aca="false">SUMIF($CB$4:$JS$4,W$4,$CB40:$JS40)</f>
        <v>0</v>
      </c>
      <c r="X40" s="50" t="n">
        <f aca="false">SUMIF($CB$4:$JS$4,X$4,$CB40:$JS40)</f>
        <v>0</v>
      </c>
      <c r="Y40" s="50" t="n">
        <f aca="false">SUMIF($CB$4:$JS$4,Y$4,$CB40:$JS40)</f>
        <v>0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0</v>
      </c>
      <c r="AF40" s="50" t="n">
        <f aca="false">SUMIF($CB$4:$JS$4,AF$4,$CB40:$JS40)</f>
        <v>0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0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0</v>
      </c>
      <c r="BZ40" s="45" t="n">
        <f aca="false">SUMPRODUCT(($CB$4:$JS$4&lt;&gt;"")*($CB$4:$JS$4&lt;=$D$4),$CB40:$JS40,$CB$1:$JS$1)</f>
        <v>0</v>
      </c>
      <c r="CB40" s="133" t="n">
        <f aca="false">IF(OR(CB$4="",$B40=""),0,SUMIF('DADOS BRUTOS'!$A$3:$A$500,$B40,'DADOS BRUTOS'!B$3:B$500)+IF($C40="",0,SUMIF('DADOS BRUTOS'!$A$3:$A$500,$C40,'DADOS BRUTOS'!B$3:B$500)))</f>
        <v>0</v>
      </c>
      <c r="CC40" s="133" t="n">
        <f aca="false">IF(OR(CC$4="",$B40=""),0,SUMIF('DADOS BRUTOS'!$A$3:$A$500,$B40,'DADOS BRUTOS'!C$3:C$500)+IF($C40="",0,SUMIF('DADOS BRUTOS'!$A$3:$A$500,$C40,'DADOS BRUTOS'!C$3:C$500)))</f>
        <v>0</v>
      </c>
      <c r="CD40" s="133" t="n">
        <f aca="false">IF(OR(CD$4="",$B40=""),0,SUMIF('DADOS BRUTOS'!$A$3:$A$500,$B40,'DADOS BRUTOS'!D$3:D$500)+IF($C40="",0,SUMIF('DADOS BRUTOS'!$A$3:$A$500,$C40,'DADOS BRUTOS'!D$3:D$500)))</f>
        <v>0</v>
      </c>
      <c r="CE40" s="133" t="n">
        <f aca="false">IF(OR(CE$4="",$B40=""),0,SUMIF('DADOS BRUTOS'!$A$3:$A$500,$B40,'DADOS BRUTOS'!E$3:E$500)+IF($C40="",0,SUMIF('DADOS BRUTOS'!$A$3:$A$500,$C40,'DADOS BRUTOS'!E$3:E$500)))</f>
        <v>0</v>
      </c>
      <c r="CF40" s="133" t="n">
        <f aca="false">IF(OR(CF$4="",$B40=""),0,SUMIF('DADOS BRUTOS'!$A$3:$A$500,$B40,'DADOS BRUTOS'!F$3:F$500)+IF($C40="",0,SUMIF('DADOS BRUTOS'!$A$3:$A$500,$C40,'DADOS BRUTOS'!F$3:F$500)))</f>
        <v>0</v>
      </c>
      <c r="CG40" s="133" t="n">
        <f aca="false">IF(OR(CG$4="",$B40=""),0,SUMIF('DADOS BRUTOS'!$A$3:$A$500,$B40,'DADOS BRUTOS'!G$3:G$500)+IF($C40="",0,SUMIF('DADOS BRUTOS'!$A$3:$A$500,$C40,'DADOS BRUTOS'!G$3:G$500)))</f>
        <v>0</v>
      </c>
      <c r="CH40" s="133" t="n">
        <f aca="false">IF(OR(CH$4="",$B40=""),0,SUMIF('DADOS BRUTOS'!$A$3:$A$500,$B40,'DADOS BRUTOS'!H$3:H$500)+IF($C40="",0,SUMIF('DADOS BRUTOS'!$A$3:$A$500,$C40,'DADOS BRUTOS'!H$3:H$500)))</f>
        <v>0</v>
      </c>
      <c r="CI40" s="133" t="n">
        <f aca="false">IF(OR(CI$4="",$B40=""),0,SUMIF('DADOS BRUTOS'!$A$3:$A$500,$B40,'DADOS BRUTOS'!I$3:I$500)+IF($C40="",0,SUMIF('DADOS BRUTOS'!$A$3:$A$500,$C40,'DADOS BRUTOS'!I$3:I$500)))</f>
        <v>0</v>
      </c>
      <c r="CJ40" s="133" t="n">
        <f aca="false">IF(OR(CJ$4="",$B40=""),0,SUMIF('DADOS BRUTOS'!$A$3:$A$500,$B40,'DADOS BRUTOS'!J$3:J$500)+IF($C40="",0,SUMIF('DADOS BRUTOS'!$A$3:$A$500,$C40,'DADOS BRUTOS'!J$3:J$500)))</f>
        <v>0</v>
      </c>
      <c r="CK40" s="133" t="n">
        <f aca="false">IF(OR(CK$4="",$B40=""),0,SUMIF('DADOS BRUTOS'!$A$3:$A$500,$B40,'DADOS BRUTOS'!K$3:K$500)+IF($C40="",0,SUMIF('DADOS BRUTOS'!$A$3:$A$500,$C40,'DADOS BRUTOS'!K$3:K$500)))</f>
        <v>0</v>
      </c>
      <c r="CL40" s="133" t="n">
        <f aca="false">IF(OR(CL$4="",$B40=""),0,SUMIF('DADOS BRUTOS'!$A$3:$A$500,$B40,'DADOS BRUTOS'!L$3:L$500)+IF($C40="",0,SUMIF('DADOS BRUTOS'!$A$3:$A$500,$C40,'DADOS BRUTOS'!L$3:L$500)))</f>
        <v>0</v>
      </c>
      <c r="CM40" s="133" t="n">
        <f aca="false">IF(OR(CM$4="",$B40=""),0,SUMIF('DADOS BRUTOS'!$A$3:$A$500,$B40,'DADOS BRUTOS'!M$3:M$500)+IF($C40="",0,SUMIF('DADOS BRUTOS'!$A$3:$A$500,$C40,'DADOS BRUTOS'!M$3:M$500)))</f>
        <v>0</v>
      </c>
      <c r="CN40" s="133" t="n">
        <f aca="false">IF(OR(CN$4="",$B40=""),0,SUMIF('DADOS BRUTOS'!$A$3:$A$500,$B40,'DADOS BRUTOS'!N$3:N$500)+IF($C40="",0,SUMIF('DADOS BRUTOS'!$A$3:$A$500,$C40,'DADOS BRUTOS'!N$3:N$500)))</f>
        <v>0</v>
      </c>
      <c r="CO40" s="133" t="n">
        <f aca="false">IF(OR(CO$4="",$B40=""),0,SUMIF('DADOS BRUTOS'!$A$3:$A$500,$B40,'DADOS BRUTOS'!O$3:O$500)+IF($C40="",0,SUMIF('DADOS BRUTOS'!$A$3:$A$500,$C40,'DADOS BRUTOS'!O$3:O$500)))</f>
        <v>0</v>
      </c>
      <c r="CP40" s="133" t="n">
        <f aca="false">IF(OR(CP$4="",$B40=""),0,SUMIF('DADOS BRUTOS'!$A$3:$A$500,$B40,'DADOS BRUTOS'!P$3:P$500)+IF($C40="",0,SUMIF('DADOS BRUTOS'!$A$3:$A$500,$C40,'DADOS BRUTOS'!P$3:P$500)))</f>
        <v>0</v>
      </c>
      <c r="CQ40" s="133" t="n">
        <f aca="false">IF(OR(CQ$4="",$B40=""),0,SUMIF('DADOS BRUTOS'!$A$3:$A$500,$B40,'DADOS BRUTOS'!Q$3:Q$500)+IF($C40="",0,SUMIF('DADOS BRUTOS'!$A$3:$A$500,$C40,'DADOS BRUTOS'!Q$3:Q$500)))</f>
        <v>0</v>
      </c>
      <c r="CR40" s="133" t="n">
        <f aca="false">IF(OR(CR$4="",$B40=""),0,SUMIF('DADOS BRUTOS'!$A$3:$A$500,$B40,'DADOS BRUTOS'!R$3:R$500)+IF($C40="",0,SUMIF('DADOS BRUTOS'!$A$3:$A$500,$C40,'DADOS BRUTOS'!R$3:R$500)))</f>
        <v>0</v>
      </c>
      <c r="CS40" s="133" t="n">
        <f aca="false">IF(OR(CS$4="",$B40=""),0,SUMIF('DADOS BRUTOS'!$A$3:$A$500,$B40,'DADOS BRUTOS'!S$3:S$500)+IF($C40="",0,SUMIF('DADOS BRUTOS'!$A$3:$A$500,$C40,'DADOS BRUTOS'!S$3:S$500)))</f>
        <v>0</v>
      </c>
      <c r="CT40" s="133" t="n">
        <f aca="false">IF(OR(CT$4="",$B40=""),0,SUMIF('DADOS BRUTOS'!$A$3:$A$500,$B40,'DADOS BRUTOS'!T$3:T$500)+IF($C40="",0,SUMIF('DADOS BRUTOS'!$A$3:$A$500,$C40,'DADOS BRUTOS'!T$3:T$500)))</f>
        <v>0</v>
      </c>
      <c r="CU40" s="133" t="n">
        <f aca="false">IF(OR(CU$4="",$B40=""),0,SUMIF('DADOS BRUTOS'!$A$3:$A$500,$B40,'DADOS BRUTOS'!U$3:U$500)+IF($C40="",0,SUMIF('DADOS BRUTOS'!$A$3:$A$500,$C40,'DADOS BRUTOS'!U$3:U$500)))</f>
        <v>0</v>
      </c>
      <c r="CV40" s="133" t="n">
        <f aca="false">IF(OR(CV$4="",$B40=""),0,SUMIF('DADOS BRUTOS'!$A$3:$A$500,$B40,'DADOS BRUTOS'!V$3:V$500)+IF($C40="",0,SUMIF('DADOS BRUTOS'!$A$3:$A$500,$C40,'DADOS BRUTOS'!V$3:V$500)))</f>
        <v>0</v>
      </c>
      <c r="CW40" s="133" t="n">
        <f aca="false">IF(OR(CW$4="",$B40=""),0,SUMIF('DADOS BRUTOS'!$A$3:$A$500,$B40,'DADOS BRUTOS'!W$3:W$500)+IF($C40="",0,SUMIF('DADOS BRUTOS'!$A$3:$A$500,$C40,'DADOS BRUTOS'!W$3:W$500)))</f>
        <v>0</v>
      </c>
      <c r="CX40" s="133" t="n">
        <f aca="false">IF(OR(CX$4="",$B40=""),0,SUMIF('DADOS BRUTOS'!$A$3:$A$500,$B40,'DADOS BRUTOS'!X$3:X$500)+IF($C40="",0,SUMIF('DADOS BRUTOS'!$A$3:$A$500,$C40,'DADOS BRUTOS'!X$3:X$500)))</f>
        <v>0</v>
      </c>
      <c r="CY40" s="133" t="n">
        <f aca="false">IF(OR(CY$4="",$B40=""),0,SUMIF('DADOS BRUTOS'!$A$3:$A$500,$B40,'DADOS BRUTOS'!Y$3:Y$500)+IF($C40="",0,SUMIF('DADOS BRUTOS'!$A$3:$A$500,$C40,'DADOS BRUTOS'!Y$3:Y$500)))</f>
        <v>0</v>
      </c>
      <c r="CZ40" s="133" t="n">
        <f aca="false">IF(OR(CZ$4="",$B40=""),0,SUMIF('DADOS BRUTOS'!$A$3:$A$500,$B40,'DADOS BRUTOS'!Z$3:Z$500)+IF($C40="",0,SUMIF('DADOS BRUTOS'!$A$3:$A$500,$C40,'DADOS BRUTOS'!Z$3:Z$500)))</f>
        <v>0</v>
      </c>
      <c r="DA40" s="133" t="n">
        <f aca="false">IF(OR(DA$4="",$B40=""),0,SUMIF('DADOS BRUTOS'!$A$3:$A$500,$B40,'DADOS BRUTOS'!AA$3:AA$500)+IF($C40="",0,SUMIF('DADOS BRUTOS'!$A$3:$A$500,$C40,'DADOS BRUTOS'!AA$3:AA$500)))</f>
        <v>0</v>
      </c>
      <c r="DB40" s="133" t="n">
        <f aca="false">IF(OR(DB$4="",$B40=""),0,SUMIF('DADOS BRUTOS'!$A$3:$A$500,$B40,'DADOS BRUTOS'!AB$3:AB$500)+IF($C40="",0,SUMIF('DADOS BRUTOS'!$A$3:$A$500,$C40,'DADOS BRUTOS'!AB$3:AB$500)))</f>
        <v>0</v>
      </c>
      <c r="DC40" s="133" t="n">
        <f aca="false">IF(OR(DC$4="",$B40=""),0,SUMIF('DADOS BRUTOS'!$A$3:$A$500,$B40,'DADOS BRUTOS'!AC$3:AC$500)+IF($C40="",0,SUMIF('DADOS BRUTOS'!$A$3:$A$500,$C40,'DADOS BRUTOS'!AC$3:AC$500)))</f>
        <v>0</v>
      </c>
      <c r="DD40" s="133" t="n">
        <f aca="false">IF(OR(DD$4="",$B40=""),0,SUMIF('DADOS BRUTOS'!$A$3:$A$500,$B40,'DADOS BRUTOS'!AD$3:AD$500)+IF($C40="",0,SUMIF('DADOS BRUTOS'!$A$3:$A$500,$C40,'DADOS BRUTOS'!AD$3:AD$500)))</f>
        <v>0</v>
      </c>
      <c r="DE40" s="133" t="n">
        <f aca="false">IF(OR(DE$4="",$B40=""),0,SUMIF('DADOS BRUTOS'!$A$3:$A$500,$B40,'DADOS BRUTOS'!AE$3:AE$500)+IF($C40="",0,SUMIF('DADOS BRUTOS'!$A$3:$A$500,$C40,'DADOS BRUTOS'!AE$3:AE$500)))</f>
        <v>0</v>
      </c>
      <c r="DF40" s="133" t="n">
        <f aca="false">IF(OR(DF$4="",$B40=""),0,SUMIF('DADOS BRUTOS'!$A$3:$A$500,$B40,'DADOS BRUTOS'!AF$3:AF$500)+IF($C40="",0,SUMIF('DADOS BRUTOS'!$A$3:$A$500,$C40,'DADOS BRUTOS'!AF$3:AF$500)))</f>
        <v>0</v>
      </c>
      <c r="DG40" s="133" t="n">
        <f aca="false">IF(OR(DG$4="",$B40=""),0,SUMIF('DADOS BRUTOS'!$A$3:$A$500,$B40,'DADOS BRUTOS'!AG$3:AG$500)+IF($C40="",0,SUMIF('DADOS BRUTOS'!$A$3:$A$500,$C40,'DADOS BRUTOS'!AG$3:AG$500)))</f>
        <v>0</v>
      </c>
      <c r="DH40" s="133" t="n">
        <f aca="false">IF(OR(DH$4="",$B40=""),0,SUMIF('DADOS BRUTOS'!$A$3:$A$500,$B40,'DADOS BRUTOS'!AH$3:AH$500)+IF($C40="",0,SUMIF('DADOS BRUTOS'!$A$3:$A$500,$C40,'DADOS BRUTOS'!AH$3:AH$500)))</f>
        <v>0</v>
      </c>
      <c r="DI40" s="133" t="n">
        <f aca="false">IF(OR(DI$4="",$B40=""),0,SUMIF('DADOS BRUTOS'!$A$3:$A$500,$B40,'DADOS BRUTOS'!AI$3:AI$500)+IF($C40="",0,SUMIF('DADOS BRUTOS'!$A$3:$A$500,$C40,'DADOS BRUTOS'!AI$3:AI$500)))</f>
        <v>0</v>
      </c>
      <c r="DJ40" s="133" t="n">
        <f aca="false">IF(OR(DJ$4="",$B40=""),0,SUMIF('DADOS BRUTOS'!$A$3:$A$500,$B40,'DADOS BRUTOS'!AJ$3:AJ$500)+IF($C40="",0,SUMIF('DADOS BRUTOS'!$A$3:$A$500,$C40,'DADOS BRUTOS'!AJ$3:AJ$500)))</f>
        <v>0</v>
      </c>
      <c r="DK40" s="133" t="n">
        <f aca="false">IF(OR(DK$4="",$B40=""),0,SUMIF('DADOS BRUTOS'!$A$3:$A$500,$B40,'DADOS BRUTOS'!AK$3:AK$500)+IF($C40="",0,SUMIF('DADOS BRUTOS'!$A$3:$A$500,$C40,'DADOS BRUTOS'!AK$3:AK$500)))</f>
        <v>0</v>
      </c>
      <c r="DL40" s="133" t="n">
        <f aca="false">IF(OR(DL$4="",$B40=""),0,SUMIF('DADOS BRUTOS'!$A$3:$A$500,$B40,'DADOS BRUTOS'!AL$3:AL$500)+IF($C40="",0,SUMIF('DADOS BRUTOS'!$A$3:$A$500,$C40,'DADOS BRUTOS'!AL$3:AL$500)))</f>
        <v>0</v>
      </c>
      <c r="DM40" s="133" t="n">
        <f aca="false">IF(OR(DM$4="",$B40=""),0,SUMIF('DADOS BRUTOS'!$A$3:$A$500,$B40,'DADOS BRUTOS'!AM$3:AM$500)+IF($C40="",0,SUMIF('DADOS BRUTOS'!$A$3:$A$500,$C40,'DADOS BRUTOS'!AM$3:AM$500)))</f>
        <v>0</v>
      </c>
      <c r="DN40" s="133" t="n">
        <f aca="false">IF(OR(DN$4="",$B40=""),0,SUMIF('DADOS BRUTOS'!$A$3:$A$500,$B40,'DADOS BRUTOS'!AN$3:AN$500)+IF($C40="",0,SUMIF('DADOS BRUTOS'!$A$3:$A$500,$C40,'DADOS BRUTOS'!AN$3:AN$500)))</f>
        <v>0</v>
      </c>
      <c r="DO40" s="133" t="n">
        <f aca="false">IF(OR(DO$4="",$B40=""),0,SUMIF('DADOS BRUTOS'!$A$3:$A$500,$B40,'DADOS BRUTOS'!AO$3:AO$500)+IF($C40="",0,SUMIF('DADOS BRUTOS'!$A$3:$A$500,$C40,'DADOS BRUTOS'!AO$3:AO$500)))</f>
        <v>0</v>
      </c>
      <c r="DP40" s="133" t="n">
        <f aca="false">IF(OR(DP$4="",$B40=""),0,SUMIF('DADOS BRUTOS'!$A$3:$A$500,$B40,'DADOS BRUTOS'!AP$3:AP$500)+IF($C40="",0,SUMIF('DADOS BRUTOS'!$A$3:$A$500,$C40,'DADOS BRUTOS'!AP$3:AP$500)))</f>
        <v>0</v>
      </c>
      <c r="DQ40" s="133" t="n">
        <f aca="false">IF(OR(DQ$4="",$B40=""),0,SUMIF('DADOS BRUTOS'!$A$3:$A$500,$B40,'DADOS BRUTOS'!AQ$3:AQ$500)+IF($C40="",0,SUMIF('DADOS BRUTOS'!$A$3:$A$500,$C40,'DADOS BRUTOS'!AQ$3:AQ$500)))</f>
        <v>0</v>
      </c>
      <c r="DR40" s="133" t="n">
        <f aca="false">IF(OR(DR$4="",$B40=""),0,SUMIF('DADOS BRUTOS'!$A$3:$A$500,$B40,'DADOS BRUTOS'!AR$3:AR$500)+IF($C40="",0,SUMIF('DADOS BRUTOS'!$A$3:$A$500,$C40,'DADOS BRUTOS'!AR$3:AR$500)))</f>
        <v>0</v>
      </c>
      <c r="DS40" s="133" t="n">
        <f aca="false">IF(OR(DS$4="",$B40=""),0,SUMIF('DADOS BRUTOS'!$A$3:$A$500,$B40,'DADOS BRUTOS'!AS$3:AS$500)+IF($C40="",0,SUMIF('DADOS BRUTOS'!$A$3:$A$500,$C40,'DADOS BRUTOS'!AS$3:AS$500)))</f>
        <v>0</v>
      </c>
      <c r="DT40" s="133" t="n">
        <f aca="false">IF(OR(DT$4="",$B40=""),0,SUMIF('DADOS BRUTOS'!$A$3:$A$500,$B40,'DADOS BRUTOS'!AT$3:AT$500)+IF($C40="",0,SUMIF('DADOS BRUTOS'!$A$3:$A$500,$C40,'DADOS BRUTOS'!AT$3:AT$500)))</f>
        <v>0</v>
      </c>
      <c r="DU40" s="133" t="n">
        <f aca="false">IF(OR(DU$4="",$B40=""),0,SUMIF('DADOS BRUTOS'!$A$3:$A$500,$B40,'DADOS BRUTOS'!AU$3:AU$500)+IF($C40="",0,SUMIF('DADOS BRUTOS'!$A$3:$A$500,$C40,'DADOS BRUTOS'!AU$3:AU$500)))</f>
        <v>0</v>
      </c>
      <c r="DV40" s="133" t="n">
        <f aca="false">IF(OR(DV$4="",$B40=""),0,SUMIF('DADOS BRUTOS'!$A$3:$A$500,$B40,'DADOS BRUTOS'!AV$3:AV$500)+IF($C40="",0,SUMIF('DADOS BRUTOS'!$A$3:$A$500,$C40,'DADOS BRUTOS'!AV$3:AV$500)))</f>
        <v>0</v>
      </c>
      <c r="DW40" s="133" t="n">
        <f aca="false">IF(OR(DW$4="",$B40=""),0,SUMIF('DADOS BRUTOS'!$A$3:$A$500,$B40,'DADOS BRUTOS'!AW$3:AW$500)+IF($C40="",0,SUMIF('DADOS BRUTOS'!$A$3:$A$500,$C40,'DADOS BRUTOS'!AW$3:AW$500)))</f>
        <v>0</v>
      </c>
      <c r="DX40" s="133" t="n">
        <f aca="false">IF(OR(DX$4="",$B40=""),0,SUMIF('DADOS BRUTOS'!$A$3:$A$500,$B40,'DADOS BRUTOS'!AX$3:AX$500)+IF($C40="",0,SUMIF('DADOS BRUTOS'!$A$3:$A$500,$C40,'DADOS BRUTOS'!AX$3:AX$500)))</f>
        <v>0</v>
      </c>
      <c r="DY40" s="133" t="n">
        <f aca="false">IF(OR(DY$4="",$B40=""),0,SUMIF('DADOS BRUTOS'!$A$3:$A$500,$B40,'DADOS BRUTOS'!AY$3:AY$500)+IF($C40="",0,SUMIF('DADOS BRUTOS'!$A$3:$A$500,$C40,'DADOS BRUTOS'!AY$3:AY$500)))</f>
        <v>0</v>
      </c>
      <c r="DZ40" s="133" t="n">
        <f aca="false">IF(OR(DZ$4="",$B40=""),0,SUMIF('DADOS BRUTOS'!$A$3:$A$500,$B40,'DADOS BRUTOS'!AZ$3:AZ$500)+IF($C40="",0,SUMIF('DADOS BRUTOS'!$A$3:$A$500,$C40,'DADOS BRUTOS'!AZ$3:AZ$500)))</f>
        <v>0</v>
      </c>
      <c r="EA40" s="133" t="n">
        <f aca="false">IF(OR(EA$4="",$B40=""),0,SUMIF('DADOS BRUTOS'!$A$3:$A$500,$B40,'DADOS BRUTOS'!BA$3:BA$500)+IF($C40="",0,SUMIF('DADOS BRUTOS'!$A$3:$A$500,$C40,'DADOS BRUTOS'!BA$3:BA$500)))</f>
        <v>0</v>
      </c>
      <c r="EB40" s="133" t="n">
        <f aca="false">IF(OR(EB$4="",$B40=""),0,SUMIF('DADOS BRUTOS'!$A$3:$A$500,$B40,'DADOS BRUTOS'!BB$3:BB$500)+IF($C40="",0,SUMIF('DADOS BRUTOS'!$A$3:$A$500,$C40,'DADOS BRUTOS'!BB$3:BB$500)))</f>
        <v>0</v>
      </c>
      <c r="EC40" s="133" t="n">
        <f aca="false">IF(OR(EC$4="",$B40=""),0,SUMIF('DADOS BRUTOS'!$A$3:$A$500,$B40,'DADOS BRUTOS'!BC$3:BC$500)+IF($C40="",0,SUMIF('DADOS BRUTOS'!$A$3:$A$500,$C40,'DADOS BRUTOS'!BC$3:BC$500)))</f>
        <v>0</v>
      </c>
      <c r="ED40" s="133" t="n">
        <f aca="false">IF(OR(ED$4="",$B40=""),0,SUMIF('DADOS BRUTOS'!$A$3:$A$500,$B40,'DADOS BRUTOS'!BD$3:BD$500)+IF($C40="",0,SUMIF('DADOS BRUTOS'!$A$3:$A$500,$C40,'DADOS BRUTOS'!BD$3:BD$500)))</f>
        <v>0</v>
      </c>
      <c r="EE40" s="133" t="n">
        <f aca="false">IF(OR(EE$4="",$B40=""),0,SUMIF('DADOS BRUTOS'!$A$3:$A$500,$B40,'DADOS BRUTOS'!BE$3:BE$500)+IF($C40="",0,SUMIF('DADOS BRUTOS'!$A$3:$A$500,$C40,'DADOS BRUTOS'!BE$3:BE$500)))</f>
        <v>0</v>
      </c>
      <c r="EF40" s="133" t="n">
        <f aca="false">IF(OR(EF$4="",$B40=""),0,SUMIF('DADOS BRUTOS'!$A$3:$A$500,$B40,'DADOS BRUTOS'!BF$3:BF$500)+IF($C40="",0,SUMIF('DADOS BRUTOS'!$A$3:$A$500,$C40,'DADOS BRUTOS'!BF$3:BF$500)))</f>
        <v>0</v>
      </c>
      <c r="EG40" s="133" t="n">
        <f aca="false">IF(OR(EG$4="",$B40=""),0,SUMIF('DADOS BRUTOS'!$A$3:$A$500,$B40,'DADOS BRUTOS'!BG$3:BG$500)+IF($C40="",0,SUMIF('DADOS BRUTOS'!$A$3:$A$500,$C40,'DADOS BRUTOS'!BG$3:BG$500)))</f>
        <v>0</v>
      </c>
      <c r="EH40" s="133" t="n">
        <f aca="false">IF(OR(EH$4="",$B40=""),0,SUMIF('DADOS BRUTOS'!$A$3:$A$500,$B40,'DADOS BRUTOS'!BH$3:BH$500)+IF($C40="",0,SUMIF('DADOS BRUTOS'!$A$3:$A$500,$C40,'DADOS BRUTOS'!BH$3:BH$500)))</f>
        <v>0</v>
      </c>
      <c r="EI40" s="133" t="n">
        <f aca="false">IF(OR(EI$4="",$B40=""),0,SUMIF('DADOS BRUTOS'!$A$3:$A$500,$B40,'DADOS BRUTOS'!BI$3:BI$500)+IF($C40="",0,SUMIF('DADOS BRUTOS'!$A$3:$A$500,$C40,'DADOS BRUTOS'!BI$3:BI$500)))</f>
        <v>0</v>
      </c>
      <c r="EJ40" s="133" t="n">
        <f aca="false">IF(OR(EJ$4="",$B40=""),0,SUMIF('DADOS BRUTOS'!$A$3:$A$500,$B40,'DADOS BRUTOS'!BJ$3:BJ$500)+IF($C40="",0,SUMIF('DADOS BRUTOS'!$A$3:$A$500,$C40,'DADOS BRUTOS'!BJ$3:BJ$500)))</f>
        <v>0</v>
      </c>
      <c r="EK40" s="133" t="n">
        <f aca="false">IF(OR(EK$4="",$B40=""),0,SUMIF('DADOS BRUTOS'!$A$3:$A$500,$B40,'DADOS BRUTOS'!BK$3:BK$500)+IF($C40="",0,SUMIF('DADOS BRUTOS'!$A$3:$A$500,$C40,'DADOS BRUTOS'!BK$3:BK$500)))</f>
        <v>0</v>
      </c>
      <c r="EL40" s="133" t="n">
        <f aca="false">IF(OR(EL$4="",$B40=""),0,SUMIF('DADOS BRUTOS'!$A$3:$A$500,$B40,'DADOS BRUTOS'!BL$3:BL$500)+IF($C40="",0,SUMIF('DADOS BRUTOS'!$A$3:$A$500,$C40,'DADOS BRUTOS'!BL$3:BL$500)))</f>
        <v>0</v>
      </c>
      <c r="EM40" s="133" t="n">
        <f aca="false">IF(OR(EM$4="",$B40=""),0,SUMIF('DADOS BRUTOS'!$A$3:$A$500,$B40,'DADOS BRUTOS'!BM$3:BM$500)+IF($C40="",0,SUMIF('DADOS BRUTOS'!$A$3:$A$500,$C40,'DADOS BRUTOS'!BM$3:BM$500)))</f>
        <v>0</v>
      </c>
      <c r="EN40" s="133" t="n">
        <f aca="false">IF(OR(EN$4="",$B40=""),0,SUMIF('DADOS BRUTOS'!$A$3:$A$500,$B40,'DADOS BRUTOS'!BN$3:BN$500)+IF($C40="",0,SUMIF('DADOS BRUTOS'!$A$3:$A$500,$C40,'DADOS BRUTOS'!BN$3:BN$500)))</f>
        <v>0</v>
      </c>
      <c r="EO40" s="133" t="n">
        <f aca="false">IF(OR(EO$4="",$B40=""),0,SUMIF('DADOS BRUTOS'!$A$3:$A$500,$B40,'DADOS BRUTOS'!BO$3:BO$500)+IF($C40="",0,SUMIF('DADOS BRUTOS'!$A$3:$A$500,$C40,'DADOS BRUTOS'!BO$3:BO$500)))</f>
        <v>0</v>
      </c>
      <c r="EP40" s="133" t="n">
        <f aca="false">IF(OR(EP$4="",$B40=""),0,SUMIF('DADOS BRUTOS'!$A$3:$A$500,$B40,'DADOS BRUTOS'!BP$3:BP$500)+IF($C40="",0,SUMIF('DADOS BRUTOS'!$A$3:$A$500,$C40,'DADOS BRUTOS'!BP$3:BP$500)))</f>
        <v>0</v>
      </c>
      <c r="EQ40" s="133" t="n">
        <f aca="false">IF(OR(EQ$4="",$B40=""),0,SUMIF('DADOS BRUTOS'!$A$3:$A$500,$B40,'DADOS BRUTOS'!BQ$3:BQ$500)+IF($C40="",0,SUMIF('DADOS BRUTOS'!$A$3:$A$500,$C40,'DADOS BRUTOS'!BQ$3:BQ$500)))</f>
        <v>0</v>
      </c>
      <c r="ER40" s="133" t="n">
        <f aca="false">IF(OR(ER$4="",$B40=""),0,SUMIF('DADOS BRUTOS'!$A$3:$A$500,$B40,'DADOS BRUTOS'!BR$3:BR$500)+IF($C40="",0,SUMIF('DADOS BRUTOS'!$A$3:$A$500,$C40,'DADOS BRUTOS'!BR$3:BR$500)))</f>
        <v>0</v>
      </c>
      <c r="ES40" s="133" t="n">
        <f aca="false">IF(OR(ES$4="",$B40=""),0,SUMIF('DADOS BRUTOS'!$A$3:$A$500,$B40,'DADOS BRUTOS'!BS$3:BS$500)+IF($C40="",0,SUMIF('DADOS BRUTOS'!$A$3:$A$500,$C40,'DADOS BRUTOS'!BS$3:BS$500)))</f>
        <v>0</v>
      </c>
      <c r="ET40" s="133" t="n">
        <f aca="false">IF(OR(ET$4="",$B40=""),0,SUMIF('DADOS BRUTOS'!$A$3:$A$500,$B40,'DADOS BRUTOS'!BT$3:BT$500)+IF($C40="",0,SUMIF('DADOS BRUTOS'!$A$3:$A$500,$C40,'DADOS BRUTOS'!BT$3:BT$500)))</f>
        <v>0</v>
      </c>
      <c r="EU40" s="133" t="n">
        <f aca="false">IF(OR(EU$4="",$B40=""),0,SUMIF('DADOS BRUTOS'!$A$3:$A$500,$B40,'DADOS BRUTOS'!BU$3:BU$500)+IF($C40="",0,SUMIF('DADOS BRUTOS'!$A$3:$A$500,$C40,'DADOS BRUTOS'!BU$3:BU$500)))</f>
        <v>0</v>
      </c>
      <c r="EV40" s="133" t="n">
        <f aca="false">IF(OR(EV$4="",$B40=""),0,SUMIF('DADOS BRUTOS'!$A$3:$A$500,$B40,'DADOS BRUTOS'!BV$3:BV$500)+IF($C40="",0,SUMIF('DADOS BRUTOS'!$A$3:$A$500,$C40,'DADOS BRUTOS'!BV$3:BV$500)))</f>
        <v>0</v>
      </c>
      <c r="EW40" s="133" t="n">
        <f aca="false">IF(OR(EW$4="",$B40=""),0,SUMIF('DADOS BRUTOS'!$A$3:$A$500,$B40,'DADOS BRUTOS'!BW$3:BW$500)+IF($C40="",0,SUMIF('DADOS BRUTOS'!$A$3:$A$500,$C40,'DADOS BRUTOS'!BW$3:BW$500)))</f>
        <v>0</v>
      </c>
      <c r="EX40" s="133" t="n">
        <f aca="false">IF(OR(EX$4="",$B40=""),0,SUMIF('DADOS BRUTOS'!$A$3:$A$500,$B40,'DADOS BRUTOS'!BX$3:BX$500)+IF($C40="",0,SUMIF('DADOS BRUTOS'!$A$3:$A$500,$C40,'DADOS BRUTOS'!BX$3:BX$500)))</f>
        <v>0</v>
      </c>
      <c r="EY40" s="133" t="n">
        <f aca="false">IF(OR(EY$4="",$B40=""),0,SUMIF('DADOS BRUTOS'!$A$3:$A$500,$B40,'DADOS BRUTOS'!BY$3:BY$500)+IF($C40="",0,SUMIF('DADOS BRUTOS'!$A$3:$A$500,$C40,'DADOS BRUTOS'!BY$3:BY$500)))</f>
        <v>0</v>
      </c>
      <c r="EZ40" s="133" t="n">
        <f aca="false">IF(OR(EZ$4="",$B40=""),0,SUMIF('DADOS BRUTOS'!$A$3:$A$500,$B40,'DADOS BRUTOS'!BZ$3:BZ$500)+IF($C40="",0,SUMIF('DADOS BRUTOS'!$A$3:$A$500,$C40,'DADOS BRUTOS'!BZ$3:BZ$500)))</f>
        <v>0</v>
      </c>
      <c r="FA40" s="133" t="n">
        <f aca="false">IF(OR(FA$4="",$B40=""),0,SUMIF('DADOS BRUTOS'!$A$3:$A$500,$B40,'DADOS BRUTOS'!CA$3:CA$500)+IF($C40="",0,SUMIF('DADOS BRUTOS'!$A$3:$A$500,$C40,'DADOS BRUTOS'!CA$3:CA$500)))</f>
        <v>0</v>
      </c>
      <c r="FB40" s="133" t="n">
        <f aca="false">IF(OR(FB$4="",$B40=""),0,SUMIF('DADOS BRUTOS'!$A$3:$A$500,$B40,'DADOS BRUTOS'!CB$3:CB$500)+IF($C40="",0,SUMIF('DADOS BRUTOS'!$A$3:$A$500,$C40,'DADOS BRUTOS'!CB$3:CB$500)))</f>
        <v>0</v>
      </c>
      <c r="FC40" s="133" t="n">
        <f aca="false">IF(OR(FC$4="",$B40=""),0,SUMIF('DADOS BRUTOS'!$A$3:$A$500,$B40,'DADOS BRUTOS'!CC$3:CC$500)+IF($C40="",0,SUMIF('DADOS BRUTOS'!$A$3:$A$500,$C40,'DADOS BRUTOS'!CC$3:CC$500)))</f>
        <v>0</v>
      </c>
      <c r="FD40" s="133" t="n">
        <f aca="false">IF(OR(FD$4="",$B40=""),0,SUMIF('DADOS BRUTOS'!$A$3:$A$500,$B40,'DADOS BRUTOS'!CD$3:CD$500)+IF($C40="",0,SUMIF('DADOS BRUTOS'!$A$3:$A$500,$C40,'DADOS BRUTOS'!CD$3:CD$500)))</f>
        <v>0</v>
      </c>
      <c r="FE40" s="133" t="n">
        <f aca="false">IF(OR(FE$4="",$B40=""),0,SUMIF('DADOS BRUTOS'!$A$3:$A$500,$B40,'DADOS BRUTOS'!CE$3:CE$500)+IF($C40="",0,SUMIF('DADOS BRUTOS'!$A$3:$A$500,$C40,'DADOS BRUTOS'!CE$3:CE$500)))</f>
        <v>0</v>
      </c>
      <c r="FF40" s="133" t="n">
        <f aca="false">IF(OR(FF$4="",$B40=""),0,SUMIF('DADOS BRUTOS'!$A$3:$A$500,$B40,'DADOS BRUTOS'!CF$3:CF$500)+IF($C40="",0,SUMIF('DADOS BRUTOS'!$A$3:$A$500,$C40,'DADOS BRUTOS'!CF$3:CF$500)))</f>
        <v>0</v>
      </c>
      <c r="FG40" s="133" t="n">
        <f aca="false">IF(OR(FG$4="",$B40=""),0,SUMIF('DADOS BRUTOS'!$A$3:$A$500,$B40,'DADOS BRUTOS'!CG$3:CG$500)+IF($C40="",0,SUMIF('DADOS BRUTOS'!$A$3:$A$500,$C40,'DADOS BRUTOS'!CG$3:CG$500)))</f>
        <v>0</v>
      </c>
      <c r="FH40" s="133" t="n">
        <f aca="false">IF(OR(FH$4="",$B40=""),0,SUMIF('DADOS BRUTOS'!$A$3:$A$500,$B40,'DADOS BRUTOS'!CH$3:CH$500)+IF($C40="",0,SUMIF('DADOS BRUTOS'!$A$3:$A$500,$C40,'DADOS BRUTOS'!CH$3:CH$500)))</f>
        <v>0</v>
      </c>
      <c r="FI40" s="133" t="n">
        <f aca="false">IF(OR(FI$4="",$B40=""),0,SUMIF('DADOS BRUTOS'!$A$3:$A$500,$B40,'DADOS BRUTOS'!CI$3:CI$500)+IF($C40="",0,SUMIF('DADOS BRUTOS'!$A$3:$A$500,$C40,'DADOS BRUTOS'!CI$3:CI$500)))</f>
        <v>0</v>
      </c>
      <c r="FJ40" s="133" t="n">
        <f aca="false">IF(OR(FJ$4="",$B40=""),0,SUMIF('DADOS BRUTOS'!$A$3:$A$500,$B40,'DADOS BRUTOS'!CJ$3:CJ$500)+IF($C40="",0,SUMIF('DADOS BRUTOS'!$A$3:$A$500,$C40,'DADOS BRUTOS'!CJ$3:CJ$500)))</f>
        <v>0</v>
      </c>
      <c r="FK40" s="133" t="n">
        <f aca="false">IF(OR(FK$4="",$B40=""),0,SUMIF('DADOS BRUTOS'!$A$3:$A$500,$B40,'DADOS BRUTOS'!CK$3:CK$500)+IF($C40="",0,SUMIF('DADOS BRUTOS'!$A$3:$A$500,$C40,'DADOS BRUTOS'!CK$3:CK$500)))</f>
        <v>0</v>
      </c>
      <c r="FL40" s="133" t="n">
        <f aca="false">IF(OR(FL$4="",$B40=""),0,SUMIF('DADOS BRUTOS'!$A$3:$A$500,$B40,'DADOS BRUTOS'!CL$3:CL$500)+IF($C40="",0,SUMIF('DADOS BRUTOS'!$A$3:$A$500,$C40,'DADOS BRUTOS'!CL$3:CL$500)))</f>
        <v>0</v>
      </c>
      <c r="FM40" s="133" t="n">
        <f aca="false">IF(OR(FM$4="",$B40=""),0,SUMIF('DADOS BRUTOS'!$A$3:$A$500,$B40,'DADOS BRUTOS'!CM$3:CM$500)+IF($C40="",0,SUMIF('DADOS BRUTOS'!$A$3:$A$500,$C40,'DADOS BRUTOS'!CM$3:CM$500)))</f>
        <v>0</v>
      </c>
      <c r="FN40" s="133" t="n">
        <f aca="false">IF(OR(FN$4="",$B40=""),0,SUMIF('DADOS BRUTOS'!$A$3:$A$500,$B40,'DADOS BRUTOS'!CN$3:CN$500)+IF($C40="",0,SUMIF('DADOS BRUTOS'!$A$3:$A$500,$C40,'DADOS BRUTOS'!CN$3:CN$500)))</f>
        <v>0</v>
      </c>
      <c r="FO40" s="133" t="n">
        <f aca="false">IF(OR(FO$4="",$B40=""),0,SUMIF('DADOS BRUTOS'!$A$3:$A$500,$B40,'DADOS BRUTOS'!CO$3:CO$500)+IF($C40="",0,SUMIF('DADOS BRUTOS'!$A$3:$A$500,$C40,'DADOS BRUTOS'!CO$3:CO$500)))</f>
        <v>0</v>
      </c>
      <c r="FP40" s="133" t="n">
        <f aca="false">IF(OR(FP$4="",$B40=""),0,SUMIF('DADOS BRUTOS'!$A$3:$A$500,$B40,'DADOS BRUTOS'!CP$3:CP$500)+IF($C40="",0,SUMIF('DADOS BRUTOS'!$A$3:$A$500,$C40,'DADOS BRUTOS'!CP$3:CP$500)))</f>
        <v>0</v>
      </c>
      <c r="FQ40" s="133" t="n">
        <f aca="false">IF(OR(FQ$4="",$B40=""),0,SUMIF('DADOS BRUTOS'!$A$3:$A$500,$B40,'DADOS BRUTOS'!CQ$3:CQ$500)+IF($C40="",0,SUMIF('DADOS BRUTOS'!$A$3:$A$500,$C40,'DADOS BRUTOS'!CQ$3:CQ$500)))</f>
        <v>0</v>
      </c>
      <c r="FR40" s="133" t="n">
        <f aca="false">IF(OR(FR$4="",$B40=""),0,SUMIF('DADOS BRUTOS'!$A$3:$A$500,$B40,'DADOS BRUTOS'!CR$3:CR$500)+IF($C40="",0,SUMIF('DADOS BRUTOS'!$A$3:$A$500,$C40,'DADOS BRUTOS'!CR$3:CR$500)))</f>
        <v>0</v>
      </c>
      <c r="FS40" s="133" t="n">
        <f aca="false">IF(OR(FS$4="",$B40=""),0,SUMIF('DADOS BRUTOS'!$A$3:$A$500,$B40,'DADOS BRUTOS'!CS$3:CS$500)+IF($C40="",0,SUMIF('DADOS BRUTOS'!$A$3:$A$500,$C40,'DADOS BRUTOS'!CS$3:CS$500)))</f>
        <v>0</v>
      </c>
      <c r="FT40" s="133" t="n">
        <f aca="false">IF(OR(FT$4="",$B40=""),0,SUMIF('DADOS BRUTOS'!$A$3:$A$500,$B40,'DADOS BRUTOS'!CT$3:CT$500)+IF($C40="",0,SUMIF('DADOS BRUTOS'!$A$3:$A$500,$C40,'DADOS BRUTOS'!CT$3:CT$500)))</f>
        <v>0</v>
      </c>
      <c r="FU40" s="133" t="n">
        <f aca="false">IF(OR(FU$4="",$B40=""),0,SUMIF('DADOS BRUTOS'!$A$3:$A$500,$B40,'DADOS BRUTOS'!CU$3:CU$500)+IF($C40="",0,SUMIF('DADOS BRUTOS'!$A$3:$A$500,$C40,'DADOS BRUTOS'!CU$3:CU$500)))</f>
        <v>0</v>
      </c>
      <c r="FV40" s="133" t="n">
        <f aca="false">IF(OR(FV$4="",$B40=""),0,SUMIF('DADOS BRUTOS'!$A$3:$A$500,$B40,'DADOS BRUTOS'!CV$3:CV$500)+IF($C40="",0,SUMIF('DADOS BRUTOS'!$A$3:$A$500,$C40,'DADOS BRUTOS'!CV$3:CV$500)))</f>
        <v>0</v>
      </c>
      <c r="FW40" s="133" t="n">
        <f aca="false">IF(OR(FW$4="",$B40=""),0,SUMIF('DADOS BRUTOS'!$A$3:$A$500,$B40,'DADOS BRUTOS'!CW$3:CW$500)+IF($C40="",0,SUMIF('DADOS BRUTOS'!$A$3:$A$500,$C40,'DADOS BRUTOS'!CW$3:CW$500)))</f>
        <v>0</v>
      </c>
      <c r="FX40" s="133" t="n">
        <f aca="false">IF(OR(FX$4="",$B40=""),0,SUMIF('DADOS BRUTOS'!$A$3:$A$500,$B40,'DADOS BRUTOS'!CX$3:CX$500)+IF($C40="",0,SUMIF('DADOS BRUTOS'!$A$3:$A$500,$C40,'DADOS BRUTOS'!CX$3:CX$500)))</f>
        <v>0</v>
      </c>
      <c r="FY40" s="133" t="n">
        <f aca="false">IF(OR(FY$4="",$B40=""),0,SUMIF('DADOS BRUTOS'!$A$3:$A$500,$B40,'DADOS BRUTOS'!CY$3:CY$500)+IF($C40="",0,SUMIF('DADOS BRUTOS'!$A$3:$A$500,$C40,'DADOS BRUTOS'!CY$3:CY$500)))</f>
        <v>0</v>
      </c>
      <c r="FZ40" s="133" t="n">
        <f aca="false">IF(OR(FZ$4="",$B40=""),0,SUMIF('DADOS BRUTOS'!$A$3:$A$500,$B40,'DADOS BRUTOS'!CZ$3:CZ$500)+IF($C40="",0,SUMIF('DADOS BRUTOS'!$A$3:$A$500,$C40,'DADOS BRUTOS'!CZ$3:CZ$500)))</f>
        <v>0</v>
      </c>
      <c r="GA40" s="133" t="n">
        <f aca="false">IF(OR(GA$4="",$B40=""),0,SUMIF('DADOS BRUTOS'!$A$3:$A$500,$B40,'DADOS BRUTOS'!DA$3:DA$500)+IF($C40="",0,SUMIF('DADOS BRUTOS'!$A$3:$A$500,$C40,'DADOS BRUTOS'!DA$3:DA$500)))</f>
        <v>0</v>
      </c>
      <c r="GB40" s="133" t="n">
        <f aca="false">IF(OR(GB$4="",$B40=""),0,SUMIF('DADOS BRUTOS'!$A$3:$A$500,$B40,'DADOS BRUTOS'!DB$3:DB$500)+IF($C40="",0,SUMIF('DADOS BRUTOS'!$A$3:$A$500,$C40,'DADOS BRUTOS'!DB$3:DB$500)))</f>
        <v>0</v>
      </c>
      <c r="GC40" s="133" t="n">
        <f aca="false">IF(OR(GC$4="",$B40=""),0,SUMIF('DADOS BRUTOS'!$A$3:$A$500,$B40,'DADOS BRUTOS'!DC$3:DC$500)+IF($C40="",0,SUMIF('DADOS BRUTOS'!$A$3:$A$500,$C40,'DADOS BRUTOS'!DC$3:DC$500)))</f>
        <v>0</v>
      </c>
      <c r="GD40" s="133" t="n">
        <f aca="false">IF(OR(GD$4="",$B40=""),0,SUMIF('DADOS BRUTOS'!$A$3:$A$500,$B40,'DADOS BRUTOS'!DD$3:DD$500)+IF($C40="",0,SUMIF('DADOS BRUTOS'!$A$3:$A$500,$C40,'DADOS BRUTOS'!DD$3:DD$500)))</f>
        <v>0</v>
      </c>
      <c r="GE40" s="133" t="n">
        <f aca="false">IF(OR(GE$4="",$B40=""),0,SUMIF('DADOS BRUTOS'!$A$3:$A$500,$B40,'DADOS BRUTOS'!DE$3:DE$500)+IF($C40="",0,SUMIF('DADOS BRUTOS'!$A$3:$A$500,$C40,'DADOS BRUTOS'!DE$3:DE$500)))</f>
        <v>0</v>
      </c>
      <c r="GF40" s="133" t="n">
        <f aca="false">IF(OR(GF$4="",$B40=""),0,SUMIF('DADOS BRUTOS'!$A$3:$A$500,$B40,'DADOS BRUTOS'!DF$3:DF$500)+IF($C40="",0,SUMIF('DADOS BRUTOS'!$A$3:$A$500,$C40,'DADOS BRUTOS'!DF$3:DF$500)))</f>
        <v>0</v>
      </c>
      <c r="GG40" s="133" t="n">
        <f aca="false">IF(OR(GG$4="",$B40=""),0,SUMIF('DADOS BRUTOS'!$A$3:$A$500,$B40,'DADOS BRUTOS'!DG$3:DG$500)+IF($C40="",0,SUMIF('DADOS BRUTOS'!$A$3:$A$500,$C40,'DADOS BRUTOS'!DG$3:DG$500)))</f>
        <v>0</v>
      </c>
      <c r="GH40" s="133" t="n">
        <f aca="false">IF(OR(GH$4="",$B40=""),0,SUMIF('DADOS BRUTOS'!$A$3:$A$500,$B40,'DADOS BRUTOS'!DH$3:DH$500)+IF($C40="",0,SUMIF('DADOS BRUTOS'!$A$3:$A$500,$C40,'DADOS BRUTOS'!DH$3:DH$500)))</f>
        <v>0</v>
      </c>
      <c r="GI40" s="133" t="n">
        <f aca="false">IF(OR(GI$4="",$B40=""),0,SUMIF('DADOS BRUTOS'!$A$3:$A$500,$B40,'DADOS BRUTOS'!DI$3:DI$500)+IF($C40="",0,SUMIF('DADOS BRUTOS'!$A$3:$A$500,$C40,'DADOS BRUTOS'!DI$3:DI$500)))</f>
        <v>0</v>
      </c>
      <c r="GJ40" s="133" t="n">
        <f aca="false">IF(OR(GJ$4="",$B40=""),0,SUMIF('DADOS BRUTOS'!$A$3:$A$500,$B40,'DADOS BRUTOS'!DJ$3:DJ$500)+IF($C40="",0,SUMIF('DADOS BRUTOS'!$A$3:$A$500,$C40,'DADOS BRUTOS'!DJ$3:DJ$500)))</f>
        <v>0</v>
      </c>
      <c r="GK40" s="133" t="n">
        <f aca="false">IF(OR(GK$4="",$B40=""),0,SUMIF('DADOS BRUTOS'!$A$3:$A$500,$B40,'DADOS BRUTOS'!DK$3:DK$500)+IF($C40="",0,SUMIF('DADOS BRUTOS'!$A$3:$A$500,$C40,'DADOS BRUTOS'!DK$3:DK$500)))</f>
        <v>0</v>
      </c>
      <c r="GL40" s="133" t="n">
        <f aca="false">IF(OR(GL$4="",$B40=""),0,SUMIF('DADOS BRUTOS'!$A$3:$A$500,$B40,'DADOS BRUTOS'!DL$3:DL$500)+IF($C40="",0,SUMIF('DADOS BRUTOS'!$A$3:$A$500,$C40,'DADOS BRUTOS'!DL$3:DL$500)))</f>
        <v>0</v>
      </c>
      <c r="GM40" s="133" t="n">
        <f aca="false">IF(OR(GM$4="",$B40=""),0,SUMIF('DADOS BRUTOS'!$A$3:$A$500,$B40,'DADOS BRUTOS'!DM$3:DM$500)+IF($C40="",0,SUMIF('DADOS BRUTOS'!$A$3:$A$500,$C40,'DADOS BRUTOS'!DM$3:DM$500)))</f>
        <v>0</v>
      </c>
      <c r="GN40" s="133" t="n">
        <f aca="false">IF(OR(GN$4="",$B40=""),0,SUMIF('DADOS BRUTOS'!$A$3:$A$500,$B40,'DADOS BRUTOS'!DN$3:DN$500)+IF($C40="",0,SUMIF('DADOS BRUTOS'!$A$3:$A$500,$C40,'DADOS BRUTOS'!DN$3:DN$500)))</f>
        <v>0</v>
      </c>
      <c r="GO40" s="133" t="n">
        <f aca="false">IF(OR(GO$4="",$B40=""),0,SUMIF('DADOS BRUTOS'!$A$3:$A$500,$B40,'DADOS BRUTOS'!DO$3:DO$500)+IF($C40="",0,SUMIF('DADOS BRUTOS'!$A$3:$A$500,$C40,'DADOS BRUTOS'!DO$3:DO$500)))</f>
        <v>0</v>
      </c>
      <c r="GP40" s="133" t="n">
        <f aca="false">IF(OR(GP$4="",$B40=""),0,SUMIF('DADOS BRUTOS'!$A$3:$A$500,$B40,'DADOS BRUTOS'!DP$3:DP$500)+IF($C40="",0,SUMIF('DADOS BRUTOS'!$A$3:$A$500,$C40,'DADOS BRUTOS'!DP$3:DP$500)))</f>
        <v>0</v>
      </c>
      <c r="GQ40" s="133" t="n">
        <f aca="false">IF(OR(GQ$4="",$B40=""),0,SUMIF('DADOS BRUTOS'!$A$3:$A$500,$B40,'DADOS BRUTOS'!DQ$3:DQ$500)+IF($C40="",0,SUMIF('DADOS BRUTOS'!$A$3:$A$500,$C40,'DADOS BRUTOS'!DQ$3:DQ$500)))</f>
        <v>0</v>
      </c>
      <c r="GR40" s="133" t="n">
        <f aca="false">IF(OR(GR$4="",$B40=""),0,SUMIF('DADOS BRUTOS'!$A$3:$A$500,$B40,'DADOS BRUTOS'!DR$3:DR$500)+IF($C40="",0,SUMIF('DADOS BRUTOS'!$A$3:$A$500,$C40,'DADOS BRUTOS'!DR$3:DR$500)))</f>
        <v>0</v>
      </c>
      <c r="GS40" s="133" t="n">
        <f aca="false">IF(OR(GS$4="",$B40=""),0,SUMIF('DADOS BRUTOS'!$A$3:$A$500,$B40,'DADOS BRUTOS'!DS$3:DS$500)+IF($C40="",0,SUMIF('DADOS BRUTOS'!$A$3:$A$500,$C40,'DADOS BRUTOS'!DS$3:DS$500)))</f>
        <v>0</v>
      </c>
      <c r="GT40" s="133" t="n">
        <f aca="false">IF(OR(GT$4="",$B40=""),0,SUMIF('DADOS BRUTOS'!$A$3:$A$500,$B40,'DADOS BRUTOS'!DT$3:DT$500)+IF($C40="",0,SUMIF('DADOS BRUTOS'!$A$3:$A$500,$C40,'DADOS BRUTOS'!DT$3:DT$500)))</f>
        <v>0</v>
      </c>
      <c r="GU40" s="133" t="n">
        <f aca="false">IF(OR(GU$4="",$B40=""),0,SUMIF('DADOS BRUTOS'!$A$3:$A$500,$B40,'DADOS BRUTOS'!DU$3:DU$500)+IF($C40="",0,SUMIF('DADOS BRUTOS'!$A$3:$A$500,$C40,'DADOS BRUTOS'!DU$3:DU$500)))</f>
        <v>0</v>
      </c>
      <c r="GV40" s="133" t="n">
        <f aca="false">IF(OR(GV$4="",$B40=""),0,SUMIF('DADOS BRUTOS'!$A$3:$A$500,$B40,'DADOS BRUTOS'!DV$3:DV$500)+IF($C40="",0,SUMIF('DADOS BRUTOS'!$A$3:$A$500,$C40,'DADOS BRUTOS'!DV$3:DV$500)))</f>
        <v>0</v>
      </c>
      <c r="GW40" s="133" t="n">
        <f aca="false">IF(OR(GW$4="",$B40=""),0,SUMIF('DADOS BRUTOS'!$A$3:$A$500,$B40,'DADOS BRUTOS'!DW$3:DW$500)+IF($C40="",0,SUMIF('DADOS BRUTOS'!$A$3:$A$500,$C40,'DADOS BRUTOS'!DW$3:DW$500)))</f>
        <v>0</v>
      </c>
      <c r="GX40" s="133" t="n">
        <f aca="false">IF(OR(GX$4="",$B40=""),0,SUMIF('DADOS BRUTOS'!$A$3:$A$500,$B40,'DADOS BRUTOS'!DX$3:DX$500)+IF($C40="",0,SUMIF('DADOS BRUTOS'!$A$3:$A$500,$C40,'DADOS BRUTOS'!DX$3:DX$500)))</f>
        <v>0</v>
      </c>
      <c r="GY40" s="133" t="n">
        <f aca="false">IF(OR(GY$4="",$B40=""),0,SUMIF('DADOS BRUTOS'!$A$3:$A$500,$B40,'DADOS BRUTOS'!DY$3:DY$500)+IF($C40="",0,SUMIF('DADOS BRUTOS'!$A$3:$A$500,$C40,'DADOS BRUTOS'!DY$3:DY$500)))</f>
        <v>0</v>
      </c>
      <c r="GZ40" s="133" t="n">
        <f aca="false">IF(OR(GZ$4="",$B40=""),0,SUMIF('DADOS BRUTOS'!$A$3:$A$500,$B40,'DADOS BRUTOS'!DZ$3:DZ$500)+IF($C40="",0,SUMIF('DADOS BRUTOS'!$A$3:$A$500,$C40,'DADOS BRUTOS'!DZ$3:DZ$500)))</f>
        <v>0</v>
      </c>
      <c r="HA40" s="133" t="n">
        <f aca="false">IF(OR(HA$4="",$B40=""),0,SUMIF('DADOS BRUTOS'!$A$3:$A$500,$B40,'DADOS BRUTOS'!EA$3:EA$500)+IF($C40="",0,SUMIF('DADOS BRUTOS'!$A$3:$A$500,$C40,'DADOS BRUTOS'!EA$3:EA$500)))</f>
        <v>0</v>
      </c>
      <c r="HB40" s="133" t="n">
        <f aca="false">IF(OR(HB$4="",$B40=""),0,SUMIF('DADOS BRUTOS'!$A$3:$A$500,$B40,'DADOS BRUTOS'!EB$3:EB$500)+IF($C40="",0,SUMIF('DADOS BRUTOS'!$A$3:$A$500,$C40,'DADOS BRUTOS'!EB$3:EB$500)))</f>
        <v>0</v>
      </c>
      <c r="HC40" s="133" t="n">
        <f aca="false">IF(OR(HC$4="",$B40=""),0,SUMIF('DADOS BRUTOS'!$A$3:$A$500,$B40,'DADOS BRUTOS'!EC$3:EC$500)+IF($C40="",0,SUMIF('DADOS BRUTOS'!$A$3:$A$500,$C40,'DADOS BRUTOS'!EC$3:EC$500)))</f>
        <v>0</v>
      </c>
      <c r="HD40" s="133" t="n">
        <f aca="false">IF(OR(HD$4="",$B40=""),0,SUMIF('DADOS BRUTOS'!$A$3:$A$500,$B40,'DADOS BRUTOS'!ED$3:ED$500)+IF($C40="",0,SUMIF('DADOS BRUTOS'!$A$3:$A$500,$C40,'DADOS BRUTOS'!ED$3:ED$500)))</f>
        <v>0</v>
      </c>
      <c r="HE40" s="133" t="n">
        <f aca="false">IF(OR(HE$4="",$B40=""),0,SUMIF('DADOS BRUTOS'!$A$3:$A$500,$B40,'DADOS BRUTOS'!EE$3:EE$500)+IF($C40="",0,SUMIF('DADOS BRUTOS'!$A$3:$A$500,$C40,'DADOS BRUTOS'!EE$3:EE$500)))</f>
        <v>0</v>
      </c>
      <c r="HF40" s="133" t="n">
        <f aca="false">IF(OR(HF$4="",$B40=""),0,SUMIF('DADOS BRUTOS'!$A$3:$A$500,$B40,'DADOS BRUTOS'!EF$3:EF$500)+IF($C40="",0,SUMIF('DADOS BRUTOS'!$A$3:$A$500,$C40,'DADOS BRUTOS'!EF$3:EF$500)))</f>
        <v>0</v>
      </c>
      <c r="HG40" s="133" t="n">
        <f aca="false">IF(OR(HG$4="",$B40=""),0,SUMIF('DADOS BRUTOS'!$A$3:$A$500,$B40,'DADOS BRUTOS'!EG$3:EG$500)+IF($C40="",0,SUMIF('DADOS BRUTOS'!$A$3:$A$500,$C40,'DADOS BRUTOS'!EG$3:EG$500)))</f>
        <v>0</v>
      </c>
      <c r="HH40" s="133" t="n">
        <f aca="false">IF(OR(HH$4="",$B40=""),0,SUMIF('DADOS BRUTOS'!$A$3:$A$500,$B40,'DADOS BRUTOS'!EH$3:EH$500)+IF($C40="",0,SUMIF('DADOS BRUTOS'!$A$3:$A$500,$C40,'DADOS BRUTOS'!EH$3:EH$500)))</f>
        <v>0</v>
      </c>
      <c r="HI40" s="133" t="n">
        <f aca="false">IF(OR(HI$4="",$B40=""),0,SUMIF('DADOS BRUTOS'!$A$3:$A$500,$B40,'DADOS BRUTOS'!EI$3:EI$500)+IF($C40="",0,SUMIF('DADOS BRUTOS'!$A$3:$A$500,$C40,'DADOS BRUTOS'!EI$3:EI$500)))</f>
        <v>0</v>
      </c>
      <c r="HJ40" s="133" t="n">
        <f aca="false">IF(OR(HJ$4="",$B40=""),0,SUMIF('DADOS BRUTOS'!$A$3:$A$500,$B40,'DADOS BRUTOS'!EJ$3:EJ$500)+IF($C40="",0,SUMIF('DADOS BRUTOS'!$A$3:$A$500,$C40,'DADOS BRUTOS'!EJ$3:EJ$500)))</f>
        <v>0</v>
      </c>
      <c r="HK40" s="133" t="n">
        <f aca="false">IF(OR(HK$4="",$B40=""),0,SUMIF('DADOS BRUTOS'!$A$3:$A$500,$B40,'DADOS BRUTOS'!EK$3:EK$500)+IF($C40="",0,SUMIF('DADOS BRUTOS'!$A$3:$A$500,$C40,'DADOS BRUTOS'!EK$3:EK$500)))</f>
        <v>0</v>
      </c>
      <c r="HL40" s="133" t="n">
        <f aca="false">IF(OR(HL$4="",$B40=""),0,SUMIF('DADOS BRUTOS'!$A$3:$A$500,$B40,'DADOS BRUTOS'!EL$3:EL$500)+IF($C40="",0,SUMIF('DADOS BRUTOS'!$A$3:$A$500,$C40,'DADOS BRUTOS'!EL$3:EL$500)))</f>
        <v>0</v>
      </c>
      <c r="HM40" s="133" t="n">
        <f aca="false">IF(OR(HM$4="",$B40=""),0,SUMIF('DADOS BRUTOS'!$A$3:$A$500,$B40,'DADOS BRUTOS'!EM$3:EM$500)+IF($C40="",0,SUMIF('DADOS BRUTOS'!$A$3:$A$500,$C40,'DADOS BRUTOS'!EM$3:EM$500)))</f>
        <v>0</v>
      </c>
      <c r="HN40" s="133" t="n">
        <f aca="false">IF(OR(HN$4="",$B40=""),0,SUMIF('DADOS BRUTOS'!$A$3:$A$500,$B40,'DADOS BRUTOS'!EN$3:EN$500)+IF($C40="",0,SUMIF('DADOS BRUTOS'!$A$3:$A$500,$C40,'DADOS BRUTOS'!EN$3:EN$500)))</f>
        <v>0</v>
      </c>
      <c r="HO40" s="133" t="n">
        <f aca="false">IF(OR(HO$4="",$B40=""),0,SUMIF('DADOS BRUTOS'!$A$3:$A$500,$B40,'DADOS BRUTOS'!EO$3:EO$500)+IF($C40="",0,SUMIF('DADOS BRUTOS'!$A$3:$A$500,$C40,'DADOS BRUTOS'!EO$3:EO$500)))</f>
        <v>0</v>
      </c>
      <c r="HP40" s="133" t="n">
        <f aca="false">IF(OR(HP$4="",$B40=""),0,SUMIF('DADOS BRUTOS'!$A$3:$A$500,$B40,'DADOS BRUTOS'!EP$3:EP$500)+IF($C40="",0,SUMIF('DADOS BRUTOS'!$A$3:$A$500,$C40,'DADOS BRUTOS'!EP$3:EP$500)))</f>
        <v>0</v>
      </c>
      <c r="HQ40" s="133" t="n">
        <f aca="false">IF(OR(HQ$4="",$B40=""),0,SUMIF('DADOS BRUTOS'!$A$3:$A$500,$B40,'DADOS BRUTOS'!EQ$3:EQ$500)+IF($C40="",0,SUMIF('DADOS BRUTOS'!$A$3:$A$500,$C40,'DADOS BRUTOS'!EQ$3:EQ$500)))</f>
        <v>0</v>
      </c>
      <c r="HR40" s="133" t="n">
        <f aca="false">IF(OR(HR$4="",$B40=""),0,SUMIF('DADOS BRUTOS'!$A$3:$A$500,$B40,'DADOS BRUTOS'!ER$3:ER$500)+IF($C40="",0,SUMIF('DADOS BRUTOS'!$A$3:$A$500,$C40,'DADOS BRUTOS'!ER$3:ER$500)))</f>
        <v>0</v>
      </c>
      <c r="HS40" s="133" t="n">
        <f aca="false">IF(OR(HS$4="",$B40=""),0,SUMIF('DADOS BRUTOS'!$A$3:$A$500,$B40,'DADOS BRUTOS'!ES$3:ES$500)+IF($C40="",0,SUMIF('DADOS BRUTOS'!$A$3:$A$500,$C40,'DADOS BRUTOS'!ES$3:ES$500)))</f>
        <v>0</v>
      </c>
      <c r="HT40" s="133" t="n">
        <f aca="false">IF(OR(HT$4="",$B40=""),0,SUMIF('DADOS BRUTOS'!$A$3:$A$500,$B40,'DADOS BRUTOS'!ET$3:ET$500)+IF($C40="",0,SUMIF('DADOS BRUTOS'!$A$3:$A$500,$C40,'DADOS BRUTOS'!ET$3:ET$500)))</f>
        <v>0</v>
      </c>
      <c r="HU40" s="133" t="n">
        <f aca="false">IF(OR(HU$4="",$B40=""),0,SUMIF('DADOS BRUTOS'!$A$3:$A$500,$B40,'DADOS BRUTOS'!EU$3:EU$500)+IF($C40="",0,SUMIF('DADOS BRUTOS'!$A$3:$A$500,$C40,'DADOS BRUTOS'!EU$3:EU$500)))</f>
        <v>0</v>
      </c>
      <c r="HV40" s="133" t="n">
        <f aca="false">IF(OR(HV$4="",$B40=""),0,SUMIF('DADOS BRUTOS'!$A$3:$A$500,$B40,'DADOS BRUTOS'!EV$3:EV$500)+IF($C40="",0,SUMIF('DADOS BRUTOS'!$A$3:$A$500,$C40,'DADOS BRUTOS'!EV$3:EV$500)))</f>
        <v>0</v>
      </c>
      <c r="HW40" s="133" t="n">
        <f aca="false">IF(OR(HW$4="",$B40=""),0,SUMIF('DADOS BRUTOS'!$A$3:$A$500,$B40,'DADOS BRUTOS'!EW$3:EW$500)+IF($C40="",0,SUMIF('DADOS BRUTOS'!$A$3:$A$500,$C40,'DADOS BRUTOS'!EW$3:EW$500)))</f>
        <v>0</v>
      </c>
      <c r="HX40" s="133" t="n">
        <f aca="false">IF(OR(HX$4="",$B40=""),0,SUMIF('DADOS BRUTOS'!$A$3:$A$500,$B40,'DADOS BRUTOS'!EX$3:EX$500)+IF($C40="",0,SUMIF('DADOS BRUTOS'!$A$3:$A$500,$C40,'DADOS BRUTOS'!EX$3:EX$500)))</f>
        <v>0</v>
      </c>
      <c r="HY40" s="133" t="n">
        <f aca="false">IF(OR(HY$4="",$B40=""),0,SUMIF('DADOS BRUTOS'!$A$3:$A$500,$B40,'DADOS BRUTOS'!EY$3:EY$500)+IF($C40="",0,SUMIF('DADOS BRUTOS'!$A$3:$A$500,$C40,'DADOS BRUTOS'!EY$3:EY$500)))</f>
        <v>0</v>
      </c>
      <c r="HZ40" s="133" t="n">
        <f aca="false">IF(OR(HZ$4="",$B40=""),0,SUMIF('DADOS BRUTOS'!$A$3:$A$500,$B40,'DADOS BRUTOS'!EZ$3:EZ$500)+IF($C40="",0,SUMIF('DADOS BRUTOS'!$A$3:$A$500,$C40,'DADOS BRUTOS'!EZ$3:EZ$500)))</f>
        <v>0</v>
      </c>
      <c r="IA40" s="133" t="n">
        <f aca="false">IF(OR(IA$4="",$B40=""),0,SUMIF('DADOS BRUTOS'!$A$3:$A$500,$B40,'DADOS BRUTOS'!FA$3:FA$500)+IF($C40="",0,SUMIF('DADOS BRUTOS'!$A$3:$A$500,$C40,'DADOS BRUTOS'!FA$3:FA$500)))</f>
        <v>0</v>
      </c>
      <c r="IB40" s="133" t="n">
        <f aca="false">IF(OR(IB$4="",$B40=""),0,SUMIF('DADOS BRUTOS'!$A$3:$A$500,$B40,'DADOS BRUTOS'!FB$3:FB$500)+IF($C40="",0,SUMIF('DADOS BRUTOS'!$A$3:$A$500,$C40,'DADOS BRUTOS'!FB$3:FB$500)))</f>
        <v>0</v>
      </c>
      <c r="IC40" s="133" t="n">
        <f aca="false">IF(OR(IC$4="",$B40=""),0,SUMIF('DADOS BRUTOS'!$A$3:$A$500,$B40,'DADOS BRUTOS'!FC$3:FC$500)+IF($C40="",0,SUMIF('DADOS BRUTOS'!$A$3:$A$500,$C40,'DADOS BRUTOS'!FC$3:FC$500)))</f>
        <v>0</v>
      </c>
      <c r="ID40" s="133" t="n">
        <f aca="false">IF(OR(ID$4="",$B40=""),0,SUMIF('DADOS BRUTOS'!$A$3:$A$500,$B40,'DADOS BRUTOS'!FD$3:FD$500)+IF($C40="",0,SUMIF('DADOS BRUTOS'!$A$3:$A$500,$C40,'DADOS BRUTOS'!FD$3:FD$500)))</f>
        <v>0</v>
      </c>
      <c r="IE40" s="133" t="n">
        <f aca="false">IF(OR(IE$4="",$B40=""),0,SUMIF('DADOS BRUTOS'!$A$3:$A$500,$B40,'DADOS BRUTOS'!FE$3:FE$500)+IF($C40="",0,SUMIF('DADOS BRUTOS'!$A$3:$A$500,$C40,'DADOS BRUTOS'!FE$3:FE$500)))</f>
        <v>0</v>
      </c>
      <c r="IF40" s="133" t="n">
        <f aca="false">IF(OR(IF$4="",$B40=""),0,SUMIF('DADOS BRUTOS'!$A$3:$A$500,$B40,'DADOS BRUTOS'!FF$3:FF$500)+IF($C40="",0,SUMIF('DADOS BRUTOS'!$A$3:$A$500,$C40,'DADOS BRUTOS'!FF$3:FF$500)))</f>
        <v>0</v>
      </c>
      <c r="IG40" s="133" t="n">
        <f aca="false">IF(OR(IG$4="",$B40=""),0,SUMIF('DADOS BRUTOS'!$A$3:$A$500,$B40,'DADOS BRUTOS'!FG$3:FG$500)+IF($C40="",0,SUMIF('DADOS BRUTOS'!$A$3:$A$500,$C40,'DADOS BRUTOS'!FG$3:FG$500)))</f>
        <v>0</v>
      </c>
      <c r="IH40" s="133" t="n">
        <f aca="false">IF(OR(IH$4="",$B40=""),0,SUMIF('DADOS BRUTOS'!$A$3:$A$500,$B40,'DADOS BRUTOS'!FH$3:FH$500)+IF($C40="",0,SUMIF('DADOS BRUTOS'!$A$3:$A$500,$C40,'DADOS BRUTOS'!FH$3:FH$500)))</f>
        <v>0</v>
      </c>
      <c r="II40" s="133" t="n">
        <f aca="false">IF(OR(II$4="",$B40=""),0,SUMIF('DADOS BRUTOS'!$A$3:$A$500,$B40,'DADOS BRUTOS'!FI$3:FI$500)+IF($C40="",0,SUMIF('DADOS BRUTOS'!$A$3:$A$500,$C40,'DADOS BRUTOS'!FI$3:FI$500)))</f>
        <v>0</v>
      </c>
      <c r="IJ40" s="133" t="n">
        <f aca="false">IF(OR(IJ$4="",$B40=""),0,SUMIF('DADOS BRUTOS'!$A$3:$A$500,$B40,'DADOS BRUTOS'!FJ$3:FJ$500)+IF($C40="",0,SUMIF('DADOS BRUTOS'!$A$3:$A$500,$C40,'DADOS BRUTOS'!FJ$3:FJ$500)))</f>
        <v>0</v>
      </c>
      <c r="IK40" s="133" t="n">
        <f aca="false">IF(OR(IK$4="",$B40=""),0,SUMIF('DADOS BRUTOS'!$A$3:$A$500,$B40,'DADOS BRUTOS'!FK$3:FK$500)+IF($C40="",0,SUMIF('DADOS BRUTOS'!$A$3:$A$500,$C40,'DADOS BRUTOS'!FK$3:FK$500)))</f>
        <v>0</v>
      </c>
      <c r="IL40" s="133" t="n">
        <f aca="false">IF(OR(IL$4="",$B40=""),0,SUMIF('DADOS BRUTOS'!$A$3:$A$500,$B40,'DADOS BRUTOS'!FL$3:FL$500)+IF($C40="",0,SUMIF('DADOS BRUTOS'!$A$3:$A$500,$C40,'DADOS BRUTOS'!FL$3:FL$500)))</f>
        <v>0</v>
      </c>
      <c r="IM40" s="133" t="n">
        <f aca="false">IF(OR(IM$4="",$B40=""),0,SUMIF('DADOS BRUTOS'!$A$3:$A$500,$B40,'DADOS BRUTOS'!FM$3:FM$500)+IF($C40="",0,SUMIF('DADOS BRUTOS'!$A$3:$A$500,$C40,'DADOS BRUTOS'!FM$3:FM$500)))</f>
        <v>0</v>
      </c>
      <c r="IN40" s="133" t="n">
        <f aca="false">IF(OR(IN$4="",$B40=""),0,SUMIF('DADOS BRUTOS'!$A$3:$A$500,$B40,'DADOS BRUTOS'!FN$3:FN$500)+IF($C40="",0,SUMIF('DADOS BRUTOS'!$A$3:$A$500,$C40,'DADOS BRUTOS'!FN$3:FN$500)))</f>
        <v>0</v>
      </c>
      <c r="IO40" s="133" t="n">
        <f aca="false">IF(OR(IO$4="",$B40=""),0,SUMIF('DADOS BRUTOS'!$A$3:$A$500,$B40,'DADOS BRUTOS'!FO$3:FO$500)+IF($C40="",0,SUMIF('DADOS BRUTOS'!$A$3:$A$500,$C40,'DADOS BRUTOS'!FO$3:FO$500)))</f>
        <v>0</v>
      </c>
      <c r="IP40" s="133" t="n">
        <f aca="false">IF(OR(IP$4="",$B40=""),0,SUMIF('DADOS BRUTOS'!$A$3:$A$500,$B40,'DADOS BRUTOS'!FP$3:FP$500)+IF($C40="",0,SUMIF('DADOS BRUTOS'!$A$3:$A$500,$C40,'DADOS BRUTOS'!FP$3:FP$500)))</f>
        <v>0</v>
      </c>
      <c r="IQ40" s="133" t="n">
        <f aca="false">IF(OR(IQ$4="",$B40=""),0,SUMIF('DADOS BRUTOS'!$A$3:$A$500,$B40,'DADOS BRUTOS'!FQ$3:FQ$500)+IF($C40="",0,SUMIF('DADOS BRUTOS'!$A$3:$A$500,$C40,'DADOS BRUTOS'!FQ$3:FQ$500)))</f>
        <v>0</v>
      </c>
      <c r="IR40" s="133" t="n">
        <f aca="false">IF(OR(IR$4="",$B40=""),0,SUMIF('DADOS BRUTOS'!$A$3:$A$500,$B40,'DADOS BRUTOS'!FR$3:FR$500)+IF($C40="",0,SUMIF('DADOS BRUTOS'!$A$3:$A$500,$C40,'DADOS BRUTOS'!FR$3:FR$500)))</f>
        <v>0</v>
      </c>
      <c r="IS40" s="133" t="n">
        <f aca="false">IF(OR(IS$4="",$B40=""),0,SUMIF('DADOS BRUTOS'!$A$3:$A$500,$B40,'DADOS BRUTOS'!FS$3:FS$500)+IF($C40="",0,SUMIF('DADOS BRUTOS'!$A$3:$A$500,$C40,'DADOS BRUTOS'!FS$3:FS$500)))</f>
        <v>0</v>
      </c>
      <c r="IT40" s="133" t="n">
        <f aca="false">IF(OR(IT$4="",$B40=""),0,SUMIF('DADOS BRUTOS'!$A$3:$A$500,$B40,'DADOS BRUTOS'!FT$3:FT$500)+IF($C40="",0,SUMIF('DADOS BRUTOS'!$A$3:$A$500,$C40,'DADOS BRUTOS'!FT$3:FT$500)))</f>
        <v>0</v>
      </c>
      <c r="IU40" s="133" t="n">
        <f aca="false">IF(OR(IU$4="",$B40=""),0,SUMIF('DADOS BRUTOS'!$A$3:$A$500,$B40,'DADOS BRUTOS'!FU$3:FU$500)+IF($C40="",0,SUMIF('DADOS BRUTOS'!$A$3:$A$500,$C40,'DADOS BRUTOS'!FU$3:FU$500)))</f>
        <v>0</v>
      </c>
      <c r="IV40" s="133" t="n">
        <f aca="false">IF(OR(IV$4="",$B40=""),0,SUMIF('DADOS BRUTOS'!$A$3:$A$500,$B40,'DADOS BRUTOS'!FV$3:FV$500)+IF($C40="",0,SUMIF('DADOS BRUTOS'!$A$3:$A$500,$C40,'DADOS BRUTOS'!FV$3:FV$500)))</f>
        <v>0</v>
      </c>
      <c r="IW40" s="133" t="n">
        <f aca="false">IF(OR(IW$4="",$B40=""),0,SUMIF('DADOS BRUTOS'!$A$3:$A$500,$B40,'DADOS BRUTOS'!FW$3:FW$500)+IF($C40="",0,SUMIF('DADOS BRUTOS'!$A$3:$A$500,$C40,'DADOS BRUTOS'!FW$3:FW$500)))</f>
        <v>0</v>
      </c>
      <c r="IX40" s="133" t="n">
        <f aca="false">IF(OR(IX$4="",$B40=""),0,SUMIF('DADOS BRUTOS'!$A$3:$A$500,$B40,'DADOS BRUTOS'!FX$3:FX$500)+IF($C40="",0,SUMIF('DADOS BRUTOS'!$A$3:$A$500,$C40,'DADOS BRUTOS'!FX$3:FX$500)))</f>
        <v>0</v>
      </c>
      <c r="IY40" s="133" t="n">
        <f aca="false">IF(OR(IY$4="",$B40=""),0,SUMIF('DADOS BRUTOS'!$A$3:$A$500,$B40,'DADOS BRUTOS'!FY$3:FY$500)+IF($C40="",0,SUMIF('DADOS BRUTOS'!$A$3:$A$500,$C40,'DADOS BRUTOS'!FY$3:FY$500)))</f>
        <v>0</v>
      </c>
      <c r="IZ40" s="133" t="n">
        <f aca="false">IF(OR(IZ$4="",$B40=""),0,SUMIF('DADOS BRUTOS'!$A$3:$A$500,$B40,'DADOS BRUTOS'!FZ$3:FZ$500)+IF($C40="",0,SUMIF('DADOS BRUTOS'!$A$3:$A$500,$C40,'DADOS BRUTOS'!FZ$3:FZ$500)))</f>
        <v>0</v>
      </c>
      <c r="JA40" s="133" t="n">
        <f aca="false">IF(OR(JA$4="",$B40=""),0,SUMIF('DADOS BRUTOS'!$A$3:$A$500,$B40,'DADOS BRUTOS'!GA$3:GA$500)+IF($C40="",0,SUMIF('DADOS BRUTOS'!$A$3:$A$500,$C40,'DADOS BRUTOS'!GA$3:GA$500)))</f>
        <v>0</v>
      </c>
      <c r="JB40" s="133" t="n">
        <f aca="false">IF(OR(JB$4="",$B40=""),0,SUMIF('DADOS BRUTOS'!$A$3:$A$500,$B40,'DADOS BRUTOS'!GB$3:GB$500)+IF($C40="",0,SUMIF('DADOS BRUTOS'!$A$3:$A$500,$C40,'DADOS BRUTOS'!GB$3:GB$500)))</f>
        <v>0</v>
      </c>
      <c r="JC40" s="133" t="n">
        <f aca="false">IF(OR(JC$4="",$B40=""),0,SUMIF('DADOS BRUTOS'!$A$3:$A$500,$B40,'DADOS BRUTOS'!GC$3:GC$500)+IF($C40="",0,SUMIF('DADOS BRUTOS'!$A$3:$A$500,$C40,'DADOS BRUTOS'!GC$3:GC$500)))</f>
        <v>0</v>
      </c>
      <c r="JD40" s="133" t="n">
        <f aca="false">IF(OR(JD$4="",$B40=""),0,SUMIF('DADOS BRUTOS'!$A$3:$A$500,$B40,'DADOS BRUTOS'!GD$3:GD$500)+IF($C40="",0,SUMIF('DADOS BRUTOS'!$A$3:$A$500,$C40,'DADOS BRUTOS'!GD$3:GD$500)))</f>
        <v>0</v>
      </c>
      <c r="JE40" s="133" t="n">
        <f aca="false">IF(OR(JE$4="",$B40=""),0,SUMIF('DADOS BRUTOS'!$A$3:$A$500,$B40,'DADOS BRUTOS'!GE$3:GE$500)+IF($C40="",0,SUMIF('DADOS BRUTOS'!$A$3:$A$500,$C40,'DADOS BRUTOS'!GE$3:GE$500)))</f>
        <v>0</v>
      </c>
      <c r="JF40" s="133" t="n">
        <f aca="false">IF(OR(JF$4="",$B40=""),0,SUMIF('DADOS BRUTOS'!$A$3:$A$500,$B40,'DADOS BRUTOS'!GF$3:GF$500)+IF($C40="",0,SUMIF('DADOS BRUTOS'!$A$3:$A$500,$C40,'DADOS BRUTOS'!GF$3:GF$500)))</f>
        <v>0</v>
      </c>
      <c r="JG40" s="133" t="n">
        <f aca="false">IF(OR(JG$4="",$B40=""),0,SUMIF('DADOS BRUTOS'!$A$3:$A$500,$B40,'DADOS BRUTOS'!GG$3:GG$500)+IF($C40="",0,SUMIF('DADOS BRUTOS'!$A$3:$A$500,$C40,'DADOS BRUTOS'!GG$3:GG$500)))</f>
        <v>0</v>
      </c>
      <c r="JH40" s="133" t="n">
        <f aca="false">IF(OR(JH$4="",$B40=""),0,SUMIF('DADOS BRUTOS'!$A$3:$A$500,$B40,'DADOS BRUTOS'!GH$3:GH$500)+IF($C40="",0,SUMIF('DADOS BRUTOS'!$A$3:$A$500,$C40,'DADOS BRUTOS'!GH$3:GH$500)))</f>
        <v>0</v>
      </c>
      <c r="JI40" s="133" t="n">
        <f aca="false">IF(OR(JI$4="",$B40=""),0,SUMIF('DADOS BRUTOS'!$A$3:$A$500,$B40,'DADOS BRUTOS'!GI$3:GI$500)+IF($C40="",0,SUMIF('DADOS BRUTOS'!$A$3:$A$500,$C40,'DADOS BRUTOS'!GI$3:GI$500)))</f>
        <v>0</v>
      </c>
      <c r="JJ40" s="133" t="n">
        <f aca="false">IF(OR(JJ$4="",$B40=""),0,SUMIF('DADOS BRUTOS'!$A$3:$A$500,$B40,'DADOS BRUTOS'!GJ$3:GJ$500)+IF($C40="",0,SUMIF('DADOS BRUTOS'!$A$3:$A$500,$C40,'DADOS BRUTOS'!GJ$3:GJ$500)))</f>
        <v>0</v>
      </c>
      <c r="JK40" s="133" t="n">
        <f aca="false">IF(OR(JK$4="",$B40=""),0,SUMIF('DADOS BRUTOS'!$A$3:$A$500,$B40,'DADOS BRUTOS'!GK$3:GK$500)+IF($C40="",0,SUMIF('DADOS BRUTOS'!$A$3:$A$500,$C40,'DADOS BRUTOS'!GK$3:GK$500)))</f>
        <v>0</v>
      </c>
      <c r="JL40" s="133" t="n">
        <f aca="false">IF(OR(JL$4="",$B40=""),0,SUMIF('DADOS BRUTOS'!$A$3:$A$500,$B40,'DADOS BRUTOS'!GL$3:GL$500)+IF($C40="",0,SUMIF('DADOS BRUTOS'!$A$3:$A$500,$C40,'DADOS BRUTOS'!GL$3:GL$500)))</f>
        <v>0</v>
      </c>
      <c r="JM40" s="133" t="n">
        <f aca="false">IF(OR(JM$4="",$B40=""),0,SUMIF('DADOS BRUTOS'!$A$3:$A$500,$B40,'DADOS BRUTOS'!GM$3:GM$500)+IF($C40="",0,SUMIF('DADOS BRUTOS'!$A$3:$A$500,$C40,'DADOS BRUTOS'!GM$3:GM$500)))</f>
        <v>0</v>
      </c>
      <c r="JN40" s="133" t="n">
        <f aca="false">IF(OR(JN$4="",$B40=""),0,SUMIF('DADOS BRUTOS'!$A$3:$A$500,$B40,'DADOS BRUTOS'!GN$3:GN$500)+IF($C40="",0,SUMIF('DADOS BRUTOS'!$A$3:$A$500,$C40,'DADOS BRUTOS'!GN$3:GN$500)))</f>
        <v>0</v>
      </c>
      <c r="JO40" s="133" t="n">
        <f aca="false">IF(OR(JO$4="",$B40=""),0,SUMIF('DADOS BRUTOS'!$A$3:$A$500,$B40,'DADOS BRUTOS'!GO$3:GO$500)+IF($C40="",0,SUMIF('DADOS BRUTOS'!$A$3:$A$500,$C40,'DADOS BRUTOS'!GO$3:GO$500)))</f>
        <v>0</v>
      </c>
      <c r="JP40" s="133" t="n">
        <f aca="false">IF(OR(JP$4="",$B40=""),0,SUMIF('DADOS BRUTOS'!$A$3:$A$500,$B40,'DADOS BRUTOS'!GP$3:GP$500)+IF($C40="",0,SUMIF('DADOS BRUTOS'!$A$3:$A$500,$C40,'DADOS BRUTOS'!GP$3:GP$500)))</f>
        <v>0</v>
      </c>
      <c r="JQ40" s="133" t="n">
        <f aca="false">IF(OR(JQ$4="",$B40=""),0,SUMIF('DADOS BRUTOS'!$A$3:$A$500,$B40,'DADOS BRUTOS'!GQ$3:GQ$500)+IF($C40="",0,SUMIF('DADOS BRUTOS'!$A$3:$A$500,$C40,'DADOS BRUTOS'!GQ$3:GQ$500)))</f>
        <v>0</v>
      </c>
      <c r="JR40" s="133" t="n">
        <f aca="false">IF(OR(JR$4="",$B40=""),0,SUMIF('DADOS BRUTOS'!$A$3:$A$500,$B40,'DADOS BRUTOS'!GR$3:GR$500)+IF($C40="",0,SUMIF('DADOS BRUTOS'!$A$3:$A$500,$C40,'DADOS BRUTOS'!GR$3:GR$500)))</f>
        <v>0</v>
      </c>
      <c r="JS40" s="133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220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3" t="n">
        <f aca="false">IF(OR(CB$4="",$B41=""),0,SUMIF('DADOS BRUTOS'!$A$3:$A$500,$B41,'DADOS BRUTOS'!B$3:B$500)+IF($C41="",0,SUMIF('DADOS BRUTOS'!$A$3:$A$500,$C41,'DADOS BRUTOS'!B$3:B$500)))</f>
        <v>0</v>
      </c>
      <c r="CC41" s="133" t="n">
        <f aca="false">IF(OR(CC$4="",$B41=""),0,SUMIF('DADOS BRUTOS'!$A$3:$A$500,$B41,'DADOS BRUTOS'!C$3:C$500)+IF($C41="",0,SUMIF('DADOS BRUTOS'!$A$3:$A$500,$C41,'DADOS BRUTOS'!C$3:C$500)))</f>
        <v>0</v>
      </c>
      <c r="CD41" s="133" t="n">
        <f aca="false">IF(OR(CD$4="",$B41=""),0,SUMIF('DADOS BRUTOS'!$A$3:$A$500,$B41,'DADOS BRUTOS'!D$3:D$500)+IF($C41="",0,SUMIF('DADOS BRUTOS'!$A$3:$A$500,$C41,'DADOS BRUTOS'!D$3:D$500)))</f>
        <v>0</v>
      </c>
      <c r="CE41" s="133" t="n">
        <f aca="false">IF(OR(CE$4="",$B41=""),0,SUMIF('DADOS BRUTOS'!$A$3:$A$500,$B41,'DADOS BRUTOS'!E$3:E$500)+IF($C41="",0,SUMIF('DADOS BRUTOS'!$A$3:$A$500,$C41,'DADOS BRUTOS'!E$3:E$500)))</f>
        <v>0</v>
      </c>
      <c r="CF41" s="133" t="n">
        <f aca="false">IF(OR(CF$4="",$B41=""),0,SUMIF('DADOS BRUTOS'!$A$3:$A$500,$B41,'DADOS BRUTOS'!F$3:F$500)+IF($C41="",0,SUMIF('DADOS BRUTOS'!$A$3:$A$500,$C41,'DADOS BRUTOS'!F$3:F$500)))</f>
        <v>0</v>
      </c>
      <c r="CG41" s="133" t="n">
        <f aca="false">IF(OR(CG$4="",$B41=""),0,SUMIF('DADOS BRUTOS'!$A$3:$A$500,$B41,'DADOS BRUTOS'!G$3:G$500)+IF($C41="",0,SUMIF('DADOS BRUTOS'!$A$3:$A$500,$C41,'DADOS BRUTOS'!G$3:G$500)))</f>
        <v>0</v>
      </c>
      <c r="CH41" s="133" t="n">
        <f aca="false">IF(OR(CH$4="",$B41=""),0,SUMIF('DADOS BRUTOS'!$A$3:$A$500,$B41,'DADOS BRUTOS'!H$3:H$500)+IF($C41="",0,SUMIF('DADOS BRUTOS'!$A$3:$A$500,$C41,'DADOS BRUTOS'!H$3:H$500)))</f>
        <v>0</v>
      </c>
      <c r="CI41" s="133" t="n">
        <f aca="false">IF(OR(CI$4="",$B41=""),0,SUMIF('DADOS BRUTOS'!$A$3:$A$500,$B41,'DADOS BRUTOS'!I$3:I$500)+IF($C41="",0,SUMIF('DADOS BRUTOS'!$A$3:$A$500,$C41,'DADOS BRUTOS'!I$3:I$500)))</f>
        <v>0</v>
      </c>
      <c r="CJ41" s="133" t="n">
        <f aca="false">IF(OR(CJ$4="",$B41=""),0,SUMIF('DADOS BRUTOS'!$A$3:$A$500,$B41,'DADOS BRUTOS'!J$3:J$500)+IF($C41="",0,SUMIF('DADOS BRUTOS'!$A$3:$A$500,$C41,'DADOS BRUTOS'!J$3:J$500)))</f>
        <v>0</v>
      </c>
      <c r="CK41" s="133" t="n">
        <f aca="false">IF(OR(CK$4="",$B41=""),0,SUMIF('DADOS BRUTOS'!$A$3:$A$500,$B41,'DADOS BRUTOS'!K$3:K$500)+IF($C41="",0,SUMIF('DADOS BRUTOS'!$A$3:$A$500,$C41,'DADOS BRUTOS'!K$3:K$500)))</f>
        <v>0</v>
      </c>
      <c r="CL41" s="133" t="n">
        <f aca="false">IF(OR(CL$4="",$B41=""),0,SUMIF('DADOS BRUTOS'!$A$3:$A$500,$B41,'DADOS BRUTOS'!L$3:L$500)+IF($C41="",0,SUMIF('DADOS BRUTOS'!$A$3:$A$500,$C41,'DADOS BRUTOS'!L$3:L$500)))</f>
        <v>0</v>
      </c>
      <c r="CM41" s="133" t="n">
        <f aca="false">IF(OR(CM$4="",$B41=""),0,SUMIF('DADOS BRUTOS'!$A$3:$A$500,$B41,'DADOS BRUTOS'!M$3:M$500)+IF($C41="",0,SUMIF('DADOS BRUTOS'!$A$3:$A$500,$C41,'DADOS BRUTOS'!M$3:M$500)))</f>
        <v>0</v>
      </c>
      <c r="CN41" s="133" t="n">
        <f aca="false">IF(OR(CN$4="",$B41=""),0,SUMIF('DADOS BRUTOS'!$A$3:$A$500,$B41,'DADOS BRUTOS'!N$3:N$500)+IF($C41="",0,SUMIF('DADOS BRUTOS'!$A$3:$A$500,$C41,'DADOS BRUTOS'!N$3:N$500)))</f>
        <v>0</v>
      </c>
      <c r="CO41" s="133" t="n">
        <f aca="false">IF(OR(CO$4="",$B41=""),0,SUMIF('DADOS BRUTOS'!$A$3:$A$500,$B41,'DADOS BRUTOS'!O$3:O$500)+IF($C41="",0,SUMIF('DADOS BRUTOS'!$A$3:$A$500,$C41,'DADOS BRUTOS'!O$3:O$500)))</f>
        <v>0</v>
      </c>
      <c r="CP41" s="133" t="n">
        <f aca="false">IF(OR(CP$4="",$B41=""),0,SUMIF('DADOS BRUTOS'!$A$3:$A$500,$B41,'DADOS BRUTOS'!P$3:P$500)+IF($C41="",0,SUMIF('DADOS BRUTOS'!$A$3:$A$500,$C41,'DADOS BRUTOS'!P$3:P$500)))</f>
        <v>0</v>
      </c>
      <c r="CQ41" s="133" t="n">
        <f aca="false">IF(OR(CQ$4="",$B41=""),0,SUMIF('DADOS BRUTOS'!$A$3:$A$500,$B41,'DADOS BRUTOS'!Q$3:Q$500)+IF($C41="",0,SUMIF('DADOS BRUTOS'!$A$3:$A$500,$C41,'DADOS BRUTOS'!Q$3:Q$500)))</f>
        <v>0</v>
      </c>
      <c r="CR41" s="133" t="n">
        <f aca="false">IF(OR(CR$4="",$B41=""),0,SUMIF('DADOS BRUTOS'!$A$3:$A$500,$B41,'DADOS BRUTOS'!R$3:R$500)+IF($C41="",0,SUMIF('DADOS BRUTOS'!$A$3:$A$500,$C41,'DADOS BRUTOS'!R$3:R$500)))</f>
        <v>0</v>
      </c>
      <c r="CS41" s="133" t="n">
        <f aca="false">IF(OR(CS$4="",$B41=""),0,SUMIF('DADOS BRUTOS'!$A$3:$A$500,$B41,'DADOS BRUTOS'!S$3:S$500)+IF($C41="",0,SUMIF('DADOS BRUTOS'!$A$3:$A$500,$C41,'DADOS BRUTOS'!S$3:S$500)))</f>
        <v>0</v>
      </c>
      <c r="CT41" s="133" t="n">
        <f aca="false">IF(OR(CT$4="",$B41=""),0,SUMIF('DADOS BRUTOS'!$A$3:$A$500,$B41,'DADOS BRUTOS'!T$3:T$500)+IF($C41="",0,SUMIF('DADOS BRUTOS'!$A$3:$A$500,$C41,'DADOS BRUTOS'!T$3:T$500)))</f>
        <v>0</v>
      </c>
      <c r="CU41" s="133" t="n">
        <f aca="false">IF(OR(CU$4="",$B41=""),0,SUMIF('DADOS BRUTOS'!$A$3:$A$500,$B41,'DADOS BRUTOS'!U$3:U$500)+IF($C41="",0,SUMIF('DADOS BRUTOS'!$A$3:$A$500,$C41,'DADOS BRUTOS'!U$3:U$500)))</f>
        <v>0</v>
      </c>
      <c r="CV41" s="133" t="n">
        <f aca="false">IF(OR(CV$4="",$B41=""),0,SUMIF('DADOS BRUTOS'!$A$3:$A$500,$B41,'DADOS BRUTOS'!V$3:V$500)+IF($C41="",0,SUMIF('DADOS BRUTOS'!$A$3:$A$500,$C41,'DADOS BRUTOS'!V$3:V$500)))</f>
        <v>0</v>
      </c>
      <c r="CW41" s="133" t="n">
        <f aca="false">IF(OR(CW$4="",$B41=""),0,SUMIF('DADOS BRUTOS'!$A$3:$A$500,$B41,'DADOS BRUTOS'!W$3:W$500)+IF($C41="",0,SUMIF('DADOS BRUTOS'!$A$3:$A$500,$C41,'DADOS BRUTOS'!W$3:W$500)))</f>
        <v>0</v>
      </c>
      <c r="CX41" s="133" t="n">
        <f aca="false">IF(OR(CX$4="",$B41=""),0,SUMIF('DADOS BRUTOS'!$A$3:$A$500,$B41,'DADOS BRUTOS'!X$3:X$500)+IF($C41="",0,SUMIF('DADOS BRUTOS'!$A$3:$A$500,$C41,'DADOS BRUTOS'!X$3:X$500)))</f>
        <v>0</v>
      </c>
      <c r="CY41" s="133" t="n">
        <f aca="false">IF(OR(CY$4="",$B41=""),0,SUMIF('DADOS BRUTOS'!$A$3:$A$500,$B41,'DADOS BRUTOS'!Y$3:Y$500)+IF($C41="",0,SUMIF('DADOS BRUTOS'!$A$3:$A$500,$C41,'DADOS BRUTOS'!Y$3:Y$500)))</f>
        <v>0</v>
      </c>
      <c r="CZ41" s="133" t="n">
        <f aca="false">IF(OR(CZ$4="",$B41=""),0,SUMIF('DADOS BRUTOS'!$A$3:$A$500,$B41,'DADOS BRUTOS'!Z$3:Z$500)+IF($C41="",0,SUMIF('DADOS BRUTOS'!$A$3:$A$500,$C41,'DADOS BRUTOS'!Z$3:Z$500)))</f>
        <v>0</v>
      </c>
      <c r="DA41" s="133" t="n">
        <f aca="false">IF(OR(DA$4="",$B41=""),0,SUMIF('DADOS BRUTOS'!$A$3:$A$500,$B41,'DADOS BRUTOS'!AA$3:AA$500)+IF($C41="",0,SUMIF('DADOS BRUTOS'!$A$3:$A$500,$C41,'DADOS BRUTOS'!AA$3:AA$500)))</f>
        <v>0</v>
      </c>
      <c r="DB41" s="133" t="n">
        <f aca="false">IF(OR(DB$4="",$B41=""),0,SUMIF('DADOS BRUTOS'!$A$3:$A$500,$B41,'DADOS BRUTOS'!AB$3:AB$500)+IF($C41="",0,SUMIF('DADOS BRUTOS'!$A$3:$A$500,$C41,'DADOS BRUTOS'!AB$3:AB$500)))</f>
        <v>0</v>
      </c>
      <c r="DC41" s="133" t="n">
        <f aca="false">IF(OR(DC$4="",$B41=""),0,SUMIF('DADOS BRUTOS'!$A$3:$A$500,$B41,'DADOS BRUTOS'!AC$3:AC$500)+IF($C41="",0,SUMIF('DADOS BRUTOS'!$A$3:$A$500,$C41,'DADOS BRUTOS'!AC$3:AC$500)))</f>
        <v>0</v>
      </c>
      <c r="DD41" s="133" t="n">
        <f aca="false">IF(OR(DD$4="",$B41=""),0,SUMIF('DADOS BRUTOS'!$A$3:$A$500,$B41,'DADOS BRUTOS'!AD$3:AD$500)+IF($C41="",0,SUMIF('DADOS BRUTOS'!$A$3:$A$500,$C41,'DADOS BRUTOS'!AD$3:AD$500)))</f>
        <v>0</v>
      </c>
      <c r="DE41" s="133" t="n">
        <f aca="false">IF(OR(DE$4="",$B41=""),0,SUMIF('DADOS BRUTOS'!$A$3:$A$500,$B41,'DADOS BRUTOS'!AE$3:AE$500)+IF($C41="",0,SUMIF('DADOS BRUTOS'!$A$3:$A$500,$C41,'DADOS BRUTOS'!AE$3:AE$500)))</f>
        <v>0</v>
      </c>
      <c r="DF41" s="133" t="n">
        <f aca="false">IF(OR(DF$4="",$B41=""),0,SUMIF('DADOS BRUTOS'!$A$3:$A$500,$B41,'DADOS BRUTOS'!AF$3:AF$500)+IF($C41="",0,SUMIF('DADOS BRUTOS'!$A$3:$A$500,$C41,'DADOS BRUTOS'!AF$3:AF$500)))</f>
        <v>0</v>
      </c>
      <c r="DG41" s="133" t="n">
        <f aca="false">IF(OR(DG$4="",$B41=""),0,SUMIF('DADOS BRUTOS'!$A$3:$A$500,$B41,'DADOS BRUTOS'!AG$3:AG$500)+IF($C41="",0,SUMIF('DADOS BRUTOS'!$A$3:$A$500,$C41,'DADOS BRUTOS'!AG$3:AG$500)))</f>
        <v>0</v>
      </c>
      <c r="DH41" s="133" t="n">
        <f aca="false">IF(OR(DH$4="",$B41=""),0,SUMIF('DADOS BRUTOS'!$A$3:$A$500,$B41,'DADOS BRUTOS'!AH$3:AH$500)+IF($C41="",0,SUMIF('DADOS BRUTOS'!$A$3:$A$500,$C41,'DADOS BRUTOS'!AH$3:AH$500)))</f>
        <v>0</v>
      </c>
      <c r="DI41" s="133" t="n">
        <f aca="false">IF(OR(DI$4="",$B41=""),0,SUMIF('DADOS BRUTOS'!$A$3:$A$500,$B41,'DADOS BRUTOS'!AI$3:AI$500)+IF($C41="",0,SUMIF('DADOS BRUTOS'!$A$3:$A$500,$C41,'DADOS BRUTOS'!AI$3:AI$500)))</f>
        <v>0</v>
      </c>
      <c r="DJ41" s="133" t="n">
        <f aca="false">IF(OR(DJ$4="",$B41=""),0,SUMIF('DADOS BRUTOS'!$A$3:$A$500,$B41,'DADOS BRUTOS'!AJ$3:AJ$500)+IF($C41="",0,SUMIF('DADOS BRUTOS'!$A$3:$A$500,$C41,'DADOS BRUTOS'!AJ$3:AJ$500)))</f>
        <v>0</v>
      </c>
      <c r="DK41" s="133" t="n">
        <f aca="false">IF(OR(DK$4="",$B41=""),0,SUMIF('DADOS BRUTOS'!$A$3:$A$500,$B41,'DADOS BRUTOS'!AK$3:AK$500)+IF($C41="",0,SUMIF('DADOS BRUTOS'!$A$3:$A$500,$C41,'DADOS BRUTOS'!AK$3:AK$500)))</f>
        <v>0</v>
      </c>
      <c r="DL41" s="133" t="n">
        <f aca="false">IF(OR(DL$4="",$B41=""),0,SUMIF('DADOS BRUTOS'!$A$3:$A$500,$B41,'DADOS BRUTOS'!AL$3:AL$500)+IF($C41="",0,SUMIF('DADOS BRUTOS'!$A$3:$A$500,$C41,'DADOS BRUTOS'!AL$3:AL$500)))</f>
        <v>0</v>
      </c>
      <c r="DM41" s="133" t="n">
        <f aca="false">IF(OR(DM$4="",$B41=""),0,SUMIF('DADOS BRUTOS'!$A$3:$A$500,$B41,'DADOS BRUTOS'!AM$3:AM$500)+IF($C41="",0,SUMIF('DADOS BRUTOS'!$A$3:$A$500,$C41,'DADOS BRUTOS'!AM$3:AM$500)))</f>
        <v>0</v>
      </c>
      <c r="DN41" s="133" t="n">
        <f aca="false">IF(OR(DN$4="",$B41=""),0,SUMIF('DADOS BRUTOS'!$A$3:$A$500,$B41,'DADOS BRUTOS'!AN$3:AN$500)+IF($C41="",0,SUMIF('DADOS BRUTOS'!$A$3:$A$500,$C41,'DADOS BRUTOS'!AN$3:AN$500)))</f>
        <v>0</v>
      </c>
      <c r="DO41" s="133" t="n">
        <f aca="false">IF(OR(DO$4="",$B41=""),0,SUMIF('DADOS BRUTOS'!$A$3:$A$500,$B41,'DADOS BRUTOS'!AO$3:AO$500)+IF($C41="",0,SUMIF('DADOS BRUTOS'!$A$3:$A$500,$C41,'DADOS BRUTOS'!AO$3:AO$500)))</f>
        <v>0</v>
      </c>
      <c r="DP41" s="133" t="n">
        <f aca="false">IF(OR(DP$4="",$B41=""),0,SUMIF('DADOS BRUTOS'!$A$3:$A$500,$B41,'DADOS BRUTOS'!AP$3:AP$500)+IF($C41="",0,SUMIF('DADOS BRUTOS'!$A$3:$A$500,$C41,'DADOS BRUTOS'!AP$3:AP$500)))</f>
        <v>0</v>
      </c>
      <c r="DQ41" s="133" t="n">
        <f aca="false">IF(OR(DQ$4="",$B41=""),0,SUMIF('DADOS BRUTOS'!$A$3:$A$500,$B41,'DADOS BRUTOS'!AQ$3:AQ$500)+IF($C41="",0,SUMIF('DADOS BRUTOS'!$A$3:$A$500,$C41,'DADOS BRUTOS'!AQ$3:AQ$500)))</f>
        <v>0</v>
      </c>
      <c r="DR41" s="133" t="n">
        <f aca="false">IF(OR(DR$4="",$B41=""),0,SUMIF('DADOS BRUTOS'!$A$3:$A$500,$B41,'DADOS BRUTOS'!AR$3:AR$500)+IF($C41="",0,SUMIF('DADOS BRUTOS'!$A$3:$A$500,$C41,'DADOS BRUTOS'!AR$3:AR$500)))</f>
        <v>0</v>
      </c>
      <c r="DS41" s="133" t="n">
        <f aca="false">IF(OR(DS$4="",$B41=""),0,SUMIF('DADOS BRUTOS'!$A$3:$A$500,$B41,'DADOS BRUTOS'!AS$3:AS$500)+IF($C41="",0,SUMIF('DADOS BRUTOS'!$A$3:$A$500,$C41,'DADOS BRUTOS'!AS$3:AS$500)))</f>
        <v>0</v>
      </c>
      <c r="DT41" s="133" t="n">
        <f aca="false">IF(OR(DT$4="",$B41=""),0,SUMIF('DADOS BRUTOS'!$A$3:$A$500,$B41,'DADOS BRUTOS'!AT$3:AT$500)+IF($C41="",0,SUMIF('DADOS BRUTOS'!$A$3:$A$500,$C41,'DADOS BRUTOS'!AT$3:AT$500)))</f>
        <v>0</v>
      </c>
      <c r="DU41" s="133" t="n">
        <f aca="false">IF(OR(DU$4="",$B41=""),0,SUMIF('DADOS BRUTOS'!$A$3:$A$500,$B41,'DADOS BRUTOS'!AU$3:AU$500)+IF($C41="",0,SUMIF('DADOS BRUTOS'!$A$3:$A$500,$C41,'DADOS BRUTOS'!AU$3:AU$500)))</f>
        <v>0</v>
      </c>
      <c r="DV41" s="133" t="n">
        <f aca="false">IF(OR(DV$4="",$B41=""),0,SUMIF('DADOS BRUTOS'!$A$3:$A$500,$B41,'DADOS BRUTOS'!AV$3:AV$500)+IF($C41="",0,SUMIF('DADOS BRUTOS'!$A$3:$A$500,$C41,'DADOS BRUTOS'!AV$3:AV$500)))</f>
        <v>0</v>
      </c>
      <c r="DW41" s="133" t="n">
        <f aca="false">IF(OR(DW$4="",$B41=""),0,SUMIF('DADOS BRUTOS'!$A$3:$A$500,$B41,'DADOS BRUTOS'!AW$3:AW$500)+IF($C41="",0,SUMIF('DADOS BRUTOS'!$A$3:$A$500,$C41,'DADOS BRUTOS'!AW$3:AW$500)))</f>
        <v>0</v>
      </c>
      <c r="DX41" s="133" t="n">
        <f aca="false">IF(OR(DX$4="",$B41=""),0,SUMIF('DADOS BRUTOS'!$A$3:$A$500,$B41,'DADOS BRUTOS'!AX$3:AX$500)+IF($C41="",0,SUMIF('DADOS BRUTOS'!$A$3:$A$500,$C41,'DADOS BRUTOS'!AX$3:AX$500)))</f>
        <v>0</v>
      </c>
      <c r="DY41" s="133" t="n">
        <f aca="false">IF(OR(DY$4="",$B41=""),0,SUMIF('DADOS BRUTOS'!$A$3:$A$500,$B41,'DADOS BRUTOS'!AY$3:AY$500)+IF($C41="",0,SUMIF('DADOS BRUTOS'!$A$3:$A$500,$C41,'DADOS BRUTOS'!AY$3:AY$500)))</f>
        <v>0</v>
      </c>
      <c r="DZ41" s="133" t="n">
        <f aca="false">IF(OR(DZ$4="",$B41=""),0,SUMIF('DADOS BRUTOS'!$A$3:$A$500,$B41,'DADOS BRUTOS'!AZ$3:AZ$500)+IF($C41="",0,SUMIF('DADOS BRUTOS'!$A$3:$A$500,$C41,'DADOS BRUTOS'!AZ$3:AZ$500)))</f>
        <v>0</v>
      </c>
      <c r="EA41" s="133" t="n">
        <f aca="false">IF(OR(EA$4="",$B41=""),0,SUMIF('DADOS BRUTOS'!$A$3:$A$500,$B41,'DADOS BRUTOS'!BA$3:BA$500)+IF($C41="",0,SUMIF('DADOS BRUTOS'!$A$3:$A$500,$C41,'DADOS BRUTOS'!BA$3:BA$500)))</f>
        <v>0</v>
      </c>
      <c r="EB41" s="133" t="n">
        <f aca="false">IF(OR(EB$4="",$B41=""),0,SUMIF('DADOS BRUTOS'!$A$3:$A$500,$B41,'DADOS BRUTOS'!BB$3:BB$500)+IF($C41="",0,SUMIF('DADOS BRUTOS'!$A$3:$A$500,$C41,'DADOS BRUTOS'!BB$3:BB$500)))</f>
        <v>0</v>
      </c>
      <c r="EC41" s="133" t="n">
        <f aca="false">IF(OR(EC$4="",$B41=""),0,SUMIF('DADOS BRUTOS'!$A$3:$A$500,$B41,'DADOS BRUTOS'!BC$3:BC$500)+IF($C41="",0,SUMIF('DADOS BRUTOS'!$A$3:$A$500,$C41,'DADOS BRUTOS'!BC$3:BC$500)))</f>
        <v>0</v>
      </c>
      <c r="ED41" s="133" t="n">
        <f aca="false">IF(OR(ED$4="",$B41=""),0,SUMIF('DADOS BRUTOS'!$A$3:$A$500,$B41,'DADOS BRUTOS'!BD$3:BD$500)+IF($C41="",0,SUMIF('DADOS BRUTOS'!$A$3:$A$500,$C41,'DADOS BRUTOS'!BD$3:BD$500)))</f>
        <v>0</v>
      </c>
      <c r="EE41" s="133" t="n">
        <f aca="false">IF(OR(EE$4="",$B41=""),0,SUMIF('DADOS BRUTOS'!$A$3:$A$500,$B41,'DADOS BRUTOS'!BE$3:BE$500)+IF($C41="",0,SUMIF('DADOS BRUTOS'!$A$3:$A$500,$C41,'DADOS BRUTOS'!BE$3:BE$500)))</f>
        <v>0</v>
      </c>
      <c r="EF41" s="133" t="n">
        <f aca="false">IF(OR(EF$4="",$B41=""),0,SUMIF('DADOS BRUTOS'!$A$3:$A$500,$B41,'DADOS BRUTOS'!BF$3:BF$500)+IF($C41="",0,SUMIF('DADOS BRUTOS'!$A$3:$A$500,$C41,'DADOS BRUTOS'!BF$3:BF$500)))</f>
        <v>0</v>
      </c>
      <c r="EG41" s="133" t="n">
        <f aca="false">IF(OR(EG$4="",$B41=""),0,SUMIF('DADOS BRUTOS'!$A$3:$A$500,$B41,'DADOS BRUTOS'!BG$3:BG$500)+IF($C41="",0,SUMIF('DADOS BRUTOS'!$A$3:$A$500,$C41,'DADOS BRUTOS'!BG$3:BG$500)))</f>
        <v>0</v>
      </c>
      <c r="EH41" s="133" t="n">
        <f aca="false">IF(OR(EH$4="",$B41=""),0,SUMIF('DADOS BRUTOS'!$A$3:$A$500,$B41,'DADOS BRUTOS'!BH$3:BH$500)+IF($C41="",0,SUMIF('DADOS BRUTOS'!$A$3:$A$500,$C41,'DADOS BRUTOS'!BH$3:BH$500)))</f>
        <v>0</v>
      </c>
      <c r="EI41" s="133" t="n">
        <f aca="false">IF(OR(EI$4="",$B41=""),0,SUMIF('DADOS BRUTOS'!$A$3:$A$500,$B41,'DADOS BRUTOS'!BI$3:BI$500)+IF($C41="",0,SUMIF('DADOS BRUTOS'!$A$3:$A$500,$C41,'DADOS BRUTOS'!BI$3:BI$500)))</f>
        <v>0</v>
      </c>
      <c r="EJ41" s="133" t="n">
        <f aca="false">IF(OR(EJ$4="",$B41=""),0,SUMIF('DADOS BRUTOS'!$A$3:$A$500,$B41,'DADOS BRUTOS'!BJ$3:BJ$500)+IF($C41="",0,SUMIF('DADOS BRUTOS'!$A$3:$A$500,$C41,'DADOS BRUTOS'!BJ$3:BJ$500)))</f>
        <v>0</v>
      </c>
      <c r="EK41" s="133" t="n">
        <f aca="false">IF(OR(EK$4="",$B41=""),0,SUMIF('DADOS BRUTOS'!$A$3:$A$500,$B41,'DADOS BRUTOS'!BK$3:BK$500)+IF($C41="",0,SUMIF('DADOS BRUTOS'!$A$3:$A$500,$C41,'DADOS BRUTOS'!BK$3:BK$500)))</f>
        <v>0</v>
      </c>
      <c r="EL41" s="133" t="n">
        <f aca="false">IF(OR(EL$4="",$B41=""),0,SUMIF('DADOS BRUTOS'!$A$3:$A$500,$B41,'DADOS BRUTOS'!BL$3:BL$500)+IF($C41="",0,SUMIF('DADOS BRUTOS'!$A$3:$A$500,$C41,'DADOS BRUTOS'!BL$3:BL$500)))</f>
        <v>0</v>
      </c>
      <c r="EM41" s="133" t="n">
        <f aca="false">IF(OR(EM$4="",$B41=""),0,SUMIF('DADOS BRUTOS'!$A$3:$A$500,$B41,'DADOS BRUTOS'!BM$3:BM$500)+IF($C41="",0,SUMIF('DADOS BRUTOS'!$A$3:$A$500,$C41,'DADOS BRUTOS'!BM$3:BM$500)))</f>
        <v>0</v>
      </c>
      <c r="EN41" s="133" t="n">
        <f aca="false">IF(OR(EN$4="",$B41=""),0,SUMIF('DADOS BRUTOS'!$A$3:$A$500,$B41,'DADOS BRUTOS'!BN$3:BN$500)+IF($C41="",0,SUMIF('DADOS BRUTOS'!$A$3:$A$500,$C41,'DADOS BRUTOS'!BN$3:BN$500)))</f>
        <v>0</v>
      </c>
      <c r="EO41" s="133" t="n">
        <f aca="false">IF(OR(EO$4="",$B41=""),0,SUMIF('DADOS BRUTOS'!$A$3:$A$500,$B41,'DADOS BRUTOS'!BO$3:BO$500)+IF($C41="",0,SUMIF('DADOS BRUTOS'!$A$3:$A$500,$C41,'DADOS BRUTOS'!BO$3:BO$500)))</f>
        <v>0</v>
      </c>
      <c r="EP41" s="133" t="n">
        <f aca="false">IF(OR(EP$4="",$B41=""),0,SUMIF('DADOS BRUTOS'!$A$3:$A$500,$B41,'DADOS BRUTOS'!BP$3:BP$500)+IF($C41="",0,SUMIF('DADOS BRUTOS'!$A$3:$A$500,$C41,'DADOS BRUTOS'!BP$3:BP$500)))</f>
        <v>0</v>
      </c>
      <c r="EQ41" s="133" t="n">
        <f aca="false">IF(OR(EQ$4="",$B41=""),0,SUMIF('DADOS BRUTOS'!$A$3:$A$500,$B41,'DADOS BRUTOS'!BQ$3:BQ$500)+IF($C41="",0,SUMIF('DADOS BRUTOS'!$A$3:$A$500,$C41,'DADOS BRUTOS'!BQ$3:BQ$500)))</f>
        <v>0</v>
      </c>
      <c r="ER41" s="133" t="n">
        <f aca="false">IF(OR(ER$4="",$B41=""),0,SUMIF('DADOS BRUTOS'!$A$3:$A$500,$B41,'DADOS BRUTOS'!BR$3:BR$500)+IF($C41="",0,SUMIF('DADOS BRUTOS'!$A$3:$A$500,$C41,'DADOS BRUTOS'!BR$3:BR$500)))</f>
        <v>0</v>
      </c>
      <c r="ES41" s="133" t="n">
        <f aca="false">IF(OR(ES$4="",$B41=""),0,SUMIF('DADOS BRUTOS'!$A$3:$A$500,$B41,'DADOS BRUTOS'!BS$3:BS$500)+IF($C41="",0,SUMIF('DADOS BRUTOS'!$A$3:$A$500,$C41,'DADOS BRUTOS'!BS$3:BS$500)))</f>
        <v>0</v>
      </c>
      <c r="ET41" s="133" t="n">
        <f aca="false">IF(OR(ET$4="",$B41=""),0,SUMIF('DADOS BRUTOS'!$A$3:$A$500,$B41,'DADOS BRUTOS'!BT$3:BT$500)+IF($C41="",0,SUMIF('DADOS BRUTOS'!$A$3:$A$500,$C41,'DADOS BRUTOS'!BT$3:BT$500)))</f>
        <v>0</v>
      </c>
      <c r="EU41" s="133" t="n">
        <f aca="false">IF(OR(EU$4="",$B41=""),0,SUMIF('DADOS BRUTOS'!$A$3:$A$500,$B41,'DADOS BRUTOS'!BU$3:BU$500)+IF($C41="",0,SUMIF('DADOS BRUTOS'!$A$3:$A$500,$C41,'DADOS BRUTOS'!BU$3:BU$500)))</f>
        <v>0</v>
      </c>
      <c r="EV41" s="133" t="n">
        <f aca="false">IF(OR(EV$4="",$B41=""),0,SUMIF('DADOS BRUTOS'!$A$3:$A$500,$B41,'DADOS BRUTOS'!BV$3:BV$500)+IF($C41="",0,SUMIF('DADOS BRUTOS'!$A$3:$A$500,$C41,'DADOS BRUTOS'!BV$3:BV$500)))</f>
        <v>0</v>
      </c>
      <c r="EW41" s="133" t="n">
        <f aca="false">IF(OR(EW$4="",$B41=""),0,SUMIF('DADOS BRUTOS'!$A$3:$A$500,$B41,'DADOS BRUTOS'!BW$3:BW$500)+IF($C41="",0,SUMIF('DADOS BRUTOS'!$A$3:$A$500,$C41,'DADOS BRUTOS'!BW$3:BW$500)))</f>
        <v>0</v>
      </c>
      <c r="EX41" s="133" t="n">
        <f aca="false">IF(OR(EX$4="",$B41=""),0,SUMIF('DADOS BRUTOS'!$A$3:$A$500,$B41,'DADOS BRUTOS'!BX$3:BX$500)+IF($C41="",0,SUMIF('DADOS BRUTOS'!$A$3:$A$500,$C41,'DADOS BRUTOS'!BX$3:BX$500)))</f>
        <v>0</v>
      </c>
      <c r="EY41" s="133" t="n">
        <f aca="false">IF(OR(EY$4="",$B41=""),0,SUMIF('DADOS BRUTOS'!$A$3:$A$500,$B41,'DADOS BRUTOS'!BY$3:BY$500)+IF($C41="",0,SUMIF('DADOS BRUTOS'!$A$3:$A$500,$C41,'DADOS BRUTOS'!BY$3:BY$500)))</f>
        <v>0</v>
      </c>
      <c r="EZ41" s="133" t="n">
        <f aca="false">IF(OR(EZ$4="",$B41=""),0,SUMIF('DADOS BRUTOS'!$A$3:$A$500,$B41,'DADOS BRUTOS'!BZ$3:BZ$500)+IF($C41="",0,SUMIF('DADOS BRUTOS'!$A$3:$A$500,$C41,'DADOS BRUTOS'!BZ$3:BZ$500)))</f>
        <v>0</v>
      </c>
      <c r="FA41" s="133" t="n">
        <f aca="false">IF(OR(FA$4="",$B41=""),0,SUMIF('DADOS BRUTOS'!$A$3:$A$500,$B41,'DADOS BRUTOS'!CA$3:CA$500)+IF($C41="",0,SUMIF('DADOS BRUTOS'!$A$3:$A$500,$C41,'DADOS BRUTOS'!CA$3:CA$500)))</f>
        <v>0</v>
      </c>
      <c r="FB41" s="133" t="n">
        <f aca="false">IF(OR(FB$4="",$B41=""),0,SUMIF('DADOS BRUTOS'!$A$3:$A$500,$B41,'DADOS BRUTOS'!CB$3:CB$500)+IF($C41="",0,SUMIF('DADOS BRUTOS'!$A$3:$A$500,$C41,'DADOS BRUTOS'!CB$3:CB$500)))</f>
        <v>0</v>
      </c>
      <c r="FC41" s="133" t="n">
        <f aca="false">IF(OR(FC$4="",$B41=""),0,SUMIF('DADOS BRUTOS'!$A$3:$A$500,$B41,'DADOS BRUTOS'!CC$3:CC$500)+IF($C41="",0,SUMIF('DADOS BRUTOS'!$A$3:$A$500,$C41,'DADOS BRUTOS'!CC$3:CC$500)))</f>
        <v>0</v>
      </c>
      <c r="FD41" s="133" t="n">
        <f aca="false">IF(OR(FD$4="",$B41=""),0,SUMIF('DADOS BRUTOS'!$A$3:$A$500,$B41,'DADOS BRUTOS'!CD$3:CD$500)+IF($C41="",0,SUMIF('DADOS BRUTOS'!$A$3:$A$500,$C41,'DADOS BRUTOS'!CD$3:CD$500)))</f>
        <v>0</v>
      </c>
      <c r="FE41" s="133" t="n">
        <f aca="false">IF(OR(FE$4="",$B41=""),0,SUMIF('DADOS BRUTOS'!$A$3:$A$500,$B41,'DADOS BRUTOS'!CE$3:CE$500)+IF($C41="",0,SUMIF('DADOS BRUTOS'!$A$3:$A$500,$C41,'DADOS BRUTOS'!CE$3:CE$500)))</f>
        <v>0</v>
      </c>
      <c r="FF41" s="133" t="n">
        <f aca="false">IF(OR(FF$4="",$B41=""),0,SUMIF('DADOS BRUTOS'!$A$3:$A$500,$B41,'DADOS BRUTOS'!CF$3:CF$500)+IF($C41="",0,SUMIF('DADOS BRUTOS'!$A$3:$A$500,$C41,'DADOS BRUTOS'!CF$3:CF$500)))</f>
        <v>0</v>
      </c>
      <c r="FG41" s="133" t="n">
        <f aca="false">IF(OR(FG$4="",$B41=""),0,SUMIF('DADOS BRUTOS'!$A$3:$A$500,$B41,'DADOS BRUTOS'!CG$3:CG$500)+IF($C41="",0,SUMIF('DADOS BRUTOS'!$A$3:$A$500,$C41,'DADOS BRUTOS'!CG$3:CG$500)))</f>
        <v>0</v>
      </c>
      <c r="FH41" s="133" t="n">
        <f aca="false">IF(OR(FH$4="",$B41=""),0,SUMIF('DADOS BRUTOS'!$A$3:$A$500,$B41,'DADOS BRUTOS'!CH$3:CH$500)+IF($C41="",0,SUMIF('DADOS BRUTOS'!$A$3:$A$500,$C41,'DADOS BRUTOS'!CH$3:CH$500)))</f>
        <v>0</v>
      </c>
      <c r="FI41" s="133" t="n">
        <f aca="false">IF(OR(FI$4="",$B41=""),0,SUMIF('DADOS BRUTOS'!$A$3:$A$500,$B41,'DADOS BRUTOS'!CI$3:CI$500)+IF($C41="",0,SUMIF('DADOS BRUTOS'!$A$3:$A$500,$C41,'DADOS BRUTOS'!CI$3:CI$500)))</f>
        <v>0</v>
      </c>
      <c r="FJ41" s="133" t="n">
        <f aca="false">IF(OR(FJ$4="",$B41=""),0,SUMIF('DADOS BRUTOS'!$A$3:$A$500,$B41,'DADOS BRUTOS'!CJ$3:CJ$500)+IF($C41="",0,SUMIF('DADOS BRUTOS'!$A$3:$A$500,$C41,'DADOS BRUTOS'!CJ$3:CJ$500)))</f>
        <v>0</v>
      </c>
      <c r="FK41" s="133" t="n">
        <f aca="false">IF(OR(FK$4="",$B41=""),0,SUMIF('DADOS BRUTOS'!$A$3:$A$500,$B41,'DADOS BRUTOS'!CK$3:CK$500)+IF($C41="",0,SUMIF('DADOS BRUTOS'!$A$3:$A$500,$C41,'DADOS BRUTOS'!CK$3:CK$500)))</f>
        <v>0</v>
      </c>
      <c r="FL41" s="133" t="n">
        <f aca="false">IF(OR(FL$4="",$B41=""),0,SUMIF('DADOS BRUTOS'!$A$3:$A$500,$B41,'DADOS BRUTOS'!CL$3:CL$500)+IF($C41="",0,SUMIF('DADOS BRUTOS'!$A$3:$A$500,$C41,'DADOS BRUTOS'!CL$3:CL$500)))</f>
        <v>0</v>
      </c>
      <c r="FM41" s="133" t="n">
        <f aca="false">IF(OR(FM$4="",$B41=""),0,SUMIF('DADOS BRUTOS'!$A$3:$A$500,$B41,'DADOS BRUTOS'!CM$3:CM$500)+IF($C41="",0,SUMIF('DADOS BRUTOS'!$A$3:$A$500,$C41,'DADOS BRUTOS'!CM$3:CM$500)))</f>
        <v>0</v>
      </c>
      <c r="FN41" s="133" t="n">
        <f aca="false">IF(OR(FN$4="",$B41=""),0,SUMIF('DADOS BRUTOS'!$A$3:$A$500,$B41,'DADOS BRUTOS'!CN$3:CN$500)+IF($C41="",0,SUMIF('DADOS BRUTOS'!$A$3:$A$500,$C41,'DADOS BRUTOS'!CN$3:CN$500)))</f>
        <v>0</v>
      </c>
      <c r="FO41" s="133" t="n">
        <f aca="false">IF(OR(FO$4="",$B41=""),0,SUMIF('DADOS BRUTOS'!$A$3:$A$500,$B41,'DADOS BRUTOS'!CO$3:CO$500)+IF($C41="",0,SUMIF('DADOS BRUTOS'!$A$3:$A$500,$C41,'DADOS BRUTOS'!CO$3:CO$500)))</f>
        <v>0</v>
      </c>
      <c r="FP41" s="133" t="n">
        <f aca="false">IF(OR(FP$4="",$B41=""),0,SUMIF('DADOS BRUTOS'!$A$3:$A$500,$B41,'DADOS BRUTOS'!CP$3:CP$500)+IF($C41="",0,SUMIF('DADOS BRUTOS'!$A$3:$A$500,$C41,'DADOS BRUTOS'!CP$3:CP$500)))</f>
        <v>0</v>
      </c>
      <c r="FQ41" s="133" t="n">
        <f aca="false">IF(OR(FQ$4="",$B41=""),0,SUMIF('DADOS BRUTOS'!$A$3:$A$500,$B41,'DADOS BRUTOS'!CQ$3:CQ$500)+IF($C41="",0,SUMIF('DADOS BRUTOS'!$A$3:$A$500,$C41,'DADOS BRUTOS'!CQ$3:CQ$500)))</f>
        <v>0</v>
      </c>
      <c r="FR41" s="133" t="n">
        <f aca="false">IF(OR(FR$4="",$B41=""),0,SUMIF('DADOS BRUTOS'!$A$3:$A$500,$B41,'DADOS BRUTOS'!CR$3:CR$500)+IF($C41="",0,SUMIF('DADOS BRUTOS'!$A$3:$A$500,$C41,'DADOS BRUTOS'!CR$3:CR$500)))</f>
        <v>0</v>
      </c>
      <c r="FS41" s="133" t="n">
        <f aca="false">IF(OR(FS$4="",$B41=""),0,SUMIF('DADOS BRUTOS'!$A$3:$A$500,$B41,'DADOS BRUTOS'!CS$3:CS$500)+IF($C41="",0,SUMIF('DADOS BRUTOS'!$A$3:$A$500,$C41,'DADOS BRUTOS'!CS$3:CS$500)))</f>
        <v>0</v>
      </c>
      <c r="FT41" s="133" t="n">
        <f aca="false">IF(OR(FT$4="",$B41=""),0,SUMIF('DADOS BRUTOS'!$A$3:$A$500,$B41,'DADOS BRUTOS'!CT$3:CT$500)+IF($C41="",0,SUMIF('DADOS BRUTOS'!$A$3:$A$500,$C41,'DADOS BRUTOS'!CT$3:CT$500)))</f>
        <v>0</v>
      </c>
      <c r="FU41" s="133" t="n">
        <f aca="false">IF(OR(FU$4="",$B41=""),0,SUMIF('DADOS BRUTOS'!$A$3:$A$500,$B41,'DADOS BRUTOS'!CU$3:CU$500)+IF($C41="",0,SUMIF('DADOS BRUTOS'!$A$3:$A$500,$C41,'DADOS BRUTOS'!CU$3:CU$500)))</f>
        <v>0</v>
      </c>
      <c r="FV41" s="133" t="n">
        <f aca="false">IF(OR(FV$4="",$B41=""),0,SUMIF('DADOS BRUTOS'!$A$3:$A$500,$B41,'DADOS BRUTOS'!CV$3:CV$500)+IF($C41="",0,SUMIF('DADOS BRUTOS'!$A$3:$A$500,$C41,'DADOS BRUTOS'!CV$3:CV$500)))</f>
        <v>0</v>
      </c>
      <c r="FW41" s="133" t="n">
        <f aca="false">IF(OR(FW$4="",$B41=""),0,SUMIF('DADOS BRUTOS'!$A$3:$A$500,$B41,'DADOS BRUTOS'!CW$3:CW$500)+IF($C41="",0,SUMIF('DADOS BRUTOS'!$A$3:$A$500,$C41,'DADOS BRUTOS'!CW$3:CW$500)))</f>
        <v>0</v>
      </c>
      <c r="FX41" s="133" t="n">
        <f aca="false">IF(OR(FX$4="",$B41=""),0,SUMIF('DADOS BRUTOS'!$A$3:$A$500,$B41,'DADOS BRUTOS'!CX$3:CX$500)+IF($C41="",0,SUMIF('DADOS BRUTOS'!$A$3:$A$500,$C41,'DADOS BRUTOS'!CX$3:CX$500)))</f>
        <v>0</v>
      </c>
      <c r="FY41" s="133" t="n">
        <f aca="false">IF(OR(FY$4="",$B41=""),0,SUMIF('DADOS BRUTOS'!$A$3:$A$500,$B41,'DADOS BRUTOS'!CY$3:CY$500)+IF($C41="",0,SUMIF('DADOS BRUTOS'!$A$3:$A$500,$C41,'DADOS BRUTOS'!CY$3:CY$500)))</f>
        <v>0</v>
      </c>
      <c r="FZ41" s="133" t="n">
        <f aca="false">IF(OR(FZ$4="",$B41=""),0,SUMIF('DADOS BRUTOS'!$A$3:$A$500,$B41,'DADOS BRUTOS'!CZ$3:CZ$500)+IF($C41="",0,SUMIF('DADOS BRUTOS'!$A$3:$A$500,$C41,'DADOS BRUTOS'!CZ$3:CZ$500)))</f>
        <v>0</v>
      </c>
      <c r="GA41" s="133" t="n">
        <f aca="false">IF(OR(GA$4="",$B41=""),0,SUMIF('DADOS BRUTOS'!$A$3:$A$500,$B41,'DADOS BRUTOS'!DA$3:DA$500)+IF($C41="",0,SUMIF('DADOS BRUTOS'!$A$3:$A$500,$C41,'DADOS BRUTOS'!DA$3:DA$500)))</f>
        <v>0</v>
      </c>
      <c r="GB41" s="133" t="n">
        <f aca="false">IF(OR(GB$4="",$B41=""),0,SUMIF('DADOS BRUTOS'!$A$3:$A$500,$B41,'DADOS BRUTOS'!DB$3:DB$500)+IF($C41="",0,SUMIF('DADOS BRUTOS'!$A$3:$A$500,$C41,'DADOS BRUTOS'!DB$3:DB$500)))</f>
        <v>0</v>
      </c>
      <c r="GC41" s="133" t="n">
        <f aca="false">IF(OR(GC$4="",$B41=""),0,SUMIF('DADOS BRUTOS'!$A$3:$A$500,$B41,'DADOS BRUTOS'!DC$3:DC$500)+IF($C41="",0,SUMIF('DADOS BRUTOS'!$A$3:$A$500,$C41,'DADOS BRUTOS'!DC$3:DC$500)))</f>
        <v>0</v>
      </c>
      <c r="GD41" s="133" t="n">
        <f aca="false">IF(OR(GD$4="",$B41=""),0,SUMIF('DADOS BRUTOS'!$A$3:$A$500,$B41,'DADOS BRUTOS'!DD$3:DD$500)+IF($C41="",0,SUMIF('DADOS BRUTOS'!$A$3:$A$500,$C41,'DADOS BRUTOS'!DD$3:DD$500)))</f>
        <v>0</v>
      </c>
      <c r="GE41" s="133" t="n">
        <f aca="false">IF(OR(GE$4="",$B41=""),0,SUMIF('DADOS BRUTOS'!$A$3:$A$500,$B41,'DADOS BRUTOS'!DE$3:DE$500)+IF($C41="",0,SUMIF('DADOS BRUTOS'!$A$3:$A$500,$C41,'DADOS BRUTOS'!DE$3:DE$500)))</f>
        <v>0</v>
      </c>
      <c r="GF41" s="133" t="n">
        <f aca="false">IF(OR(GF$4="",$B41=""),0,SUMIF('DADOS BRUTOS'!$A$3:$A$500,$B41,'DADOS BRUTOS'!DF$3:DF$500)+IF($C41="",0,SUMIF('DADOS BRUTOS'!$A$3:$A$500,$C41,'DADOS BRUTOS'!DF$3:DF$500)))</f>
        <v>0</v>
      </c>
      <c r="GG41" s="133" t="n">
        <f aca="false">IF(OR(GG$4="",$B41=""),0,SUMIF('DADOS BRUTOS'!$A$3:$A$500,$B41,'DADOS BRUTOS'!DG$3:DG$500)+IF($C41="",0,SUMIF('DADOS BRUTOS'!$A$3:$A$500,$C41,'DADOS BRUTOS'!DG$3:DG$500)))</f>
        <v>0</v>
      </c>
      <c r="GH41" s="133" t="n">
        <f aca="false">IF(OR(GH$4="",$B41=""),0,SUMIF('DADOS BRUTOS'!$A$3:$A$500,$B41,'DADOS BRUTOS'!DH$3:DH$500)+IF($C41="",0,SUMIF('DADOS BRUTOS'!$A$3:$A$500,$C41,'DADOS BRUTOS'!DH$3:DH$500)))</f>
        <v>0</v>
      </c>
      <c r="GI41" s="133" t="n">
        <f aca="false">IF(OR(GI$4="",$B41=""),0,SUMIF('DADOS BRUTOS'!$A$3:$A$500,$B41,'DADOS BRUTOS'!DI$3:DI$500)+IF($C41="",0,SUMIF('DADOS BRUTOS'!$A$3:$A$500,$C41,'DADOS BRUTOS'!DI$3:DI$500)))</f>
        <v>0</v>
      </c>
      <c r="GJ41" s="133" t="n">
        <f aca="false">IF(OR(GJ$4="",$B41=""),0,SUMIF('DADOS BRUTOS'!$A$3:$A$500,$B41,'DADOS BRUTOS'!DJ$3:DJ$500)+IF($C41="",0,SUMIF('DADOS BRUTOS'!$A$3:$A$500,$C41,'DADOS BRUTOS'!DJ$3:DJ$500)))</f>
        <v>0</v>
      </c>
      <c r="GK41" s="133" t="n">
        <f aca="false">IF(OR(GK$4="",$B41=""),0,SUMIF('DADOS BRUTOS'!$A$3:$A$500,$B41,'DADOS BRUTOS'!DK$3:DK$500)+IF($C41="",0,SUMIF('DADOS BRUTOS'!$A$3:$A$500,$C41,'DADOS BRUTOS'!DK$3:DK$500)))</f>
        <v>0</v>
      </c>
      <c r="GL41" s="133" t="n">
        <f aca="false">IF(OR(GL$4="",$B41=""),0,SUMIF('DADOS BRUTOS'!$A$3:$A$500,$B41,'DADOS BRUTOS'!DL$3:DL$500)+IF($C41="",0,SUMIF('DADOS BRUTOS'!$A$3:$A$500,$C41,'DADOS BRUTOS'!DL$3:DL$500)))</f>
        <v>0</v>
      </c>
      <c r="GM41" s="133" t="n">
        <f aca="false">IF(OR(GM$4="",$B41=""),0,SUMIF('DADOS BRUTOS'!$A$3:$A$500,$B41,'DADOS BRUTOS'!DM$3:DM$500)+IF($C41="",0,SUMIF('DADOS BRUTOS'!$A$3:$A$500,$C41,'DADOS BRUTOS'!DM$3:DM$500)))</f>
        <v>0</v>
      </c>
      <c r="GN41" s="133" t="n">
        <f aca="false">IF(OR(GN$4="",$B41=""),0,SUMIF('DADOS BRUTOS'!$A$3:$A$500,$B41,'DADOS BRUTOS'!DN$3:DN$500)+IF($C41="",0,SUMIF('DADOS BRUTOS'!$A$3:$A$500,$C41,'DADOS BRUTOS'!DN$3:DN$500)))</f>
        <v>0</v>
      </c>
      <c r="GO41" s="133" t="n">
        <f aca="false">IF(OR(GO$4="",$B41=""),0,SUMIF('DADOS BRUTOS'!$A$3:$A$500,$B41,'DADOS BRUTOS'!DO$3:DO$500)+IF($C41="",0,SUMIF('DADOS BRUTOS'!$A$3:$A$500,$C41,'DADOS BRUTOS'!DO$3:DO$500)))</f>
        <v>0</v>
      </c>
      <c r="GP41" s="133" t="n">
        <f aca="false">IF(OR(GP$4="",$B41=""),0,SUMIF('DADOS BRUTOS'!$A$3:$A$500,$B41,'DADOS BRUTOS'!DP$3:DP$500)+IF($C41="",0,SUMIF('DADOS BRUTOS'!$A$3:$A$500,$C41,'DADOS BRUTOS'!DP$3:DP$500)))</f>
        <v>0</v>
      </c>
      <c r="GQ41" s="133" t="n">
        <f aca="false">IF(OR(GQ$4="",$B41=""),0,SUMIF('DADOS BRUTOS'!$A$3:$A$500,$B41,'DADOS BRUTOS'!DQ$3:DQ$500)+IF($C41="",0,SUMIF('DADOS BRUTOS'!$A$3:$A$500,$C41,'DADOS BRUTOS'!DQ$3:DQ$500)))</f>
        <v>0</v>
      </c>
      <c r="GR41" s="133" t="n">
        <f aca="false">IF(OR(GR$4="",$B41=""),0,SUMIF('DADOS BRUTOS'!$A$3:$A$500,$B41,'DADOS BRUTOS'!DR$3:DR$500)+IF($C41="",0,SUMIF('DADOS BRUTOS'!$A$3:$A$500,$C41,'DADOS BRUTOS'!DR$3:DR$500)))</f>
        <v>0</v>
      </c>
      <c r="GS41" s="133" t="n">
        <f aca="false">IF(OR(GS$4="",$B41=""),0,SUMIF('DADOS BRUTOS'!$A$3:$A$500,$B41,'DADOS BRUTOS'!DS$3:DS$500)+IF($C41="",0,SUMIF('DADOS BRUTOS'!$A$3:$A$500,$C41,'DADOS BRUTOS'!DS$3:DS$500)))</f>
        <v>0</v>
      </c>
      <c r="GT41" s="133" t="n">
        <f aca="false">IF(OR(GT$4="",$B41=""),0,SUMIF('DADOS BRUTOS'!$A$3:$A$500,$B41,'DADOS BRUTOS'!DT$3:DT$500)+IF($C41="",0,SUMIF('DADOS BRUTOS'!$A$3:$A$500,$C41,'DADOS BRUTOS'!DT$3:DT$500)))</f>
        <v>0</v>
      </c>
      <c r="GU41" s="133" t="n">
        <f aca="false">IF(OR(GU$4="",$B41=""),0,SUMIF('DADOS BRUTOS'!$A$3:$A$500,$B41,'DADOS BRUTOS'!DU$3:DU$500)+IF($C41="",0,SUMIF('DADOS BRUTOS'!$A$3:$A$500,$C41,'DADOS BRUTOS'!DU$3:DU$500)))</f>
        <v>0</v>
      </c>
      <c r="GV41" s="133" t="n">
        <f aca="false">IF(OR(GV$4="",$B41=""),0,SUMIF('DADOS BRUTOS'!$A$3:$A$500,$B41,'DADOS BRUTOS'!DV$3:DV$500)+IF($C41="",0,SUMIF('DADOS BRUTOS'!$A$3:$A$500,$C41,'DADOS BRUTOS'!DV$3:DV$500)))</f>
        <v>0</v>
      </c>
      <c r="GW41" s="133" t="n">
        <f aca="false">IF(OR(GW$4="",$B41=""),0,SUMIF('DADOS BRUTOS'!$A$3:$A$500,$B41,'DADOS BRUTOS'!DW$3:DW$500)+IF($C41="",0,SUMIF('DADOS BRUTOS'!$A$3:$A$500,$C41,'DADOS BRUTOS'!DW$3:DW$500)))</f>
        <v>0</v>
      </c>
      <c r="GX41" s="133" t="n">
        <f aca="false">IF(OR(GX$4="",$B41=""),0,SUMIF('DADOS BRUTOS'!$A$3:$A$500,$B41,'DADOS BRUTOS'!DX$3:DX$500)+IF($C41="",0,SUMIF('DADOS BRUTOS'!$A$3:$A$500,$C41,'DADOS BRUTOS'!DX$3:DX$500)))</f>
        <v>0</v>
      </c>
      <c r="GY41" s="133" t="n">
        <f aca="false">IF(OR(GY$4="",$B41=""),0,SUMIF('DADOS BRUTOS'!$A$3:$A$500,$B41,'DADOS BRUTOS'!DY$3:DY$500)+IF($C41="",0,SUMIF('DADOS BRUTOS'!$A$3:$A$500,$C41,'DADOS BRUTOS'!DY$3:DY$500)))</f>
        <v>0</v>
      </c>
      <c r="GZ41" s="133" t="n">
        <f aca="false">IF(OR(GZ$4="",$B41=""),0,SUMIF('DADOS BRUTOS'!$A$3:$A$500,$B41,'DADOS BRUTOS'!DZ$3:DZ$500)+IF($C41="",0,SUMIF('DADOS BRUTOS'!$A$3:$A$500,$C41,'DADOS BRUTOS'!DZ$3:DZ$500)))</f>
        <v>0</v>
      </c>
      <c r="HA41" s="133" t="n">
        <f aca="false">IF(OR(HA$4="",$B41=""),0,SUMIF('DADOS BRUTOS'!$A$3:$A$500,$B41,'DADOS BRUTOS'!EA$3:EA$500)+IF($C41="",0,SUMIF('DADOS BRUTOS'!$A$3:$A$500,$C41,'DADOS BRUTOS'!EA$3:EA$500)))</f>
        <v>0</v>
      </c>
      <c r="HB41" s="133" t="n">
        <f aca="false">IF(OR(HB$4="",$B41=""),0,SUMIF('DADOS BRUTOS'!$A$3:$A$500,$B41,'DADOS BRUTOS'!EB$3:EB$500)+IF($C41="",0,SUMIF('DADOS BRUTOS'!$A$3:$A$500,$C41,'DADOS BRUTOS'!EB$3:EB$500)))</f>
        <v>0</v>
      </c>
      <c r="HC41" s="133" t="n">
        <f aca="false">IF(OR(HC$4="",$B41=""),0,SUMIF('DADOS BRUTOS'!$A$3:$A$500,$B41,'DADOS BRUTOS'!EC$3:EC$500)+IF($C41="",0,SUMIF('DADOS BRUTOS'!$A$3:$A$500,$C41,'DADOS BRUTOS'!EC$3:EC$500)))</f>
        <v>0</v>
      </c>
      <c r="HD41" s="133" t="n">
        <f aca="false">IF(OR(HD$4="",$B41=""),0,SUMIF('DADOS BRUTOS'!$A$3:$A$500,$B41,'DADOS BRUTOS'!ED$3:ED$500)+IF($C41="",0,SUMIF('DADOS BRUTOS'!$A$3:$A$500,$C41,'DADOS BRUTOS'!ED$3:ED$500)))</f>
        <v>0</v>
      </c>
      <c r="HE41" s="133" t="n">
        <f aca="false">IF(OR(HE$4="",$B41=""),0,SUMIF('DADOS BRUTOS'!$A$3:$A$500,$B41,'DADOS BRUTOS'!EE$3:EE$500)+IF($C41="",0,SUMIF('DADOS BRUTOS'!$A$3:$A$500,$C41,'DADOS BRUTOS'!EE$3:EE$500)))</f>
        <v>0</v>
      </c>
      <c r="HF41" s="133" t="n">
        <f aca="false">IF(OR(HF$4="",$B41=""),0,SUMIF('DADOS BRUTOS'!$A$3:$A$500,$B41,'DADOS BRUTOS'!EF$3:EF$500)+IF($C41="",0,SUMIF('DADOS BRUTOS'!$A$3:$A$500,$C41,'DADOS BRUTOS'!EF$3:EF$500)))</f>
        <v>0</v>
      </c>
      <c r="HG41" s="133" t="n">
        <f aca="false">IF(OR(HG$4="",$B41=""),0,SUMIF('DADOS BRUTOS'!$A$3:$A$500,$B41,'DADOS BRUTOS'!EG$3:EG$500)+IF($C41="",0,SUMIF('DADOS BRUTOS'!$A$3:$A$500,$C41,'DADOS BRUTOS'!EG$3:EG$500)))</f>
        <v>0</v>
      </c>
      <c r="HH41" s="133" t="n">
        <f aca="false">IF(OR(HH$4="",$B41=""),0,SUMIF('DADOS BRUTOS'!$A$3:$A$500,$B41,'DADOS BRUTOS'!EH$3:EH$500)+IF($C41="",0,SUMIF('DADOS BRUTOS'!$A$3:$A$500,$C41,'DADOS BRUTOS'!EH$3:EH$500)))</f>
        <v>0</v>
      </c>
      <c r="HI41" s="133" t="n">
        <f aca="false">IF(OR(HI$4="",$B41=""),0,SUMIF('DADOS BRUTOS'!$A$3:$A$500,$B41,'DADOS BRUTOS'!EI$3:EI$500)+IF($C41="",0,SUMIF('DADOS BRUTOS'!$A$3:$A$500,$C41,'DADOS BRUTOS'!EI$3:EI$500)))</f>
        <v>0</v>
      </c>
      <c r="HJ41" s="133" t="n">
        <f aca="false">IF(OR(HJ$4="",$B41=""),0,SUMIF('DADOS BRUTOS'!$A$3:$A$500,$B41,'DADOS BRUTOS'!EJ$3:EJ$500)+IF($C41="",0,SUMIF('DADOS BRUTOS'!$A$3:$A$500,$C41,'DADOS BRUTOS'!EJ$3:EJ$500)))</f>
        <v>0</v>
      </c>
      <c r="HK41" s="133" t="n">
        <f aca="false">IF(OR(HK$4="",$B41=""),0,SUMIF('DADOS BRUTOS'!$A$3:$A$500,$B41,'DADOS BRUTOS'!EK$3:EK$500)+IF($C41="",0,SUMIF('DADOS BRUTOS'!$A$3:$A$500,$C41,'DADOS BRUTOS'!EK$3:EK$500)))</f>
        <v>0</v>
      </c>
      <c r="HL41" s="133" t="n">
        <f aca="false">IF(OR(HL$4="",$B41=""),0,SUMIF('DADOS BRUTOS'!$A$3:$A$500,$B41,'DADOS BRUTOS'!EL$3:EL$500)+IF($C41="",0,SUMIF('DADOS BRUTOS'!$A$3:$A$500,$C41,'DADOS BRUTOS'!EL$3:EL$500)))</f>
        <v>0</v>
      </c>
      <c r="HM41" s="133" t="n">
        <f aca="false">IF(OR(HM$4="",$B41=""),0,SUMIF('DADOS BRUTOS'!$A$3:$A$500,$B41,'DADOS BRUTOS'!EM$3:EM$500)+IF($C41="",0,SUMIF('DADOS BRUTOS'!$A$3:$A$500,$C41,'DADOS BRUTOS'!EM$3:EM$500)))</f>
        <v>0</v>
      </c>
      <c r="HN41" s="133" t="n">
        <f aca="false">IF(OR(HN$4="",$B41=""),0,SUMIF('DADOS BRUTOS'!$A$3:$A$500,$B41,'DADOS BRUTOS'!EN$3:EN$500)+IF($C41="",0,SUMIF('DADOS BRUTOS'!$A$3:$A$500,$C41,'DADOS BRUTOS'!EN$3:EN$500)))</f>
        <v>0</v>
      </c>
      <c r="HO41" s="133" t="n">
        <f aca="false">IF(OR(HO$4="",$B41=""),0,SUMIF('DADOS BRUTOS'!$A$3:$A$500,$B41,'DADOS BRUTOS'!EO$3:EO$500)+IF($C41="",0,SUMIF('DADOS BRUTOS'!$A$3:$A$500,$C41,'DADOS BRUTOS'!EO$3:EO$500)))</f>
        <v>0</v>
      </c>
      <c r="HP41" s="133" t="n">
        <f aca="false">IF(OR(HP$4="",$B41=""),0,SUMIF('DADOS BRUTOS'!$A$3:$A$500,$B41,'DADOS BRUTOS'!EP$3:EP$500)+IF($C41="",0,SUMIF('DADOS BRUTOS'!$A$3:$A$500,$C41,'DADOS BRUTOS'!EP$3:EP$500)))</f>
        <v>0</v>
      </c>
      <c r="HQ41" s="133" t="n">
        <f aca="false">IF(OR(HQ$4="",$B41=""),0,SUMIF('DADOS BRUTOS'!$A$3:$A$500,$B41,'DADOS BRUTOS'!EQ$3:EQ$500)+IF($C41="",0,SUMIF('DADOS BRUTOS'!$A$3:$A$500,$C41,'DADOS BRUTOS'!EQ$3:EQ$500)))</f>
        <v>0</v>
      </c>
      <c r="HR41" s="133" t="n">
        <f aca="false">IF(OR(HR$4="",$B41=""),0,SUMIF('DADOS BRUTOS'!$A$3:$A$500,$B41,'DADOS BRUTOS'!ER$3:ER$500)+IF($C41="",0,SUMIF('DADOS BRUTOS'!$A$3:$A$500,$C41,'DADOS BRUTOS'!ER$3:ER$500)))</f>
        <v>0</v>
      </c>
      <c r="HS41" s="133" t="n">
        <f aca="false">IF(OR(HS$4="",$B41=""),0,SUMIF('DADOS BRUTOS'!$A$3:$A$500,$B41,'DADOS BRUTOS'!ES$3:ES$500)+IF($C41="",0,SUMIF('DADOS BRUTOS'!$A$3:$A$500,$C41,'DADOS BRUTOS'!ES$3:ES$500)))</f>
        <v>0</v>
      </c>
      <c r="HT41" s="133" t="n">
        <f aca="false">IF(OR(HT$4="",$B41=""),0,SUMIF('DADOS BRUTOS'!$A$3:$A$500,$B41,'DADOS BRUTOS'!ET$3:ET$500)+IF($C41="",0,SUMIF('DADOS BRUTOS'!$A$3:$A$500,$C41,'DADOS BRUTOS'!ET$3:ET$500)))</f>
        <v>0</v>
      </c>
      <c r="HU41" s="133" t="n">
        <f aca="false">IF(OR(HU$4="",$B41=""),0,SUMIF('DADOS BRUTOS'!$A$3:$A$500,$B41,'DADOS BRUTOS'!EU$3:EU$500)+IF($C41="",0,SUMIF('DADOS BRUTOS'!$A$3:$A$500,$C41,'DADOS BRUTOS'!EU$3:EU$500)))</f>
        <v>0</v>
      </c>
      <c r="HV41" s="133" t="n">
        <f aca="false">IF(OR(HV$4="",$B41=""),0,SUMIF('DADOS BRUTOS'!$A$3:$A$500,$B41,'DADOS BRUTOS'!EV$3:EV$500)+IF($C41="",0,SUMIF('DADOS BRUTOS'!$A$3:$A$500,$C41,'DADOS BRUTOS'!EV$3:EV$500)))</f>
        <v>0</v>
      </c>
      <c r="HW41" s="133" t="n">
        <f aca="false">IF(OR(HW$4="",$B41=""),0,SUMIF('DADOS BRUTOS'!$A$3:$A$500,$B41,'DADOS BRUTOS'!EW$3:EW$500)+IF($C41="",0,SUMIF('DADOS BRUTOS'!$A$3:$A$500,$C41,'DADOS BRUTOS'!EW$3:EW$500)))</f>
        <v>0</v>
      </c>
      <c r="HX41" s="133" t="n">
        <f aca="false">IF(OR(HX$4="",$B41=""),0,SUMIF('DADOS BRUTOS'!$A$3:$A$500,$B41,'DADOS BRUTOS'!EX$3:EX$500)+IF($C41="",0,SUMIF('DADOS BRUTOS'!$A$3:$A$500,$C41,'DADOS BRUTOS'!EX$3:EX$500)))</f>
        <v>0</v>
      </c>
      <c r="HY41" s="133" t="n">
        <f aca="false">IF(OR(HY$4="",$B41=""),0,SUMIF('DADOS BRUTOS'!$A$3:$A$500,$B41,'DADOS BRUTOS'!EY$3:EY$500)+IF($C41="",0,SUMIF('DADOS BRUTOS'!$A$3:$A$500,$C41,'DADOS BRUTOS'!EY$3:EY$500)))</f>
        <v>0</v>
      </c>
      <c r="HZ41" s="133" t="n">
        <f aca="false">IF(OR(HZ$4="",$B41=""),0,SUMIF('DADOS BRUTOS'!$A$3:$A$500,$B41,'DADOS BRUTOS'!EZ$3:EZ$500)+IF($C41="",0,SUMIF('DADOS BRUTOS'!$A$3:$A$500,$C41,'DADOS BRUTOS'!EZ$3:EZ$500)))</f>
        <v>0</v>
      </c>
      <c r="IA41" s="133" t="n">
        <f aca="false">IF(OR(IA$4="",$B41=""),0,SUMIF('DADOS BRUTOS'!$A$3:$A$500,$B41,'DADOS BRUTOS'!FA$3:FA$500)+IF($C41="",0,SUMIF('DADOS BRUTOS'!$A$3:$A$500,$C41,'DADOS BRUTOS'!FA$3:FA$500)))</f>
        <v>0</v>
      </c>
      <c r="IB41" s="133" t="n">
        <f aca="false">IF(OR(IB$4="",$B41=""),0,SUMIF('DADOS BRUTOS'!$A$3:$A$500,$B41,'DADOS BRUTOS'!FB$3:FB$500)+IF($C41="",0,SUMIF('DADOS BRUTOS'!$A$3:$A$500,$C41,'DADOS BRUTOS'!FB$3:FB$500)))</f>
        <v>0</v>
      </c>
      <c r="IC41" s="133" t="n">
        <f aca="false">IF(OR(IC$4="",$B41=""),0,SUMIF('DADOS BRUTOS'!$A$3:$A$500,$B41,'DADOS BRUTOS'!FC$3:FC$500)+IF($C41="",0,SUMIF('DADOS BRUTOS'!$A$3:$A$500,$C41,'DADOS BRUTOS'!FC$3:FC$500)))</f>
        <v>0</v>
      </c>
      <c r="ID41" s="133" t="n">
        <f aca="false">IF(OR(ID$4="",$B41=""),0,SUMIF('DADOS BRUTOS'!$A$3:$A$500,$B41,'DADOS BRUTOS'!FD$3:FD$500)+IF($C41="",0,SUMIF('DADOS BRUTOS'!$A$3:$A$500,$C41,'DADOS BRUTOS'!FD$3:FD$500)))</f>
        <v>0</v>
      </c>
      <c r="IE41" s="133" t="n">
        <f aca="false">IF(OR(IE$4="",$B41=""),0,SUMIF('DADOS BRUTOS'!$A$3:$A$500,$B41,'DADOS BRUTOS'!FE$3:FE$500)+IF($C41="",0,SUMIF('DADOS BRUTOS'!$A$3:$A$500,$C41,'DADOS BRUTOS'!FE$3:FE$500)))</f>
        <v>0</v>
      </c>
      <c r="IF41" s="133" t="n">
        <f aca="false">IF(OR(IF$4="",$B41=""),0,SUMIF('DADOS BRUTOS'!$A$3:$A$500,$B41,'DADOS BRUTOS'!FF$3:FF$500)+IF($C41="",0,SUMIF('DADOS BRUTOS'!$A$3:$A$500,$C41,'DADOS BRUTOS'!FF$3:FF$500)))</f>
        <v>0</v>
      </c>
      <c r="IG41" s="133" t="n">
        <f aca="false">IF(OR(IG$4="",$B41=""),0,SUMIF('DADOS BRUTOS'!$A$3:$A$500,$B41,'DADOS BRUTOS'!FG$3:FG$500)+IF($C41="",0,SUMIF('DADOS BRUTOS'!$A$3:$A$500,$C41,'DADOS BRUTOS'!FG$3:FG$500)))</f>
        <v>0</v>
      </c>
      <c r="IH41" s="133" t="n">
        <f aca="false">IF(OR(IH$4="",$B41=""),0,SUMIF('DADOS BRUTOS'!$A$3:$A$500,$B41,'DADOS BRUTOS'!FH$3:FH$500)+IF($C41="",0,SUMIF('DADOS BRUTOS'!$A$3:$A$500,$C41,'DADOS BRUTOS'!FH$3:FH$500)))</f>
        <v>0</v>
      </c>
      <c r="II41" s="133" t="n">
        <f aca="false">IF(OR(II$4="",$B41=""),0,SUMIF('DADOS BRUTOS'!$A$3:$A$500,$B41,'DADOS BRUTOS'!FI$3:FI$500)+IF($C41="",0,SUMIF('DADOS BRUTOS'!$A$3:$A$500,$C41,'DADOS BRUTOS'!FI$3:FI$500)))</f>
        <v>0</v>
      </c>
      <c r="IJ41" s="133" t="n">
        <f aca="false">IF(OR(IJ$4="",$B41=""),0,SUMIF('DADOS BRUTOS'!$A$3:$A$500,$B41,'DADOS BRUTOS'!FJ$3:FJ$500)+IF($C41="",0,SUMIF('DADOS BRUTOS'!$A$3:$A$500,$C41,'DADOS BRUTOS'!FJ$3:FJ$500)))</f>
        <v>0</v>
      </c>
      <c r="IK41" s="133" t="n">
        <f aca="false">IF(OR(IK$4="",$B41=""),0,SUMIF('DADOS BRUTOS'!$A$3:$A$500,$B41,'DADOS BRUTOS'!FK$3:FK$500)+IF($C41="",0,SUMIF('DADOS BRUTOS'!$A$3:$A$500,$C41,'DADOS BRUTOS'!FK$3:FK$500)))</f>
        <v>0</v>
      </c>
      <c r="IL41" s="133" t="n">
        <f aca="false">IF(OR(IL$4="",$B41=""),0,SUMIF('DADOS BRUTOS'!$A$3:$A$500,$B41,'DADOS BRUTOS'!FL$3:FL$500)+IF($C41="",0,SUMIF('DADOS BRUTOS'!$A$3:$A$500,$C41,'DADOS BRUTOS'!FL$3:FL$500)))</f>
        <v>0</v>
      </c>
      <c r="IM41" s="133" t="n">
        <f aca="false">IF(OR(IM$4="",$B41=""),0,SUMIF('DADOS BRUTOS'!$A$3:$A$500,$B41,'DADOS BRUTOS'!FM$3:FM$500)+IF($C41="",0,SUMIF('DADOS BRUTOS'!$A$3:$A$500,$C41,'DADOS BRUTOS'!FM$3:FM$500)))</f>
        <v>0</v>
      </c>
      <c r="IN41" s="133" t="n">
        <f aca="false">IF(OR(IN$4="",$B41=""),0,SUMIF('DADOS BRUTOS'!$A$3:$A$500,$B41,'DADOS BRUTOS'!FN$3:FN$500)+IF($C41="",0,SUMIF('DADOS BRUTOS'!$A$3:$A$500,$C41,'DADOS BRUTOS'!FN$3:FN$500)))</f>
        <v>0</v>
      </c>
      <c r="IO41" s="133" t="n">
        <f aca="false">IF(OR(IO$4="",$B41=""),0,SUMIF('DADOS BRUTOS'!$A$3:$A$500,$B41,'DADOS BRUTOS'!FO$3:FO$500)+IF($C41="",0,SUMIF('DADOS BRUTOS'!$A$3:$A$500,$C41,'DADOS BRUTOS'!FO$3:FO$500)))</f>
        <v>0</v>
      </c>
      <c r="IP41" s="133" t="n">
        <f aca="false">IF(OR(IP$4="",$B41=""),0,SUMIF('DADOS BRUTOS'!$A$3:$A$500,$B41,'DADOS BRUTOS'!FP$3:FP$500)+IF($C41="",0,SUMIF('DADOS BRUTOS'!$A$3:$A$500,$C41,'DADOS BRUTOS'!FP$3:FP$500)))</f>
        <v>0</v>
      </c>
      <c r="IQ41" s="133" t="n">
        <f aca="false">IF(OR(IQ$4="",$B41=""),0,SUMIF('DADOS BRUTOS'!$A$3:$A$500,$B41,'DADOS BRUTOS'!FQ$3:FQ$500)+IF($C41="",0,SUMIF('DADOS BRUTOS'!$A$3:$A$500,$C41,'DADOS BRUTOS'!FQ$3:FQ$500)))</f>
        <v>0</v>
      </c>
      <c r="IR41" s="133" t="n">
        <f aca="false">IF(OR(IR$4="",$B41=""),0,SUMIF('DADOS BRUTOS'!$A$3:$A$500,$B41,'DADOS BRUTOS'!FR$3:FR$500)+IF($C41="",0,SUMIF('DADOS BRUTOS'!$A$3:$A$500,$C41,'DADOS BRUTOS'!FR$3:FR$500)))</f>
        <v>0</v>
      </c>
      <c r="IS41" s="133" t="n">
        <f aca="false">IF(OR(IS$4="",$B41=""),0,SUMIF('DADOS BRUTOS'!$A$3:$A$500,$B41,'DADOS BRUTOS'!FS$3:FS$500)+IF($C41="",0,SUMIF('DADOS BRUTOS'!$A$3:$A$500,$C41,'DADOS BRUTOS'!FS$3:FS$500)))</f>
        <v>0</v>
      </c>
      <c r="IT41" s="133" t="n">
        <f aca="false">IF(OR(IT$4="",$B41=""),0,SUMIF('DADOS BRUTOS'!$A$3:$A$500,$B41,'DADOS BRUTOS'!FT$3:FT$500)+IF($C41="",0,SUMIF('DADOS BRUTOS'!$A$3:$A$500,$C41,'DADOS BRUTOS'!FT$3:FT$500)))</f>
        <v>0</v>
      </c>
      <c r="IU41" s="133" t="n">
        <f aca="false">IF(OR(IU$4="",$B41=""),0,SUMIF('DADOS BRUTOS'!$A$3:$A$500,$B41,'DADOS BRUTOS'!FU$3:FU$500)+IF($C41="",0,SUMIF('DADOS BRUTOS'!$A$3:$A$500,$C41,'DADOS BRUTOS'!FU$3:FU$500)))</f>
        <v>0</v>
      </c>
      <c r="IV41" s="133" t="n">
        <f aca="false">IF(OR(IV$4="",$B41=""),0,SUMIF('DADOS BRUTOS'!$A$3:$A$500,$B41,'DADOS BRUTOS'!FV$3:FV$500)+IF($C41="",0,SUMIF('DADOS BRUTOS'!$A$3:$A$500,$C41,'DADOS BRUTOS'!FV$3:FV$500)))</f>
        <v>0</v>
      </c>
      <c r="IW41" s="133" t="n">
        <f aca="false">IF(OR(IW$4="",$B41=""),0,SUMIF('DADOS BRUTOS'!$A$3:$A$500,$B41,'DADOS BRUTOS'!FW$3:FW$500)+IF($C41="",0,SUMIF('DADOS BRUTOS'!$A$3:$A$500,$C41,'DADOS BRUTOS'!FW$3:FW$500)))</f>
        <v>0</v>
      </c>
      <c r="IX41" s="133" t="n">
        <f aca="false">IF(OR(IX$4="",$B41=""),0,SUMIF('DADOS BRUTOS'!$A$3:$A$500,$B41,'DADOS BRUTOS'!FX$3:FX$500)+IF($C41="",0,SUMIF('DADOS BRUTOS'!$A$3:$A$500,$C41,'DADOS BRUTOS'!FX$3:FX$500)))</f>
        <v>0</v>
      </c>
      <c r="IY41" s="133" t="n">
        <f aca="false">IF(OR(IY$4="",$B41=""),0,SUMIF('DADOS BRUTOS'!$A$3:$A$500,$B41,'DADOS BRUTOS'!FY$3:FY$500)+IF($C41="",0,SUMIF('DADOS BRUTOS'!$A$3:$A$500,$C41,'DADOS BRUTOS'!FY$3:FY$500)))</f>
        <v>0</v>
      </c>
      <c r="IZ41" s="133" t="n">
        <f aca="false">IF(OR(IZ$4="",$B41=""),0,SUMIF('DADOS BRUTOS'!$A$3:$A$500,$B41,'DADOS BRUTOS'!FZ$3:FZ$500)+IF($C41="",0,SUMIF('DADOS BRUTOS'!$A$3:$A$500,$C41,'DADOS BRUTOS'!FZ$3:FZ$500)))</f>
        <v>0</v>
      </c>
      <c r="JA41" s="133" t="n">
        <f aca="false">IF(OR(JA$4="",$B41=""),0,SUMIF('DADOS BRUTOS'!$A$3:$A$500,$B41,'DADOS BRUTOS'!GA$3:GA$500)+IF($C41="",0,SUMIF('DADOS BRUTOS'!$A$3:$A$500,$C41,'DADOS BRUTOS'!GA$3:GA$500)))</f>
        <v>0</v>
      </c>
      <c r="JB41" s="133" t="n">
        <f aca="false">IF(OR(JB$4="",$B41=""),0,SUMIF('DADOS BRUTOS'!$A$3:$A$500,$B41,'DADOS BRUTOS'!GB$3:GB$500)+IF($C41="",0,SUMIF('DADOS BRUTOS'!$A$3:$A$500,$C41,'DADOS BRUTOS'!GB$3:GB$500)))</f>
        <v>0</v>
      </c>
      <c r="JC41" s="133" t="n">
        <f aca="false">IF(OR(JC$4="",$B41=""),0,SUMIF('DADOS BRUTOS'!$A$3:$A$500,$B41,'DADOS BRUTOS'!GC$3:GC$500)+IF($C41="",0,SUMIF('DADOS BRUTOS'!$A$3:$A$500,$C41,'DADOS BRUTOS'!GC$3:GC$500)))</f>
        <v>0</v>
      </c>
      <c r="JD41" s="133" t="n">
        <f aca="false">IF(OR(JD$4="",$B41=""),0,SUMIF('DADOS BRUTOS'!$A$3:$A$500,$B41,'DADOS BRUTOS'!GD$3:GD$500)+IF($C41="",0,SUMIF('DADOS BRUTOS'!$A$3:$A$500,$C41,'DADOS BRUTOS'!GD$3:GD$500)))</f>
        <v>0</v>
      </c>
      <c r="JE41" s="133" t="n">
        <f aca="false">IF(OR(JE$4="",$B41=""),0,SUMIF('DADOS BRUTOS'!$A$3:$A$500,$B41,'DADOS BRUTOS'!GE$3:GE$500)+IF($C41="",0,SUMIF('DADOS BRUTOS'!$A$3:$A$500,$C41,'DADOS BRUTOS'!GE$3:GE$500)))</f>
        <v>0</v>
      </c>
      <c r="JF41" s="133" t="n">
        <f aca="false">IF(OR(JF$4="",$B41=""),0,SUMIF('DADOS BRUTOS'!$A$3:$A$500,$B41,'DADOS BRUTOS'!GF$3:GF$500)+IF($C41="",0,SUMIF('DADOS BRUTOS'!$A$3:$A$500,$C41,'DADOS BRUTOS'!GF$3:GF$500)))</f>
        <v>0</v>
      </c>
      <c r="JG41" s="133" t="n">
        <f aca="false">IF(OR(JG$4="",$B41=""),0,SUMIF('DADOS BRUTOS'!$A$3:$A$500,$B41,'DADOS BRUTOS'!GG$3:GG$500)+IF($C41="",0,SUMIF('DADOS BRUTOS'!$A$3:$A$500,$C41,'DADOS BRUTOS'!GG$3:GG$500)))</f>
        <v>0</v>
      </c>
      <c r="JH41" s="133" t="n">
        <f aca="false">IF(OR(JH$4="",$B41=""),0,SUMIF('DADOS BRUTOS'!$A$3:$A$500,$B41,'DADOS BRUTOS'!GH$3:GH$500)+IF($C41="",0,SUMIF('DADOS BRUTOS'!$A$3:$A$500,$C41,'DADOS BRUTOS'!GH$3:GH$500)))</f>
        <v>0</v>
      </c>
      <c r="JI41" s="133" t="n">
        <f aca="false">IF(OR(JI$4="",$B41=""),0,SUMIF('DADOS BRUTOS'!$A$3:$A$500,$B41,'DADOS BRUTOS'!GI$3:GI$500)+IF($C41="",0,SUMIF('DADOS BRUTOS'!$A$3:$A$500,$C41,'DADOS BRUTOS'!GI$3:GI$500)))</f>
        <v>0</v>
      </c>
      <c r="JJ41" s="133" t="n">
        <f aca="false">IF(OR(JJ$4="",$B41=""),0,SUMIF('DADOS BRUTOS'!$A$3:$A$500,$B41,'DADOS BRUTOS'!GJ$3:GJ$500)+IF($C41="",0,SUMIF('DADOS BRUTOS'!$A$3:$A$500,$C41,'DADOS BRUTOS'!GJ$3:GJ$500)))</f>
        <v>0</v>
      </c>
      <c r="JK41" s="133" t="n">
        <f aca="false">IF(OR(JK$4="",$B41=""),0,SUMIF('DADOS BRUTOS'!$A$3:$A$500,$B41,'DADOS BRUTOS'!GK$3:GK$500)+IF($C41="",0,SUMIF('DADOS BRUTOS'!$A$3:$A$500,$C41,'DADOS BRUTOS'!GK$3:GK$500)))</f>
        <v>0</v>
      </c>
      <c r="JL41" s="133" t="n">
        <f aca="false">IF(OR(JL$4="",$B41=""),0,SUMIF('DADOS BRUTOS'!$A$3:$A$500,$B41,'DADOS BRUTOS'!GL$3:GL$500)+IF($C41="",0,SUMIF('DADOS BRUTOS'!$A$3:$A$500,$C41,'DADOS BRUTOS'!GL$3:GL$500)))</f>
        <v>0</v>
      </c>
      <c r="JM41" s="133" t="n">
        <f aca="false">IF(OR(JM$4="",$B41=""),0,SUMIF('DADOS BRUTOS'!$A$3:$A$500,$B41,'DADOS BRUTOS'!GM$3:GM$500)+IF($C41="",0,SUMIF('DADOS BRUTOS'!$A$3:$A$500,$C41,'DADOS BRUTOS'!GM$3:GM$500)))</f>
        <v>0</v>
      </c>
      <c r="JN41" s="133" t="n">
        <f aca="false">IF(OR(JN$4="",$B41=""),0,SUMIF('DADOS BRUTOS'!$A$3:$A$500,$B41,'DADOS BRUTOS'!GN$3:GN$500)+IF($C41="",0,SUMIF('DADOS BRUTOS'!$A$3:$A$500,$C41,'DADOS BRUTOS'!GN$3:GN$500)))</f>
        <v>0</v>
      </c>
      <c r="JO41" s="133" t="n">
        <f aca="false">IF(OR(JO$4="",$B41=""),0,SUMIF('DADOS BRUTOS'!$A$3:$A$500,$B41,'DADOS BRUTOS'!GO$3:GO$500)+IF($C41="",0,SUMIF('DADOS BRUTOS'!$A$3:$A$500,$C41,'DADOS BRUTOS'!GO$3:GO$500)))</f>
        <v>0</v>
      </c>
      <c r="JP41" s="133" t="n">
        <f aca="false">IF(OR(JP$4="",$B41=""),0,SUMIF('DADOS BRUTOS'!$A$3:$A$500,$B41,'DADOS BRUTOS'!GP$3:GP$500)+IF($C41="",0,SUMIF('DADOS BRUTOS'!$A$3:$A$500,$C41,'DADOS BRUTOS'!GP$3:GP$500)))</f>
        <v>0</v>
      </c>
      <c r="JQ41" s="133" t="n">
        <f aca="false">IF(OR(JQ$4="",$B41=""),0,SUMIF('DADOS BRUTOS'!$A$3:$A$500,$B41,'DADOS BRUTOS'!GQ$3:GQ$500)+IF($C41="",0,SUMIF('DADOS BRUTOS'!$A$3:$A$500,$C41,'DADOS BRUTOS'!GQ$3:GQ$500)))</f>
        <v>0</v>
      </c>
      <c r="JR41" s="133" t="n">
        <f aca="false">IF(OR(JR$4="",$B41=""),0,SUMIF('DADOS BRUTOS'!$A$3:$A$500,$B41,'DADOS BRUTOS'!GR$3:GR$500)+IF($C41="",0,SUMIF('DADOS BRUTOS'!$A$3:$A$500,$C41,'DADOS BRUTOS'!GR$3:GR$500)))</f>
        <v>0</v>
      </c>
      <c r="JS41" s="133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834265.35</v>
      </c>
      <c r="E42" s="50" t="n">
        <f aca="false">SUMIF($CB$4:$JS$4,E$4,$CB42:$JS42)</f>
        <v>-18060.01</v>
      </c>
      <c r="F42" s="50" t="n">
        <f aca="false">SUMIF($CB$4:$JS$4,F$4,$CB42:$JS42)</f>
        <v>16698.71</v>
      </c>
      <c r="G42" s="50" t="n">
        <f aca="false">SUMIF($CB$4:$JS$4,G$4,$CB42:$JS42)</f>
        <v>64177.87</v>
      </c>
      <c r="H42" s="50" t="n">
        <f aca="false">SUMIF($CB$4:$JS$4,H$4,$CB42:$JS42)</f>
        <v>48427.68</v>
      </c>
      <c r="I42" s="50" t="n">
        <f aca="false">SUMIF($CB$4:$JS$4,I$4,$CB42:$JS42)</f>
        <v>64628.63</v>
      </c>
      <c r="J42" s="50" t="n">
        <f aca="false">SUMIF($CB$4:$JS$4,J$4,$CB42:$JS42)</f>
        <v>48665.26</v>
      </c>
      <c r="K42" s="50" t="n">
        <f aca="false">SUMIF($CB$4:$JS$4,K$4,$CB42:$JS42)</f>
        <v>124955.82</v>
      </c>
      <c r="L42" s="50" t="n">
        <f aca="false">SUMIF($CB$4:$JS$4,L$4,$CB42:$JS42)</f>
        <v>98792.36</v>
      </c>
      <c r="M42" s="50" t="n">
        <f aca="false">SUMIF($CB$4:$JS$4,M$4,$CB42:$JS42)</f>
        <v>169238.97</v>
      </c>
      <c r="N42" s="50" t="n">
        <f aca="false">SUMIF($CB$4:$JS$4,N$4,$CB42:$JS42)</f>
        <v>177088.06</v>
      </c>
      <c r="O42" s="50" t="n">
        <f aca="false">SUMIF($CB$4:$JS$4,O$4,$CB42:$JS42)</f>
        <v>229144.51</v>
      </c>
      <c r="P42" s="50" t="n">
        <f aca="false">SUMIF($CB$4:$JS$4,P$4,$CB42:$JS42)</f>
        <v>224113.89</v>
      </c>
      <c r="Q42" s="50" t="n">
        <f aca="false">SUMIF($CB$4:$JS$4,Q$4,$CB42:$JS42)</f>
        <v>180583.02</v>
      </c>
      <c r="R42" s="50" t="n">
        <f aca="false">SUMIF($CB$4:$JS$4,R$4,$CB42:$JS42)</f>
        <v>166154.57</v>
      </c>
      <c r="S42" s="50" t="n">
        <f aca="false">SUMIF($CB$4:$JS$4,S$4,$CB42:$JS42)</f>
        <v>142393.78</v>
      </c>
      <c r="T42" s="50" t="n">
        <f aca="false">SUMIF($CB$4:$JS$4,T$4,$CB42:$JS42)</f>
        <v>207371</v>
      </c>
      <c r="U42" s="50" t="n">
        <f aca="false">SUMIF($CB$4:$JS$4,U$4,$CB42:$JS42)</f>
        <v>177489.01</v>
      </c>
      <c r="V42" s="50" t="n">
        <f aca="false">SUMIF($CB$4:$JS$4,V$4,$CB42:$JS42)</f>
        <v>243636.76</v>
      </c>
      <c r="W42" s="50" t="n">
        <f aca="false">SUMIF($CB$4:$JS$4,W$4,$CB42:$JS42)</f>
        <v>221365.46</v>
      </c>
      <c r="X42" s="50" t="n">
        <f aca="false">SUMIF($CB$4:$JS$4,X$4,$CB42:$JS42)</f>
        <v>331504.35</v>
      </c>
      <c r="Y42" s="50" t="n">
        <f aca="false">SUMIF($CB$4:$JS$4,Y$4,$CB42:$JS42)</f>
        <v>256188.78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4008823.83</v>
      </c>
      <c r="BZ42" s="45" t="n">
        <f aca="false">SUMPRODUCT(($CB$4:$JS$4&lt;&gt;"")*($CB$4:$JS$4&lt;=$D$4),$CB42:$JS42,$CB$1:$JS$1)</f>
        <v>721.472601885354</v>
      </c>
      <c r="CB42" s="133" t="n">
        <f aca="false">IF(OR(CB$4="",$B42=""),0,SUMIF('DADOS BRUTOS'!$A$3:$A$500,$B42,'DADOS BRUTOS'!B$3:B$500)+IF($C42="",0,SUMIF('DADOS BRUTOS'!$A$3:$A$500,$C42,'DADOS BRUTOS'!B$3:B$500)))</f>
        <v>0</v>
      </c>
      <c r="CC42" s="133" t="n">
        <f aca="false">IF(OR(CC$4="",$B42=""),0,SUMIF('DADOS BRUTOS'!$A$3:$A$500,$B42,'DADOS BRUTOS'!C$3:C$500)+IF($C42="",0,SUMIF('DADOS BRUTOS'!$A$3:$A$500,$C42,'DADOS BRUTOS'!C$3:C$500)))</f>
        <v>0</v>
      </c>
      <c r="CD42" s="133" t="n">
        <f aca="false">IF(OR(CD$4="",$B42=""),0,SUMIF('DADOS BRUTOS'!$A$3:$A$500,$B42,'DADOS BRUTOS'!D$3:D$500)+IF($C42="",0,SUMIF('DADOS BRUTOS'!$A$3:$A$500,$C42,'DADOS BRUTOS'!D$3:D$500)))</f>
        <v>0</v>
      </c>
      <c r="CE42" s="133" t="n">
        <f aca="false">IF(OR(CE$4="",$B42=""),0,SUMIF('DADOS BRUTOS'!$A$3:$A$500,$B42,'DADOS BRUTOS'!E$3:E$500)+IF($C42="",0,SUMIF('DADOS BRUTOS'!$A$3:$A$500,$C42,'DADOS BRUTOS'!E$3:E$500)))</f>
        <v>0</v>
      </c>
      <c r="CF42" s="133" t="n">
        <f aca="false">IF(OR(CF$4="",$B42=""),0,SUMIF('DADOS BRUTOS'!$A$3:$A$500,$B42,'DADOS BRUTOS'!F$3:F$500)+IF($C42="",0,SUMIF('DADOS BRUTOS'!$A$3:$A$500,$C42,'DADOS BRUTOS'!F$3:F$500)))</f>
        <v>0</v>
      </c>
      <c r="CG42" s="133" t="n">
        <f aca="false">IF(OR(CG$4="",$B42=""),0,SUMIF('DADOS BRUTOS'!$A$3:$A$500,$B42,'DADOS BRUTOS'!G$3:G$500)+IF($C42="",0,SUMIF('DADOS BRUTOS'!$A$3:$A$500,$C42,'DADOS BRUTOS'!G$3:G$500)))</f>
        <v>0</v>
      </c>
      <c r="CH42" s="133" t="n">
        <f aca="false">IF(OR(CH$4="",$B42=""),0,SUMIF('DADOS BRUTOS'!$A$3:$A$500,$B42,'DADOS BRUTOS'!H$3:H$500)+IF($C42="",0,SUMIF('DADOS BRUTOS'!$A$3:$A$500,$C42,'DADOS BRUTOS'!H$3:H$500)))</f>
        <v>0</v>
      </c>
      <c r="CI42" s="133" t="n">
        <f aca="false">IF(OR(CI$4="",$B42=""),0,SUMIF('DADOS BRUTOS'!$A$3:$A$500,$B42,'DADOS BRUTOS'!I$3:I$500)+IF($C42="",0,SUMIF('DADOS BRUTOS'!$A$3:$A$500,$C42,'DADOS BRUTOS'!I$3:I$500)))</f>
        <v>0</v>
      </c>
      <c r="CJ42" s="133" t="n">
        <f aca="false">IF(OR(CJ$4="",$B42=""),0,SUMIF('DADOS BRUTOS'!$A$3:$A$500,$B42,'DADOS BRUTOS'!J$3:J$500)+IF($C42="",0,SUMIF('DADOS BRUTOS'!$A$3:$A$500,$C42,'DADOS BRUTOS'!J$3:J$500)))</f>
        <v>0</v>
      </c>
      <c r="CK42" s="133" t="n">
        <f aca="false">IF(OR(CK$4="",$B42=""),0,SUMIF('DADOS BRUTOS'!$A$3:$A$500,$B42,'DADOS BRUTOS'!K$3:K$500)+IF($C42="",0,SUMIF('DADOS BRUTOS'!$A$3:$A$500,$C42,'DADOS BRUTOS'!K$3:K$500)))</f>
        <v>0</v>
      </c>
      <c r="CL42" s="133" t="n">
        <f aca="false">IF(OR(CL$4="",$B42=""),0,SUMIF('DADOS BRUTOS'!$A$3:$A$500,$B42,'DADOS BRUTOS'!L$3:L$500)+IF($C42="",0,SUMIF('DADOS BRUTOS'!$A$3:$A$500,$C42,'DADOS BRUTOS'!L$3:L$500)))</f>
        <v>0</v>
      </c>
      <c r="CM42" s="133" t="n">
        <f aca="false">IF(OR(CM$4="",$B42=""),0,SUMIF('DADOS BRUTOS'!$A$3:$A$500,$B42,'DADOS BRUTOS'!M$3:M$500)+IF($C42="",0,SUMIF('DADOS BRUTOS'!$A$3:$A$500,$C42,'DADOS BRUTOS'!M$3:M$500)))</f>
        <v>0</v>
      </c>
      <c r="CN42" s="133" t="n">
        <f aca="false">IF(OR(CN$4="",$B42=""),0,SUMIF('DADOS BRUTOS'!$A$3:$A$500,$B42,'DADOS BRUTOS'!N$3:N$500)+IF($C42="",0,SUMIF('DADOS BRUTOS'!$A$3:$A$500,$C42,'DADOS BRUTOS'!N$3:N$500)))</f>
        <v>0</v>
      </c>
      <c r="CO42" s="133" t="n">
        <f aca="false">IF(OR(CO$4="",$B42=""),0,SUMIF('DADOS BRUTOS'!$A$3:$A$500,$B42,'DADOS BRUTOS'!O$3:O$500)+IF($C42="",0,SUMIF('DADOS BRUTOS'!$A$3:$A$500,$C42,'DADOS BRUTOS'!O$3:O$500)))</f>
        <v>0</v>
      </c>
      <c r="CP42" s="133" t="n">
        <f aca="false">IF(OR(CP$4="",$B42=""),0,SUMIF('DADOS BRUTOS'!$A$3:$A$500,$B42,'DADOS BRUTOS'!P$3:P$500)+IF($C42="",0,SUMIF('DADOS BRUTOS'!$A$3:$A$500,$C42,'DADOS BRUTOS'!P$3:P$500)))</f>
        <v>0</v>
      </c>
      <c r="CQ42" s="133" t="n">
        <f aca="false">IF(OR(CQ$4="",$B42=""),0,SUMIF('DADOS BRUTOS'!$A$3:$A$500,$B42,'DADOS BRUTOS'!Q$3:Q$500)+IF($C42="",0,SUMIF('DADOS BRUTOS'!$A$3:$A$500,$C42,'DADOS BRUTOS'!Q$3:Q$500)))</f>
        <v>0</v>
      </c>
      <c r="CR42" s="133" t="n">
        <f aca="false">IF(OR(CR$4="",$B42=""),0,SUMIF('DADOS BRUTOS'!$A$3:$A$500,$B42,'DADOS BRUTOS'!R$3:R$500)+IF($C42="",0,SUMIF('DADOS BRUTOS'!$A$3:$A$500,$C42,'DADOS BRUTOS'!R$3:R$500)))</f>
        <v>0</v>
      </c>
      <c r="CS42" s="133" t="n">
        <f aca="false">IF(OR(CS$4="",$B42=""),0,SUMIF('DADOS BRUTOS'!$A$3:$A$500,$B42,'DADOS BRUTOS'!S$3:S$500)+IF($C42="",0,SUMIF('DADOS BRUTOS'!$A$3:$A$500,$C42,'DADOS BRUTOS'!S$3:S$500)))</f>
        <v>0</v>
      </c>
      <c r="CT42" s="133" t="n">
        <f aca="false">IF(OR(CT$4="",$B42=""),0,SUMIF('DADOS BRUTOS'!$A$3:$A$500,$B42,'DADOS BRUTOS'!T$3:T$500)+IF($C42="",0,SUMIF('DADOS BRUTOS'!$A$3:$A$500,$C42,'DADOS BRUTOS'!T$3:T$500)))</f>
        <v>0</v>
      </c>
      <c r="CU42" s="133" t="n">
        <f aca="false">IF(OR(CU$4="",$B42=""),0,SUMIF('DADOS BRUTOS'!$A$3:$A$500,$B42,'DADOS BRUTOS'!U$3:U$500)+IF($C42="",0,SUMIF('DADOS BRUTOS'!$A$3:$A$500,$C42,'DADOS BRUTOS'!U$3:U$500)))</f>
        <v>0</v>
      </c>
      <c r="CV42" s="133" t="n">
        <f aca="false">IF(OR(CV$4="",$B42=""),0,SUMIF('DADOS BRUTOS'!$A$3:$A$500,$B42,'DADOS BRUTOS'!V$3:V$500)+IF($C42="",0,SUMIF('DADOS BRUTOS'!$A$3:$A$500,$C42,'DADOS BRUTOS'!V$3:V$500)))</f>
        <v>0</v>
      </c>
      <c r="CW42" s="133" t="n">
        <f aca="false">IF(OR(CW$4="",$B42=""),0,SUMIF('DADOS BRUTOS'!$A$3:$A$500,$B42,'DADOS BRUTOS'!W$3:W$500)+IF($C42="",0,SUMIF('DADOS BRUTOS'!$A$3:$A$500,$C42,'DADOS BRUTOS'!W$3:W$500)))</f>
        <v>0</v>
      </c>
      <c r="CX42" s="133" t="n">
        <f aca="false">IF(OR(CX$4="",$B42=""),0,SUMIF('DADOS BRUTOS'!$A$3:$A$500,$B42,'DADOS BRUTOS'!X$3:X$500)+IF($C42="",0,SUMIF('DADOS BRUTOS'!$A$3:$A$500,$C42,'DADOS BRUTOS'!X$3:X$500)))</f>
        <v>0</v>
      </c>
      <c r="CY42" s="133" t="n">
        <f aca="false">IF(OR(CY$4="",$B42=""),0,SUMIF('DADOS BRUTOS'!$A$3:$A$500,$B42,'DADOS BRUTOS'!Y$3:Y$500)+IF($C42="",0,SUMIF('DADOS BRUTOS'!$A$3:$A$500,$C42,'DADOS BRUTOS'!Y$3:Y$500)))</f>
        <v>0</v>
      </c>
      <c r="CZ42" s="133" t="n">
        <f aca="false">IF(OR(CZ$4="",$B42=""),0,SUMIF('DADOS BRUTOS'!$A$3:$A$500,$B42,'DADOS BRUTOS'!Z$3:Z$500)+IF($C42="",0,SUMIF('DADOS BRUTOS'!$A$3:$A$500,$C42,'DADOS BRUTOS'!Z$3:Z$500)))</f>
        <v>0</v>
      </c>
      <c r="DA42" s="133" t="n">
        <f aca="false">IF(OR(DA$4="",$B42=""),0,SUMIF('DADOS BRUTOS'!$A$3:$A$500,$B42,'DADOS BRUTOS'!AA$3:AA$500)+IF($C42="",0,SUMIF('DADOS BRUTOS'!$A$3:$A$500,$C42,'DADOS BRUTOS'!AA$3:AA$500)))</f>
        <v>0</v>
      </c>
      <c r="DB42" s="133" t="n">
        <f aca="false">IF(OR(DB$4="",$B42=""),0,SUMIF('DADOS BRUTOS'!$A$3:$A$500,$B42,'DADOS BRUTOS'!AB$3:AB$500)+IF($C42="",0,SUMIF('DADOS BRUTOS'!$A$3:$A$500,$C42,'DADOS BRUTOS'!AB$3:AB$500)))</f>
        <v>0</v>
      </c>
      <c r="DC42" s="133" t="n">
        <f aca="false">IF(OR(DC$4="",$B42=""),0,SUMIF('DADOS BRUTOS'!$A$3:$A$500,$B42,'DADOS BRUTOS'!AC$3:AC$500)+IF($C42="",0,SUMIF('DADOS BRUTOS'!$A$3:$A$500,$C42,'DADOS BRUTOS'!AC$3:AC$500)))</f>
        <v>0</v>
      </c>
      <c r="DD42" s="133" t="n">
        <f aca="false">IF(OR(DD$4="",$B42=""),0,SUMIF('DADOS BRUTOS'!$A$3:$A$500,$B42,'DADOS BRUTOS'!AD$3:AD$500)+IF($C42="",0,SUMIF('DADOS BRUTOS'!$A$3:$A$500,$C42,'DADOS BRUTOS'!AD$3:AD$500)))</f>
        <v>0</v>
      </c>
      <c r="DE42" s="133" t="n">
        <f aca="false">IF(OR(DE$4="",$B42=""),0,SUMIF('DADOS BRUTOS'!$A$3:$A$500,$B42,'DADOS BRUTOS'!AE$3:AE$500)+IF($C42="",0,SUMIF('DADOS BRUTOS'!$A$3:$A$500,$C42,'DADOS BRUTOS'!AE$3:AE$500)))</f>
        <v>150000</v>
      </c>
      <c r="DF42" s="133" t="n">
        <f aca="false">IF(OR(DF$4="",$B42=""),0,SUMIF('DADOS BRUTOS'!$A$3:$A$500,$B42,'DADOS BRUTOS'!AF$3:AF$500)+IF($C42="",0,SUMIF('DADOS BRUTOS'!$A$3:$A$500,$C42,'DADOS BRUTOS'!AF$3:AF$500)))</f>
        <v>0</v>
      </c>
      <c r="DG42" s="133" t="n">
        <f aca="false">IF(OR(DG$4="",$B42=""),0,SUMIF('DADOS BRUTOS'!$A$3:$A$500,$B42,'DADOS BRUTOS'!AG$3:AG$500)+IF($C42="",0,SUMIF('DADOS BRUTOS'!$A$3:$A$500,$C42,'DADOS BRUTOS'!AG$3:AG$500)))</f>
        <v>-15000</v>
      </c>
      <c r="DH42" s="133" t="n">
        <f aca="false">IF(OR(DH$4="",$B42=""),0,SUMIF('DADOS BRUTOS'!$A$3:$A$500,$B42,'DADOS BRUTOS'!AH$3:AH$500)+IF($C42="",0,SUMIF('DADOS BRUTOS'!$A$3:$A$500,$C42,'DADOS BRUTOS'!AH$3:AH$500)))</f>
        <v>699265.35</v>
      </c>
      <c r="DI42" s="133" t="n">
        <f aca="false">IF(OR(DI$4="",$B42=""),0,SUMIF('DADOS BRUTOS'!$A$3:$A$500,$B42,'DADOS BRUTOS'!AI$3:AI$500)+IF($C42="",0,SUMIF('DADOS BRUTOS'!$A$3:$A$500,$C42,'DADOS BRUTOS'!AI$3:AI$500)))</f>
        <v>-18060.01</v>
      </c>
      <c r="DJ42" s="133" t="n">
        <f aca="false">IF(OR(DJ$4="",$B42=""),0,SUMIF('DADOS BRUTOS'!$A$3:$A$500,$B42,'DADOS BRUTOS'!AJ$3:AJ$500)+IF($C42="",0,SUMIF('DADOS BRUTOS'!$A$3:$A$500,$C42,'DADOS BRUTOS'!AJ$3:AJ$500)))</f>
        <v>16698.71</v>
      </c>
      <c r="DK42" s="133" t="n">
        <f aca="false">IF(OR(DK$4="",$B42=""),0,SUMIF('DADOS BRUTOS'!$A$3:$A$500,$B42,'DADOS BRUTOS'!AK$3:AK$500)+IF($C42="",0,SUMIF('DADOS BRUTOS'!$A$3:$A$500,$C42,'DADOS BRUTOS'!AK$3:AK$500)))</f>
        <v>64177.87</v>
      </c>
      <c r="DL42" s="133" t="n">
        <f aca="false">IF(OR(DL$4="",$B42=""),0,SUMIF('DADOS BRUTOS'!$A$3:$A$500,$B42,'DADOS BRUTOS'!AL$3:AL$500)+IF($C42="",0,SUMIF('DADOS BRUTOS'!$A$3:$A$500,$C42,'DADOS BRUTOS'!AL$3:AL$500)))</f>
        <v>48427.68</v>
      </c>
      <c r="DM42" s="133" t="n">
        <f aca="false">IF(OR(DM$4="",$B42=""),0,SUMIF('DADOS BRUTOS'!$A$3:$A$500,$B42,'DADOS BRUTOS'!AM$3:AM$500)+IF($C42="",0,SUMIF('DADOS BRUTOS'!$A$3:$A$500,$C42,'DADOS BRUTOS'!AM$3:AM$500)))</f>
        <v>64628.63</v>
      </c>
      <c r="DN42" s="133" t="n">
        <f aca="false">IF(OR(DN$4="",$B42=""),0,SUMIF('DADOS BRUTOS'!$A$3:$A$500,$B42,'DADOS BRUTOS'!AN$3:AN$500)+IF($C42="",0,SUMIF('DADOS BRUTOS'!$A$3:$A$500,$C42,'DADOS BRUTOS'!AN$3:AN$500)))</f>
        <v>48665.26</v>
      </c>
      <c r="DO42" s="133" t="n">
        <f aca="false">IF(OR(DO$4="",$B42=""),0,SUMIF('DADOS BRUTOS'!$A$3:$A$500,$B42,'DADOS BRUTOS'!AO$3:AO$500)+IF($C42="",0,SUMIF('DADOS BRUTOS'!$A$3:$A$500,$C42,'DADOS BRUTOS'!AO$3:AO$500)))</f>
        <v>124955.82</v>
      </c>
      <c r="DP42" s="133" t="n">
        <f aca="false">IF(OR(DP$4="",$B42=""),0,SUMIF('DADOS BRUTOS'!$A$3:$A$500,$B42,'DADOS BRUTOS'!AP$3:AP$500)+IF($C42="",0,SUMIF('DADOS BRUTOS'!$A$3:$A$500,$C42,'DADOS BRUTOS'!AP$3:AP$500)))</f>
        <v>98792.36</v>
      </c>
      <c r="DQ42" s="133" t="n">
        <f aca="false">IF(OR(DQ$4="",$B42=""),0,SUMIF('DADOS BRUTOS'!$A$3:$A$500,$B42,'DADOS BRUTOS'!AQ$3:AQ$500)+IF($C42="",0,SUMIF('DADOS BRUTOS'!$A$3:$A$500,$C42,'DADOS BRUTOS'!AQ$3:AQ$500)))</f>
        <v>169238.97</v>
      </c>
      <c r="DR42" s="133" t="n">
        <f aca="false">IF(OR(DR$4="",$B42=""),0,SUMIF('DADOS BRUTOS'!$A$3:$A$500,$B42,'DADOS BRUTOS'!AR$3:AR$500)+IF($C42="",0,SUMIF('DADOS BRUTOS'!$A$3:$A$500,$C42,'DADOS BRUTOS'!AR$3:AR$500)))</f>
        <v>177088.06</v>
      </c>
      <c r="DS42" s="133" t="n">
        <f aca="false">IF(OR(DS$4="",$B42=""),0,SUMIF('DADOS BRUTOS'!$A$3:$A$500,$B42,'DADOS BRUTOS'!AS$3:AS$500)+IF($C42="",0,SUMIF('DADOS BRUTOS'!$A$3:$A$500,$C42,'DADOS BRUTOS'!AS$3:AS$500)))</f>
        <v>229144.51</v>
      </c>
      <c r="DT42" s="133" t="n">
        <f aca="false">IF(OR(DT$4="",$B42=""),0,SUMIF('DADOS BRUTOS'!$A$3:$A$500,$B42,'DADOS BRUTOS'!AT$3:AT$500)+IF($C42="",0,SUMIF('DADOS BRUTOS'!$A$3:$A$500,$C42,'DADOS BRUTOS'!AT$3:AT$500)))</f>
        <v>224113.89</v>
      </c>
      <c r="DU42" s="133" t="n">
        <f aca="false">IF(OR(DU$4="",$B42=""),0,SUMIF('DADOS BRUTOS'!$A$3:$A$500,$B42,'DADOS BRUTOS'!AU$3:AU$500)+IF($C42="",0,SUMIF('DADOS BRUTOS'!$A$3:$A$500,$C42,'DADOS BRUTOS'!AU$3:AU$500)))</f>
        <v>180583.02</v>
      </c>
      <c r="DV42" s="133" t="n">
        <f aca="false">IF(OR(DV$4="",$B42=""),0,SUMIF('DADOS BRUTOS'!$A$3:$A$500,$B42,'DADOS BRUTOS'!AV$3:AV$500)+IF($C42="",0,SUMIF('DADOS BRUTOS'!$A$3:$A$500,$C42,'DADOS BRUTOS'!AV$3:AV$500)))</f>
        <v>166154.57</v>
      </c>
      <c r="DW42" s="133" t="n">
        <f aca="false">IF(OR(DW$4="",$B42=""),0,SUMIF('DADOS BRUTOS'!$A$3:$A$500,$B42,'DADOS BRUTOS'!AW$3:AW$500)+IF($C42="",0,SUMIF('DADOS BRUTOS'!$A$3:$A$500,$C42,'DADOS BRUTOS'!AW$3:AW$500)))</f>
        <v>142393.78</v>
      </c>
      <c r="DX42" s="133" t="n">
        <f aca="false">IF(OR(DX$4="",$B42=""),0,SUMIF('DADOS BRUTOS'!$A$3:$A$500,$B42,'DADOS BRUTOS'!AX$3:AX$500)+IF($C42="",0,SUMIF('DADOS BRUTOS'!$A$3:$A$500,$C42,'DADOS BRUTOS'!AX$3:AX$500)))</f>
        <v>207371</v>
      </c>
      <c r="DY42" s="133" t="n">
        <f aca="false">IF(OR(DY$4="",$B42=""),0,SUMIF('DADOS BRUTOS'!$A$3:$A$500,$B42,'DADOS BRUTOS'!AY$3:AY$500)+IF($C42="",0,SUMIF('DADOS BRUTOS'!$A$3:$A$500,$C42,'DADOS BRUTOS'!AY$3:AY$500)))</f>
        <v>177489.01</v>
      </c>
      <c r="DZ42" s="133" t="n">
        <f aca="false">IF(OR(DZ$4="",$B42=""),0,SUMIF('DADOS BRUTOS'!$A$3:$A$500,$B42,'DADOS BRUTOS'!AZ$3:AZ$500)+IF($C42="",0,SUMIF('DADOS BRUTOS'!$A$3:$A$500,$C42,'DADOS BRUTOS'!AZ$3:AZ$500)))</f>
        <v>243636.76</v>
      </c>
      <c r="EA42" s="133" t="n">
        <f aca="false">IF(OR(EA$4="",$B42=""),0,SUMIF('DADOS BRUTOS'!$A$3:$A$500,$B42,'DADOS BRUTOS'!BA$3:BA$500)+IF($C42="",0,SUMIF('DADOS BRUTOS'!$A$3:$A$500,$C42,'DADOS BRUTOS'!BA$3:BA$500)))</f>
        <v>221365.46</v>
      </c>
      <c r="EB42" s="133" t="n">
        <f aca="false">IF(OR(EB$4="",$B42=""),0,SUMIF('DADOS BRUTOS'!$A$3:$A$500,$B42,'DADOS BRUTOS'!BB$3:BB$500)+IF($C42="",0,SUMIF('DADOS BRUTOS'!$A$3:$A$500,$C42,'DADOS BRUTOS'!BB$3:BB$500)))</f>
        <v>331504.35</v>
      </c>
      <c r="EC42" s="133" t="n">
        <f aca="false">IF(OR(EC$4="",$B42=""),0,SUMIF('DADOS BRUTOS'!$A$3:$A$500,$B42,'DADOS BRUTOS'!BC$3:BC$500)+IF($C42="",0,SUMIF('DADOS BRUTOS'!$A$3:$A$500,$C42,'DADOS BRUTOS'!BC$3:BC$500)))</f>
        <v>256188.78</v>
      </c>
      <c r="ED42" s="133" t="n">
        <f aca="false">IF(OR(ED$4="",$B42=""),0,SUMIF('DADOS BRUTOS'!$A$3:$A$500,$B42,'DADOS BRUTOS'!BD$3:BD$500)+IF($C42="",0,SUMIF('DADOS BRUTOS'!$A$3:$A$500,$C42,'DADOS BRUTOS'!BD$3:BD$500)))</f>
        <v>0</v>
      </c>
      <c r="EE42" s="133" t="n">
        <f aca="false">IF(OR(EE$4="",$B42=""),0,SUMIF('DADOS BRUTOS'!$A$3:$A$500,$B42,'DADOS BRUTOS'!BE$3:BE$500)+IF($C42="",0,SUMIF('DADOS BRUTOS'!$A$3:$A$500,$C42,'DADOS BRUTOS'!BE$3:BE$500)))</f>
        <v>0</v>
      </c>
      <c r="EF42" s="133" t="n">
        <f aca="false">IF(OR(EF$4="",$B42=""),0,SUMIF('DADOS BRUTOS'!$A$3:$A$500,$B42,'DADOS BRUTOS'!BF$3:BF$500)+IF($C42="",0,SUMIF('DADOS BRUTOS'!$A$3:$A$500,$C42,'DADOS BRUTOS'!BF$3:BF$500)))</f>
        <v>0</v>
      </c>
      <c r="EG42" s="133" t="n">
        <f aca="false">IF(OR(EG$4="",$B42=""),0,SUMIF('DADOS BRUTOS'!$A$3:$A$500,$B42,'DADOS BRUTOS'!BG$3:BG$500)+IF($C42="",0,SUMIF('DADOS BRUTOS'!$A$3:$A$500,$C42,'DADOS BRUTOS'!BG$3:BG$500)))</f>
        <v>0</v>
      </c>
      <c r="EH42" s="133" t="n">
        <f aca="false">IF(OR(EH$4="",$B42=""),0,SUMIF('DADOS BRUTOS'!$A$3:$A$500,$B42,'DADOS BRUTOS'!BH$3:BH$500)+IF($C42="",0,SUMIF('DADOS BRUTOS'!$A$3:$A$500,$C42,'DADOS BRUTOS'!BH$3:BH$500)))</f>
        <v>0</v>
      </c>
      <c r="EI42" s="133" t="n">
        <f aca="false">IF(OR(EI$4="",$B42=""),0,SUMIF('DADOS BRUTOS'!$A$3:$A$500,$B42,'DADOS BRUTOS'!BI$3:BI$500)+IF($C42="",0,SUMIF('DADOS BRUTOS'!$A$3:$A$500,$C42,'DADOS BRUTOS'!BI$3:BI$500)))</f>
        <v>0</v>
      </c>
      <c r="EJ42" s="133" t="n">
        <f aca="false">IF(OR(EJ$4="",$B42=""),0,SUMIF('DADOS BRUTOS'!$A$3:$A$500,$B42,'DADOS BRUTOS'!BJ$3:BJ$500)+IF($C42="",0,SUMIF('DADOS BRUTOS'!$A$3:$A$500,$C42,'DADOS BRUTOS'!BJ$3:BJ$500)))</f>
        <v>0</v>
      </c>
      <c r="EK42" s="133" t="n">
        <f aca="false">IF(OR(EK$4="",$B42=""),0,SUMIF('DADOS BRUTOS'!$A$3:$A$500,$B42,'DADOS BRUTOS'!BK$3:BK$500)+IF($C42="",0,SUMIF('DADOS BRUTOS'!$A$3:$A$500,$C42,'DADOS BRUTOS'!BK$3:BK$500)))</f>
        <v>0</v>
      </c>
      <c r="EL42" s="133" t="n">
        <f aca="false">IF(OR(EL$4="",$B42=""),0,SUMIF('DADOS BRUTOS'!$A$3:$A$500,$B42,'DADOS BRUTOS'!BL$3:BL$500)+IF($C42="",0,SUMIF('DADOS BRUTOS'!$A$3:$A$500,$C42,'DADOS BRUTOS'!BL$3:BL$500)))</f>
        <v>0</v>
      </c>
      <c r="EM42" s="133" t="n">
        <f aca="false">IF(OR(EM$4="",$B42=""),0,SUMIF('DADOS BRUTOS'!$A$3:$A$500,$B42,'DADOS BRUTOS'!BM$3:BM$500)+IF($C42="",0,SUMIF('DADOS BRUTOS'!$A$3:$A$500,$C42,'DADOS BRUTOS'!BM$3:BM$500)))</f>
        <v>0</v>
      </c>
      <c r="EN42" s="133" t="n">
        <f aca="false">IF(OR(EN$4="",$B42=""),0,SUMIF('DADOS BRUTOS'!$A$3:$A$500,$B42,'DADOS BRUTOS'!BN$3:BN$500)+IF($C42="",0,SUMIF('DADOS BRUTOS'!$A$3:$A$500,$C42,'DADOS BRUTOS'!BN$3:BN$500)))</f>
        <v>0</v>
      </c>
      <c r="EO42" s="133" t="n">
        <f aca="false">IF(OR(EO$4="",$B42=""),0,SUMIF('DADOS BRUTOS'!$A$3:$A$500,$B42,'DADOS BRUTOS'!BO$3:BO$500)+IF($C42="",0,SUMIF('DADOS BRUTOS'!$A$3:$A$500,$C42,'DADOS BRUTOS'!BO$3:BO$500)))</f>
        <v>0</v>
      </c>
      <c r="EP42" s="133" t="n">
        <f aca="false">IF(OR(EP$4="",$B42=""),0,SUMIF('DADOS BRUTOS'!$A$3:$A$500,$B42,'DADOS BRUTOS'!BP$3:BP$500)+IF($C42="",0,SUMIF('DADOS BRUTOS'!$A$3:$A$500,$C42,'DADOS BRUTOS'!BP$3:BP$500)))</f>
        <v>0</v>
      </c>
      <c r="EQ42" s="133" t="n">
        <f aca="false">IF(OR(EQ$4="",$B42=""),0,SUMIF('DADOS BRUTOS'!$A$3:$A$500,$B42,'DADOS BRUTOS'!BQ$3:BQ$500)+IF($C42="",0,SUMIF('DADOS BRUTOS'!$A$3:$A$500,$C42,'DADOS BRUTOS'!BQ$3:BQ$500)))</f>
        <v>0</v>
      </c>
      <c r="ER42" s="133" t="n">
        <f aca="false">IF(OR(ER$4="",$B42=""),0,SUMIF('DADOS BRUTOS'!$A$3:$A$500,$B42,'DADOS BRUTOS'!BR$3:BR$500)+IF($C42="",0,SUMIF('DADOS BRUTOS'!$A$3:$A$500,$C42,'DADOS BRUTOS'!BR$3:BR$500)))</f>
        <v>0</v>
      </c>
      <c r="ES42" s="133" t="n">
        <f aca="false">IF(OR(ES$4="",$B42=""),0,SUMIF('DADOS BRUTOS'!$A$3:$A$500,$B42,'DADOS BRUTOS'!BS$3:BS$500)+IF($C42="",0,SUMIF('DADOS BRUTOS'!$A$3:$A$500,$C42,'DADOS BRUTOS'!BS$3:BS$500)))</f>
        <v>0</v>
      </c>
      <c r="ET42" s="133" t="n">
        <f aca="false">IF(OR(ET$4="",$B42=""),0,SUMIF('DADOS BRUTOS'!$A$3:$A$500,$B42,'DADOS BRUTOS'!BT$3:BT$500)+IF($C42="",0,SUMIF('DADOS BRUTOS'!$A$3:$A$500,$C42,'DADOS BRUTOS'!BT$3:BT$500)))</f>
        <v>0</v>
      </c>
      <c r="EU42" s="133" t="n">
        <f aca="false">IF(OR(EU$4="",$B42=""),0,SUMIF('DADOS BRUTOS'!$A$3:$A$500,$B42,'DADOS BRUTOS'!BU$3:BU$500)+IF($C42="",0,SUMIF('DADOS BRUTOS'!$A$3:$A$500,$C42,'DADOS BRUTOS'!BU$3:BU$500)))</f>
        <v>0</v>
      </c>
      <c r="EV42" s="133" t="n">
        <f aca="false">IF(OR(EV$4="",$B42=""),0,SUMIF('DADOS BRUTOS'!$A$3:$A$500,$B42,'DADOS BRUTOS'!BV$3:BV$500)+IF($C42="",0,SUMIF('DADOS BRUTOS'!$A$3:$A$500,$C42,'DADOS BRUTOS'!BV$3:BV$500)))</f>
        <v>0</v>
      </c>
      <c r="EW42" s="133" t="n">
        <f aca="false">IF(OR(EW$4="",$B42=""),0,SUMIF('DADOS BRUTOS'!$A$3:$A$500,$B42,'DADOS BRUTOS'!BW$3:BW$500)+IF($C42="",0,SUMIF('DADOS BRUTOS'!$A$3:$A$500,$C42,'DADOS BRUTOS'!BW$3:BW$500)))</f>
        <v>0</v>
      </c>
      <c r="EX42" s="133" t="n">
        <f aca="false">IF(OR(EX$4="",$B42=""),0,SUMIF('DADOS BRUTOS'!$A$3:$A$500,$B42,'DADOS BRUTOS'!BX$3:BX$500)+IF($C42="",0,SUMIF('DADOS BRUTOS'!$A$3:$A$500,$C42,'DADOS BRUTOS'!BX$3:BX$500)))</f>
        <v>0</v>
      </c>
      <c r="EY42" s="133" t="n">
        <f aca="false">IF(OR(EY$4="",$B42=""),0,SUMIF('DADOS BRUTOS'!$A$3:$A$500,$B42,'DADOS BRUTOS'!BY$3:BY$500)+IF($C42="",0,SUMIF('DADOS BRUTOS'!$A$3:$A$500,$C42,'DADOS BRUTOS'!BY$3:BY$500)))</f>
        <v>0</v>
      </c>
      <c r="EZ42" s="133" t="n">
        <f aca="false">IF(OR(EZ$4="",$B42=""),0,SUMIF('DADOS BRUTOS'!$A$3:$A$500,$B42,'DADOS BRUTOS'!BZ$3:BZ$500)+IF($C42="",0,SUMIF('DADOS BRUTOS'!$A$3:$A$500,$C42,'DADOS BRUTOS'!BZ$3:BZ$500)))</f>
        <v>0</v>
      </c>
      <c r="FA42" s="133" t="n">
        <f aca="false">IF(OR(FA$4="",$B42=""),0,SUMIF('DADOS BRUTOS'!$A$3:$A$500,$B42,'DADOS BRUTOS'!CA$3:CA$500)+IF($C42="",0,SUMIF('DADOS BRUTOS'!$A$3:$A$500,$C42,'DADOS BRUTOS'!CA$3:CA$500)))</f>
        <v>0</v>
      </c>
      <c r="FB42" s="133" t="n">
        <f aca="false">IF(OR(FB$4="",$B42=""),0,SUMIF('DADOS BRUTOS'!$A$3:$A$500,$B42,'DADOS BRUTOS'!CB$3:CB$500)+IF($C42="",0,SUMIF('DADOS BRUTOS'!$A$3:$A$500,$C42,'DADOS BRUTOS'!CB$3:CB$500)))</f>
        <v>0</v>
      </c>
      <c r="FC42" s="133" t="n">
        <f aca="false">IF(OR(FC$4="",$B42=""),0,SUMIF('DADOS BRUTOS'!$A$3:$A$500,$B42,'DADOS BRUTOS'!CC$3:CC$500)+IF($C42="",0,SUMIF('DADOS BRUTOS'!$A$3:$A$500,$C42,'DADOS BRUTOS'!CC$3:CC$500)))</f>
        <v>0</v>
      </c>
      <c r="FD42" s="133" t="n">
        <f aca="false">IF(OR(FD$4="",$B42=""),0,SUMIF('DADOS BRUTOS'!$A$3:$A$500,$B42,'DADOS BRUTOS'!CD$3:CD$500)+IF($C42="",0,SUMIF('DADOS BRUTOS'!$A$3:$A$500,$C42,'DADOS BRUTOS'!CD$3:CD$500)))</f>
        <v>0</v>
      </c>
      <c r="FE42" s="133" t="n">
        <f aca="false">IF(OR(FE$4="",$B42=""),0,SUMIF('DADOS BRUTOS'!$A$3:$A$500,$B42,'DADOS BRUTOS'!CE$3:CE$500)+IF($C42="",0,SUMIF('DADOS BRUTOS'!$A$3:$A$500,$C42,'DADOS BRUTOS'!CE$3:CE$500)))</f>
        <v>0</v>
      </c>
      <c r="FF42" s="133" t="n">
        <f aca="false">IF(OR(FF$4="",$B42=""),0,SUMIF('DADOS BRUTOS'!$A$3:$A$500,$B42,'DADOS BRUTOS'!CF$3:CF$500)+IF($C42="",0,SUMIF('DADOS BRUTOS'!$A$3:$A$500,$C42,'DADOS BRUTOS'!CF$3:CF$500)))</f>
        <v>0</v>
      </c>
      <c r="FG42" s="133" t="n">
        <f aca="false">IF(OR(FG$4="",$B42=""),0,SUMIF('DADOS BRUTOS'!$A$3:$A$500,$B42,'DADOS BRUTOS'!CG$3:CG$500)+IF($C42="",0,SUMIF('DADOS BRUTOS'!$A$3:$A$500,$C42,'DADOS BRUTOS'!CG$3:CG$500)))</f>
        <v>0</v>
      </c>
      <c r="FH42" s="133" t="n">
        <f aca="false">IF(OR(FH$4="",$B42=""),0,SUMIF('DADOS BRUTOS'!$A$3:$A$500,$B42,'DADOS BRUTOS'!CH$3:CH$500)+IF($C42="",0,SUMIF('DADOS BRUTOS'!$A$3:$A$500,$C42,'DADOS BRUTOS'!CH$3:CH$500)))</f>
        <v>0</v>
      </c>
      <c r="FI42" s="133" t="n">
        <f aca="false">IF(OR(FI$4="",$B42=""),0,SUMIF('DADOS BRUTOS'!$A$3:$A$500,$B42,'DADOS BRUTOS'!CI$3:CI$500)+IF($C42="",0,SUMIF('DADOS BRUTOS'!$A$3:$A$500,$C42,'DADOS BRUTOS'!CI$3:CI$500)))</f>
        <v>0</v>
      </c>
      <c r="FJ42" s="133" t="n">
        <f aca="false">IF(OR(FJ$4="",$B42=""),0,SUMIF('DADOS BRUTOS'!$A$3:$A$500,$B42,'DADOS BRUTOS'!CJ$3:CJ$500)+IF($C42="",0,SUMIF('DADOS BRUTOS'!$A$3:$A$500,$C42,'DADOS BRUTOS'!CJ$3:CJ$500)))</f>
        <v>0</v>
      </c>
      <c r="FK42" s="133" t="n">
        <f aca="false">IF(OR(FK$4="",$B42=""),0,SUMIF('DADOS BRUTOS'!$A$3:$A$500,$B42,'DADOS BRUTOS'!CK$3:CK$500)+IF($C42="",0,SUMIF('DADOS BRUTOS'!$A$3:$A$500,$C42,'DADOS BRUTOS'!CK$3:CK$500)))</f>
        <v>0</v>
      </c>
      <c r="FL42" s="133" t="n">
        <f aca="false">IF(OR(FL$4="",$B42=""),0,SUMIF('DADOS BRUTOS'!$A$3:$A$500,$B42,'DADOS BRUTOS'!CL$3:CL$500)+IF($C42="",0,SUMIF('DADOS BRUTOS'!$A$3:$A$500,$C42,'DADOS BRUTOS'!CL$3:CL$500)))</f>
        <v>0</v>
      </c>
      <c r="FM42" s="133" t="n">
        <f aca="false">IF(OR(FM$4="",$B42=""),0,SUMIF('DADOS BRUTOS'!$A$3:$A$500,$B42,'DADOS BRUTOS'!CM$3:CM$500)+IF($C42="",0,SUMIF('DADOS BRUTOS'!$A$3:$A$500,$C42,'DADOS BRUTOS'!CM$3:CM$500)))</f>
        <v>0</v>
      </c>
      <c r="FN42" s="133" t="n">
        <f aca="false">IF(OR(FN$4="",$B42=""),0,SUMIF('DADOS BRUTOS'!$A$3:$A$500,$B42,'DADOS BRUTOS'!CN$3:CN$500)+IF($C42="",0,SUMIF('DADOS BRUTOS'!$A$3:$A$500,$C42,'DADOS BRUTOS'!CN$3:CN$500)))</f>
        <v>0</v>
      </c>
      <c r="FO42" s="133" t="n">
        <f aca="false">IF(OR(FO$4="",$B42=""),0,SUMIF('DADOS BRUTOS'!$A$3:$A$500,$B42,'DADOS BRUTOS'!CO$3:CO$500)+IF($C42="",0,SUMIF('DADOS BRUTOS'!$A$3:$A$500,$C42,'DADOS BRUTOS'!CO$3:CO$500)))</f>
        <v>0</v>
      </c>
      <c r="FP42" s="133" t="n">
        <f aca="false">IF(OR(FP$4="",$B42=""),0,SUMIF('DADOS BRUTOS'!$A$3:$A$500,$B42,'DADOS BRUTOS'!CP$3:CP$500)+IF($C42="",0,SUMIF('DADOS BRUTOS'!$A$3:$A$500,$C42,'DADOS BRUTOS'!CP$3:CP$500)))</f>
        <v>0</v>
      </c>
      <c r="FQ42" s="133" t="n">
        <f aca="false">IF(OR(FQ$4="",$B42=""),0,SUMIF('DADOS BRUTOS'!$A$3:$A$500,$B42,'DADOS BRUTOS'!CQ$3:CQ$500)+IF($C42="",0,SUMIF('DADOS BRUTOS'!$A$3:$A$500,$C42,'DADOS BRUTOS'!CQ$3:CQ$500)))</f>
        <v>0</v>
      </c>
      <c r="FR42" s="133" t="n">
        <f aca="false">IF(OR(FR$4="",$B42=""),0,SUMIF('DADOS BRUTOS'!$A$3:$A$500,$B42,'DADOS BRUTOS'!CR$3:CR$500)+IF($C42="",0,SUMIF('DADOS BRUTOS'!$A$3:$A$500,$C42,'DADOS BRUTOS'!CR$3:CR$500)))</f>
        <v>0</v>
      </c>
      <c r="FS42" s="133" t="n">
        <f aca="false">IF(OR(FS$4="",$B42=""),0,SUMIF('DADOS BRUTOS'!$A$3:$A$500,$B42,'DADOS BRUTOS'!CS$3:CS$500)+IF($C42="",0,SUMIF('DADOS BRUTOS'!$A$3:$A$500,$C42,'DADOS BRUTOS'!CS$3:CS$500)))</f>
        <v>0</v>
      </c>
      <c r="FT42" s="133" t="n">
        <f aca="false">IF(OR(FT$4="",$B42=""),0,SUMIF('DADOS BRUTOS'!$A$3:$A$500,$B42,'DADOS BRUTOS'!CT$3:CT$500)+IF($C42="",0,SUMIF('DADOS BRUTOS'!$A$3:$A$500,$C42,'DADOS BRUTOS'!CT$3:CT$500)))</f>
        <v>0</v>
      </c>
      <c r="FU42" s="133" t="n">
        <f aca="false">IF(OR(FU$4="",$B42=""),0,SUMIF('DADOS BRUTOS'!$A$3:$A$500,$B42,'DADOS BRUTOS'!CU$3:CU$500)+IF($C42="",0,SUMIF('DADOS BRUTOS'!$A$3:$A$500,$C42,'DADOS BRUTOS'!CU$3:CU$500)))</f>
        <v>0</v>
      </c>
      <c r="FV42" s="133" t="n">
        <f aca="false">IF(OR(FV$4="",$B42=""),0,SUMIF('DADOS BRUTOS'!$A$3:$A$500,$B42,'DADOS BRUTOS'!CV$3:CV$500)+IF($C42="",0,SUMIF('DADOS BRUTOS'!$A$3:$A$500,$C42,'DADOS BRUTOS'!CV$3:CV$500)))</f>
        <v>0</v>
      </c>
      <c r="FW42" s="133" t="n">
        <f aca="false">IF(OR(FW$4="",$B42=""),0,SUMIF('DADOS BRUTOS'!$A$3:$A$500,$B42,'DADOS BRUTOS'!CW$3:CW$500)+IF($C42="",0,SUMIF('DADOS BRUTOS'!$A$3:$A$500,$C42,'DADOS BRUTOS'!CW$3:CW$500)))</f>
        <v>0</v>
      </c>
      <c r="FX42" s="133" t="n">
        <f aca="false">IF(OR(FX$4="",$B42=""),0,SUMIF('DADOS BRUTOS'!$A$3:$A$500,$B42,'DADOS BRUTOS'!CX$3:CX$500)+IF($C42="",0,SUMIF('DADOS BRUTOS'!$A$3:$A$500,$C42,'DADOS BRUTOS'!CX$3:CX$500)))</f>
        <v>0</v>
      </c>
      <c r="FY42" s="133" t="n">
        <f aca="false">IF(OR(FY$4="",$B42=""),0,SUMIF('DADOS BRUTOS'!$A$3:$A$500,$B42,'DADOS BRUTOS'!CY$3:CY$500)+IF($C42="",0,SUMIF('DADOS BRUTOS'!$A$3:$A$500,$C42,'DADOS BRUTOS'!CY$3:CY$500)))</f>
        <v>0</v>
      </c>
      <c r="FZ42" s="133" t="n">
        <f aca="false">IF(OR(FZ$4="",$B42=""),0,SUMIF('DADOS BRUTOS'!$A$3:$A$500,$B42,'DADOS BRUTOS'!CZ$3:CZ$500)+IF($C42="",0,SUMIF('DADOS BRUTOS'!$A$3:$A$500,$C42,'DADOS BRUTOS'!CZ$3:CZ$500)))</f>
        <v>0</v>
      </c>
      <c r="GA42" s="133" t="n">
        <f aca="false">IF(OR(GA$4="",$B42=""),0,SUMIF('DADOS BRUTOS'!$A$3:$A$500,$B42,'DADOS BRUTOS'!DA$3:DA$500)+IF($C42="",0,SUMIF('DADOS BRUTOS'!$A$3:$A$500,$C42,'DADOS BRUTOS'!DA$3:DA$500)))</f>
        <v>0</v>
      </c>
      <c r="GB42" s="133" t="n">
        <f aca="false">IF(OR(GB$4="",$B42=""),0,SUMIF('DADOS BRUTOS'!$A$3:$A$500,$B42,'DADOS BRUTOS'!DB$3:DB$500)+IF($C42="",0,SUMIF('DADOS BRUTOS'!$A$3:$A$500,$C42,'DADOS BRUTOS'!DB$3:DB$500)))</f>
        <v>0</v>
      </c>
      <c r="GC42" s="133" t="n">
        <f aca="false">IF(OR(GC$4="",$B42=""),0,SUMIF('DADOS BRUTOS'!$A$3:$A$500,$B42,'DADOS BRUTOS'!DC$3:DC$500)+IF($C42="",0,SUMIF('DADOS BRUTOS'!$A$3:$A$500,$C42,'DADOS BRUTOS'!DC$3:DC$500)))</f>
        <v>0</v>
      </c>
      <c r="GD42" s="133" t="n">
        <f aca="false">IF(OR(GD$4="",$B42=""),0,SUMIF('DADOS BRUTOS'!$A$3:$A$500,$B42,'DADOS BRUTOS'!DD$3:DD$500)+IF($C42="",0,SUMIF('DADOS BRUTOS'!$A$3:$A$500,$C42,'DADOS BRUTOS'!DD$3:DD$500)))</f>
        <v>0</v>
      </c>
      <c r="GE42" s="133" t="n">
        <f aca="false">IF(OR(GE$4="",$B42=""),0,SUMIF('DADOS BRUTOS'!$A$3:$A$500,$B42,'DADOS BRUTOS'!DE$3:DE$500)+IF($C42="",0,SUMIF('DADOS BRUTOS'!$A$3:$A$500,$C42,'DADOS BRUTOS'!DE$3:DE$500)))</f>
        <v>0</v>
      </c>
      <c r="GF42" s="133" t="n">
        <f aca="false">IF(OR(GF$4="",$B42=""),0,SUMIF('DADOS BRUTOS'!$A$3:$A$500,$B42,'DADOS BRUTOS'!DF$3:DF$500)+IF($C42="",0,SUMIF('DADOS BRUTOS'!$A$3:$A$500,$C42,'DADOS BRUTOS'!DF$3:DF$500)))</f>
        <v>0</v>
      </c>
      <c r="GG42" s="133" t="n">
        <f aca="false">IF(OR(GG$4="",$B42=""),0,SUMIF('DADOS BRUTOS'!$A$3:$A$500,$B42,'DADOS BRUTOS'!DG$3:DG$500)+IF($C42="",0,SUMIF('DADOS BRUTOS'!$A$3:$A$500,$C42,'DADOS BRUTOS'!DG$3:DG$500)))</f>
        <v>0</v>
      </c>
      <c r="GH42" s="133" t="n">
        <f aca="false">IF(OR(GH$4="",$B42=""),0,SUMIF('DADOS BRUTOS'!$A$3:$A$500,$B42,'DADOS BRUTOS'!DH$3:DH$500)+IF($C42="",0,SUMIF('DADOS BRUTOS'!$A$3:$A$500,$C42,'DADOS BRUTOS'!DH$3:DH$500)))</f>
        <v>0</v>
      </c>
      <c r="GI42" s="133" t="n">
        <f aca="false">IF(OR(GI$4="",$B42=""),0,SUMIF('DADOS BRUTOS'!$A$3:$A$500,$B42,'DADOS BRUTOS'!DI$3:DI$500)+IF($C42="",0,SUMIF('DADOS BRUTOS'!$A$3:$A$500,$C42,'DADOS BRUTOS'!DI$3:DI$500)))</f>
        <v>0</v>
      </c>
      <c r="GJ42" s="133" t="n">
        <f aca="false">IF(OR(GJ$4="",$B42=""),0,SUMIF('DADOS BRUTOS'!$A$3:$A$500,$B42,'DADOS BRUTOS'!DJ$3:DJ$500)+IF($C42="",0,SUMIF('DADOS BRUTOS'!$A$3:$A$500,$C42,'DADOS BRUTOS'!DJ$3:DJ$500)))</f>
        <v>0</v>
      </c>
      <c r="GK42" s="133" t="n">
        <f aca="false">IF(OR(GK$4="",$B42=""),0,SUMIF('DADOS BRUTOS'!$A$3:$A$500,$B42,'DADOS BRUTOS'!DK$3:DK$500)+IF($C42="",0,SUMIF('DADOS BRUTOS'!$A$3:$A$500,$C42,'DADOS BRUTOS'!DK$3:DK$500)))</f>
        <v>0</v>
      </c>
      <c r="GL42" s="133" t="n">
        <f aca="false">IF(OR(GL$4="",$B42=""),0,SUMIF('DADOS BRUTOS'!$A$3:$A$500,$B42,'DADOS BRUTOS'!DL$3:DL$500)+IF($C42="",0,SUMIF('DADOS BRUTOS'!$A$3:$A$500,$C42,'DADOS BRUTOS'!DL$3:DL$500)))</f>
        <v>0</v>
      </c>
      <c r="GM42" s="133" t="n">
        <f aca="false">IF(OR(GM$4="",$B42=""),0,SUMIF('DADOS BRUTOS'!$A$3:$A$500,$B42,'DADOS BRUTOS'!DM$3:DM$500)+IF($C42="",0,SUMIF('DADOS BRUTOS'!$A$3:$A$500,$C42,'DADOS BRUTOS'!DM$3:DM$500)))</f>
        <v>0</v>
      </c>
      <c r="GN42" s="133" t="n">
        <f aca="false">IF(OR(GN$4="",$B42=""),0,SUMIF('DADOS BRUTOS'!$A$3:$A$500,$B42,'DADOS BRUTOS'!DN$3:DN$500)+IF($C42="",0,SUMIF('DADOS BRUTOS'!$A$3:$A$500,$C42,'DADOS BRUTOS'!DN$3:DN$500)))</f>
        <v>0</v>
      </c>
      <c r="GO42" s="133" t="n">
        <f aca="false">IF(OR(GO$4="",$B42=""),0,SUMIF('DADOS BRUTOS'!$A$3:$A$500,$B42,'DADOS BRUTOS'!DO$3:DO$500)+IF($C42="",0,SUMIF('DADOS BRUTOS'!$A$3:$A$500,$C42,'DADOS BRUTOS'!DO$3:DO$500)))</f>
        <v>0</v>
      </c>
      <c r="GP42" s="133" t="n">
        <f aca="false">IF(OR(GP$4="",$B42=""),0,SUMIF('DADOS BRUTOS'!$A$3:$A$500,$B42,'DADOS BRUTOS'!DP$3:DP$500)+IF($C42="",0,SUMIF('DADOS BRUTOS'!$A$3:$A$500,$C42,'DADOS BRUTOS'!DP$3:DP$500)))</f>
        <v>0</v>
      </c>
      <c r="GQ42" s="133" t="n">
        <f aca="false">IF(OR(GQ$4="",$B42=""),0,SUMIF('DADOS BRUTOS'!$A$3:$A$500,$B42,'DADOS BRUTOS'!DQ$3:DQ$500)+IF($C42="",0,SUMIF('DADOS BRUTOS'!$A$3:$A$500,$C42,'DADOS BRUTOS'!DQ$3:DQ$500)))</f>
        <v>0</v>
      </c>
      <c r="GR42" s="133" t="n">
        <f aca="false">IF(OR(GR$4="",$B42=""),0,SUMIF('DADOS BRUTOS'!$A$3:$A$500,$B42,'DADOS BRUTOS'!DR$3:DR$500)+IF($C42="",0,SUMIF('DADOS BRUTOS'!$A$3:$A$500,$C42,'DADOS BRUTOS'!DR$3:DR$500)))</f>
        <v>0</v>
      </c>
      <c r="GS42" s="133" t="n">
        <f aca="false">IF(OR(GS$4="",$B42=""),0,SUMIF('DADOS BRUTOS'!$A$3:$A$500,$B42,'DADOS BRUTOS'!DS$3:DS$500)+IF($C42="",0,SUMIF('DADOS BRUTOS'!$A$3:$A$500,$C42,'DADOS BRUTOS'!DS$3:DS$500)))</f>
        <v>0</v>
      </c>
      <c r="GT42" s="133" t="n">
        <f aca="false">IF(OR(GT$4="",$B42=""),0,SUMIF('DADOS BRUTOS'!$A$3:$A$500,$B42,'DADOS BRUTOS'!DT$3:DT$500)+IF($C42="",0,SUMIF('DADOS BRUTOS'!$A$3:$A$500,$C42,'DADOS BRUTOS'!DT$3:DT$500)))</f>
        <v>0</v>
      </c>
      <c r="GU42" s="133" t="n">
        <f aca="false">IF(OR(GU$4="",$B42=""),0,SUMIF('DADOS BRUTOS'!$A$3:$A$500,$B42,'DADOS BRUTOS'!DU$3:DU$500)+IF($C42="",0,SUMIF('DADOS BRUTOS'!$A$3:$A$500,$C42,'DADOS BRUTOS'!DU$3:DU$500)))</f>
        <v>0</v>
      </c>
      <c r="GV42" s="133" t="n">
        <f aca="false">IF(OR(GV$4="",$B42=""),0,SUMIF('DADOS BRUTOS'!$A$3:$A$500,$B42,'DADOS BRUTOS'!DV$3:DV$500)+IF($C42="",0,SUMIF('DADOS BRUTOS'!$A$3:$A$500,$C42,'DADOS BRUTOS'!DV$3:DV$500)))</f>
        <v>0</v>
      </c>
      <c r="GW42" s="133" t="n">
        <f aca="false">IF(OR(GW$4="",$B42=""),0,SUMIF('DADOS BRUTOS'!$A$3:$A$500,$B42,'DADOS BRUTOS'!DW$3:DW$500)+IF($C42="",0,SUMIF('DADOS BRUTOS'!$A$3:$A$500,$C42,'DADOS BRUTOS'!DW$3:DW$500)))</f>
        <v>0</v>
      </c>
      <c r="GX42" s="133" t="n">
        <f aca="false">IF(OR(GX$4="",$B42=""),0,SUMIF('DADOS BRUTOS'!$A$3:$A$500,$B42,'DADOS BRUTOS'!DX$3:DX$500)+IF($C42="",0,SUMIF('DADOS BRUTOS'!$A$3:$A$500,$C42,'DADOS BRUTOS'!DX$3:DX$500)))</f>
        <v>0</v>
      </c>
      <c r="GY42" s="133" t="n">
        <f aca="false">IF(OR(GY$4="",$B42=""),0,SUMIF('DADOS BRUTOS'!$A$3:$A$500,$B42,'DADOS BRUTOS'!DY$3:DY$500)+IF($C42="",0,SUMIF('DADOS BRUTOS'!$A$3:$A$500,$C42,'DADOS BRUTOS'!DY$3:DY$500)))</f>
        <v>0</v>
      </c>
      <c r="GZ42" s="133" t="n">
        <f aca="false">IF(OR(GZ$4="",$B42=""),0,SUMIF('DADOS BRUTOS'!$A$3:$A$500,$B42,'DADOS BRUTOS'!DZ$3:DZ$500)+IF($C42="",0,SUMIF('DADOS BRUTOS'!$A$3:$A$500,$C42,'DADOS BRUTOS'!DZ$3:DZ$500)))</f>
        <v>0</v>
      </c>
      <c r="HA42" s="133" t="n">
        <f aca="false">IF(OR(HA$4="",$B42=""),0,SUMIF('DADOS BRUTOS'!$A$3:$A$500,$B42,'DADOS BRUTOS'!EA$3:EA$500)+IF($C42="",0,SUMIF('DADOS BRUTOS'!$A$3:$A$500,$C42,'DADOS BRUTOS'!EA$3:EA$500)))</f>
        <v>0</v>
      </c>
      <c r="HB42" s="133" t="n">
        <f aca="false">IF(OR(HB$4="",$B42=""),0,SUMIF('DADOS BRUTOS'!$A$3:$A$500,$B42,'DADOS BRUTOS'!EB$3:EB$500)+IF($C42="",0,SUMIF('DADOS BRUTOS'!$A$3:$A$500,$C42,'DADOS BRUTOS'!EB$3:EB$500)))</f>
        <v>0</v>
      </c>
      <c r="HC42" s="133" t="n">
        <f aca="false">IF(OR(HC$4="",$B42=""),0,SUMIF('DADOS BRUTOS'!$A$3:$A$500,$B42,'DADOS BRUTOS'!EC$3:EC$500)+IF($C42="",0,SUMIF('DADOS BRUTOS'!$A$3:$A$500,$C42,'DADOS BRUTOS'!EC$3:EC$500)))</f>
        <v>0</v>
      </c>
      <c r="HD42" s="133" t="n">
        <f aca="false">IF(OR(HD$4="",$B42=""),0,SUMIF('DADOS BRUTOS'!$A$3:$A$500,$B42,'DADOS BRUTOS'!ED$3:ED$500)+IF($C42="",0,SUMIF('DADOS BRUTOS'!$A$3:$A$500,$C42,'DADOS BRUTOS'!ED$3:ED$500)))</f>
        <v>0</v>
      </c>
      <c r="HE42" s="133" t="n">
        <f aca="false">IF(OR(HE$4="",$B42=""),0,SUMIF('DADOS BRUTOS'!$A$3:$A$500,$B42,'DADOS BRUTOS'!EE$3:EE$500)+IF($C42="",0,SUMIF('DADOS BRUTOS'!$A$3:$A$500,$C42,'DADOS BRUTOS'!EE$3:EE$500)))</f>
        <v>0</v>
      </c>
      <c r="HF42" s="133" t="n">
        <f aca="false">IF(OR(HF$4="",$B42=""),0,SUMIF('DADOS BRUTOS'!$A$3:$A$500,$B42,'DADOS BRUTOS'!EF$3:EF$500)+IF($C42="",0,SUMIF('DADOS BRUTOS'!$A$3:$A$500,$C42,'DADOS BRUTOS'!EF$3:EF$500)))</f>
        <v>0</v>
      </c>
      <c r="HG42" s="133" t="n">
        <f aca="false">IF(OR(HG$4="",$B42=""),0,SUMIF('DADOS BRUTOS'!$A$3:$A$500,$B42,'DADOS BRUTOS'!EG$3:EG$500)+IF($C42="",0,SUMIF('DADOS BRUTOS'!$A$3:$A$500,$C42,'DADOS BRUTOS'!EG$3:EG$500)))</f>
        <v>0</v>
      </c>
      <c r="HH42" s="133" t="n">
        <f aca="false">IF(OR(HH$4="",$B42=""),0,SUMIF('DADOS BRUTOS'!$A$3:$A$500,$B42,'DADOS BRUTOS'!EH$3:EH$500)+IF($C42="",0,SUMIF('DADOS BRUTOS'!$A$3:$A$500,$C42,'DADOS BRUTOS'!EH$3:EH$500)))</f>
        <v>0</v>
      </c>
      <c r="HI42" s="133" t="n">
        <f aca="false">IF(OR(HI$4="",$B42=""),0,SUMIF('DADOS BRUTOS'!$A$3:$A$500,$B42,'DADOS BRUTOS'!EI$3:EI$500)+IF($C42="",0,SUMIF('DADOS BRUTOS'!$A$3:$A$500,$C42,'DADOS BRUTOS'!EI$3:EI$500)))</f>
        <v>0</v>
      </c>
      <c r="HJ42" s="133" t="n">
        <f aca="false">IF(OR(HJ$4="",$B42=""),0,SUMIF('DADOS BRUTOS'!$A$3:$A$500,$B42,'DADOS BRUTOS'!EJ$3:EJ$500)+IF($C42="",0,SUMIF('DADOS BRUTOS'!$A$3:$A$500,$C42,'DADOS BRUTOS'!EJ$3:EJ$500)))</f>
        <v>0</v>
      </c>
      <c r="HK42" s="133" t="n">
        <f aca="false">IF(OR(HK$4="",$B42=""),0,SUMIF('DADOS BRUTOS'!$A$3:$A$500,$B42,'DADOS BRUTOS'!EK$3:EK$500)+IF($C42="",0,SUMIF('DADOS BRUTOS'!$A$3:$A$500,$C42,'DADOS BRUTOS'!EK$3:EK$500)))</f>
        <v>0</v>
      </c>
      <c r="HL42" s="133" t="n">
        <f aca="false">IF(OR(HL$4="",$B42=""),0,SUMIF('DADOS BRUTOS'!$A$3:$A$500,$B42,'DADOS BRUTOS'!EL$3:EL$500)+IF($C42="",0,SUMIF('DADOS BRUTOS'!$A$3:$A$500,$C42,'DADOS BRUTOS'!EL$3:EL$500)))</f>
        <v>0</v>
      </c>
      <c r="HM42" s="133" t="n">
        <f aca="false">IF(OR(HM$4="",$B42=""),0,SUMIF('DADOS BRUTOS'!$A$3:$A$500,$B42,'DADOS BRUTOS'!EM$3:EM$500)+IF($C42="",0,SUMIF('DADOS BRUTOS'!$A$3:$A$500,$C42,'DADOS BRUTOS'!EM$3:EM$500)))</f>
        <v>0</v>
      </c>
      <c r="HN42" s="133" t="n">
        <f aca="false">IF(OR(HN$4="",$B42=""),0,SUMIF('DADOS BRUTOS'!$A$3:$A$500,$B42,'DADOS BRUTOS'!EN$3:EN$500)+IF($C42="",0,SUMIF('DADOS BRUTOS'!$A$3:$A$500,$C42,'DADOS BRUTOS'!EN$3:EN$500)))</f>
        <v>0</v>
      </c>
      <c r="HO42" s="133" t="n">
        <f aca="false">IF(OR(HO$4="",$B42=""),0,SUMIF('DADOS BRUTOS'!$A$3:$A$500,$B42,'DADOS BRUTOS'!EO$3:EO$500)+IF($C42="",0,SUMIF('DADOS BRUTOS'!$A$3:$A$500,$C42,'DADOS BRUTOS'!EO$3:EO$500)))</f>
        <v>0</v>
      </c>
      <c r="HP42" s="133" t="n">
        <f aca="false">IF(OR(HP$4="",$B42=""),0,SUMIF('DADOS BRUTOS'!$A$3:$A$500,$B42,'DADOS BRUTOS'!EP$3:EP$500)+IF($C42="",0,SUMIF('DADOS BRUTOS'!$A$3:$A$500,$C42,'DADOS BRUTOS'!EP$3:EP$500)))</f>
        <v>0</v>
      </c>
      <c r="HQ42" s="133" t="n">
        <f aca="false">IF(OR(HQ$4="",$B42=""),0,SUMIF('DADOS BRUTOS'!$A$3:$A$500,$B42,'DADOS BRUTOS'!EQ$3:EQ$500)+IF($C42="",0,SUMIF('DADOS BRUTOS'!$A$3:$A$500,$C42,'DADOS BRUTOS'!EQ$3:EQ$500)))</f>
        <v>0</v>
      </c>
      <c r="HR42" s="133" t="n">
        <f aca="false">IF(OR(HR$4="",$B42=""),0,SUMIF('DADOS BRUTOS'!$A$3:$A$500,$B42,'DADOS BRUTOS'!ER$3:ER$500)+IF($C42="",0,SUMIF('DADOS BRUTOS'!$A$3:$A$500,$C42,'DADOS BRUTOS'!ER$3:ER$500)))</f>
        <v>0</v>
      </c>
      <c r="HS42" s="133" t="n">
        <f aca="false">IF(OR(HS$4="",$B42=""),0,SUMIF('DADOS BRUTOS'!$A$3:$A$500,$B42,'DADOS BRUTOS'!ES$3:ES$500)+IF($C42="",0,SUMIF('DADOS BRUTOS'!$A$3:$A$500,$C42,'DADOS BRUTOS'!ES$3:ES$500)))</f>
        <v>0</v>
      </c>
      <c r="HT42" s="133" t="n">
        <f aca="false">IF(OR(HT$4="",$B42=""),0,SUMIF('DADOS BRUTOS'!$A$3:$A$500,$B42,'DADOS BRUTOS'!ET$3:ET$500)+IF($C42="",0,SUMIF('DADOS BRUTOS'!$A$3:$A$500,$C42,'DADOS BRUTOS'!ET$3:ET$500)))</f>
        <v>0</v>
      </c>
      <c r="HU42" s="133" t="n">
        <f aca="false">IF(OR(HU$4="",$B42=""),0,SUMIF('DADOS BRUTOS'!$A$3:$A$500,$B42,'DADOS BRUTOS'!EU$3:EU$500)+IF($C42="",0,SUMIF('DADOS BRUTOS'!$A$3:$A$500,$C42,'DADOS BRUTOS'!EU$3:EU$500)))</f>
        <v>0</v>
      </c>
      <c r="HV42" s="133" t="n">
        <f aca="false">IF(OR(HV$4="",$B42=""),0,SUMIF('DADOS BRUTOS'!$A$3:$A$500,$B42,'DADOS BRUTOS'!EV$3:EV$500)+IF($C42="",0,SUMIF('DADOS BRUTOS'!$A$3:$A$500,$C42,'DADOS BRUTOS'!EV$3:EV$500)))</f>
        <v>0</v>
      </c>
      <c r="HW42" s="133" t="n">
        <f aca="false">IF(OR(HW$4="",$B42=""),0,SUMIF('DADOS BRUTOS'!$A$3:$A$500,$B42,'DADOS BRUTOS'!EW$3:EW$500)+IF($C42="",0,SUMIF('DADOS BRUTOS'!$A$3:$A$500,$C42,'DADOS BRUTOS'!EW$3:EW$500)))</f>
        <v>0</v>
      </c>
      <c r="HX42" s="133" t="n">
        <f aca="false">IF(OR(HX$4="",$B42=""),0,SUMIF('DADOS BRUTOS'!$A$3:$A$500,$B42,'DADOS BRUTOS'!EX$3:EX$500)+IF($C42="",0,SUMIF('DADOS BRUTOS'!$A$3:$A$500,$C42,'DADOS BRUTOS'!EX$3:EX$500)))</f>
        <v>0</v>
      </c>
      <c r="HY42" s="133" t="n">
        <f aca="false">IF(OR(HY$4="",$B42=""),0,SUMIF('DADOS BRUTOS'!$A$3:$A$500,$B42,'DADOS BRUTOS'!EY$3:EY$500)+IF($C42="",0,SUMIF('DADOS BRUTOS'!$A$3:$A$500,$C42,'DADOS BRUTOS'!EY$3:EY$500)))</f>
        <v>0</v>
      </c>
      <c r="HZ42" s="133" t="n">
        <f aca="false">IF(OR(HZ$4="",$B42=""),0,SUMIF('DADOS BRUTOS'!$A$3:$A$500,$B42,'DADOS BRUTOS'!EZ$3:EZ$500)+IF($C42="",0,SUMIF('DADOS BRUTOS'!$A$3:$A$500,$C42,'DADOS BRUTOS'!EZ$3:EZ$500)))</f>
        <v>0</v>
      </c>
      <c r="IA42" s="133" t="n">
        <f aca="false">IF(OR(IA$4="",$B42=""),0,SUMIF('DADOS BRUTOS'!$A$3:$A$500,$B42,'DADOS BRUTOS'!FA$3:FA$500)+IF($C42="",0,SUMIF('DADOS BRUTOS'!$A$3:$A$500,$C42,'DADOS BRUTOS'!FA$3:FA$500)))</f>
        <v>0</v>
      </c>
      <c r="IB42" s="133" t="n">
        <f aca="false">IF(OR(IB$4="",$B42=""),0,SUMIF('DADOS BRUTOS'!$A$3:$A$500,$B42,'DADOS BRUTOS'!FB$3:FB$500)+IF($C42="",0,SUMIF('DADOS BRUTOS'!$A$3:$A$500,$C42,'DADOS BRUTOS'!FB$3:FB$500)))</f>
        <v>0</v>
      </c>
      <c r="IC42" s="133" t="n">
        <f aca="false">IF(OR(IC$4="",$B42=""),0,SUMIF('DADOS BRUTOS'!$A$3:$A$500,$B42,'DADOS BRUTOS'!FC$3:FC$500)+IF($C42="",0,SUMIF('DADOS BRUTOS'!$A$3:$A$500,$C42,'DADOS BRUTOS'!FC$3:FC$500)))</f>
        <v>0</v>
      </c>
      <c r="ID42" s="133" t="n">
        <f aca="false">IF(OR(ID$4="",$B42=""),0,SUMIF('DADOS BRUTOS'!$A$3:$A$500,$B42,'DADOS BRUTOS'!FD$3:FD$500)+IF($C42="",0,SUMIF('DADOS BRUTOS'!$A$3:$A$500,$C42,'DADOS BRUTOS'!FD$3:FD$500)))</f>
        <v>0</v>
      </c>
      <c r="IE42" s="133" t="n">
        <f aca="false">IF(OR(IE$4="",$B42=""),0,SUMIF('DADOS BRUTOS'!$A$3:$A$500,$B42,'DADOS BRUTOS'!FE$3:FE$500)+IF($C42="",0,SUMIF('DADOS BRUTOS'!$A$3:$A$500,$C42,'DADOS BRUTOS'!FE$3:FE$500)))</f>
        <v>0</v>
      </c>
      <c r="IF42" s="133" t="n">
        <f aca="false">IF(OR(IF$4="",$B42=""),0,SUMIF('DADOS BRUTOS'!$A$3:$A$500,$B42,'DADOS BRUTOS'!FF$3:FF$500)+IF($C42="",0,SUMIF('DADOS BRUTOS'!$A$3:$A$500,$C42,'DADOS BRUTOS'!FF$3:FF$500)))</f>
        <v>0</v>
      </c>
      <c r="IG42" s="133" t="n">
        <f aca="false">IF(OR(IG$4="",$B42=""),0,SUMIF('DADOS BRUTOS'!$A$3:$A$500,$B42,'DADOS BRUTOS'!FG$3:FG$500)+IF($C42="",0,SUMIF('DADOS BRUTOS'!$A$3:$A$500,$C42,'DADOS BRUTOS'!FG$3:FG$500)))</f>
        <v>0</v>
      </c>
      <c r="IH42" s="133" t="n">
        <f aca="false">IF(OR(IH$4="",$B42=""),0,SUMIF('DADOS BRUTOS'!$A$3:$A$500,$B42,'DADOS BRUTOS'!FH$3:FH$500)+IF($C42="",0,SUMIF('DADOS BRUTOS'!$A$3:$A$500,$C42,'DADOS BRUTOS'!FH$3:FH$500)))</f>
        <v>0</v>
      </c>
      <c r="II42" s="133" t="n">
        <f aca="false">IF(OR(II$4="",$B42=""),0,SUMIF('DADOS BRUTOS'!$A$3:$A$500,$B42,'DADOS BRUTOS'!FI$3:FI$500)+IF($C42="",0,SUMIF('DADOS BRUTOS'!$A$3:$A$500,$C42,'DADOS BRUTOS'!FI$3:FI$500)))</f>
        <v>0</v>
      </c>
      <c r="IJ42" s="133" t="n">
        <f aca="false">IF(OR(IJ$4="",$B42=""),0,SUMIF('DADOS BRUTOS'!$A$3:$A$500,$B42,'DADOS BRUTOS'!FJ$3:FJ$500)+IF($C42="",0,SUMIF('DADOS BRUTOS'!$A$3:$A$500,$C42,'DADOS BRUTOS'!FJ$3:FJ$500)))</f>
        <v>0</v>
      </c>
      <c r="IK42" s="133" t="n">
        <f aca="false">IF(OR(IK$4="",$B42=""),0,SUMIF('DADOS BRUTOS'!$A$3:$A$500,$B42,'DADOS BRUTOS'!FK$3:FK$500)+IF($C42="",0,SUMIF('DADOS BRUTOS'!$A$3:$A$500,$C42,'DADOS BRUTOS'!FK$3:FK$500)))</f>
        <v>0</v>
      </c>
      <c r="IL42" s="133" t="n">
        <f aca="false">IF(OR(IL$4="",$B42=""),0,SUMIF('DADOS BRUTOS'!$A$3:$A$500,$B42,'DADOS BRUTOS'!FL$3:FL$500)+IF($C42="",0,SUMIF('DADOS BRUTOS'!$A$3:$A$500,$C42,'DADOS BRUTOS'!FL$3:FL$500)))</f>
        <v>0</v>
      </c>
      <c r="IM42" s="133" t="n">
        <f aca="false">IF(OR(IM$4="",$B42=""),0,SUMIF('DADOS BRUTOS'!$A$3:$A$500,$B42,'DADOS BRUTOS'!FM$3:FM$500)+IF($C42="",0,SUMIF('DADOS BRUTOS'!$A$3:$A$500,$C42,'DADOS BRUTOS'!FM$3:FM$500)))</f>
        <v>0</v>
      </c>
      <c r="IN42" s="133" t="n">
        <f aca="false">IF(OR(IN$4="",$B42=""),0,SUMIF('DADOS BRUTOS'!$A$3:$A$500,$B42,'DADOS BRUTOS'!FN$3:FN$500)+IF($C42="",0,SUMIF('DADOS BRUTOS'!$A$3:$A$500,$C42,'DADOS BRUTOS'!FN$3:FN$500)))</f>
        <v>0</v>
      </c>
      <c r="IO42" s="133" t="n">
        <f aca="false">IF(OR(IO$4="",$B42=""),0,SUMIF('DADOS BRUTOS'!$A$3:$A$500,$B42,'DADOS BRUTOS'!FO$3:FO$500)+IF($C42="",0,SUMIF('DADOS BRUTOS'!$A$3:$A$500,$C42,'DADOS BRUTOS'!FO$3:FO$500)))</f>
        <v>0</v>
      </c>
      <c r="IP42" s="133" t="n">
        <f aca="false">IF(OR(IP$4="",$B42=""),0,SUMIF('DADOS BRUTOS'!$A$3:$A$500,$B42,'DADOS BRUTOS'!FP$3:FP$500)+IF($C42="",0,SUMIF('DADOS BRUTOS'!$A$3:$A$500,$C42,'DADOS BRUTOS'!FP$3:FP$500)))</f>
        <v>0</v>
      </c>
      <c r="IQ42" s="133" t="n">
        <f aca="false">IF(OR(IQ$4="",$B42=""),0,SUMIF('DADOS BRUTOS'!$A$3:$A$500,$B42,'DADOS BRUTOS'!FQ$3:FQ$500)+IF($C42="",0,SUMIF('DADOS BRUTOS'!$A$3:$A$500,$C42,'DADOS BRUTOS'!FQ$3:FQ$500)))</f>
        <v>0</v>
      </c>
      <c r="IR42" s="133" t="n">
        <f aca="false">IF(OR(IR$4="",$B42=""),0,SUMIF('DADOS BRUTOS'!$A$3:$A$500,$B42,'DADOS BRUTOS'!FR$3:FR$500)+IF($C42="",0,SUMIF('DADOS BRUTOS'!$A$3:$A$500,$C42,'DADOS BRUTOS'!FR$3:FR$500)))</f>
        <v>0</v>
      </c>
      <c r="IS42" s="133" t="n">
        <f aca="false">IF(OR(IS$4="",$B42=""),0,SUMIF('DADOS BRUTOS'!$A$3:$A$500,$B42,'DADOS BRUTOS'!FS$3:FS$500)+IF($C42="",0,SUMIF('DADOS BRUTOS'!$A$3:$A$500,$C42,'DADOS BRUTOS'!FS$3:FS$500)))</f>
        <v>0</v>
      </c>
      <c r="IT42" s="133" t="n">
        <f aca="false">IF(OR(IT$4="",$B42=""),0,SUMIF('DADOS BRUTOS'!$A$3:$A$500,$B42,'DADOS BRUTOS'!FT$3:FT$500)+IF($C42="",0,SUMIF('DADOS BRUTOS'!$A$3:$A$500,$C42,'DADOS BRUTOS'!FT$3:FT$500)))</f>
        <v>0</v>
      </c>
      <c r="IU42" s="133" t="n">
        <f aca="false">IF(OR(IU$4="",$B42=""),0,SUMIF('DADOS BRUTOS'!$A$3:$A$500,$B42,'DADOS BRUTOS'!FU$3:FU$500)+IF($C42="",0,SUMIF('DADOS BRUTOS'!$A$3:$A$500,$C42,'DADOS BRUTOS'!FU$3:FU$500)))</f>
        <v>0</v>
      </c>
      <c r="IV42" s="133" t="n">
        <f aca="false">IF(OR(IV$4="",$B42=""),0,SUMIF('DADOS BRUTOS'!$A$3:$A$500,$B42,'DADOS BRUTOS'!FV$3:FV$500)+IF($C42="",0,SUMIF('DADOS BRUTOS'!$A$3:$A$500,$C42,'DADOS BRUTOS'!FV$3:FV$500)))</f>
        <v>0</v>
      </c>
      <c r="IW42" s="133" t="n">
        <f aca="false">IF(OR(IW$4="",$B42=""),0,SUMIF('DADOS BRUTOS'!$A$3:$A$500,$B42,'DADOS BRUTOS'!FW$3:FW$500)+IF($C42="",0,SUMIF('DADOS BRUTOS'!$A$3:$A$500,$C42,'DADOS BRUTOS'!FW$3:FW$500)))</f>
        <v>0</v>
      </c>
      <c r="IX42" s="133" t="n">
        <f aca="false">IF(OR(IX$4="",$B42=""),0,SUMIF('DADOS BRUTOS'!$A$3:$A$500,$B42,'DADOS BRUTOS'!FX$3:FX$500)+IF($C42="",0,SUMIF('DADOS BRUTOS'!$A$3:$A$500,$C42,'DADOS BRUTOS'!FX$3:FX$500)))</f>
        <v>0</v>
      </c>
      <c r="IY42" s="133" t="n">
        <f aca="false">IF(OR(IY$4="",$B42=""),0,SUMIF('DADOS BRUTOS'!$A$3:$A$500,$B42,'DADOS BRUTOS'!FY$3:FY$500)+IF($C42="",0,SUMIF('DADOS BRUTOS'!$A$3:$A$500,$C42,'DADOS BRUTOS'!FY$3:FY$500)))</f>
        <v>0</v>
      </c>
      <c r="IZ42" s="133" t="n">
        <f aca="false">IF(OR(IZ$4="",$B42=""),0,SUMIF('DADOS BRUTOS'!$A$3:$A$500,$B42,'DADOS BRUTOS'!FZ$3:FZ$500)+IF($C42="",0,SUMIF('DADOS BRUTOS'!$A$3:$A$500,$C42,'DADOS BRUTOS'!FZ$3:FZ$500)))</f>
        <v>0</v>
      </c>
      <c r="JA42" s="133" t="n">
        <f aca="false">IF(OR(JA$4="",$B42=""),0,SUMIF('DADOS BRUTOS'!$A$3:$A$500,$B42,'DADOS BRUTOS'!GA$3:GA$500)+IF($C42="",0,SUMIF('DADOS BRUTOS'!$A$3:$A$500,$C42,'DADOS BRUTOS'!GA$3:GA$500)))</f>
        <v>0</v>
      </c>
      <c r="JB42" s="133" t="n">
        <f aca="false">IF(OR(JB$4="",$B42=""),0,SUMIF('DADOS BRUTOS'!$A$3:$A$500,$B42,'DADOS BRUTOS'!GB$3:GB$500)+IF($C42="",0,SUMIF('DADOS BRUTOS'!$A$3:$A$500,$C42,'DADOS BRUTOS'!GB$3:GB$500)))</f>
        <v>0</v>
      </c>
      <c r="JC42" s="133" t="n">
        <f aca="false">IF(OR(JC$4="",$B42=""),0,SUMIF('DADOS BRUTOS'!$A$3:$A$500,$B42,'DADOS BRUTOS'!GC$3:GC$500)+IF($C42="",0,SUMIF('DADOS BRUTOS'!$A$3:$A$500,$C42,'DADOS BRUTOS'!GC$3:GC$500)))</f>
        <v>0</v>
      </c>
      <c r="JD42" s="133" t="n">
        <f aca="false">IF(OR(JD$4="",$B42=""),0,SUMIF('DADOS BRUTOS'!$A$3:$A$500,$B42,'DADOS BRUTOS'!GD$3:GD$500)+IF($C42="",0,SUMIF('DADOS BRUTOS'!$A$3:$A$500,$C42,'DADOS BRUTOS'!GD$3:GD$500)))</f>
        <v>0</v>
      </c>
      <c r="JE42" s="133" t="n">
        <f aca="false">IF(OR(JE$4="",$B42=""),0,SUMIF('DADOS BRUTOS'!$A$3:$A$500,$B42,'DADOS BRUTOS'!GE$3:GE$500)+IF($C42="",0,SUMIF('DADOS BRUTOS'!$A$3:$A$500,$C42,'DADOS BRUTOS'!GE$3:GE$500)))</f>
        <v>0</v>
      </c>
      <c r="JF42" s="133" t="n">
        <f aca="false">IF(OR(JF$4="",$B42=""),0,SUMIF('DADOS BRUTOS'!$A$3:$A$500,$B42,'DADOS BRUTOS'!GF$3:GF$500)+IF($C42="",0,SUMIF('DADOS BRUTOS'!$A$3:$A$500,$C42,'DADOS BRUTOS'!GF$3:GF$500)))</f>
        <v>0</v>
      </c>
      <c r="JG42" s="133" t="n">
        <f aca="false">IF(OR(JG$4="",$B42=""),0,SUMIF('DADOS BRUTOS'!$A$3:$A$500,$B42,'DADOS BRUTOS'!GG$3:GG$500)+IF($C42="",0,SUMIF('DADOS BRUTOS'!$A$3:$A$500,$C42,'DADOS BRUTOS'!GG$3:GG$500)))</f>
        <v>0</v>
      </c>
      <c r="JH42" s="133" t="n">
        <f aca="false">IF(OR(JH$4="",$B42=""),0,SUMIF('DADOS BRUTOS'!$A$3:$A$500,$B42,'DADOS BRUTOS'!GH$3:GH$500)+IF($C42="",0,SUMIF('DADOS BRUTOS'!$A$3:$A$500,$C42,'DADOS BRUTOS'!GH$3:GH$500)))</f>
        <v>0</v>
      </c>
      <c r="JI42" s="133" t="n">
        <f aca="false">IF(OR(JI$4="",$B42=""),0,SUMIF('DADOS BRUTOS'!$A$3:$A$500,$B42,'DADOS BRUTOS'!GI$3:GI$500)+IF($C42="",0,SUMIF('DADOS BRUTOS'!$A$3:$A$500,$C42,'DADOS BRUTOS'!GI$3:GI$500)))</f>
        <v>0</v>
      </c>
      <c r="JJ42" s="133" t="n">
        <f aca="false">IF(OR(JJ$4="",$B42=""),0,SUMIF('DADOS BRUTOS'!$A$3:$A$500,$B42,'DADOS BRUTOS'!GJ$3:GJ$500)+IF($C42="",0,SUMIF('DADOS BRUTOS'!$A$3:$A$500,$C42,'DADOS BRUTOS'!GJ$3:GJ$500)))</f>
        <v>0</v>
      </c>
      <c r="JK42" s="133" t="n">
        <f aca="false">IF(OR(JK$4="",$B42=""),0,SUMIF('DADOS BRUTOS'!$A$3:$A$500,$B42,'DADOS BRUTOS'!GK$3:GK$500)+IF($C42="",0,SUMIF('DADOS BRUTOS'!$A$3:$A$500,$C42,'DADOS BRUTOS'!GK$3:GK$500)))</f>
        <v>0</v>
      </c>
      <c r="JL42" s="133" t="n">
        <f aca="false">IF(OR(JL$4="",$B42=""),0,SUMIF('DADOS BRUTOS'!$A$3:$A$500,$B42,'DADOS BRUTOS'!GL$3:GL$500)+IF($C42="",0,SUMIF('DADOS BRUTOS'!$A$3:$A$500,$C42,'DADOS BRUTOS'!GL$3:GL$500)))</f>
        <v>0</v>
      </c>
      <c r="JM42" s="133" t="n">
        <f aca="false">IF(OR(JM$4="",$B42=""),0,SUMIF('DADOS BRUTOS'!$A$3:$A$500,$B42,'DADOS BRUTOS'!GM$3:GM$500)+IF($C42="",0,SUMIF('DADOS BRUTOS'!$A$3:$A$500,$C42,'DADOS BRUTOS'!GM$3:GM$500)))</f>
        <v>0</v>
      </c>
      <c r="JN42" s="133" t="n">
        <f aca="false">IF(OR(JN$4="",$B42=""),0,SUMIF('DADOS BRUTOS'!$A$3:$A$500,$B42,'DADOS BRUTOS'!GN$3:GN$500)+IF($C42="",0,SUMIF('DADOS BRUTOS'!$A$3:$A$500,$C42,'DADOS BRUTOS'!GN$3:GN$500)))</f>
        <v>0</v>
      </c>
      <c r="JO42" s="133" t="n">
        <f aca="false">IF(OR(JO$4="",$B42=""),0,SUMIF('DADOS BRUTOS'!$A$3:$A$500,$B42,'DADOS BRUTOS'!GO$3:GO$500)+IF($C42="",0,SUMIF('DADOS BRUTOS'!$A$3:$A$500,$C42,'DADOS BRUTOS'!GO$3:GO$500)))</f>
        <v>0</v>
      </c>
      <c r="JP42" s="133" t="n">
        <f aca="false">IF(OR(JP$4="",$B42=""),0,SUMIF('DADOS BRUTOS'!$A$3:$A$500,$B42,'DADOS BRUTOS'!GP$3:GP$500)+IF($C42="",0,SUMIF('DADOS BRUTOS'!$A$3:$A$500,$C42,'DADOS BRUTOS'!GP$3:GP$500)))</f>
        <v>0</v>
      </c>
      <c r="JQ42" s="133" t="n">
        <f aca="false">IF(OR(JQ$4="",$B42=""),0,SUMIF('DADOS BRUTOS'!$A$3:$A$500,$B42,'DADOS BRUTOS'!GQ$3:GQ$500)+IF($C42="",0,SUMIF('DADOS BRUTOS'!$A$3:$A$500,$C42,'DADOS BRUTOS'!GQ$3:GQ$500)))</f>
        <v>0</v>
      </c>
      <c r="JR42" s="133" t="n">
        <f aca="false">IF(OR(JR$4="",$B42=""),0,SUMIF('DADOS BRUTOS'!$A$3:$A$500,$B42,'DADOS BRUTOS'!GR$3:GR$500)+IF($C42="",0,SUMIF('DADOS BRUTOS'!$A$3:$A$500,$C42,'DADOS BRUTOS'!GR$3:GR$500)))</f>
        <v>0</v>
      </c>
      <c r="JS42" s="133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4" t="n">
        <f aca="false">SUM(D5:D42)</f>
        <v>3987357.38</v>
      </c>
      <c r="E44" s="134" t="n">
        <f aca="false">SUM(E5:E42)</f>
        <v>136455.71</v>
      </c>
      <c r="F44" s="134" t="n">
        <f aca="false">SUM(F5:F42)</f>
        <v>375485.71</v>
      </c>
      <c r="G44" s="134" t="n">
        <f aca="false">SUM(G5:G42)</f>
        <v>524237.12</v>
      </c>
      <c r="H44" s="134" t="n">
        <f aca="false">SUM(H5:H42)</f>
        <v>682374.28</v>
      </c>
      <c r="I44" s="134" t="n">
        <f aca="false">SUM(I5:I42)</f>
        <v>1305541.12</v>
      </c>
      <c r="J44" s="134" t="n">
        <f aca="false">SUM(J5:J42)</f>
        <v>1408292.9</v>
      </c>
      <c r="K44" s="134" t="n">
        <f aca="false">SUM(K5:K42)</f>
        <v>2119802.81</v>
      </c>
      <c r="L44" s="134" t="n">
        <f aca="false">SUM(L5:L42)</f>
        <v>2754071.93</v>
      </c>
      <c r="M44" s="134" t="n">
        <f aca="false">SUM(M5:M42)</f>
        <v>2908623.72</v>
      </c>
      <c r="N44" s="134" t="n">
        <f aca="false">SUM(N5:N42)</f>
        <v>3409900.28</v>
      </c>
      <c r="O44" s="134" t="n">
        <f aca="false">SUM(O5:O42)</f>
        <v>3437667.04</v>
      </c>
      <c r="P44" s="134" t="n">
        <f aca="false">SUM(P5:P42)</f>
        <v>2463895.76</v>
      </c>
      <c r="Q44" s="134" t="n">
        <f aca="false">SUM(Q5:Q42)</f>
        <v>1833286.54</v>
      </c>
      <c r="R44" s="134" t="n">
        <f aca="false">SUM(R5:R42)</f>
        <v>1566194.9</v>
      </c>
      <c r="S44" s="134" t="n">
        <f aca="false">SUM(S5:S42)</f>
        <v>2168352.97</v>
      </c>
      <c r="T44" s="134" t="n">
        <f aca="false">SUM(T5:T42)</f>
        <v>1948706.69</v>
      </c>
      <c r="U44" s="134" t="n">
        <f aca="false">SUM(U5:U42)</f>
        <v>2580313.38</v>
      </c>
      <c r="V44" s="134" t="n">
        <f aca="false">SUM(V5:V42)</f>
        <v>2412665.57</v>
      </c>
      <c r="W44" s="134" t="n">
        <f aca="false">SUM(W5:W42)</f>
        <v>3389009.46</v>
      </c>
      <c r="X44" s="134" t="n">
        <f aca="false">SUM(X5:X42)</f>
        <v>2847078.67</v>
      </c>
      <c r="Y44" s="134" t="n">
        <f aca="false">SUM(Y5:Y42)</f>
        <v>3059979.42</v>
      </c>
      <c r="Z44" s="134" t="n">
        <f aca="false">SUM(Z5:Z42)</f>
        <v>1804011.77</v>
      </c>
      <c r="AA44" s="134" t="n">
        <f aca="false">SUM(AA5:AA42)</f>
        <v>343179.79</v>
      </c>
      <c r="AB44" s="134" t="n">
        <f aca="false">SUM(AB5:AB42)</f>
        <v>145055.15</v>
      </c>
      <c r="AC44" s="134" t="n">
        <f aca="false">SUM(AC5:AC42)</f>
        <v>123537.06</v>
      </c>
      <c r="AD44" s="134" t="n">
        <f aca="false">SUM(AD5:AD42)</f>
        <v>17745.16</v>
      </c>
      <c r="AE44" s="134" t="n">
        <f aca="false">SUM(AE5:AE42)</f>
        <v>70539.08</v>
      </c>
      <c r="AF44" s="134" t="n">
        <f aca="false">SUM(AF5:AF42)</f>
        <v>16426</v>
      </c>
      <c r="AG44" s="134" t="n">
        <f aca="false">SUM(AG5:AG42)</f>
        <v>16426</v>
      </c>
      <c r="AH44" s="134" t="n">
        <f aca="false">SUM(AH5:AH42)</f>
        <v>21678.23</v>
      </c>
      <c r="AI44" s="134" t="n">
        <f aca="false">SUM(AI5:AI42)</f>
        <v>16916</v>
      </c>
      <c r="AJ44" s="134" t="n">
        <f aca="false">SUM(AJ5:AJ42)</f>
        <v>16426</v>
      </c>
      <c r="AK44" s="134" t="n">
        <f aca="false">SUM(AK5:AK42)</f>
        <v>16426</v>
      </c>
      <c r="AL44" s="134" t="n">
        <f aca="false">SUM(AL5:AL42)</f>
        <v>17937.82</v>
      </c>
      <c r="AM44" s="134" t="n">
        <f aca="false">SUM(AM5:AM42)</f>
        <v>18569.7</v>
      </c>
      <c r="AN44" s="134" t="n">
        <f aca="false">SUM(AN5:AN42)</f>
        <v>19132.65</v>
      </c>
      <c r="AO44" s="134" t="n">
        <f aca="false">SUM(AO5:AO42)</f>
        <v>48310.45</v>
      </c>
      <c r="AP44" s="134" t="n">
        <f aca="false">SUM(AP5:AP42)</f>
        <v>16426</v>
      </c>
      <c r="AQ44" s="134" t="n">
        <f aca="false">SUM(AQ5:AQ42)</f>
        <v>17698.28</v>
      </c>
      <c r="AR44" s="134" t="n">
        <f aca="false">SUM(AR5:AR42)</f>
        <v>16426</v>
      </c>
      <c r="AS44" s="134" t="n">
        <f aca="false">SUM(AS5:AS42)</f>
        <v>216144.76</v>
      </c>
      <c r="AT44" s="134" t="n">
        <f aca="false">SUM(AT5:AT42)</f>
        <v>26175.94</v>
      </c>
      <c r="AU44" s="134" t="n">
        <f aca="false">SUM(AU5:AU42)</f>
        <v>28989.9</v>
      </c>
      <c r="AV44" s="134" t="n">
        <f aca="false">SUM(AV5:AV42)</f>
        <v>16876</v>
      </c>
      <c r="AW44" s="134" t="n">
        <f aca="false">SUM(AW5:AW42)</f>
        <v>16426</v>
      </c>
      <c r="AX44" s="134" t="n">
        <f aca="false">SUM(AX5:AX42)</f>
        <v>25584.71</v>
      </c>
      <c r="AY44" s="134" t="n">
        <f aca="false">SUM(AY5:AY42)</f>
        <v>16426</v>
      </c>
      <c r="AZ44" s="134" t="n">
        <f aca="false">SUM(AZ5:AZ42)</f>
        <v>16426</v>
      </c>
      <c r="BA44" s="134" t="n">
        <f aca="false">SUM(BA5:BA42)</f>
        <v>18093.16</v>
      </c>
      <c r="BB44" s="134" t="n">
        <f aca="false">SUM(BB5:BB42)</f>
        <v>16426</v>
      </c>
      <c r="BC44" s="134" t="n">
        <f aca="false">SUM(BC5:BC42)</f>
        <v>16426</v>
      </c>
      <c r="BD44" s="134" t="n">
        <f aca="false">SUM(BD5:BD42)</f>
        <v>16426</v>
      </c>
      <c r="BE44" s="134" t="n">
        <f aca="false">SUM(BE5:BE42)</f>
        <v>16426</v>
      </c>
      <c r="BF44" s="134" t="n">
        <f aca="false">SUM(BF5:BF42)</f>
        <v>16426</v>
      </c>
      <c r="BG44" s="134" t="n">
        <f aca="false">SUM(BG5:BG42)</f>
        <v>16428</v>
      </c>
      <c r="BH44" s="134" t="n">
        <f aca="false">SUM(BH5:BH42)</f>
        <v>0</v>
      </c>
      <c r="BI44" s="134" t="n">
        <f aca="false">SUM(BI5:BI42)</f>
        <v>7602</v>
      </c>
      <c r="BJ44" s="134" t="n">
        <f aca="false">SUM(BJ5:BJ42)</f>
        <v>0</v>
      </c>
      <c r="BK44" s="134" t="n">
        <f aca="false">SUM(BK5:BK42)</f>
        <v>0</v>
      </c>
      <c r="BL44" s="134" t="n">
        <f aca="false">SUM(BL5:BL42)</f>
        <v>0</v>
      </c>
      <c r="BM44" s="134" t="n">
        <f aca="false">SUM(BM5:BM42)</f>
        <v>0</v>
      </c>
      <c r="BN44" s="134" t="n">
        <f aca="false">SUM(BN5:BN42)</f>
        <v>0</v>
      </c>
      <c r="BO44" s="134" t="n">
        <f aca="false">SUM(BO5:BO42)</f>
        <v>0</v>
      </c>
      <c r="BP44" s="134" t="n">
        <f aca="false">SUM(BP5:BP42)</f>
        <v>0</v>
      </c>
      <c r="BQ44" s="134" t="n">
        <f aca="false">SUM(BQ5:BQ42)</f>
        <v>0</v>
      </c>
      <c r="BR44" s="134" t="n">
        <f aca="false">SUM(BR5:BR42)</f>
        <v>0</v>
      </c>
      <c r="BS44" s="134" t="n">
        <f aca="false">SUM(BS5:BS42)</f>
        <v>0</v>
      </c>
      <c r="BT44" s="134" t="n">
        <f aca="false">SUM(BT5:BT42)</f>
        <v>0</v>
      </c>
      <c r="BU44" s="134" t="n">
        <f aca="false">SUM(BU5:BU42)</f>
        <v>0</v>
      </c>
      <c r="BV44" s="134" t="n">
        <f aca="false">SUM(BV5:BV42)</f>
        <v>0</v>
      </c>
      <c r="BW44" s="134" t="n">
        <f aca="false">SUM(BW5:BW42)</f>
        <v>0</v>
      </c>
      <c r="BX44" s="134" t="n">
        <f aca="false">SUM(BX5:BX42)</f>
        <v>0</v>
      </c>
      <c r="BY44" s="134" t="n">
        <f aca="false">SUM(BY5:BY42)</f>
        <v>50569462.97</v>
      </c>
      <c r="BZ44" s="134" t="n">
        <f aca="false">SUM(BZ5:BZ42)</f>
        <v>3601.71842036115</v>
      </c>
      <c r="CB44" s="133" t="n">
        <f aca="false">SUM(CB5:CB42)</f>
        <v>37021.3</v>
      </c>
      <c r="CC44" s="133" t="n">
        <f aca="false">SUM(CC5:CC42)</f>
        <v>146702.19</v>
      </c>
      <c r="CD44" s="133" t="n">
        <f aca="false">SUM(CD5:CD42)</f>
        <v>44829.26</v>
      </c>
      <c r="CE44" s="133" t="n">
        <f aca="false">SUM(CE5:CE42)</f>
        <v>125166.59</v>
      </c>
      <c r="CF44" s="133" t="n">
        <f aca="false">SUM(CF5:CF42)</f>
        <v>121806.14</v>
      </c>
      <c r="CG44" s="133" t="n">
        <f aca="false">SUM(CG5:CG42)</f>
        <v>52761.67</v>
      </c>
      <c r="CH44" s="133" t="n">
        <f aca="false">SUM(CH5:CH42)</f>
        <v>88975.92</v>
      </c>
      <c r="CI44" s="133" t="n">
        <f aca="false">SUM(CI5:CI42)</f>
        <v>143921.48</v>
      </c>
      <c r="CJ44" s="133" t="n">
        <f aca="false">SUM(CJ5:CJ42)</f>
        <v>33274.44</v>
      </c>
      <c r="CK44" s="133" t="n">
        <f aca="false">SUM(CK5:CK42)</f>
        <v>77879.03</v>
      </c>
      <c r="CL44" s="133" t="n">
        <f aca="false">SUM(CL5:CL42)</f>
        <v>9260.39</v>
      </c>
      <c r="CM44" s="133" t="n">
        <f aca="false">SUM(CM5:CM42)</f>
        <v>6.77</v>
      </c>
      <c r="CN44" s="133" t="n">
        <f aca="false">SUM(CN5:CN42)</f>
        <v>144109.24</v>
      </c>
      <c r="CO44" s="133" t="n">
        <f aca="false">SUM(CO5:CO42)</f>
        <v>15534.5</v>
      </c>
      <c r="CP44" s="133" t="n">
        <f aca="false">SUM(CP5:CP42)</f>
        <v>81918.9</v>
      </c>
      <c r="CQ44" s="133" t="n">
        <f aca="false">SUM(CQ5:CQ42)</f>
        <v>9302.02</v>
      </c>
      <c r="CR44" s="133" t="n">
        <f aca="false">SUM(CR5:CR42)</f>
        <v>8775.11</v>
      </c>
      <c r="CS44" s="133" t="n">
        <f aca="false">SUM(CS5:CS42)</f>
        <v>14145.09</v>
      </c>
      <c r="CT44" s="133" t="n">
        <f aca="false">SUM(CT5:CT42)</f>
        <v>1339.4</v>
      </c>
      <c r="CU44" s="133" t="n">
        <f aca="false">SUM(CU5:CU42)</f>
        <v>43.8</v>
      </c>
      <c r="CV44" s="133" t="n">
        <f aca="false">SUM(CV5:CV42)</f>
        <v>173603.74</v>
      </c>
      <c r="CW44" s="133" t="n">
        <f aca="false">SUM(CW5:CW42)</f>
        <v>8280.57</v>
      </c>
      <c r="CX44" s="133" t="n">
        <f aca="false">SUM(CX5:CX42)</f>
        <v>27389.23</v>
      </c>
      <c r="CY44" s="133" t="n">
        <f aca="false">SUM(CY5:CY42)</f>
        <v>164621.46</v>
      </c>
      <c r="CZ44" s="133" t="n">
        <f aca="false">SUM(CZ5:CZ42)</f>
        <v>76238.9</v>
      </c>
      <c r="DA44" s="133" t="n">
        <f aca="false">SUM(DA5:DA42)</f>
        <v>91528.72</v>
      </c>
      <c r="DB44" s="133" t="n">
        <f aca="false">SUM(DB5:DB42)</f>
        <v>26173.6</v>
      </c>
      <c r="DC44" s="133" t="n">
        <f aca="false">SUM(DC5:DC42)</f>
        <v>154141.81</v>
      </c>
      <c r="DD44" s="133" t="n">
        <f aca="false">SUM(DD5:DD42)</f>
        <v>424498</v>
      </c>
      <c r="DE44" s="133" t="n">
        <f aca="false">SUM(DE5:DE42)</f>
        <v>363122.02</v>
      </c>
      <c r="DF44" s="133" t="n">
        <f aca="false">SUM(DF5:DF42)</f>
        <v>176478.83</v>
      </c>
      <c r="DG44" s="133" t="n">
        <f aca="false">SUM(DG5:DG42)</f>
        <v>211000.56</v>
      </c>
      <c r="DH44" s="133" t="n">
        <f aca="false">SUM(DH5:DH42)</f>
        <v>933506.7</v>
      </c>
      <c r="DI44" s="133" t="n">
        <f aca="false">SUM(DI5:DI42)</f>
        <v>136455.71</v>
      </c>
      <c r="DJ44" s="133" t="n">
        <f aca="false">SUM(DJ5:DJ42)</f>
        <v>375485.71</v>
      </c>
      <c r="DK44" s="133" t="n">
        <f aca="false">SUM(DK5:DK42)</f>
        <v>524237.12</v>
      </c>
      <c r="DL44" s="133" t="n">
        <f aca="false">SUM(DL5:DL42)</f>
        <v>682374.28</v>
      </c>
      <c r="DM44" s="133" t="n">
        <f aca="false">SUM(DM5:DM42)</f>
        <v>1305541.12</v>
      </c>
      <c r="DN44" s="133" t="n">
        <f aca="false">SUM(DN5:DN42)</f>
        <v>1408292.9</v>
      </c>
      <c r="DO44" s="133" t="n">
        <f aca="false">SUM(DO5:DO42)</f>
        <v>2119802.81</v>
      </c>
      <c r="DP44" s="133" t="n">
        <f aca="false">SUM(DP5:DP42)</f>
        <v>2754071.93</v>
      </c>
      <c r="DQ44" s="133" t="n">
        <f aca="false">SUM(DQ5:DQ42)</f>
        <v>2908623.72</v>
      </c>
      <c r="DR44" s="133" t="n">
        <f aca="false">SUM(DR5:DR42)</f>
        <v>3409900.28</v>
      </c>
      <c r="DS44" s="133" t="n">
        <f aca="false">SUM(DS5:DS42)</f>
        <v>3437667.04</v>
      </c>
      <c r="DT44" s="133" t="n">
        <f aca="false">SUM(DT5:DT42)</f>
        <v>2463895.76</v>
      </c>
      <c r="DU44" s="133" t="n">
        <f aca="false">SUM(DU5:DU42)</f>
        <v>1833286.54</v>
      </c>
      <c r="DV44" s="133" t="n">
        <f aca="false">SUM(DV5:DV42)</f>
        <v>1566194.9</v>
      </c>
      <c r="DW44" s="133" t="n">
        <f aca="false">SUM(DW5:DW42)</f>
        <v>2168352.97</v>
      </c>
      <c r="DX44" s="133" t="n">
        <f aca="false">SUM(DX5:DX42)</f>
        <v>1948706.69</v>
      </c>
      <c r="DY44" s="133" t="n">
        <f aca="false">SUM(DY5:DY42)</f>
        <v>2580313.38</v>
      </c>
      <c r="DZ44" s="133" t="n">
        <f aca="false">SUM(DZ5:DZ42)</f>
        <v>2412665.57</v>
      </c>
      <c r="EA44" s="133" t="n">
        <f aca="false">SUM(EA5:EA42)</f>
        <v>3389009.46</v>
      </c>
      <c r="EB44" s="133" t="n">
        <f aca="false">SUM(EB5:EB42)</f>
        <v>2847078.67</v>
      </c>
      <c r="EC44" s="133" t="n">
        <f aca="false">SUM(EC5:EC42)</f>
        <v>3059979.42</v>
      </c>
      <c r="ED44" s="133" t="n">
        <f aca="false">SUM(ED5:ED42)</f>
        <v>1804011.77</v>
      </c>
      <c r="EE44" s="133" t="n">
        <f aca="false">SUM(EE5:EE42)</f>
        <v>343179.79</v>
      </c>
      <c r="EF44" s="133" t="n">
        <f aca="false">SUM(EF5:EF42)</f>
        <v>145055.15</v>
      </c>
      <c r="EG44" s="133" t="n">
        <f aca="false">SUM(EG5:EG42)</f>
        <v>123537.06</v>
      </c>
      <c r="EH44" s="133" t="n">
        <f aca="false">SUM(EH5:EH42)</f>
        <v>17745.16</v>
      </c>
      <c r="EI44" s="133" t="n">
        <f aca="false">SUM(EI5:EI42)</f>
        <v>70539.08</v>
      </c>
      <c r="EJ44" s="133" t="n">
        <f aca="false">SUM(EJ5:EJ42)</f>
        <v>16426</v>
      </c>
      <c r="EK44" s="133" t="n">
        <f aca="false">SUM(EK5:EK42)</f>
        <v>16426</v>
      </c>
      <c r="EL44" s="133" t="n">
        <f aca="false">SUM(EL5:EL42)</f>
        <v>21678.23</v>
      </c>
      <c r="EM44" s="133" t="n">
        <f aca="false">SUM(EM5:EM42)</f>
        <v>16916</v>
      </c>
      <c r="EN44" s="133" t="n">
        <f aca="false">SUM(EN5:EN42)</f>
        <v>16426</v>
      </c>
      <c r="EO44" s="133" t="n">
        <f aca="false">SUM(EO5:EO42)</f>
        <v>16426</v>
      </c>
      <c r="EP44" s="133" t="n">
        <f aca="false">SUM(EP5:EP42)</f>
        <v>17937.82</v>
      </c>
      <c r="EQ44" s="133" t="n">
        <f aca="false">SUM(EQ5:EQ42)</f>
        <v>18569.7</v>
      </c>
      <c r="ER44" s="133" t="n">
        <f aca="false">SUM(ER5:ER42)</f>
        <v>19132.65</v>
      </c>
      <c r="ES44" s="133" t="n">
        <f aca="false">SUM(ES5:ES42)</f>
        <v>48310.45</v>
      </c>
      <c r="ET44" s="133" t="n">
        <f aca="false">SUM(ET5:ET42)</f>
        <v>16426</v>
      </c>
      <c r="EU44" s="133" t="n">
        <f aca="false">SUM(EU5:EU42)</f>
        <v>17698.28</v>
      </c>
      <c r="EV44" s="133" t="n">
        <f aca="false">SUM(EV5:EV42)</f>
        <v>16426</v>
      </c>
      <c r="EW44" s="133" t="n">
        <f aca="false">SUM(EW5:EW42)</f>
        <v>216144.76</v>
      </c>
      <c r="EX44" s="133" t="n">
        <f aca="false">SUM(EX5:EX42)</f>
        <v>26175.94</v>
      </c>
      <c r="EY44" s="133" t="n">
        <f aca="false">SUM(EY5:EY42)</f>
        <v>28989.9</v>
      </c>
      <c r="EZ44" s="133" t="n">
        <f aca="false">SUM(EZ5:EZ42)</f>
        <v>16876</v>
      </c>
      <c r="FA44" s="133" t="n">
        <f aca="false">SUM(FA5:FA42)</f>
        <v>16426</v>
      </c>
      <c r="FB44" s="133" t="n">
        <f aca="false">SUM(FB5:FB42)</f>
        <v>25584.71</v>
      </c>
      <c r="FC44" s="133" t="n">
        <f aca="false">SUM(FC5:FC42)</f>
        <v>16426</v>
      </c>
      <c r="FD44" s="133" t="n">
        <f aca="false">SUM(FD5:FD42)</f>
        <v>16426</v>
      </c>
      <c r="FE44" s="133" t="n">
        <f aca="false">SUM(FE5:FE42)</f>
        <v>18093.16</v>
      </c>
      <c r="FF44" s="133" t="n">
        <f aca="false">SUM(FF5:FF42)</f>
        <v>16426</v>
      </c>
      <c r="FG44" s="133" t="n">
        <f aca="false">SUM(FG5:FG42)</f>
        <v>16426</v>
      </c>
      <c r="FH44" s="133" t="n">
        <f aca="false">SUM(FH5:FH42)</f>
        <v>16426</v>
      </c>
      <c r="FI44" s="133" t="n">
        <f aca="false">SUM(FI5:FI42)</f>
        <v>16426</v>
      </c>
      <c r="FJ44" s="133" t="n">
        <f aca="false">SUM(FJ5:FJ42)</f>
        <v>16426</v>
      </c>
      <c r="FK44" s="133" t="n">
        <f aca="false">SUM(FK5:FK42)</f>
        <v>16428</v>
      </c>
      <c r="FL44" s="133" t="n">
        <f aca="false">SUM(FL5:FL42)</f>
        <v>7602</v>
      </c>
      <c r="FM44" s="133" t="n">
        <f aca="false">SUM(FM5:FM42)</f>
        <v>0</v>
      </c>
      <c r="FN44" s="133" t="n">
        <f aca="false">SUM(FN5:FN42)</f>
        <v>0</v>
      </c>
      <c r="FO44" s="133" t="n">
        <f aca="false">SUM(FO5:FO42)</f>
        <v>0</v>
      </c>
      <c r="FP44" s="133" t="n">
        <f aca="false">SUM(FP5:FP42)</f>
        <v>0</v>
      </c>
      <c r="FQ44" s="133" t="n">
        <f aca="false">SUM(FQ5:FQ42)</f>
        <v>0</v>
      </c>
      <c r="FR44" s="133" t="n">
        <f aca="false">SUM(FR5:FR42)</f>
        <v>0</v>
      </c>
      <c r="FS44" s="133" t="n">
        <f aca="false">SUM(FS5:FS42)</f>
        <v>0</v>
      </c>
      <c r="FT44" s="133" t="n">
        <f aca="false">SUM(FT5:FT42)</f>
        <v>0</v>
      </c>
      <c r="FU44" s="133" t="n">
        <f aca="false">SUM(FU5:FU42)</f>
        <v>0</v>
      </c>
      <c r="FV44" s="133" t="n">
        <f aca="false">SUM(FV5:FV42)</f>
        <v>0</v>
      </c>
      <c r="FW44" s="133" t="n">
        <f aca="false">SUM(FW5:FW42)</f>
        <v>0</v>
      </c>
      <c r="FX44" s="133" t="n">
        <f aca="false">SUM(FX5:FX42)</f>
        <v>0</v>
      </c>
      <c r="FY44" s="133" t="n">
        <f aca="false">SUM(FY5:FY42)</f>
        <v>0</v>
      </c>
      <c r="FZ44" s="133" t="n">
        <f aca="false">SUM(FZ5:FZ42)</f>
        <v>0</v>
      </c>
      <c r="GA44" s="133" t="n">
        <f aca="false">SUM(GA5:GA42)</f>
        <v>0</v>
      </c>
      <c r="GB44" s="133" t="n">
        <f aca="false">SUM(GB5:GB42)</f>
        <v>0</v>
      </c>
      <c r="GC44" s="133" t="n">
        <f aca="false">SUM(GC5:GC42)</f>
        <v>0</v>
      </c>
      <c r="GD44" s="133" t="n">
        <f aca="false">SUM(GD5:GD42)</f>
        <v>0</v>
      </c>
      <c r="GE44" s="133" t="n">
        <f aca="false">SUM(GE5:GE42)</f>
        <v>0</v>
      </c>
      <c r="GF44" s="133" t="n">
        <f aca="false">SUM(GF5:GF42)</f>
        <v>0</v>
      </c>
      <c r="GG44" s="133" t="n">
        <f aca="false">SUM(GG5:GG42)</f>
        <v>0</v>
      </c>
      <c r="GH44" s="133" t="n">
        <f aca="false">SUM(GH5:GH42)</f>
        <v>0</v>
      </c>
      <c r="GI44" s="133" t="n">
        <f aca="false">SUM(GI5:GI42)</f>
        <v>0</v>
      </c>
      <c r="GJ44" s="133" t="n">
        <f aca="false">SUM(GJ5:GJ42)</f>
        <v>0</v>
      </c>
      <c r="GK44" s="133" t="n">
        <f aca="false">SUM(GK5:GK42)</f>
        <v>0</v>
      </c>
      <c r="GL44" s="133" t="n">
        <f aca="false">SUM(GL5:GL42)</f>
        <v>0</v>
      </c>
      <c r="GM44" s="133" t="n">
        <f aca="false">SUM(GM5:GM42)</f>
        <v>0</v>
      </c>
      <c r="GN44" s="133" t="n">
        <f aca="false">SUM(GN5:GN42)</f>
        <v>0</v>
      </c>
      <c r="GO44" s="133" t="n">
        <f aca="false">SUM(GO5:GO42)</f>
        <v>0</v>
      </c>
      <c r="GP44" s="133" t="n">
        <f aca="false">SUM(GP5:GP42)</f>
        <v>0</v>
      </c>
      <c r="GQ44" s="133" t="n">
        <f aca="false">SUM(GQ5:GQ42)</f>
        <v>0</v>
      </c>
      <c r="GR44" s="133" t="n">
        <f aca="false">SUM(GR5:GR42)</f>
        <v>0</v>
      </c>
      <c r="GS44" s="133" t="n">
        <f aca="false">SUM(GS5:GS42)</f>
        <v>0</v>
      </c>
      <c r="GT44" s="133" t="n">
        <f aca="false">SUM(GT5:GT42)</f>
        <v>0</v>
      </c>
      <c r="GU44" s="133" t="n">
        <f aca="false">SUM(GU5:GU42)</f>
        <v>0</v>
      </c>
      <c r="GV44" s="133" t="n">
        <f aca="false">SUM(GV5:GV42)</f>
        <v>0</v>
      </c>
      <c r="GW44" s="133" t="n">
        <f aca="false">SUM(GW5:GW42)</f>
        <v>0</v>
      </c>
      <c r="GX44" s="133" t="n">
        <f aca="false">SUM(GX5:GX42)</f>
        <v>0</v>
      </c>
      <c r="GY44" s="133" t="n">
        <f aca="false">SUM(GY5:GY42)</f>
        <v>0</v>
      </c>
      <c r="GZ44" s="133" t="n">
        <f aca="false">SUM(GZ5:GZ42)</f>
        <v>0</v>
      </c>
      <c r="HA44" s="133" t="n">
        <f aca="false">SUM(HA5:HA42)</f>
        <v>0</v>
      </c>
      <c r="HB44" s="133" t="n">
        <f aca="false">SUM(HB5:HB42)</f>
        <v>0</v>
      </c>
      <c r="HC44" s="133" t="n">
        <f aca="false">SUM(HC5:HC42)</f>
        <v>0</v>
      </c>
      <c r="HD44" s="133" t="n">
        <f aca="false">SUM(HD5:HD42)</f>
        <v>0</v>
      </c>
      <c r="HE44" s="133" t="n">
        <f aca="false">SUM(HE5:HE42)</f>
        <v>0</v>
      </c>
      <c r="HF44" s="133" t="n">
        <f aca="false">SUM(HF5:HF42)</f>
        <v>0</v>
      </c>
      <c r="HG44" s="133" t="n">
        <f aca="false">SUM(HG5:HG42)</f>
        <v>0</v>
      </c>
      <c r="HH44" s="133" t="n">
        <f aca="false">SUM(HH5:HH42)</f>
        <v>0</v>
      </c>
      <c r="HI44" s="133" t="n">
        <f aca="false">SUM(HI5:HI42)</f>
        <v>0</v>
      </c>
      <c r="HJ44" s="133" t="n">
        <f aca="false">SUM(HJ5:HJ42)</f>
        <v>0</v>
      </c>
      <c r="HK44" s="133" t="n">
        <f aca="false">SUM(HK5:HK42)</f>
        <v>0</v>
      </c>
      <c r="HL44" s="133" t="n">
        <f aca="false">SUM(HL5:HL42)</f>
        <v>0</v>
      </c>
      <c r="HM44" s="133" t="n">
        <f aca="false">SUM(HM5:HM42)</f>
        <v>0</v>
      </c>
      <c r="HN44" s="133" t="n">
        <f aca="false">SUM(HN5:HN42)</f>
        <v>0</v>
      </c>
      <c r="HO44" s="133" t="n">
        <f aca="false">SUM(HO5:HO42)</f>
        <v>0</v>
      </c>
      <c r="HP44" s="133" t="n">
        <f aca="false">SUM(HP5:HP42)</f>
        <v>0</v>
      </c>
      <c r="HQ44" s="133" t="n">
        <f aca="false">SUM(HQ5:HQ42)</f>
        <v>0</v>
      </c>
      <c r="HR44" s="133" t="n">
        <f aca="false">SUM(HR5:HR42)</f>
        <v>0</v>
      </c>
      <c r="HS44" s="133" t="n">
        <f aca="false">SUM(HS5:HS42)</f>
        <v>0</v>
      </c>
      <c r="HT44" s="133" t="n">
        <f aca="false">SUM(HT5:HT42)</f>
        <v>0</v>
      </c>
      <c r="HU44" s="133" t="n">
        <f aca="false">SUM(HU5:HU42)</f>
        <v>0</v>
      </c>
      <c r="HV44" s="133" t="n">
        <f aca="false">SUM(HV5:HV42)</f>
        <v>0</v>
      </c>
      <c r="HW44" s="133" t="n">
        <f aca="false">SUM(HW5:HW42)</f>
        <v>0</v>
      </c>
      <c r="HX44" s="133" t="n">
        <f aca="false">SUM(HX5:HX42)</f>
        <v>0</v>
      </c>
      <c r="HY44" s="133" t="n">
        <f aca="false">SUM(HY5:HY42)</f>
        <v>0</v>
      </c>
      <c r="HZ44" s="133" t="n">
        <f aca="false">SUM(HZ5:HZ42)</f>
        <v>0</v>
      </c>
      <c r="IA44" s="133" t="n">
        <f aca="false">SUM(IA5:IA42)</f>
        <v>0</v>
      </c>
      <c r="IB44" s="133" t="n">
        <f aca="false">SUM(IB5:IB42)</f>
        <v>0</v>
      </c>
      <c r="IC44" s="133" t="n">
        <f aca="false">SUM(IC5:IC42)</f>
        <v>0</v>
      </c>
      <c r="ID44" s="133" t="n">
        <f aca="false">SUM(ID5:ID42)</f>
        <v>0</v>
      </c>
      <c r="IE44" s="133" t="n">
        <f aca="false">SUM(IE5:IE42)</f>
        <v>0</v>
      </c>
      <c r="IF44" s="133" t="n">
        <f aca="false">SUM(IF5:IF42)</f>
        <v>0</v>
      </c>
      <c r="IG44" s="133" t="n">
        <f aca="false">SUM(IG5:IG42)</f>
        <v>0</v>
      </c>
      <c r="IH44" s="133" t="n">
        <f aca="false">SUM(IH5:IH42)</f>
        <v>0</v>
      </c>
      <c r="II44" s="133" t="n">
        <f aca="false">SUM(II5:II42)</f>
        <v>0</v>
      </c>
      <c r="IJ44" s="133" t="n">
        <f aca="false">SUM(IJ5:IJ42)</f>
        <v>0</v>
      </c>
      <c r="IK44" s="133" t="n">
        <f aca="false">SUM(IK5:IK42)</f>
        <v>0</v>
      </c>
      <c r="IL44" s="133" t="n">
        <f aca="false">SUM(IL5:IL42)</f>
        <v>0</v>
      </c>
      <c r="IM44" s="133" t="n">
        <f aca="false">SUM(IM5:IM42)</f>
        <v>0</v>
      </c>
      <c r="IN44" s="133" t="n">
        <f aca="false">SUM(IN5:IN42)</f>
        <v>0</v>
      </c>
      <c r="IO44" s="133" t="n">
        <f aca="false">SUM(IO5:IO42)</f>
        <v>0</v>
      </c>
      <c r="IP44" s="133" t="n">
        <f aca="false">SUM(IP5:IP42)</f>
        <v>0</v>
      </c>
      <c r="IQ44" s="133" t="n">
        <f aca="false">SUM(IQ5:IQ42)</f>
        <v>0</v>
      </c>
      <c r="IR44" s="133" t="n">
        <f aca="false">SUM(IR5:IR42)</f>
        <v>0</v>
      </c>
      <c r="IS44" s="133" t="n">
        <f aca="false">SUM(IS5:IS42)</f>
        <v>0</v>
      </c>
      <c r="IT44" s="133" t="n">
        <f aca="false">SUM(IT5:IT42)</f>
        <v>0</v>
      </c>
      <c r="IU44" s="133" t="n">
        <f aca="false">SUM(IU5:IU42)</f>
        <v>0</v>
      </c>
      <c r="IV44" s="133" t="n">
        <f aca="false">SUM(IV5:IV42)</f>
        <v>0</v>
      </c>
      <c r="IW44" s="133" t="n">
        <f aca="false">SUM(IW5:IW42)</f>
        <v>0</v>
      </c>
      <c r="IX44" s="133" t="n">
        <f aca="false">SUM(IX5:IX42)</f>
        <v>0</v>
      </c>
      <c r="IY44" s="133" t="n">
        <f aca="false">SUM(IY5:IY42)</f>
        <v>0</v>
      </c>
      <c r="IZ44" s="133" t="n">
        <f aca="false">SUM(IZ5:IZ42)</f>
        <v>0</v>
      </c>
      <c r="JA44" s="133" t="n">
        <f aca="false">SUM(JA5:JA42)</f>
        <v>0</v>
      </c>
      <c r="JB44" s="133" t="n">
        <f aca="false">SUM(JB5:JB42)</f>
        <v>0</v>
      </c>
      <c r="JC44" s="133" t="n">
        <f aca="false">SUM(JC5:JC42)</f>
        <v>0</v>
      </c>
      <c r="JD44" s="133" t="n">
        <f aca="false">SUM(JD5:JD42)</f>
        <v>0</v>
      </c>
      <c r="JE44" s="133" t="n">
        <f aca="false">SUM(JE5:JE42)</f>
        <v>0</v>
      </c>
      <c r="JF44" s="133" t="n">
        <f aca="false">SUM(JF5:JF42)</f>
        <v>0</v>
      </c>
      <c r="JG44" s="133" t="n">
        <f aca="false">SUM(JG5:JG42)</f>
        <v>0</v>
      </c>
      <c r="JH44" s="133" t="n">
        <f aca="false">SUM(JH5:JH42)</f>
        <v>0</v>
      </c>
      <c r="JI44" s="133" t="n">
        <f aca="false">SUM(JI5:JI42)</f>
        <v>0</v>
      </c>
      <c r="JJ44" s="133" t="n">
        <f aca="false">SUM(JJ5:JJ42)</f>
        <v>0</v>
      </c>
      <c r="JK44" s="133" t="n">
        <f aca="false">SUM(JK5:JK42)</f>
        <v>0</v>
      </c>
      <c r="JL44" s="133" t="n">
        <f aca="false">SUM(JL5:JL42)</f>
        <v>0</v>
      </c>
      <c r="JM44" s="133" t="n">
        <f aca="false">SUM(JM5:JM42)</f>
        <v>0</v>
      </c>
      <c r="JN44" s="133" t="n">
        <f aca="false">SUM(JN5:JN42)</f>
        <v>0</v>
      </c>
      <c r="JO44" s="133" t="n">
        <f aca="false">SUM(JO5:JO42)</f>
        <v>0</v>
      </c>
      <c r="JP44" s="133" t="n">
        <f aca="false">SUM(JP5:JP42)</f>
        <v>0</v>
      </c>
      <c r="JQ44" s="133" t="n">
        <f aca="false">SUM(JQ5:JQ42)</f>
        <v>0</v>
      </c>
      <c r="JR44" s="133" t="n">
        <f aca="false">SUM(JR5:JR42)</f>
        <v>0</v>
      </c>
      <c r="JS44" s="133" t="n">
        <f aca="false">SUM(JS5:JS42)</f>
        <v>0</v>
      </c>
    </row>
    <row r="45" customFormat="false" ht="15" hidden="false" customHeight="false" outlineLevel="0" collapsed="false">
      <c r="A45" s="42" t="s">
        <v>3854</v>
      </c>
      <c r="D45" s="116" t="n">
        <f aca="false">D44</f>
        <v>3987357.38</v>
      </c>
      <c r="E45" s="116" t="n">
        <f aca="false">D45+E44</f>
        <v>4123813.09</v>
      </c>
      <c r="F45" s="116" t="n">
        <f aca="false">E45+F44</f>
        <v>4499298.8</v>
      </c>
      <c r="G45" s="116" t="n">
        <f aca="false">F45+G44</f>
        <v>5023535.92</v>
      </c>
      <c r="H45" s="116" t="n">
        <f aca="false">G45+H44</f>
        <v>5705910.2</v>
      </c>
      <c r="I45" s="116" t="n">
        <f aca="false">H45+I44</f>
        <v>7011451.32</v>
      </c>
      <c r="J45" s="116" t="n">
        <f aca="false">I45+J44</f>
        <v>8419744.22</v>
      </c>
      <c r="K45" s="116" t="n">
        <f aca="false">J45+K44</f>
        <v>10539547.03</v>
      </c>
      <c r="L45" s="116" t="n">
        <f aca="false">K45+L44</f>
        <v>13293618.96</v>
      </c>
      <c r="M45" s="116" t="n">
        <f aca="false">L45+M44</f>
        <v>16202242.68</v>
      </c>
      <c r="N45" s="116" t="n">
        <f aca="false">M45+N44</f>
        <v>19612142.96</v>
      </c>
      <c r="O45" s="116" t="n">
        <f aca="false">N45+O44</f>
        <v>23049810</v>
      </c>
      <c r="P45" s="116" t="n">
        <f aca="false">O45+P44</f>
        <v>25513705.76</v>
      </c>
      <c r="Q45" s="116" t="n">
        <f aca="false">P45+Q44</f>
        <v>27346992.3</v>
      </c>
      <c r="R45" s="116" t="n">
        <f aca="false">Q45+R44</f>
        <v>28913187.2</v>
      </c>
      <c r="S45" s="116" t="n">
        <f aca="false">R45+S44</f>
        <v>31081540.17</v>
      </c>
      <c r="T45" s="116" t="n">
        <f aca="false">S45+T44</f>
        <v>33030246.86</v>
      </c>
      <c r="U45" s="116" t="n">
        <f aca="false">T45+U44</f>
        <v>35610560.24</v>
      </c>
      <c r="V45" s="116" t="n">
        <f aca="false">U45+V44</f>
        <v>38023225.81</v>
      </c>
      <c r="W45" s="116" t="n">
        <f aca="false">V45+W44</f>
        <v>41412235.27</v>
      </c>
      <c r="X45" s="116" t="n">
        <f aca="false">W45+X44</f>
        <v>44259313.94</v>
      </c>
      <c r="Y45" s="116" t="n">
        <f aca="false">X45+Y44</f>
        <v>47319293.36</v>
      </c>
      <c r="Z45" s="116" t="n">
        <f aca="false">Y45+Z44</f>
        <v>49123305.13</v>
      </c>
      <c r="AA45" s="116" t="n">
        <f aca="false">Z45+AA44</f>
        <v>49466484.92</v>
      </c>
      <c r="AB45" s="116" t="n">
        <f aca="false">AA45+AB44</f>
        <v>49611540.07</v>
      </c>
      <c r="AC45" s="116" t="n">
        <f aca="false">AB45+AC44</f>
        <v>49735077.13</v>
      </c>
      <c r="AD45" s="116" t="n">
        <f aca="false">AC45+AD44</f>
        <v>49752822.29</v>
      </c>
      <c r="AE45" s="116" t="n">
        <f aca="false">AD45+AE44</f>
        <v>49823361.37</v>
      </c>
      <c r="AF45" s="116" t="n">
        <f aca="false">AE45+AF44</f>
        <v>49839787.37</v>
      </c>
      <c r="AG45" s="116" t="n">
        <f aca="false">AF45+AG44</f>
        <v>49856213.37</v>
      </c>
      <c r="AH45" s="116" t="n">
        <f aca="false">AG45+AH44</f>
        <v>49877891.6</v>
      </c>
      <c r="AI45" s="116" t="n">
        <f aca="false">AH45+AI44</f>
        <v>49894807.6</v>
      </c>
      <c r="AJ45" s="116" t="n">
        <f aca="false">AI45+AJ44</f>
        <v>49911233.6</v>
      </c>
      <c r="AK45" s="116" t="n">
        <f aca="false">AJ45+AK44</f>
        <v>49927659.6</v>
      </c>
      <c r="AL45" s="116" t="n">
        <f aca="false">AK45+AL44</f>
        <v>49945597.42</v>
      </c>
      <c r="AM45" s="116" t="n">
        <f aca="false">AL45+AM44</f>
        <v>49964167.12</v>
      </c>
      <c r="AN45" s="116" t="n">
        <f aca="false">AM45+AN44</f>
        <v>49983299.77</v>
      </c>
      <c r="AO45" s="116" t="n">
        <f aca="false">AN45+AO44</f>
        <v>50031610.22</v>
      </c>
      <c r="AP45" s="116" t="n">
        <f aca="false">AO45+AP44</f>
        <v>50048036.22</v>
      </c>
      <c r="AQ45" s="116" t="n">
        <f aca="false">AP45+AQ44</f>
        <v>50065734.5</v>
      </c>
      <c r="AR45" s="116" t="n">
        <f aca="false">AQ45+AR44</f>
        <v>50082160.5</v>
      </c>
      <c r="AS45" s="116" t="n">
        <f aca="false">AR45+AS44</f>
        <v>50298305.26</v>
      </c>
      <c r="AT45" s="116" t="n">
        <f aca="false">AS45+AT44</f>
        <v>50324481.2</v>
      </c>
      <c r="AU45" s="116" t="n">
        <f aca="false">AT45+AU44</f>
        <v>50353471.1</v>
      </c>
      <c r="AV45" s="116" t="n">
        <f aca="false">AU45+AV44</f>
        <v>50370347.1</v>
      </c>
      <c r="AW45" s="116" t="n">
        <f aca="false">AV45+AW44</f>
        <v>50386773.1</v>
      </c>
      <c r="AX45" s="116" t="n">
        <f aca="false">AW45+AX44</f>
        <v>50412357.81</v>
      </c>
      <c r="AY45" s="116" t="n">
        <f aca="false">AX45+AY44</f>
        <v>50428783.81</v>
      </c>
      <c r="AZ45" s="116" t="n">
        <f aca="false">AY45+AZ44</f>
        <v>50445209.81</v>
      </c>
      <c r="BA45" s="116" t="n">
        <f aca="false">AZ45+BA44</f>
        <v>50463302.97</v>
      </c>
      <c r="BB45" s="116" t="n">
        <f aca="false">BA45+BB44</f>
        <v>50479728.97</v>
      </c>
      <c r="BC45" s="116" t="n">
        <f aca="false">BB45+BC44</f>
        <v>50496154.97</v>
      </c>
      <c r="BD45" s="116" t="n">
        <f aca="false">BC45+BD44</f>
        <v>50512580.97</v>
      </c>
      <c r="BE45" s="116" t="n">
        <f aca="false">BD45+BE44</f>
        <v>50529006.97</v>
      </c>
      <c r="BF45" s="116" t="n">
        <f aca="false">BE45+BF44</f>
        <v>50545432.97</v>
      </c>
      <c r="BG45" s="116" t="n">
        <f aca="false">BF45+BG44</f>
        <v>50561860.97</v>
      </c>
      <c r="BH45" s="116" t="n">
        <f aca="false">BG45+BH44</f>
        <v>50561860.97</v>
      </c>
      <c r="BI45" s="116" t="n">
        <f aca="false">BH45+BI44</f>
        <v>50569462.97</v>
      </c>
      <c r="BJ45" s="116" t="n">
        <f aca="false">BI45+BJ44</f>
        <v>50569462.97</v>
      </c>
      <c r="BK45" s="116" t="n">
        <f aca="false">BJ45+BK44</f>
        <v>50569462.97</v>
      </c>
      <c r="BL45" s="116" t="n">
        <f aca="false">BK45+BL44</f>
        <v>50569462.97</v>
      </c>
      <c r="BM45" s="116" t="n">
        <f aca="false">BL45+BM44</f>
        <v>50569462.97</v>
      </c>
      <c r="BN45" s="116" t="n">
        <f aca="false">BM45+BN44</f>
        <v>50569462.97</v>
      </c>
      <c r="BO45" s="116" t="n">
        <f aca="false">BN45+BO44</f>
        <v>50569462.97</v>
      </c>
      <c r="BP45" s="116" t="n">
        <f aca="false">BO45+BP44</f>
        <v>50569462.97</v>
      </c>
      <c r="BQ45" s="116" t="n">
        <f aca="false">BP45+BQ44</f>
        <v>50569462.97</v>
      </c>
      <c r="BR45" s="116" t="n">
        <f aca="false">BQ45+BR44</f>
        <v>50569462.97</v>
      </c>
      <c r="BS45" s="116" t="n">
        <f aca="false">BR45+BS44</f>
        <v>50569462.97</v>
      </c>
      <c r="BT45" s="116" t="n">
        <f aca="false">BS45+BT44</f>
        <v>50569462.97</v>
      </c>
      <c r="BU45" s="116" t="n">
        <f aca="false">BT45+BU44</f>
        <v>50569462.97</v>
      </c>
      <c r="BV45" s="116" t="n">
        <f aca="false">BU45+BV44</f>
        <v>50569462.97</v>
      </c>
      <c r="BW45" s="116" t="n">
        <f aca="false">BV45+BW44</f>
        <v>50569462.97</v>
      </c>
    </row>
    <row r="49" customFormat="false" ht="15" hidden="false" customHeight="false" outlineLevel="0" collapsed="false">
      <c r="A49" s="62" t="s">
        <v>3855</v>
      </c>
      <c r="B49" s="62"/>
      <c r="C49" s="62"/>
    </row>
    <row r="50" customFormat="false" ht="15" hidden="false" customHeight="false" outlineLevel="0" collapsed="false">
      <c r="A50" s="55" t="s">
        <v>3856</v>
      </c>
    </row>
    <row r="51" customFormat="false" ht="15" hidden="false" customHeight="false" outlineLevel="0" collapsed="false">
      <c r="A51" s="55" t="s">
        <v>3857</v>
      </c>
    </row>
    <row r="52" customFormat="false" ht="15" hidden="false" customHeight="false" outlineLevel="0" collapsed="false">
      <c r="A52" s="55" t="s">
        <v>3858</v>
      </c>
    </row>
    <row r="53" customFormat="false" ht="15" hidden="false" customHeight="false" outlineLevel="0" collapsed="false">
      <c r="A53" s="55" t="s">
        <v>3859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3860</v>
      </c>
    </row>
    <row r="56" customFormat="false" ht="15" hidden="false" customHeight="false" outlineLevel="0" collapsed="false">
      <c r="A56" s="55" t="s">
        <v>3861</v>
      </c>
    </row>
    <row r="57" customFormat="false" ht="15" hidden="false" customHeight="false" outlineLevel="0" collapsed="false">
      <c r="A57" s="55"/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8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C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3862</v>
      </c>
      <c r="B1" s="4" t="s">
        <v>3863</v>
      </c>
    </row>
    <row r="2" customFormat="false" ht="15" hidden="false" customHeight="false" outlineLevel="0" collapsed="false">
      <c r="A2" s="4" t="s">
        <v>3864</v>
      </c>
      <c r="B2" s="135" t="n">
        <v>44621</v>
      </c>
      <c r="C2" s="135" t="n">
        <v>44652</v>
      </c>
      <c r="D2" s="135" t="n">
        <v>44682</v>
      </c>
      <c r="E2" s="135" t="n">
        <v>44713</v>
      </c>
      <c r="F2" s="135" t="n">
        <v>44743</v>
      </c>
      <c r="G2" s="135" t="n">
        <v>44774</v>
      </c>
      <c r="H2" s="135" t="n">
        <v>44805</v>
      </c>
      <c r="I2" s="135" t="n">
        <v>44835</v>
      </c>
      <c r="J2" s="135" t="n">
        <v>44866</v>
      </c>
      <c r="K2" s="135" t="n">
        <v>44896</v>
      </c>
      <c r="L2" s="135" t="n">
        <v>44927</v>
      </c>
      <c r="M2" s="135" t="n">
        <v>44958</v>
      </c>
      <c r="N2" s="135" t="n">
        <v>44986</v>
      </c>
      <c r="O2" s="135" t="n">
        <v>45017</v>
      </c>
      <c r="P2" s="135" t="n">
        <v>45047</v>
      </c>
      <c r="Q2" s="135" t="n">
        <v>45078</v>
      </c>
      <c r="R2" s="135" t="n">
        <v>45108</v>
      </c>
      <c r="S2" s="135" t="n">
        <v>45139</v>
      </c>
      <c r="T2" s="135" t="n">
        <v>45170</v>
      </c>
      <c r="U2" s="135" t="n">
        <v>45231</v>
      </c>
      <c r="V2" s="135" t="n">
        <v>45261</v>
      </c>
      <c r="W2" s="135" t="n">
        <v>45292</v>
      </c>
      <c r="X2" s="135" t="n">
        <v>45323</v>
      </c>
      <c r="Y2" s="135" t="n">
        <v>45352</v>
      </c>
      <c r="Z2" s="135" t="n">
        <v>45383</v>
      </c>
      <c r="AA2" s="135" t="n">
        <v>45413</v>
      </c>
      <c r="AB2" s="135" t="n">
        <v>45444</v>
      </c>
      <c r="AC2" s="135" t="n">
        <v>45474</v>
      </c>
      <c r="AD2" s="135" t="n">
        <v>45505</v>
      </c>
      <c r="AE2" s="135" t="n">
        <v>45536</v>
      </c>
      <c r="AF2" s="135" t="n">
        <v>45566</v>
      </c>
      <c r="AG2" s="135" t="n">
        <v>45597</v>
      </c>
      <c r="AH2" s="135" t="n">
        <v>45627</v>
      </c>
      <c r="AI2" s="135" t="n">
        <v>45658</v>
      </c>
      <c r="AJ2" s="135" t="n">
        <v>45689</v>
      </c>
      <c r="AK2" s="135" t="n">
        <v>45717</v>
      </c>
      <c r="AL2" s="135" t="n">
        <v>45748</v>
      </c>
      <c r="AM2" s="135" t="n">
        <v>45778</v>
      </c>
      <c r="AN2" s="135" t="n">
        <v>45809</v>
      </c>
      <c r="AO2" s="135" t="n">
        <v>45839</v>
      </c>
      <c r="AP2" s="135" t="n">
        <v>45870</v>
      </c>
      <c r="AQ2" s="135" t="n">
        <v>45901</v>
      </c>
      <c r="AR2" s="135" t="n">
        <v>45931</v>
      </c>
      <c r="AS2" s="135" t="n">
        <v>45962</v>
      </c>
      <c r="AT2" s="135" t="n">
        <v>45992</v>
      </c>
      <c r="AU2" s="135" t="n">
        <v>46023</v>
      </c>
      <c r="AV2" s="135" t="n">
        <v>46054</v>
      </c>
      <c r="AW2" s="135" t="n">
        <v>46082</v>
      </c>
      <c r="AX2" s="135" t="n">
        <v>46113</v>
      </c>
      <c r="AY2" s="135" t="n">
        <v>46143</v>
      </c>
      <c r="AZ2" s="135" t="n">
        <v>46174</v>
      </c>
      <c r="BA2" s="135" t="n">
        <v>46204</v>
      </c>
      <c r="BB2" s="135" t="n">
        <v>46235</v>
      </c>
      <c r="BC2" s="135" t="n">
        <v>46266</v>
      </c>
      <c r="BD2" s="135" t="n">
        <v>46296</v>
      </c>
      <c r="BE2" s="135" t="n">
        <v>46327</v>
      </c>
      <c r="BF2" s="135" t="n">
        <v>46357</v>
      </c>
      <c r="BG2" s="135" t="n">
        <v>46388</v>
      </c>
      <c r="BH2" s="135" t="n">
        <v>46419</v>
      </c>
      <c r="BI2" s="135" t="n">
        <v>46447</v>
      </c>
      <c r="BJ2" s="135" t="n">
        <v>46478</v>
      </c>
      <c r="BK2" s="135" t="n">
        <v>46508</v>
      </c>
      <c r="BL2" s="135" t="n">
        <v>46539</v>
      </c>
      <c r="BM2" s="135" t="n">
        <v>46569</v>
      </c>
      <c r="BN2" s="135" t="n">
        <v>46600</v>
      </c>
      <c r="BO2" s="135" t="n">
        <v>46631</v>
      </c>
      <c r="BP2" s="135" t="n">
        <v>46661</v>
      </c>
      <c r="BQ2" s="135" t="n">
        <v>46692</v>
      </c>
      <c r="BR2" s="135" t="n">
        <v>46722</v>
      </c>
      <c r="BS2" s="135" t="n">
        <v>46753</v>
      </c>
      <c r="BT2" s="135" t="n">
        <v>46784</v>
      </c>
      <c r="BU2" s="135" t="n">
        <v>46813</v>
      </c>
      <c r="BV2" s="135" t="n">
        <v>46844</v>
      </c>
      <c r="BW2" s="135" t="n">
        <v>46874</v>
      </c>
      <c r="BX2" s="135" t="n">
        <v>46905</v>
      </c>
      <c r="BY2" s="135" t="n">
        <v>46935</v>
      </c>
      <c r="BZ2" s="135" t="n">
        <v>46966</v>
      </c>
      <c r="CA2" s="135" t="n">
        <v>46997</v>
      </c>
      <c r="CB2" s="135" t="n">
        <v>47027</v>
      </c>
      <c r="CC2" s="135" t="n">
        <v>47058</v>
      </c>
      <c r="CD2" s="135" t="n">
        <v>47088</v>
      </c>
      <c r="CE2" s="135" t="n">
        <v>47119</v>
      </c>
      <c r="CF2" s="135" t="n">
        <v>47150</v>
      </c>
      <c r="CG2" s="135" t="n">
        <v>47178</v>
      </c>
      <c r="CH2" s="135" t="n">
        <v>47209</v>
      </c>
      <c r="CI2" s="135" t="n">
        <v>47239</v>
      </c>
      <c r="CJ2" s="135" t="n">
        <v>47270</v>
      </c>
      <c r="CK2" s="135" t="n">
        <v>47300</v>
      </c>
      <c r="CL2" s="135" t="n">
        <v>47362</v>
      </c>
    </row>
    <row r="3" customFormat="false" ht="15" hidden="false" customHeight="false" outlineLevel="0" collapsed="false">
      <c r="A3" s="4" t="s">
        <v>3857</v>
      </c>
    </row>
    <row r="4" customFormat="false" ht="15" hidden="false" customHeight="false" outlineLevel="0" collapsed="false">
      <c r="A4" s="4" t="s">
        <v>3858</v>
      </c>
    </row>
    <row r="5" customFormat="false" ht="15" hidden="false" customHeight="false" outlineLevel="0" collapsed="false">
      <c r="A5" s="4" t="s">
        <v>163</v>
      </c>
      <c r="AX5" s="136" t="n">
        <v>7706.5</v>
      </c>
      <c r="AY5" s="136" t="n">
        <v>14902.2</v>
      </c>
      <c r="AZ5" s="136" t="n">
        <v>10188.56</v>
      </c>
      <c r="BA5" s="136" t="n">
        <v>79156.11</v>
      </c>
      <c r="BB5" s="136" t="n">
        <v>146083.04</v>
      </c>
      <c r="BC5" s="136" t="n">
        <v>141585.41</v>
      </c>
      <c r="BD5" s="136" t="n">
        <v>105967.94</v>
      </c>
      <c r="BE5" s="136" t="n">
        <v>10756.9</v>
      </c>
      <c r="BL5" s="136" t="n">
        <v>4832.65</v>
      </c>
      <c r="CB5" s="136" t="n">
        <v>9158.71</v>
      </c>
    </row>
    <row r="6" customFormat="false" ht="15" hidden="false" customHeight="false" outlineLevel="0" collapsed="false">
      <c r="A6" s="4" t="s">
        <v>67</v>
      </c>
      <c r="AB6" s="136" t="n">
        <v>2213</v>
      </c>
      <c r="AC6" s="136" t="n">
        <v>11513.25</v>
      </c>
      <c r="AD6" s="136" t="n">
        <v>4159.45</v>
      </c>
      <c r="AE6" s="136" t="n">
        <v>15147.87</v>
      </c>
      <c r="AF6" s="136" t="n">
        <v>3565.2</v>
      </c>
      <c r="AG6" s="136" t="n">
        <v>42692.24</v>
      </c>
      <c r="AH6" s="136" t="n">
        <v>3745.01</v>
      </c>
      <c r="AJ6" s="136" t="n">
        <v>20105.8</v>
      </c>
      <c r="AK6" s="136" t="n">
        <v>16993.58</v>
      </c>
      <c r="AL6" s="136" t="n">
        <v>32331.04</v>
      </c>
      <c r="AM6" s="136" t="n">
        <v>27992.74</v>
      </c>
      <c r="AN6" s="136" t="n">
        <v>36416.7</v>
      </c>
      <c r="AO6" s="136" t="n">
        <v>48078.75</v>
      </c>
      <c r="AP6" s="136" t="n">
        <v>31806.24</v>
      </c>
      <c r="AQ6" s="136" t="n">
        <v>55748.95</v>
      </c>
      <c r="AR6" s="136" t="n">
        <v>49162.93</v>
      </c>
      <c r="AS6" s="136" t="n">
        <v>60589.1</v>
      </c>
      <c r="AT6" s="136" t="n">
        <v>35089.61</v>
      </c>
      <c r="AU6" s="136" t="n">
        <v>28493.12</v>
      </c>
      <c r="AV6" s="136" t="n">
        <v>31521.07</v>
      </c>
      <c r="AW6" s="136" t="n">
        <v>46267.09</v>
      </c>
      <c r="AX6" s="136" t="n">
        <v>57419.86</v>
      </c>
      <c r="AY6" s="136" t="n">
        <v>21594.22</v>
      </c>
      <c r="AZ6" s="136" t="n">
        <v>33199.94</v>
      </c>
      <c r="BA6" s="136" t="n">
        <v>25059.75</v>
      </c>
      <c r="BB6" s="136" t="n">
        <v>30796.39</v>
      </c>
      <c r="BC6" s="136" t="n">
        <v>75308.03</v>
      </c>
      <c r="BD6" s="136" t="n">
        <v>56241.45</v>
      </c>
      <c r="BE6" s="136" t="n">
        <v>20213.14</v>
      </c>
      <c r="BF6" s="136" t="n">
        <v>14663.43</v>
      </c>
      <c r="BG6" s="136" t="n">
        <v>4838</v>
      </c>
      <c r="BH6" s="136" t="n">
        <v>829.75</v>
      </c>
      <c r="BI6" s="136" t="n">
        <v>955.92</v>
      </c>
      <c r="CE6" s="136" t="n">
        <v>1667.16</v>
      </c>
    </row>
    <row r="7" customFormat="false" ht="15" hidden="false" customHeight="false" outlineLevel="0" collapsed="false">
      <c r="A7" s="4" t="s">
        <v>69</v>
      </c>
      <c r="AB7" s="136" t="n">
        <v>14540.91</v>
      </c>
      <c r="AC7" s="136" t="n">
        <v>3569.5</v>
      </c>
      <c r="AD7" s="136" t="n">
        <v>50.5</v>
      </c>
      <c r="AE7" s="136" t="n">
        <v>7548.75</v>
      </c>
      <c r="AF7" s="136" t="n">
        <v>167.87</v>
      </c>
      <c r="AG7" s="136" t="n">
        <v>3.25</v>
      </c>
      <c r="AI7" s="136" t="n">
        <v>2679.05</v>
      </c>
      <c r="AJ7" s="136" t="n">
        <v>126909.7</v>
      </c>
      <c r="AK7" s="136" t="n">
        <v>146680.08</v>
      </c>
      <c r="AL7" s="136" t="n">
        <v>21272.38</v>
      </c>
      <c r="AM7" s="136" t="n">
        <v>12378.73</v>
      </c>
      <c r="AN7" s="136" t="n">
        <v>10621.02</v>
      </c>
      <c r="AO7" s="136" t="n">
        <v>25742.23</v>
      </c>
      <c r="AP7" s="136" t="n">
        <v>143972.58</v>
      </c>
      <c r="AQ7" s="136" t="n">
        <v>131293.27</v>
      </c>
      <c r="AR7" s="136" t="n">
        <v>26251.42</v>
      </c>
      <c r="AS7" s="136" t="n">
        <v>36995.11</v>
      </c>
      <c r="AT7" s="136" t="n">
        <v>15498.77</v>
      </c>
      <c r="AU7" s="136" t="n">
        <v>16216.73</v>
      </c>
      <c r="AV7" s="136" t="n">
        <v>13976.19</v>
      </c>
      <c r="AW7" s="136" t="n">
        <v>25304.36</v>
      </c>
      <c r="AX7" s="136" t="n">
        <v>20634.6</v>
      </c>
      <c r="AY7" s="136" t="n">
        <v>9832.02</v>
      </c>
      <c r="AZ7" s="136" t="n">
        <v>25296.98</v>
      </c>
      <c r="BA7" s="136" t="n">
        <v>28560.83</v>
      </c>
      <c r="BB7" s="136" t="n">
        <v>16509.8</v>
      </c>
      <c r="BC7" s="136" t="n">
        <v>19442.99</v>
      </c>
      <c r="BD7" s="136" t="n">
        <v>726.93</v>
      </c>
    </row>
    <row r="8" customFormat="false" ht="15" hidden="false" customHeight="false" outlineLevel="0" collapsed="false">
      <c r="A8" s="4" t="s">
        <v>70</v>
      </c>
      <c r="AD8" s="136" t="n">
        <v>1753.43</v>
      </c>
      <c r="AE8" s="136" t="n">
        <v>311.83</v>
      </c>
      <c r="AF8" s="136" t="n">
        <v>907.28</v>
      </c>
      <c r="AI8" s="136" t="n">
        <v>880.02</v>
      </c>
      <c r="AJ8" s="136" t="n">
        <v>300</v>
      </c>
      <c r="AK8" s="136" t="n">
        <v>95.94</v>
      </c>
      <c r="AL8" s="136" t="n">
        <v>159.9</v>
      </c>
      <c r="AM8" s="136" t="n">
        <v>159.9</v>
      </c>
      <c r="AN8" s="136" t="n">
        <v>163.19</v>
      </c>
      <c r="AO8" s="136" t="n">
        <v>1728.34</v>
      </c>
      <c r="AP8" s="136" t="n">
        <v>3979.1</v>
      </c>
      <c r="AQ8" s="136" t="n">
        <v>5969.69</v>
      </c>
      <c r="AR8" s="136" t="n">
        <v>5640.06</v>
      </c>
      <c r="AS8" s="136" t="n">
        <v>6754</v>
      </c>
      <c r="AT8" s="136" t="n">
        <v>3019.33</v>
      </c>
      <c r="AU8" s="136" t="n">
        <v>4184.45</v>
      </c>
      <c r="AV8" s="136" t="n">
        <v>6514.18</v>
      </c>
      <c r="AW8" s="136" t="n">
        <v>5589.84</v>
      </c>
      <c r="AX8" s="136" t="n">
        <v>9085.29</v>
      </c>
      <c r="AY8" s="136" t="n">
        <v>5613.52</v>
      </c>
      <c r="AZ8" s="136" t="n">
        <v>4259.08</v>
      </c>
      <c r="BA8" s="136" t="n">
        <v>13140.55</v>
      </c>
      <c r="BB8" s="136" t="n">
        <v>45641.08</v>
      </c>
      <c r="BC8" s="136" t="n">
        <v>17050.13</v>
      </c>
      <c r="BD8" s="136" t="n">
        <v>6011.34</v>
      </c>
    </row>
    <row r="9" customFormat="false" ht="15" hidden="false" customHeight="false" outlineLevel="0" collapsed="false">
      <c r="A9" s="4" t="s">
        <v>72</v>
      </c>
      <c r="AC9" s="136" t="n">
        <v>30486.23</v>
      </c>
      <c r="AD9" s="136" t="n">
        <v>19898.85</v>
      </c>
      <c r="AE9" s="136" t="n">
        <v>1408.06</v>
      </c>
      <c r="AJ9" s="136" t="n">
        <v>34631.8</v>
      </c>
      <c r="AK9" s="136" t="n">
        <v>68777.66</v>
      </c>
      <c r="AL9" s="136" t="n">
        <v>289018.47</v>
      </c>
      <c r="AM9" s="136" t="n">
        <v>447931.23</v>
      </c>
      <c r="AN9" s="136" t="n">
        <v>307290.56</v>
      </c>
      <c r="AO9" s="136" t="n">
        <v>232883.87</v>
      </c>
      <c r="AP9" s="136" t="n">
        <v>529876.06</v>
      </c>
      <c r="AQ9" s="136" t="n">
        <v>236869.43</v>
      </c>
      <c r="AR9" s="136" t="n">
        <v>612093.14</v>
      </c>
      <c r="AS9" s="136" t="n">
        <v>140976.31</v>
      </c>
      <c r="AT9" s="136" t="n">
        <v>15666.06</v>
      </c>
      <c r="AU9" s="136" t="n">
        <v>1819.26</v>
      </c>
      <c r="AW9" s="136" t="n">
        <v>768</v>
      </c>
      <c r="AX9" s="136" t="n">
        <v>7727.6</v>
      </c>
      <c r="AZ9" s="136" t="n">
        <v>338.77</v>
      </c>
      <c r="BA9" s="136" t="n">
        <v>25731.24</v>
      </c>
      <c r="BB9" s="136" t="n">
        <v>24719.3</v>
      </c>
      <c r="BC9" s="136" t="n">
        <v>5053.1</v>
      </c>
      <c r="BD9" s="136" t="n">
        <v>18590.46</v>
      </c>
      <c r="BE9" s="136" t="n">
        <v>5078.5</v>
      </c>
      <c r="BF9" s="136" t="n">
        <v>5783.71</v>
      </c>
      <c r="BG9" s="136" t="n">
        <v>1523.01</v>
      </c>
      <c r="BI9" s="136" t="n">
        <v>27769.62</v>
      </c>
      <c r="BW9" s="136" t="n">
        <v>1668.81</v>
      </c>
    </row>
    <row r="10" customFormat="false" ht="15" hidden="false" customHeight="false" outlineLevel="0" collapsed="false">
      <c r="A10" s="4" t="s">
        <v>3851</v>
      </c>
      <c r="B10" s="136" t="n">
        <v>37021.3</v>
      </c>
      <c r="C10" s="136" t="n">
        <v>146702.19</v>
      </c>
      <c r="D10" s="136" t="n">
        <v>44829.26</v>
      </c>
      <c r="E10" s="136" t="n">
        <v>125166.59</v>
      </c>
      <c r="F10" s="136" t="n">
        <v>121806.14</v>
      </c>
      <c r="G10" s="136" t="n">
        <v>52761.67</v>
      </c>
      <c r="H10" s="136" t="n">
        <v>88975.92</v>
      </c>
      <c r="I10" s="136" t="n">
        <v>143901.88</v>
      </c>
      <c r="J10" s="136" t="n">
        <v>33274.04</v>
      </c>
      <c r="K10" s="136" t="n">
        <v>77879.03</v>
      </c>
      <c r="L10" s="136" t="n">
        <v>9260.39</v>
      </c>
      <c r="M10" s="136" t="n">
        <v>6.77</v>
      </c>
      <c r="N10" s="136" t="n">
        <v>144109.24</v>
      </c>
      <c r="O10" s="136" t="n">
        <v>15534.5</v>
      </c>
      <c r="P10" s="136" t="n">
        <v>81918.9</v>
      </c>
      <c r="Q10" s="136" t="n">
        <v>9302.02</v>
      </c>
      <c r="R10" s="136" t="n">
        <v>8775.11</v>
      </c>
      <c r="S10" s="136" t="n">
        <v>14145.09</v>
      </c>
      <c r="T10" s="136" t="n">
        <v>1339.4</v>
      </c>
      <c r="V10" s="136" t="n">
        <v>3258.19</v>
      </c>
      <c r="W10" s="136" t="n">
        <v>8280.57</v>
      </c>
      <c r="X10" s="136" t="n">
        <v>27389.23</v>
      </c>
      <c r="Y10" s="136" t="n">
        <v>164621.46</v>
      </c>
      <c r="Z10" s="136" t="n">
        <v>28417.18</v>
      </c>
      <c r="AA10" s="136" t="n">
        <v>87000.44</v>
      </c>
    </row>
    <row r="11" customFormat="false" ht="15" hidden="false" customHeight="false" outlineLevel="0" collapsed="false">
      <c r="A11" s="4" t="s">
        <v>83</v>
      </c>
      <c r="AB11" s="136" t="n">
        <v>2.66</v>
      </c>
      <c r="AC11" s="136" t="n">
        <v>931.21</v>
      </c>
      <c r="AD11" s="136" t="n">
        <v>614.77</v>
      </c>
      <c r="AE11" s="136" t="n">
        <v>1813.89</v>
      </c>
      <c r="AF11" s="136" t="n">
        <v>388.11</v>
      </c>
      <c r="AG11" s="136" t="n">
        <v>860.94</v>
      </c>
      <c r="AH11" s="136" t="n">
        <v>1859.56</v>
      </c>
      <c r="AI11" s="136" t="n">
        <v>531.73</v>
      </c>
      <c r="AJ11" s="136" t="n">
        <v>859.01</v>
      </c>
      <c r="AK11" s="136" t="n">
        <v>972.44</v>
      </c>
      <c r="AL11" s="136" t="n">
        <v>7674.44</v>
      </c>
      <c r="AM11" s="136" t="n">
        <v>2821.4</v>
      </c>
      <c r="AN11" s="136" t="n">
        <v>4688.63</v>
      </c>
      <c r="AO11" s="136" t="n">
        <v>4207.11</v>
      </c>
      <c r="AP11" s="136" t="n">
        <v>7356.51</v>
      </c>
      <c r="AQ11" s="136" t="n">
        <v>3941.67</v>
      </c>
      <c r="AR11" s="136" t="n">
        <v>5007.53</v>
      </c>
      <c r="AS11" s="136" t="n">
        <v>4936.49</v>
      </c>
      <c r="AT11" s="136" t="n">
        <v>3510.93</v>
      </c>
      <c r="AU11" s="136" t="n">
        <v>2466.39</v>
      </c>
      <c r="AV11" s="136" t="n">
        <v>4287.6</v>
      </c>
      <c r="AW11" s="136" t="n">
        <v>3156.22</v>
      </c>
      <c r="AX11" s="136" t="n">
        <v>5033.53</v>
      </c>
      <c r="AY11" s="136" t="n">
        <v>6749.51</v>
      </c>
      <c r="AZ11" s="136" t="n">
        <v>11142.84</v>
      </c>
      <c r="BA11" s="136" t="n">
        <v>9271.15</v>
      </c>
      <c r="BB11" s="136" t="n">
        <v>11459.16</v>
      </c>
      <c r="BC11" s="136" t="n">
        <v>10434.08</v>
      </c>
      <c r="BD11" s="136" t="n">
        <v>5027.89</v>
      </c>
      <c r="BE11" s="136" t="n">
        <v>6209.13</v>
      </c>
      <c r="BF11" s="136" t="n">
        <v>576.83</v>
      </c>
    </row>
    <row r="12" customFormat="false" ht="15" hidden="false" customHeight="false" outlineLevel="0" collapsed="false">
      <c r="A12" s="4" t="s">
        <v>180</v>
      </c>
      <c r="BD12" s="136" t="n">
        <v>931.22</v>
      </c>
      <c r="BW12" s="136" t="n">
        <v>70.09</v>
      </c>
    </row>
    <row r="13" customFormat="false" ht="15" hidden="false" customHeight="false" outlineLevel="0" collapsed="false">
      <c r="A13" s="4" t="s">
        <v>78</v>
      </c>
      <c r="AC13" s="136" t="n">
        <v>2529.95</v>
      </c>
      <c r="AD13" s="136" t="n">
        <v>1233.27</v>
      </c>
      <c r="AE13" s="136" t="n">
        <v>4428.43</v>
      </c>
      <c r="AF13" s="136" t="n">
        <v>300.72</v>
      </c>
      <c r="AH13" s="136" t="n">
        <v>500</v>
      </c>
      <c r="AJ13" s="136" t="n">
        <v>6150</v>
      </c>
      <c r="AK13" s="136" t="n">
        <v>36234.96</v>
      </c>
      <c r="AL13" s="136" t="n">
        <v>20280.07</v>
      </c>
      <c r="AM13" s="136" t="n">
        <v>63840.43</v>
      </c>
      <c r="AN13" s="136" t="n">
        <v>23229.91</v>
      </c>
      <c r="AO13" s="136" t="n">
        <v>36806</v>
      </c>
      <c r="AP13" s="136" t="n">
        <v>17148.68</v>
      </c>
      <c r="AQ13" s="136" t="n">
        <v>21563.76</v>
      </c>
      <c r="AR13" s="136" t="n">
        <v>34597.8</v>
      </c>
      <c r="AS13" s="136" t="n">
        <v>100603.75</v>
      </c>
      <c r="AT13" s="136" t="n">
        <v>58690.57</v>
      </c>
      <c r="AU13" s="136" t="n">
        <v>55385.66</v>
      </c>
      <c r="AV13" s="136" t="n">
        <v>73367.92</v>
      </c>
      <c r="AW13" s="136" t="n">
        <v>160755.39</v>
      </c>
      <c r="AX13" s="136" t="n">
        <v>353104.5</v>
      </c>
      <c r="AY13" s="136" t="n">
        <v>181064.72</v>
      </c>
      <c r="AZ13" s="136" t="n">
        <v>192488.66</v>
      </c>
      <c r="BA13" s="136" t="n">
        <v>227238.92</v>
      </c>
      <c r="BB13" s="136" t="n">
        <v>207373.28</v>
      </c>
      <c r="BC13" s="136" t="n">
        <v>276382.65</v>
      </c>
      <c r="BD13" s="136" t="n">
        <v>121913.73</v>
      </c>
      <c r="BE13" s="136" t="n">
        <v>69406.09</v>
      </c>
      <c r="BF13" s="136" t="n">
        <v>17182.87</v>
      </c>
      <c r="BG13" s="136" t="n">
        <v>16426</v>
      </c>
      <c r="BH13" s="136" t="n">
        <v>16426</v>
      </c>
      <c r="BI13" s="136" t="n">
        <v>16426</v>
      </c>
      <c r="BJ13" s="136" t="n">
        <v>16426</v>
      </c>
      <c r="BK13" s="136" t="n">
        <v>16426</v>
      </c>
      <c r="BL13" s="136" t="n">
        <v>16426</v>
      </c>
      <c r="BM13" s="136" t="n">
        <v>16916</v>
      </c>
      <c r="BN13" s="136" t="n">
        <v>16426</v>
      </c>
      <c r="BO13" s="136" t="n">
        <v>16426</v>
      </c>
      <c r="BP13" s="136" t="n">
        <v>16426</v>
      </c>
      <c r="BQ13" s="136" t="n">
        <v>16426</v>
      </c>
      <c r="BR13" s="136" t="n">
        <v>16426</v>
      </c>
      <c r="BS13" s="136" t="n">
        <v>16426</v>
      </c>
      <c r="BT13" s="136" t="n">
        <v>16426</v>
      </c>
      <c r="BU13" s="136" t="n">
        <v>16426</v>
      </c>
      <c r="BV13" s="136" t="n">
        <v>16426</v>
      </c>
      <c r="BW13" s="136" t="n">
        <v>25397.79</v>
      </c>
      <c r="BX13" s="136" t="n">
        <v>16426</v>
      </c>
      <c r="BY13" s="136" t="n">
        <v>27381.74</v>
      </c>
      <c r="BZ13" s="136" t="n">
        <v>16876</v>
      </c>
      <c r="CA13" s="136" t="n">
        <v>16426</v>
      </c>
      <c r="CB13" s="136" t="n">
        <v>16426</v>
      </c>
      <c r="CC13" s="136" t="n">
        <v>16426</v>
      </c>
      <c r="CD13" s="136" t="n">
        <v>16426</v>
      </c>
      <c r="CE13" s="136" t="n">
        <v>16426</v>
      </c>
      <c r="CF13" s="136" t="n">
        <v>16426</v>
      </c>
      <c r="CG13" s="136" t="n">
        <v>16426</v>
      </c>
      <c r="CH13" s="136" t="n">
        <v>16426</v>
      </c>
      <c r="CI13" s="136" t="n">
        <v>16426</v>
      </c>
      <c r="CJ13" s="136" t="n">
        <v>16426</v>
      </c>
      <c r="CK13" s="136" t="n">
        <v>16428</v>
      </c>
    </row>
    <row r="14" customFormat="false" ht="15" hidden="false" customHeight="false" outlineLevel="0" collapsed="false">
      <c r="A14" s="4" t="s">
        <v>183</v>
      </c>
      <c r="BB14" s="136" t="n">
        <v>2320</v>
      </c>
    </row>
    <row r="15" customFormat="false" ht="15" hidden="false" customHeight="false" outlineLevel="0" collapsed="false">
      <c r="A15" s="4" t="s">
        <v>73</v>
      </c>
      <c r="AB15" s="136" t="n">
        <v>677</v>
      </c>
      <c r="AC15" s="136" t="n">
        <v>70758.51</v>
      </c>
      <c r="AD15" s="136" t="n">
        <v>71097.67</v>
      </c>
      <c r="AE15" s="136" t="n">
        <v>34274.12</v>
      </c>
      <c r="AF15" s="136" t="n">
        <v>9429.52</v>
      </c>
      <c r="AG15" s="136" t="n">
        <v>791.48</v>
      </c>
      <c r="AK15" s="136" t="n">
        <v>970</v>
      </c>
      <c r="AL15" s="136" t="n">
        <v>47804</v>
      </c>
      <c r="AM15" s="136" t="n">
        <v>294931.18</v>
      </c>
      <c r="AN15" s="136" t="n">
        <v>291652.53</v>
      </c>
      <c r="AO15" s="136" t="n">
        <v>759436.3</v>
      </c>
      <c r="AP15" s="136" t="n">
        <v>665952.26</v>
      </c>
      <c r="AQ15" s="136" t="n">
        <v>1223686.02</v>
      </c>
      <c r="AR15" s="136" t="n">
        <v>942534.48</v>
      </c>
      <c r="AS15" s="136" t="n">
        <v>446747.23</v>
      </c>
      <c r="AT15" s="136" t="n">
        <v>31432.02</v>
      </c>
      <c r="AU15" s="136" t="n">
        <v>15362.5</v>
      </c>
      <c r="AV15" s="136" t="n">
        <v>4557</v>
      </c>
      <c r="AX15" s="136" t="n">
        <v>22570.21</v>
      </c>
      <c r="AZ15" s="136" t="n">
        <v>28521.92</v>
      </c>
      <c r="BA15" s="136" t="n">
        <v>19057.7</v>
      </c>
      <c r="BC15" s="136" t="n">
        <v>4000</v>
      </c>
      <c r="BF15" s="136" t="n">
        <v>402.83</v>
      </c>
      <c r="BI15" s="136" t="n">
        <v>12016.19</v>
      </c>
      <c r="BX15" s="136" t="n">
        <v>1367.1</v>
      </c>
    </row>
    <row r="16" customFormat="false" ht="15" hidden="false" customHeight="false" outlineLevel="0" collapsed="false">
      <c r="A16" s="4" t="s">
        <v>74</v>
      </c>
      <c r="AC16" s="136" t="n">
        <v>7425.08</v>
      </c>
      <c r="AD16" s="136" t="n">
        <v>35047.33</v>
      </c>
      <c r="AE16" s="136" t="n">
        <v>1592.76</v>
      </c>
      <c r="AN16" s="136" t="n">
        <v>9788.63</v>
      </c>
      <c r="AO16" s="136" t="n">
        <v>94552.16</v>
      </c>
      <c r="AP16" s="136" t="n">
        <v>109831.95</v>
      </c>
      <c r="AQ16" s="136" t="n">
        <v>85584.02</v>
      </c>
      <c r="AR16" s="136" t="n">
        <v>265948.17</v>
      </c>
      <c r="AS16" s="136" t="n">
        <v>1002170.99</v>
      </c>
      <c r="AT16" s="136" t="n">
        <v>320952.69</v>
      </c>
      <c r="AU16" s="136" t="n">
        <v>74218.96</v>
      </c>
      <c r="AW16" s="136" t="n">
        <v>40087.65</v>
      </c>
      <c r="AX16" s="136" t="n">
        <v>1739.23</v>
      </c>
      <c r="AY16" s="136" t="n">
        <v>139157.18</v>
      </c>
      <c r="AZ16" s="136" t="n">
        <v>40129.4</v>
      </c>
      <c r="BA16" s="136" t="n">
        <v>20378.96</v>
      </c>
      <c r="BB16" s="136" t="n">
        <v>60234.71</v>
      </c>
      <c r="BC16" s="136" t="n">
        <v>13754.49</v>
      </c>
      <c r="BD16" s="136" t="n">
        <v>17571.33</v>
      </c>
      <c r="BE16" s="136" t="n">
        <v>790.73</v>
      </c>
      <c r="BF16" s="136" t="n">
        <v>5760.51</v>
      </c>
      <c r="BG16" s="136" t="n">
        <v>18292.36</v>
      </c>
      <c r="BI16" s="136" t="n">
        <v>7631.35</v>
      </c>
      <c r="BL16" s="136" t="n">
        <v>419.58</v>
      </c>
      <c r="BQ16" s="136" t="n">
        <v>443.52</v>
      </c>
      <c r="BW16" s="136" t="n">
        <v>7961.24</v>
      </c>
    </row>
    <row r="17" customFormat="false" ht="15" hidden="false" customHeight="false" outlineLevel="0" collapsed="false">
      <c r="A17" s="4" t="s">
        <v>174</v>
      </c>
      <c r="AY17" s="136" t="n">
        <v>19773.29</v>
      </c>
    </row>
    <row r="18" customFormat="false" ht="15" hidden="false" customHeight="false" outlineLevel="0" collapsed="false">
      <c r="A18" s="4" t="s">
        <v>77</v>
      </c>
      <c r="AD18" s="136" t="n">
        <v>869.6</v>
      </c>
      <c r="AN18" s="136" t="n">
        <v>182.9</v>
      </c>
      <c r="AR18" s="136" t="n">
        <v>272179.12</v>
      </c>
      <c r="AS18" s="136" t="n">
        <v>26283.33</v>
      </c>
      <c r="AT18" s="136" t="n">
        <v>5272.91</v>
      </c>
      <c r="AU18" s="136" t="n">
        <v>2574.8</v>
      </c>
      <c r="AV18" s="136" t="n">
        <v>2699.76</v>
      </c>
      <c r="AW18" s="136" t="n">
        <v>6812.89</v>
      </c>
      <c r="AX18" s="136" t="n">
        <v>7848.83</v>
      </c>
      <c r="AY18" s="136" t="n">
        <v>14051.66</v>
      </c>
      <c r="AZ18" s="136" t="n">
        <v>21204.58</v>
      </c>
      <c r="BA18" s="136" t="n">
        <v>27958.4</v>
      </c>
      <c r="BB18" s="136" t="n">
        <v>35422.41</v>
      </c>
      <c r="BC18" s="136" t="n">
        <v>85098.16</v>
      </c>
      <c r="BD18" s="136" t="n">
        <v>79167.5</v>
      </c>
      <c r="BE18" s="136" t="n">
        <v>20138.18</v>
      </c>
      <c r="BF18" s="136" t="n">
        <v>3216.16</v>
      </c>
    </row>
    <row r="19" customFormat="false" ht="15" hidden="false" customHeight="false" outlineLevel="0" collapsed="false">
      <c r="A19" s="4" t="s">
        <v>171</v>
      </c>
      <c r="AY19" s="136" t="n">
        <v>47066.31</v>
      </c>
      <c r="AZ19" s="136" t="n">
        <v>25524.41</v>
      </c>
      <c r="BA19" s="136" t="n">
        <v>47726.67</v>
      </c>
      <c r="BB19" s="136" t="n">
        <v>58947.77</v>
      </c>
      <c r="BC19" s="136" t="n">
        <v>142222.77</v>
      </c>
      <c r="BD19" s="136" t="n">
        <v>72436.16</v>
      </c>
      <c r="BE19" s="136" t="n">
        <v>57986.98</v>
      </c>
      <c r="BF19" s="136" t="n">
        <v>15439.08</v>
      </c>
      <c r="BR19" s="136" t="n">
        <v>2638.05</v>
      </c>
    </row>
    <row r="20" customFormat="false" ht="15" hidden="false" customHeight="false" outlineLevel="0" collapsed="false">
      <c r="A20" s="4" t="s">
        <v>135</v>
      </c>
      <c r="AB20" s="136" t="n">
        <v>156.95</v>
      </c>
      <c r="AC20" s="136" t="n">
        <v>101.68</v>
      </c>
      <c r="AL20" s="136" t="n">
        <v>5620.39</v>
      </c>
      <c r="AM20" s="136" t="n">
        <v>2136.82</v>
      </c>
      <c r="AO20" s="136" t="n">
        <v>1976.12</v>
      </c>
      <c r="AP20" s="136" t="n">
        <v>1918</v>
      </c>
      <c r="AQ20" s="136" t="n">
        <v>1918.01</v>
      </c>
      <c r="AT20" s="136" t="n">
        <v>2467.28</v>
      </c>
      <c r="AV20" s="136" t="n">
        <v>635.7</v>
      </c>
      <c r="AW20" s="136" t="n">
        <v>216.66</v>
      </c>
      <c r="AX20" s="136" t="n">
        <v>4859.3</v>
      </c>
      <c r="AY20" s="136" t="n">
        <v>9091.18</v>
      </c>
      <c r="BA20" s="136" t="n">
        <v>3323</v>
      </c>
      <c r="BC20" s="136" t="n">
        <v>6618.5</v>
      </c>
      <c r="BD20" s="136" t="n">
        <v>6618.5</v>
      </c>
      <c r="BE20" s="136" t="n">
        <v>328.58</v>
      </c>
    </row>
    <row r="21" customFormat="false" ht="15" hidden="false" customHeight="false" outlineLevel="0" collapsed="false">
      <c r="A21" s="4" t="s">
        <v>211</v>
      </c>
      <c r="BE21" s="136" t="n">
        <v>75</v>
      </c>
    </row>
    <row r="22" customFormat="false" ht="15" hidden="false" customHeight="false" outlineLevel="0" collapsed="false">
      <c r="A22" s="4" t="s">
        <v>82</v>
      </c>
      <c r="AB22" s="136" t="n">
        <v>1066.36</v>
      </c>
      <c r="AC22" s="136" t="n">
        <v>2852.85</v>
      </c>
      <c r="AD22" s="136" t="n">
        <v>27830.04</v>
      </c>
      <c r="AE22" s="136" t="n">
        <v>19384.45</v>
      </c>
      <c r="AF22" s="136" t="n">
        <v>10763.56</v>
      </c>
      <c r="AG22" s="136" t="n">
        <v>15528.08</v>
      </c>
      <c r="AH22" s="136" t="n">
        <v>11725.61</v>
      </c>
      <c r="AI22" s="136" t="n">
        <v>10175.14</v>
      </c>
      <c r="AJ22" s="136" t="n">
        <v>44807.63</v>
      </c>
      <c r="AK22" s="136" t="n">
        <v>70530.72</v>
      </c>
      <c r="AL22" s="136" t="n">
        <v>133478</v>
      </c>
      <c r="AM22" s="136" t="n">
        <v>189027.71</v>
      </c>
      <c r="AN22" s="136" t="n">
        <v>222221.58</v>
      </c>
      <c r="AO22" s="136" t="n">
        <v>271532.86</v>
      </c>
      <c r="AP22" s="136" t="n">
        <v>277064.12</v>
      </c>
      <c r="AQ22" s="136" t="n">
        <v>276496.21</v>
      </c>
      <c r="AR22" s="136" t="n">
        <v>339373.99</v>
      </c>
      <c r="AS22" s="136" t="n">
        <v>363581.49</v>
      </c>
      <c r="AT22" s="136" t="n">
        <v>382985.27</v>
      </c>
      <c r="AU22" s="136" t="n">
        <v>324044.68</v>
      </c>
      <c r="AV22" s="136" t="n">
        <v>303003.19</v>
      </c>
      <c r="AW22" s="136" t="n">
        <v>294497.6</v>
      </c>
      <c r="AX22" s="136" t="n">
        <v>280936.72</v>
      </c>
      <c r="AY22" s="136" t="n">
        <v>334753.8</v>
      </c>
      <c r="AZ22" s="136" t="n">
        <v>338422.41</v>
      </c>
      <c r="BA22" s="136" t="n">
        <v>338968.52</v>
      </c>
      <c r="BB22" s="136" t="n">
        <v>388922.2</v>
      </c>
      <c r="BC22" s="136" t="n">
        <v>362747</v>
      </c>
      <c r="BD22" s="136" t="n">
        <v>185473.02</v>
      </c>
      <c r="BE22" s="136" t="n">
        <v>80478.41</v>
      </c>
      <c r="BF22" s="136" t="n">
        <v>76889.41</v>
      </c>
      <c r="BI22" s="136" t="n">
        <v>1253.15</v>
      </c>
      <c r="BP22" s="136" t="n">
        <v>1511.82</v>
      </c>
      <c r="BQ22" s="136" t="n">
        <v>230.44</v>
      </c>
      <c r="CL22" s="136" t="n">
        <v>7602</v>
      </c>
    </row>
    <row r="23" customFormat="false" ht="15" hidden="false" customHeight="false" outlineLevel="0" collapsed="false">
      <c r="A23" s="4" t="s">
        <v>214</v>
      </c>
      <c r="AW23" s="136" t="n">
        <v>2371.88</v>
      </c>
      <c r="AX23" s="136" t="n">
        <v>6712.62</v>
      </c>
      <c r="AY23" s="136" t="n">
        <v>12812.41</v>
      </c>
      <c r="AZ23" s="136" t="n">
        <v>13032.01</v>
      </c>
      <c r="BA23" s="136" t="n">
        <v>27991.11</v>
      </c>
      <c r="BB23" s="136" t="n">
        <v>23955.73</v>
      </c>
      <c r="BC23" s="136" t="n">
        <v>1621.89</v>
      </c>
      <c r="BD23" s="136" t="n">
        <v>28284.95</v>
      </c>
      <c r="BE23" s="136" t="n">
        <v>810.49</v>
      </c>
      <c r="BF23" s="136" t="n">
        <v>766.34</v>
      </c>
      <c r="BX23" s="136" t="n">
        <v>8382.84</v>
      </c>
    </row>
    <row r="24" customFormat="false" ht="15" hidden="false" customHeight="false" outlineLevel="0" collapsed="false">
      <c r="A24" s="4" t="s">
        <v>63</v>
      </c>
      <c r="V24" s="136" t="n">
        <v>170344.35</v>
      </c>
      <c r="Z24" s="136" t="n">
        <v>47821.72</v>
      </c>
      <c r="AA24" s="136" t="n">
        <v>4528.28</v>
      </c>
      <c r="AB24" s="136" t="n">
        <v>7355.93</v>
      </c>
      <c r="AC24" s="136" t="n">
        <v>15322.26</v>
      </c>
      <c r="AD24" s="136" t="n">
        <v>153986.44</v>
      </c>
      <c r="AE24" s="136" t="n">
        <v>71734.37</v>
      </c>
      <c r="AF24" s="136" t="n">
        <v>90171.92</v>
      </c>
      <c r="AG24" s="136" t="n">
        <v>160140.78</v>
      </c>
      <c r="AH24" s="136" t="n">
        <v>215228.01</v>
      </c>
      <c r="AI24" s="136" t="n">
        <v>104299.89</v>
      </c>
      <c r="AJ24" s="136" t="n">
        <v>109038.62</v>
      </c>
      <c r="AK24" s="136" t="n">
        <v>96904.79</v>
      </c>
      <c r="AL24" s="136" t="n">
        <v>52757.82</v>
      </c>
      <c r="AM24" s="136" t="n">
        <v>118596.65</v>
      </c>
      <c r="AN24" s="136" t="n">
        <v>174356.48</v>
      </c>
      <c r="AO24" s="136" t="n">
        <v>81554.49</v>
      </c>
      <c r="AP24" s="136" t="n">
        <v>117153.66</v>
      </c>
      <c r="AQ24" s="136" t="n">
        <v>51128</v>
      </c>
      <c r="AR24" s="136" t="n">
        <v>22630.13</v>
      </c>
      <c r="AS24" s="136" t="n">
        <v>85313.2</v>
      </c>
      <c r="AT24" s="136" t="n">
        <v>115501.24</v>
      </c>
      <c r="AU24" s="136" t="n">
        <v>98357.56</v>
      </c>
      <c r="AV24" s="136" t="n">
        <v>17138.27</v>
      </c>
      <c r="AW24" s="136" t="n">
        <v>33811</v>
      </c>
      <c r="AX24" s="136" t="n">
        <v>13630.75</v>
      </c>
      <c r="AY24" s="136" t="n">
        <v>34163.85</v>
      </c>
      <c r="AZ24" s="136" t="n">
        <v>2594.4</v>
      </c>
      <c r="BA24" s="136" t="n">
        <v>925</v>
      </c>
      <c r="BB24" s="136" t="n">
        <v>925</v>
      </c>
      <c r="BC24" s="136" t="n">
        <v>15449.65</v>
      </c>
      <c r="BD24" s="136" t="n">
        <v>1375.35</v>
      </c>
    </row>
    <row r="25" customFormat="false" ht="15" hidden="false" customHeight="false" outlineLevel="0" collapsed="false">
      <c r="A25" s="4" t="s">
        <v>84</v>
      </c>
      <c r="AH25" s="136" t="n">
        <v>30425.41</v>
      </c>
      <c r="AI25" s="136" t="n">
        <v>38447.14</v>
      </c>
      <c r="AJ25" s="136" t="n">
        <v>24239.56</v>
      </c>
      <c r="AK25" s="136" t="n">
        <v>632.97</v>
      </c>
      <c r="AL25" s="136" t="n">
        <v>628.33</v>
      </c>
      <c r="AM25" s="136" t="n">
        <v>2227.15</v>
      </c>
      <c r="AN25" s="136" t="n">
        <v>3004.1</v>
      </c>
      <c r="AO25" s="136" t="n">
        <v>4131.69</v>
      </c>
      <c r="AP25" s="136" t="n">
        <v>3238.47</v>
      </c>
      <c r="AQ25" s="136" t="n">
        <v>4766.21</v>
      </c>
    </row>
    <row r="26" customFormat="false" ht="15" hidden="false" customHeight="false" outlineLevel="0" collapsed="false">
      <c r="A26" s="4" t="s">
        <v>3852</v>
      </c>
      <c r="BA26" s="136" t="n">
        <v>3934.89</v>
      </c>
      <c r="BB26" s="136" t="n">
        <v>29912.96</v>
      </c>
      <c r="BC26" s="136" t="n">
        <v>19676.88</v>
      </c>
      <c r="BD26" s="136" t="n">
        <v>51248.3</v>
      </c>
      <c r="BY26" s="136" t="n">
        <v>1608.16</v>
      </c>
    </row>
    <row r="27" customFormat="false" ht="15" hidden="false" customHeight="false" outlineLevel="0" collapsed="false">
      <c r="A27" s="4" t="s">
        <v>64</v>
      </c>
      <c r="AK27" s="136" t="n">
        <v>13812.53</v>
      </c>
      <c r="AL27" s="136" t="n">
        <v>13812.51</v>
      </c>
      <c r="AM27" s="136" t="n">
        <v>13812.51</v>
      </c>
      <c r="AN27" s="136" t="n">
        <v>15129.61</v>
      </c>
      <c r="AO27" s="136" t="n">
        <v>13812.51</v>
      </c>
      <c r="AP27" s="136" t="n">
        <v>13812.51</v>
      </c>
      <c r="AQ27" s="136" t="n">
        <v>13812.54</v>
      </c>
      <c r="AT27" s="136" t="n">
        <v>350.22</v>
      </c>
      <c r="AU27" s="136" t="n">
        <v>350.2</v>
      </c>
      <c r="AW27" s="136" t="n">
        <v>700.4</v>
      </c>
      <c r="AX27" s="136" t="n">
        <v>350.2</v>
      </c>
      <c r="AY27" s="136" t="n">
        <v>350.19</v>
      </c>
      <c r="BC27" s="136" t="n">
        <v>2422.63</v>
      </c>
      <c r="BD27" s="136" t="n">
        <v>17.26</v>
      </c>
      <c r="BH27" s="136" t="n">
        <v>119</v>
      </c>
    </row>
    <row r="28" customFormat="false" ht="15" hidden="false" customHeight="false" outlineLevel="0" collapsed="false">
      <c r="A28" s="4" t="s">
        <v>81</v>
      </c>
      <c r="AC28" s="136" t="n">
        <v>750.01</v>
      </c>
      <c r="AD28" s="136" t="n">
        <v>3450</v>
      </c>
      <c r="AI28" s="136" t="n">
        <v>29638</v>
      </c>
      <c r="AJ28" s="136" t="n">
        <v>13160.36</v>
      </c>
      <c r="AK28" s="136" t="n">
        <v>901.64</v>
      </c>
      <c r="AN28" s="136" t="n">
        <v>4350</v>
      </c>
    </row>
    <row r="29" customFormat="false" ht="15" hidden="false" customHeight="false" outlineLevel="0" collapsed="false">
      <c r="A29" s="4" t="s">
        <v>80</v>
      </c>
      <c r="AE29" s="136" t="n">
        <v>150000</v>
      </c>
      <c r="AG29" s="136" t="n">
        <v>-15000</v>
      </c>
      <c r="AH29" s="136" t="n">
        <v>699265.35</v>
      </c>
      <c r="AI29" s="136" t="n">
        <v>-18060.01</v>
      </c>
      <c r="AJ29" s="136" t="n">
        <v>16698.71</v>
      </c>
      <c r="AK29" s="136" t="n">
        <v>64177.87</v>
      </c>
      <c r="AL29" s="136" t="n">
        <v>48427.68</v>
      </c>
      <c r="AM29" s="136" t="n">
        <v>64628.63</v>
      </c>
      <c r="AN29" s="136" t="n">
        <v>48665.26</v>
      </c>
      <c r="AO29" s="136" t="n">
        <v>124955.82</v>
      </c>
      <c r="AP29" s="136" t="n">
        <v>98792.36</v>
      </c>
      <c r="AQ29" s="136" t="n">
        <v>169238.97</v>
      </c>
      <c r="AR29" s="136" t="n">
        <v>177088.06</v>
      </c>
      <c r="AS29" s="136" t="n">
        <v>229144.51</v>
      </c>
      <c r="AT29" s="136" t="n">
        <v>224113.89</v>
      </c>
      <c r="AU29" s="136" t="n">
        <v>180583.02</v>
      </c>
      <c r="AV29" s="136" t="n">
        <v>166154.57</v>
      </c>
      <c r="AW29" s="136" t="n">
        <v>142393.78</v>
      </c>
      <c r="AX29" s="136" t="n">
        <v>207371</v>
      </c>
      <c r="AY29" s="136" t="n">
        <v>177489.01</v>
      </c>
      <c r="AZ29" s="136" t="n">
        <v>243636.76</v>
      </c>
      <c r="BA29" s="136" t="n">
        <v>221365.46</v>
      </c>
      <c r="BB29" s="136" t="n">
        <v>331504.35</v>
      </c>
      <c r="BC29" s="136" t="n">
        <v>256188.78</v>
      </c>
    </row>
    <row r="30" customFormat="false" ht="15" hidden="false" customHeight="false" outlineLevel="0" collapsed="false">
      <c r="A30" s="4" t="s">
        <v>66</v>
      </c>
      <c r="AB30" s="136" t="n">
        <v>99.64</v>
      </c>
      <c r="AC30" s="136" t="n">
        <v>199.28</v>
      </c>
      <c r="AG30" s="136" t="n">
        <v>42</v>
      </c>
      <c r="AH30" s="136" t="n">
        <v>941.73</v>
      </c>
      <c r="AI30" s="136" t="n">
        <v>542.94</v>
      </c>
      <c r="AK30" s="136" t="n">
        <v>18.05</v>
      </c>
      <c r="AL30" s="136" t="n">
        <v>927.48</v>
      </c>
      <c r="AN30" s="136" t="n">
        <v>597.09</v>
      </c>
      <c r="AO30" s="136" t="n">
        <v>927.48</v>
      </c>
      <c r="AP30" s="136" t="n">
        <v>68</v>
      </c>
      <c r="AQ30" s="136" t="n">
        <v>70.45</v>
      </c>
      <c r="AR30" s="136" t="n">
        <v>927.48</v>
      </c>
      <c r="AU30" s="136" t="n">
        <v>927.48</v>
      </c>
      <c r="AV30" s="136" t="n">
        <v>5899.91</v>
      </c>
    </row>
    <row r="31" customFormat="false" ht="15" hidden="false" customHeight="false" outlineLevel="0" collapsed="false">
      <c r="A31" s="4" t="s">
        <v>71</v>
      </c>
      <c r="AC31" s="136" t="n">
        <v>686.62</v>
      </c>
      <c r="AD31" s="136" t="n">
        <v>13178.37</v>
      </c>
      <c r="AE31" s="136" t="n">
        <v>5833.37</v>
      </c>
      <c r="AF31" s="136" t="n">
        <v>44548.17</v>
      </c>
      <c r="AG31" s="136" t="n">
        <v>1107.36</v>
      </c>
      <c r="AI31" s="136" t="n">
        <v>1300</v>
      </c>
      <c r="AM31" s="136" t="n">
        <v>58031.16</v>
      </c>
      <c r="AN31" s="136" t="n">
        <v>244429.38</v>
      </c>
      <c r="AO31" s="136" t="n">
        <v>369031.98</v>
      </c>
      <c r="AP31" s="136" t="n">
        <v>540521.81</v>
      </c>
      <c r="AQ31" s="136" t="n">
        <v>338988.81</v>
      </c>
      <c r="AR31" s="136" t="n">
        <v>160988.83</v>
      </c>
      <c r="AS31" s="136" t="n">
        <v>168047.95</v>
      </c>
      <c r="AT31" s="136" t="n">
        <v>29778.78</v>
      </c>
      <c r="AY31" s="136" t="n">
        <v>44436.66</v>
      </c>
      <c r="AZ31" s="136" t="n">
        <v>13562.69</v>
      </c>
      <c r="BA31" s="136" t="n">
        <v>14325.63</v>
      </c>
      <c r="BB31" s="136" t="n">
        <v>11354.11</v>
      </c>
      <c r="BC31" s="136" t="n">
        <v>18991.44</v>
      </c>
      <c r="BD31" s="136" t="n">
        <v>13096</v>
      </c>
      <c r="BE31" s="136" t="n">
        <v>657.3</v>
      </c>
      <c r="BG31" s="136" t="n">
        <v>835.15</v>
      </c>
      <c r="BI31" s="136" t="n">
        <v>2789.42</v>
      </c>
    </row>
    <row r="32" customFormat="false" ht="15" hidden="false" customHeight="false" outlineLevel="0" collapsed="false">
      <c r="A32" s="4" t="s">
        <v>79</v>
      </c>
      <c r="I32" s="136" t="n">
        <v>19.6</v>
      </c>
      <c r="J32" s="136" t="n">
        <v>0.4</v>
      </c>
      <c r="U32" s="136" t="n">
        <v>43.8</v>
      </c>
      <c r="V32" s="136" t="n">
        <v>1.2</v>
      </c>
      <c r="AB32" s="136" t="n">
        <v>61.15</v>
      </c>
      <c r="AC32" s="136" t="n">
        <v>1.85</v>
      </c>
      <c r="AD32" s="136" t="n">
        <v>4240.95</v>
      </c>
      <c r="AE32" s="136" t="n">
        <v>208.17</v>
      </c>
      <c r="AF32" s="136" t="n">
        <v>10174.14</v>
      </c>
      <c r="AG32" s="136" t="n">
        <v>144.43</v>
      </c>
      <c r="AH32" s="136" t="n">
        <v>241.43</v>
      </c>
      <c r="AI32" s="136" t="n">
        <v>4468.95</v>
      </c>
      <c r="AJ32" s="136" t="n">
        <v>1471.68</v>
      </c>
      <c r="AK32" s="136" t="n">
        <v>71.89</v>
      </c>
      <c r="AL32" s="136" t="n">
        <v>3294</v>
      </c>
      <c r="AM32" s="136" t="n">
        <v>5791.43</v>
      </c>
      <c r="AN32" s="136" t="n">
        <v>2577.2</v>
      </c>
      <c r="AO32" s="136" t="n">
        <v>6009.9</v>
      </c>
      <c r="AP32" s="136" t="n">
        <v>5622.92</v>
      </c>
      <c r="AQ32" s="136" t="n">
        <v>9961.57</v>
      </c>
      <c r="AR32" s="136" t="n">
        <v>6569.24</v>
      </c>
      <c r="AS32" s="136" t="n">
        <v>5976.36</v>
      </c>
      <c r="AT32" s="136" t="n">
        <v>9174.4</v>
      </c>
      <c r="AU32" s="136" t="n">
        <v>2665.03</v>
      </c>
      <c r="AV32" s="136" t="n">
        <v>7732.71</v>
      </c>
      <c r="AW32" s="136" t="n">
        <v>5460.17</v>
      </c>
      <c r="AX32" s="136" t="n">
        <v>1326.6</v>
      </c>
      <c r="AY32" s="136" t="n">
        <v>8098.09</v>
      </c>
      <c r="AZ32" s="136" t="n">
        <v>28867.01</v>
      </c>
      <c r="BA32" s="136" t="n">
        <v>33839.33</v>
      </c>
      <c r="BB32" s="136" t="n">
        <v>12635.41</v>
      </c>
      <c r="BC32" s="136" t="n">
        <v>16194.51</v>
      </c>
      <c r="BD32" s="136" t="n">
        <v>5777</v>
      </c>
      <c r="BE32" s="136" t="n">
        <v>250</v>
      </c>
    </row>
    <row r="33" customFormat="false" ht="15" hidden="false" customHeight="false" outlineLevel="0" collapsed="false">
      <c r="A33" s="4" t="s">
        <v>199</v>
      </c>
      <c r="AZ33" s="136" t="n">
        <v>1883.62</v>
      </c>
      <c r="BA33" s="136" t="n">
        <v>39357.13</v>
      </c>
      <c r="BB33" s="136" t="n">
        <v>1389.63</v>
      </c>
      <c r="BC33" s="136" t="n">
        <v>1389.62</v>
      </c>
      <c r="BE33" s="136" t="n">
        <v>1052.8</v>
      </c>
    </row>
    <row r="34" customFormat="false" ht="15" hidden="false" customHeight="false" outlineLevel="0" collapsed="false">
      <c r="A34" s="4" t="s">
        <v>76</v>
      </c>
      <c r="AC34" s="136" t="n">
        <v>7013.53</v>
      </c>
      <c r="AD34" s="136" t="n">
        <v>87087.33</v>
      </c>
      <c r="AE34" s="136" t="n">
        <v>49435.95</v>
      </c>
      <c r="AF34" s="136" t="n">
        <v>6062.34</v>
      </c>
      <c r="AG34" s="136" t="n">
        <v>4690</v>
      </c>
      <c r="AJ34" s="136" t="n">
        <v>1352.4</v>
      </c>
      <c r="AK34" s="136" t="n">
        <v>7094.97</v>
      </c>
      <c r="AL34" s="136" t="n">
        <v>5516.1</v>
      </c>
      <c r="AM34" s="136" t="n">
        <v>3460.6</v>
      </c>
      <c r="AN34" s="136" t="n">
        <v>11932.23</v>
      </c>
      <c r="AO34" s="136" t="n">
        <v>46566.89</v>
      </c>
      <c r="AP34" s="136" t="n">
        <v>189195.17</v>
      </c>
      <c r="AQ34" s="136" t="n">
        <v>282352.35</v>
      </c>
      <c r="AR34" s="136" t="n">
        <v>488907.9</v>
      </c>
      <c r="AS34" s="136" t="n">
        <v>759547.22</v>
      </c>
      <c r="AT34" s="136" t="n">
        <v>1210391.79</v>
      </c>
      <c r="AU34" s="136" t="n">
        <v>1025636.7</v>
      </c>
      <c r="AV34" s="136" t="n">
        <v>928706.83</v>
      </c>
      <c r="AW34" s="136" t="n">
        <v>1400160.04</v>
      </c>
      <c r="AX34" s="136" t="n">
        <v>940649.35</v>
      </c>
      <c r="AY34" s="136" t="n">
        <v>1499313.56</v>
      </c>
      <c r="AZ34" s="136" t="n">
        <v>1378371.53</v>
      </c>
      <c r="BA34" s="136" t="n">
        <v>2181699.11</v>
      </c>
      <c r="BB34" s="136" t="n">
        <v>1406972.34</v>
      </c>
      <c r="BC34" s="136" t="n">
        <v>1568346.71</v>
      </c>
      <c r="BD34" s="136" t="n">
        <v>1027092.01</v>
      </c>
      <c r="BE34" s="136" t="n">
        <v>68947.56</v>
      </c>
      <c r="BF34" s="136" t="n">
        <v>4373.98</v>
      </c>
      <c r="BG34" s="136" t="n">
        <v>81622.54</v>
      </c>
      <c r="BH34" s="136" t="n">
        <v>370.41</v>
      </c>
      <c r="BI34" s="136" t="n">
        <v>1697.43</v>
      </c>
      <c r="BQ34" s="136" t="n">
        <v>1469.74</v>
      </c>
      <c r="BR34" s="136" t="n">
        <v>68.6</v>
      </c>
      <c r="BS34" s="136" t="n">
        <v>31884.45</v>
      </c>
      <c r="BU34" s="136" t="n">
        <v>1272.28</v>
      </c>
      <c r="BW34" s="136" t="n">
        <v>181046.83</v>
      </c>
    </row>
    <row r="35" customFormat="false" ht="15" hidden="false" customHeight="false" outlineLevel="0" collapsed="false">
      <c r="A35" s="4" t="s">
        <v>205</v>
      </c>
      <c r="BD35" s="136" t="n">
        <v>443.43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3865</v>
      </c>
    </row>
    <row r="3" customFormat="false" ht="15" hidden="false" customHeight="false" outlineLevel="0" collapsed="false">
      <c r="B3" s="2" t="s">
        <v>3866</v>
      </c>
    </row>
    <row r="4" customFormat="false" ht="15" hidden="false" customHeight="false" outlineLevel="0" collapsed="false">
      <c r="B4" s="2" t="s">
        <v>3867</v>
      </c>
    </row>
    <row r="5" customFormat="false" ht="15" hidden="false" customHeight="false" outlineLevel="0" collapsed="false">
      <c r="B5" s="2" t="s">
        <v>3868</v>
      </c>
    </row>
    <row r="6" customFormat="false" ht="15" hidden="false" customHeight="false" outlineLevel="0" collapsed="false">
      <c r="B6" s="2" t="s">
        <v>3869</v>
      </c>
    </row>
    <row r="7" customFormat="false" ht="15" hidden="false" customHeight="false" outlineLevel="0" collapsed="false">
      <c r="B7" s="2" t="s">
        <v>3870</v>
      </c>
    </row>
    <row r="8" customFormat="false" ht="15" hidden="false" customHeight="false" outlineLevel="0" collapsed="false">
      <c r="B8" s="2" t="s">
        <v>3871</v>
      </c>
    </row>
    <row r="10" customFormat="false" ht="15" hidden="false" customHeight="false" outlineLevel="0" collapsed="false">
      <c r="B10" s="2" t="s">
        <v>3872</v>
      </c>
    </row>
    <row r="11" customFormat="false" ht="15" hidden="false" customHeight="false" outlineLevel="0" collapsed="false">
      <c r="B11" s="2" t="s">
        <v>3873</v>
      </c>
    </row>
    <row r="12" customFormat="false" ht="15" hidden="false" customHeight="false" outlineLevel="0" collapsed="false">
      <c r="B12" s="2" t="s">
        <v>3874</v>
      </c>
    </row>
    <row r="14" customFormat="false" ht="15" hidden="false" customHeight="false" outlineLevel="0" collapsed="false">
      <c r="B14" s="2" t="s">
        <v>3875</v>
      </c>
    </row>
    <row r="15" customFormat="false" ht="15" hidden="false" customHeight="false" outlineLevel="0" collapsed="false">
      <c r="B15" s="2" t="s">
        <v>3876</v>
      </c>
    </row>
    <row r="16" customFormat="false" ht="15" hidden="false" customHeight="false" outlineLevel="0" collapsed="false">
      <c r="B16" s="2" t="s">
        <v>3877</v>
      </c>
    </row>
    <row r="18" customFormat="false" ht="15" hidden="false" customHeight="false" outlineLevel="0" collapsed="false">
      <c r="B18" s="2" t="s">
        <v>3878</v>
      </c>
    </row>
    <row r="19" customFormat="false" ht="15" hidden="false" customHeight="false" outlineLevel="0" collapsed="false">
      <c r="B19" s="2" t="s">
        <v>3879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HISTORICOS'!D5)</f>
        <v>2412310.57</v>
      </c>
      <c r="D5" s="45" t="n">
        <f aca="false">IF(B5&lt;='VALOR POR PL'!$P$5,0,IF($K$17&gt;0,$K$18*P5/$K$17,0))</f>
        <v>0</v>
      </c>
      <c r="E5" s="45" t="n">
        <f aca="false">L5+D5/$K$2</f>
        <v>2229.33946866794</v>
      </c>
      <c r="F5" s="117" t="n">
        <f aca="false">IF($K$9=0,0,E5/$K$9)</f>
        <v>0.665062435630687</v>
      </c>
      <c r="G5" s="117" t="n">
        <f aca="false">F5</f>
        <v>0.665062435630687</v>
      </c>
      <c r="H5" s="138"/>
      <c r="I5" s="42" t="s">
        <v>3894</v>
      </c>
      <c r="J5" s="56" t="n">
        <f aca="false">'VALOR POR PL'!F11</f>
        <v>3846021</v>
      </c>
      <c r="K5" s="56" t="n">
        <f aca="false">'VALOR POR PL'!G11</f>
        <v>3304.105134</v>
      </c>
      <c r="L5" s="56" t="n">
        <f aca="false">'DADOS HISTORICOS'!$BZ$5</f>
        <v>2229.33946866794</v>
      </c>
      <c r="M5" s="139" t="n">
        <f aca="false">'CP RESUMO'!D5</f>
        <v>0</v>
      </c>
      <c r="N5" s="140" t="n">
        <v>0</v>
      </c>
      <c r="O5" s="139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HISTORICOS'!E5)</f>
        <v>104299.89</v>
      </c>
      <c r="D6" s="45" t="n">
        <f aca="false">IF(B6&lt;='VALOR POR PL'!$P$5,0,IF($K$17&gt;0,$K$18*P6/$K$17,0))</f>
        <v>0</v>
      </c>
      <c r="E6" s="45" t="n">
        <f aca="false">L6+D6/$K$2</f>
        <v>89.212610211476</v>
      </c>
      <c r="F6" s="117" t="n">
        <f aca="false">IF($K$9=0,0,E6/$K$9)</f>
        <v>0.0266141413948352</v>
      </c>
      <c r="G6" s="117" t="n">
        <f aca="false">G5+F6</f>
        <v>0.691676577025522</v>
      </c>
      <c r="H6" s="138"/>
      <c r="I6" s="42" t="s">
        <v>3895</v>
      </c>
      <c r="K6" s="52" t="n">
        <f aca="false">'VALOR POR PL'!H11</f>
        <v>3352.08156657196</v>
      </c>
      <c r="L6" s="45" t="n">
        <f aca="false">C6/IF(B6&lt;='VALOR POR PL'!$P$5,IFERROR(INDEX('"INCC-FGV"'!$B$2:$B$800,MATCH(B6,'"INCC-FGV"'!$A$2:$A$800,0)),$K$2),$K$2)</f>
        <v>89.212610211476</v>
      </c>
      <c r="M6" s="139" t="n">
        <f aca="false">'CP RESUMO'!E5</f>
        <v>0</v>
      </c>
      <c r="N6" s="140" t="n">
        <f aca="false">MAX(0,M6-M5)</f>
        <v>0</v>
      </c>
      <c r="O6" s="139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HISTORICOS'!F5)</f>
        <v>109038.62</v>
      </c>
      <c r="D7" s="45" t="n">
        <f aca="false">IF(B7&lt;='VALOR POR PL'!$P$5,0,IF($K$17&gt;0,$K$18*P7/$K$17,0))</f>
        <v>0</v>
      </c>
      <c r="E7" s="45" t="n">
        <f aca="false">L7+D7/$K$2</f>
        <v>92.8956742135418</v>
      </c>
      <c r="F7" s="117" t="n">
        <f aca="false">IF($K$9=0,0,E7/$K$9)</f>
        <v>0.0277128827710246</v>
      </c>
      <c r="G7" s="117" t="n">
        <f aca="false">G6+F7</f>
        <v>0.719389459796547</v>
      </c>
      <c r="H7" s="138"/>
      <c r="I7" s="42" t="s">
        <v>3896</v>
      </c>
      <c r="J7" s="45" t="n">
        <f aca="false">C78+D78</f>
        <v>3768521.86899368</v>
      </c>
      <c r="L7" s="45" t="n">
        <f aca="false">C7/IF(B7&lt;='VALOR POR PL'!$P$5,IFERROR(INDEX('"INCC-FGV"'!$B$2:$B$800,MATCH(B7,'"INCC-FGV"'!$A$2:$A$800,0)),$K$2),$K$2)</f>
        <v>92.8956742135418</v>
      </c>
      <c r="M7" s="139" t="n">
        <f aca="false">'CP RESUMO'!F5</f>
        <v>0</v>
      </c>
      <c r="N7" s="140" t="n">
        <f aca="false">MAX(0,M7-M6)</f>
        <v>0</v>
      </c>
      <c r="O7" s="139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HISTORICOS'!G5)</f>
        <v>96904.79</v>
      </c>
      <c r="D8" s="45" t="n">
        <f aca="false">IF(B8&lt;='VALOR POR PL'!$P$5,0,IF($K$17&gt;0,$K$18*P8/$K$17,0))</f>
        <v>0</v>
      </c>
      <c r="E8" s="45" t="n">
        <f aca="false">L8+D8/$K$2</f>
        <v>82.2351843962844</v>
      </c>
      <c r="F8" s="117" t="n">
        <f aca="false">IF($K$9=0,0,E8/$K$9)</f>
        <v>0.0245326173056141</v>
      </c>
      <c r="G8" s="117" t="n">
        <f aca="false">G7+F8</f>
        <v>0.743922077102161</v>
      </c>
      <c r="H8" s="138"/>
      <c r="I8" s="42" t="s">
        <v>3897</v>
      </c>
      <c r="K8" s="66" t="n">
        <f aca="false">SUM(L5:L76)</f>
        <v>3345.45452961927</v>
      </c>
      <c r="L8" s="45" t="n">
        <f aca="false">C8/IF(B8&lt;='VALOR POR PL'!$P$5,IFERROR(INDEX('"INCC-FGV"'!$B$2:$B$800,MATCH(B8,'"INCC-FGV"'!$A$2:$A$800,0)),$K$2),$K$2)</f>
        <v>82.2351843962844</v>
      </c>
      <c r="M8" s="139" t="n">
        <f aca="false">'CP RESUMO'!G5</f>
        <v>0</v>
      </c>
      <c r="N8" s="140" t="n">
        <f aca="false">MAX(0,M8-M7)</f>
        <v>0</v>
      </c>
      <c r="O8" s="139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HISTORICOS'!H5)</f>
        <v>52757.82</v>
      </c>
      <c r="D9" s="45" t="n">
        <f aca="false">IF(B9&lt;='VALOR POR PL'!$P$5,0,IF($K$17&gt;0,$K$18*P9/$K$17,0))</f>
        <v>0</v>
      </c>
      <c r="E9" s="45" t="n">
        <f aca="false">L9+D9/$K$2</f>
        <v>44.5415893460491</v>
      </c>
      <c r="F9" s="117" t="n">
        <f aca="false">IF($K$9=0,0,E9/$K$9)</f>
        <v>0.013287764521141</v>
      </c>
      <c r="G9" s="117" t="n">
        <f aca="false">G8+F9</f>
        <v>0.757209841623302</v>
      </c>
      <c r="H9" s="138"/>
      <c r="I9" s="42" t="s">
        <v>3898</v>
      </c>
      <c r="J9" s="45" t="n">
        <f aca="false">C78+D78</f>
        <v>3768521.86899368</v>
      </c>
      <c r="K9" s="45" t="n">
        <f aca="false">E78</f>
        <v>3352.07545822947</v>
      </c>
      <c r="L9" s="45" t="n">
        <f aca="false">C9/IF(B9&lt;='VALOR POR PL'!$P$5,IFERROR(INDEX('"INCC-FGV"'!$B$2:$B$800,MATCH(B9,'"INCC-FGV"'!$A$2:$A$800,0)),$K$2),$K$2)</f>
        <v>44.5415893460491</v>
      </c>
      <c r="M9" s="139" t="n">
        <f aca="false">'CP RESUMO'!H5</f>
        <v>0</v>
      </c>
      <c r="N9" s="140" t="n">
        <f aca="false">MAX(0,M9-M8)</f>
        <v>0</v>
      </c>
      <c r="O9" s="139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HISTORICOS'!I5)</f>
        <v>118596.65</v>
      </c>
      <c r="D10" s="45" t="n">
        <f aca="false">IF(B10&lt;='VALOR POR PL'!$P$5,0,IF($K$17&gt;0,$K$18*P10/$K$17,0))</f>
        <v>0</v>
      </c>
      <c r="E10" s="45" t="n">
        <f aca="false">L10+D10/$K$2</f>
        <v>99.5500395777146</v>
      </c>
      <c r="F10" s="117" t="n">
        <f aca="false">IF($K$9=0,0,E10/$K$9)</f>
        <v>0.0296980306136354</v>
      </c>
      <c r="G10" s="117" t="n">
        <f aca="false">G9+F10</f>
        <v>0.786907872236937</v>
      </c>
      <c r="H10" s="138"/>
      <c r="I10" s="42" t="s">
        <v>3899</v>
      </c>
      <c r="K10" s="52" t="n">
        <f aca="false">IF(K6-K8&gt;0,(K6-K8)*'VALOR POR PL'!$G$65,K6-K8)</f>
        <v>6.62092861019854</v>
      </c>
      <c r="L10" s="45" t="n">
        <f aca="false">C10/IF(B10&lt;='VALOR POR PL'!$P$5,IFERROR(INDEX('"INCC-FGV"'!$B$2:$B$800,MATCH(B10,'"INCC-FGV"'!$A$2:$A$800,0)),$K$2),$K$2)</f>
        <v>99.5500395777146</v>
      </c>
      <c r="M10" s="139" t="n">
        <f aca="false">'CP RESUMO'!I5</f>
        <v>0</v>
      </c>
      <c r="N10" s="140" t="n">
        <f aca="false">MAX(0,M10-M9)</f>
        <v>0</v>
      </c>
      <c r="O10" s="139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HISTORICOS'!J5)</f>
        <v>174356.48</v>
      </c>
      <c r="D11" s="45" t="n">
        <f aca="false">IF(B11&lt;='VALOR POR PL'!$P$5,0,IF($K$17&gt;0,$K$18*P11/$K$17,0))</f>
        <v>0</v>
      </c>
      <c r="E11" s="45" t="n">
        <f aca="false">L11+D11/$K$2</f>
        <v>145.35654171832</v>
      </c>
      <c r="F11" s="117" t="n">
        <f aca="false">IF($K$9=0,0,E11/$K$9)</f>
        <v>0.0433631472589509</v>
      </c>
      <c r="G11" s="117" t="n">
        <f aca="false">G10+F11</f>
        <v>0.830271019495888</v>
      </c>
      <c r="H11" s="138"/>
      <c r="I11" s="42" t="s">
        <v>3900</v>
      </c>
      <c r="K11" s="56" t="n">
        <f aca="false">SUMPRODUCT((B5:B76&gt;'VALOR POR PL'!$P$5)*H5:H76)</f>
        <v>23125</v>
      </c>
      <c r="L11" s="45" t="n">
        <f aca="false">C11/IF(B11&lt;='VALOR POR PL'!$P$5,IFERROR(INDEX('"INCC-FGV"'!$B$2:$B$800,MATCH(B11,'"INCC-FGV"'!$A$2:$A$800,0)),$K$2),$K$2)</f>
        <v>145.35654171832</v>
      </c>
      <c r="M11" s="139" t="n">
        <f aca="false">'CP RESUMO'!J5</f>
        <v>0</v>
      </c>
      <c r="N11" s="140" t="n">
        <f aca="false">MAX(0,M11-M10)</f>
        <v>0</v>
      </c>
      <c r="O11" s="139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HISTORICOS'!K5)</f>
        <v>81554.49</v>
      </c>
      <c r="D12" s="45" t="n">
        <f aca="false">IF(B12&lt;='VALOR POR PL'!$P$5,0,IF($K$17&gt;0,$K$18*P12/$K$17,0))</f>
        <v>0</v>
      </c>
      <c r="E12" s="45" t="n">
        <f aca="false">L12+D12/$K$2</f>
        <v>67.3741791418382</v>
      </c>
      <c r="F12" s="117" t="n">
        <f aca="false">IF($K$9=0,0,E12/$K$9)</f>
        <v>0.0200992429858439</v>
      </c>
      <c r="G12" s="117" t="n">
        <f aca="false">G11+F12</f>
        <v>0.850370262481732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67.3741791418382</v>
      </c>
      <c r="M12" s="139" t="n">
        <f aca="false">'CP RESUMO'!K5</f>
        <v>0</v>
      </c>
      <c r="N12" s="140" t="n">
        <f aca="false">MAX(0,M12-M11)</f>
        <v>0</v>
      </c>
      <c r="O12" s="139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HISTORICOS'!L5)</f>
        <v>117153.66</v>
      </c>
      <c r="D13" s="45" t="n">
        <f aca="false">IF(B13&lt;='VALOR POR PL'!$P$5,0,IF($K$17&gt;0,$K$18*P13/$K$17,0))</f>
        <v>0</v>
      </c>
      <c r="E13" s="45" t="n">
        <f aca="false">L13+D13/$K$2</f>
        <v>96.2875665937375</v>
      </c>
      <c r="F13" s="117" t="n">
        <f aca="false">IF($K$9=0,0,E13/$K$9)</f>
        <v>0.0287247610603001</v>
      </c>
      <c r="G13" s="117" t="n">
        <f aca="false">G12+F13</f>
        <v>0.879095023542032</v>
      </c>
      <c r="H13" s="138"/>
      <c r="I13" s="42" t="s">
        <v>3902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96.2875665937375</v>
      </c>
      <c r="M13" s="139" t="n">
        <f aca="false">'CP RESUMO'!L5</f>
        <v>0</v>
      </c>
      <c r="N13" s="140" t="n">
        <f aca="false">MAX(0,M13-M12)</f>
        <v>0</v>
      </c>
      <c r="O13" s="139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HISTORICOS'!M5)</f>
        <v>51128</v>
      </c>
      <c r="D14" s="45" t="n">
        <f aca="false">IF(B14&lt;='VALOR POR PL'!$P$5,0,IF($K$17&gt;0,$K$18*P14/$K$17,0))</f>
        <v>0</v>
      </c>
      <c r="E14" s="45" t="n">
        <f aca="false">L14+D14/$K$2</f>
        <v>41.9512827518755</v>
      </c>
      <c r="F14" s="117" t="n">
        <f aca="false">IF($K$9=0,0,E14/$K$9)</f>
        <v>0.0125150174196955</v>
      </c>
      <c r="G14" s="117" t="n">
        <f aca="false">G13+F14</f>
        <v>0.891610040961728</v>
      </c>
      <c r="H14" s="138"/>
      <c r="I14" s="42" t="s">
        <v>3903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41.9512827518755</v>
      </c>
      <c r="M14" s="139" t="n">
        <f aca="false">'CP RESUMO'!M5</f>
        <v>0</v>
      </c>
      <c r="N14" s="140" t="n">
        <f aca="false">MAX(0,M14-M13)</f>
        <v>0</v>
      </c>
      <c r="O14" s="139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HISTORICOS'!N5)</f>
        <v>22630.13</v>
      </c>
      <c r="D15" s="45" t="n">
        <f aca="false">IF(B15&lt;='VALOR POR PL'!$P$5,0,IF($K$17&gt;0,$K$18*P15/$K$17,0))</f>
        <v>0</v>
      </c>
      <c r="E15" s="45" t="n">
        <f aca="false">L15+D15/$K$2</f>
        <v>18.5135345185854</v>
      </c>
      <c r="F15" s="117" t="n">
        <f aca="false">IF($K$9=0,0,E15/$K$9)</f>
        <v>0.0055230064923312</v>
      </c>
      <c r="G15" s="117" t="n">
        <f aca="false">G14+F15</f>
        <v>0.897133047454059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18.5135345185854</v>
      </c>
      <c r="M15" s="139" t="n">
        <f aca="false">'CP RESUMO'!N5</f>
        <v>0</v>
      </c>
      <c r="N15" s="140" t="n">
        <f aca="false">MAX(0,M15-M14)</f>
        <v>0</v>
      </c>
      <c r="O15" s="139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HISTORICOS'!O5)</f>
        <v>85313.2</v>
      </c>
      <c r="D16" s="45" t="n">
        <f aca="false">IF(B16&lt;='VALOR POR PL'!$P$5,0,IF($K$17&gt;0,$K$18*P16/$K$17,0))</f>
        <v>0</v>
      </c>
      <c r="E16" s="45" t="n">
        <f aca="false">L16+D16/$K$2</f>
        <v>69.6074599819032</v>
      </c>
      <c r="F16" s="117" t="n">
        <f aca="false">IF($K$9=0,0,E16/$K$9)</f>
        <v>0.0207654812217948</v>
      </c>
      <c r="G16" s="117" t="n">
        <f aca="false">G15+F16</f>
        <v>0.917898528675854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69.6074599819032</v>
      </c>
      <c r="M16" s="139" t="n">
        <f aca="false">'CP RESUMO'!O5</f>
        <v>0</v>
      </c>
      <c r="N16" s="140" t="n">
        <f aca="false">MAX(0,M16-M15)</f>
        <v>0</v>
      </c>
      <c r="O16" s="139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HISTORICOS'!P5)</f>
        <v>115501.24</v>
      </c>
      <c r="D17" s="45" t="n">
        <f aca="false">IF(B17&lt;='VALOR POR PL'!$P$5,0,IF($K$17&gt;0,$K$18*P17/$K$17,0))</f>
        <v>0</v>
      </c>
      <c r="E17" s="45" t="n">
        <f aca="false">L17+D17/$K$2</f>
        <v>94.0440544847133</v>
      </c>
      <c r="F17" s="117" t="n">
        <f aca="false">IF($K$9=0,0,E17/$K$9)</f>
        <v>0.0280554706051833</v>
      </c>
      <c r="G17" s="117" t="n">
        <f aca="false">G16+F17</f>
        <v>0.945953999281037</v>
      </c>
      <c r="H17" s="138"/>
      <c r="I17" s="42" t="s">
        <v>3907</v>
      </c>
      <c r="K17" s="45" t="n">
        <f aca="false">SUM(P5:P76)</f>
        <v>23125</v>
      </c>
      <c r="L17" s="45" t="n">
        <f aca="false">C17/IF(B17&lt;='VALOR POR PL'!$P$5,IFERROR(INDEX('"INCC-FGV"'!$B$2:$B$800,MATCH(B17,'"INCC-FGV"'!$A$2:$A$800,0)),$K$2),$K$2)</f>
        <v>94.0440544847133</v>
      </c>
      <c r="M17" s="139" t="n">
        <f aca="false">'CP RESUMO'!P5</f>
        <v>0</v>
      </c>
      <c r="N17" s="140" t="n">
        <f aca="false">MAX(0,M17-M16)</f>
        <v>0</v>
      </c>
      <c r="O17" s="139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HISTORICOS'!Q5)</f>
        <v>98357.56</v>
      </c>
      <c r="D18" s="45" t="n">
        <f aca="false">IF(B18&lt;='VALOR POR PL'!$P$5,0,IF($K$17&gt;0,$K$18*P18/$K$17,0))</f>
        <v>0</v>
      </c>
      <c r="E18" s="45" t="n">
        <f aca="false">L18+D18/$K$2</f>
        <v>79.5106690508603</v>
      </c>
      <c r="F18" s="117" t="n">
        <f aca="false">IF($K$9=0,0,E18/$K$9)</f>
        <v>0.0237198326951915</v>
      </c>
      <c r="G18" s="117" t="n">
        <f aca="false">G17+F18</f>
        <v>0.969673831976229</v>
      </c>
      <c r="H18" s="138"/>
      <c r="I18" s="42" t="s">
        <v>3908</v>
      </c>
      <c r="K18" s="45" t="n">
        <f aca="false">MAX(0,K10)*$K$2</f>
        <v>8605.49899367667</v>
      </c>
      <c r="L18" s="45" t="n">
        <f aca="false">C18/IF(B18&lt;='VALOR POR PL'!$P$5,IFERROR(INDEX('"INCC-FGV"'!$B$2:$B$800,MATCH(B18,'"INCC-FGV"'!$A$2:$A$800,0)),$K$2),$K$2)</f>
        <v>79.5106690508603</v>
      </c>
      <c r="M18" s="139" t="n">
        <f aca="false">'CP RESUMO'!Q5</f>
        <v>0</v>
      </c>
      <c r="N18" s="140" t="n">
        <f aca="false">MAX(0,M18-M17)</f>
        <v>0</v>
      </c>
      <c r="O18" s="139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HISTORICOS'!R5)</f>
        <v>17138.27</v>
      </c>
      <c r="D19" s="45" t="n">
        <f aca="false">IF(B19&lt;='VALOR POR PL'!$P$5,0,IF($K$17&gt;0,$K$18*P19/$K$17,0))</f>
        <v>0</v>
      </c>
      <c r="E19" s="45" t="n">
        <f aca="false">L19+D19/$K$2</f>
        <v>13.8158262802897</v>
      </c>
      <c r="F19" s="117" t="n">
        <f aca="false">IF($K$9=0,0,E19/$K$9)</f>
        <v>0.00412157376898283</v>
      </c>
      <c r="G19" s="117" t="n">
        <f aca="false">G18+F19</f>
        <v>0.973795405745211</v>
      </c>
      <c r="H19" s="138"/>
      <c r="I19" s="42" t="s">
        <v>3909</v>
      </c>
      <c r="K19" s="142" t="n">
        <f aca="false">IF(AND(K16="PREVISÃO INFORMADA",K11&gt;0),K18/K11-1,"")</f>
        <v>-0.627870313786955</v>
      </c>
      <c r="L19" s="45" t="n">
        <f aca="false">C19/IF(B19&lt;='VALOR POR PL'!$P$5,IFERROR(INDEX('"INCC-FGV"'!$B$2:$B$800,MATCH(B19,'"INCC-FGV"'!$A$2:$A$800,0)),$K$2),$K$2)</f>
        <v>13.8158262802897</v>
      </c>
      <c r="M19" s="139" t="n">
        <f aca="false">'CP RESUMO'!R5</f>
        <v>0</v>
      </c>
      <c r="N19" s="140" t="n">
        <f aca="false">MAX(0,M19-M18)</f>
        <v>0</v>
      </c>
      <c r="O19" s="139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HISTORICOS'!S5)</f>
        <v>33811</v>
      </c>
      <c r="D20" s="45" t="n">
        <f aca="false">IF(B20&lt;='VALOR POR PL'!$P$5,0,IF($K$17&gt;0,$K$18*P20/$K$17,0))</f>
        <v>0</v>
      </c>
      <c r="E20" s="45" t="n">
        <f aca="false">L20+D20/$K$2</f>
        <v>27.1099383329284</v>
      </c>
      <c r="F20" s="117" t="n">
        <f aca="false">IF($K$9=0,0,E20/$K$9)</f>
        <v>0.00808750837227501</v>
      </c>
      <c r="G20" s="117" t="n">
        <f aca="false">G19+F20</f>
        <v>0.981882914117486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27.1099383329284</v>
      </c>
      <c r="M20" s="139" t="n">
        <f aca="false">'CP RESUMO'!S5</f>
        <v>0</v>
      </c>
      <c r="N20" s="140" t="n">
        <f aca="false">MAX(0,M20-M19)</f>
        <v>0</v>
      </c>
      <c r="O20" s="139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HISTORICOS'!T5)</f>
        <v>13630.75</v>
      </c>
      <c r="D21" s="45" t="n">
        <f aca="false">IF(B21&lt;='VALOR POR PL'!$P$5,0,IF($K$17&gt;0,$K$18*P21/$K$17,0))</f>
        <v>0</v>
      </c>
      <c r="E21" s="45" t="n">
        <f aca="false">L21+D21/$K$2</f>
        <v>10.8210442249129</v>
      </c>
      <c r="F21" s="117" t="n">
        <f aca="false">IF($K$9=0,0,E21/$K$9)</f>
        <v>0.00322816248015744</v>
      </c>
      <c r="G21" s="117" t="n">
        <f aca="false">G20+F21</f>
        <v>0.985111076597644</v>
      </c>
      <c r="H21" s="138"/>
      <c r="K21" s="143"/>
      <c r="L21" s="45" t="n">
        <f aca="false">C21/IF(B21&lt;='VALOR POR PL'!$P$5,IFERROR(INDEX('"INCC-FGV"'!$B$2:$B$800,MATCH(B21,'"INCC-FGV"'!$A$2:$A$800,0)),$K$2),$K$2)</f>
        <v>10.8210442249129</v>
      </c>
      <c r="M21" s="139" t="n">
        <f aca="false">'CP RESUMO'!T5</f>
        <v>0</v>
      </c>
      <c r="N21" s="140" t="n">
        <f aca="false">MAX(0,M21-M20)</f>
        <v>0</v>
      </c>
      <c r="O21" s="139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HISTORICOS'!U5)</f>
        <v>34163.85</v>
      </c>
      <c r="D22" s="45" t="n">
        <f aca="false">IF(B22&lt;='VALOR POR PL'!$P$5,0,IF($K$17&gt;0,$K$18*P22/$K$17,0))</f>
        <v>0</v>
      </c>
      <c r="E22" s="45" t="n">
        <f aca="false">L22+D22/$K$2</f>
        <v>26.8859561106324</v>
      </c>
      <c r="F22" s="117" t="n">
        <f aca="false">IF($K$9=0,0,E22/$K$9)</f>
        <v>0.0080206894044185</v>
      </c>
      <c r="G22" s="117" t="n">
        <f aca="false">G21+F22</f>
        <v>0.993131766002062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26.8859561106324</v>
      </c>
      <c r="M22" s="139" t="n">
        <f aca="false">'CP RESUMO'!U5</f>
        <v>0</v>
      </c>
      <c r="N22" s="140" t="n">
        <f aca="false">MAX(0,M22-M21)</f>
        <v>0</v>
      </c>
      <c r="O22" s="139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HISTORICOS'!V5)</f>
        <v>2594.4</v>
      </c>
      <c r="D23" s="45" t="n">
        <f aca="false">IF(B23&lt;='VALOR POR PL'!$P$5,0,IF($K$17&gt;0,$K$18*P23/$K$17,0))</f>
        <v>0</v>
      </c>
      <c r="E23" s="45" t="n">
        <f aca="false">L23+D23/$K$2</f>
        <v>2.02586048705297</v>
      </c>
      <c r="F23" s="117" t="n">
        <f aca="false">IF($K$9=0,0,E23/$K$9)</f>
        <v>0.000604360048661616</v>
      </c>
      <c r="G23" s="117" t="n">
        <f aca="false">G22+F23</f>
        <v>0.993736126050724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2.02586048705297</v>
      </c>
      <c r="M23" s="139" t="n">
        <f aca="false">'CP RESUMO'!V5</f>
        <v>0</v>
      </c>
      <c r="N23" s="140" t="n">
        <f aca="false">MAX(0,M23-M22)</f>
        <v>0</v>
      </c>
      <c r="O23" s="139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HISTORICOS'!W5)</f>
        <v>925</v>
      </c>
      <c r="D24" s="45" t="n">
        <f aca="false">IF(B24&lt;='VALOR POR PL'!$P$5,0,IF($K$17&gt;0,$K$18*P24/$K$17,0))</f>
        <v>0</v>
      </c>
      <c r="E24" s="45" t="n">
        <f aca="false">L24+D24/$K$2</f>
        <v>0.717927463713618</v>
      </c>
      <c r="F24" s="117" t="n">
        <f aca="false">IF($K$9=0,0,E24/$K$9)</f>
        <v>0.00021417401626538</v>
      </c>
      <c r="G24" s="117" t="n">
        <f aca="false">G23+F24</f>
        <v>0.993950300066989</v>
      </c>
      <c r="H24" s="138"/>
      <c r="I24" s="144" t="s">
        <v>3913</v>
      </c>
      <c r="J24" s="144"/>
      <c r="K24" s="144"/>
      <c r="L24" s="45" t="n">
        <f aca="false">C24/IF(B24&lt;='VALOR POR PL'!$P$5,IFERROR(INDEX('"INCC-FGV"'!$B$2:$B$800,MATCH(B24,'"INCC-FGV"'!$A$2:$A$800,0)),$K$2),$K$2)</f>
        <v>0.717927463713618</v>
      </c>
      <c r="M24" s="139" t="n">
        <f aca="false">'CP RESUMO'!W5</f>
        <v>0</v>
      </c>
      <c r="N24" s="140" t="n">
        <f aca="false">MAX(0,M24-M23)</f>
        <v>0</v>
      </c>
      <c r="O24" s="139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HISTORICOS'!X5)</f>
        <v>925</v>
      </c>
      <c r="D25" s="45" t="n">
        <f aca="false">IF(B25&lt;='VALOR POR PL'!$P$5,0,IF($K$17&gt;0,$K$18*P25/$K$17,0))</f>
        <v>0</v>
      </c>
      <c r="E25" s="45" t="n">
        <f aca="false">L25+D25/$K$2</f>
        <v>0.713245312436145</v>
      </c>
      <c r="F25" s="117" t="n">
        <f aca="false">IF($K$9=0,0,E25/$K$9)</f>
        <v>0.000212777224535654</v>
      </c>
      <c r="G25" s="117" t="n">
        <f aca="false">G24+F25</f>
        <v>0.994163077291525</v>
      </c>
      <c r="H25" s="138"/>
      <c r="L25" s="45" t="n">
        <f aca="false">C25/IF(B25&lt;='VALOR POR PL'!$P$5,IFERROR(INDEX('"INCC-FGV"'!$B$2:$B$800,MATCH(B25,'"INCC-FGV"'!$A$2:$A$800,0)),$K$2),$K$2)</f>
        <v>0.713245312436145</v>
      </c>
      <c r="M25" s="139" t="n">
        <f aca="false">'CP RESUMO'!X5</f>
        <v>0</v>
      </c>
      <c r="N25" s="140" t="n">
        <f aca="false">MAX(0,M25-M24)</f>
        <v>0</v>
      </c>
      <c r="O25" s="139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HISTORICOS'!Y5)</f>
        <v>15449.65</v>
      </c>
      <c r="D26" s="45" t="n">
        <f aca="false">IF(B26&lt;='VALOR POR PL'!$P$5,0,IF($K$17&gt;0,$K$18*P26/$K$17,0))</f>
        <v>0</v>
      </c>
      <c r="E26" s="45" t="n">
        <f aca="false">L26+D26/$K$2</f>
        <v>11.8867052076489</v>
      </c>
      <c r="F26" s="117" t="n">
        <f aca="false">IF($K$9=0,0,E26/$K$9)</f>
        <v>0.00354607327781557</v>
      </c>
      <c r="G26" s="117" t="n">
        <f aca="false">G25+F26</f>
        <v>0.99770915056934</v>
      </c>
      <c r="H26" s="138" t="n">
        <v>925</v>
      </c>
      <c r="L26" s="45" t="n">
        <f aca="false">C26/IF(B26&lt;='VALOR POR PL'!$P$5,IFERROR(INDEX('"INCC-FGV"'!$B$2:$B$800,MATCH(B26,'"INCC-FGV"'!$A$2:$A$800,0)),$K$2),$K$2)</f>
        <v>11.8867052076489</v>
      </c>
      <c r="M26" s="139" t="n">
        <f aca="false">'CP RESUMO'!Y5</f>
        <v>0</v>
      </c>
      <c r="N26" s="140" t="n">
        <f aca="false">MAX(0,M26-M25)</f>
        <v>0</v>
      </c>
      <c r="O26" s="139" t="n">
        <f aca="false">IF(B26&lt;='VALOR POR PL'!$P$5,'CP RESUMO'!Y47,"")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HISTORICOS'!Z5)</f>
        <v>1375.35</v>
      </c>
      <c r="D27" s="45" t="n">
        <f aca="false">IF(B27&lt;='VALOR POR PL'!$P$5,0,IF($K$17&gt;0,$K$18*P27/$K$17,0))</f>
        <v>344.219959747067</v>
      </c>
      <c r="E27" s="45" t="n">
        <f aca="false">L27+D27/$K$2</f>
        <v>1.32300868922222</v>
      </c>
      <c r="F27" s="117" t="n">
        <f aca="false">IF($K$9=0,0,E27/$K$9)</f>
        <v>0.00039468344484137</v>
      </c>
      <c r="G27" s="117" t="n">
        <f aca="false">G26+F27</f>
        <v>0.998103834014182</v>
      </c>
      <c r="H27" s="138" t="n">
        <v>925</v>
      </c>
      <c r="L27" s="45" t="n">
        <f aca="false">C27/IF(B27&lt;='VALOR POR PL'!$P$5,IFERROR(INDEX('"INCC-FGV"'!$B$2:$B$800,MATCH(B27,'"INCC-FGV"'!$A$2:$A$800,0)),$K$2),$K$2)</f>
        <v>1.05817154481428</v>
      </c>
      <c r="M27" s="139" t="n">
        <f aca="false">'CP RESUMO'!Z5</f>
        <v>0</v>
      </c>
      <c r="N27" s="140" t="n">
        <f aca="false">MAX(0,M27-M26)</f>
        <v>0</v>
      </c>
      <c r="O27" s="139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925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344.219959747067</v>
      </c>
      <c r="E28" s="45" t="n">
        <f aca="false">L28+D28/$K$2</f>
        <v>0.264837144407942</v>
      </c>
      <c r="F28" s="117" t="n">
        <f aca="false">IF($K$9=0,0,E28/$K$9)</f>
        <v>7.90069160757574E-005</v>
      </c>
      <c r="G28" s="117" t="n">
        <f aca="false">G27+F28</f>
        <v>0.998182840930258</v>
      </c>
      <c r="H28" s="138" t="n">
        <v>925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RESUMO'!AA5</f>
        <v>0</v>
      </c>
      <c r="N28" s="140" t="n">
        <f aca="false">MAX(0,M28-M27)</f>
        <v>0</v>
      </c>
      <c r="O28" s="139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925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344.219959747067</v>
      </c>
      <c r="E29" s="45" t="n">
        <f aca="false">L29+D29/$K$2</f>
        <v>0.264837144407942</v>
      </c>
      <c r="F29" s="117" t="n">
        <f aca="false">IF($K$9=0,0,E29/$K$9)</f>
        <v>7.90069160757574E-005</v>
      </c>
      <c r="G29" s="117" t="n">
        <f aca="false">G28+F29</f>
        <v>0.998261847846333</v>
      </c>
      <c r="H29" s="138" t="n">
        <v>925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RESUMO'!AB5</f>
        <v>0</v>
      </c>
      <c r="N29" s="140" t="n">
        <f aca="false">MAX(0,M29-M28)</f>
        <v>0</v>
      </c>
      <c r="O29" s="139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925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344.219959747067</v>
      </c>
      <c r="E30" s="45" t="n">
        <f aca="false">L30+D30/$K$2</f>
        <v>0.264837144407942</v>
      </c>
      <c r="F30" s="117" t="n">
        <f aca="false">IF($K$9=0,0,E30/$K$9)</f>
        <v>7.90069160757574E-005</v>
      </c>
      <c r="G30" s="117" t="n">
        <f aca="false">G29+F30</f>
        <v>0.998340854762409</v>
      </c>
      <c r="H30" s="138" t="n">
        <v>925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RESUMO'!AC5</f>
        <v>0</v>
      </c>
      <c r="N30" s="140" t="n">
        <f aca="false">MAX(0,M30-M29)</f>
        <v>0</v>
      </c>
      <c r="O30" s="139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925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344.219959747067</v>
      </c>
      <c r="E31" s="45" t="n">
        <f aca="false">L31+D31/$K$2</f>
        <v>0.264837144407942</v>
      </c>
      <c r="F31" s="117" t="n">
        <f aca="false">IF($K$9=0,0,E31/$K$9)</f>
        <v>7.90069160757574E-005</v>
      </c>
      <c r="G31" s="117" t="n">
        <f aca="false">G30+F31</f>
        <v>0.998419861678485</v>
      </c>
      <c r="H31" s="138" t="n">
        <v>925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RESUMO'!AD5</f>
        <v>0</v>
      </c>
      <c r="N31" s="140" t="n">
        <f aca="false">MAX(0,M31-M30)</f>
        <v>0</v>
      </c>
      <c r="O31" s="139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925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344.219959747067</v>
      </c>
      <c r="E32" s="45" t="n">
        <f aca="false">L32+D32/$K$2</f>
        <v>0.264837144407942</v>
      </c>
      <c r="F32" s="117" t="n">
        <f aca="false">IF($K$9=0,0,E32/$K$9)</f>
        <v>7.90069160757574E-005</v>
      </c>
      <c r="G32" s="117" t="n">
        <f aca="false">G31+F32</f>
        <v>0.998498868594561</v>
      </c>
      <c r="H32" s="138" t="n">
        <v>925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RESUMO'!AE5</f>
        <v>0</v>
      </c>
      <c r="N32" s="140" t="n">
        <f aca="false">MAX(0,M32-M31)</f>
        <v>0</v>
      </c>
      <c r="O32" s="139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925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344.219959747067</v>
      </c>
      <c r="E33" s="45" t="n">
        <f aca="false">L33+D33/$K$2</f>
        <v>0.264837144407942</v>
      </c>
      <c r="F33" s="117" t="n">
        <f aca="false">IF($K$9=0,0,E33/$K$9)</f>
        <v>7.90069160757574E-005</v>
      </c>
      <c r="G33" s="117" t="n">
        <f aca="false">G32+F33</f>
        <v>0.998577875510636</v>
      </c>
      <c r="H33" s="138" t="n">
        <v>925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RESUMO'!AF5</f>
        <v>0</v>
      </c>
      <c r="N33" s="140" t="n">
        <f aca="false">MAX(0,M33-M32)</f>
        <v>0</v>
      </c>
      <c r="O33" s="139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925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344.219959747067</v>
      </c>
      <c r="E34" s="45" t="n">
        <f aca="false">L34+D34/$K$2</f>
        <v>0.264837144407942</v>
      </c>
      <c r="F34" s="117" t="n">
        <f aca="false">IF($K$9=0,0,E34/$K$9)</f>
        <v>7.90069160757574E-005</v>
      </c>
      <c r="G34" s="117" t="n">
        <f aca="false">G33+F34</f>
        <v>0.998656882426712</v>
      </c>
      <c r="H34" s="138" t="n">
        <v>925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RESUMO'!AG5</f>
        <v>0</v>
      </c>
      <c r="N34" s="140" t="n">
        <f aca="false">MAX(0,M34-M33)</f>
        <v>0</v>
      </c>
      <c r="O34" s="139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925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344.219959747067</v>
      </c>
      <c r="E35" s="45" t="n">
        <f aca="false">L35+D35/$K$2</f>
        <v>0.264837144407942</v>
      </c>
      <c r="F35" s="117" t="n">
        <f aca="false">IF($K$9=0,0,E35/$K$9)</f>
        <v>7.90069160757574E-005</v>
      </c>
      <c r="G35" s="117" t="n">
        <f aca="false">G34+F35</f>
        <v>0.998735889342788</v>
      </c>
      <c r="H35" s="138" t="n">
        <v>925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RESUMO'!AH5</f>
        <v>0</v>
      </c>
      <c r="N35" s="140" t="n">
        <f aca="false">MAX(0,M35-M34)</f>
        <v>0</v>
      </c>
      <c r="O35" s="139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925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344.219959747067</v>
      </c>
      <c r="E36" s="45" t="n">
        <f aca="false">L36+D36/$K$2</f>
        <v>0.264837144407942</v>
      </c>
      <c r="F36" s="117" t="n">
        <f aca="false">IF($K$9=0,0,E36/$K$9)</f>
        <v>7.90069160757574E-005</v>
      </c>
      <c r="G36" s="117" t="n">
        <f aca="false">G35+F36</f>
        <v>0.998814896258864</v>
      </c>
      <c r="H36" s="138" t="n">
        <v>925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RESUMO'!AI5</f>
        <v>0</v>
      </c>
      <c r="N36" s="140" t="n">
        <f aca="false">MAX(0,M36-M35)</f>
        <v>0</v>
      </c>
      <c r="O36" s="139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925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344.219959747067</v>
      </c>
      <c r="E37" s="45" t="n">
        <f aca="false">L37+D37/$K$2</f>
        <v>0.264837144407942</v>
      </c>
      <c r="F37" s="117" t="n">
        <f aca="false">IF($K$9=0,0,E37/$K$9)</f>
        <v>7.90069160757574E-005</v>
      </c>
      <c r="G37" s="117" t="n">
        <f aca="false">G36+F37</f>
        <v>0.998893903174939</v>
      </c>
      <c r="H37" s="138" t="n">
        <v>925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RESUMO'!AJ5</f>
        <v>0</v>
      </c>
      <c r="N37" s="140" t="n">
        <f aca="false">MAX(0,M37-M36)</f>
        <v>0</v>
      </c>
      <c r="O37" s="139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925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344.219959747067</v>
      </c>
      <c r="E38" s="45" t="n">
        <f aca="false">L38+D38/$K$2</f>
        <v>0.264837144407942</v>
      </c>
      <c r="F38" s="117" t="n">
        <f aca="false">IF($K$9=0,0,E38/$K$9)</f>
        <v>7.90069160757574E-005</v>
      </c>
      <c r="G38" s="117" t="n">
        <f aca="false">G37+F38</f>
        <v>0.998972910091015</v>
      </c>
      <c r="H38" s="138" t="n">
        <v>925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RESUMO'!AK5</f>
        <v>0</v>
      </c>
      <c r="N38" s="140" t="n">
        <f aca="false">MAX(0,M38-M37)</f>
        <v>0</v>
      </c>
      <c r="O38" s="139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925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344.219959747067</v>
      </c>
      <c r="E39" s="45" t="n">
        <f aca="false">L39+D39/$K$2</f>
        <v>0.264837144407942</v>
      </c>
      <c r="F39" s="117" t="n">
        <f aca="false">IF($K$9=0,0,E39/$K$9)</f>
        <v>7.90069160757574E-005</v>
      </c>
      <c r="G39" s="117" t="n">
        <f aca="false">G38+F39</f>
        <v>0.999051917007091</v>
      </c>
      <c r="H39" s="138" t="n">
        <v>925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RESUMO'!AL5</f>
        <v>0</v>
      </c>
      <c r="N39" s="140" t="n">
        <f aca="false">MAX(0,M39-M38)</f>
        <v>0</v>
      </c>
      <c r="O39" s="139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925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344.219959747067</v>
      </c>
      <c r="E40" s="45" t="n">
        <f aca="false">L40+D40/$K$2</f>
        <v>0.264837144407942</v>
      </c>
      <c r="F40" s="117" t="n">
        <f aca="false">IF($K$9=0,0,E40/$K$9)</f>
        <v>7.90069160757574E-005</v>
      </c>
      <c r="G40" s="117" t="n">
        <f aca="false">G39+F40</f>
        <v>0.999130923923167</v>
      </c>
      <c r="H40" s="138" t="n">
        <v>925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RESUMO'!AM5</f>
        <v>0</v>
      </c>
      <c r="N40" s="140" t="n">
        <f aca="false">MAX(0,M40-M39)</f>
        <v>0</v>
      </c>
      <c r="O40" s="139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925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344.219959747067</v>
      </c>
      <c r="E41" s="45" t="n">
        <f aca="false">L41+D41/$K$2</f>
        <v>0.264837144407942</v>
      </c>
      <c r="F41" s="117" t="n">
        <f aca="false">IF($K$9=0,0,E41/$K$9)</f>
        <v>7.90069160757574E-005</v>
      </c>
      <c r="G41" s="117" t="n">
        <f aca="false">G40+F41</f>
        <v>0.999209930839243</v>
      </c>
      <c r="H41" s="138" t="n">
        <v>925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RESUMO'!AN5</f>
        <v>0</v>
      </c>
      <c r="N41" s="140" t="n">
        <f aca="false">MAX(0,M41-M40)</f>
        <v>0</v>
      </c>
      <c r="O41" s="139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925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344.219959747067</v>
      </c>
      <c r="E42" s="45" t="n">
        <f aca="false">L42+D42/$K$2</f>
        <v>0.264837144407942</v>
      </c>
      <c r="F42" s="117" t="n">
        <f aca="false">IF($K$9=0,0,E42/$K$9)</f>
        <v>7.90069160757574E-005</v>
      </c>
      <c r="G42" s="117" t="n">
        <f aca="false">G41+F42</f>
        <v>0.999288937755318</v>
      </c>
      <c r="H42" s="138" t="n">
        <v>925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RESUMO'!AO5</f>
        <v>0</v>
      </c>
      <c r="N42" s="140" t="n">
        <f aca="false">MAX(0,M42-M41)</f>
        <v>0</v>
      </c>
      <c r="O42" s="139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925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344.219959747067</v>
      </c>
      <c r="E43" s="45" t="n">
        <f aca="false">L43+D43/$K$2</f>
        <v>0.264837144407942</v>
      </c>
      <c r="F43" s="117" t="n">
        <f aca="false">IF($K$9=0,0,E43/$K$9)</f>
        <v>7.90069160757574E-005</v>
      </c>
      <c r="G43" s="117" t="n">
        <f aca="false">G42+F43</f>
        <v>0.999367944671394</v>
      </c>
      <c r="H43" s="138" t="n">
        <v>925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RESUMO'!AP5</f>
        <v>0</v>
      </c>
      <c r="N43" s="140" t="n">
        <f aca="false">MAX(0,M43-M42)</f>
        <v>0</v>
      </c>
      <c r="O43" s="139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925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344.219959747067</v>
      </c>
      <c r="E44" s="45" t="n">
        <f aca="false">L44+D44/$K$2</f>
        <v>0.264837144407942</v>
      </c>
      <c r="F44" s="117" t="n">
        <f aca="false">IF($K$9=0,0,E44/$K$9)</f>
        <v>7.90069160757574E-005</v>
      </c>
      <c r="G44" s="117" t="n">
        <f aca="false">G43+F44</f>
        <v>0.99944695158747</v>
      </c>
      <c r="H44" s="138" t="n">
        <v>925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RESUMO'!AQ5</f>
        <v>0</v>
      </c>
      <c r="N44" s="140" t="n">
        <f aca="false">MAX(0,M44-M43)</f>
        <v>0</v>
      </c>
      <c r="O44" s="139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925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344.219959747067</v>
      </c>
      <c r="E45" s="45" t="n">
        <f aca="false">L45+D45/$K$2</f>
        <v>0.264837144407942</v>
      </c>
      <c r="F45" s="117" t="n">
        <f aca="false">IF($K$9=0,0,E45/$K$9)</f>
        <v>7.90069160757574E-005</v>
      </c>
      <c r="G45" s="117" t="n">
        <f aca="false">G44+F45</f>
        <v>0.999525958503546</v>
      </c>
      <c r="H45" s="138" t="n">
        <v>925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RESUMO'!AR5</f>
        <v>0</v>
      </c>
      <c r="N45" s="140" t="n">
        <f aca="false">MAX(0,M45-M44)</f>
        <v>0</v>
      </c>
      <c r="O45" s="139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925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344.219959747067</v>
      </c>
      <c r="E46" s="45" t="n">
        <f aca="false">L46+D46/$K$2</f>
        <v>0.264837144407942</v>
      </c>
      <c r="F46" s="117" t="n">
        <f aca="false">IF($K$9=0,0,E46/$K$9)</f>
        <v>7.90069160757574E-005</v>
      </c>
      <c r="G46" s="117" t="n">
        <f aca="false">G45+F46</f>
        <v>0.999604965419621</v>
      </c>
      <c r="H46" s="138" t="n">
        <v>925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RESUMO'!AS5</f>
        <v>0</v>
      </c>
      <c r="N46" s="140" t="n">
        <f aca="false">MAX(0,M46-M45)</f>
        <v>0</v>
      </c>
      <c r="O46" s="139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925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344.219959747067</v>
      </c>
      <c r="E47" s="45" t="n">
        <f aca="false">L47+D47/$K$2</f>
        <v>0.264837144407942</v>
      </c>
      <c r="F47" s="117" t="n">
        <f aca="false">IF($K$9=0,0,E47/$K$9)</f>
        <v>7.90069160757574E-005</v>
      </c>
      <c r="G47" s="117" t="n">
        <f aca="false">G46+F47</f>
        <v>0.999683972335697</v>
      </c>
      <c r="H47" s="138" t="n">
        <v>925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RESUMO'!AT5</f>
        <v>0</v>
      </c>
      <c r="N47" s="140" t="n">
        <f aca="false">MAX(0,M47-M46)</f>
        <v>0</v>
      </c>
      <c r="O47" s="139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925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344.219959747067</v>
      </c>
      <c r="E48" s="45" t="n">
        <f aca="false">L48+D48/$K$2</f>
        <v>0.264837144407942</v>
      </c>
      <c r="F48" s="117" t="n">
        <f aca="false">IF($K$9=0,0,E48/$K$9)</f>
        <v>7.90069160757574E-005</v>
      </c>
      <c r="G48" s="117" t="n">
        <f aca="false">G47+F48</f>
        <v>0.999762979251773</v>
      </c>
      <c r="H48" s="138" t="n">
        <v>925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RESUMO'!AU5</f>
        <v>0</v>
      </c>
      <c r="N48" s="140" t="n">
        <f aca="false">MAX(0,M48-M47)</f>
        <v>0</v>
      </c>
      <c r="O48" s="139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925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344.219959747067</v>
      </c>
      <c r="E49" s="45" t="n">
        <f aca="false">L49+D49/$K$2</f>
        <v>0.264837144407942</v>
      </c>
      <c r="F49" s="117" t="n">
        <f aca="false">IF($K$9=0,0,E49/$K$9)</f>
        <v>7.90069160757574E-005</v>
      </c>
      <c r="G49" s="117" t="n">
        <f aca="false">G48+F49</f>
        <v>0.999841986167849</v>
      </c>
      <c r="H49" s="138" t="n">
        <v>925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RESUMO'!AV5</f>
        <v>0</v>
      </c>
      <c r="N49" s="140" t="n">
        <f aca="false">MAX(0,M49-M48)</f>
        <v>0</v>
      </c>
      <c r="O49" s="139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925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344.219959747067</v>
      </c>
      <c r="E50" s="45" t="n">
        <f aca="false">L50+D50/$K$2</f>
        <v>0.264837144407942</v>
      </c>
      <c r="F50" s="117" t="n">
        <f aca="false">IF($K$9=0,0,E50/$K$9)</f>
        <v>7.90069160757574E-005</v>
      </c>
      <c r="G50" s="117" t="n">
        <f aca="false">G49+F50</f>
        <v>0.999920993083924</v>
      </c>
      <c r="H50" s="138" t="n">
        <v>925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RESUMO'!AW5</f>
        <v>0</v>
      </c>
      <c r="N50" s="140" t="n">
        <f aca="false">MAX(0,M50-M49)</f>
        <v>0</v>
      </c>
      <c r="O50" s="139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925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344.219959747067</v>
      </c>
      <c r="E51" s="45" t="n">
        <f aca="false">L51+D51/$K$2</f>
        <v>0.264837144407942</v>
      </c>
      <c r="F51" s="117" t="n">
        <f aca="false">IF($K$9=0,0,E51/$K$9)</f>
        <v>7.90069160757574E-005</v>
      </c>
      <c r="G51" s="117" t="n">
        <f aca="false">G50+F51</f>
        <v>1</v>
      </c>
      <c r="H51" s="138" t="n">
        <v>925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RESUMO'!AX5</f>
        <v>0</v>
      </c>
      <c r="N51" s="140" t="n">
        <f aca="false">MAX(0,M51-M50)</f>
        <v>0</v>
      </c>
      <c r="O51" s="139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925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RESUMO'!AY5</f>
        <v>0</v>
      </c>
      <c r="N52" s="140" t="n">
        <f aca="false">MAX(0,M52-M51)</f>
        <v>0</v>
      </c>
      <c r="O52" s="139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RESUMO'!AZ5</f>
        <v>0</v>
      </c>
      <c r="N53" s="140" t="n">
        <f aca="false">MAX(0,M53-M52)</f>
        <v>0</v>
      </c>
      <c r="O53" s="139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RESUMO'!BA5</f>
        <v>0</v>
      </c>
      <c r="N54" s="140" t="n">
        <f aca="false">MAX(0,M54-M53)</f>
        <v>0</v>
      </c>
      <c r="O54" s="139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RESUMO'!BB5</f>
        <v>0</v>
      </c>
      <c r="N55" s="140" t="n">
        <f aca="false">MAX(0,M55-M54)</f>
        <v>0</v>
      </c>
      <c r="O55" s="139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RESUMO'!BC5</f>
        <v>0</v>
      </c>
      <c r="N56" s="140" t="n">
        <f aca="false">MAX(0,M56-M55)</f>
        <v>0</v>
      </c>
      <c r="O56" s="139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RESUMO'!BD5</f>
        <v>0</v>
      </c>
      <c r="N57" s="140" t="n">
        <f aca="false">MAX(0,M57-M56)</f>
        <v>0</v>
      </c>
      <c r="O57" s="139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RESUMO'!BE5</f>
        <v>0</v>
      </c>
      <c r="N58" s="140" t="n">
        <f aca="false">MAX(0,M58-M57)</f>
        <v>0</v>
      </c>
      <c r="O58" s="139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RESUMO'!BF5</f>
        <v>0</v>
      </c>
      <c r="N59" s="140" t="n">
        <f aca="false">MAX(0,M59-M58)</f>
        <v>0</v>
      </c>
      <c r="O59" s="139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RESUMO'!BG5</f>
        <v>0</v>
      </c>
      <c r="N60" s="140" t="n">
        <f aca="false">MAX(0,M60-M59)</f>
        <v>0</v>
      </c>
      <c r="O60" s="139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RESUMO'!BH5</f>
        <v>0</v>
      </c>
      <c r="N61" s="140" t="n">
        <f aca="false">MAX(0,M61-M60)</f>
        <v>0</v>
      </c>
      <c r="O61" s="139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RESUMO'!BI5</f>
        <v>0</v>
      </c>
      <c r="N62" s="140" t="n">
        <f aca="false">MAX(0,M62-M61)</f>
        <v>0</v>
      </c>
      <c r="O62" s="139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RESUMO'!BJ5</f>
        <v>0</v>
      </c>
      <c r="N63" s="140" t="n">
        <f aca="false">MAX(0,M63-M62)</f>
        <v>0</v>
      </c>
      <c r="O63" s="139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RESUMO'!BK5</f>
        <v>0</v>
      </c>
      <c r="N64" s="140" t="n">
        <f aca="false">MAX(0,M64-M63)</f>
        <v>0</v>
      </c>
      <c r="O64" s="139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RESUMO'!BL5</f>
        <v>0</v>
      </c>
      <c r="N65" s="140" t="n">
        <f aca="false">MAX(0,M65-M64)</f>
        <v>0</v>
      </c>
      <c r="O65" s="139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RESUMO'!BM5</f>
        <v>0</v>
      </c>
      <c r="N66" s="140" t="n">
        <f aca="false">MAX(0,M66-M65)</f>
        <v>0</v>
      </c>
      <c r="O66" s="139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RESUMO'!BN5</f>
        <v>0</v>
      </c>
      <c r="N67" s="140" t="n">
        <f aca="false">MAX(0,M67-M66)</f>
        <v>0</v>
      </c>
      <c r="O67" s="139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RESUMO'!BO5</f>
        <v>0</v>
      </c>
      <c r="N68" s="140" t="n">
        <f aca="false">MAX(0,M68-M67)</f>
        <v>0</v>
      </c>
      <c r="O68" s="139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RESUMO'!BP5</f>
        <v>0</v>
      </c>
      <c r="N69" s="140" t="n">
        <f aca="false">MAX(0,M69-M68)</f>
        <v>0</v>
      </c>
      <c r="O69" s="139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RESUMO'!BQ5</f>
        <v>0</v>
      </c>
      <c r="N70" s="140" t="n">
        <f aca="false">MAX(0,M70-M69)</f>
        <v>0</v>
      </c>
      <c r="O70" s="139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RESUMO'!BR5</f>
        <v>0</v>
      </c>
      <c r="N71" s="140" t="n">
        <f aca="false">MAX(0,M71-M70)</f>
        <v>0</v>
      </c>
      <c r="O71" s="139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RESUMO'!BS5</f>
        <v>0</v>
      </c>
      <c r="N72" s="140" t="n">
        <f aca="false">MAX(0,M72-M71)</f>
        <v>0</v>
      </c>
      <c r="O72" s="139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RESUMO'!BT5</f>
        <v>0</v>
      </c>
      <c r="N73" s="140" t="n">
        <f aca="false">MAX(0,M73-M72)</f>
        <v>0</v>
      </c>
      <c r="O73" s="139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RESUMO'!BU5</f>
        <v>0</v>
      </c>
      <c r="N74" s="140" t="n">
        <f aca="false">MAX(0,M74-M73)</f>
        <v>0</v>
      </c>
      <c r="O74" s="139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RESUMO'!BV5</f>
        <v>0</v>
      </c>
      <c r="N75" s="140" t="n">
        <f aca="false">MAX(0,M75-M74)</f>
        <v>0</v>
      </c>
      <c r="O75" s="139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RESUMO'!BW5</f>
        <v>0</v>
      </c>
      <c r="N76" s="140" t="n">
        <f aca="false">MAX(0,M76-M75)</f>
        <v>0</v>
      </c>
      <c r="O76" s="139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3759916.37</v>
      </c>
      <c r="D78" s="61" t="n">
        <f aca="false">SUM(D5:D76)</f>
        <v>8605.49899367667</v>
      </c>
      <c r="E78" s="61" t="n">
        <f aca="false">SUM(E5:E76)</f>
        <v>3352.07545822947</v>
      </c>
      <c r="F78" s="145" t="n">
        <f aca="false">SUM(F5:F76)</f>
        <v>1</v>
      </c>
      <c r="H78" s="61" t="n">
        <f aca="false">SUM(H5:H76)</f>
        <v>24050</v>
      </c>
      <c r="L78" s="61" t="n">
        <f aca="false">SUM(L5:L76)</f>
        <v>3345.45452961927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-7.99360577730113E-014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HISTORICOS'!D42)</f>
        <v>834265.35</v>
      </c>
      <c r="D5" s="45" t="n">
        <f aca="false">IF(B5&lt;='VALOR POR PL'!$P$5,0,IF($K$17&gt;0,$K$18*P5/$K$17,0))</f>
        <v>0</v>
      </c>
      <c r="E5" s="45" t="n">
        <f aca="false">L5+D5/$K$2</f>
        <v>721.472601885354</v>
      </c>
      <c r="F5" s="117" t="n">
        <f aca="false">IF($K$9=0,0,E5/$K$9)</f>
        <v>0.0573830462024361</v>
      </c>
      <c r="G5" s="117" t="n">
        <f aca="false">F5</f>
        <v>0.0573830462024361</v>
      </c>
      <c r="H5" s="138"/>
      <c r="I5" s="42" t="s">
        <v>3894</v>
      </c>
      <c r="J5" s="56" t="n">
        <f aca="false">'VALOR POR PL'!F48</f>
        <v>15093038.84</v>
      </c>
      <c r="K5" s="56" t="n">
        <f aca="false">'VALOR POR PL'!G48</f>
        <v>12921.505153</v>
      </c>
      <c r="L5" s="56" t="n">
        <f aca="false">'DADOS HISTORICOS'!$BZ$42</f>
        <v>721.472601885354</v>
      </c>
      <c r="M5" s="139" t="n">
        <f aca="false">'CP RESUMO'!D42</f>
        <v>0</v>
      </c>
      <c r="N5" s="140" t="n">
        <v>0</v>
      </c>
      <c r="O5" s="139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HISTORICOS'!E42)</f>
        <v>-18060.01</v>
      </c>
      <c r="D6" s="45" t="n">
        <f aca="false">IF(B6&lt;='VALOR POR PL'!$P$5,0,IF($K$17&gt;0,$K$18*P6/$K$17,0))</f>
        <v>0</v>
      </c>
      <c r="E6" s="45" t="n">
        <f aca="false">L6+D6/$K$2</f>
        <v>-15.4475774858953</v>
      </c>
      <c r="F6" s="117" t="n">
        <f aca="false">IF($K$9=0,0,E6/$K$9)</f>
        <v>-0.00122863855158522</v>
      </c>
      <c r="G6" s="117" t="n">
        <f aca="false">G5+F6</f>
        <v>0.0561544076508509</v>
      </c>
      <c r="H6" s="138"/>
      <c r="I6" s="42" t="s">
        <v>3895</v>
      </c>
      <c r="K6" s="52" t="n">
        <f aca="false">'VALOR POR PL'!H48</f>
        <v>12581.5134756939</v>
      </c>
      <c r="L6" s="45" t="n">
        <f aca="false">C6/IF(B6&lt;='VALOR POR PL'!$P$5,IFERROR(INDEX('"INCC-FGV"'!$B$2:$B$800,MATCH(B6,'"INCC-FGV"'!$A$2:$A$800,0)),$K$2),$K$2)</f>
        <v>-15.4475774858953</v>
      </c>
      <c r="M6" s="139" t="n">
        <f aca="false">'CP RESUMO'!E42</f>
        <v>0</v>
      </c>
      <c r="N6" s="140" t="n">
        <f aca="false">MAX(0,M6-M5)</f>
        <v>0</v>
      </c>
      <c r="O6" s="139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HISTORICOS'!F42)</f>
        <v>16698.71</v>
      </c>
      <c r="D7" s="45" t="n">
        <f aca="false">IF(B7&lt;='VALOR POR PL'!$P$5,0,IF($K$17&gt;0,$K$18*P7/$K$17,0))</f>
        <v>0</v>
      </c>
      <c r="E7" s="45" t="n">
        <f aca="false">L7+D7/$K$2</f>
        <v>14.2264999680518</v>
      </c>
      <c r="F7" s="117" t="n">
        <f aca="false">IF($K$9=0,0,E7/$K$9)</f>
        <v>0.00113151892785999</v>
      </c>
      <c r="G7" s="117" t="n">
        <f aca="false">G6+F7</f>
        <v>0.0572859265787109</v>
      </c>
      <c r="H7" s="138"/>
      <c r="I7" s="42" t="s">
        <v>3896</v>
      </c>
      <c r="J7" s="45" t="n">
        <f aca="false">C78+D78</f>
        <v>16111658.2450958</v>
      </c>
      <c r="L7" s="45" t="n">
        <f aca="false">C7/IF(B7&lt;='VALOR POR PL'!$P$5,IFERROR(INDEX('"INCC-FGV"'!$B$2:$B$800,MATCH(B7,'"INCC-FGV"'!$A$2:$A$800,0)),$K$2),$K$2)</f>
        <v>14.2264999680518</v>
      </c>
      <c r="M7" s="139" t="n">
        <f aca="false">'CP RESUMO'!F42</f>
        <v>0</v>
      </c>
      <c r="N7" s="140" t="n">
        <f aca="false">MAX(0,M7-M6)</f>
        <v>0</v>
      </c>
      <c r="O7" s="139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HISTORICOS'!G42)</f>
        <v>64177.87</v>
      </c>
      <c r="D8" s="45" t="n">
        <f aca="false">IF(B8&lt;='VALOR POR PL'!$P$5,0,IF($K$17&gt;0,$K$18*P8/$K$17,0))</f>
        <v>0</v>
      </c>
      <c r="E8" s="45" t="n">
        <f aca="false">L8+D8/$K$2</f>
        <v>54.4625190726977</v>
      </c>
      <c r="F8" s="117" t="n">
        <f aca="false">IF($K$9=0,0,E8/$K$9)</f>
        <v>0.00433173101803565</v>
      </c>
      <c r="G8" s="117" t="n">
        <f aca="false">G7+F8</f>
        <v>0.0616176575967466</v>
      </c>
      <c r="H8" s="138"/>
      <c r="I8" s="42" t="s">
        <v>3897</v>
      </c>
      <c r="K8" s="66" t="n">
        <f aca="false">SUM(L5:L76)</f>
        <v>3261.20201437022</v>
      </c>
      <c r="L8" s="45" t="n">
        <f aca="false">C8/IF(B8&lt;='VALOR POR PL'!$P$5,IFERROR(INDEX('"INCC-FGV"'!$B$2:$B$800,MATCH(B8,'"INCC-FGV"'!$A$2:$A$800,0)),$K$2),$K$2)</f>
        <v>54.4625190726977</v>
      </c>
      <c r="M8" s="139" t="n">
        <f aca="false">'CP RESUMO'!G42</f>
        <v>0</v>
      </c>
      <c r="N8" s="140" t="n">
        <f aca="false">MAX(0,M8-M7)</f>
        <v>0</v>
      </c>
      <c r="O8" s="139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HISTORICOS'!H42)</f>
        <v>48427.68</v>
      </c>
      <c r="D9" s="45" t="n">
        <f aca="false">IF(B9&lt;='VALOR POR PL'!$P$5,0,IF($K$17&gt;0,$K$18*P9/$K$17,0))</f>
        <v>0</v>
      </c>
      <c r="E9" s="45" t="n">
        <f aca="false">L9+D9/$K$2</f>
        <v>40.8858030059217</v>
      </c>
      <c r="F9" s="117" t="n">
        <f aca="false">IF($K$9=0,0,E9/$K$9)</f>
        <v>0.00325189330375337</v>
      </c>
      <c r="G9" s="117" t="n">
        <f aca="false">G8+F9</f>
        <v>0.0648695509004999</v>
      </c>
      <c r="H9" s="138"/>
      <c r="I9" s="42" t="s">
        <v>3898</v>
      </c>
      <c r="J9" s="45" t="n">
        <f aca="false">C78+D78</f>
        <v>16111658.2450958</v>
      </c>
      <c r="K9" s="45" t="n">
        <f aca="false">E78</f>
        <v>12572.922659772</v>
      </c>
      <c r="L9" s="45" t="n">
        <f aca="false">C9/IF(B9&lt;='VALOR POR PL'!$P$5,IFERROR(INDEX('"INCC-FGV"'!$B$2:$B$800,MATCH(B9,'"INCC-FGV"'!$A$2:$A$800,0)),$K$2),$K$2)</f>
        <v>40.8858030059217</v>
      </c>
      <c r="M9" s="139" t="n">
        <f aca="false">'CP RESUMO'!H42</f>
        <v>0</v>
      </c>
      <c r="N9" s="140" t="n">
        <f aca="false">MAX(0,M9-M8)</f>
        <v>0</v>
      </c>
      <c r="O9" s="139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HISTORICOS'!I42)</f>
        <v>64628.63</v>
      </c>
      <c r="D10" s="45" t="n">
        <f aca="false">IF(B10&lt;='VALOR POR PL'!$P$5,0,IF($K$17&gt;0,$K$18*P10/$K$17,0))</f>
        <v>0</v>
      </c>
      <c r="E10" s="45" t="n">
        <f aca="false">L10+D10/$K$2</f>
        <v>54.2492783257661</v>
      </c>
      <c r="F10" s="117" t="n">
        <f aca="false">IF($K$9=0,0,E10/$K$9)</f>
        <v>0.00431477070159197</v>
      </c>
      <c r="G10" s="117" t="n">
        <f aca="false">G9+F10</f>
        <v>0.0691843216020919</v>
      </c>
      <c r="H10" s="138"/>
      <c r="I10" s="42" t="s">
        <v>3899</v>
      </c>
      <c r="K10" s="52" t="n">
        <f aca="false">IF(K6-K8&gt;0,(K6-K8)*'VALOR POR PL'!$G$65,K6-K8)</f>
        <v>9311.72064540181</v>
      </c>
      <c r="L10" s="45" t="n">
        <f aca="false">C10/IF(B10&lt;='VALOR POR PL'!$P$5,IFERROR(INDEX('"INCC-FGV"'!$B$2:$B$800,MATCH(B10,'"INCC-FGV"'!$A$2:$A$800,0)),$K$2),$K$2)</f>
        <v>54.2492783257661</v>
      </c>
      <c r="M10" s="139" t="n">
        <f aca="false">'CP RESUMO'!I42</f>
        <v>0</v>
      </c>
      <c r="N10" s="140" t="n">
        <f aca="false">MAX(0,M10-M9)</f>
        <v>0</v>
      </c>
      <c r="O10" s="139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HISTORICOS'!J42)</f>
        <v>48665.26</v>
      </c>
      <c r="D11" s="45" t="n">
        <f aca="false">IF(B11&lt;='VALOR POR PL'!$P$5,0,IF($K$17&gt;0,$K$18*P11/$K$17,0))</f>
        <v>0</v>
      </c>
      <c r="E11" s="45" t="n">
        <f aca="false">L11+D11/$K$2</f>
        <v>40.5709836274676</v>
      </c>
      <c r="F11" s="117" t="n">
        <f aca="false">IF($K$9=0,0,E11/$K$9)</f>
        <v>0.00322685382908442</v>
      </c>
      <c r="G11" s="117" t="n">
        <f aca="false">G10+F11</f>
        <v>0.0724111754311763</v>
      </c>
      <c r="H11" s="138"/>
      <c r="I11" s="42" t="s">
        <v>3900</v>
      </c>
      <c r="K11" s="56" t="n">
        <f aca="false">SUMPRODUCT((B5:B76&gt;'VALOR POR PL'!$P$5)*H5:H76)</f>
        <v>12355882.98</v>
      </c>
      <c r="L11" s="45" t="n">
        <f aca="false">C11/IF(B11&lt;='VALOR POR PL'!$P$5,IFERROR(INDEX('"INCC-FGV"'!$B$2:$B$800,MATCH(B11,'"INCC-FGV"'!$A$2:$A$800,0)),$K$2),$K$2)</f>
        <v>40.5709836274676</v>
      </c>
      <c r="M11" s="139" t="n">
        <f aca="false">'CP RESUMO'!J42</f>
        <v>0</v>
      </c>
      <c r="N11" s="140" t="n">
        <f aca="false">MAX(0,M11-M10)</f>
        <v>0</v>
      </c>
      <c r="O11" s="139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HISTORICOS'!K42)</f>
        <v>124955.82</v>
      </c>
      <c r="D12" s="45" t="n">
        <f aca="false">IF(B12&lt;='VALOR POR PL'!$P$5,0,IF($K$17&gt;0,$K$18*P12/$K$17,0))</f>
        <v>0</v>
      </c>
      <c r="E12" s="45" t="n">
        <f aca="false">L12+D12/$K$2</f>
        <v>103.229090164077</v>
      </c>
      <c r="F12" s="117" t="n">
        <f aca="false">IF($K$9=0,0,E12/$K$9)</f>
        <v>0.00821042910685879</v>
      </c>
      <c r="G12" s="117" t="n">
        <f aca="false">G11+F12</f>
        <v>0.0806216045380351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103.229090164077</v>
      </c>
      <c r="M12" s="139" t="n">
        <f aca="false">'CP RESUMO'!K42</f>
        <v>0</v>
      </c>
      <c r="N12" s="140" t="n">
        <f aca="false">MAX(0,M12-M11)</f>
        <v>0</v>
      </c>
      <c r="O12" s="139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HISTORICOS'!L42)</f>
        <v>98792.36</v>
      </c>
      <c r="D13" s="45" t="n">
        <f aca="false">IF(B13&lt;='VALOR POR PL'!$P$5,0,IF($K$17&gt;0,$K$18*P13/$K$17,0))</f>
        <v>0</v>
      </c>
      <c r="E13" s="45" t="n">
        <f aca="false">L13+D13/$K$2</f>
        <v>81.1965750148352</v>
      </c>
      <c r="F13" s="117" t="n">
        <f aca="false">IF($K$9=0,0,E13/$K$9)</f>
        <v>0.00645805094106158</v>
      </c>
      <c r="G13" s="117" t="n">
        <f aca="false">G12+F13</f>
        <v>0.0870796554790967</v>
      </c>
      <c r="H13" s="138"/>
      <c r="I13" s="42" t="s">
        <v>3902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81.1965750148352</v>
      </c>
      <c r="M13" s="139" t="n">
        <f aca="false">'CP RESUMO'!L42</f>
        <v>0</v>
      </c>
      <c r="N13" s="140" t="n">
        <f aca="false">MAX(0,M13-M12)</f>
        <v>0</v>
      </c>
      <c r="O13" s="139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HISTORICOS'!M42)</f>
        <v>169238.97</v>
      </c>
      <c r="D14" s="45" t="n">
        <f aca="false">IF(B14&lt;='VALOR POR PL'!$P$5,0,IF($K$17&gt;0,$K$18*P14/$K$17,0))</f>
        <v>0</v>
      </c>
      <c r="E14" s="45" t="n">
        <f aca="false">L14+D14/$K$2</f>
        <v>138.863086432213</v>
      </c>
      <c r="F14" s="117" t="n">
        <f aca="false">IF($K$9=0,0,E14/$K$9)</f>
        <v>0.0110446147001695</v>
      </c>
      <c r="G14" s="117" t="n">
        <f aca="false">G13+F14</f>
        <v>0.0981242701792662</v>
      </c>
      <c r="H14" s="138"/>
      <c r="I14" s="42" t="s">
        <v>3903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138.863086432213</v>
      </c>
      <c r="M14" s="139" t="n">
        <f aca="false">'CP RESUMO'!M42</f>
        <v>0</v>
      </c>
      <c r="N14" s="140" t="n">
        <f aca="false">MAX(0,M14-M13)</f>
        <v>0</v>
      </c>
      <c r="O14" s="139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HISTORICOS'!N42)</f>
        <v>177088.06</v>
      </c>
      <c r="D15" s="45" t="n">
        <f aca="false">IF(B15&lt;='VALOR POR PL'!$P$5,0,IF($K$17&gt;0,$K$18*P15/$K$17,0))</f>
        <v>0</v>
      </c>
      <c r="E15" s="45" t="n">
        <f aca="false">L15+D15/$K$2</f>
        <v>144.874373750364</v>
      </c>
      <c r="F15" s="117" t="n">
        <f aca="false">IF($K$9=0,0,E15/$K$9)</f>
        <v>0.0115227284594615</v>
      </c>
      <c r="G15" s="117" t="n">
        <f aca="false">G14+F15</f>
        <v>0.109646998638728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144.874373750364</v>
      </c>
      <c r="M15" s="139" t="n">
        <f aca="false">'CP RESUMO'!N42</f>
        <v>0</v>
      </c>
      <c r="N15" s="140" t="n">
        <f aca="false">MAX(0,M15-M14)</f>
        <v>0</v>
      </c>
      <c r="O15" s="139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HISTORICOS'!O42)</f>
        <v>229144.51</v>
      </c>
      <c r="D16" s="45" t="n">
        <f aca="false">IF(B16&lt;='VALOR POR PL'!$P$5,0,IF($K$17&gt;0,$K$18*P16/$K$17,0))</f>
        <v>0</v>
      </c>
      <c r="E16" s="45" t="n">
        <f aca="false">L16+D16/$K$2</f>
        <v>186.960134069497</v>
      </c>
      <c r="F16" s="117" t="n">
        <f aca="false">IF($K$9=0,0,E16/$K$9)</f>
        <v>0.0148700615703053</v>
      </c>
      <c r="G16" s="117" t="n">
        <f aca="false">G15+F16</f>
        <v>0.124517060209033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186.960134069497</v>
      </c>
      <c r="M16" s="139" t="n">
        <f aca="false">'CP RESUMO'!O42</f>
        <v>0</v>
      </c>
      <c r="N16" s="140" t="n">
        <f aca="false">MAX(0,M16-M15)</f>
        <v>0</v>
      </c>
      <c r="O16" s="139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HISTORICOS'!P42)</f>
        <v>224113.89</v>
      </c>
      <c r="D17" s="45" t="n">
        <f aca="false">IF(B17&lt;='VALOR POR PL'!$P$5,0,IF($K$17&gt;0,$K$18*P17/$K$17,0))</f>
        <v>0</v>
      </c>
      <c r="E17" s="45" t="n">
        <f aca="false">L17+D17/$K$2</f>
        <v>182.479243356531</v>
      </c>
      <c r="F17" s="117" t="n">
        <f aca="false">IF($K$9=0,0,E17/$K$9)</f>
        <v>0.0145136694382434</v>
      </c>
      <c r="G17" s="117" t="n">
        <f aca="false">G16+F17</f>
        <v>0.139030729647276</v>
      </c>
      <c r="H17" s="138"/>
      <c r="I17" s="42" t="s">
        <v>3907</v>
      </c>
      <c r="K17" s="45" t="n">
        <f aca="false">SUM(P5:P76)</f>
        <v>12355882.98</v>
      </c>
      <c r="L17" s="45" t="n">
        <f aca="false">C17/IF(B17&lt;='VALOR POR PL'!$P$5,IFERROR(INDEX('"INCC-FGV"'!$B$2:$B$800,MATCH(B17,'"INCC-FGV"'!$A$2:$A$800,0)),$K$2),$K$2)</f>
        <v>182.479243356531</v>
      </c>
      <c r="M17" s="139" t="n">
        <f aca="false">'CP RESUMO'!P42</f>
        <v>0</v>
      </c>
      <c r="N17" s="140" t="n">
        <f aca="false">MAX(0,M17-M16)</f>
        <v>0</v>
      </c>
      <c r="O17" s="139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HISTORICOS'!Q42)</f>
        <v>180583.02</v>
      </c>
      <c r="D18" s="45" t="n">
        <f aca="false">IF(B18&lt;='VALOR POR PL'!$P$5,0,IF($K$17&gt;0,$K$18*P18/$K$17,0))</f>
        <v>0</v>
      </c>
      <c r="E18" s="45" t="n">
        <f aca="false">L18+D18/$K$2</f>
        <v>145.980408007528</v>
      </c>
      <c r="F18" s="117" t="n">
        <f aca="false">IF($K$9=0,0,E18/$K$9)</f>
        <v>0.0116106980021918</v>
      </c>
      <c r="G18" s="117" t="n">
        <f aca="false">G17+F18</f>
        <v>0.150641427649468</v>
      </c>
      <c r="H18" s="138"/>
      <c r="I18" s="42" t="s">
        <v>3908</v>
      </c>
      <c r="K18" s="45" t="n">
        <f aca="false">MAX(0,K10)*$K$2</f>
        <v>12102834.4150958</v>
      </c>
      <c r="L18" s="45" t="n">
        <f aca="false">C18/IF(B18&lt;='VALOR POR PL'!$P$5,IFERROR(INDEX('"INCC-FGV"'!$B$2:$B$800,MATCH(B18,'"INCC-FGV"'!$A$2:$A$800,0)),$K$2),$K$2)</f>
        <v>145.980408007528</v>
      </c>
      <c r="M18" s="139" t="n">
        <f aca="false">'CP RESUMO'!Q42</f>
        <v>0</v>
      </c>
      <c r="N18" s="140" t="n">
        <f aca="false">MAX(0,M18-M17)</f>
        <v>0</v>
      </c>
      <c r="O18" s="139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HISTORICOS'!R42)</f>
        <v>166154.57</v>
      </c>
      <c r="D19" s="45" t="n">
        <f aca="false">IF(B19&lt;='VALOR POR PL'!$P$5,0,IF($K$17&gt;0,$K$18*P19/$K$17,0))</f>
        <v>0</v>
      </c>
      <c r="E19" s="45" t="n">
        <f aca="false">L19+D19/$K$2</f>
        <v>133.943663788482</v>
      </c>
      <c r="F19" s="117" t="n">
        <f aca="false">IF($K$9=0,0,E19/$K$9)</f>
        <v>0.0106533434916485</v>
      </c>
      <c r="G19" s="117" t="n">
        <f aca="false">G18+F19</f>
        <v>0.161294771141117</v>
      </c>
      <c r="H19" s="138"/>
      <c r="I19" s="42" t="s">
        <v>3909</v>
      </c>
      <c r="K19" s="142" t="n">
        <f aca="false">IF(AND(K16="PREVISÃO INFORMADA",K11&gt;0),K18/K11-1,"")</f>
        <v>-0.0204800065939252</v>
      </c>
      <c r="L19" s="45" t="n">
        <f aca="false">C19/IF(B19&lt;='VALOR POR PL'!$P$5,IFERROR(INDEX('"INCC-FGV"'!$B$2:$B$800,MATCH(B19,'"INCC-FGV"'!$A$2:$A$800,0)),$K$2),$K$2)</f>
        <v>133.943663788482</v>
      </c>
      <c r="M19" s="139" t="n">
        <f aca="false">'CP RESUMO'!R42</f>
        <v>0</v>
      </c>
      <c r="N19" s="140" t="n">
        <f aca="false">MAX(0,M19-M18)</f>
        <v>0</v>
      </c>
      <c r="O19" s="139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HISTORICOS'!S42)</f>
        <v>142393.78</v>
      </c>
      <c r="D20" s="45" t="n">
        <f aca="false">IF(B20&lt;='VALOR POR PL'!$P$5,0,IF($K$17&gt;0,$K$18*P20/$K$17,0))</f>
        <v>0</v>
      </c>
      <c r="E20" s="45" t="n">
        <f aca="false">L20+D20/$K$2</f>
        <v>114.172505835159</v>
      </c>
      <c r="F20" s="117" t="n">
        <f aca="false">IF($K$9=0,0,E20/$K$9)</f>
        <v>0.00908082463598242</v>
      </c>
      <c r="G20" s="117" t="n">
        <f aca="false">G19+F20</f>
        <v>0.170375595777099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114.172505835159</v>
      </c>
      <c r="M20" s="139" t="n">
        <f aca="false">'CP RESUMO'!S42</f>
        <v>0</v>
      </c>
      <c r="N20" s="140" t="n">
        <f aca="false">MAX(0,M20-M19)</f>
        <v>0</v>
      </c>
      <c r="O20" s="139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HISTORICOS'!T42)</f>
        <v>207371</v>
      </c>
      <c r="D21" s="45" t="n">
        <f aca="false">IF(B21&lt;='VALOR POR PL'!$P$5,0,IF($K$17&gt;0,$K$18*P21/$K$17,0))</f>
        <v>0</v>
      </c>
      <c r="E21" s="45" t="n">
        <f aca="false">L21+D21/$K$2</f>
        <v>164.625626760407</v>
      </c>
      <c r="F21" s="117" t="n">
        <f aca="false">IF($K$9=0,0,E21/$K$9)</f>
        <v>0.013093664155522</v>
      </c>
      <c r="G21" s="117" t="n">
        <f aca="false">G20+F21</f>
        <v>0.183469259932621</v>
      </c>
      <c r="H21" s="138"/>
      <c r="K21" s="143"/>
      <c r="L21" s="45" t="n">
        <f aca="false">C21/IF(B21&lt;='VALOR POR PL'!$P$5,IFERROR(INDEX('"INCC-FGV"'!$B$2:$B$800,MATCH(B21,'"INCC-FGV"'!$A$2:$A$800,0)),$K$2),$K$2)</f>
        <v>164.625626760407</v>
      </c>
      <c r="M21" s="139" t="n">
        <f aca="false">'CP RESUMO'!T42</f>
        <v>0</v>
      </c>
      <c r="N21" s="140" t="n">
        <f aca="false">MAX(0,M21-M20)</f>
        <v>0</v>
      </c>
      <c r="O21" s="139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HISTORICOS'!U42)</f>
        <v>177489.01</v>
      </c>
      <c r="D22" s="45" t="n">
        <f aca="false">IF(B22&lt;='VALOR POR PL'!$P$5,0,IF($K$17&gt;0,$K$18*P22/$K$17,0))</f>
        <v>0</v>
      </c>
      <c r="E22" s="45" t="n">
        <f aca="false">L22+D22/$K$2</f>
        <v>139.678687647311</v>
      </c>
      <c r="F22" s="117" t="n">
        <f aca="false">IF($K$9=0,0,E22/$K$9)</f>
        <v>0.0111094843599272</v>
      </c>
      <c r="G22" s="117" t="n">
        <f aca="false">G21+F22</f>
        <v>0.194578744292548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139.678687647311</v>
      </c>
      <c r="M22" s="139" t="n">
        <f aca="false">'CP RESUMO'!U42</f>
        <v>0</v>
      </c>
      <c r="N22" s="140" t="n">
        <f aca="false">MAX(0,M22-M21)</f>
        <v>0</v>
      </c>
      <c r="O22" s="139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HISTORICOS'!V42)</f>
        <v>243636.76</v>
      </c>
      <c r="D23" s="45" t="n">
        <f aca="false">IF(B23&lt;='VALOR POR PL'!$P$5,0,IF($K$17&gt;0,$K$18*P23/$K$17,0))</f>
        <v>0</v>
      </c>
      <c r="E23" s="45" t="n">
        <f aca="false">L23+D23/$K$2</f>
        <v>190.24594714678</v>
      </c>
      <c r="F23" s="117" t="n">
        <f aca="false">IF($K$9=0,0,E23/$K$9)</f>
        <v>0.0151314020053178</v>
      </c>
      <c r="G23" s="117" t="n">
        <f aca="false">G22+F23</f>
        <v>0.209710146297866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190.24594714678</v>
      </c>
      <c r="M23" s="139" t="n">
        <f aca="false">'CP RESUMO'!V42</f>
        <v>0</v>
      </c>
      <c r="N23" s="140" t="n">
        <f aca="false">MAX(0,M23-M22)</f>
        <v>0</v>
      </c>
      <c r="O23" s="139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HISTORICOS'!W42)</f>
        <v>221365.46</v>
      </c>
      <c r="D24" s="45" t="n">
        <f aca="false">IF(B24&lt;='VALOR POR PL'!$P$5,0,IF($K$17&gt;0,$K$18*P24/$K$17,0))</f>
        <v>0</v>
      </c>
      <c r="E24" s="45" t="n">
        <f aca="false">L24+D24/$K$2</f>
        <v>171.810100812539</v>
      </c>
      <c r="F24" s="117" t="n">
        <f aca="false">IF($K$9=0,0,E24/$K$9)</f>
        <v>0.013665088497065</v>
      </c>
      <c r="G24" s="117" t="n">
        <f aca="false">G23+F24</f>
        <v>0.223375234794931</v>
      </c>
      <c r="H24" s="138"/>
      <c r="I24" s="144" t="s">
        <v>3915</v>
      </c>
      <c r="J24" s="144"/>
      <c r="K24" s="144"/>
      <c r="L24" s="45" t="n">
        <f aca="false">C24/IF(B24&lt;='VALOR POR PL'!$P$5,IFERROR(INDEX('"INCC-FGV"'!$B$2:$B$800,MATCH(B24,'"INCC-FGV"'!$A$2:$A$800,0)),$K$2),$K$2)</f>
        <v>171.810100812539</v>
      </c>
      <c r="M24" s="139" t="n">
        <f aca="false">'CP RESUMO'!W42</f>
        <v>0</v>
      </c>
      <c r="N24" s="140" t="n">
        <f aca="false">MAX(0,M24-M23)</f>
        <v>0</v>
      </c>
      <c r="O24" s="139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HISTORICOS'!X42)</f>
        <v>331504.35</v>
      </c>
      <c r="D25" s="45" t="n">
        <f aca="false">IF(B25&lt;='VALOR POR PL'!$P$5,0,IF($K$17&gt;0,$K$18*P25/$K$17,0))</f>
        <v>0</v>
      </c>
      <c r="E25" s="45" t="n">
        <f aca="false">L25+D25/$K$2</f>
        <v>255.615052637504</v>
      </c>
      <c r="F25" s="117" t="n">
        <f aca="false">IF($K$9=0,0,E25/$K$9)</f>
        <v>0.0203305993009376</v>
      </c>
      <c r="G25" s="117" t="n">
        <f aca="false">G24+F25</f>
        <v>0.243705834095869</v>
      </c>
      <c r="H25" s="138"/>
      <c r="L25" s="45" t="n">
        <f aca="false">C25/IF(B25&lt;='VALOR POR PL'!$P$5,IFERROR(INDEX('"INCC-FGV"'!$B$2:$B$800,MATCH(B25,'"INCC-FGV"'!$A$2:$A$800,0)),$K$2),$K$2)</f>
        <v>255.615052637504</v>
      </c>
      <c r="M25" s="139" t="n">
        <f aca="false">'CP RESUMO'!X42</f>
        <v>0</v>
      </c>
      <c r="N25" s="140" t="n">
        <f aca="false">MAX(0,M25-M24)</f>
        <v>0</v>
      </c>
      <c r="O25" s="139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HISTORICOS'!Y42)</f>
        <v>256188.78</v>
      </c>
      <c r="D26" s="45" t="n">
        <f aca="false">IF(B26&lt;='VALOR POR PL'!$P$5,0,IF($K$17&gt;0,$K$18*P26/$K$17,0))</f>
        <v>0</v>
      </c>
      <c r="E26" s="45" t="n">
        <f aca="false">L26+D26/$K$2</f>
        <v>197.107410547632</v>
      </c>
      <c r="F26" s="117" t="n">
        <f aca="false">IF($K$9=0,0,E26/$K$9)</f>
        <v>0.0156771353711012</v>
      </c>
      <c r="G26" s="117" t="n">
        <f aca="false">G25+F26</f>
        <v>0.25938296946697</v>
      </c>
      <c r="H26" s="138" t="n">
        <v>256474.43</v>
      </c>
      <c r="L26" s="45" t="n">
        <f aca="false">C26/IF(B26&lt;='VALOR POR PL'!$P$5,IFERROR(INDEX('"INCC-FGV"'!$B$2:$B$800,MATCH(B26,'"INCC-FGV"'!$A$2:$A$800,0)),$K$2),$K$2)</f>
        <v>197.107410547632</v>
      </c>
      <c r="M26" s="139" t="n">
        <f aca="false">'CP RESUMO'!Y42</f>
        <v>0</v>
      </c>
      <c r="N26" s="140" t="n">
        <f aca="false">MAX(0,M26-M25)</f>
        <v>0</v>
      </c>
      <c r="O26" s="139" t="n">
        <f aca="false">IF(B26&lt;='VALOR POR PL'!$P$5,'CP RESUMO'!Y84,"")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266814.898914258</v>
      </c>
      <c r="E27" s="45" t="n">
        <f aca="false">L27+D27/$K$2</f>
        <v>205.282970708231</v>
      </c>
      <c r="F27" s="117" t="n">
        <f aca="false">IF($K$9=0,0,E27/$K$9)</f>
        <v>0.0163273867392065</v>
      </c>
      <c r="G27" s="117" t="n">
        <f aca="false">G26+F27</f>
        <v>0.275710356206177</v>
      </c>
      <c r="H27" s="138" t="n">
        <v>272393.52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RESUMO'!Z42</f>
        <v>0</v>
      </c>
      <c r="N27" s="140" t="n">
        <f aca="false">MAX(0,M27-M26)</f>
        <v>0</v>
      </c>
      <c r="O27" s="139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272393.52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412850.888247974</v>
      </c>
      <c r="E28" s="45" t="n">
        <f aca="false">L28+D28/$K$2</f>
        <v>317.640645795838</v>
      </c>
      <c r="F28" s="117" t="n">
        <f aca="false">IF($K$9=0,0,E28/$K$9)</f>
        <v>0.0252638669934837</v>
      </c>
      <c r="G28" s="117" t="n">
        <f aca="false">G27+F28</f>
        <v>0.30097422319966</v>
      </c>
      <c r="H28" s="138" t="n">
        <v>421482.86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RESUMO'!AA42</f>
        <v>0</v>
      </c>
      <c r="N28" s="140" t="n">
        <f aca="false">MAX(0,M28-M27)</f>
        <v>0</v>
      </c>
      <c r="O28" s="139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421482.86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334020.529687443</v>
      </c>
      <c r="E29" s="45" t="n">
        <f aca="false">L29+D29/$K$2</f>
        <v>256.989871595627</v>
      </c>
      <c r="F29" s="117" t="n">
        <f aca="false">IF($K$9=0,0,E29/$K$9)</f>
        <v>0.0204399469041422</v>
      </c>
      <c r="G29" s="117" t="n">
        <f aca="false">G28+F29</f>
        <v>0.321414170103802</v>
      </c>
      <c r="H29" s="138" t="n">
        <v>341004.3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RESUMO'!AB42</f>
        <v>0</v>
      </c>
      <c r="N29" s="140" t="n">
        <f aca="false">MAX(0,M29-M28)</f>
        <v>0</v>
      </c>
      <c r="O29" s="139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341004.3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333885.581217952</v>
      </c>
      <c r="E30" s="45" t="n">
        <f aca="false">L30+D30/$K$2</f>
        <v>256.886044474943</v>
      </c>
      <c r="F30" s="117" t="n">
        <f aca="false">IF($K$9=0,0,E30/$K$9)</f>
        <v>0.0204316889100789</v>
      </c>
      <c r="G30" s="117" t="n">
        <f aca="false">G29+F30</f>
        <v>0.341845859013881</v>
      </c>
      <c r="H30" s="138" t="n">
        <v>340866.53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RESUMO'!AC42</f>
        <v>0</v>
      </c>
      <c r="N30" s="140" t="n">
        <f aca="false">MAX(0,M30-M29)</f>
        <v>0</v>
      </c>
      <c r="O30" s="139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340866.53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285009.570948575</v>
      </c>
      <c r="E31" s="45" t="n">
        <f aca="false">L31+D31/$K$2</f>
        <v>219.281650472613</v>
      </c>
      <c r="F31" s="117" t="n">
        <f aca="false">IF($K$9=0,0,E31/$K$9)</f>
        <v>0.0174407857589246</v>
      </c>
      <c r="G31" s="117" t="n">
        <f aca="false">G30+F31</f>
        <v>0.359286644772806</v>
      </c>
      <c r="H31" s="138" t="n">
        <v>290968.61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RESUMO'!AD42</f>
        <v>0</v>
      </c>
      <c r="N31" s="140" t="n">
        <f aca="false">MAX(0,M31-M30)</f>
        <v>0</v>
      </c>
      <c r="O31" s="139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290968.61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371023.650779146</v>
      </c>
      <c r="E32" s="45" t="n">
        <f aca="false">L32+D32/$K$2</f>
        <v>285.459461015452</v>
      </c>
      <c r="F32" s="117" t="n">
        <f aca="false">IF($K$9=0,0,E32/$K$9)</f>
        <v>0.0227043042210703</v>
      </c>
      <c r="G32" s="117" t="n">
        <f aca="false">G31+F32</f>
        <v>0.381990948993876</v>
      </c>
      <c r="H32" s="138" t="n">
        <v>378781.09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RESUMO'!AE42</f>
        <v>0</v>
      </c>
      <c r="N32" s="140" t="n">
        <f aca="false">MAX(0,M32-M31)</f>
        <v>0</v>
      </c>
      <c r="O32" s="139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378781.09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448336.096181895</v>
      </c>
      <c r="E33" s="45" t="n">
        <f aca="false">L33+D33/$K$2</f>
        <v>344.942377934924</v>
      </c>
      <c r="F33" s="117" t="n">
        <f aca="false">IF($K$9=0,0,E33/$K$9)</f>
        <v>0.0274353376115637</v>
      </c>
      <c r="G33" s="117" t="n">
        <f aca="false">G32+F33</f>
        <v>0.40942628660544</v>
      </c>
      <c r="H33" s="138" t="n">
        <v>457710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RESUMO'!AF42</f>
        <v>0</v>
      </c>
      <c r="N33" s="140" t="n">
        <f aca="false">MAX(0,M33-M32)</f>
        <v>0</v>
      </c>
      <c r="O33" s="139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457710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482417.211181268</v>
      </c>
      <c r="E34" s="45" t="n">
        <f aca="false">L34+D34/$K$2</f>
        <v>371.163824190699</v>
      </c>
      <c r="F34" s="117" t="n">
        <f aca="false">IF($K$9=0,0,E34/$K$9)</f>
        <v>0.0295208866096238</v>
      </c>
      <c r="G34" s="117" t="n">
        <f aca="false">G33+F34</f>
        <v>0.438947173215064</v>
      </c>
      <c r="H34" s="138" t="n">
        <v>492503.69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RESUMO'!AG42</f>
        <v>0</v>
      </c>
      <c r="N34" s="140" t="n">
        <f aca="false">MAX(0,M34-M33)</f>
        <v>0</v>
      </c>
      <c r="O34" s="139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492503.69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495261.196480404</v>
      </c>
      <c r="E35" s="45" t="n">
        <f aca="false">L35+D35/$K$2</f>
        <v>381.045774069319</v>
      </c>
      <c r="F35" s="117" t="n">
        <f aca="false">IF($K$9=0,0,E35/$K$9)</f>
        <v>0.0303068573935082</v>
      </c>
      <c r="G35" s="117" t="n">
        <f aca="false">G34+F35</f>
        <v>0.469254030608572</v>
      </c>
      <c r="H35" s="138" t="n">
        <v>505616.22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RESUMO'!AH42</f>
        <v>0</v>
      </c>
      <c r="N35" s="140" t="n">
        <f aca="false">MAX(0,M35-M34)</f>
        <v>0</v>
      </c>
      <c r="O35" s="139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505616.22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481276.628715346</v>
      </c>
      <c r="E36" s="45" t="n">
        <f aca="false">L36+D36/$K$2</f>
        <v>370.286278904079</v>
      </c>
      <c r="F36" s="117" t="n">
        <f aca="false">IF($K$9=0,0,E36/$K$9)</f>
        <v>0.0294510901660786</v>
      </c>
      <c r="G36" s="117" t="n">
        <f aca="false">G35+F36</f>
        <v>0.49870512077465</v>
      </c>
      <c r="H36" s="138" t="n">
        <v>491339.26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RESUMO'!AI42</f>
        <v>0</v>
      </c>
      <c r="N36" s="140" t="n">
        <f aca="false">MAX(0,M36-M35)</f>
        <v>0</v>
      </c>
      <c r="O36" s="139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491339.26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442153.405164315</v>
      </c>
      <c r="E37" s="45" t="n">
        <f aca="false">L37+D37/$K$2</f>
        <v>340.185517713758</v>
      </c>
      <c r="F37" s="117" t="n">
        <f aca="false">IF($K$9=0,0,E37/$K$9)</f>
        <v>0.0270569959681853</v>
      </c>
      <c r="G37" s="117" t="n">
        <f aca="false">G36+F37</f>
        <v>0.525762116742836</v>
      </c>
      <c r="H37" s="138" t="n">
        <v>451398.04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RESUMO'!AJ42</f>
        <v>0</v>
      </c>
      <c r="N37" s="140" t="n">
        <f aca="false">MAX(0,M37-M36)</f>
        <v>0</v>
      </c>
      <c r="O37" s="139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451398.04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473390.454477234</v>
      </c>
      <c r="E38" s="45" t="n">
        <f aca="false">L38+D38/$K$2</f>
        <v>364.218786864804</v>
      </c>
      <c r="F38" s="117" t="n">
        <f aca="false">IF($K$9=0,0,E38/$K$9)</f>
        <v>0.028968506107983</v>
      </c>
      <c r="G38" s="117" t="n">
        <f aca="false">G37+F38</f>
        <v>0.554730622850819</v>
      </c>
      <c r="H38" s="138" t="n">
        <v>483288.2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RESUMO'!AK42</f>
        <v>0</v>
      </c>
      <c r="N38" s="140" t="n">
        <f aca="false">MAX(0,M38-M37)</f>
        <v>0</v>
      </c>
      <c r="O38" s="139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483288.2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512600.776946078</v>
      </c>
      <c r="E39" s="45" t="n">
        <f aca="false">L39+D39/$K$2</f>
        <v>394.386560522071</v>
      </c>
      <c r="F39" s="117" t="n">
        <f aca="false">IF($K$9=0,0,E39/$K$9)</f>
        <v>0.0313679302095717</v>
      </c>
      <c r="G39" s="117" t="n">
        <f aca="false">G38+F39</f>
        <v>0.586098553060391</v>
      </c>
      <c r="H39" s="138" t="n">
        <v>523318.34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RESUMO'!AL42</f>
        <v>0</v>
      </c>
      <c r="N39" s="140" t="n">
        <f aca="false">MAX(0,M39-M38)</f>
        <v>0</v>
      </c>
      <c r="O39" s="139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523318.34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465062.928120493</v>
      </c>
      <c r="E40" s="45" t="n">
        <f aca="false">L40+D40/$K$2</f>
        <v>357.811725804423</v>
      </c>
      <c r="F40" s="117" t="n">
        <f aca="false">IF($K$9=0,0,E40/$K$9)</f>
        <v>0.0284589140875946</v>
      </c>
      <c r="G40" s="117" t="n">
        <f aca="false">G39+F40</f>
        <v>0.614557467147985</v>
      </c>
      <c r="H40" s="138" t="n">
        <v>474786.56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RESUMO'!AM42</f>
        <v>0</v>
      </c>
      <c r="N40" s="140" t="n">
        <f aca="false">MAX(0,M40-M39)</f>
        <v>0</v>
      </c>
      <c r="O40" s="139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474786.56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439424.364510686</v>
      </c>
      <c r="E41" s="45" t="n">
        <f aca="false">L41+D41/$K$2</f>
        <v>338.085838967031</v>
      </c>
      <c r="F41" s="117" t="n">
        <f aca="false">IF($K$9=0,0,E41/$K$9)</f>
        <v>0.0268899959154891</v>
      </c>
      <c r="G41" s="117" t="n">
        <f aca="false">G40+F41</f>
        <v>0.641447463063474</v>
      </c>
      <c r="H41" s="138" t="n">
        <v>448611.94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RESUMO'!AN42</f>
        <v>0</v>
      </c>
      <c r="N41" s="140" t="n">
        <f aca="false">MAX(0,M41-M40)</f>
        <v>0</v>
      </c>
      <c r="O41" s="139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448611.94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426829.157699475</v>
      </c>
      <c r="E42" s="45" t="n">
        <f aca="false">L42+D42/$K$2</f>
        <v>328.395295142786</v>
      </c>
      <c r="F42" s="117" t="n">
        <f aca="false">IF($K$9=0,0,E42/$K$9)</f>
        <v>0.0261192488039006</v>
      </c>
      <c r="G42" s="117" t="n">
        <f aca="false">G41+F42</f>
        <v>0.667566711867375</v>
      </c>
      <c r="H42" s="138" t="n">
        <v>435753.39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RESUMO'!AO42</f>
        <v>0</v>
      </c>
      <c r="N42" s="140" t="n">
        <f aca="false">MAX(0,M42-M41)</f>
        <v>0</v>
      </c>
      <c r="O42" s="139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435753.39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478706.916783844</v>
      </c>
      <c r="E43" s="45" t="n">
        <f aca="false">L43+D43/$K$2</f>
        <v>368.309185041219</v>
      </c>
      <c r="F43" s="117" t="n">
        <f aca="false">IF($K$9=0,0,E43/$K$9)</f>
        <v>0.0292938400249332</v>
      </c>
      <c r="G43" s="117" t="n">
        <f aca="false">G42+F43</f>
        <v>0.696860551892308</v>
      </c>
      <c r="H43" s="138" t="n">
        <v>488715.82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RESUMO'!AP42</f>
        <v>0</v>
      </c>
      <c r="N43" s="140" t="n">
        <f aca="false">MAX(0,M43-M42)</f>
        <v>0</v>
      </c>
      <c r="O43" s="139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488715.82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510489.940745888</v>
      </c>
      <c r="E44" s="45" t="n">
        <f aca="false">L44+D44/$K$2</f>
        <v>392.762518058113</v>
      </c>
      <c r="F44" s="117" t="n">
        <f aca="false">IF($K$9=0,0,E44/$K$9)</f>
        <v>0.0312387603651444</v>
      </c>
      <c r="G44" s="117" t="n">
        <f aca="false">G43+F44</f>
        <v>0.728099312257452</v>
      </c>
      <c r="H44" s="138" t="n">
        <v>521163.37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RESUMO'!AQ42</f>
        <v>0</v>
      </c>
      <c r="N44" s="140" t="n">
        <f aca="false">MAX(0,M44-M43)</f>
        <v>0</v>
      </c>
      <c r="O44" s="139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521163.37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544672.661354177</v>
      </c>
      <c r="E45" s="45" t="n">
        <f aca="false">L45+D45/$K$2</f>
        <v>419.06213798906</v>
      </c>
      <c r="F45" s="117" t="n">
        <f aca="false">IF($K$9=0,0,E45/$K$9)</f>
        <v>0.0333305269847781</v>
      </c>
      <c r="G45" s="117" t="n">
        <f aca="false">G44+F45</f>
        <v>0.761429839242231</v>
      </c>
      <c r="H45" s="138" t="n">
        <v>556060.79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RESUMO'!AR42</f>
        <v>0</v>
      </c>
      <c r="N45" s="140" t="n">
        <f aca="false">MAX(0,M45-M44)</f>
        <v>0</v>
      </c>
      <c r="O45" s="139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556060.79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474133.067765035</v>
      </c>
      <c r="E46" s="45" t="n">
        <f aca="false">L46+D46/$K$2</f>
        <v>364.79014124729</v>
      </c>
      <c r="F46" s="117" t="n">
        <f aca="false">IF($K$9=0,0,E46/$K$9)</f>
        <v>0.0290139493512087</v>
      </c>
      <c r="G46" s="117" t="n">
        <f aca="false">G45+F46</f>
        <v>0.790443788593439</v>
      </c>
      <c r="H46" s="138" t="n">
        <v>484046.34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RESUMO'!AS42</f>
        <v>0</v>
      </c>
      <c r="N46" s="140" t="n">
        <f aca="false">MAX(0,M46-M45)</f>
        <v>0</v>
      </c>
      <c r="O46" s="139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484046.34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435094.778392632</v>
      </c>
      <c r="E47" s="45" t="n">
        <f aca="false">L47+D47/$K$2</f>
        <v>334.754727009385</v>
      </c>
      <c r="F47" s="117" t="n">
        <f aca="false">IF($K$9=0,0,E47/$K$9)</f>
        <v>0.0266250525886441</v>
      </c>
      <c r="G47" s="117" t="n">
        <f aca="false">G46+F47</f>
        <v>0.817068841182083</v>
      </c>
      <c r="H47" s="138" t="n">
        <v>444191.83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RESUMO'!AT42</f>
        <v>0</v>
      </c>
      <c r="N47" s="140" t="n">
        <f aca="false">MAX(0,M47-M46)</f>
        <v>0</v>
      </c>
      <c r="O47" s="139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444191.83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517019.078189935</v>
      </c>
      <c r="E48" s="45" t="n">
        <f aca="false">L48+D48/$K$2</f>
        <v>397.785928430362</v>
      </c>
      <c r="F48" s="117" t="n">
        <f aca="false">IF($K$9=0,0,E48/$K$9)</f>
        <v>0.0316383023418339</v>
      </c>
      <c r="G48" s="117" t="n">
        <f aca="false">G47+F48</f>
        <v>0.848707143523917</v>
      </c>
      <c r="H48" s="138" t="n">
        <v>527829.02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RESUMO'!AU42</f>
        <v>0</v>
      </c>
      <c r="N48" s="140" t="n">
        <f aca="false">MAX(0,M48-M47)</f>
        <v>0</v>
      </c>
      <c r="O48" s="139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527829.02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322095.010900523</v>
      </c>
      <c r="E49" s="45" t="n">
        <f aca="false">L49+D49/$K$2</f>
        <v>247.814574662143</v>
      </c>
      <c r="F49" s="117" t="n">
        <f aca="false">IF($K$9=0,0,E49/$K$9)</f>
        <v>0.0197101804702135</v>
      </c>
      <c r="G49" s="117" t="n">
        <f aca="false">G48+F49</f>
        <v>0.868417323994131</v>
      </c>
      <c r="H49" s="138" t="n">
        <v>328829.44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RESUMO'!AV42</f>
        <v>0</v>
      </c>
      <c r="N49" s="140" t="n">
        <f aca="false">MAX(0,M49-M48)</f>
        <v>0</v>
      </c>
      <c r="O49" s="139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328829.44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285639.637389133</v>
      </c>
      <c r="E50" s="45" t="n">
        <f aca="false">L50+D50/$K$2</f>
        <v>219.766413172101</v>
      </c>
      <c r="F50" s="117" t="n">
        <f aca="false">IF($K$9=0,0,E50/$K$9)</f>
        <v>0.0174793418458908</v>
      </c>
      <c r="G50" s="117" t="n">
        <f aca="false">G49+F50</f>
        <v>0.885896665840021</v>
      </c>
      <c r="H50" s="138" t="n">
        <v>291611.85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RESUMO'!AW42</f>
        <v>0</v>
      </c>
      <c r="N50" s="140" t="n">
        <f aca="false">MAX(0,M50-M49)</f>
        <v>0</v>
      </c>
      <c r="O50" s="139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291611.85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277294.548238911</v>
      </c>
      <c r="E51" s="45" t="n">
        <f aca="false">L51+D51/$K$2</f>
        <v>213.345839588865</v>
      </c>
      <c r="F51" s="117" t="n">
        <f aca="false">IF($K$9=0,0,E51/$K$9)</f>
        <v>0.0169686750934594</v>
      </c>
      <c r="G51" s="117" t="n">
        <f aca="false">G50+F51</f>
        <v>0.902865340933481</v>
      </c>
      <c r="H51" s="138" t="n">
        <v>283092.28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RESUMO'!AX42</f>
        <v>0</v>
      </c>
      <c r="N51" s="140" t="n">
        <f aca="false">MAX(0,M51-M50)</f>
        <v>0</v>
      </c>
      <c r="O51" s="139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283092.28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185872.881356742</v>
      </c>
      <c r="E52" s="45" t="n">
        <f aca="false">L52+D52/$K$2</f>
        <v>143.007520997815</v>
      </c>
      <c r="F52" s="117" t="n">
        <f aca="false">IF($K$9=0,0,E52/$K$9)</f>
        <v>0.0113742464554704</v>
      </c>
      <c r="G52" s="117" t="n">
        <f aca="false">G51+F52</f>
        <v>0.914239587388951</v>
      </c>
      <c r="H52" s="138" t="n">
        <v>189759.15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RESUMO'!AY42</f>
        <v>0</v>
      </c>
      <c r="N52" s="140" t="n">
        <f aca="false">MAX(0,M52-M51)</f>
        <v>0</v>
      </c>
      <c r="O52" s="139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189759.15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159280.706057355</v>
      </c>
      <c r="E53" s="45" t="n">
        <f aca="false">L53+D53/$K$2</f>
        <v>122.547941097045</v>
      </c>
      <c r="F53" s="117" t="n">
        <f aca="false">IF($K$9=0,0,E53/$K$9)</f>
        <v>0.00974697327051457</v>
      </c>
      <c r="G53" s="117" t="n">
        <f aca="false">G52+F53</f>
        <v>0.923986560659466</v>
      </c>
      <c r="H53" s="138" t="n">
        <v>162610.98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RESUMO'!AZ42</f>
        <v>0</v>
      </c>
      <c r="N53" s="140" t="n">
        <f aca="false">MAX(0,M53-M52)</f>
        <v>0</v>
      </c>
      <c r="O53" s="139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162610.98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157365.999145445</v>
      </c>
      <c r="E54" s="45" t="n">
        <f aca="false">L54+D54/$K$2</f>
        <v>121.074797263953</v>
      </c>
      <c r="F54" s="117" t="n">
        <f aca="false">IF($K$9=0,0,E54/$K$9)</f>
        <v>0.00962980529987196</v>
      </c>
      <c r="G54" s="117" t="n">
        <f aca="false">G53+F54</f>
        <v>0.933616365959338</v>
      </c>
      <c r="H54" s="138" t="n">
        <v>160656.24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RESUMO'!BA42</f>
        <v>0</v>
      </c>
      <c r="N54" s="140" t="n">
        <f aca="false">MAX(0,M54-M53)</f>
        <v>0</v>
      </c>
      <c r="O54" s="139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160656.24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97442.9232096345</v>
      </c>
      <c r="E55" s="45" t="n">
        <f aca="false">L55+D55/$K$2</f>
        <v>74.9709736314088</v>
      </c>
      <c r="F55" s="117" t="n">
        <f aca="false">IF($K$9=0,0,E55/$K$9)</f>
        <v>0.00596289149787613</v>
      </c>
      <c r="G55" s="117" t="n">
        <f aca="false">G54+F55</f>
        <v>0.939579257457214</v>
      </c>
      <c r="H55" s="138" t="n">
        <v>99480.28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RESUMO'!BB42</f>
        <v>0</v>
      </c>
      <c r="N55" s="140" t="n">
        <f aca="false">MAX(0,M55-M54)</f>
        <v>0</v>
      </c>
      <c r="O55" s="139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99480.28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130388.372933453</v>
      </c>
      <c r="E56" s="45" t="n">
        <f aca="false">L56+D56/$K$2</f>
        <v>100.318657805513</v>
      </c>
      <c r="F56" s="117" t="n">
        <f aca="false">IF($K$9=0,0,E56/$K$9)</f>
        <v>0.00797894495338696</v>
      </c>
      <c r="G56" s="117" t="n">
        <f aca="false">G55+F56</f>
        <v>0.947558202410601</v>
      </c>
      <c r="H56" s="138" t="n">
        <v>133114.56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RESUMO'!BC42</f>
        <v>0</v>
      </c>
      <c r="N56" s="140" t="n">
        <f aca="false">MAX(0,M56-M55)</f>
        <v>0</v>
      </c>
      <c r="O56" s="139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133114.56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21960.1134073691</v>
      </c>
      <c r="E57" s="45" t="n">
        <f aca="false">L57+D57/$K$2</f>
        <v>16.8957480849038</v>
      </c>
      <c r="F57" s="117" t="n">
        <f aca="false">IF($K$9=0,0,E57/$K$9)</f>
        <v>0.00134382025103543</v>
      </c>
      <c r="G57" s="117" t="n">
        <f aca="false">G56+F57</f>
        <v>0.948902022661636</v>
      </c>
      <c r="H57" s="138" t="n">
        <v>22419.26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RESUMO'!BD42</f>
        <v>0</v>
      </c>
      <c r="N57" s="140" t="n">
        <f aca="false">MAX(0,M57-M56)</f>
        <v>0</v>
      </c>
      <c r="O57" s="139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22419.26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0.948902022661636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RESUMO'!BE42</f>
        <v>0</v>
      </c>
      <c r="N58" s="140" t="n">
        <f aca="false">MAX(0,M58-M57)</f>
        <v>0</v>
      </c>
      <c r="O58" s="139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167390.357781963</v>
      </c>
      <c r="E59" s="45" t="n">
        <f aca="false">L59+D59/$K$2</f>
        <v>128.787373018617</v>
      </c>
      <c r="F59" s="117" t="n">
        <f aca="false">IF($K$9=0,0,E59/$K$9)</f>
        <v>0.0102432327394076</v>
      </c>
      <c r="G59" s="117" t="n">
        <f aca="false">G58+F59</f>
        <v>0.959145255401044</v>
      </c>
      <c r="H59" s="138" t="n">
        <v>170890.19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RESUMO'!BF42</f>
        <v>0</v>
      </c>
      <c r="N59" s="140" t="n">
        <f aca="false">MAX(0,M59-M58)</f>
        <v>0</v>
      </c>
      <c r="O59" s="139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170890.19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0.959145255401044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RESUMO'!BG42</f>
        <v>0</v>
      </c>
      <c r="N60" s="140" t="n">
        <f aca="false">MAX(0,M60-M59)</f>
        <v>0</v>
      </c>
      <c r="O60" s="139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90601.2209356914</v>
      </c>
      <c r="E61" s="45" t="n">
        <f aca="false">L61+D61/$K$2</f>
        <v>69.7070810481553</v>
      </c>
      <c r="F61" s="117" t="n">
        <f aca="false">IF($K$9=0,0,E61/$K$9)</f>
        <v>0.00554422252760594</v>
      </c>
      <c r="G61" s="117" t="n">
        <f aca="false">G60+F61</f>
        <v>0.96468947792865</v>
      </c>
      <c r="H61" s="138" t="n">
        <v>92495.53</v>
      </c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RESUMO'!BH42</f>
        <v>0</v>
      </c>
      <c r="N61" s="140" t="n">
        <f aca="false">MAX(0,M61-M60)</f>
        <v>0</v>
      </c>
      <c r="O61" s="139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92495.53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66799.2181327215</v>
      </c>
      <c r="E62" s="45" t="n">
        <f aca="false">L62+D62/$K$2</f>
        <v>51.3942137229708</v>
      </c>
      <c r="F62" s="117" t="n">
        <f aca="false">IF($K$9=0,0,E62/$K$9)</f>
        <v>0.00408769027804572</v>
      </c>
      <c r="G62" s="117" t="n">
        <f aca="false">G61+F62</f>
        <v>0.968777168206695</v>
      </c>
      <c r="H62" s="138" t="n">
        <v>68195.87</v>
      </c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RESUMO'!BI42</f>
        <v>0</v>
      </c>
      <c r="N62" s="140" t="n">
        <f aca="false">MAX(0,M62-M61)</f>
        <v>0</v>
      </c>
      <c r="O62" s="139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68195.87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510229.64310284</v>
      </c>
      <c r="E63" s="45" t="n">
        <f aca="false">L63+D63/$K$2</f>
        <v>392.562249356288</v>
      </c>
      <c r="F63" s="117" t="n">
        <f aca="false">IF($K$9=0,0,E63/$K$9)</f>
        <v>0.0312228317933044</v>
      </c>
      <c r="G63" s="117" t="n">
        <f aca="false">G62+F63</f>
        <v>1</v>
      </c>
      <c r="H63" s="138" t="n">
        <v>520897.63</v>
      </c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RESUMO'!BJ42</f>
        <v>0</v>
      </c>
      <c r="N63" s="140" t="n">
        <f aca="false">MAX(0,M63-M62)</f>
        <v>0</v>
      </c>
      <c r="O63" s="139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520897.63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RESUMO'!BK42</f>
        <v>0</v>
      </c>
      <c r="N64" s="140" t="n">
        <f aca="false">MAX(0,M64-M63)</f>
        <v>0</v>
      </c>
      <c r="O64" s="139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RESUMO'!BL42</f>
        <v>0</v>
      </c>
      <c r="N65" s="140" t="n">
        <f aca="false">MAX(0,M65-M64)</f>
        <v>0</v>
      </c>
      <c r="O65" s="139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RESUMO'!BM42</f>
        <v>0</v>
      </c>
      <c r="N66" s="140" t="n">
        <f aca="false">MAX(0,M66-M65)</f>
        <v>0</v>
      </c>
      <c r="O66" s="139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RESUMO'!BN42</f>
        <v>0</v>
      </c>
      <c r="N67" s="140" t="n">
        <f aca="false">MAX(0,M67-M66)</f>
        <v>0</v>
      </c>
      <c r="O67" s="139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RESUMO'!BO42</f>
        <v>0</v>
      </c>
      <c r="N68" s="140" t="n">
        <f aca="false">MAX(0,M68-M67)</f>
        <v>0</v>
      </c>
      <c r="O68" s="139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RESUMO'!BP42</f>
        <v>0</v>
      </c>
      <c r="N69" s="140" t="n">
        <f aca="false">MAX(0,M69-M68)</f>
        <v>0</v>
      </c>
      <c r="O69" s="139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RESUMO'!BQ42</f>
        <v>0</v>
      </c>
      <c r="N70" s="140" t="n">
        <f aca="false">MAX(0,M70-M69)</f>
        <v>0</v>
      </c>
      <c r="O70" s="139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RESUMO'!BR42</f>
        <v>0</v>
      </c>
      <c r="N71" s="140" t="n">
        <f aca="false">MAX(0,M71-M70)</f>
        <v>0</v>
      </c>
      <c r="O71" s="139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RESUMO'!BS42</f>
        <v>0</v>
      </c>
      <c r="N72" s="140" t="n">
        <f aca="false">MAX(0,M72-M71)</f>
        <v>0</v>
      </c>
      <c r="O72" s="139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RESUMO'!BT42</f>
        <v>0</v>
      </c>
      <c r="N73" s="140" t="n">
        <f aca="false">MAX(0,M73-M72)</f>
        <v>0</v>
      </c>
      <c r="O73" s="139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RESUMO'!BU42</f>
        <v>0</v>
      </c>
      <c r="N74" s="140" t="n">
        <f aca="false">MAX(0,M74-M73)</f>
        <v>0</v>
      </c>
      <c r="O74" s="139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RESUMO'!BV42</f>
        <v>0</v>
      </c>
      <c r="N75" s="140" t="n">
        <f aca="false">MAX(0,M75-M74)</f>
        <v>0</v>
      </c>
      <c r="O75" s="139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RESUMO'!BW42</f>
        <v>0</v>
      </c>
      <c r="N76" s="140" t="n">
        <f aca="false">MAX(0,M76-M75)</f>
        <v>0</v>
      </c>
      <c r="O76" s="139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4008823.83</v>
      </c>
      <c r="D78" s="61" t="n">
        <f aca="false">SUM(D5:D76)</f>
        <v>12102834.4150958</v>
      </c>
      <c r="E78" s="61" t="n">
        <f aca="false">SUM(E5:E76)</f>
        <v>12572.922659772</v>
      </c>
      <c r="F78" s="145" t="n">
        <f aca="false">SUM(F5:F76)</f>
        <v>1</v>
      </c>
      <c r="H78" s="61" t="n">
        <f aca="false">SUM(H5:H76)</f>
        <v>12612357.41</v>
      </c>
      <c r="L78" s="61" t="n">
        <f aca="false">SUM(L5:L76)</f>
        <v>3261.20201437022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PL'!F12</f>
        <v>156000</v>
      </c>
      <c r="K5" s="56" t="n">
        <f aca="false">'VALOR POR PL'!G12</f>
        <v>133.555265</v>
      </c>
      <c r="L5" s="56" t="n">
        <f aca="false">'DADOS HISTORICOS'!$BZ$6</f>
        <v>0</v>
      </c>
      <c r="M5" s="139" t="n">
        <f aca="false">'CP RESUMO'!D6</f>
        <v>0</v>
      </c>
      <c r="N5" s="140" t="n">
        <v>0</v>
      </c>
      <c r="O5" s="139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PL'!H12</f>
        <v>133.555265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RESUMO'!E6</f>
        <v>0</v>
      </c>
      <c r="N6" s="140" t="n">
        <f aca="false">MAX(0,M6-M5)</f>
        <v>0</v>
      </c>
      <c r="O6" s="139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165275.47447957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RESUMO'!F6</f>
        <v>0</v>
      </c>
      <c r="N7" s="140" t="n">
        <f aca="false">MAX(0,M7-M6)</f>
        <v>0</v>
      </c>
      <c r="O7" s="139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HISTORICOS'!G6)</f>
        <v>13812.53</v>
      </c>
      <c r="D8" s="45" t="n">
        <f aca="false">IF(B8&lt;='VALOR POR PL'!$P$5,0,IF($K$17&gt;0,$K$18*P8/$K$17,0))</f>
        <v>0</v>
      </c>
      <c r="E8" s="45" t="n">
        <f aca="false">L8+D8/$K$2</f>
        <v>11.7215666173902</v>
      </c>
      <c r="F8" s="117" t="n">
        <f aca="false">IF($K$9=0,0,E8/$K$9)</f>
        <v>0.0877948796337835</v>
      </c>
      <c r="G8" s="117" t="n">
        <f aca="false">G7+F8</f>
        <v>0.0877948796337835</v>
      </c>
      <c r="H8" s="138"/>
      <c r="I8" s="42" t="s">
        <v>3897</v>
      </c>
      <c r="K8" s="66" t="n">
        <f aca="false">SUM(L5:L76)</f>
        <v>85.339220680741</v>
      </c>
      <c r="L8" s="45" t="n">
        <f aca="false">C8/IF(B8&lt;='VALOR POR PL'!$P$5,IFERROR(INDEX('"INCC-FGV"'!$B$2:$B$800,MATCH(B8,'"INCC-FGV"'!$A$2:$A$800,0)),$K$2),$K$2)</f>
        <v>11.7215666173902</v>
      </c>
      <c r="M8" s="139" t="n">
        <f aca="false">'CP RESUMO'!G6</f>
        <v>0</v>
      </c>
      <c r="N8" s="140" t="n">
        <f aca="false">MAX(0,M8-M7)</f>
        <v>0</v>
      </c>
      <c r="O8" s="139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HISTORICOS'!H6)</f>
        <v>13812.51</v>
      </c>
      <c r="D9" s="45" t="n">
        <f aca="false">IF(B9&lt;='VALOR POR PL'!$P$5,0,IF($K$17&gt;0,$K$18*P9/$K$17,0))</f>
        <v>0</v>
      </c>
      <c r="E9" s="45" t="n">
        <f aca="false">L9+D9/$K$2</f>
        <v>11.6614209658056</v>
      </c>
      <c r="F9" s="117" t="n">
        <f aca="false">IF($K$9=0,0,E9/$K$9)</f>
        <v>0.0873443869297164</v>
      </c>
      <c r="G9" s="117" t="n">
        <f aca="false">G8+F9</f>
        <v>0.1751392665635</v>
      </c>
      <c r="H9" s="138"/>
      <c r="I9" s="42" t="s">
        <v>3898</v>
      </c>
      <c r="J9" s="45" t="n">
        <f aca="false">C78+D78</f>
        <v>165275.47447957</v>
      </c>
      <c r="K9" s="45" t="n">
        <f aca="false">E78</f>
        <v>133.510822798369</v>
      </c>
      <c r="L9" s="45" t="n">
        <f aca="false">C9/IF(B9&lt;='VALOR POR PL'!$P$5,IFERROR(INDEX('"INCC-FGV"'!$B$2:$B$800,MATCH(B9,'"INCC-FGV"'!$A$2:$A$800,0)),$K$2),$K$2)</f>
        <v>11.6614209658056</v>
      </c>
      <c r="M9" s="139" t="n">
        <f aca="false">'CP RESUMO'!H6</f>
        <v>0</v>
      </c>
      <c r="N9" s="140" t="n">
        <f aca="false">MAX(0,M9-M8)</f>
        <v>0</v>
      </c>
      <c r="O9" s="139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HISTORICOS'!I6)</f>
        <v>13812.51</v>
      </c>
      <c r="D10" s="45" t="n">
        <f aca="false">IF(B10&lt;='VALOR POR PL'!$P$5,0,IF($K$17&gt;0,$K$18*P10/$K$17,0))</f>
        <v>0</v>
      </c>
      <c r="E10" s="45" t="n">
        <f aca="false">L10+D10/$K$2</f>
        <v>11.5942222412486</v>
      </c>
      <c r="F10" s="117" t="n">
        <f aca="false">IF($K$9=0,0,E10/$K$9)</f>
        <v>0.0868410665010915</v>
      </c>
      <c r="G10" s="117" t="n">
        <f aca="false">G9+F10</f>
        <v>0.261980333064591</v>
      </c>
      <c r="H10" s="138"/>
      <c r="I10" s="42" t="s">
        <v>3899</v>
      </c>
      <c r="K10" s="52" t="n">
        <f aca="false">IF(K6-K8&gt;0,(K6-K8)*'VALOR POR PL'!$G$65,K6-K8)</f>
        <v>48.1716021176283</v>
      </c>
      <c r="L10" s="45" t="n">
        <f aca="false">C10/IF(B10&lt;='VALOR POR PL'!$P$5,IFERROR(INDEX('"INCC-FGV"'!$B$2:$B$800,MATCH(B10,'"INCC-FGV"'!$A$2:$A$800,0)),$K$2),$K$2)</f>
        <v>11.5942222412486</v>
      </c>
      <c r="M10" s="139" t="n">
        <f aca="false">'CP RESUMO'!I6</f>
        <v>0</v>
      </c>
      <c r="N10" s="140" t="n">
        <f aca="false">MAX(0,M10-M9)</f>
        <v>0</v>
      </c>
      <c r="O10" s="139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HISTORICOS'!J6)</f>
        <v>15129.61</v>
      </c>
      <c r="D11" s="45" t="n">
        <f aca="false">IF(B11&lt;='VALOR POR PL'!$P$5,0,IF($K$17&gt;0,$K$18*P11/$K$17,0))</f>
        <v>0</v>
      </c>
      <c r="E11" s="45" t="n">
        <f aca="false">L11+D11/$K$2</f>
        <v>12.6131692217399</v>
      </c>
      <c r="F11" s="117" t="n">
        <f aca="false">IF($K$9=0,0,E11/$K$9)</f>
        <v>0.0944730094337637</v>
      </c>
      <c r="G11" s="117" t="n">
        <f aca="false">G10+F11</f>
        <v>0.356453342498355</v>
      </c>
      <c r="H11" s="138"/>
      <c r="I11" s="42" t="s">
        <v>3900</v>
      </c>
      <c r="K11" s="56" t="n">
        <f aca="false">SUMPRODUCT((B5:B76&gt;'VALOR POR PL'!$P$5)*H5:H76)</f>
        <v>27</v>
      </c>
      <c r="L11" s="45" t="n">
        <f aca="false">C11/IF(B11&lt;='VALOR POR PL'!$P$5,IFERROR(INDEX('"INCC-FGV"'!$B$2:$B$800,MATCH(B11,'"INCC-FGV"'!$A$2:$A$800,0)),$K$2),$K$2)</f>
        <v>12.6131692217399</v>
      </c>
      <c r="M11" s="139" t="n">
        <f aca="false">'CP RESUMO'!J6</f>
        <v>0</v>
      </c>
      <c r="N11" s="140" t="n">
        <f aca="false">MAX(0,M11-M10)</f>
        <v>0</v>
      </c>
      <c r="O11" s="139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HISTORICOS'!K6)</f>
        <v>13812.51</v>
      </c>
      <c r="D12" s="45" t="n">
        <f aca="false">IF(B12&lt;='VALOR POR PL'!$P$5,0,IF($K$17&gt;0,$K$18*P12/$K$17,0))</f>
        <v>0</v>
      </c>
      <c r="E12" s="45" t="n">
        <f aca="false">L12+D12/$K$2</f>
        <v>11.4108557743226</v>
      </c>
      <c r="F12" s="117" t="n">
        <f aca="false">IF($K$9=0,0,E12/$K$9)</f>
        <v>0.0854676462563298</v>
      </c>
      <c r="G12" s="117" t="n">
        <f aca="false">G11+F12</f>
        <v>0.441920988754685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11.4108557743226</v>
      </c>
      <c r="M12" s="139" t="n">
        <f aca="false">'CP RESUMO'!K6</f>
        <v>0</v>
      </c>
      <c r="N12" s="140" t="n">
        <f aca="false">MAX(0,M12-M11)</f>
        <v>0</v>
      </c>
      <c r="O12" s="139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HISTORICOS'!L6)</f>
        <v>13812.51</v>
      </c>
      <c r="D13" s="45" t="n">
        <f aca="false">IF(B13&lt;='VALOR POR PL'!$P$5,0,IF($K$17&gt;0,$K$18*P13/$K$17,0))</f>
        <v>0</v>
      </c>
      <c r="E13" s="45" t="n">
        <f aca="false">L13+D13/$K$2</f>
        <v>11.3523809367259</v>
      </c>
      <c r="F13" s="117" t="n">
        <f aca="false">IF($K$9=0,0,E13/$K$9)</f>
        <v>0.0850296679983051</v>
      </c>
      <c r="G13" s="117" t="n">
        <f aca="false">G12+F13</f>
        <v>0.52695065675299</v>
      </c>
      <c r="H13" s="138"/>
      <c r="I13" s="42" t="s">
        <v>3902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11.3523809367259</v>
      </c>
      <c r="M13" s="139" t="n">
        <f aca="false">'CP RESUMO'!L6</f>
        <v>0</v>
      </c>
      <c r="N13" s="140" t="n">
        <f aca="false">MAX(0,M13-M12)</f>
        <v>0</v>
      </c>
      <c r="O13" s="139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HISTORICOS'!M6)</f>
        <v>13812.54</v>
      </c>
      <c r="D14" s="45" t="n">
        <f aca="false">IF(B14&lt;='VALOR POR PL'!$P$5,0,IF($K$17&gt;0,$K$18*P14/$K$17,0))</f>
        <v>0</v>
      </c>
      <c r="E14" s="45" t="n">
        <f aca="false">L14+D14/$K$2</f>
        <v>11.3333940514315</v>
      </c>
      <c r="F14" s="117" t="n">
        <f aca="false">IF($K$9=0,0,E14/$K$9)</f>
        <v>0.0848874556675262</v>
      </c>
      <c r="G14" s="117" t="n">
        <f aca="false">G13+F14</f>
        <v>0.611838112420516</v>
      </c>
      <c r="H14" s="138"/>
      <c r="I14" s="42" t="s">
        <v>3903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11.3333940514315</v>
      </c>
      <c r="M14" s="139" t="n">
        <f aca="false">'CP RESUMO'!M6</f>
        <v>0</v>
      </c>
      <c r="N14" s="140" t="n">
        <f aca="false">MAX(0,M14-M13)</f>
        <v>0</v>
      </c>
      <c r="O14" s="139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0.611838112420516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RESUMO'!N6</f>
        <v>0</v>
      </c>
      <c r="N15" s="140" t="n">
        <f aca="false">MAX(0,M15-M14)</f>
        <v>0</v>
      </c>
      <c r="O15" s="139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0.611838112420516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RESUMO'!O6</f>
        <v>0</v>
      </c>
      <c r="N16" s="140" t="n">
        <f aca="false">MAX(0,M16-M15)</f>
        <v>0</v>
      </c>
      <c r="O16" s="139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HISTORICOS'!P6)</f>
        <v>350.22</v>
      </c>
      <c r="D17" s="45" t="n">
        <f aca="false">IF(B17&lt;='VALOR POR PL'!$P$5,0,IF($K$17&gt;0,$K$18*P17/$K$17,0))</f>
        <v>0</v>
      </c>
      <c r="E17" s="45" t="n">
        <f aca="false">L17+D17/$K$2</f>
        <v>0.285158053382252</v>
      </c>
      <c r="F17" s="117" t="n">
        <f aca="false">IF($K$9=0,0,E17/$K$9)</f>
        <v>0.00213584222915698</v>
      </c>
      <c r="G17" s="117" t="n">
        <f aca="false">G16+F17</f>
        <v>0.613973954649673</v>
      </c>
      <c r="H17" s="138"/>
      <c r="I17" s="42" t="s">
        <v>3907</v>
      </c>
      <c r="K17" s="45" t="n">
        <f aca="false">SUM(P5:P76)</f>
        <v>27</v>
      </c>
      <c r="L17" s="45" t="n">
        <f aca="false">C17/IF(B17&lt;='VALOR POR PL'!$P$5,IFERROR(INDEX('"INCC-FGV"'!$B$2:$B$800,MATCH(B17,'"INCC-FGV"'!$A$2:$A$800,0)),$K$2),$K$2)</f>
        <v>0.285158053382252</v>
      </c>
      <c r="M17" s="139" t="n">
        <f aca="false">'CP RESUMO'!P6</f>
        <v>0</v>
      </c>
      <c r="N17" s="140" t="n">
        <f aca="false">MAX(0,M17-M16)</f>
        <v>0</v>
      </c>
      <c r="O17" s="139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HISTORICOS'!Q6)</f>
        <v>350.2</v>
      </c>
      <c r="D18" s="45" t="n">
        <f aca="false">IF(B18&lt;='VALOR POR PL'!$P$5,0,IF($K$17&gt;0,$K$18*P18/$K$17,0))</f>
        <v>0</v>
      </c>
      <c r="E18" s="45" t="n">
        <f aca="false">L18+D18/$K$2</f>
        <v>0.28309604570926</v>
      </c>
      <c r="F18" s="117" t="n">
        <f aca="false">IF($K$9=0,0,E18/$K$9)</f>
        <v>0.00212039773087757</v>
      </c>
      <c r="G18" s="117" t="n">
        <f aca="false">G17+F18</f>
        <v>0.616094352380551</v>
      </c>
      <c r="H18" s="138"/>
      <c r="I18" s="42" t="s">
        <v>3908</v>
      </c>
      <c r="K18" s="45" t="n">
        <f aca="false">MAX(0,K10)*$K$2</f>
        <v>62610.6544795705</v>
      </c>
      <c r="L18" s="45" t="n">
        <f aca="false">C18/IF(B18&lt;='VALOR POR PL'!$P$5,IFERROR(INDEX('"INCC-FGV"'!$B$2:$B$800,MATCH(B18,'"INCC-FGV"'!$A$2:$A$800,0)),$K$2),$K$2)</f>
        <v>0.28309604570926</v>
      </c>
      <c r="M18" s="139" t="n">
        <f aca="false">'CP RESUMO'!Q6</f>
        <v>0</v>
      </c>
      <c r="N18" s="140" t="n">
        <f aca="false">MAX(0,M18-M17)</f>
        <v>0</v>
      </c>
      <c r="O18" s="139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0.616094352380551</v>
      </c>
      <c r="H19" s="138"/>
      <c r="I19" s="42" t="s">
        <v>3909</v>
      </c>
      <c r="K19" s="142" t="n">
        <f aca="false">IF(AND(K16="PREVISÃO INFORMADA",K11&gt;0),K18/K11-1,"")</f>
        <v>2317.91312887298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RESUMO'!R6</f>
        <v>0</v>
      </c>
      <c r="N19" s="140" t="n">
        <f aca="false">MAX(0,M19-M18)</f>
        <v>0</v>
      </c>
      <c r="O19" s="139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HISTORICOS'!S6)</f>
        <v>700.4</v>
      </c>
      <c r="D20" s="45" t="n">
        <f aca="false">IF(B20&lt;='VALOR POR PL'!$P$5,0,IF($K$17&gt;0,$K$18*P20/$K$17,0))</f>
        <v>0</v>
      </c>
      <c r="E20" s="45" t="n">
        <f aca="false">L20+D20/$K$2</f>
        <v>0.561586489851914</v>
      </c>
      <c r="F20" s="117" t="n">
        <f aca="false">IF($K$9=0,0,E20/$K$9)</f>
        <v>0.00420629937020187</v>
      </c>
      <c r="G20" s="117" t="n">
        <f aca="false">G19+F20</f>
        <v>0.620300651750753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0.561586489851914</v>
      </c>
      <c r="M20" s="139" t="n">
        <f aca="false">'CP RESUMO'!S6</f>
        <v>0</v>
      </c>
      <c r="N20" s="140" t="n">
        <f aca="false">MAX(0,M20-M19)</f>
        <v>0</v>
      </c>
      <c r="O20" s="139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HISTORICOS'!T6)</f>
        <v>350.2</v>
      </c>
      <c r="D21" s="45" t="n">
        <f aca="false">IF(B21&lt;='VALOR POR PL'!$P$5,0,IF($K$17&gt;0,$K$18*P21/$K$17,0))</f>
        <v>0</v>
      </c>
      <c r="E21" s="45" t="n">
        <f aca="false">L21+D21/$K$2</f>
        <v>0.278013292560167</v>
      </c>
      <c r="F21" s="117" t="n">
        <f aca="false">IF($K$9=0,0,E21/$K$9)</f>
        <v>0.00208232775990025</v>
      </c>
      <c r="G21" s="117" t="n">
        <f aca="false">G20+F21</f>
        <v>0.622382979510653</v>
      </c>
      <c r="H21" s="138"/>
      <c r="K21" s="143"/>
      <c r="L21" s="45" t="n">
        <f aca="false">C21/IF(B21&lt;='VALOR POR PL'!$P$5,IFERROR(INDEX('"INCC-FGV"'!$B$2:$B$800,MATCH(B21,'"INCC-FGV"'!$A$2:$A$800,0)),$K$2),$K$2)</f>
        <v>0.278013292560167</v>
      </c>
      <c r="M21" s="139" t="n">
        <f aca="false">'CP RESUMO'!T6</f>
        <v>0</v>
      </c>
      <c r="N21" s="140" t="n">
        <f aca="false">MAX(0,M21-M20)</f>
        <v>0</v>
      </c>
      <c r="O21" s="139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HISTORICOS'!U6)</f>
        <v>350.19</v>
      </c>
      <c r="D22" s="45" t="n">
        <f aca="false">IF(B22&lt;='VALOR POR PL'!$P$5,0,IF($K$17&gt;0,$K$18*P22/$K$17,0))</f>
        <v>0</v>
      </c>
      <c r="E22" s="45" t="n">
        <f aca="false">L22+D22/$K$2</f>
        <v>0.275589342839942</v>
      </c>
      <c r="F22" s="117" t="n">
        <f aca="false">IF($K$9=0,0,E22/$K$9)</f>
        <v>0.00206417230501337</v>
      </c>
      <c r="G22" s="117" t="n">
        <f aca="false">G21+F22</f>
        <v>0.624447151815666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0.275589342839942</v>
      </c>
      <c r="M22" s="139" t="n">
        <f aca="false">'CP RESUMO'!U6</f>
        <v>0</v>
      </c>
      <c r="N22" s="140" t="n">
        <f aca="false">MAX(0,M22-M21)</f>
        <v>0</v>
      </c>
      <c r="O22" s="139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0.624447151815666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RESUMO'!V6</f>
        <v>0</v>
      </c>
      <c r="N23" s="140" t="n">
        <f aca="false">MAX(0,M23-M22)</f>
        <v>0</v>
      </c>
      <c r="O23" s="139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0.624447151815666</v>
      </c>
      <c r="H24" s="138"/>
      <c r="I24" s="144" t="s">
        <v>3916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RESUMO'!W6</f>
        <v>0</v>
      </c>
      <c r="N24" s="140" t="n">
        <f aca="false">MAX(0,M24-M23)</f>
        <v>0</v>
      </c>
      <c r="O24" s="139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0.624447151815666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RESUMO'!X6</f>
        <v>0</v>
      </c>
      <c r="N25" s="140" t="n">
        <f aca="false">MAX(0,M25-M24)</f>
        <v>0</v>
      </c>
      <c r="O25" s="139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HISTORICOS'!Y6)</f>
        <v>2422.63</v>
      </c>
      <c r="D26" s="45" t="n">
        <f aca="false">IF(B26&lt;='VALOR POR PL'!$P$5,0,IF($K$17&gt;0,$K$18*P26/$K$17,0))</f>
        <v>0</v>
      </c>
      <c r="E26" s="45" t="n">
        <f aca="false">L26+D26/$K$2</f>
        <v>1.86393145716611</v>
      </c>
      <c r="F26" s="117" t="n">
        <f aca="false">IF($K$9=0,0,E26/$K$9)</f>
        <v>0.0139609015815973</v>
      </c>
      <c r="G26" s="117" t="n">
        <f aca="false">G25+F26</f>
        <v>0.638408053397264</v>
      </c>
      <c r="H26" s="138" t="n">
        <v>1</v>
      </c>
      <c r="L26" s="45" t="n">
        <f aca="false">C26/IF(B26&lt;='VALOR POR PL'!$P$5,IFERROR(INDEX('"INCC-FGV"'!$B$2:$B$800,MATCH(B26,'"INCC-FGV"'!$A$2:$A$800,0)),$K$2),$K$2)</f>
        <v>1.86393145716611</v>
      </c>
      <c r="M26" s="139" t="n">
        <f aca="false">'CP RESUMO'!Y6</f>
        <v>0</v>
      </c>
      <c r="N26" s="140" t="n">
        <f aca="false">MAX(0,M26-M25)</f>
        <v>0</v>
      </c>
      <c r="O26" s="139" t="n">
        <f aca="false">IF(B26&lt;='VALOR POR PL'!$P$5,'CP RESUMO'!Y48,"")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HISTORICOS'!Z6)</f>
        <v>17.26</v>
      </c>
      <c r="D27" s="45" t="n">
        <f aca="false">IF(B27&lt;='VALOR POR PL'!$P$5,0,IF($K$17&gt;0,$K$18*P27/$K$17,0))</f>
        <v>2318.91312887298</v>
      </c>
      <c r="E27" s="45" t="n">
        <f aca="false">L27+D27/$K$2</f>
        <v>1.79741297032256</v>
      </c>
      <c r="F27" s="117" t="n">
        <f aca="false">IF($K$9=0,0,E27/$K$9)</f>
        <v>0.0134626761535059</v>
      </c>
      <c r="G27" s="117" t="n">
        <f aca="false">G26+F27</f>
        <v>0.651870729550769</v>
      </c>
      <c r="H27" s="138" t="n">
        <v>1</v>
      </c>
      <c r="L27" s="45" t="n">
        <f aca="false">C27/IF(B27&lt;='VALOR POR PL'!$P$5,IFERROR(INDEX('"INCC-FGV"'!$B$2:$B$800,MATCH(B27,'"INCC-FGV"'!$A$2:$A$800,0)),$K$2),$K$2)</f>
        <v>0.0132795585585447</v>
      </c>
      <c r="M27" s="139" t="n">
        <f aca="false">'CP RESUMO'!Z6</f>
        <v>0</v>
      </c>
      <c r="N27" s="140" t="n">
        <f aca="false">MAX(0,M27-M26)</f>
        <v>0</v>
      </c>
      <c r="O27" s="139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1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HISTORICOS'!AA6)</f>
        <v>0</v>
      </c>
      <c r="D28" s="45" t="n">
        <f aca="false">IF(B28&lt;='VALOR POR PL'!$P$5,0,IF($K$17&gt;0,$K$18*P28/$K$17,0))</f>
        <v>2318.91312887298</v>
      </c>
      <c r="E28" s="45" t="n">
        <f aca="false">L28+D28/$K$2</f>
        <v>1.78413341176401</v>
      </c>
      <c r="F28" s="117" t="n">
        <f aca="false">IF($K$9=0,0,E28/$K$9)</f>
        <v>0.0133632118682876</v>
      </c>
      <c r="G28" s="117" t="n">
        <f aca="false">G27+F28</f>
        <v>0.665233941419057</v>
      </c>
      <c r="H28" s="138" t="n">
        <v>1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RESUMO'!AA6</f>
        <v>0</v>
      </c>
      <c r="N28" s="140" t="n">
        <f aca="false">MAX(0,M28-M27)</f>
        <v>0</v>
      </c>
      <c r="O28" s="139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1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HISTORICOS'!AB6)</f>
        <v>0</v>
      </c>
      <c r="D29" s="45" t="n">
        <f aca="false">IF(B29&lt;='VALOR POR PL'!$P$5,0,IF($K$17&gt;0,$K$18*P29/$K$17,0))</f>
        <v>2318.91312887298</v>
      </c>
      <c r="E29" s="45" t="n">
        <f aca="false">L29+D29/$K$2</f>
        <v>1.78413341176401</v>
      </c>
      <c r="F29" s="117" t="n">
        <f aca="false">IF($K$9=0,0,E29/$K$9)</f>
        <v>0.0133632118682876</v>
      </c>
      <c r="G29" s="117" t="n">
        <f aca="false">G28+F29</f>
        <v>0.678597153287345</v>
      </c>
      <c r="H29" s="138" t="n">
        <v>1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RESUMO'!AB6</f>
        <v>0</v>
      </c>
      <c r="N29" s="140" t="n">
        <f aca="false">MAX(0,M29-M28)</f>
        <v>0</v>
      </c>
      <c r="O29" s="139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HISTORICOS'!AC6)</f>
        <v>0</v>
      </c>
      <c r="D30" s="45" t="n">
        <f aca="false">IF(B30&lt;='VALOR POR PL'!$P$5,0,IF($K$17&gt;0,$K$18*P30/$K$17,0))</f>
        <v>2318.91312887298</v>
      </c>
      <c r="E30" s="45" t="n">
        <f aca="false">L30+D30/$K$2</f>
        <v>1.78413341176401</v>
      </c>
      <c r="F30" s="117" t="n">
        <f aca="false">IF($K$9=0,0,E30/$K$9)</f>
        <v>0.0133632118682876</v>
      </c>
      <c r="G30" s="117" t="n">
        <f aca="false">G29+F30</f>
        <v>0.691960365155632</v>
      </c>
      <c r="H30" s="138" t="n">
        <v>1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RESUMO'!AC6</f>
        <v>0</v>
      </c>
      <c r="N30" s="140" t="n">
        <f aca="false">MAX(0,M30-M29)</f>
        <v>0</v>
      </c>
      <c r="O30" s="139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HISTORICOS'!AD6)</f>
        <v>119</v>
      </c>
      <c r="D31" s="45" t="n">
        <f aca="false">IF(B31&lt;='VALOR POR PL'!$P$5,0,IF($K$17&gt;0,$K$18*P31/$K$17,0))</f>
        <v>2318.91312887298</v>
      </c>
      <c r="E31" s="45" t="n">
        <f aca="false">L31+D31/$K$2</f>
        <v>1.87569004377252</v>
      </c>
      <c r="F31" s="117" t="n">
        <f aca="false">IF($K$9=0,0,E31/$K$9)</f>
        <v>0.0140489737420405</v>
      </c>
      <c r="G31" s="117" t="n">
        <f aca="false">G30+F31</f>
        <v>0.706009338897673</v>
      </c>
      <c r="H31" s="138" t="n">
        <v>1</v>
      </c>
      <c r="L31" s="45" t="n">
        <f aca="false">C31/IF(B31&lt;='VALOR POR PL'!$P$5,IFERROR(INDEX('"INCC-FGV"'!$B$2:$B$800,MATCH(B31,'"INCC-FGV"'!$A$2:$A$800,0)),$K$2),$K$2)</f>
        <v>0.0915566320085063</v>
      </c>
      <c r="M31" s="139" t="n">
        <f aca="false">'CP RESUMO'!AD6</f>
        <v>0</v>
      </c>
      <c r="N31" s="140" t="n">
        <f aca="false">MAX(0,M31-M30)</f>
        <v>0</v>
      </c>
      <c r="O31" s="139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HISTORICOS'!AE6)</f>
        <v>0</v>
      </c>
      <c r="D32" s="45" t="n">
        <f aca="false">IF(B32&lt;='VALOR POR PL'!$P$5,0,IF($K$17&gt;0,$K$18*P32/$K$17,0))</f>
        <v>2318.91312887298</v>
      </c>
      <c r="E32" s="45" t="n">
        <f aca="false">L32+D32/$K$2</f>
        <v>1.78413341176401</v>
      </c>
      <c r="F32" s="117" t="n">
        <f aca="false">IF($K$9=0,0,E32/$K$9)</f>
        <v>0.0133632118682876</v>
      </c>
      <c r="G32" s="117" t="n">
        <f aca="false">G31+F32</f>
        <v>0.71937255076596</v>
      </c>
      <c r="H32" s="138" t="n">
        <v>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RESUMO'!AE6</f>
        <v>0</v>
      </c>
      <c r="N32" s="140" t="n">
        <f aca="false">MAX(0,M32-M31)</f>
        <v>0</v>
      </c>
      <c r="O32" s="139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2318.91312887298</v>
      </c>
      <c r="E33" s="45" t="n">
        <f aca="false">L33+D33/$K$2</f>
        <v>1.78413341176401</v>
      </c>
      <c r="F33" s="117" t="n">
        <f aca="false">IF($K$9=0,0,E33/$K$9)</f>
        <v>0.0133632118682876</v>
      </c>
      <c r="G33" s="117" t="n">
        <f aca="false">G32+F33</f>
        <v>0.732735762634248</v>
      </c>
      <c r="H33" s="138" t="n">
        <v>1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RESUMO'!AF6</f>
        <v>0</v>
      </c>
      <c r="N33" s="140" t="n">
        <f aca="false">MAX(0,M33-M32)</f>
        <v>0</v>
      </c>
      <c r="O33" s="139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2318.91312887298</v>
      </c>
      <c r="E34" s="45" t="n">
        <f aca="false">L34+D34/$K$2</f>
        <v>1.78413341176401</v>
      </c>
      <c r="F34" s="117" t="n">
        <f aca="false">IF($K$9=0,0,E34/$K$9)</f>
        <v>0.0133632118682876</v>
      </c>
      <c r="G34" s="117" t="n">
        <f aca="false">G33+F34</f>
        <v>0.746098974502536</v>
      </c>
      <c r="H34" s="138" t="n">
        <v>1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RESUMO'!AG6</f>
        <v>0</v>
      </c>
      <c r="N34" s="140" t="n">
        <f aca="false">MAX(0,M34-M33)</f>
        <v>0</v>
      </c>
      <c r="O34" s="139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2318.91312887298</v>
      </c>
      <c r="E35" s="45" t="n">
        <f aca="false">L35+D35/$K$2</f>
        <v>1.78413341176401</v>
      </c>
      <c r="F35" s="117" t="n">
        <f aca="false">IF($K$9=0,0,E35/$K$9)</f>
        <v>0.0133632118682876</v>
      </c>
      <c r="G35" s="117" t="n">
        <f aca="false">G34+F35</f>
        <v>0.759462186370823</v>
      </c>
      <c r="H35" s="138" t="n">
        <v>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RESUMO'!AH6</f>
        <v>0</v>
      </c>
      <c r="N35" s="140" t="n">
        <f aca="false">MAX(0,M35-M34)</f>
        <v>0</v>
      </c>
      <c r="O35" s="139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2318.91312887298</v>
      </c>
      <c r="E36" s="45" t="n">
        <f aca="false">L36+D36/$K$2</f>
        <v>1.78413341176401</v>
      </c>
      <c r="F36" s="117" t="n">
        <f aca="false">IF($K$9=0,0,E36/$K$9)</f>
        <v>0.0133632118682876</v>
      </c>
      <c r="G36" s="117" t="n">
        <f aca="false">G35+F36</f>
        <v>0.772825398239111</v>
      </c>
      <c r="H36" s="138" t="n">
        <v>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RESUMO'!AI6</f>
        <v>0</v>
      </c>
      <c r="N36" s="140" t="n">
        <f aca="false">MAX(0,M36-M35)</f>
        <v>0</v>
      </c>
      <c r="O36" s="139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2318.91312887298</v>
      </c>
      <c r="E37" s="45" t="n">
        <f aca="false">L37+D37/$K$2</f>
        <v>1.78413341176401</v>
      </c>
      <c r="F37" s="117" t="n">
        <f aca="false">IF($K$9=0,0,E37/$K$9)</f>
        <v>0.0133632118682876</v>
      </c>
      <c r="G37" s="117" t="n">
        <f aca="false">G36+F37</f>
        <v>0.786188610107398</v>
      </c>
      <c r="H37" s="138" t="n">
        <v>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RESUMO'!AJ6</f>
        <v>0</v>
      </c>
      <c r="N37" s="140" t="n">
        <f aca="false">MAX(0,M37-M36)</f>
        <v>0</v>
      </c>
      <c r="O37" s="139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2318.91312887298</v>
      </c>
      <c r="E38" s="45" t="n">
        <f aca="false">L38+D38/$K$2</f>
        <v>1.78413341176401</v>
      </c>
      <c r="F38" s="117" t="n">
        <f aca="false">IF($K$9=0,0,E38/$K$9)</f>
        <v>0.0133632118682876</v>
      </c>
      <c r="G38" s="117" t="n">
        <f aca="false">G37+F38</f>
        <v>0.799551821975686</v>
      </c>
      <c r="H38" s="138" t="n">
        <v>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RESUMO'!AK6</f>
        <v>0</v>
      </c>
      <c r="N38" s="140" t="n">
        <f aca="false">MAX(0,M38-M37)</f>
        <v>0</v>
      </c>
      <c r="O38" s="139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2318.91312887298</v>
      </c>
      <c r="E39" s="45" t="n">
        <f aca="false">L39+D39/$K$2</f>
        <v>1.78413341176401</v>
      </c>
      <c r="F39" s="117" t="n">
        <f aca="false">IF($K$9=0,0,E39/$K$9)</f>
        <v>0.0133632118682876</v>
      </c>
      <c r="G39" s="117" t="n">
        <f aca="false">G38+F39</f>
        <v>0.812915033843974</v>
      </c>
      <c r="H39" s="138" t="n">
        <v>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RESUMO'!AL6</f>
        <v>0</v>
      </c>
      <c r="N39" s="140" t="n">
        <f aca="false">MAX(0,M39-M38)</f>
        <v>0</v>
      </c>
      <c r="O39" s="139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2318.91312887298</v>
      </c>
      <c r="E40" s="45" t="n">
        <f aca="false">L40+D40/$K$2</f>
        <v>1.78413341176401</v>
      </c>
      <c r="F40" s="117" t="n">
        <f aca="false">IF($K$9=0,0,E40/$K$9)</f>
        <v>0.0133632118682876</v>
      </c>
      <c r="G40" s="117" t="n">
        <f aca="false">G39+F40</f>
        <v>0.826278245712261</v>
      </c>
      <c r="H40" s="138" t="n">
        <v>1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RESUMO'!AM6</f>
        <v>0</v>
      </c>
      <c r="N40" s="140" t="n">
        <f aca="false">MAX(0,M40-M39)</f>
        <v>0</v>
      </c>
      <c r="O40" s="139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2318.91312887298</v>
      </c>
      <c r="E41" s="45" t="n">
        <f aca="false">L41+D41/$K$2</f>
        <v>1.78413341176401</v>
      </c>
      <c r="F41" s="117" t="n">
        <f aca="false">IF($K$9=0,0,E41/$K$9)</f>
        <v>0.0133632118682876</v>
      </c>
      <c r="G41" s="117" t="n">
        <f aca="false">G40+F41</f>
        <v>0.839641457580549</v>
      </c>
      <c r="H41" s="138" t="n">
        <v>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RESUMO'!AN6</f>
        <v>0</v>
      </c>
      <c r="N41" s="140" t="n">
        <f aca="false">MAX(0,M41-M40)</f>
        <v>0</v>
      </c>
      <c r="O41" s="139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2318.91312887298</v>
      </c>
      <c r="E42" s="45" t="n">
        <f aca="false">L42+D42/$K$2</f>
        <v>1.78413341176401</v>
      </c>
      <c r="F42" s="117" t="n">
        <f aca="false">IF($K$9=0,0,E42/$K$9)</f>
        <v>0.0133632118682876</v>
      </c>
      <c r="G42" s="117" t="n">
        <f aca="false">G41+F42</f>
        <v>0.853004669448836</v>
      </c>
      <c r="H42" s="138" t="n">
        <v>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RESUMO'!AO6</f>
        <v>0</v>
      </c>
      <c r="N42" s="140" t="n">
        <f aca="false">MAX(0,M42-M41)</f>
        <v>0</v>
      </c>
      <c r="O42" s="139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2318.91312887298</v>
      </c>
      <c r="E43" s="45" t="n">
        <f aca="false">L43+D43/$K$2</f>
        <v>1.78413341176401</v>
      </c>
      <c r="F43" s="117" t="n">
        <f aca="false">IF($K$9=0,0,E43/$K$9)</f>
        <v>0.0133632118682876</v>
      </c>
      <c r="G43" s="117" t="n">
        <f aca="false">G42+F43</f>
        <v>0.866367881317124</v>
      </c>
      <c r="H43" s="138" t="n">
        <v>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RESUMO'!AP6</f>
        <v>0</v>
      </c>
      <c r="N43" s="140" t="n">
        <f aca="false">MAX(0,M43-M42)</f>
        <v>0</v>
      </c>
      <c r="O43" s="139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2318.91312887298</v>
      </c>
      <c r="E44" s="45" t="n">
        <f aca="false">L44+D44/$K$2</f>
        <v>1.78413341176401</v>
      </c>
      <c r="F44" s="117" t="n">
        <f aca="false">IF($K$9=0,0,E44/$K$9)</f>
        <v>0.0133632118682876</v>
      </c>
      <c r="G44" s="117" t="n">
        <f aca="false">G43+F44</f>
        <v>0.879731093185411</v>
      </c>
      <c r="H44" s="138" t="n">
        <v>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RESUMO'!AQ6</f>
        <v>0</v>
      </c>
      <c r="N44" s="140" t="n">
        <f aca="false">MAX(0,M44-M43)</f>
        <v>0</v>
      </c>
      <c r="O44" s="139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2318.91312887298</v>
      </c>
      <c r="E45" s="45" t="n">
        <f aca="false">L45+D45/$K$2</f>
        <v>1.78413341176401</v>
      </c>
      <c r="F45" s="117" t="n">
        <f aca="false">IF($K$9=0,0,E45/$K$9)</f>
        <v>0.0133632118682876</v>
      </c>
      <c r="G45" s="117" t="n">
        <f aca="false">G44+F45</f>
        <v>0.893094305053699</v>
      </c>
      <c r="H45" s="138" t="n">
        <v>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RESUMO'!AR6</f>
        <v>0</v>
      </c>
      <c r="N45" s="140" t="n">
        <f aca="false">MAX(0,M45-M44)</f>
        <v>0</v>
      </c>
      <c r="O45" s="139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2318.91312887298</v>
      </c>
      <c r="E46" s="45" t="n">
        <f aca="false">L46+D46/$K$2</f>
        <v>1.78413341176401</v>
      </c>
      <c r="F46" s="117" t="n">
        <f aca="false">IF($K$9=0,0,E46/$K$9)</f>
        <v>0.0133632118682876</v>
      </c>
      <c r="G46" s="117" t="n">
        <f aca="false">G45+F46</f>
        <v>0.906457516921987</v>
      </c>
      <c r="H46" s="138" t="n">
        <v>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RESUMO'!AS6</f>
        <v>0</v>
      </c>
      <c r="N46" s="140" t="n">
        <f aca="false">MAX(0,M46-M45)</f>
        <v>0</v>
      </c>
      <c r="O46" s="139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2318.91312887298</v>
      </c>
      <c r="E47" s="45" t="n">
        <f aca="false">L47+D47/$K$2</f>
        <v>1.78413341176401</v>
      </c>
      <c r="F47" s="117" t="n">
        <f aca="false">IF($K$9=0,0,E47/$K$9)</f>
        <v>0.0133632118682876</v>
      </c>
      <c r="G47" s="117" t="n">
        <f aca="false">G46+F47</f>
        <v>0.919820728790274</v>
      </c>
      <c r="H47" s="138" t="n">
        <v>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RESUMO'!AT6</f>
        <v>0</v>
      </c>
      <c r="N47" s="140" t="n">
        <f aca="false">MAX(0,M47-M46)</f>
        <v>0</v>
      </c>
      <c r="O47" s="139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2318.91312887298</v>
      </c>
      <c r="E48" s="45" t="n">
        <f aca="false">L48+D48/$K$2</f>
        <v>1.78413341176401</v>
      </c>
      <c r="F48" s="117" t="n">
        <f aca="false">IF($K$9=0,0,E48/$K$9)</f>
        <v>0.0133632118682876</v>
      </c>
      <c r="G48" s="117" t="n">
        <f aca="false">G47+F48</f>
        <v>0.933183940658562</v>
      </c>
      <c r="H48" s="138" t="n">
        <v>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RESUMO'!AU6</f>
        <v>0</v>
      </c>
      <c r="N48" s="140" t="n">
        <f aca="false">MAX(0,M48-M47)</f>
        <v>0</v>
      </c>
      <c r="O48" s="139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2318.91312887298</v>
      </c>
      <c r="E49" s="45" t="n">
        <f aca="false">L49+D49/$K$2</f>
        <v>1.78413341176401</v>
      </c>
      <c r="F49" s="117" t="n">
        <f aca="false">IF($K$9=0,0,E49/$K$9)</f>
        <v>0.0133632118682876</v>
      </c>
      <c r="G49" s="117" t="n">
        <f aca="false">G48+F49</f>
        <v>0.946547152526849</v>
      </c>
      <c r="H49" s="138" t="n">
        <v>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RESUMO'!AV6</f>
        <v>0</v>
      </c>
      <c r="N49" s="140" t="n">
        <f aca="false">MAX(0,M49-M48)</f>
        <v>0</v>
      </c>
      <c r="O49" s="139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2318.91312887298</v>
      </c>
      <c r="E50" s="45" t="n">
        <f aca="false">L50+D50/$K$2</f>
        <v>1.78413341176401</v>
      </c>
      <c r="F50" s="117" t="n">
        <f aca="false">IF($K$9=0,0,E50/$K$9)</f>
        <v>0.0133632118682876</v>
      </c>
      <c r="G50" s="117" t="n">
        <f aca="false">G49+F50</f>
        <v>0.959910364395137</v>
      </c>
      <c r="H50" s="138" t="n">
        <v>1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RESUMO'!AW6</f>
        <v>0</v>
      </c>
      <c r="N50" s="140" t="n">
        <f aca="false">MAX(0,M50-M49)</f>
        <v>0</v>
      </c>
      <c r="O50" s="139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2318.91312887298</v>
      </c>
      <c r="E51" s="45" t="n">
        <f aca="false">L51+D51/$K$2</f>
        <v>1.78413341176401</v>
      </c>
      <c r="F51" s="117" t="n">
        <f aca="false">IF($K$9=0,0,E51/$K$9)</f>
        <v>0.0133632118682876</v>
      </c>
      <c r="G51" s="117" t="n">
        <f aca="false">G50+F51</f>
        <v>0.973273576263425</v>
      </c>
      <c r="H51" s="138" t="n">
        <v>1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RESUMO'!AX6</f>
        <v>0</v>
      </c>
      <c r="N51" s="140" t="n">
        <f aca="false">MAX(0,M51-M50)</f>
        <v>0</v>
      </c>
      <c r="O51" s="139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2318.91312887298</v>
      </c>
      <c r="E52" s="45" t="n">
        <f aca="false">L52+D52/$K$2</f>
        <v>1.78413341176401</v>
      </c>
      <c r="F52" s="117" t="n">
        <f aca="false">IF($K$9=0,0,E52/$K$9)</f>
        <v>0.0133632118682876</v>
      </c>
      <c r="G52" s="117" t="n">
        <f aca="false">G51+F52</f>
        <v>0.986636788131712</v>
      </c>
      <c r="H52" s="138" t="n">
        <v>1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RESUMO'!AY6</f>
        <v>0</v>
      </c>
      <c r="N52" s="140" t="n">
        <f aca="false">MAX(0,M52-M51)</f>
        <v>0</v>
      </c>
      <c r="O52" s="139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2318.91312887298</v>
      </c>
      <c r="E53" s="45" t="n">
        <f aca="false">L53+D53/$K$2</f>
        <v>1.78413341176401</v>
      </c>
      <c r="F53" s="117" t="n">
        <f aca="false">IF($K$9=0,0,E53/$K$9)</f>
        <v>0.0133632118682876</v>
      </c>
      <c r="G53" s="117" t="n">
        <f aca="false">G52+F53</f>
        <v>1</v>
      </c>
      <c r="H53" s="138" t="n">
        <v>1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RESUMO'!AZ6</f>
        <v>0</v>
      </c>
      <c r="N53" s="140" t="n">
        <f aca="false">MAX(0,M53-M52)</f>
        <v>0</v>
      </c>
      <c r="O53" s="139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RESUMO'!BA6</f>
        <v>0</v>
      </c>
      <c r="N54" s="140" t="n">
        <f aca="false">MAX(0,M54-M53)</f>
        <v>0</v>
      </c>
      <c r="O54" s="139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RESUMO'!BB6</f>
        <v>0</v>
      </c>
      <c r="N55" s="140" t="n">
        <f aca="false">MAX(0,M55-M54)</f>
        <v>0</v>
      </c>
      <c r="O55" s="139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RESUMO'!BC6</f>
        <v>0</v>
      </c>
      <c r="N56" s="140" t="n">
        <f aca="false">MAX(0,M56-M55)</f>
        <v>0</v>
      </c>
      <c r="O56" s="139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RESUMO'!BD6</f>
        <v>0</v>
      </c>
      <c r="N57" s="140" t="n">
        <f aca="false">MAX(0,M57-M56)</f>
        <v>0</v>
      </c>
      <c r="O57" s="139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RESUMO'!BE6</f>
        <v>0</v>
      </c>
      <c r="N58" s="140" t="n">
        <f aca="false">MAX(0,M58-M57)</f>
        <v>0</v>
      </c>
      <c r="O58" s="139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RESUMO'!BF6</f>
        <v>0</v>
      </c>
      <c r="N59" s="140" t="n">
        <f aca="false">MAX(0,M59-M58)</f>
        <v>0</v>
      </c>
      <c r="O59" s="139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RESUMO'!BG6</f>
        <v>0</v>
      </c>
      <c r="N60" s="140" t="n">
        <f aca="false">MAX(0,M60-M59)</f>
        <v>0</v>
      </c>
      <c r="O60" s="139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RESUMO'!BH6</f>
        <v>0</v>
      </c>
      <c r="N61" s="140" t="n">
        <f aca="false">MAX(0,M61-M60)</f>
        <v>0</v>
      </c>
      <c r="O61" s="139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RESUMO'!BI6</f>
        <v>0</v>
      </c>
      <c r="N62" s="140" t="n">
        <f aca="false">MAX(0,M62-M61)</f>
        <v>0</v>
      </c>
      <c r="O62" s="139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RESUMO'!BJ6</f>
        <v>0</v>
      </c>
      <c r="N63" s="140" t="n">
        <f aca="false">MAX(0,M63-M62)</f>
        <v>0</v>
      </c>
      <c r="O63" s="139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RESUMO'!BK6</f>
        <v>0</v>
      </c>
      <c r="N64" s="140" t="n">
        <f aca="false">MAX(0,M64-M63)</f>
        <v>0</v>
      </c>
      <c r="O64" s="139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RESUMO'!BL6</f>
        <v>0</v>
      </c>
      <c r="N65" s="140" t="n">
        <f aca="false">MAX(0,M65-M64)</f>
        <v>0</v>
      </c>
      <c r="O65" s="139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RESUMO'!BM6</f>
        <v>0</v>
      </c>
      <c r="N66" s="140" t="n">
        <f aca="false">MAX(0,M66-M65)</f>
        <v>0</v>
      </c>
      <c r="O66" s="139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RESUMO'!BN6</f>
        <v>0</v>
      </c>
      <c r="N67" s="140" t="n">
        <f aca="false">MAX(0,M67-M66)</f>
        <v>0</v>
      </c>
      <c r="O67" s="139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RESUMO'!BO6</f>
        <v>0</v>
      </c>
      <c r="N68" s="140" t="n">
        <f aca="false">MAX(0,M68-M67)</f>
        <v>0</v>
      </c>
      <c r="O68" s="139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RESUMO'!BP6</f>
        <v>0</v>
      </c>
      <c r="N69" s="140" t="n">
        <f aca="false">MAX(0,M69-M68)</f>
        <v>0</v>
      </c>
      <c r="O69" s="139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RESUMO'!BQ6</f>
        <v>0</v>
      </c>
      <c r="N70" s="140" t="n">
        <f aca="false">MAX(0,M70-M69)</f>
        <v>0</v>
      </c>
      <c r="O70" s="139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RESUMO'!BR6</f>
        <v>0</v>
      </c>
      <c r="N71" s="140" t="n">
        <f aca="false">MAX(0,M71-M70)</f>
        <v>0</v>
      </c>
      <c r="O71" s="139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RESUMO'!BS6</f>
        <v>0</v>
      </c>
      <c r="N72" s="140" t="n">
        <f aca="false">MAX(0,M72-M71)</f>
        <v>0</v>
      </c>
      <c r="O72" s="139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RESUMO'!BT6</f>
        <v>0</v>
      </c>
      <c r="N73" s="140" t="n">
        <f aca="false">MAX(0,M73-M72)</f>
        <v>0</v>
      </c>
      <c r="O73" s="139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RESUMO'!BU6</f>
        <v>0</v>
      </c>
      <c r="N74" s="140" t="n">
        <f aca="false">MAX(0,M74-M73)</f>
        <v>0</v>
      </c>
      <c r="O74" s="139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RESUMO'!BV6</f>
        <v>0</v>
      </c>
      <c r="N75" s="140" t="n">
        <f aca="false">MAX(0,M75-M74)</f>
        <v>0</v>
      </c>
      <c r="O75" s="139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RESUMO'!BW6</f>
        <v>0</v>
      </c>
      <c r="N76" s="140" t="n">
        <f aca="false">MAX(0,M76-M75)</f>
        <v>0</v>
      </c>
      <c r="O76" s="139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102664.82</v>
      </c>
      <c r="D78" s="61" t="n">
        <f aca="false">SUM(D5:D76)</f>
        <v>62610.6544795705</v>
      </c>
      <c r="E78" s="61" t="n">
        <f aca="false">SUM(E5:E76)</f>
        <v>133.510822798369</v>
      </c>
      <c r="F78" s="145" t="n">
        <f aca="false">SUM(F5:F76)</f>
        <v>1</v>
      </c>
      <c r="H78" s="61" t="n">
        <f aca="false">SUM(H5:H76)</f>
        <v>28</v>
      </c>
      <c r="L78" s="61" t="n">
        <f aca="false">SUM(L5:L76)</f>
        <v>85.339220680741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HISTORICOS'!D7)</f>
        <v>1282.65</v>
      </c>
      <c r="D5" s="45" t="n">
        <f aca="false">IF(B5&lt;='VALOR POR PL'!$P$5,0,IF($K$17&gt;0,$K$18*P5/$K$17,0))</f>
        <v>0</v>
      </c>
      <c r="E5" s="45" t="n">
        <f aca="false">L5+D5/$K$2</f>
        <v>1.11445905671946</v>
      </c>
      <c r="F5" s="117" t="n">
        <f aca="false">IF($K$9=0,0,E5/$K$9)</f>
        <v>0.00647916172175981</v>
      </c>
      <c r="G5" s="117" t="n">
        <f aca="false">F5</f>
        <v>0.00647916172175981</v>
      </c>
      <c r="H5" s="138"/>
      <c r="I5" s="42" t="s">
        <v>3894</v>
      </c>
      <c r="J5" s="56" t="n">
        <f aca="false">'VALOR POR PL'!F13</f>
        <v>201087.95</v>
      </c>
      <c r="K5" s="56" t="n">
        <f aca="false">'VALOR POR PL'!G13</f>
        <v>172.15612</v>
      </c>
      <c r="L5" s="56" t="n">
        <f aca="false">'DADOS HISTORICOS'!$BZ$7</f>
        <v>1.11445905671946</v>
      </c>
      <c r="M5" s="139" t="n">
        <f aca="false">'CP RESUMO'!D7</f>
        <v>0</v>
      </c>
      <c r="N5" s="140" t="n">
        <v>0</v>
      </c>
      <c r="O5" s="139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HISTORICOS'!E7)</f>
        <v>542.94</v>
      </c>
      <c r="D6" s="45" t="n">
        <f aca="false">IF(B6&lt;='VALOR POR PL'!$P$5,0,IF($K$17&gt;0,$K$18*P6/$K$17,0))</f>
        <v>0</v>
      </c>
      <c r="E6" s="45" t="n">
        <f aca="false">L6+D6/$K$2</f>
        <v>0.464402163686067</v>
      </c>
      <c r="F6" s="117" t="n">
        <f aca="false">IF($K$9=0,0,E6/$K$9)</f>
        <v>0.00269990782013505</v>
      </c>
      <c r="G6" s="117" t="n">
        <f aca="false">G5+F6</f>
        <v>0.00917906954189485</v>
      </c>
      <c r="H6" s="138"/>
      <c r="I6" s="42" t="s">
        <v>3895</v>
      </c>
      <c r="K6" s="52" t="n">
        <f aca="false">'VALOR POR PL'!H13</f>
        <v>172.15612</v>
      </c>
      <c r="L6" s="45" t="n">
        <f aca="false">C6/IF(B6&lt;='VALOR POR PL'!$P$5,IFERROR(INDEX('"INCC-FGV"'!$B$2:$B$800,MATCH(B6,'"INCC-FGV"'!$A$2:$A$800,0)),$K$2),$K$2)</f>
        <v>0.464402163686067</v>
      </c>
      <c r="M6" s="139" t="n">
        <f aca="false">'CP RESUMO'!E7</f>
        <v>0</v>
      </c>
      <c r="N6" s="140" t="n">
        <f aca="false">MAX(0,M6-M5)</f>
        <v>0</v>
      </c>
      <c r="O6" s="139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0.00917906954189485</v>
      </c>
      <c r="H7" s="138"/>
      <c r="I7" s="42" t="s">
        <v>3896</v>
      </c>
      <c r="J7" s="45" t="n">
        <f aca="false">C78+D78</f>
        <v>222730.444889799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RESUMO'!F7</f>
        <v>0</v>
      </c>
      <c r="N7" s="140" t="n">
        <f aca="false">MAX(0,M7-M6)</f>
        <v>0</v>
      </c>
      <c r="O7" s="139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HISTORICOS'!G7)</f>
        <v>18.05</v>
      </c>
      <c r="D8" s="45" t="n">
        <f aca="false">IF(B8&lt;='VALOR POR PL'!$P$5,0,IF($K$17&gt;0,$K$18*P8/$K$17,0))</f>
        <v>0</v>
      </c>
      <c r="E8" s="45" t="n">
        <f aca="false">L8+D8/$K$2</f>
        <v>0.0153175614781574</v>
      </c>
      <c r="F8" s="117" t="n">
        <f aca="false">IF($K$9=0,0,E8/$K$9)</f>
        <v>8.90521346671265E-005</v>
      </c>
      <c r="G8" s="117" t="n">
        <f aca="false">G7+F8</f>
        <v>0.00926812167656198</v>
      </c>
      <c r="H8" s="138"/>
      <c r="I8" s="42" t="s">
        <v>3897</v>
      </c>
      <c r="K8" s="66" t="n">
        <f aca="false">SUM(L5:L76)</f>
        <v>10.0195756679279</v>
      </c>
      <c r="L8" s="45" t="n">
        <f aca="false">C8/IF(B8&lt;='VALOR POR PL'!$P$5,IFERROR(INDEX('"INCC-FGV"'!$B$2:$B$800,MATCH(B8,'"INCC-FGV"'!$A$2:$A$800,0)),$K$2),$K$2)</f>
        <v>0.0153175614781574</v>
      </c>
      <c r="M8" s="139" t="n">
        <f aca="false">'CP RESUMO'!G7</f>
        <v>0</v>
      </c>
      <c r="N8" s="140" t="n">
        <f aca="false">MAX(0,M8-M7)</f>
        <v>0</v>
      </c>
      <c r="O8" s="139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HISTORICOS'!H7)</f>
        <v>927.48</v>
      </c>
      <c r="D9" s="45" t="n">
        <f aca="false">IF(B9&lt;='VALOR POR PL'!$P$5,0,IF($K$17&gt;0,$K$18*P9/$K$17,0))</f>
        <v>0</v>
      </c>
      <c r="E9" s="45" t="n">
        <f aca="false">L9+D9/$K$2</f>
        <v>0.783039050640713</v>
      </c>
      <c r="F9" s="117" t="n">
        <f aca="false">IF($K$9=0,0,E9/$K$9)</f>
        <v>0.00455237598273794</v>
      </c>
      <c r="G9" s="117" t="n">
        <f aca="false">G8+F9</f>
        <v>0.0138204976592999</v>
      </c>
      <c r="H9" s="138"/>
      <c r="I9" s="42" t="s">
        <v>3898</v>
      </c>
      <c r="J9" s="45" t="n">
        <f aca="false">C78+D78</f>
        <v>222730.444889799</v>
      </c>
      <c r="K9" s="45" t="n">
        <f aca="false">E78</f>
        <v>172.006673791862</v>
      </c>
      <c r="L9" s="45" t="n">
        <f aca="false">C9/IF(B9&lt;='VALOR POR PL'!$P$5,IFERROR(INDEX('"INCC-FGV"'!$B$2:$B$800,MATCH(B9,'"INCC-FGV"'!$A$2:$A$800,0)),$K$2),$K$2)</f>
        <v>0.783039050640713</v>
      </c>
      <c r="M9" s="139" t="n">
        <f aca="false">'CP RESUMO'!H7</f>
        <v>0</v>
      </c>
      <c r="N9" s="140" t="n">
        <f aca="false">MAX(0,M9-M8)</f>
        <v>0</v>
      </c>
      <c r="O9" s="139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0.0138204976592999</v>
      </c>
      <c r="H10" s="138"/>
      <c r="I10" s="42" t="s">
        <v>3899</v>
      </c>
      <c r="K10" s="52" t="n">
        <f aca="false">IF(K6-K8&gt;0,(K6-K8)*'VALOR POR PL'!$G$65,K6-K8)</f>
        <v>161.987098123934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RESUMO'!I7</f>
        <v>0</v>
      </c>
      <c r="N10" s="140" t="n">
        <f aca="false">MAX(0,M10-M9)</f>
        <v>0</v>
      </c>
      <c r="O10" s="139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HISTORICOS'!J7)</f>
        <v>597.09</v>
      </c>
      <c r="D11" s="45" t="n">
        <f aca="false">IF(B11&lt;='VALOR POR PL'!$P$5,0,IF($K$17&gt;0,$K$18*P11/$K$17,0))</f>
        <v>0</v>
      </c>
      <c r="E11" s="45" t="n">
        <f aca="false">L11+D11/$K$2</f>
        <v>0.497778674440959</v>
      </c>
      <c r="F11" s="117" t="n">
        <f aca="false">IF($K$9=0,0,E11/$K$9)</f>
        <v>0.00289394977222395</v>
      </c>
      <c r="G11" s="117" t="n">
        <f aca="false">G10+F11</f>
        <v>0.0167144474315239</v>
      </c>
      <c r="H11" s="138"/>
      <c r="I11" s="42" t="s">
        <v>3900</v>
      </c>
      <c r="K11" s="56" t="n">
        <f aca="false">SUMPRODUCT((B5:B76&gt;'VALOR POR PL'!$P$5)*H5:H76)</f>
        <v>187971.94</v>
      </c>
      <c r="L11" s="45" t="n">
        <f aca="false">C11/IF(B11&lt;='VALOR POR PL'!$P$5,IFERROR(INDEX('"INCC-FGV"'!$B$2:$B$800,MATCH(B11,'"INCC-FGV"'!$A$2:$A$800,0)),$K$2),$K$2)</f>
        <v>0.497778674440959</v>
      </c>
      <c r="M11" s="139" t="n">
        <f aca="false">'CP RESUMO'!J7</f>
        <v>0</v>
      </c>
      <c r="N11" s="140" t="n">
        <f aca="false">MAX(0,M11-M10)</f>
        <v>0</v>
      </c>
      <c r="O11" s="139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HISTORICOS'!K7)</f>
        <v>927.48</v>
      </c>
      <c r="D12" s="45" t="n">
        <f aca="false">IF(B12&lt;='VALOR POR PL'!$P$5,0,IF($K$17&gt;0,$K$18*P12/$K$17,0))</f>
        <v>0</v>
      </c>
      <c r="E12" s="45" t="n">
        <f aca="false">L12+D12/$K$2</f>
        <v>0.766214143089756</v>
      </c>
      <c r="F12" s="117" t="n">
        <f aca="false">IF($K$9=0,0,E12/$K$9)</f>
        <v>0.00445456054813849</v>
      </c>
      <c r="G12" s="117" t="n">
        <f aca="false">G11+F12</f>
        <v>0.0211690079796624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0.766214143089756</v>
      </c>
      <c r="M12" s="139" t="n">
        <f aca="false">'CP RESUMO'!K7</f>
        <v>0</v>
      </c>
      <c r="N12" s="140" t="n">
        <f aca="false">MAX(0,M12-M11)</f>
        <v>0</v>
      </c>
      <c r="O12" s="139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HISTORICOS'!L7)</f>
        <v>68</v>
      </c>
      <c r="D13" s="45" t="n">
        <f aca="false">IF(B13&lt;='VALOR POR PL'!$P$5,0,IF($K$17&gt;0,$K$18*P13/$K$17,0))</f>
        <v>0</v>
      </c>
      <c r="E13" s="45" t="n">
        <f aca="false">L13+D13/$K$2</f>
        <v>0.0558886041492357</v>
      </c>
      <c r="F13" s="117" t="n">
        <f aca="false">IF($K$9=0,0,E13/$K$9)</f>
        <v>0.000324921137751109</v>
      </c>
      <c r="G13" s="117" t="n">
        <f aca="false">G12+F13</f>
        <v>0.0214939291174135</v>
      </c>
      <c r="H13" s="138"/>
      <c r="I13" s="42" t="s">
        <v>3902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0.0558886041492357</v>
      </c>
      <c r="M13" s="139" t="n">
        <f aca="false">'CP RESUMO'!L7</f>
        <v>0</v>
      </c>
      <c r="N13" s="140" t="n">
        <f aca="false">MAX(0,M13-M12)</f>
        <v>0</v>
      </c>
      <c r="O13" s="139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HISTORICOS'!M7)</f>
        <v>70.45</v>
      </c>
      <c r="D14" s="45" t="n">
        <f aca="false">IF(B14&lt;='VALOR POR PL'!$P$5,0,IF($K$17&gt;0,$K$18*P14/$K$17,0))</f>
        <v>0</v>
      </c>
      <c r="E14" s="45" t="n">
        <f aca="false">L14+D14/$K$2</f>
        <v>0.0578052704950248</v>
      </c>
      <c r="F14" s="117" t="n">
        <f aca="false">IF($K$9=0,0,E14/$K$9)</f>
        <v>0.000336064114378332</v>
      </c>
      <c r="G14" s="117" t="n">
        <f aca="false">G13+F14</f>
        <v>0.0218299932317918</v>
      </c>
      <c r="H14" s="138"/>
      <c r="I14" s="42" t="s">
        <v>3903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0.0578052704950248</v>
      </c>
      <c r="M14" s="139" t="n">
        <f aca="false">'CP RESUMO'!M7</f>
        <v>0</v>
      </c>
      <c r="N14" s="140" t="n">
        <f aca="false">MAX(0,M14-M13)</f>
        <v>0</v>
      </c>
      <c r="O14" s="139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HISTORICOS'!N7)</f>
        <v>927.48</v>
      </c>
      <c r="D15" s="45" t="n">
        <f aca="false">IF(B15&lt;='VALOR POR PL'!$P$5,0,IF($K$17&gt;0,$K$18*P15/$K$17,0))</f>
        <v>0</v>
      </c>
      <c r="E15" s="45" t="n">
        <f aca="false">L15+D15/$K$2</f>
        <v>0.758764222534188</v>
      </c>
      <c r="F15" s="117" t="n">
        <f aca="false">IF($K$9=0,0,E15/$K$9)</f>
        <v>0.00441124873708293</v>
      </c>
      <c r="G15" s="117" t="n">
        <f aca="false">G14+F15</f>
        <v>0.0262412419688747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0.758764222534188</v>
      </c>
      <c r="M15" s="139" t="n">
        <f aca="false">'CP RESUMO'!N7</f>
        <v>0</v>
      </c>
      <c r="N15" s="140" t="n">
        <f aca="false">MAX(0,M15-M14)</f>
        <v>0</v>
      </c>
      <c r="O15" s="139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0.0262412419688747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RESUMO'!O7</f>
        <v>0</v>
      </c>
      <c r="N16" s="140" t="n">
        <f aca="false">MAX(0,M16-M15)</f>
        <v>0</v>
      </c>
      <c r="O16" s="139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0.0262412419688747</v>
      </c>
      <c r="H17" s="138"/>
      <c r="I17" s="42" t="s">
        <v>3907</v>
      </c>
      <c r="K17" s="45" t="n">
        <f aca="false">SUM(P5:P76)</f>
        <v>187971.94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RESUMO'!P7</f>
        <v>0</v>
      </c>
      <c r="N17" s="140" t="n">
        <f aca="false">MAX(0,M17-M16)</f>
        <v>0</v>
      </c>
      <c r="O17" s="139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HISTORICOS'!Q7)</f>
        <v>927.48</v>
      </c>
      <c r="D18" s="45" t="n">
        <f aca="false">IF(B18&lt;='VALOR POR PL'!$P$5,0,IF($K$17&gt;0,$K$18*P18/$K$17,0))</f>
        <v>0</v>
      </c>
      <c r="E18" s="45" t="n">
        <f aca="false">L18+D18/$K$2</f>
        <v>0.749759909978368</v>
      </c>
      <c r="F18" s="117" t="n">
        <f aca="false">IF($K$9=0,0,E18/$K$9)</f>
        <v>0.0043589001138736</v>
      </c>
      <c r="G18" s="117" t="n">
        <f aca="false">G17+F18</f>
        <v>0.0306001420827483</v>
      </c>
      <c r="H18" s="138"/>
      <c r="I18" s="42" t="s">
        <v>3908</v>
      </c>
      <c r="K18" s="45" t="n">
        <f aca="false">MAX(0,K10)*$K$2</f>
        <v>210541.434889799</v>
      </c>
      <c r="L18" s="45" t="n">
        <f aca="false">C18/IF(B18&lt;='VALOR POR PL'!$P$5,IFERROR(INDEX('"INCC-FGV"'!$B$2:$B$800,MATCH(B18,'"INCC-FGV"'!$A$2:$A$800,0)),$K$2),$K$2)</f>
        <v>0.749759909978368</v>
      </c>
      <c r="M18" s="139" t="n">
        <f aca="false">'CP RESUMO'!Q7</f>
        <v>0</v>
      </c>
      <c r="N18" s="140" t="n">
        <f aca="false">MAX(0,M18-M17)</f>
        <v>0</v>
      </c>
      <c r="O18" s="139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HISTORICOS'!R7)</f>
        <v>5899.91</v>
      </c>
      <c r="D19" s="45" t="n">
        <f aca="false">IF(B19&lt;='VALOR POR PL'!$P$5,0,IF($K$17&gt;0,$K$18*P19/$K$17,0))</f>
        <v>0</v>
      </c>
      <c r="E19" s="45" t="n">
        <f aca="false">L19+D19/$K$2</f>
        <v>4.756147010716</v>
      </c>
      <c r="F19" s="117" t="n">
        <f aca="false">IF($K$9=0,0,E19/$K$9)</f>
        <v>0.0276509446166677</v>
      </c>
      <c r="G19" s="117" t="n">
        <f aca="false">G18+F19</f>
        <v>0.058251086699416</v>
      </c>
      <c r="H19" s="138"/>
      <c r="I19" s="42" t="s">
        <v>3909</v>
      </c>
      <c r="K19" s="142" t="n">
        <f aca="false">IF(AND(K16="PREVISÃO INFORMADA",K11&gt;0),K18/K11-1,"")</f>
        <v>0.120068425584152</v>
      </c>
      <c r="L19" s="45" t="n">
        <f aca="false">C19/IF(B19&lt;='VALOR POR PL'!$P$5,IFERROR(INDEX('"INCC-FGV"'!$B$2:$B$800,MATCH(B19,'"INCC-FGV"'!$A$2:$A$800,0)),$K$2),$K$2)</f>
        <v>4.756147010716</v>
      </c>
      <c r="M19" s="139" t="n">
        <f aca="false">'CP RESUMO'!R7</f>
        <v>0</v>
      </c>
      <c r="N19" s="140" t="n">
        <f aca="false">MAX(0,M19-M18)</f>
        <v>0</v>
      </c>
      <c r="O19" s="139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0.058251086699416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RESUMO'!S7</f>
        <v>0</v>
      </c>
      <c r="N20" s="140" t="n">
        <f aca="false">MAX(0,M20-M19)</f>
        <v>0</v>
      </c>
      <c r="O20" s="139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0.058251086699416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RESUMO'!T7</f>
        <v>0</v>
      </c>
      <c r="N21" s="140" t="n">
        <f aca="false">MAX(0,M21-M20)</f>
        <v>0</v>
      </c>
      <c r="O21" s="139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0.058251086699416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RESUMO'!U7</f>
        <v>0</v>
      </c>
      <c r="N22" s="140" t="n">
        <f aca="false">MAX(0,M22-M21)</f>
        <v>0</v>
      </c>
      <c r="O22" s="139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0.058251086699416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RESUMO'!V7</f>
        <v>0</v>
      </c>
      <c r="N23" s="140" t="n">
        <f aca="false">MAX(0,M23-M22)</f>
        <v>0</v>
      </c>
      <c r="O23" s="139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0.058251086699416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RESUMO'!W7</f>
        <v>0</v>
      </c>
      <c r="N24" s="140" t="n">
        <f aca="false">MAX(0,M24-M23)</f>
        <v>0</v>
      </c>
      <c r="O24" s="139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0.058251086699416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RESUMO'!X7</f>
        <v>0</v>
      </c>
      <c r="N25" s="140" t="n">
        <f aca="false">MAX(0,M25-M24)</f>
        <v>0</v>
      </c>
      <c r="O25" s="139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0.058251086699416</v>
      </c>
      <c r="H26" s="138" t="n">
        <v>927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RESUMO'!Y7</f>
        <v>0</v>
      </c>
      <c r="N26" s="140" t="n">
        <f aca="false">MAX(0,M26-M25)</f>
        <v>0</v>
      </c>
      <c r="O26" s="139" t="n">
        <f aca="false">IF(B26&lt;='VALOR POR PL'!$P$5,'CP RESUMO'!Y49,"")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0.058251086699416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RESUMO'!Z7</f>
        <v>0</v>
      </c>
      <c r="N27" s="140" t="n">
        <f aca="false">MAX(0,M27-M26)</f>
        <v>0</v>
      </c>
      <c r="O27" s="139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0.058251086699416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RESUMO'!AA7</f>
        <v>0</v>
      </c>
      <c r="N28" s="140" t="n">
        <f aca="false">MAX(0,M28-M27)</f>
        <v>0</v>
      </c>
      <c r="O28" s="139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1038.30343051651</v>
      </c>
      <c r="E29" s="45" t="n">
        <f aca="false">L29+D29/$K$2</f>
        <v>0.798853488243443</v>
      </c>
      <c r="F29" s="117" t="n">
        <f aca="false">IF($K$9=0,0,E29/$K$9)</f>
        <v>0.00464431681999793</v>
      </c>
      <c r="G29" s="117" t="n">
        <f aca="false">G28+F29</f>
        <v>0.0628954035194139</v>
      </c>
      <c r="H29" s="138" t="n">
        <v>927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RESUMO'!AB7</f>
        <v>0</v>
      </c>
      <c r="N29" s="140" t="n">
        <f aca="false">MAX(0,M29-M28)</f>
        <v>0</v>
      </c>
      <c r="O29" s="139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0.0628954035194139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RESUMO'!AC7</f>
        <v>0</v>
      </c>
      <c r="N30" s="140" t="n">
        <f aca="false">MAX(0,M30-M29)</f>
        <v>0</v>
      </c>
      <c r="O30" s="139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0.0628954035194139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RESUMO'!AD7</f>
        <v>0</v>
      </c>
      <c r="N31" s="140" t="n">
        <f aca="false">MAX(0,M31-M30)</f>
        <v>0</v>
      </c>
      <c r="O31" s="139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1038.30343051651</v>
      </c>
      <c r="E32" s="45" t="n">
        <f aca="false">L32+D32/$K$2</f>
        <v>0.798853488243443</v>
      </c>
      <c r="F32" s="117" t="n">
        <f aca="false">IF($K$9=0,0,E32/$K$9)</f>
        <v>0.00464431681999793</v>
      </c>
      <c r="G32" s="117" t="n">
        <f aca="false">G31+F32</f>
        <v>0.0675397203394118</v>
      </c>
      <c r="H32" s="138" t="n">
        <v>927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RESUMO'!AE7</f>
        <v>0</v>
      </c>
      <c r="N32" s="140" t="n">
        <f aca="false">MAX(0,M32-M31)</f>
        <v>0</v>
      </c>
      <c r="O32" s="139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927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0.0675397203394118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RESUMO'!AF7</f>
        <v>0</v>
      </c>
      <c r="N33" s="140" t="n">
        <f aca="false">MAX(0,M33-M32)</f>
        <v>0</v>
      </c>
      <c r="O33" s="139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0.0675397203394118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RESUMO'!AG7</f>
        <v>0</v>
      </c>
      <c r="N34" s="140" t="n">
        <f aca="false">MAX(0,M34-M33)</f>
        <v>0</v>
      </c>
      <c r="O34" s="139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1038.30343051651</v>
      </c>
      <c r="E35" s="45" t="n">
        <f aca="false">L35+D35/$K$2</f>
        <v>0.798853488243443</v>
      </c>
      <c r="F35" s="117" t="n">
        <f aca="false">IF($K$9=0,0,E35/$K$9)</f>
        <v>0.00464431681999793</v>
      </c>
      <c r="G35" s="117" t="n">
        <f aca="false">G34+F35</f>
        <v>0.0721840371594098</v>
      </c>
      <c r="H35" s="138" t="n">
        <v>927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RESUMO'!AH7</f>
        <v>0</v>
      </c>
      <c r="N35" s="140" t="n">
        <f aca="false">MAX(0,M35-M34)</f>
        <v>0</v>
      </c>
      <c r="O35" s="139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927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0.0721840371594098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RESUMO'!AI7</f>
        <v>0</v>
      </c>
      <c r="N36" s="140" t="n">
        <f aca="false">MAX(0,M36-M35)</f>
        <v>0</v>
      </c>
      <c r="O36" s="139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0.0721840371594098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RESUMO'!AJ7</f>
        <v>0</v>
      </c>
      <c r="N37" s="140" t="n">
        <f aca="false">MAX(0,M37-M36)</f>
        <v>0</v>
      </c>
      <c r="O37" s="139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1038.30343051651</v>
      </c>
      <c r="E38" s="45" t="n">
        <f aca="false">L38+D38/$K$2</f>
        <v>0.798853488243443</v>
      </c>
      <c r="F38" s="117" t="n">
        <f aca="false">IF($K$9=0,0,E38/$K$9)</f>
        <v>0.00464431681999793</v>
      </c>
      <c r="G38" s="117" t="n">
        <f aca="false">G37+F38</f>
        <v>0.0768283539794077</v>
      </c>
      <c r="H38" s="138" t="n">
        <v>927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RESUMO'!AK7</f>
        <v>0</v>
      </c>
      <c r="N38" s="140" t="n">
        <f aca="false">MAX(0,M38-M37)</f>
        <v>0</v>
      </c>
      <c r="O38" s="139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927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0.0768283539794077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RESUMO'!AL7</f>
        <v>0</v>
      </c>
      <c r="N39" s="140" t="n">
        <f aca="false">MAX(0,M39-M38)</f>
        <v>0</v>
      </c>
      <c r="O39" s="139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0.0768283539794077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RESUMO'!AM7</f>
        <v>0</v>
      </c>
      <c r="N40" s="140" t="n">
        <f aca="false">MAX(0,M40-M39)</f>
        <v>0</v>
      </c>
      <c r="O40" s="139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0.0768283539794077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RESUMO'!AN7</f>
        <v>0</v>
      </c>
      <c r="N41" s="140" t="n">
        <f aca="false">MAX(0,M41-M40)</f>
        <v>0</v>
      </c>
      <c r="O41" s="139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0.0768283539794077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RESUMO'!AO7</f>
        <v>0</v>
      </c>
      <c r="N42" s="140" t="n">
        <f aca="false">MAX(0,M42-M41)</f>
        <v>0</v>
      </c>
      <c r="O42" s="139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0.0768283539794077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RESUMO'!AP7</f>
        <v>0</v>
      </c>
      <c r="N43" s="140" t="n">
        <f aca="false">MAX(0,M43-M42)</f>
        <v>0</v>
      </c>
      <c r="O43" s="139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0.0768283539794077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RESUMO'!AQ7</f>
        <v>0</v>
      </c>
      <c r="N44" s="140" t="n">
        <f aca="false">MAX(0,M44-M43)</f>
        <v>0</v>
      </c>
      <c r="O44" s="139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0.0768283539794077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RESUMO'!AR7</f>
        <v>0</v>
      </c>
      <c r="N45" s="140" t="n">
        <f aca="false">MAX(0,M45-M44)</f>
        <v>0</v>
      </c>
      <c r="O45" s="139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0.0768283539794077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RESUMO'!AS7</f>
        <v>0</v>
      </c>
      <c r="N46" s="140" t="n">
        <f aca="false">MAX(0,M46-M45)</f>
        <v>0</v>
      </c>
      <c r="O46" s="139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0.0768283539794077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RESUMO'!AT7</f>
        <v>0</v>
      </c>
      <c r="N47" s="140" t="n">
        <f aca="false">MAX(0,M47-M46)</f>
        <v>0</v>
      </c>
      <c r="O47" s="139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0.0768283539794077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RESUMO'!AU7</f>
        <v>0</v>
      </c>
      <c r="N48" s="140" t="n">
        <f aca="false">MAX(0,M48-M47)</f>
        <v>0</v>
      </c>
      <c r="O48" s="139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0.0768283539794077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RESUMO'!AV7</f>
        <v>0</v>
      </c>
      <c r="N49" s="140" t="n">
        <f aca="false">MAX(0,M49-M48)</f>
        <v>0</v>
      </c>
      <c r="O49" s="139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0.0768283539794077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RESUMO'!AW7</f>
        <v>0</v>
      </c>
      <c r="N50" s="140" t="n">
        <f aca="false">MAX(0,M50-M49)</f>
        <v>0</v>
      </c>
      <c r="O50" s="139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17921.0948093464</v>
      </c>
      <c r="E51" s="45" t="n">
        <f aca="false">L51+D51/$K$2</f>
        <v>13.7881939718394</v>
      </c>
      <c r="F51" s="117" t="n">
        <f aca="false">IF($K$9=0,0,E51/$K$9)</f>
        <v>0.0801608081121541</v>
      </c>
      <c r="G51" s="117" t="n">
        <f aca="false">G50+F51</f>
        <v>0.156989162091562</v>
      </c>
      <c r="H51" s="138" t="n">
        <v>16000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RESUMO'!AX7</f>
        <v>0</v>
      </c>
      <c r="N51" s="140" t="n">
        <f aca="false">MAX(0,M51-M50)</f>
        <v>0</v>
      </c>
      <c r="O51" s="139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16000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28001.7106396038</v>
      </c>
      <c r="E52" s="45" t="n">
        <f aca="false">L52+D52/$K$2</f>
        <v>21.544053080999</v>
      </c>
      <c r="F52" s="117" t="n">
        <f aca="false">IF($K$9=0,0,E52/$K$9)</f>
        <v>0.125251262675241</v>
      </c>
      <c r="G52" s="117" t="n">
        <f aca="false">G51+F52</f>
        <v>0.282240424766803</v>
      </c>
      <c r="H52" s="138" t="n">
        <v>25000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RESUMO'!AY7</f>
        <v>0</v>
      </c>
      <c r="N52" s="140" t="n">
        <f aca="false">MAX(0,M52-M51)</f>
        <v>0</v>
      </c>
      <c r="O52" s="139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25000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336.020527675246</v>
      </c>
      <c r="E53" s="45" t="n">
        <f aca="false">L53+D53/$K$2</f>
        <v>0.258528636971988</v>
      </c>
      <c r="F53" s="117" t="n">
        <f aca="false">IF($K$9=0,0,E53/$K$9)</f>
        <v>0.00150301515210289</v>
      </c>
      <c r="G53" s="117" t="n">
        <f aca="false">G52+F53</f>
        <v>0.283743439918905</v>
      </c>
      <c r="H53" s="138" t="n">
        <v>300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RESUMO'!AZ7</f>
        <v>0</v>
      </c>
      <c r="N53" s="140" t="n">
        <f aca="false">MAX(0,M53-M52)</f>
        <v>0</v>
      </c>
      <c r="O53" s="139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300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50403.0791512868</v>
      </c>
      <c r="E54" s="45" t="n">
        <f aca="false">L54+D54/$K$2</f>
        <v>38.7792955457982</v>
      </c>
      <c r="F54" s="117" t="n">
        <f aca="false">IF($K$9=0,0,E54/$K$9)</f>
        <v>0.225452272815433</v>
      </c>
      <c r="G54" s="117" t="n">
        <f aca="false">G53+F54</f>
        <v>0.509195712734339</v>
      </c>
      <c r="H54" s="138" t="n">
        <v>45000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RESUMO'!BA7</f>
        <v>0</v>
      </c>
      <c r="N54" s="140" t="n">
        <f aca="false">MAX(0,M54-M53)</f>
        <v>0</v>
      </c>
      <c r="O54" s="139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45000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95205.8161746529</v>
      </c>
      <c r="E55" s="45" t="n">
        <f aca="false">L55+D55/$K$2</f>
        <v>73.2497804753966</v>
      </c>
      <c r="F55" s="117" t="n">
        <f aca="false">IF($K$9=0,0,E55/$K$9)</f>
        <v>0.425854293095819</v>
      </c>
      <c r="G55" s="117" t="n">
        <f aca="false">G54+F55</f>
        <v>0.935050005830158</v>
      </c>
      <c r="H55" s="138" t="n">
        <v>85000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RESUMO'!BB7</f>
        <v>0</v>
      </c>
      <c r="N55" s="140" t="n">
        <f aca="false">MAX(0,M55-M54)</f>
        <v>0</v>
      </c>
      <c r="O55" s="139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85000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14520.4998651674</v>
      </c>
      <c r="E56" s="45" t="n">
        <f aca="false">L56+D56/$K$2</f>
        <v>11.1718324599554</v>
      </c>
      <c r="F56" s="117" t="n">
        <f aca="false">IF($K$9=0,0,E56/$K$9)</f>
        <v>0.0649499941698424</v>
      </c>
      <c r="G56" s="117" t="n">
        <f aca="false">G55+F56</f>
        <v>1</v>
      </c>
      <c r="H56" s="138" t="n">
        <v>12963.94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RESUMO'!BC7</f>
        <v>0</v>
      </c>
      <c r="N56" s="140" t="n">
        <f aca="false">MAX(0,M56-M55)</f>
        <v>0</v>
      </c>
      <c r="O56" s="139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12963.94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RESUMO'!BD7</f>
        <v>0</v>
      </c>
      <c r="N57" s="140" t="n">
        <f aca="false">MAX(0,M57-M56)</f>
        <v>0</v>
      </c>
      <c r="O57" s="139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RESUMO'!BE7</f>
        <v>0</v>
      </c>
      <c r="N58" s="140" t="n">
        <f aca="false">MAX(0,M58-M57)</f>
        <v>0</v>
      </c>
      <c r="O58" s="139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RESUMO'!BF7</f>
        <v>0</v>
      </c>
      <c r="N59" s="140" t="n">
        <f aca="false">MAX(0,M59-M58)</f>
        <v>0</v>
      </c>
      <c r="O59" s="139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RESUMO'!BG7</f>
        <v>0</v>
      </c>
      <c r="N60" s="140" t="n">
        <f aca="false">MAX(0,M60-M59)</f>
        <v>0</v>
      </c>
      <c r="O60" s="139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RESUMO'!BH7</f>
        <v>0</v>
      </c>
      <c r="N61" s="140" t="n">
        <f aca="false">MAX(0,M61-M60)</f>
        <v>0</v>
      </c>
      <c r="O61" s="139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RESUMO'!BI7</f>
        <v>0</v>
      </c>
      <c r="N62" s="140" t="n">
        <f aca="false">MAX(0,M62-M61)</f>
        <v>0</v>
      </c>
      <c r="O62" s="139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RESUMO'!BJ7</f>
        <v>0</v>
      </c>
      <c r="N63" s="140" t="n">
        <f aca="false">MAX(0,M63-M62)</f>
        <v>0</v>
      </c>
      <c r="O63" s="139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RESUMO'!BK7</f>
        <v>0</v>
      </c>
      <c r="N64" s="140" t="n">
        <f aca="false">MAX(0,M64-M63)</f>
        <v>0</v>
      </c>
      <c r="O64" s="139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RESUMO'!BL7</f>
        <v>0</v>
      </c>
      <c r="N65" s="140" t="n">
        <f aca="false">MAX(0,M65-M64)</f>
        <v>0</v>
      </c>
      <c r="O65" s="139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RESUMO'!BM7</f>
        <v>0</v>
      </c>
      <c r="N66" s="140" t="n">
        <f aca="false">MAX(0,M66-M65)</f>
        <v>0</v>
      </c>
      <c r="O66" s="139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RESUMO'!BN7</f>
        <v>0</v>
      </c>
      <c r="N67" s="140" t="n">
        <f aca="false">MAX(0,M67-M66)</f>
        <v>0</v>
      </c>
      <c r="O67" s="139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RESUMO'!BO7</f>
        <v>0</v>
      </c>
      <c r="N68" s="140" t="n">
        <f aca="false">MAX(0,M68-M67)</f>
        <v>0</v>
      </c>
      <c r="O68" s="139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RESUMO'!BP7</f>
        <v>0</v>
      </c>
      <c r="N69" s="140" t="n">
        <f aca="false">MAX(0,M69-M68)</f>
        <v>0</v>
      </c>
      <c r="O69" s="139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RESUMO'!BQ7</f>
        <v>0</v>
      </c>
      <c r="N70" s="140" t="n">
        <f aca="false">MAX(0,M70-M69)</f>
        <v>0</v>
      </c>
      <c r="O70" s="139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RESUMO'!BR7</f>
        <v>0</v>
      </c>
      <c r="N71" s="140" t="n">
        <f aca="false">MAX(0,M71-M70)</f>
        <v>0</v>
      </c>
      <c r="O71" s="139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RESUMO'!BS7</f>
        <v>0</v>
      </c>
      <c r="N72" s="140" t="n">
        <f aca="false">MAX(0,M72-M71)</f>
        <v>0</v>
      </c>
      <c r="O72" s="139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RESUMO'!BT7</f>
        <v>0</v>
      </c>
      <c r="N73" s="140" t="n">
        <f aca="false">MAX(0,M73-M72)</f>
        <v>0</v>
      </c>
      <c r="O73" s="139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RESUMO'!BU7</f>
        <v>0</v>
      </c>
      <c r="N74" s="140" t="n">
        <f aca="false">MAX(0,M74-M73)</f>
        <v>0</v>
      </c>
      <c r="O74" s="139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RESUMO'!BV7</f>
        <v>0</v>
      </c>
      <c r="N75" s="140" t="n">
        <f aca="false">MAX(0,M75-M74)</f>
        <v>0</v>
      </c>
      <c r="O75" s="139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RESUMO'!BW7</f>
        <v>0</v>
      </c>
      <c r="N76" s="140" t="n">
        <f aca="false">MAX(0,M76-M75)</f>
        <v>0</v>
      </c>
      <c r="O76" s="139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12189.01</v>
      </c>
      <c r="D78" s="61" t="n">
        <f aca="false">SUM(D5:D76)</f>
        <v>210541.434889799</v>
      </c>
      <c r="E78" s="61" t="n">
        <f aca="false">SUM(E5:E76)</f>
        <v>172.006673791862</v>
      </c>
      <c r="F78" s="145" t="n">
        <f aca="false">SUM(F5:F76)</f>
        <v>1</v>
      </c>
      <c r="H78" s="61" t="n">
        <f aca="false">SUM(H5:H76)</f>
        <v>188898.94</v>
      </c>
      <c r="L78" s="61" t="n">
        <f aca="false">SUM(L5:L76)</f>
        <v>10.0195756679279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2.8421709430404E-014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HISTORICOS'!D8)</f>
        <v>83036.02</v>
      </c>
      <c r="D5" s="45" t="n">
        <f aca="false">IF(B5&lt;='VALOR POR PL'!$P$5,0,IF($K$17&gt;0,$K$18*P5/$K$17,0))</f>
        <v>0</v>
      </c>
      <c r="E5" s="45" t="n">
        <f aca="false">L5+D5/$K$2</f>
        <v>72.4673237004798</v>
      </c>
      <c r="F5" s="117" t="n">
        <f aca="false">IF($K$9=0,0,E5/$K$9)</f>
        <v>0.0714704719992805</v>
      </c>
      <c r="G5" s="117" t="n">
        <f aca="false">F5</f>
        <v>0.0714704719992805</v>
      </c>
      <c r="H5" s="138"/>
      <c r="I5" s="42" t="s">
        <v>3894</v>
      </c>
      <c r="J5" s="56" t="n">
        <f aca="false">'VALOR POR PL'!F14</f>
        <v>863304.96</v>
      </c>
      <c r="K5" s="56" t="n">
        <f aca="false">'VALOR POR PL'!G14</f>
        <v>739.09566</v>
      </c>
      <c r="L5" s="56" t="n">
        <f aca="false">'DADOS HISTORICOS'!$BZ$8</f>
        <v>72.4673237004798</v>
      </c>
      <c r="M5" s="139" t="n">
        <f aca="false">'CP RESUMO'!D8</f>
        <v>0</v>
      </c>
      <c r="N5" s="140" t="n">
        <v>0</v>
      </c>
      <c r="O5" s="139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0.0714704719992805</v>
      </c>
      <c r="H6" s="138"/>
      <c r="I6" s="42" t="s">
        <v>3895</v>
      </c>
      <c r="K6" s="52" t="n">
        <f aca="false">'VALOR POR PL'!H14</f>
        <v>1014.17588213466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RESUMO'!E8</f>
        <v>0</v>
      </c>
      <c r="N6" s="140" t="n">
        <f aca="false">MAX(0,M6-M5)</f>
        <v>0</v>
      </c>
      <c r="O6" s="139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HISTORICOS'!F8)</f>
        <v>20105.8</v>
      </c>
      <c r="D7" s="45" t="n">
        <f aca="false">IF(B7&lt;='VALOR POR PL'!$P$5,0,IF($K$17&gt;0,$K$18*P7/$K$17,0))</f>
        <v>0</v>
      </c>
      <c r="E7" s="45" t="n">
        <f aca="false">L7+D7/$K$2</f>
        <v>17.1291772273221</v>
      </c>
      <c r="F7" s="117" t="n">
        <f aca="false">IF($K$9=0,0,E7/$K$9)</f>
        <v>0.016893550346305</v>
      </c>
      <c r="G7" s="117" t="n">
        <f aca="false">G6+F7</f>
        <v>0.0883640223455855</v>
      </c>
      <c r="H7" s="138"/>
      <c r="I7" s="42" t="s">
        <v>3896</v>
      </c>
      <c r="J7" s="45" t="n">
        <f aca="false">C78+D78</f>
        <v>1267826.12644588</v>
      </c>
      <c r="L7" s="45" t="n">
        <f aca="false">C7/IF(B7&lt;='VALOR POR PL'!$P$5,IFERROR(INDEX('"INCC-FGV"'!$B$2:$B$800,MATCH(B7,'"INCC-FGV"'!$A$2:$A$800,0)),$K$2),$K$2)</f>
        <v>17.1291772273221</v>
      </c>
      <c r="M7" s="139" t="n">
        <f aca="false">'CP RESUMO'!F8</f>
        <v>0</v>
      </c>
      <c r="N7" s="140" t="n">
        <f aca="false">MAX(0,M7-M6)</f>
        <v>0</v>
      </c>
      <c r="O7" s="139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HISTORICOS'!G8)</f>
        <v>16993.58</v>
      </c>
      <c r="D8" s="45" t="n">
        <f aca="false">IF(B8&lt;='VALOR POR PL'!$P$5,0,IF($K$17&gt;0,$K$18*P8/$K$17,0))</f>
        <v>0</v>
      </c>
      <c r="E8" s="45" t="n">
        <f aca="false">L8+D8/$K$2</f>
        <v>14.4210640655948</v>
      </c>
      <c r="F8" s="117" t="n">
        <f aca="false">IF($K$9=0,0,E8/$K$9)</f>
        <v>0.0142226896602379</v>
      </c>
      <c r="G8" s="117" t="n">
        <f aca="false">G7+F8</f>
        <v>0.102586712005823</v>
      </c>
      <c r="H8" s="138"/>
      <c r="I8" s="42" t="s">
        <v>3897</v>
      </c>
      <c r="K8" s="66" t="n">
        <f aca="false">SUM(L5:L76)</f>
        <v>766.663014340221</v>
      </c>
      <c r="L8" s="45" t="n">
        <f aca="false">C8/IF(B8&lt;='VALOR POR PL'!$P$5,IFERROR(INDEX('"INCC-FGV"'!$B$2:$B$800,MATCH(B8,'"INCC-FGV"'!$A$2:$A$800,0)),$K$2),$K$2)</f>
        <v>14.4210640655948</v>
      </c>
      <c r="M8" s="139" t="n">
        <f aca="false">'CP RESUMO'!G8</f>
        <v>0</v>
      </c>
      <c r="N8" s="140" t="n">
        <f aca="false">MAX(0,M8-M7)</f>
        <v>0</v>
      </c>
      <c r="O8" s="139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HISTORICOS'!H8)</f>
        <v>32331.04</v>
      </c>
      <c r="D9" s="45" t="n">
        <f aca="false">IF(B9&lt;='VALOR POR PL'!$P$5,0,IF($K$17&gt;0,$K$18*P9/$K$17,0))</f>
        <v>0</v>
      </c>
      <c r="E9" s="45" t="n">
        <f aca="false">L9+D9/$K$2</f>
        <v>27.2959706600972</v>
      </c>
      <c r="F9" s="117" t="n">
        <f aca="false">IF($K$9=0,0,E9/$K$9)</f>
        <v>0.0269204906037221</v>
      </c>
      <c r="G9" s="117" t="n">
        <f aca="false">G8+F9</f>
        <v>0.129507202609546</v>
      </c>
      <c r="H9" s="138"/>
      <c r="I9" s="42" t="s">
        <v>3898</v>
      </c>
      <c r="J9" s="45" t="n">
        <f aca="false">C78+D78</f>
        <v>1267826.12644588</v>
      </c>
      <c r="K9" s="45" t="n">
        <f aca="false">E78</f>
        <v>1013.94774195991</v>
      </c>
      <c r="L9" s="45" t="n">
        <f aca="false">C9/IF(B9&lt;='VALOR POR PL'!$P$5,IFERROR(INDEX('"INCC-FGV"'!$B$2:$B$800,MATCH(B9,'"INCC-FGV"'!$A$2:$A$800,0)),$K$2),$K$2)</f>
        <v>27.2959706600972</v>
      </c>
      <c r="M9" s="139" t="n">
        <f aca="false">'CP RESUMO'!H8</f>
        <v>0</v>
      </c>
      <c r="N9" s="140" t="n">
        <f aca="false">MAX(0,M9-M8)</f>
        <v>0</v>
      </c>
      <c r="O9" s="139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HISTORICOS'!I8)</f>
        <v>27992.74</v>
      </c>
      <c r="D10" s="45" t="n">
        <f aca="false">IF(B10&lt;='VALOR POR PL'!$P$5,0,IF($K$17&gt;0,$K$18*P10/$K$17,0))</f>
        <v>0</v>
      </c>
      <c r="E10" s="45" t="n">
        <f aca="false">L10+D10/$K$2</f>
        <v>23.497108686364</v>
      </c>
      <c r="F10" s="117" t="n">
        <f aca="false">IF($K$9=0,0,E10/$K$9)</f>
        <v>0.0231738853137985</v>
      </c>
      <c r="G10" s="117" t="n">
        <f aca="false">G9+F10</f>
        <v>0.152681087923344</v>
      </c>
      <c r="H10" s="138"/>
      <c r="I10" s="42" t="s">
        <v>3899</v>
      </c>
      <c r="K10" s="52" t="n">
        <f aca="false">IF(K6-K8&gt;0,(K6-K8)*'VALOR POR PL'!$G$65,K6-K8)</f>
        <v>247.284727619694</v>
      </c>
      <c r="L10" s="45" t="n">
        <f aca="false">C10/IF(B10&lt;='VALOR POR PL'!$P$5,IFERROR(INDEX('"INCC-FGV"'!$B$2:$B$800,MATCH(B10,'"INCC-FGV"'!$A$2:$A$800,0)),$K$2),$K$2)</f>
        <v>23.497108686364</v>
      </c>
      <c r="M10" s="139" t="n">
        <f aca="false">'CP RESUMO'!I8</f>
        <v>0</v>
      </c>
      <c r="N10" s="140" t="n">
        <f aca="false">MAX(0,M10-M9)</f>
        <v>0</v>
      </c>
      <c r="O10" s="139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HISTORICOS'!J8)</f>
        <v>36416.7</v>
      </c>
      <c r="D11" s="45" t="n">
        <f aca="false">IF(B11&lt;='VALOR POR PL'!$P$5,0,IF($K$17&gt;0,$K$18*P11/$K$17,0))</f>
        <v>0</v>
      </c>
      <c r="E11" s="45" t="n">
        <f aca="false">L11+D11/$K$2</f>
        <v>30.3596721658612</v>
      </c>
      <c r="F11" s="117" t="n">
        <f aca="false">IF($K$9=0,0,E11/$K$9)</f>
        <v>0.0299420482037638</v>
      </c>
      <c r="G11" s="117" t="n">
        <f aca="false">G10+F11</f>
        <v>0.182623136127108</v>
      </c>
      <c r="H11" s="138"/>
      <c r="I11" s="42" t="s">
        <v>3900</v>
      </c>
      <c r="K11" s="56" t="n">
        <f aca="false">SUMPRODUCT((B5:B76&gt;'VALOR POR PL'!$P$5)*H5:H76)</f>
        <v>412443.13</v>
      </c>
      <c r="L11" s="45" t="n">
        <f aca="false">C11/IF(B11&lt;='VALOR POR PL'!$P$5,IFERROR(INDEX('"INCC-FGV"'!$B$2:$B$800,MATCH(B11,'"INCC-FGV"'!$A$2:$A$800,0)),$K$2),$K$2)</f>
        <v>30.3596721658612</v>
      </c>
      <c r="M11" s="139" t="n">
        <f aca="false">'CP RESUMO'!J8</f>
        <v>0</v>
      </c>
      <c r="N11" s="140" t="n">
        <f aca="false">MAX(0,M11-M10)</f>
        <v>0</v>
      </c>
      <c r="O11" s="139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HISTORICOS'!K8)</f>
        <v>48078.75</v>
      </c>
      <c r="D12" s="45" t="n">
        <f aca="false">IF(B12&lt;='VALOR POR PL'!$P$5,0,IF($K$17&gt;0,$K$18*P12/$K$17,0))</f>
        <v>0</v>
      </c>
      <c r="E12" s="45" t="n">
        <f aca="false">L12+D12/$K$2</f>
        <v>39.7190432484545</v>
      </c>
      <c r="F12" s="117" t="n">
        <f aca="false">IF($K$9=0,0,E12/$K$9)</f>
        <v>0.0391726729147593</v>
      </c>
      <c r="G12" s="117" t="n">
        <f aca="false">G11+F12</f>
        <v>0.221795809041867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39.7190432484545</v>
      </c>
      <c r="M12" s="139" t="n">
        <f aca="false">'CP RESUMO'!K8</f>
        <v>0</v>
      </c>
      <c r="N12" s="140" t="n">
        <f aca="false">MAX(0,M12-M11)</f>
        <v>0</v>
      </c>
      <c r="O12" s="139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HISTORICOS'!L8)</f>
        <v>31806.24</v>
      </c>
      <c r="D13" s="45" t="n">
        <f aca="false">IF(B13&lt;='VALOR POR PL'!$P$5,0,IF($K$17&gt;0,$K$18*P13/$K$17,0))</f>
        <v>0</v>
      </c>
      <c r="E13" s="45" t="n">
        <f aca="false">L13+D13/$K$2</f>
        <v>26.1412699534645</v>
      </c>
      <c r="F13" s="117" t="n">
        <f aca="false">IF($K$9=0,0,E13/$K$9)</f>
        <v>0.0257816738197322</v>
      </c>
      <c r="G13" s="117" t="n">
        <f aca="false">G12+F13</f>
        <v>0.247577482861599</v>
      </c>
      <c r="H13" s="138"/>
      <c r="I13" s="42" t="s">
        <v>3902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26.1412699534645</v>
      </c>
      <c r="M13" s="139" t="n">
        <f aca="false">'CP RESUMO'!L8</f>
        <v>0</v>
      </c>
      <c r="N13" s="140" t="n">
        <f aca="false">MAX(0,M13-M12)</f>
        <v>0</v>
      </c>
      <c r="O13" s="139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HISTORICOS'!M8)</f>
        <v>55748.95</v>
      </c>
      <c r="D14" s="45" t="n">
        <f aca="false">IF(B14&lt;='VALOR POR PL'!$P$5,0,IF($K$17&gt;0,$K$18*P14/$K$17,0))</f>
        <v>0</v>
      </c>
      <c r="E14" s="45" t="n">
        <f aca="false">L14+D14/$K$2</f>
        <v>45.7428408028902</v>
      </c>
      <c r="F14" s="117" t="n">
        <f aca="false">IF($K$9=0,0,E14/$K$9)</f>
        <v>0.0451136078418315</v>
      </c>
      <c r="G14" s="117" t="n">
        <f aca="false">G13+F14</f>
        <v>0.292691090703431</v>
      </c>
      <c r="H14" s="138"/>
      <c r="I14" s="42" t="s">
        <v>3903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45.7428408028902</v>
      </c>
      <c r="M14" s="139" t="n">
        <f aca="false">'CP RESUMO'!M8</f>
        <v>0</v>
      </c>
      <c r="N14" s="140" t="n">
        <f aca="false">MAX(0,M14-M13)</f>
        <v>0</v>
      </c>
      <c r="O14" s="139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HISTORICOS'!N8)</f>
        <v>49162.93</v>
      </c>
      <c r="D15" s="45" t="n">
        <f aca="false">IF(B15&lt;='VALOR POR PL'!$P$5,0,IF($K$17&gt;0,$K$18*P15/$K$17,0))</f>
        <v>0</v>
      </c>
      <c r="E15" s="45" t="n">
        <f aca="false">L15+D15/$K$2</f>
        <v>40.2198132131719</v>
      </c>
      <c r="F15" s="117" t="n">
        <f aca="false">IF($K$9=0,0,E15/$K$9)</f>
        <v>0.0396665543486777</v>
      </c>
      <c r="G15" s="117" t="n">
        <f aca="false">G14+F15</f>
        <v>0.332357645052109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40.2198132131719</v>
      </c>
      <c r="M15" s="139" t="n">
        <f aca="false">'CP RESUMO'!N8</f>
        <v>0</v>
      </c>
      <c r="N15" s="140" t="n">
        <f aca="false">MAX(0,M15-M14)</f>
        <v>0</v>
      </c>
      <c r="O15" s="139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HISTORICOS'!O8)</f>
        <v>60589.1</v>
      </c>
      <c r="D16" s="45" t="n">
        <f aca="false">IF(B16&lt;='VALOR POR PL'!$P$5,0,IF($K$17&gt;0,$K$18*P16/$K$17,0))</f>
        <v>0</v>
      </c>
      <c r="E16" s="45" t="n">
        <f aca="false">L16+D16/$K$2</f>
        <v>49.4349450447238</v>
      </c>
      <c r="F16" s="117" t="n">
        <f aca="false">IF($K$9=0,0,E16/$K$9)</f>
        <v>0.0487549239462463</v>
      </c>
      <c r="G16" s="117" t="n">
        <f aca="false">G15+F16</f>
        <v>0.381112568998355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49.4349450447238</v>
      </c>
      <c r="M16" s="139" t="n">
        <f aca="false">'CP RESUMO'!O8</f>
        <v>0</v>
      </c>
      <c r="N16" s="140" t="n">
        <f aca="false">MAX(0,M16-M15)</f>
        <v>0</v>
      </c>
      <c r="O16" s="139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HISTORICOS'!P8)</f>
        <v>35089.61</v>
      </c>
      <c r="D17" s="45" t="n">
        <f aca="false">IF(B17&lt;='VALOR POR PL'!$P$5,0,IF($K$17&gt;0,$K$18*P17/$K$17,0))</f>
        <v>0</v>
      </c>
      <c r="E17" s="45" t="n">
        <f aca="false">L17+D17/$K$2</f>
        <v>28.5708551240432</v>
      </c>
      <c r="F17" s="117" t="n">
        <f aca="false">IF($K$9=0,0,E17/$K$9)</f>
        <v>0.0281778379118603</v>
      </c>
      <c r="G17" s="117" t="n">
        <f aca="false">G16+F17</f>
        <v>0.409290406910215</v>
      </c>
      <c r="H17" s="138"/>
      <c r="I17" s="42" t="s">
        <v>3907</v>
      </c>
      <c r="K17" s="45" t="n">
        <f aca="false">SUM(P5:P76)</f>
        <v>412443.13</v>
      </c>
      <c r="L17" s="45" t="n">
        <f aca="false">C17/IF(B17&lt;='VALOR POR PL'!$P$5,IFERROR(INDEX('"INCC-FGV"'!$B$2:$B$800,MATCH(B17,'"INCC-FGV"'!$A$2:$A$800,0)),$K$2),$K$2)</f>
        <v>28.5708551240432</v>
      </c>
      <c r="M17" s="139" t="n">
        <f aca="false">'CP RESUMO'!P8</f>
        <v>0</v>
      </c>
      <c r="N17" s="140" t="n">
        <f aca="false">MAX(0,M17-M16)</f>
        <v>0</v>
      </c>
      <c r="O17" s="139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HISTORICOS'!Q8)</f>
        <v>28493.12</v>
      </c>
      <c r="D18" s="45" t="n">
        <f aca="false">IF(B18&lt;='VALOR POR PL'!$P$5,0,IF($K$17&gt;0,$K$18*P18/$K$17,0))</f>
        <v>0</v>
      </c>
      <c r="E18" s="45" t="n">
        <f aca="false">L18+D18/$K$2</f>
        <v>23.0333797884621</v>
      </c>
      <c r="F18" s="117" t="n">
        <f aca="false">IF($K$9=0,0,E18/$K$9)</f>
        <v>0.0227165354142804</v>
      </c>
      <c r="G18" s="117" t="n">
        <f aca="false">G17+F18</f>
        <v>0.432006942324496</v>
      </c>
      <c r="H18" s="138"/>
      <c r="I18" s="42" t="s">
        <v>3908</v>
      </c>
      <c r="K18" s="45" t="n">
        <f aca="false">MAX(0,K10)*$K$2</f>
        <v>321406.346445876</v>
      </c>
      <c r="L18" s="45" t="n">
        <f aca="false">C18/IF(B18&lt;='VALOR POR PL'!$P$5,IFERROR(INDEX('"INCC-FGV"'!$B$2:$B$800,MATCH(B18,'"INCC-FGV"'!$A$2:$A$800,0)),$K$2),$K$2)</f>
        <v>23.0333797884621</v>
      </c>
      <c r="M18" s="139" t="n">
        <f aca="false">'CP RESUMO'!Q8</f>
        <v>0</v>
      </c>
      <c r="N18" s="140" t="n">
        <f aca="false">MAX(0,M18-M17)</f>
        <v>0</v>
      </c>
      <c r="O18" s="139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HISTORICOS'!R8)</f>
        <v>31521.07</v>
      </c>
      <c r="D19" s="45" t="n">
        <f aca="false">IF(B19&lt;='VALOR POR PL'!$P$5,0,IF($K$17&gt;0,$K$18*P19/$K$17,0))</f>
        <v>0</v>
      </c>
      <c r="E19" s="45" t="n">
        <f aca="false">L19+D19/$K$2</f>
        <v>25.4103609809421</v>
      </c>
      <c r="F19" s="117" t="n">
        <f aca="false">IF($K$9=0,0,E19/$K$9)</f>
        <v>0.025060819142242</v>
      </c>
      <c r="G19" s="117" t="n">
        <f aca="false">G18+F19</f>
        <v>0.457067761466738</v>
      </c>
      <c r="H19" s="138"/>
      <c r="I19" s="42" t="s">
        <v>3909</v>
      </c>
      <c r="K19" s="142" t="n">
        <f aca="false">IF(AND(K16="PREVISÃO INFORMADA",K11&gt;0),K18/K11-1,"")</f>
        <v>-0.220725663569967</v>
      </c>
      <c r="L19" s="45" t="n">
        <f aca="false">C19/IF(B19&lt;='VALOR POR PL'!$P$5,IFERROR(INDEX('"INCC-FGV"'!$B$2:$B$800,MATCH(B19,'"INCC-FGV"'!$A$2:$A$800,0)),$K$2),$K$2)</f>
        <v>25.4103609809421</v>
      </c>
      <c r="M19" s="139" t="n">
        <f aca="false">'CP RESUMO'!R8</f>
        <v>0</v>
      </c>
      <c r="N19" s="140" t="n">
        <f aca="false">MAX(0,M19-M18)</f>
        <v>0</v>
      </c>
      <c r="O19" s="139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HISTORICOS'!S8)</f>
        <v>46267.09</v>
      </c>
      <c r="D20" s="45" t="n">
        <f aca="false">IF(B20&lt;='VALOR POR PL'!$P$5,0,IF($K$17&gt;0,$K$18*P20/$K$17,0))</f>
        <v>0</v>
      </c>
      <c r="E20" s="45" t="n">
        <f aca="false">L20+D20/$K$2</f>
        <v>37.097333907428</v>
      </c>
      <c r="F20" s="117" t="n">
        <f aca="false">IF($K$9=0,0,E20/$K$9)</f>
        <v>0.0365870274889321</v>
      </c>
      <c r="G20" s="117" t="n">
        <f aca="false">G19+F20</f>
        <v>0.49365478895567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37.097333907428</v>
      </c>
      <c r="M20" s="139" t="n">
        <f aca="false">'CP RESUMO'!S8</f>
        <v>0</v>
      </c>
      <c r="N20" s="140" t="n">
        <f aca="false">MAX(0,M20-M19)</f>
        <v>0</v>
      </c>
      <c r="O20" s="139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HISTORICOS'!T8)</f>
        <v>57419.86</v>
      </c>
      <c r="D21" s="45" t="n">
        <f aca="false">IF(B21&lt;='VALOR POR PL'!$P$5,0,IF($K$17&gt;0,$K$18*P21/$K$17,0))</f>
        <v>0</v>
      </c>
      <c r="E21" s="45" t="n">
        <f aca="false">L21+D21/$K$2</f>
        <v>45.5839073013817</v>
      </c>
      <c r="F21" s="117" t="n">
        <f aca="false">IF($K$9=0,0,E21/$K$9)</f>
        <v>0.0449568606102619</v>
      </c>
      <c r="G21" s="117" t="n">
        <f aca="false">G20+F21</f>
        <v>0.538611649565931</v>
      </c>
      <c r="H21" s="138"/>
      <c r="K21" s="143"/>
      <c r="L21" s="45" t="n">
        <f aca="false">C21/IF(B21&lt;='VALOR POR PL'!$P$5,IFERROR(INDEX('"INCC-FGV"'!$B$2:$B$800,MATCH(B21,'"INCC-FGV"'!$A$2:$A$800,0)),$K$2),$K$2)</f>
        <v>45.5839073013817</v>
      </c>
      <c r="M21" s="139" t="n">
        <f aca="false">'CP RESUMO'!T8</f>
        <v>0</v>
      </c>
      <c r="N21" s="140" t="n">
        <f aca="false">MAX(0,M21-M20)</f>
        <v>0</v>
      </c>
      <c r="O21" s="139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HISTORICOS'!U8)</f>
        <v>21594.22</v>
      </c>
      <c r="D22" s="45" t="n">
        <f aca="false">IF(B22&lt;='VALOR POR PL'!$P$5,0,IF($K$17&gt;0,$K$18*P22/$K$17,0))</f>
        <v>0</v>
      </c>
      <c r="E22" s="45" t="n">
        <f aca="false">L22+D22/$K$2</f>
        <v>16.9940229559414</v>
      </c>
      <c r="F22" s="117" t="n">
        <f aca="false">IF($K$9=0,0,E22/$K$9)</f>
        <v>0.0167602552406624</v>
      </c>
      <c r="G22" s="117" t="n">
        <f aca="false">G21+F22</f>
        <v>0.555371904806594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16.9940229559414</v>
      </c>
      <c r="M22" s="139" t="n">
        <f aca="false">'CP RESUMO'!U8</f>
        <v>0</v>
      </c>
      <c r="N22" s="140" t="n">
        <f aca="false">MAX(0,M22-M21)</f>
        <v>0</v>
      </c>
      <c r="O22" s="139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HISTORICOS'!V8)</f>
        <v>33199.94</v>
      </c>
      <c r="D23" s="45" t="n">
        <f aca="false">IF(B23&lt;='VALOR POR PL'!$P$5,0,IF($K$17&gt;0,$K$18*P23/$K$17,0))</f>
        <v>0</v>
      </c>
      <c r="E23" s="45" t="n">
        <f aca="false">L23+D23/$K$2</f>
        <v>25.9244706361892</v>
      </c>
      <c r="F23" s="117" t="n">
        <f aca="false">IF($K$9=0,0,E23/$K$9)</f>
        <v>0.0255678567675277</v>
      </c>
      <c r="G23" s="117" t="n">
        <f aca="false">G22+F23</f>
        <v>0.580939761574122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25.9244706361892</v>
      </c>
      <c r="M23" s="139" t="n">
        <f aca="false">'CP RESUMO'!V8</f>
        <v>0</v>
      </c>
      <c r="N23" s="140" t="n">
        <f aca="false">MAX(0,M23-M22)</f>
        <v>0</v>
      </c>
      <c r="O23" s="139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HISTORICOS'!W8)</f>
        <v>25059.75</v>
      </c>
      <c r="D24" s="45" t="n">
        <f aca="false">IF(B24&lt;='VALOR POR PL'!$P$5,0,IF($K$17&gt;0,$K$18*P24/$K$17,0))</f>
        <v>0</v>
      </c>
      <c r="E24" s="45" t="n">
        <f aca="false">L24+D24/$K$2</f>
        <v>19.4498191986998</v>
      </c>
      <c r="F24" s="117" t="n">
        <f aca="false">IF($K$9=0,0,E24/$K$9)</f>
        <v>0.0191822698486455</v>
      </c>
      <c r="G24" s="117" t="n">
        <f aca="false">G23+F24</f>
        <v>0.600122031422767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19.4498191986998</v>
      </c>
      <c r="M24" s="139" t="n">
        <f aca="false">'CP RESUMO'!W8</f>
        <v>0</v>
      </c>
      <c r="N24" s="140" t="n">
        <f aca="false">MAX(0,M24-M23)</f>
        <v>0</v>
      </c>
      <c r="O24" s="139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HISTORICOS'!X8)</f>
        <v>30796.39</v>
      </c>
      <c r="D25" s="45" t="n">
        <f aca="false">IF(B25&lt;='VALOR POR PL'!$P$5,0,IF($K$17&gt;0,$K$18*P25/$K$17,0))</f>
        <v>0</v>
      </c>
      <c r="E25" s="45" t="n">
        <f aca="false">L25+D25/$K$2</f>
        <v>23.7463576296815</v>
      </c>
      <c r="F25" s="117" t="n">
        <f aca="false">IF($K$9=0,0,E25/$K$9)</f>
        <v>0.0234197056189315</v>
      </c>
      <c r="G25" s="117" t="n">
        <f aca="false">G24+F25</f>
        <v>0.623541737041699</v>
      </c>
      <c r="H25" s="138"/>
      <c r="L25" s="45" t="n">
        <f aca="false">C25/IF(B25&lt;='VALOR POR PL'!$P$5,IFERROR(INDEX('"INCC-FGV"'!$B$2:$B$800,MATCH(B25,'"INCC-FGV"'!$A$2:$A$800,0)),$K$2),$K$2)</f>
        <v>23.7463576296815</v>
      </c>
      <c r="M25" s="139" t="n">
        <f aca="false">'CP RESUMO'!X8</f>
        <v>0</v>
      </c>
      <c r="N25" s="140" t="n">
        <f aca="false">MAX(0,M25-M24)</f>
        <v>0</v>
      </c>
      <c r="O25" s="139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HISTORICOS'!Y8)</f>
        <v>75308.03</v>
      </c>
      <c r="D26" s="45" t="n">
        <f aca="false">IF(B26&lt;='VALOR POR PL'!$P$5,0,IF($K$17&gt;0,$K$18*P26/$K$17,0))</f>
        <v>0</v>
      </c>
      <c r="E26" s="45" t="n">
        <f aca="false">L26+D26/$K$2</f>
        <v>57.9407528571055</v>
      </c>
      <c r="F26" s="117" t="n">
        <f aca="false">IF($K$9=0,0,E26/$K$9)</f>
        <v>0.0571437268996809</v>
      </c>
      <c r="G26" s="117" t="n">
        <f aca="false">G25+F26</f>
        <v>0.680685463941379</v>
      </c>
      <c r="H26" s="138" t="n">
        <v>12388.74</v>
      </c>
      <c r="L26" s="45" t="n">
        <f aca="false">C26/IF(B26&lt;='VALOR POR PL'!$P$5,IFERROR(INDEX('"INCC-FGV"'!$B$2:$B$800,MATCH(B26,'"INCC-FGV"'!$A$2:$A$800,0)),$K$2),$K$2)</f>
        <v>57.9407528571055</v>
      </c>
      <c r="M26" s="139" t="n">
        <f aca="false">'CP RESUMO'!Y8</f>
        <v>0</v>
      </c>
      <c r="N26" s="140" t="n">
        <f aca="false">MAX(0,M26-M25)</f>
        <v>0</v>
      </c>
      <c r="O26" s="139" t="n">
        <f aca="false">IF(B26&lt;='VALOR POR PL'!$P$5,'CP RESUMO'!Y50,"")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HISTORICOS'!Z8)</f>
        <v>56241.45</v>
      </c>
      <c r="D27" s="45" t="n">
        <f aca="false">IF(B27&lt;='VALOR POR PL'!$P$5,0,IF($K$17&gt;0,$K$18*P27/$K$17,0))</f>
        <v>156157.80239155</v>
      </c>
      <c r="E27" s="45" t="n">
        <f aca="false">L27+D27/$K$2</f>
        <v>163.416472185673</v>
      </c>
      <c r="F27" s="117" t="n">
        <f aca="false">IF($K$9=0,0,E27/$K$9)</f>
        <v>0.161168535046783</v>
      </c>
      <c r="G27" s="117" t="n">
        <f aca="false">G26+F27</f>
        <v>0.841853998988162</v>
      </c>
      <c r="H27" s="138" t="n">
        <v>200388.74</v>
      </c>
      <c r="L27" s="45" t="n">
        <f aca="false">C27/IF(B27&lt;='VALOR POR PL'!$P$5,IFERROR(INDEX('"INCC-FGV"'!$B$2:$B$800,MATCH(B27,'"INCC-FGV"'!$A$2:$A$800,0)),$K$2),$K$2)</f>
        <v>43.2712415233177</v>
      </c>
      <c r="M27" s="139" t="n">
        <f aca="false">'CP RESUMO'!Z8</f>
        <v>0</v>
      </c>
      <c r="N27" s="140" t="n">
        <f aca="false">MAX(0,M27-M26)</f>
        <v>0</v>
      </c>
      <c r="O27" s="139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200388.74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HISTORICOS'!AA8)</f>
        <v>20213.14</v>
      </c>
      <c r="D28" s="45" t="n">
        <f aca="false">IF(B28&lt;='VALOR POR PL'!$P$5,0,IF($K$17&gt;0,$K$18*P28/$K$17,0))</f>
        <v>9654.2271427042</v>
      </c>
      <c r="E28" s="45" t="n">
        <f aca="false">L28+D28/$K$2</f>
        <v>22.9794583407355</v>
      </c>
      <c r="F28" s="117" t="n">
        <f aca="false">IF($K$9=0,0,E28/$K$9)</f>
        <v>0.0226633557034382</v>
      </c>
      <c r="G28" s="117" t="n">
        <f aca="false">G27+F28</f>
        <v>0.8645173546916</v>
      </c>
      <c r="H28" s="138" t="n">
        <v>12388.74</v>
      </c>
      <c r="L28" s="45" t="n">
        <f aca="false">C28/IF(B28&lt;='VALOR POR PL'!$P$5,IFERROR(INDEX('"INCC-FGV"'!$B$2:$B$800,MATCH(B28,'"INCC-FGV"'!$A$2:$A$800,0)),$K$2),$K$2)</f>
        <v>15.5516556362724</v>
      </c>
      <c r="M28" s="139" t="n">
        <f aca="false">'CP RESUMO'!AA8</f>
        <v>0</v>
      </c>
      <c r="N28" s="140" t="n">
        <f aca="false">MAX(0,M28-M27)</f>
        <v>0</v>
      </c>
      <c r="O28" s="139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12388.74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HISTORICOS'!AB8)</f>
        <v>14663.43</v>
      </c>
      <c r="D29" s="45" t="n">
        <f aca="false">IF(B29&lt;='VALOR POR PL'!$P$5,0,IF($K$17&gt;0,$K$18*P29/$K$17,0))</f>
        <v>9654.2271427042</v>
      </c>
      <c r="E29" s="45" t="n">
        <f aca="false">L29+D29/$K$2</f>
        <v>18.7096032464168</v>
      </c>
      <c r="F29" s="117" t="n">
        <f aca="false">IF($K$9=0,0,E29/$K$9)</f>
        <v>0.0184522362170776</v>
      </c>
      <c r="G29" s="117" t="n">
        <f aca="false">G28+F29</f>
        <v>0.882969590908678</v>
      </c>
      <c r="H29" s="138" t="n">
        <v>12388.74</v>
      </c>
      <c r="L29" s="45" t="n">
        <f aca="false">C29/IF(B29&lt;='VALOR POR PL'!$P$5,IFERROR(INDEX('"INCC-FGV"'!$B$2:$B$800,MATCH(B29,'"INCC-FGV"'!$A$2:$A$800,0)),$K$2),$K$2)</f>
        <v>11.2818005419537</v>
      </c>
      <c r="M29" s="139" t="n">
        <f aca="false">'CP RESUMO'!AB8</f>
        <v>0</v>
      </c>
      <c r="N29" s="140" t="n">
        <f aca="false">MAX(0,M29-M28)</f>
        <v>0</v>
      </c>
      <c r="O29" s="139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12388.74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HISTORICOS'!AC8)</f>
        <v>4838</v>
      </c>
      <c r="D30" s="45" t="n">
        <f aca="false">IF(B30&lt;='VALOR POR PL'!$P$5,0,IF($K$17&gt;0,$K$18*P30/$K$17,0))</f>
        <v>9654.2271427042</v>
      </c>
      <c r="E30" s="45" t="n">
        <f aca="false">L30+D30/$K$2</f>
        <v>11.1500798948593</v>
      </c>
      <c r="F30" s="117" t="n">
        <f aca="false">IF($K$9=0,0,E30/$K$9)</f>
        <v>0.0109967007503826</v>
      </c>
      <c r="G30" s="117" t="n">
        <f aca="false">G29+F30</f>
        <v>0.89396629165906</v>
      </c>
      <c r="H30" s="138" t="n">
        <v>12388.74</v>
      </c>
      <c r="L30" s="45" t="n">
        <f aca="false">C30/IF(B30&lt;='VALOR POR PL'!$P$5,IFERROR(INDEX('"INCC-FGV"'!$B$2:$B$800,MATCH(B30,'"INCC-FGV"'!$A$2:$A$800,0)),$K$2),$K$2)</f>
        <v>3.72227719039625</v>
      </c>
      <c r="M30" s="139" t="n">
        <f aca="false">'CP RESUMO'!AC8</f>
        <v>0</v>
      </c>
      <c r="N30" s="140" t="n">
        <f aca="false">MAX(0,M30-M29)</f>
        <v>0</v>
      </c>
      <c r="O30" s="139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12388.74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HISTORICOS'!AD8)</f>
        <v>829.75</v>
      </c>
      <c r="D31" s="45" t="n">
        <f aca="false">IF(B31&lt;='VALOR POR PL'!$P$5,0,IF($K$17&gt;0,$K$18*P31/$K$17,0))</f>
        <v>9654.2271427042</v>
      </c>
      <c r="E31" s="45" t="n">
        <f aca="false">L31+D31/$K$2</f>
        <v>8.06619863227025</v>
      </c>
      <c r="F31" s="117" t="n">
        <f aca="false">IF($K$9=0,0,E31/$K$9)</f>
        <v>0.00795524098379928</v>
      </c>
      <c r="G31" s="117" t="n">
        <f aca="false">G30+F31</f>
        <v>0.90192153264286</v>
      </c>
      <c r="H31" s="138" t="n">
        <v>12388.74</v>
      </c>
      <c r="L31" s="45" t="n">
        <f aca="false">C31/IF(B31&lt;='VALOR POR PL'!$P$5,IFERROR(INDEX('"INCC-FGV"'!$B$2:$B$800,MATCH(B31,'"INCC-FGV"'!$A$2:$A$800,0)),$K$2),$K$2)</f>
        <v>0.638395927807211</v>
      </c>
      <c r="M31" s="139" t="n">
        <f aca="false">'CP RESUMO'!AD8</f>
        <v>0</v>
      </c>
      <c r="N31" s="140" t="n">
        <f aca="false">MAX(0,M31-M30)</f>
        <v>0</v>
      </c>
      <c r="O31" s="139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12388.74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HISTORICOS'!AE8)</f>
        <v>955.92</v>
      </c>
      <c r="D32" s="45" t="n">
        <f aca="false">IF(B32&lt;='VALOR POR PL'!$P$5,0,IF($K$17&gt;0,$K$18*P32/$K$17,0))</f>
        <v>9654.2271427042</v>
      </c>
      <c r="E32" s="45" t="n">
        <f aca="false">L32+D32/$K$2</f>
        <v>8.16327174370314</v>
      </c>
      <c r="F32" s="117" t="n">
        <f aca="false">IF($K$9=0,0,E32/$K$9)</f>
        <v>0.00805097876930413</v>
      </c>
      <c r="G32" s="117" t="n">
        <f aca="false">G31+F32</f>
        <v>0.909972511412164</v>
      </c>
      <c r="H32" s="138" t="n">
        <v>12388.74</v>
      </c>
      <c r="L32" s="45" t="n">
        <f aca="false">C32/IF(B32&lt;='VALOR POR PL'!$P$5,IFERROR(INDEX('"INCC-FGV"'!$B$2:$B$800,MATCH(B32,'"INCC-FGV"'!$A$2:$A$800,0)),$K$2),$K$2)</f>
        <v>0.735469039240095</v>
      </c>
      <c r="M32" s="139" t="n">
        <f aca="false">'CP RESUMO'!AE8</f>
        <v>0</v>
      </c>
      <c r="N32" s="140" t="n">
        <f aca="false">MAX(0,M32-M31)</f>
        <v>0</v>
      </c>
      <c r="O32" s="139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12388.74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9654.2271427042</v>
      </c>
      <c r="E33" s="45" t="n">
        <f aca="false">L33+D33/$K$2</f>
        <v>7.42780270446304</v>
      </c>
      <c r="F33" s="117" t="n">
        <f aca="false">IF($K$9=0,0,E33/$K$9)</f>
        <v>0.00732562675282006</v>
      </c>
      <c r="G33" s="117" t="n">
        <f aca="false">G32+F33</f>
        <v>0.917298138164984</v>
      </c>
      <c r="H33" s="138" t="n">
        <v>12388.74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RESUMO'!AF8</f>
        <v>0</v>
      </c>
      <c r="N33" s="140" t="n">
        <f aca="false">MAX(0,M33-M32)</f>
        <v>0</v>
      </c>
      <c r="O33" s="139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12388.74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9654.2271427042</v>
      </c>
      <c r="E34" s="45" t="n">
        <f aca="false">L34+D34/$K$2</f>
        <v>7.42780270446304</v>
      </c>
      <c r="F34" s="117" t="n">
        <f aca="false">IF($K$9=0,0,E34/$K$9)</f>
        <v>0.00732562675282006</v>
      </c>
      <c r="G34" s="117" t="n">
        <f aca="false">G33+F34</f>
        <v>0.924623764917804</v>
      </c>
      <c r="H34" s="138" t="n">
        <v>12388.74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RESUMO'!AG8</f>
        <v>0</v>
      </c>
      <c r="N34" s="140" t="n">
        <f aca="false">MAX(0,M34-M33)</f>
        <v>0</v>
      </c>
      <c r="O34" s="139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12388.74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9654.2271427042</v>
      </c>
      <c r="E35" s="45" t="n">
        <f aca="false">L35+D35/$K$2</f>
        <v>7.42780270446304</v>
      </c>
      <c r="F35" s="117" t="n">
        <f aca="false">IF($K$9=0,0,E35/$K$9)</f>
        <v>0.00732562675282006</v>
      </c>
      <c r="G35" s="117" t="n">
        <f aca="false">G34+F35</f>
        <v>0.931949391670624</v>
      </c>
      <c r="H35" s="138" t="n">
        <v>12388.74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RESUMO'!AH8</f>
        <v>0</v>
      </c>
      <c r="N35" s="140" t="n">
        <f aca="false">MAX(0,M35-M34)</f>
        <v>0</v>
      </c>
      <c r="O35" s="139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12388.74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9654.2271427042</v>
      </c>
      <c r="E36" s="45" t="n">
        <f aca="false">L36+D36/$K$2</f>
        <v>7.42780270446304</v>
      </c>
      <c r="F36" s="117" t="n">
        <f aca="false">IF($K$9=0,0,E36/$K$9)</f>
        <v>0.00732562675282006</v>
      </c>
      <c r="G36" s="117" t="n">
        <f aca="false">G35+F36</f>
        <v>0.939275018423444</v>
      </c>
      <c r="H36" s="138" t="n">
        <v>12388.74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RESUMO'!AI8</f>
        <v>0</v>
      </c>
      <c r="N36" s="140" t="n">
        <f aca="false">MAX(0,M36-M35)</f>
        <v>0</v>
      </c>
      <c r="O36" s="139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12388.74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9654.2271427042</v>
      </c>
      <c r="E37" s="45" t="n">
        <f aca="false">L37+D37/$K$2</f>
        <v>7.42780270446304</v>
      </c>
      <c r="F37" s="117" t="n">
        <f aca="false">IF($K$9=0,0,E37/$K$9)</f>
        <v>0.00732562675282006</v>
      </c>
      <c r="G37" s="117" t="n">
        <f aca="false">G36+F37</f>
        <v>0.946600645176264</v>
      </c>
      <c r="H37" s="138" t="n">
        <v>12388.74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RESUMO'!AJ8</f>
        <v>0</v>
      </c>
      <c r="N37" s="140" t="n">
        <f aca="false">MAX(0,M37-M36)</f>
        <v>0</v>
      </c>
      <c r="O37" s="139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12388.74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HISTORICOS'!AK8)</f>
        <v>0</v>
      </c>
      <c r="D38" s="45" t="n">
        <f aca="false">IF(B38&lt;='VALOR POR PL'!$P$5,0,IF($K$17&gt;0,$K$18*P38/$K$17,0))</f>
        <v>9654.2271427042</v>
      </c>
      <c r="E38" s="45" t="n">
        <f aca="false">L38+D38/$K$2</f>
        <v>7.42780270446304</v>
      </c>
      <c r="F38" s="117" t="n">
        <f aca="false">IF($K$9=0,0,E38/$K$9)</f>
        <v>0.00732562675282006</v>
      </c>
      <c r="G38" s="117" t="n">
        <f aca="false">G37+F38</f>
        <v>0.953926271929084</v>
      </c>
      <c r="H38" s="138" t="n">
        <v>12388.74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RESUMO'!AK8</f>
        <v>0</v>
      </c>
      <c r="N38" s="140" t="n">
        <f aca="false">MAX(0,M38-M37)</f>
        <v>0</v>
      </c>
      <c r="O38" s="139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12388.74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9654.2271427042</v>
      </c>
      <c r="E39" s="45" t="n">
        <f aca="false">L39+D39/$K$2</f>
        <v>7.42780270446304</v>
      </c>
      <c r="F39" s="117" t="n">
        <f aca="false">IF($K$9=0,0,E39/$K$9)</f>
        <v>0.00732562675282006</v>
      </c>
      <c r="G39" s="117" t="n">
        <f aca="false">G38+F39</f>
        <v>0.961251898681904</v>
      </c>
      <c r="H39" s="138" t="n">
        <v>12388.74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RESUMO'!AL8</f>
        <v>0</v>
      </c>
      <c r="N39" s="140" t="n">
        <f aca="false">MAX(0,M39-M38)</f>
        <v>0</v>
      </c>
      <c r="O39" s="139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12388.74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9654.2271427042</v>
      </c>
      <c r="E40" s="45" t="n">
        <f aca="false">L40+D40/$K$2</f>
        <v>7.42780270446304</v>
      </c>
      <c r="F40" s="117" t="n">
        <f aca="false">IF($K$9=0,0,E40/$K$9)</f>
        <v>0.00732562675282006</v>
      </c>
      <c r="G40" s="117" t="n">
        <f aca="false">G39+F40</f>
        <v>0.968577525434725</v>
      </c>
      <c r="H40" s="138" t="n">
        <v>12388.74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RESUMO'!AM8</f>
        <v>0</v>
      </c>
      <c r="N40" s="140" t="n">
        <f aca="false">MAX(0,M40-M39)</f>
        <v>0</v>
      </c>
      <c r="O40" s="139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12388.74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9654.2271427042</v>
      </c>
      <c r="E41" s="45" t="n">
        <f aca="false">L41+D41/$K$2</f>
        <v>7.42780270446304</v>
      </c>
      <c r="F41" s="117" t="n">
        <f aca="false">IF($K$9=0,0,E41/$K$9)</f>
        <v>0.00732562675282006</v>
      </c>
      <c r="G41" s="117" t="n">
        <f aca="false">G40+F41</f>
        <v>0.975903152187545</v>
      </c>
      <c r="H41" s="138" t="n">
        <v>12388.74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RESUMO'!AN8</f>
        <v>0</v>
      </c>
      <c r="N41" s="140" t="n">
        <f aca="false">MAX(0,M41-M40)</f>
        <v>0</v>
      </c>
      <c r="O41" s="139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12388.74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9654.2271427042</v>
      </c>
      <c r="E42" s="45" t="n">
        <f aca="false">L42+D42/$K$2</f>
        <v>7.42780270446304</v>
      </c>
      <c r="F42" s="117" t="n">
        <f aca="false">IF($K$9=0,0,E42/$K$9)</f>
        <v>0.00732562675282006</v>
      </c>
      <c r="G42" s="117" t="n">
        <f aca="false">G41+F42</f>
        <v>0.983228778940365</v>
      </c>
      <c r="H42" s="138" t="n">
        <v>12388.74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RESUMO'!AO8</f>
        <v>0</v>
      </c>
      <c r="N42" s="140" t="n">
        <f aca="false">MAX(0,M42-M41)</f>
        <v>0</v>
      </c>
      <c r="O42" s="139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12388.74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9654.2271427042</v>
      </c>
      <c r="E43" s="45" t="n">
        <f aca="false">L43+D43/$K$2</f>
        <v>7.42780270446304</v>
      </c>
      <c r="F43" s="117" t="n">
        <f aca="false">IF($K$9=0,0,E43/$K$9)</f>
        <v>0.00732562675282006</v>
      </c>
      <c r="G43" s="117" t="n">
        <f aca="false">G42+F43</f>
        <v>0.990554405693185</v>
      </c>
      <c r="H43" s="138" t="n">
        <v>12388.74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RESUMO'!AP8</f>
        <v>0</v>
      </c>
      <c r="N43" s="140" t="n">
        <f aca="false">MAX(0,M43-M42)</f>
        <v>0</v>
      </c>
      <c r="O43" s="139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12388.74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10780.9097710581</v>
      </c>
      <c r="E44" s="45" t="n">
        <f aca="false">L44+D44/$K$2</f>
        <v>8.29465368593006</v>
      </c>
      <c r="F44" s="117" t="n">
        <f aca="false">IF($K$9=0,0,E44/$K$9)</f>
        <v>0.00818055343749459</v>
      </c>
      <c r="G44" s="117" t="n">
        <f aca="false">G43+F44</f>
        <v>0.998734959130679</v>
      </c>
      <c r="H44" s="138" t="n">
        <v>13834.55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RESUMO'!AQ8</f>
        <v>0</v>
      </c>
      <c r="N44" s="140" t="n">
        <f aca="false">MAX(0,M44-M43)</f>
        <v>0</v>
      </c>
      <c r="O44" s="139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13834.55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0.998734959130679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RESUMO'!AR8</f>
        <v>0</v>
      </c>
      <c r="N45" s="140" t="n">
        <f aca="false">MAX(0,M45-M44)</f>
        <v>0</v>
      </c>
      <c r="O45" s="139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0.998734959130679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RESUMO'!AS8</f>
        <v>0</v>
      </c>
      <c r="N46" s="140" t="n">
        <f aca="false">MAX(0,M46-M45)</f>
        <v>0</v>
      </c>
      <c r="O46" s="139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0.998734959130679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RESUMO'!AT8</f>
        <v>0</v>
      </c>
      <c r="N47" s="140" t="n">
        <f aca="false">MAX(0,M47-M46)</f>
        <v>0</v>
      </c>
      <c r="O47" s="139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0.998734959130679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RESUMO'!AU8</f>
        <v>0</v>
      </c>
      <c r="N48" s="140" t="n">
        <f aca="false">MAX(0,M48-M47)</f>
        <v>0</v>
      </c>
      <c r="O48" s="139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0.998734959130679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RESUMO'!AV8</f>
        <v>0</v>
      </c>
      <c r="N49" s="140" t="n">
        <f aca="false">MAX(0,M49-M48)</f>
        <v>0</v>
      </c>
      <c r="O49" s="139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0.998734959130679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RESUMO'!AW8</f>
        <v>0</v>
      </c>
      <c r="N50" s="140" t="n">
        <f aca="false">MAX(0,M50-M49)</f>
        <v>0</v>
      </c>
      <c r="O50" s="139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0.998734959130679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RESUMO'!AX8</f>
        <v>0</v>
      </c>
      <c r="N51" s="140" t="n">
        <f aca="false">MAX(0,M51-M50)</f>
        <v>0</v>
      </c>
      <c r="O51" s="139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0.998734959130679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RESUMO'!AY8</f>
        <v>0</v>
      </c>
      <c r="N52" s="140" t="n">
        <f aca="false">MAX(0,M52-M51)</f>
        <v>0</v>
      </c>
      <c r="O52" s="139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0.998734959130679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RESUMO'!AZ8</f>
        <v>0</v>
      </c>
      <c r="N53" s="140" t="n">
        <f aca="false">MAX(0,M53-M52)</f>
        <v>0</v>
      </c>
      <c r="O53" s="139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HISTORICOS'!BA8)</f>
        <v>1667.16</v>
      </c>
      <c r="D54" s="45" t="n">
        <f aca="false">IF(B54&lt;='VALOR POR PL'!$P$5,0,IF($K$17&gt;0,$K$18*P54/$K$17,0))</f>
        <v>0</v>
      </c>
      <c r="E54" s="45" t="n">
        <f aca="false">L54+D54/$K$2</f>
        <v>1.28268533293531</v>
      </c>
      <c r="F54" s="117" t="n">
        <f aca="false">IF($K$9=0,0,E54/$K$9)</f>
        <v>0.00126504086932127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1.28268533293531</v>
      </c>
      <c r="M54" s="139" t="n">
        <f aca="false">'CP RESUMO'!BA8</f>
        <v>0</v>
      </c>
      <c r="N54" s="140" t="n">
        <f aca="false">MAX(0,M54-M53)</f>
        <v>0</v>
      </c>
      <c r="O54" s="139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RESUMO'!BB8</f>
        <v>0</v>
      </c>
      <c r="N55" s="140" t="n">
        <f aca="false">MAX(0,M55-M54)</f>
        <v>0</v>
      </c>
      <c r="O55" s="139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RESUMO'!BC8</f>
        <v>0</v>
      </c>
      <c r="N56" s="140" t="n">
        <f aca="false">MAX(0,M56-M55)</f>
        <v>0</v>
      </c>
      <c r="O56" s="139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RESUMO'!BD8</f>
        <v>0</v>
      </c>
      <c r="N57" s="140" t="n">
        <f aca="false">MAX(0,M57-M56)</f>
        <v>0</v>
      </c>
      <c r="O57" s="139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RESUMO'!BE8</f>
        <v>0</v>
      </c>
      <c r="N58" s="140" t="n">
        <f aca="false">MAX(0,M58-M57)</f>
        <v>0</v>
      </c>
      <c r="O58" s="139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RESUMO'!BF8</f>
        <v>0</v>
      </c>
      <c r="N59" s="140" t="n">
        <f aca="false">MAX(0,M59-M58)</f>
        <v>0</v>
      </c>
      <c r="O59" s="139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RESUMO'!BG8</f>
        <v>0</v>
      </c>
      <c r="N60" s="140" t="n">
        <f aca="false">MAX(0,M60-M59)</f>
        <v>0</v>
      </c>
      <c r="O60" s="139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RESUMO'!BH8</f>
        <v>0</v>
      </c>
      <c r="N61" s="140" t="n">
        <f aca="false">MAX(0,M61-M60)</f>
        <v>0</v>
      </c>
      <c r="O61" s="139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RESUMO'!BI8</f>
        <v>0</v>
      </c>
      <c r="N62" s="140" t="n">
        <f aca="false">MAX(0,M62-M61)</f>
        <v>0</v>
      </c>
      <c r="O62" s="139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RESUMO'!BJ8</f>
        <v>0</v>
      </c>
      <c r="N63" s="140" t="n">
        <f aca="false">MAX(0,M63-M62)</f>
        <v>0</v>
      </c>
      <c r="O63" s="139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RESUMO'!BK8</f>
        <v>0</v>
      </c>
      <c r="N64" s="140" t="n">
        <f aca="false">MAX(0,M64-M63)</f>
        <v>0</v>
      </c>
      <c r="O64" s="139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RESUMO'!BL8</f>
        <v>0</v>
      </c>
      <c r="N65" s="140" t="n">
        <f aca="false">MAX(0,M65-M64)</f>
        <v>0</v>
      </c>
      <c r="O65" s="139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RESUMO'!BM8</f>
        <v>0</v>
      </c>
      <c r="N66" s="140" t="n">
        <f aca="false">MAX(0,M66-M65)</f>
        <v>0</v>
      </c>
      <c r="O66" s="139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RESUMO'!BN8</f>
        <v>0</v>
      </c>
      <c r="N67" s="140" t="n">
        <f aca="false">MAX(0,M67-M66)</f>
        <v>0</v>
      </c>
      <c r="O67" s="139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RESUMO'!BO8</f>
        <v>0</v>
      </c>
      <c r="N68" s="140" t="n">
        <f aca="false">MAX(0,M68-M67)</f>
        <v>0</v>
      </c>
      <c r="O68" s="139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RESUMO'!BP8</f>
        <v>0</v>
      </c>
      <c r="N69" s="140" t="n">
        <f aca="false">MAX(0,M69-M68)</f>
        <v>0</v>
      </c>
      <c r="O69" s="139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RESUMO'!BQ8</f>
        <v>0</v>
      </c>
      <c r="N70" s="140" t="n">
        <f aca="false">MAX(0,M70-M69)</f>
        <v>0</v>
      </c>
      <c r="O70" s="139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RESUMO'!BR8</f>
        <v>0</v>
      </c>
      <c r="N71" s="140" t="n">
        <f aca="false">MAX(0,M71-M70)</f>
        <v>0</v>
      </c>
      <c r="O71" s="139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RESUMO'!BS8</f>
        <v>0</v>
      </c>
      <c r="N72" s="140" t="n">
        <f aca="false">MAX(0,M72-M71)</f>
        <v>0</v>
      </c>
      <c r="O72" s="139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RESUMO'!BT8</f>
        <v>0</v>
      </c>
      <c r="N73" s="140" t="n">
        <f aca="false">MAX(0,M73-M72)</f>
        <v>0</v>
      </c>
      <c r="O73" s="139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RESUMO'!BU8</f>
        <v>0</v>
      </c>
      <c r="N74" s="140" t="n">
        <f aca="false">MAX(0,M74-M73)</f>
        <v>0</v>
      </c>
      <c r="O74" s="139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RESUMO'!BV8</f>
        <v>0</v>
      </c>
      <c r="N75" s="140" t="n">
        <f aca="false">MAX(0,M75-M74)</f>
        <v>0</v>
      </c>
      <c r="O75" s="139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RESUMO'!BW8</f>
        <v>0</v>
      </c>
      <c r="N76" s="140" t="n">
        <f aca="false">MAX(0,M76-M75)</f>
        <v>0</v>
      </c>
      <c r="O76" s="139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946419.78</v>
      </c>
      <c r="D78" s="61" t="n">
        <f aca="false">SUM(D5:D76)</f>
        <v>321406.346445876</v>
      </c>
      <c r="E78" s="61" t="n">
        <f aca="false">SUM(E5:E76)</f>
        <v>1013.94774195991</v>
      </c>
      <c r="F78" s="145" t="n">
        <f aca="false">SUM(F5:F76)</f>
        <v>1</v>
      </c>
      <c r="H78" s="61" t="n">
        <f aca="false">SUM(H5:H76)</f>
        <v>424831.87</v>
      </c>
      <c r="L78" s="61" t="n">
        <f aca="false">SUM(L5:L76)</f>
        <v>766.663014340221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HISTORICOS'!D9)</f>
        <v>258.63</v>
      </c>
      <c r="D5" s="45" t="n">
        <f aca="false">IF(B5&lt;='VALOR POR PL'!$P$5,0,IF($K$17&gt;0,$K$18*P5/$K$17,0))</f>
        <v>0</v>
      </c>
      <c r="E5" s="45" t="n">
        <f aca="false">L5+D5/$K$2</f>
        <v>0.23050940068037</v>
      </c>
      <c r="F5" s="117" t="n">
        <f aca="false">IF($K$9=0,0,E5/$K$9)</f>
        <v>0.00340806083867669</v>
      </c>
      <c r="G5" s="117" t="n">
        <f aca="false">F5</f>
        <v>0.00340806083867669</v>
      </c>
      <c r="H5" s="138"/>
      <c r="I5" s="42" t="s">
        <v>3894</v>
      </c>
      <c r="J5" s="56" t="n">
        <f aca="false">'VALOR POR PL'!F15</f>
        <v>50000</v>
      </c>
      <c r="K5" s="56" t="n">
        <f aca="false">'VALOR POR PL'!G15</f>
        <v>42.806175</v>
      </c>
      <c r="L5" s="56" t="n">
        <f aca="false">'DADOS HISTORICOS'!$BZ$9</f>
        <v>0.23050940068037</v>
      </c>
      <c r="M5" s="139" t="n">
        <f aca="false">'CP RESUMO'!D9</f>
        <v>0</v>
      </c>
      <c r="N5" s="140" t="n">
        <v>0</v>
      </c>
      <c r="O5" s="139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0.00340806083867669</v>
      </c>
      <c r="H6" s="138"/>
      <c r="I6" s="42" t="s">
        <v>3895</v>
      </c>
      <c r="K6" s="52" t="n">
        <f aca="false">'VALOR POR PL'!H15</f>
        <v>67.6636155193095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RESUMO'!E9</f>
        <v>0</v>
      </c>
      <c r="N6" s="140" t="n">
        <f aca="false">MAX(0,M6-M5)</f>
        <v>0</v>
      </c>
      <c r="O6" s="139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0.00340806083867669</v>
      </c>
      <c r="H7" s="138"/>
      <c r="I7" s="42" t="s">
        <v>3896</v>
      </c>
      <c r="J7" s="45" t="n">
        <f aca="false">C78+D78</f>
        <v>86148.5466709056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RESUMO'!F9</f>
        <v>0</v>
      </c>
      <c r="N7" s="140" t="n">
        <f aca="false">MAX(0,M7-M6)</f>
        <v>0</v>
      </c>
      <c r="O7" s="139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0.00340806083867669</v>
      </c>
      <c r="H8" s="138"/>
      <c r="I8" s="42" t="s">
        <v>3897</v>
      </c>
      <c r="K8" s="66" t="n">
        <f aca="false">SUM(L5:L76)</f>
        <v>38.2754107135145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RESUMO'!G9</f>
        <v>0</v>
      </c>
      <c r="N8" s="140" t="n">
        <f aca="false">MAX(0,M8-M7)</f>
        <v>0</v>
      </c>
      <c r="O8" s="139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HISTORICOS'!H9)</f>
        <v>5620.39</v>
      </c>
      <c r="D9" s="45" t="n">
        <f aca="false">IF(B9&lt;='VALOR POR PL'!$P$5,0,IF($K$17&gt;0,$K$18*P9/$K$17,0))</f>
        <v>0</v>
      </c>
      <c r="E9" s="45" t="n">
        <f aca="false">L9+D9/$K$2</f>
        <v>4.74509946287851</v>
      </c>
      <c r="F9" s="117" t="n">
        <f aca="false">IF($K$9=0,0,E9/$K$9)</f>
        <v>0.0701558704648491</v>
      </c>
      <c r="G9" s="117" t="n">
        <f aca="false">G8+F9</f>
        <v>0.0735639313035258</v>
      </c>
      <c r="H9" s="138"/>
      <c r="I9" s="42" t="s">
        <v>3898</v>
      </c>
      <c r="J9" s="45" t="n">
        <f aca="false">C78+D78</f>
        <v>86148.5466709056</v>
      </c>
      <c r="K9" s="45" t="n">
        <f aca="false">E78</f>
        <v>67.6365275127759</v>
      </c>
      <c r="L9" s="45" t="n">
        <f aca="false">C9/IF(B9&lt;='VALOR POR PL'!$P$5,IFERROR(INDEX('"INCC-FGV"'!$B$2:$B$800,MATCH(B9,'"INCC-FGV"'!$A$2:$A$800,0)),$K$2),$K$2)</f>
        <v>4.74509946287851</v>
      </c>
      <c r="M9" s="139" t="n">
        <f aca="false">'CP RESUMO'!H9</f>
        <v>0</v>
      </c>
      <c r="N9" s="140" t="n">
        <f aca="false">MAX(0,M9-M8)</f>
        <v>0</v>
      </c>
      <c r="O9" s="139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HISTORICOS'!I9)</f>
        <v>2136.82</v>
      </c>
      <c r="D10" s="45" t="n">
        <f aca="false">IF(B10&lt;='VALOR POR PL'!$P$5,0,IF($K$17&gt;0,$K$18*P10/$K$17,0))</f>
        <v>0</v>
      </c>
      <c r="E10" s="45" t="n">
        <f aca="false">L10+D10/$K$2</f>
        <v>1.79364691642177</v>
      </c>
      <c r="F10" s="117" t="n">
        <f aca="false">IF($K$9=0,0,E10/$K$9)</f>
        <v>0.0265189089738968</v>
      </c>
      <c r="G10" s="117" t="n">
        <f aca="false">G9+F10</f>
        <v>0.100082840277423</v>
      </c>
      <c r="H10" s="138"/>
      <c r="I10" s="42" t="s">
        <v>3899</v>
      </c>
      <c r="K10" s="52" t="n">
        <f aca="false">IF(K6-K8&gt;0,(K6-K8)*'VALOR POR PL'!$G$65,K6-K8)</f>
        <v>29.3611167992614</v>
      </c>
      <c r="L10" s="45" t="n">
        <f aca="false">C10/IF(B10&lt;='VALOR POR PL'!$P$5,IFERROR(INDEX('"INCC-FGV"'!$B$2:$B$800,MATCH(B10,'"INCC-FGV"'!$A$2:$A$800,0)),$K$2),$K$2)</f>
        <v>1.79364691642177</v>
      </c>
      <c r="M10" s="139" t="n">
        <f aca="false">'CP RESUMO'!I9</f>
        <v>0</v>
      </c>
      <c r="N10" s="140" t="n">
        <f aca="false">MAX(0,M10-M9)</f>
        <v>0</v>
      </c>
      <c r="O10" s="139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0.100082840277423</v>
      </c>
      <c r="H11" s="138"/>
      <c r="I11" s="42" t="s">
        <v>3900</v>
      </c>
      <c r="K11" s="56" t="n">
        <f aca="false">SUMPRODUCT((B5:B76&gt;'VALOR POR PL'!$P$5)*H5:H76)</f>
        <v>27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RESUMO'!J9</f>
        <v>0</v>
      </c>
      <c r="N11" s="140" t="n">
        <f aca="false">MAX(0,M11-M10)</f>
        <v>0</v>
      </c>
      <c r="O11" s="139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HISTORICOS'!K9)</f>
        <v>1976.12</v>
      </c>
      <c r="D12" s="45" t="n">
        <f aca="false">IF(B12&lt;='VALOR POR PL'!$P$5,0,IF($K$17&gt;0,$K$18*P12/$K$17,0))</f>
        <v>0</v>
      </c>
      <c r="E12" s="45" t="n">
        <f aca="false">L12+D12/$K$2</f>
        <v>1.63252155565891</v>
      </c>
      <c r="F12" s="117" t="n">
        <f aca="false">IF($K$9=0,0,E12/$K$9)</f>
        <v>0.0241366849495717</v>
      </c>
      <c r="G12" s="117" t="n">
        <f aca="false">G11+F12</f>
        <v>0.124219525226994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1.63252155565891</v>
      </c>
      <c r="M12" s="139" t="n">
        <f aca="false">'CP RESUMO'!K9</f>
        <v>0</v>
      </c>
      <c r="N12" s="140" t="n">
        <f aca="false">MAX(0,M12-M11)</f>
        <v>0</v>
      </c>
      <c r="O12" s="139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HISTORICOS'!L9)</f>
        <v>1918</v>
      </c>
      <c r="D13" s="45" t="n">
        <f aca="false">IF(B13&lt;='VALOR POR PL'!$P$5,0,IF($K$17&gt;0,$K$18*P13/$K$17,0))</f>
        <v>0</v>
      </c>
      <c r="E13" s="45" t="n">
        <f aca="false">L13+D13/$K$2</f>
        <v>1.57638739350344</v>
      </c>
      <c r="F13" s="117" t="n">
        <f aca="false">IF($K$9=0,0,E13/$K$9)</f>
        <v>0.0233067463909302</v>
      </c>
      <c r="G13" s="117" t="n">
        <f aca="false">G12+F13</f>
        <v>0.147526271617925</v>
      </c>
      <c r="H13" s="138"/>
      <c r="I13" s="42" t="s">
        <v>3902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1.57638739350344</v>
      </c>
      <c r="M13" s="139" t="n">
        <f aca="false">'CP RESUMO'!L9</f>
        <v>0</v>
      </c>
      <c r="N13" s="140" t="n">
        <f aca="false">MAX(0,M13-M12)</f>
        <v>0</v>
      </c>
      <c r="O13" s="139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HISTORICOS'!M9)</f>
        <v>1918.01</v>
      </c>
      <c r="D14" s="45" t="n">
        <f aca="false">IF(B14&lt;='VALOR POR PL'!$P$5,0,IF($K$17&gt;0,$K$18*P14/$K$17,0))</f>
        <v>0</v>
      </c>
      <c r="E14" s="45" t="n">
        <f aca="false">L14+D14/$K$2</f>
        <v>1.5737556687319</v>
      </c>
      <c r="F14" s="117" t="n">
        <f aca="false">IF($K$9=0,0,E14/$K$9)</f>
        <v>0.0232678365759483</v>
      </c>
      <c r="G14" s="117" t="n">
        <f aca="false">G13+F14</f>
        <v>0.170794108193873</v>
      </c>
      <c r="H14" s="138"/>
      <c r="I14" s="42" t="s">
        <v>3903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1.5737556687319</v>
      </c>
      <c r="M14" s="139" t="n">
        <f aca="false">'CP RESUMO'!M9</f>
        <v>0</v>
      </c>
      <c r="N14" s="140" t="n">
        <f aca="false">MAX(0,M14-M13)</f>
        <v>0</v>
      </c>
      <c r="O14" s="139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0.170794108193873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RESUMO'!N9</f>
        <v>0</v>
      </c>
      <c r="N15" s="140" t="n">
        <f aca="false">MAX(0,M15-M14)</f>
        <v>0</v>
      </c>
      <c r="O15" s="139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0.170794108193873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RESUMO'!O9</f>
        <v>0</v>
      </c>
      <c r="N16" s="140" t="n">
        <f aca="false">MAX(0,M16-M15)</f>
        <v>0</v>
      </c>
      <c r="O16" s="139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HISTORICOS'!P9)</f>
        <v>2467.28</v>
      </c>
      <c r="D17" s="45" t="n">
        <f aca="false">IF(B17&lt;='VALOR POR PL'!$P$5,0,IF($K$17&gt;0,$K$18*P17/$K$17,0))</f>
        <v>0</v>
      </c>
      <c r="E17" s="45" t="n">
        <f aca="false">L17+D17/$K$2</f>
        <v>2.00892228299059</v>
      </c>
      <c r="F17" s="117" t="n">
        <f aca="false">IF($K$9=0,0,E17/$K$9)</f>
        <v>0.0297017359829882</v>
      </c>
      <c r="G17" s="117" t="n">
        <f aca="false">G16+F17</f>
        <v>0.200495844176861</v>
      </c>
      <c r="H17" s="138"/>
      <c r="I17" s="42" t="s">
        <v>3907</v>
      </c>
      <c r="K17" s="45" t="n">
        <f aca="false">SUM(P5:P76)</f>
        <v>27</v>
      </c>
      <c r="L17" s="45" t="n">
        <f aca="false">C17/IF(B17&lt;='VALOR POR PL'!$P$5,IFERROR(INDEX('"INCC-FGV"'!$B$2:$B$800,MATCH(B17,'"INCC-FGV"'!$A$2:$A$800,0)),$K$2),$K$2)</f>
        <v>2.00892228299059</v>
      </c>
      <c r="M17" s="139" t="n">
        <f aca="false">'CP RESUMO'!P9</f>
        <v>0</v>
      </c>
      <c r="N17" s="140" t="n">
        <f aca="false">MAX(0,M17-M16)</f>
        <v>0</v>
      </c>
      <c r="O17" s="139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0.200495844176861</v>
      </c>
      <c r="H18" s="138"/>
      <c r="I18" s="42" t="s">
        <v>3908</v>
      </c>
      <c r="K18" s="45" t="n">
        <f aca="false">MAX(0,K10)*$K$2</f>
        <v>38161.8766709056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RESUMO'!Q9</f>
        <v>0</v>
      </c>
      <c r="N18" s="140" t="n">
        <f aca="false">MAX(0,M18-M17)</f>
        <v>0</v>
      </c>
      <c r="O18" s="139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HISTORICOS'!R9)</f>
        <v>635.7</v>
      </c>
      <c r="D19" s="45" t="n">
        <f aca="false">IF(B19&lt;='VALOR POR PL'!$P$5,0,IF($K$17&gt;0,$K$18*P19/$K$17,0))</f>
        <v>0</v>
      </c>
      <c r="E19" s="45" t="n">
        <f aca="false">L19+D19/$K$2</f>
        <v>0.512462504463994</v>
      </c>
      <c r="F19" s="117" t="n">
        <f aca="false">IF($K$9=0,0,E19/$K$9)</f>
        <v>0.00757671221910668</v>
      </c>
      <c r="G19" s="117" t="n">
        <f aca="false">G18+F19</f>
        <v>0.208072556395968</v>
      </c>
      <c r="H19" s="138"/>
      <c r="I19" s="42" t="s">
        <v>3909</v>
      </c>
      <c r="K19" s="142" t="n">
        <f aca="false">IF(AND(K16="PREVISÃO INFORMADA",K11&gt;0),K18/K11-1,"")</f>
        <v>1412.40283966317</v>
      </c>
      <c r="L19" s="45" t="n">
        <f aca="false">C19/IF(B19&lt;='VALOR POR PL'!$P$5,IFERROR(INDEX('"INCC-FGV"'!$B$2:$B$800,MATCH(B19,'"INCC-FGV"'!$A$2:$A$800,0)),$K$2),$K$2)</f>
        <v>0.512462504463994</v>
      </c>
      <c r="M19" s="139" t="n">
        <f aca="false">'CP RESUMO'!R9</f>
        <v>0</v>
      </c>
      <c r="N19" s="140" t="n">
        <f aca="false">MAX(0,M19-M18)</f>
        <v>0</v>
      </c>
      <c r="O19" s="139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HISTORICOS'!S9)</f>
        <v>216.66</v>
      </c>
      <c r="D20" s="45" t="n">
        <f aca="false">IF(B20&lt;='VALOR POR PL'!$P$5,0,IF($K$17&gt;0,$K$18*P20/$K$17,0))</f>
        <v>0</v>
      </c>
      <c r="E20" s="45" t="n">
        <f aca="false">L20+D20/$K$2</f>
        <v>0.17371977283169</v>
      </c>
      <c r="F20" s="117" t="n">
        <f aca="false">IF($K$9=0,0,E20/$K$9)</f>
        <v>0.00256843127848153</v>
      </c>
      <c r="G20" s="117" t="n">
        <f aca="false">G19+F20</f>
        <v>0.210640987674449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0.17371977283169</v>
      </c>
      <c r="M20" s="139" t="n">
        <f aca="false">'CP RESUMO'!S9</f>
        <v>0</v>
      </c>
      <c r="N20" s="140" t="n">
        <f aca="false">MAX(0,M20-M19)</f>
        <v>0</v>
      </c>
      <c r="O20" s="139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HISTORICOS'!T9)</f>
        <v>4859.3</v>
      </c>
      <c r="D21" s="45" t="n">
        <f aca="false">IF(B21&lt;='VALOR POR PL'!$P$5,0,IF($K$17&gt;0,$K$18*P21/$K$17,0))</f>
        <v>0</v>
      </c>
      <c r="E21" s="45" t="n">
        <f aca="false">L21+D21/$K$2</f>
        <v>3.8576527485369</v>
      </c>
      <c r="F21" s="117" t="n">
        <f aca="false">IF($K$9=0,0,E21/$K$9)</f>
        <v>0.0570350502959843</v>
      </c>
      <c r="G21" s="117" t="n">
        <f aca="false">G20+F21</f>
        <v>0.267676037970434</v>
      </c>
      <c r="H21" s="138"/>
      <c r="K21" s="143"/>
      <c r="L21" s="45" t="n">
        <f aca="false">C21/IF(B21&lt;='VALOR POR PL'!$P$5,IFERROR(INDEX('"INCC-FGV"'!$B$2:$B$800,MATCH(B21,'"INCC-FGV"'!$A$2:$A$800,0)),$K$2),$K$2)</f>
        <v>3.8576527485369</v>
      </c>
      <c r="M21" s="139" t="n">
        <f aca="false">'CP RESUMO'!T9</f>
        <v>0</v>
      </c>
      <c r="N21" s="140" t="n">
        <f aca="false">MAX(0,M21-M20)</f>
        <v>0</v>
      </c>
      <c r="O21" s="139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HISTORICOS'!U9)</f>
        <v>9091.18</v>
      </c>
      <c r="D22" s="45" t="n">
        <f aca="false">IF(B22&lt;='VALOR POR PL'!$P$5,0,IF($K$17&gt;0,$K$18*P22/$K$17,0))</f>
        <v>0</v>
      </c>
      <c r="E22" s="45" t="n">
        <f aca="false">L22+D22/$K$2</f>
        <v>7.15449419412211</v>
      </c>
      <c r="F22" s="117" t="n">
        <f aca="false">IF($K$9=0,0,E22/$K$9)</f>
        <v>0.10577855571859</v>
      </c>
      <c r="G22" s="117" t="n">
        <f aca="false">G21+F22</f>
        <v>0.373454593689024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7.15449419412211</v>
      </c>
      <c r="M22" s="139" t="n">
        <f aca="false">'CP RESUMO'!U9</f>
        <v>0</v>
      </c>
      <c r="N22" s="140" t="n">
        <f aca="false">MAX(0,M22-M21)</f>
        <v>0</v>
      </c>
      <c r="O22" s="139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0.373454593689024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RESUMO'!V9</f>
        <v>0</v>
      </c>
      <c r="N23" s="140" t="n">
        <f aca="false">MAX(0,M23-M22)</f>
        <v>0</v>
      </c>
      <c r="O23" s="139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HISTORICOS'!W9)</f>
        <v>3323</v>
      </c>
      <c r="D24" s="45" t="n">
        <f aca="false">IF(B24&lt;='VALOR POR PL'!$P$5,0,IF($K$17&gt;0,$K$18*P24/$K$17,0))</f>
        <v>0</v>
      </c>
      <c r="E24" s="45" t="n">
        <f aca="false">L24+D24/$K$2</f>
        <v>2.57910590477876</v>
      </c>
      <c r="F24" s="117" t="n">
        <f aca="false">IF($K$9=0,0,E24/$K$9)</f>
        <v>0.038131849750737</v>
      </c>
      <c r="G24" s="117" t="n">
        <f aca="false">G23+F24</f>
        <v>0.411586443439761</v>
      </c>
      <c r="H24" s="138"/>
      <c r="I24" s="144" t="s">
        <v>3916</v>
      </c>
      <c r="J24" s="144"/>
      <c r="K24" s="144"/>
      <c r="L24" s="45" t="n">
        <f aca="false">C24/IF(B24&lt;='VALOR POR PL'!$P$5,IFERROR(INDEX('"INCC-FGV"'!$B$2:$B$800,MATCH(B24,'"INCC-FGV"'!$A$2:$A$800,0)),$K$2),$K$2)</f>
        <v>2.57910590477876</v>
      </c>
      <c r="M24" s="139" t="n">
        <f aca="false">'CP RESUMO'!W9</f>
        <v>0</v>
      </c>
      <c r="N24" s="140" t="n">
        <f aca="false">MAX(0,M24-M23)</f>
        <v>0</v>
      </c>
      <c r="O24" s="139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0.411586443439761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RESUMO'!X9</f>
        <v>0</v>
      </c>
      <c r="N25" s="140" t="n">
        <f aca="false">MAX(0,M25-M24)</f>
        <v>0</v>
      </c>
      <c r="O25" s="139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HISTORICOS'!Y9)</f>
        <v>6618.5</v>
      </c>
      <c r="D26" s="45" t="n">
        <f aca="false">IF(B26&lt;='VALOR POR PL'!$P$5,0,IF($K$17&gt;0,$K$18*P26/$K$17,0))</f>
        <v>0</v>
      </c>
      <c r="E26" s="45" t="n">
        <f aca="false">L26+D26/$K$2</f>
        <v>5.09216444494369</v>
      </c>
      <c r="F26" s="117" t="n">
        <f aca="false">IF($K$9=0,0,E26/$K$9)</f>
        <v>0.0752871951325684</v>
      </c>
      <c r="G26" s="117" t="n">
        <f aca="false">G25+F26</f>
        <v>0.486873638572329</v>
      </c>
      <c r="H26" s="138" t="n">
        <v>1</v>
      </c>
      <c r="L26" s="45" t="n">
        <f aca="false">C26/IF(B26&lt;='VALOR POR PL'!$P$5,IFERROR(INDEX('"INCC-FGV"'!$B$2:$B$800,MATCH(B26,'"INCC-FGV"'!$A$2:$A$800,0)),$K$2),$K$2)</f>
        <v>5.09216444494369</v>
      </c>
      <c r="M26" s="139" t="n">
        <f aca="false">'CP RESUMO'!Y9</f>
        <v>0</v>
      </c>
      <c r="N26" s="140" t="n">
        <f aca="false">MAX(0,M26-M25)</f>
        <v>0</v>
      </c>
      <c r="O26" s="139" t="n">
        <f aca="false">IF(B26&lt;='VALOR POR PL'!$P$5,'CP RESUMO'!Y51,"")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HISTORICOS'!Z9)</f>
        <v>6618.5</v>
      </c>
      <c r="D27" s="45" t="n">
        <f aca="false">IF(B27&lt;='VALOR POR PL'!$P$5,0,IF($K$17&gt;0,$K$18*P27/$K$17,0))</f>
        <v>1413.40283966317</v>
      </c>
      <c r="E27" s="45" t="n">
        <f aca="false">L27+D27/$K$2</f>
        <v>6.1796132152867</v>
      </c>
      <c r="F27" s="117" t="n">
        <f aca="false">IF($K$9=0,0,E27/$K$9)</f>
        <v>0.091365027782058</v>
      </c>
      <c r="G27" s="117" t="n">
        <f aca="false">G26+F27</f>
        <v>0.578238666354387</v>
      </c>
      <c r="H27" s="138" t="n">
        <v>1</v>
      </c>
      <c r="L27" s="45" t="n">
        <f aca="false">C27/IF(B27&lt;='VALOR POR PL'!$P$5,IFERROR(INDEX('"INCC-FGV"'!$B$2:$B$800,MATCH(B27,'"INCC-FGV"'!$A$2:$A$800,0)),$K$2),$K$2)</f>
        <v>5.09216444494369</v>
      </c>
      <c r="M27" s="139" t="n">
        <f aca="false">'CP RESUMO'!Z9</f>
        <v>0</v>
      </c>
      <c r="N27" s="140" t="n">
        <f aca="false">MAX(0,M27-M26)</f>
        <v>0</v>
      </c>
      <c r="O27" s="139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1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HISTORICOS'!AA9)</f>
        <v>328.58</v>
      </c>
      <c r="D28" s="45" t="n">
        <f aca="false">IF(B28&lt;='VALOR POR PL'!$P$5,0,IF($K$17&gt;0,$K$18*P28/$K$17,0))</f>
        <v>1413.40283966317</v>
      </c>
      <c r="E28" s="45" t="n">
        <f aca="false">L28+D28/$K$2</f>
        <v>1.34025278837121</v>
      </c>
      <c r="F28" s="117" t="n">
        <f aca="false">IF($K$9=0,0,E28/$K$9)</f>
        <v>0.0198155174083715</v>
      </c>
      <c r="G28" s="117" t="n">
        <f aca="false">G27+F28</f>
        <v>0.598054183762758</v>
      </c>
      <c r="H28" s="138" t="n">
        <v>1</v>
      </c>
      <c r="L28" s="45" t="n">
        <f aca="false">C28/IF(B28&lt;='VALOR POR PL'!$P$5,IFERROR(INDEX('"INCC-FGV"'!$B$2:$B$800,MATCH(B28,'"INCC-FGV"'!$A$2:$A$800,0)),$K$2),$K$2)</f>
        <v>0.252804018028193</v>
      </c>
      <c r="M28" s="139" t="n">
        <f aca="false">'CP RESUMO'!AA9</f>
        <v>0</v>
      </c>
      <c r="N28" s="140" t="n">
        <f aca="false">MAX(0,M28-M27)</f>
        <v>0</v>
      </c>
      <c r="O28" s="139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1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1413.40283966317</v>
      </c>
      <c r="E29" s="45" t="n">
        <f aca="false">L29+D29/$K$2</f>
        <v>1.08744877034301</v>
      </c>
      <c r="F29" s="117" t="n">
        <f aca="false">IF($K$9=0,0,E29/$K$9)</f>
        <v>0.0160778326494897</v>
      </c>
      <c r="G29" s="117" t="n">
        <f aca="false">G28+F29</f>
        <v>0.614132016412248</v>
      </c>
      <c r="H29" s="138" t="n">
        <v>1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RESUMO'!AB9</f>
        <v>0</v>
      </c>
      <c r="N29" s="140" t="n">
        <f aca="false">MAX(0,M29-M28)</f>
        <v>0</v>
      </c>
      <c r="O29" s="139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1413.40283966317</v>
      </c>
      <c r="E30" s="45" t="n">
        <f aca="false">L30+D30/$K$2</f>
        <v>1.08744877034301</v>
      </c>
      <c r="F30" s="117" t="n">
        <f aca="false">IF($K$9=0,0,E30/$K$9)</f>
        <v>0.0160778326494897</v>
      </c>
      <c r="G30" s="117" t="n">
        <f aca="false">G29+F30</f>
        <v>0.630209849061738</v>
      </c>
      <c r="H30" s="138" t="n">
        <v>1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RESUMO'!AC9</f>
        <v>0</v>
      </c>
      <c r="N30" s="140" t="n">
        <f aca="false">MAX(0,M30-M29)</f>
        <v>0</v>
      </c>
      <c r="O30" s="139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1413.40283966317</v>
      </c>
      <c r="E31" s="45" t="n">
        <f aca="false">L31+D31/$K$2</f>
        <v>1.08744877034301</v>
      </c>
      <c r="F31" s="117" t="n">
        <f aca="false">IF($K$9=0,0,E31/$K$9)</f>
        <v>0.0160778326494897</v>
      </c>
      <c r="G31" s="117" t="n">
        <f aca="false">G30+F31</f>
        <v>0.646287681711228</v>
      </c>
      <c r="H31" s="138" t="n">
        <v>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RESUMO'!AD9</f>
        <v>0</v>
      </c>
      <c r="N31" s="140" t="n">
        <f aca="false">MAX(0,M31-M30)</f>
        <v>0</v>
      </c>
      <c r="O31" s="139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1413.40283966317</v>
      </c>
      <c r="E32" s="45" t="n">
        <f aca="false">L32+D32/$K$2</f>
        <v>1.08744877034301</v>
      </c>
      <c r="F32" s="117" t="n">
        <f aca="false">IF($K$9=0,0,E32/$K$9)</f>
        <v>0.0160778326494897</v>
      </c>
      <c r="G32" s="117" t="n">
        <f aca="false">G31+F32</f>
        <v>0.662365514360717</v>
      </c>
      <c r="H32" s="138" t="n">
        <v>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RESUMO'!AE9</f>
        <v>0</v>
      </c>
      <c r="N32" s="140" t="n">
        <f aca="false">MAX(0,M32-M31)</f>
        <v>0</v>
      </c>
      <c r="O32" s="139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1413.40283966317</v>
      </c>
      <c r="E33" s="45" t="n">
        <f aca="false">L33+D33/$K$2</f>
        <v>1.08744877034301</v>
      </c>
      <c r="F33" s="117" t="n">
        <f aca="false">IF($K$9=0,0,E33/$K$9)</f>
        <v>0.0160778326494897</v>
      </c>
      <c r="G33" s="117" t="n">
        <f aca="false">G32+F33</f>
        <v>0.678443347010207</v>
      </c>
      <c r="H33" s="138" t="n">
        <v>1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RESUMO'!AF9</f>
        <v>0</v>
      </c>
      <c r="N33" s="140" t="n">
        <f aca="false">MAX(0,M33-M32)</f>
        <v>0</v>
      </c>
      <c r="O33" s="139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1413.40283966317</v>
      </c>
      <c r="E34" s="45" t="n">
        <f aca="false">L34+D34/$K$2</f>
        <v>1.08744877034301</v>
      </c>
      <c r="F34" s="117" t="n">
        <f aca="false">IF($K$9=0,0,E34/$K$9)</f>
        <v>0.0160778326494897</v>
      </c>
      <c r="G34" s="117" t="n">
        <f aca="false">G33+F34</f>
        <v>0.694521179659697</v>
      </c>
      <c r="H34" s="138" t="n">
        <v>1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RESUMO'!AG9</f>
        <v>0</v>
      </c>
      <c r="N34" s="140" t="n">
        <f aca="false">MAX(0,M34-M33)</f>
        <v>0</v>
      </c>
      <c r="O34" s="139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1413.40283966317</v>
      </c>
      <c r="E35" s="45" t="n">
        <f aca="false">L35+D35/$K$2</f>
        <v>1.08744877034301</v>
      </c>
      <c r="F35" s="117" t="n">
        <f aca="false">IF($K$9=0,0,E35/$K$9)</f>
        <v>0.0160778326494897</v>
      </c>
      <c r="G35" s="117" t="n">
        <f aca="false">G34+F35</f>
        <v>0.710599012309186</v>
      </c>
      <c r="H35" s="138" t="n">
        <v>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RESUMO'!AH9</f>
        <v>0</v>
      </c>
      <c r="N35" s="140" t="n">
        <f aca="false">MAX(0,M35-M34)</f>
        <v>0</v>
      </c>
      <c r="O35" s="139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1413.40283966317</v>
      </c>
      <c r="E36" s="45" t="n">
        <f aca="false">L36+D36/$K$2</f>
        <v>1.08744877034301</v>
      </c>
      <c r="F36" s="117" t="n">
        <f aca="false">IF($K$9=0,0,E36/$K$9)</f>
        <v>0.0160778326494897</v>
      </c>
      <c r="G36" s="117" t="n">
        <f aca="false">G35+F36</f>
        <v>0.726676844958676</v>
      </c>
      <c r="H36" s="138" t="n">
        <v>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RESUMO'!AI9</f>
        <v>0</v>
      </c>
      <c r="N36" s="140" t="n">
        <f aca="false">MAX(0,M36-M35)</f>
        <v>0</v>
      </c>
      <c r="O36" s="139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1413.40283966317</v>
      </c>
      <c r="E37" s="45" t="n">
        <f aca="false">L37+D37/$K$2</f>
        <v>1.08744877034301</v>
      </c>
      <c r="F37" s="117" t="n">
        <f aca="false">IF($K$9=0,0,E37/$K$9)</f>
        <v>0.0160778326494897</v>
      </c>
      <c r="G37" s="117" t="n">
        <f aca="false">G36+F37</f>
        <v>0.742754677608166</v>
      </c>
      <c r="H37" s="138" t="n">
        <v>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RESUMO'!AJ9</f>
        <v>0</v>
      </c>
      <c r="N37" s="140" t="n">
        <f aca="false">MAX(0,M37-M36)</f>
        <v>0</v>
      </c>
      <c r="O37" s="139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1413.40283966317</v>
      </c>
      <c r="E38" s="45" t="n">
        <f aca="false">L38+D38/$K$2</f>
        <v>1.08744877034301</v>
      </c>
      <c r="F38" s="117" t="n">
        <f aca="false">IF($K$9=0,0,E38/$K$9)</f>
        <v>0.0160778326494897</v>
      </c>
      <c r="G38" s="117" t="n">
        <f aca="false">G37+F38</f>
        <v>0.758832510257655</v>
      </c>
      <c r="H38" s="138" t="n">
        <v>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RESUMO'!AK9</f>
        <v>0</v>
      </c>
      <c r="N38" s="140" t="n">
        <f aca="false">MAX(0,M38-M37)</f>
        <v>0</v>
      </c>
      <c r="O38" s="139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1413.40283966317</v>
      </c>
      <c r="E39" s="45" t="n">
        <f aca="false">L39+D39/$K$2</f>
        <v>1.08744877034301</v>
      </c>
      <c r="F39" s="117" t="n">
        <f aca="false">IF($K$9=0,0,E39/$K$9)</f>
        <v>0.0160778326494897</v>
      </c>
      <c r="G39" s="117" t="n">
        <f aca="false">G38+F39</f>
        <v>0.774910342907145</v>
      </c>
      <c r="H39" s="138" t="n">
        <v>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RESUMO'!AL9</f>
        <v>0</v>
      </c>
      <c r="N39" s="140" t="n">
        <f aca="false">MAX(0,M39-M38)</f>
        <v>0</v>
      </c>
      <c r="O39" s="139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1413.40283966317</v>
      </c>
      <c r="E40" s="45" t="n">
        <f aca="false">L40+D40/$K$2</f>
        <v>1.08744877034301</v>
      </c>
      <c r="F40" s="117" t="n">
        <f aca="false">IF($K$9=0,0,E40/$K$9)</f>
        <v>0.0160778326494897</v>
      </c>
      <c r="G40" s="117" t="n">
        <f aca="false">G39+F40</f>
        <v>0.790988175556635</v>
      </c>
      <c r="H40" s="138" t="n">
        <v>1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RESUMO'!AM9</f>
        <v>0</v>
      </c>
      <c r="N40" s="140" t="n">
        <f aca="false">MAX(0,M40-M39)</f>
        <v>0</v>
      </c>
      <c r="O40" s="139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1413.40283966317</v>
      </c>
      <c r="E41" s="45" t="n">
        <f aca="false">L41+D41/$K$2</f>
        <v>1.08744877034301</v>
      </c>
      <c r="F41" s="117" t="n">
        <f aca="false">IF($K$9=0,0,E41/$K$9)</f>
        <v>0.0160778326494897</v>
      </c>
      <c r="G41" s="117" t="n">
        <f aca="false">G40+F41</f>
        <v>0.807066008206125</v>
      </c>
      <c r="H41" s="138" t="n">
        <v>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RESUMO'!AN9</f>
        <v>0</v>
      </c>
      <c r="N41" s="140" t="n">
        <f aca="false">MAX(0,M41-M40)</f>
        <v>0</v>
      </c>
      <c r="O41" s="139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1413.40283966317</v>
      </c>
      <c r="E42" s="45" t="n">
        <f aca="false">L42+D42/$K$2</f>
        <v>1.08744877034301</v>
      </c>
      <c r="F42" s="117" t="n">
        <f aca="false">IF($K$9=0,0,E42/$K$9)</f>
        <v>0.0160778326494897</v>
      </c>
      <c r="G42" s="117" t="n">
        <f aca="false">G41+F42</f>
        <v>0.823143840855614</v>
      </c>
      <c r="H42" s="138" t="n">
        <v>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RESUMO'!AO9</f>
        <v>0</v>
      </c>
      <c r="N42" s="140" t="n">
        <f aca="false">MAX(0,M42-M41)</f>
        <v>0</v>
      </c>
      <c r="O42" s="139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1413.40283966317</v>
      </c>
      <c r="E43" s="45" t="n">
        <f aca="false">L43+D43/$K$2</f>
        <v>1.08744877034301</v>
      </c>
      <c r="F43" s="117" t="n">
        <f aca="false">IF($K$9=0,0,E43/$K$9)</f>
        <v>0.0160778326494897</v>
      </c>
      <c r="G43" s="117" t="n">
        <f aca="false">G42+F43</f>
        <v>0.839221673505104</v>
      </c>
      <c r="H43" s="138" t="n">
        <v>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RESUMO'!AP9</f>
        <v>0</v>
      </c>
      <c r="N43" s="140" t="n">
        <f aca="false">MAX(0,M43-M42)</f>
        <v>0</v>
      </c>
      <c r="O43" s="139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1413.40283966317</v>
      </c>
      <c r="E44" s="45" t="n">
        <f aca="false">L44+D44/$K$2</f>
        <v>1.08744877034301</v>
      </c>
      <c r="F44" s="117" t="n">
        <f aca="false">IF($K$9=0,0,E44/$K$9)</f>
        <v>0.0160778326494897</v>
      </c>
      <c r="G44" s="117" t="n">
        <f aca="false">G43+F44</f>
        <v>0.855299506154594</v>
      </c>
      <c r="H44" s="138" t="n">
        <v>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RESUMO'!AQ9</f>
        <v>0</v>
      </c>
      <c r="N44" s="140" t="n">
        <f aca="false">MAX(0,M44-M43)</f>
        <v>0</v>
      </c>
      <c r="O44" s="139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1413.40283966317</v>
      </c>
      <c r="E45" s="45" t="n">
        <f aca="false">L45+D45/$K$2</f>
        <v>1.08744877034301</v>
      </c>
      <c r="F45" s="117" t="n">
        <f aca="false">IF($K$9=0,0,E45/$K$9)</f>
        <v>0.0160778326494897</v>
      </c>
      <c r="G45" s="117" t="n">
        <f aca="false">G44+F45</f>
        <v>0.871377338804083</v>
      </c>
      <c r="H45" s="138" t="n">
        <v>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RESUMO'!AR9</f>
        <v>0</v>
      </c>
      <c r="N45" s="140" t="n">
        <f aca="false">MAX(0,M45-M44)</f>
        <v>0</v>
      </c>
      <c r="O45" s="139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1413.40283966317</v>
      </c>
      <c r="E46" s="45" t="n">
        <f aca="false">L46+D46/$K$2</f>
        <v>1.08744877034301</v>
      </c>
      <c r="F46" s="117" t="n">
        <f aca="false">IF($K$9=0,0,E46/$K$9)</f>
        <v>0.0160778326494897</v>
      </c>
      <c r="G46" s="117" t="n">
        <f aca="false">G45+F46</f>
        <v>0.887455171453573</v>
      </c>
      <c r="H46" s="138" t="n">
        <v>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RESUMO'!AS9</f>
        <v>0</v>
      </c>
      <c r="N46" s="140" t="n">
        <f aca="false">MAX(0,M46-M45)</f>
        <v>0</v>
      </c>
      <c r="O46" s="139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1413.40283966317</v>
      </c>
      <c r="E47" s="45" t="n">
        <f aca="false">L47+D47/$K$2</f>
        <v>1.08744877034301</v>
      </c>
      <c r="F47" s="117" t="n">
        <f aca="false">IF($K$9=0,0,E47/$K$9)</f>
        <v>0.0160778326494897</v>
      </c>
      <c r="G47" s="117" t="n">
        <f aca="false">G46+F47</f>
        <v>0.903533004103063</v>
      </c>
      <c r="H47" s="138" t="n">
        <v>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RESUMO'!AT9</f>
        <v>0</v>
      </c>
      <c r="N47" s="140" t="n">
        <f aca="false">MAX(0,M47-M46)</f>
        <v>0</v>
      </c>
      <c r="O47" s="139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1413.40283966317</v>
      </c>
      <c r="E48" s="45" t="n">
        <f aca="false">L48+D48/$K$2</f>
        <v>1.08744877034301</v>
      </c>
      <c r="F48" s="117" t="n">
        <f aca="false">IF($K$9=0,0,E48/$K$9)</f>
        <v>0.0160778326494897</v>
      </c>
      <c r="G48" s="117" t="n">
        <f aca="false">G47+F48</f>
        <v>0.919610836752552</v>
      </c>
      <c r="H48" s="138" t="n">
        <v>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RESUMO'!AU9</f>
        <v>0</v>
      </c>
      <c r="N48" s="140" t="n">
        <f aca="false">MAX(0,M48-M47)</f>
        <v>0</v>
      </c>
      <c r="O48" s="139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1413.40283966317</v>
      </c>
      <c r="E49" s="45" t="n">
        <f aca="false">L49+D49/$K$2</f>
        <v>1.08744877034301</v>
      </c>
      <c r="F49" s="117" t="n">
        <f aca="false">IF($K$9=0,0,E49/$K$9)</f>
        <v>0.0160778326494897</v>
      </c>
      <c r="G49" s="117" t="n">
        <f aca="false">G48+F49</f>
        <v>0.935688669402042</v>
      </c>
      <c r="H49" s="138" t="n">
        <v>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RESUMO'!AV9</f>
        <v>0</v>
      </c>
      <c r="N49" s="140" t="n">
        <f aca="false">MAX(0,M49-M48)</f>
        <v>0</v>
      </c>
      <c r="O49" s="139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1413.40283966317</v>
      </c>
      <c r="E50" s="45" t="n">
        <f aca="false">L50+D50/$K$2</f>
        <v>1.08744877034301</v>
      </c>
      <c r="F50" s="117" t="n">
        <f aca="false">IF($K$9=0,0,E50/$K$9)</f>
        <v>0.0160778326494897</v>
      </c>
      <c r="G50" s="117" t="n">
        <f aca="false">G49+F50</f>
        <v>0.951766502051532</v>
      </c>
      <c r="H50" s="138" t="n">
        <v>1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RESUMO'!AW9</f>
        <v>0</v>
      </c>
      <c r="N50" s="140" t="n">
        <f aca="false">MAX(0,M50-M49)</f>
        <v>0</v>
      </c>
      <c r="O50" s="139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1413.40283966317</v>
      </c>
      <c r="E51" s="45" t="n">
        <f aca="false">L51+D51/$K$2</f>
        <v>1.08744877034301</v>
      </c>
      <c r="F51" s="117" t="n">
        <f aca="false">IF($K$9=0,0,E51/$K$9)</f>
        <v>0.0160778326494897</v>
      </c>
      <c r="G51" s="117" t="n">
        <f aca="false">G50+F51</f>
        <v>0.967844334701022</v>
      </c>
      <c r="H51" s="138" t="n">
        <v>1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RESUMO'!AX9</f>
        <v>0</v>
      </c>
      <c r="N51" s="140" t="n">
        <f aca="false">MAX(0,M51-M50)</f>
        <v>0</v>
      </c>
      <c r="O51" s="139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1413.40283966317</v>
      </c>
      <c r="E52" s="45" t="n">
        <f aca="false">L52+D52/$K$2</f>
        <v>1.08744877034301</v>
      </c>
      <c r="F52" s="117" t="n">
        <f aca="false">IF($K$9=0,0,E52/$K$9)</f>
        <v>0.0160778326494897</v>
      </c>
      <c r="G52" s="117" t="n">
        <f aca="false">G51+F52</f>
        <v>0.983922167350511</v>
      </c>
      <c r="H52" s="138" t="n">
        <v>1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RESUMO'!AY9</f>
        <v>0</v>
      </c>
      <c r="N52" s="140" t="n">
        <f aca="false">MAX(0,M52-M51)</f>
        <v>0</v>
      </c>
      <c r="O52" s="139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1413.40283966317</v>
      </c>
      <c r="E53" s="45" t="n">
        <f aca="false">L53+D53/$K$2</f>
        <v>1.08744877034301</v>
      </c>
      <c r="F53" s="117" t="n">
        <f aca="false">IF($K$9=0,0,E53/$K$9)</f>
        <v>0.0160778326494897</v>
      </c>
      <c r="G53" s="117" t="n">
        <f aca="false">G52+F53</f>
        <v>1</v>
      </c>
      <c r="H53" s="138" t="n">
        <v>1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RESUMO'!AZ9</f>
        <v>0</v>
      </c>
      <c r="N53" s="140" t="n">
        <f aca="false">MAX(0,M53-M52)</f>
        <v>0</v>
      </c>
      <c r="O53" s="139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RESUMO'!BA9</f>
        <v>0</v>
      </c>
      <c r="N54" s="140" t="n">
        <f aca="false">MAX(0,M54-M53)</f>
        <v>0</v>
      </c>
      <c r="O54" s="139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RESUMO'!BB9</f>
        <v>0</v>
      </c>
      <c r="N55" s="140" t="n">
        <f aca="false">MAX(0,M55-M54)</f>
        <v>0</v>
      </c>
      <c r="O55" s="139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RESUMO'!BC9</f>
        <v>0</v>
      </c>
      <c r="N56" s="140" t="n">
        <f aca="false">MAX(0,M56-M55)</f>
        <v>0</v>
      </c>
      <c r="O56" s="139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RESUMO'!BD9</f>
        <v>0</v>
      </c>
      <c r="N57" s="140" t="n">
        <f aca="false">MAX(0,M57-M56)</f>
        <v>0</v>
      </c>
      <c r="O57" s="139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RESUMO'!BE9</f>
        <v>0</v>
      </c>
      <c r="N58" s="140" t="n">
        <f aca="false">MAX(0,M58-M57)</f>
        <v>0</v>
      </c>
      <c r="O58" s="139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RESUMO'!BF9</f>
        <v>0</v>
      </c>
      <c r="N59" s="140" t="n">
        <f aca="false">MAX(0,M59-M58)</f>
        <v>0</v>
      </c>
      <c r="O59" s="139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RESUMO'!BG9</f>
        <v>0</v>
      </c>
      <c r="N60" s="140" t="n">
        <f aca="false">MAX(0,M60-M59)</f>
        <v>0</v>
      </c>
      <c r="O60" s="139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RESUMO'!BH9</f>
        <v>0</v>
      </c>
      <c r="N61" s="140" t="n">
        <f aca="false">MAX(0,M61-M60)</f>
        <v>0</v>
      </c>
      <c r="O61" s="139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RESUMO'!BI9</f>
        <v>0</v>
      </c>
      <c r="N62" s="140" t="n">
        <f aca="false">MAX(0,M62-M61)</f>
        <v>0</v>
      </c>
      <c r="O62" s="139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RESUMO'!BJ9</f>
        <v>0</v>
      </c>
      <c r="N63" s="140" t="n">
        <f aca="false">MAX(0,M63-M62)</f>
        <v>0</v>
      </c>
      <c r="O63" s="139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RESUMO'!BK9</f>
        <v>0</v>
      </c>
      <c r="N64" s="140" t="n">
        <f aca="false">MAX(0,M64-M63)</f>
        <v>0</v>
      </c>
      <c r="O64" s="139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RESUMO'!BL9</f>
        <v>0</v>
      </c>
      <c r="N65" s="140" t="n">
        <f aca="false">MAX(0,M65-M64)</f>
        <v>0</v>
      </c>
      <c r="O65" s="139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RESUMO'!BM9</f>
        <v>0</v>
      </c>
      <c r="N66" s="140" t="n">
        <f aca="false">MAX(0,M66-M65)</f>
        <v>0</v>
      </c>
      <c r="O66" s="139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RESUMO'!BN9</f>
        <v>0</v>
      </c>
      <c r="N67" s="140" t="n">
        <f aca="false">MAX(0,M67-M66)</f>
        <v>0</v>
      </c>
      <c r="O67" s="139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RESUMO'!BO9</f>
        <v>0</v>
      </c>
      <c r="N68" s="140" t="n">
        <f aca="false">MAX(0,M68-M67)</f>
        <v>0</v>
      </c>
      <c r="O68" s="139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RESUMO'!BP9</f>
        <v>0</v>
      </c>
      <c r="N69" s="140" t="n">
        <f aca="false">MAX(0,M69-M68)</f>
        <v>0</v>
      </c>
      <c r="O69" s="139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RESUMO'!BQ9</f>
        <v>0</v>
      </c>
      <c r="N70" s="140" t="n">
        <f aca="false">MAX(0,M70-M69)</f>
        <v>0</v>
      </c>
      <c r="O70" s="139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RESUMO'!BR9</f>
        <v>0</v>
      </c>
      <c r="N71" s="140" t="n">
        <f aca="false">MAX(0,M71-M70)</f>
        <v>0</v>
      </c>
      <c r="O71" s="139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RESUMO'!BS9</f>
        <v>0</v>
      </c>
      <c r="N72" s="140" t="n">
        <f aca="false">MAX(0,M72-M71)</f>
        <v>0</v>
      </c>
      <c r="O72" s="139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RESUMO'!BT9</f>
        <v>0</v>
      </c>
      <c r="N73" s="140" t="n">
        <f aca="false">MAX(0,M73-M72)</f>
        <v>0</v>
      </c>
      <c r="O73" s="139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RESUMO'!BU9</f>
        <v>0</v>
      </c>
      <c r="N74" s="140" t="n">
        <f aca="false">MAX(0,M74-M73)</f>
        <v>0</v>
      </c>
      <c r="O74" s="139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RESUMO'!BV9</f>
        <v>0</v>
      </c>
      <c r="N75" s="140" t="n">
        <f aca="false">MAX(0,M75-M74)</f>
        <v>0</v>
      </c>
      <c r="O75" s="139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RESUMO'!BW9</f>
        <v>0</v>
      </c>
      <c r="N76" s="140" t="n">
        <f aca="false">MAX(0,M76-M75)</f>
        <v>0</v>
      </c>
      <c r="O76" s="139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47986.67</v>
      </c>
      <c r="D78" s="61" t="n">
        <f aca="false">SUM(D5:D76)</f>
        <v>38161.8766709056</v>
      </c>
      <c r="E78" s="61" t="n">
        <f aca="false">SUM(E5:E76)</f>
        <v>67.6365275127759</v>
      </c>
      <c r="F78" s="145" t="n">
        <f aca="false">SUM(F5:F76)</f>
        <v>1</v>
      </c>
      <c r="H78" s="61" t="n">
        <f aca="false">SUM(H5:H76)</f>
        <v>28</v>
      </c>
      <c r="L78" s="61" t="n">
        <f aca="false">SUM(L5:L76)</f>
        <v>38.2754107135145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HISTORICOS'!D10)</f>
        <v>2972.54</v>
      </c>
      <c r="D5" s="45" t="n">
        <f aca="false">IF(B5&lt;='VALOR POR PL'!$P$5,0,IF($K$17&gt;0,$K$18*P5/$K$17,0))</f>
        <v>0</v>
      </c>
      <c r="E5" s="45" t="n">
        <f aca="false">L5+D5/$K$2</f>
        <v>2.60788756773841</v>
      </c>
      <c r="F5" s="117" t="n">
        <f aca="false">IF($K$9=0,0,E5/$K$9)</f>
        <v>0.00524201814793102</v>
      </c>
      <c r="G5" s="117" t="n">
        <f aca="false">F5</f>
        <v>0.00524201814793102</v>
      </c>
      <c r="H5" s="138"/>
      <c r="I5" s="42" t="s">
        <v>3894</v>
      </c>
      <c r="J5" s="56" t="n">
        <f aca="false">'VALOR POR PL'!F16</f>
        <v>544500</v>
      </c>
      <c r="K5" s="56" t="n">
        <f aca="false">'VALOR POR PL'!G16</f>
        <v>466.159243</v>
      </c>
      <c r="L5" s="56" t="n">
        <f aca="false">'DADOS HISTORICOS'!$BZ$10</f>
        <v>2.60788756773841</v>
      </c>
      <c r="M5" s="139" t="n">
        <f aca="false">'CP RESUMO'!D10</f>
        <v>0</v>
      </c>
      <c r="N5" s="140" t="n">
        <v>0</v>
      </c>
      <c r="O5" s="139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HISTORICOS'!E10)</f>
        <v>880.02</v>
      </c>
      <c r="D6" s="45" t="n">
        <f aca="false">IF(B6&lt;='VALOR POR PL'!$P$5,0,IF($K$17&gt;0,$K$18*P6/$K$17,0))</f>
        <v>0</v>
      </c>
      <c r="E6" s="45" t="n">
        <f aca="false">L6+D6/$K$2</f>
        <v>0.752722569873306</v>
      </c>
      <c r="F6" s="117" t="n">
        <f aca="false">IF($K$9=0,0,E6/$K$9)</f>
        <v>0.00151301974074556</v>
      </c>
      <c r="G6" s="117" t="n">
        <f aca="false">G5+F6</f>
        <v>0.00675503788867658</v>
      </c>
      <c r="H6" s="138"/>
      <c r="I6" s="42" t="s">
        <v>3895</v>
      </c>
      <c r="K6" s="52" t="n">
        <f aca="false">'VALOR POR PL'!H16</f>
        <v>497.847447754852</v>
      </c>
      <c r="L6" s="45" t="n">
        <f aca="false">C6/IF(B6&lt;='VALOR POR PL'!$P$5,IFERROR(INDEX('"INCC-FGV"'!$B$2:$B$800,MATCH(B6,'"INCC-FGV"'!$A$2:$A$800,0)),$K$2),$K$2)</f>
        <v>0.752722569873306</v>
      </c>
      <c r="M6" s="139" t="n">
        <f aca="false">'CP RESUMO'!E10</f>
        <v>0</v>
      </c>
      <c r="N6" s="140" t="n">
        <f aca="false">MAX(0,M6-M5)</f>
        <v>0</v>
      </c>
      <c r="O6" s="139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HISTORICOS'!F10)</f>
        <v>300</v>
      </c>
      <c r="D7" s="45" t="n">
        <f aca="false">IF(B7&lt;='VALOR POR PL'!$P$5,0,IF($K$17&gt;0,$K$18*P7/$K$17,0))</f>
        <v>0</v>
      </c>
      <c r="E7" s="45" t="n">
        <f aca="false">L7+D7/$K$2</f>
        <v>0.255585610530127</v>
      </c>
      <c r="F7" s="117" t="n">
        <f aca="false">IF($K$9=0,0,E7/$K$9)</f>
        <v>0.000513743163364528</v>
      </c>
      <c r="G7" s="117" t="n">
        <f aca="false">G6+F7</f>
        <v>0.00726878105204111</v>
      </c>
      <c r="H7" s="138"/>
      <c r="I7" s="42" t="s">
        <v>3896</v>
      </c>
      <c r="J7" s="45" t="n">
        <f aca="false">C78+D78</f>
        <v>642823.539390426</v>
      </c>
      <c r="L7" s="45" t="n">
        <f aca="false">C7/IF(B7&lt;='VALOR POR PL'!$P$5,IFERROR(INDEX('"INCC-FGV"'!$B$2:$B$800,MATCH(B7,'"INCC-FGV"'!$A$2:$A$800,0)),$K$2),$K$2)</f>
        <v>0.255585610530127</v>
      </c>
      <c r="M7" s="139" t="n">
        <f aca="false">'CP RESUMO'!F10</f>
        <v>0</v>
      </c>
      <c r="N7" s="140" t="n">
        <f aca="false">MAX(0,M7-M6)</f>
        <v>0</v>
      </c>
      <c r="O7" s="139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HISTORICOS'!G10)</f>
        <v>95.94</v>
      </c>
      <c r="D8" s="45" t="n">
        <f aca="false">IF(B8&lt;='VALOR POR PL'!$P$5,0,IF($K$17&gt;0,$K$18*P8/$K$17,0))</f>
        <v>0</v>
      </c>
      <c r="E8" s="45" t="n">
        <f aca="false">L8+D8/$K$2</f>
        <v>0.0814164458844555</v>
      </c>
      <c r="F8" s="117" t="n">
        <f aca="false">IF($K$9=0,0,E8/$K$9)</f>
        <v>0.000163652180464388</v>
      </c>
      <c r="G8" s="117" t="n">
        <f aca="false">G7+F8</f>
        <v>0.0074324332325055</v>
      </c>
      <c r="H8" s="138"/>
      <c r="I8" s="42" t="s">
        <v>3897</v>
      </c>
      <c r="K8" s="66" t="n">
        <f aca="false">SUM(L5:L76)</f>
        <v>117.489081826633</v>
      </c>
      <c r="L8" s="45" t="n">
        <f aca="false">C8/IF(B8&lt;='VALOR POR PL'!$P$5,IFERROR(INDEX('"INCC-FGV"'!$B$2:$B$800,MATCH(B8,'"INCC-FGV"'!$A$2:$A$800,0)),$K$2),$K$2)</f>
        <v>0.0814164458844555</v>
      </c>
      <c r="M8" s="139" t="n">
        <f aca="false">'CP RESUMO'!G10</f>
        <v>0</v>
      </c>
      <c r="N8" s="140" t="n">
        <f aca="false">MAX(0,M8-M7)</f>
        <v>0</v>
      </c>
      <c r="O8" s="139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HISTORICOS'!H10)</f>
        <v>159.9</v>
      </c>
      <c r="D9" s="45" t="n">
        <f aca="false">IF(B9&lt;='VALOR POR PL'!$P$5,0,IF($K$17&gt;0,$K$18*P9/$K$17,0))</f>
        <v>0</v>
      </c>
      <c r="E9" s="45" t="n">
        <f aca="false">L9+D9/$K$2</f>
        <v>0.134997999091571</v>
      </c>
      <c r="F9" s="117" t="n">
        <f aca="false">IF($K$9=0,0,E9/$K$9)</f>
        <v>0.000271354474758312</v>
      </c>
      <c r="G9" s="117" t="n">
        <f aca="false">G8+F9</f>
        <v>0.00770378770726381</v>
      </c>
      <c r="H9" s="138"/>
      <c r="I9" s="42" t="s">
        <v>3898</v>
      </c>
      <c r="J9" s="45" t="n">
        <f aca="false">C78+D78</f>
        <v>642823.539390426</v>
      </c>
      <c r="K9" s="45" t="n">
        <f aca="false">E78</f>
        <v>497.496859824441</v>
      </c>
      <c r="L9" s="45" t="n">
        <f aca="false">C9/IF(B9&lt;='VALOR POR PL'!$P$5,IFERROR(INDEX('"INCC-FGV"'!$B$2:$B$800,MATCH(B9,'"INCC-FGV"'!$A$2:$A$800,0)),$K$2),$K$2)</f>
        <v>0.134997999091571</v>
      </c>
      <c r="M9" s="139" t="n">
        <f aca="false">'CP RESUMO'!H10</f>
        <v>0</v>
      </c>
      <c r="N9" s="140" t="n">
        <f aca="false">MAX(0,M9-M8)</f>
        <v>0</v>
      </c>
      <c r="O9" s="139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HISTORICOS'!I10)</f>
        <v>159.9</v>
      </c>
      <c r="D10" s="45" t="n">
        <f aca="false">IF(B10&lt;='VALOR POR PL'!$P$5,0,IF($K$17&gt;0,$K$18*P10/$K$17,0))</f>
        <v>0</v>
      </c>
      <c r="E10" s="45" t="n">
        <f aca="false">L10+D10/$K$2</f>
        <v>0.134220075596373</v>
      </c>
      <c r="F10" s="117" t="n">
        <f aca="false">IF($K$9=0,0,E10/$K$9)</f>
        <v>0.000269790799571553</v>
      </c>
      <c r="G10" s="117" t="n">
        <f aca="false">G9+F10</f>
        <v>0.00797357850683536</v>
      </c>
      <c r="H10" s="138"/>
      <c r="I10" s="42" t="s">
        <v>3899</v>
      </c>
      <c r="K10" s="52" t="n">
        <f aca="false">IF(K6-K8&gt;0,(K6-K8)*'VALOR POR PL'!$G$65,K6-K8)</f>
        <v>380.007777997807</v>
      </c>
      <c r="L10" s="45" t="n">
        <f aca="false">C10/IF(B10&lt;='VALOR POR PL'!$P$5,IFERROR(INDEX('"INCC-FGV"'!$B$2:$B$800,MATCH(B10,'"INCC-FGV"'!$A$2:$A$800,0)),$K$2),$K$2)</f>
        <v>0.134220075596373</v>
      </c>
      <c r="M10" s="139" t="n">
        <f aca="false">'CP RESUMO'!I10</f>
        <v>0</v>
      </c>
      <c r="N10" s="140" t="n">
        <f aca="false">MAX(0,M10-M9)</f>
        <v>0</v>
      </c>
      <c r="O10" s="139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HISTORICOS'!J10)</f>
        <v>163.19</v>
      </c>
      <c r="D11" s="45" t="n">
        <f aca="false">IF(B11&lt;='VALOR POR PL'!$P$5,0,IF($K$17&gt;0,$K$18*P11/$K$17,0))</f>
        <v>0</v>
      </c>
      <c r="E11" s="45" t="n">
        <f aca="false">L11+D11/$K$2</f>
        <v>0.136047332700297</v>
      </c>
      <c r="F11" s="117" t="n">
        <f aca="false">IF($K$9=0,0,E11/$K$9)</f>
        <v>0.000273463701355433</v>
      </c>
      <c r="G11" s="117" t="n">
        <f aca="false">G10+F11</f>
        <v>0.00824704220819079</v>
      </c>
      <c r="H11" s="138"/>
      <c r="I11" s="42" t="s">
        <v>3900</v>
      </c>
      <c r="K11" s="56" t="n">
        <f aca="false">SUMPRODUCT((B5:B76&gt;'VALOR POR PL'!$P$5)*H5:H76)</f>
        <v>446780.66</v>
      </c>
      <c r="L11" s="45" t="n">
        <f aca="false">C11/IF(B11&lt;='VALOR POR PL'!$P$5,IFERROR(INDEX('"INCC-FGV"'!$B$2:$B$800,MATCH(B11,'"INCC-FGV"'!$A$2:$A$800,0)),$K$2),$K$2)</f>
        <v>0.136047332700297</v>
      </c>
      <c r="M11" s="139" t="n">
        <f aca="false">'CP RESUMO'!J10</f>
        <v>0</v>
      </c>
      <c r="N11" s="140" t="n">
        <f aca="false">MAX(0,M11-M10)</f>
        <v>0</v>
      </c>
      <c r="O11" s="139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HISTORICOS'!K10)</f>
        <v>1728.34</v>
      </c>
      <c r="D12" s="45" t="n">
        <f aca="false">IF(B12&lt;='VALOR POR PL'!$P$5,0,IF($K$17&gt;0,$K$18*P12/$K$17,0))</f>
        <v>0</v>
      </c>
      <c r="E12" s="45" t="n">
        <f aca="false">L12+D12/$K$2</f>
        <v>1.42782437580082</v>
      </c>
      <c r="F12" s="117" t="n">
        <f aca="false">IF($K$9=0,0,E12/$K$9)</f>
        <v>0.00287001686061834</v>
      </c>
      <c r="G12" s="117" t="n">
        <f aca="false">G11+F12</f>
        <v>0.0111170590688091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1.42782437580082</v>
      </c>
      <c r="M12" s="139" t="n">
        <f aca="false">'CP RESUMO'!K10</f>
        <v>0</v>
      </c>
      <c r="N12" s="140" t="n">
        <f aca="false">MAX(0,M12-M11)</f>
        <v>0</v>
      </c>
      <c r="O12" s="139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HISTORICOS'!L10)</f>
        <v>3979.1</v>
      </c>
      <c r="D13" s="45" t="n">
        <f aca="false">IF(B13&lt;='VALOR POR PL'!$P$5,0,IF($K$17&gt;0,$K$18*P13/$K$17,0))</f>
        <v>0</v>
      </c>
      <c r="E13" s="45" t="n">
        <f aca="false">L13+D13/$K$2</f>
        <v>3.27038742309153</v>
      </c>
      <c r="F13" s="117" t="n">
        <f aca="false">IF($K$9=0,0,E13/$K$9)</f>
        <v>0.0065736845540002</v>
      </c>
      <c r="G13" s="117" t="n">
        <f aca="false">G12+F13</f>
        <v>0.0176907436228093</v>
      </c>
      <c r="H13" s="138"/>
      <c r="I13" s="42" t="s">
        <v>3902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3.27038742309153</v>
      </c>
      <c r="M13" s="139" t="n">
        <f aca="false">'CP RESUMO'!L10</f>
        <v>0</v>
      </c>
      <c r="N13" s="140" t="n">
        <f aca="false">MAX(0,M13-M12)</f>
        <v>0</v>
      </c>
      <c r="O13" s="139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HISTORICOS'!M10)</f>
        <v>5969.69</v>
      </c>
      <c r="D14" s="45" t="n">
        <f aca="false">IF(B14&lt;='VALOR POR PL'!$P$5,0,IF($K$17&gt;0,$K$18*P14/$K$17,0))</f>
        <v>0</v>
      </c>
      <c r="E14" s="45" t="n">
        <f aca="false">L14+D14/$K$2</f>
        <v>4.89821923664222</v>
      </c>
      <c r="F14" s="117" t="n">
        <f aca="false">IF($K$9=0,0,E14/$K$9)</f>
        <v>0.0098457289526827</v>
      </c>
      <c r="G14" s="117" t="n">
        <f aca="false">G13+F14</f>
        <v>0.027536472575492</v>
      </c>
      <c r="H14" s="138"/>
      <c r="I14" s="42" t="s">
        <v>3903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4.89821923664222</v>
      </c>
      <c r="M14" s="139" t="n">
        <f aca="false">'CP RESUMO'!M10</f>
        <v>0</v>
      </c>
      <c r="N14" s="140" t="n">
        <f aca="false">MAX(0,M14-M13)</f>
        <v>0</v>
      </c>
      <c r="O14" s="139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HISTORICOS'!N10)</f>
        <v>5640.06</v>
      </c>
      <c r="D15" s="45" t="n">
        <f aca="false">IF(B15&lt;='VALOR POR PL'!$P$5,0,IF($K$17&gt;0,$K$18*P15/$K$17,0))</f>
        <v>0</v>
      </c>
      <c r="E15" s="45" t="n">
        <f aca="false">L15+D15/$K$2</f>
        <v>4.61408951238428</v>
      </c>
      <c r="F15" s="117" t="n">
        <f aca="false">IF($K$9=0,0,E15/$K$9)</f>
        <v>0.00927461032419888</v>
      </c>
      <c r="G15" s="117" t="n">
        <f aca="false">G14+F15</f>
        <v>0.0368110828996909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4.61408951238428</v>
      </c>
      <c r="M15" s="139" t="n">
        <f aca="false">'CP RESUMO'!N10</f>
        <v>0</v>
      </c>
      <c r="N15" s="140" t="n">
        <f aca="false">MAX(0,M15-M14)</f>
        <v>0</v>
      </c>
      <c r="O15" s="139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HISTORICOS'!O10)</f>
        <v>6754</v>
      </c>
      <c r="D16" s="45" t="n">
        <f aca="false">IF(B16&lt;='VALOR POR PL'!$P$5,0,IF($K$17&gt;0,$K$18*P16/$K$17,0))</f>
        <v>0</v>
      </c>
      <c r="E16" s="45" t="n">
        <f aca="false">L16+D16/$K$2</f>
        <v>5.5106218582561</v>
      </c>
      <c r="F16" s="117" t="n">
        <f aca="false">IF($K$9=0,0,E16/$K$9)</f>
        <v>0.0110766967658866</v>
      </c>
      <c r="G16" s="117" t="n">
        <f aca="false">G15+F16</f>
        <v>0.0478877796655775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5.5106218582561</v>
      </c>
      <c r="M16" s="139" t="n">
        <f aca="false">'CP RESUMO'!O10</f>
        <v>0</v>
      </c>
      <c r="N16" s="140" t="n">
        <f aca="false">MAX(0,M16-M15)</f>
        <v>0</v>
      </c>
      <c r="O16" s="139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HISTORICOS'!P10)</f>
        <v>3019.33</v>
      </c>
      <c r="D17" s="45" t="n">
        <f aca="false">IF(B17&lt;='VALOR POR PL'!$P$5,0,IF($K$17&gt;0,$K$18*P17/$K$17,0))</f>
        <v>0</v>
      </c>
      <c r="E17" s="45" t="n">
        <f aca="false">L17+D17/$K$2</f>
        <v>2.45841546833029</v>
      </c>
      <c r="F17" s="117" t="n">
        <f aca="false">IF($K$9=0,0,E17/$K$9)</f>
        <v>0.00494156982055692</v>
      </c>
      <c r="G17" s="117" t="n">
        <f aca="false">G16+F17</f>
        <v>0.0528293494861344</v>
      </c>
      <c r="H17" s="138"/>
      <c r="I17" s="42" t="s">
        <v>3907</v>
      </c>
      <c r="K17" s="45" t="n">
        <f aca="false">SUM(P5:P76)</f>
        <v>446780.66</v>
      </c>
      <c r="L17" s="45" t="n">
        <f aca="false">C17/IF(B17&lt;='VALOR POR PL'!$P$5,IFERROR(INDEX('"INCC-FGV"'!$B$2:$B$800,MATCH(B17,'"INCC-FGV"'!$A$2:$A$800,0)),$K$2),$K$2)</f>
        <v>2.45841546833029</v>
      </c>
      <c r="M17" s="139" t="n">
        <f aca="false">'CP RESUMO'!P10</f>
        <v>0</v>
      </c>
      <c r="N17" s="140" t="n">
        <f aca="false">MAX(0,M17-M16)</f>
        <v>0</v>
      </c>
      <c r="O17" s="139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HISTORICOS'!Q10)</f>
        <v>4184.45</v>
      </c>
      <c r="D18" s="45" t="n">
        <f aca="false">IF(B18&lt;='VALOR POR PL'!$P$5,0,IF($K$17&gt;0,$K$18*P18/$K$17,0))</f>
        <v>0</v>
      </c>
      <c r="E18" s="45" t="n">
        <f aca="false">L18+D18/$K$2</f>
        <v>3.38264205730472</v>
      </c>
      <c r="F18" s="117" t="n">
        <f aca="false">IF($K$9=0,0,E18/$K$9)</f>
        <v>0.00679932343391756</v>
      </c>
      <c r="G18" s="117" t="n">
        <f aca="false">G17+F18</f>
        <v>0.059628672920052</v>
      </c>
      <c r="H18" s="138"/>
      <c r="I18" s="42" t="s">
        <v>3908</v>
      </c>
      <c r="K18" s="45" t="n">
        <f aca="false">MAX(0,K10)*$K$2</f>
        <v>493912.069390426</v>
      </c>
      <c r="L18" s="45" t="n">
        <f aca="false">C18/IF(B18&lt;='VALOR POR PL'!$P$5,IFERROR(INDEX('"INCC-FGV"'!$B$2:$B$800,MATCH(B18,'"INCC-FGV"'!$A$2:$A$800,0)),$K$2),$K$2)</f>
        <v>3.38264205730472</v>
      </c>
      <c r="M18" s="139" t="n">
        <f aca="false">'CP RESUMO'!Q10</f>
        <v>0</v>
      </c>
      <c r="N18" s="140" t="n">
        <f aca="false">MAX(0,M18-M17)</f>
        <v>0</v>
      </c>
      <c r="O18" s="139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HISTORICOS'!R10)</f>
        <v>6514.18</v>
      </c>
      <c r="D19" s="45" t="n">
        <f aca="false">IF(B19&lt;='VALOR POR PL'!$P$5,0,IF($K$17&gt;0,$K$18*P19/$K$17,0))</f>
        <v>0</v>
      </c>
      <c r="E19" s="45" t="n">
        <f aca="false">L19+D19/$K$2</f>
        <v>5.2513339583597</v>
      </c>
      <c r="F19" s="117" t="n">
        <f aca="false">IF($K$9=0,0,E19/$K$9)</f>
        <v>0.0105555117678789</v>
      </c>
      <c r="G19" s="117" t="n">
        <f aca="false">G18+F19</f>
        <v>0.0701841846879309</v>
      </c>
      <c r="H19" s="138"/>
      <c r="I19" s="42" t="s">
        <v>3909</v>
      </c>
      <c r="K19" s="142" t="n">
        <f aca="false">IF(AND(K16="PREVISÃO INFORMADA",K11&gt;0),K18/K11-1,"")</f>
        <v>0.105491158436504</v>
      </c>
      <c r="L19" s="45" t="n">
        <f aca="false">C19/IF(B19&lt;='VALOR POR PL'!$P$5,IFERROR(INDEX('"INCC-FGV"'!$B$2:$B$800,MATCH(B19,'"INCC-FGV"'!$A$2:$A$800,0)),$K$2),$K$2)</f>
        <v>5.2513339583597</v>
      </c>
      <c r="M19" s="139" t="n">
        <f aca="false">'CP RESUMO'!R10</f>
        <v>0</v>
      </c>
      <c r="N19" s="140" t="n">
        <f aca="false">MAX(0,M19-M18)</f>
        <v>0</v>
      </c>
      <c r="O19" s="139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HISTORICOS'!S10)</f>
        <v>5589.84</v>
      </c>
      <c r="D20" s="45" t="n">
        <f aca="false">IF(B20&lt;='VALOR POR PL'!$P$5,0,IF($K$17&gt;0,$K$18*P20/$K$17,0))</f>
        <v>0</v>
      </c>
      <c r="E20" s="45" t="n">
        <f aca="false">L20+D20/$K$2</f>
        <v>4.48197976075646</v>
      </c>
      <c r="F20" s="117" t="n">
        <f aca="false">IF($K$9=0,0,E20/$K$9)</f>
        <v>0.00900906140862494</v>
      </c>
      <c r="G20" s="117" t="n">
        <f aca="false">G19+F20</f>
        <v>0.0791932460965558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4.48197976075646</v>
      </c>
      <c r="M20" s="139" t="n">
        <f aca="false">'CP RESUMO'!S10</f>
        <v>0</v>
      </c>
      <c r="N20" s="140" t="n">
        <f aca="false">MAX(0,M20-M19)</f>
        <v>0</v>
      </c>
      <c r="O20" s="139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HISTORICOS'!T10)</f>
        <v>9085.29</v>
      </c>
      <c r="D21" s="45" t="n">
        <f aca="false">IF(B21&lt;='VALOR POR PL'!$P$5,0,IF($K$17&gt;0,$K$18*P21/$K$17,0))</f>
        <v>0</v>
      </c>
      <c r="E21" s="45" t="n">
        <f aca="false">L21+D21/$K$2</f>
        <v>7.21253965380915</v>
      </c>
      <c r="F21" s="117" t="n">
        <f aca="false">IF($K$9=0,0,E21/$K$9)</f>
        <v>0.0144976586512613</v>
      </c>
      <c r="G21" s="117" t="n">
        <f aca="false">G20+F21</f>
        <v>0.0936909047478172</v>
      </c>
      <c r="H21" s="138"/>
      <c r="K21" s="143"/>
      <c r="L21" s="45" t="n">
        <f aca="false">C21/IF(B21&lt;='VALOR POR PL'!$P$5,IFERROR(INDEX('"INCC-FGV"'!$B$2:$B$800,MATCH(B21,'"INCC-FGV"'!$A$2:$A$800,0)),$K$2),$K$2)</f>
        <v>7.21253965380915</v>
      </c>
      <c r="M21" s="139" t="n">
        <f aca="false">'CP RESUMO'!T10</f>
        <v>0</v>
      </c>
      <c r="N21" s="140" t="n">
        <f aca="false">MAX(0,M21-M20)</f>
        <v>0</v>
      </c>
      <c r="O21" s="139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HISTORICOS'!U10)</f>
        <v>5613.52</v>
      </c>
      <c r="D22" s="45" t="n">
        <f aca="false">IF(B22&lt;='VALOR POR PL'!$P$5,0,IF($K$17&gt;0,$K$18*P22/$K$17,0))</f>
        <v>0</v>
      </c>
      <c r="E22" s="45" t="n">
        <f aca="false">L22+D22/$K$2</f>
        <v>4.41767694057189</v>
      </c>
      <c r="F22" s="117" t="n">
        <f aca="false">IF($K$9=0,0,E22/$K$9)</f>
        <v>0.00887980869292487</v>
      </c>
      <c r="G22" s="117" t="n">
        <f aca="false">G21+F22</f>
        <v>0.102570713440742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4.41767694057189</v>
      </c>
      <c r="M22" s="139" t="n">
        <f aca="false">'CP RESUMO'!U10</f>
        <v>0</v>
      </c>
      <c r="N22" s="140" t="n">
        <f aca="false">MAX(0,M22-M21)</f>
        <v>0</v>
      </c>
      <c r="O22" s="139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HISTORICOS'!V10)</f>
        <v>4259.08</v>
      </c>
      <c r="D23" s="45" t="n">
        <f aca="false">IF(B23&lt;='VALOR POR PL'!$P$5,0,IF($K$17&gt;0,$K$18*P23/$K$17,0))</f>
        <v>0</v>
      </c>
      <c r="E23" s="45" t="n">
        <f aca="false">L23+D23/$K$2</f>
        <v>3.32574078137433</v>
      </c>
      <c r="F23" s="117" t="n">
        <f aca="false">IF($K$9=0,0,E23/$K$9)</f>
        <v>0.00668494828801117</v>
      </c>
      <c r="G23" s="117" t="n">
        <f aca="false">G22+F23</f>
        <v>0.109255661728753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3.32574078137433</v>
      </c>
      <c r="M23" s="139" t="n">
        <f aca="false">'CP RESUMO'!V10</f>
        <v>0</v>
      </c>
      <c r="N23" s="140" t="n">
        <f aca="false">MAX(0,M23-M22)</f>
        <v>0</v>
      </c>
      <c r="O23" s="139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HISTORICOS'!W10)</f>
        <v>13140.55</v>
      </c>
      <c r="D24" s="45" t="n">
        <f aca="false">IF(B24&lt;='VALOR POR PL'!$P$5,0,IF($K$17&gt;0,$K$18*P24/$K$17,0))</f>
        <v>0</v>
      </c>
      <c r="E24" s="45" t="n">
        <f aca="false">L24+D24/$K$2</f>
        <v>10.1988775495157</v>
      </c>
      <c r="F24" s="117" t="n">
        <f aca="false">IF($K$9=0,0,E24/$K$9)</f>
        <v>0.0205003857775397</v>
      </c>
      <c r="G24" s="117" t="n">
        <f aca="false">G23+F24</f>
        <v>0.129756047506293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10.1988775495157</v>
      </c>
      <c r="M24" s="139" t="n">
        <f aca="false">'CP RESUMO'!W10</f>
        <v>0</v>
      </c>
      <c r="N24" s="140" t="n">
        <f aca="false">MAX(0,M24-M23)</f>
        <v>0</v>
      </c>
      <c r="O24" s="139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HISTORICOS'!X10)</f>
        <v>45641.08</v>
      </c>
      <c r="D25" s="45" t="n">
        <f aca="false">IF(B25&lt;='VALOR POR PL'!$P$5,0,IF($K$17&gt;0,$K$18*P25/$K$17,0))</f>
        <v>0</v>
      </c>
      <c r="E25" s="45" t="n">
        <f aca="false">L25+D25/$K$2</f>
        <v>35.1927420157007</v>
      </c>
      <c r="F25" s="117" t="n">
        <f aca="false">IF($K$9=0,0,E25/$K$9)</f>
        <v>0.0707396264332596</v>
      </c>
      <c r="G25" s="117" t="n">
        <f aca="false">G24+F25</f>
        <v>0.200495673939553</v>
      </c>
      <c r="H25" s="138"/>
      <c r="L25" s="45" t="n">
        <f aca="false">C25/IF(B25&lt;='VALOR POR PL'!$P$5,IFERROR(INDEX('"INCC-FGV"'!$B$2:$B$800,MATCH(B25,'"INCC-FGV"'!$A$2:$A$800,0)),$K$2),$K$2)</f>
        <v>35.1927420157007</v>
      </c>
      <c r="M25" s="139" t="n">
        <f aca="false">'CP RESUMO'!X10</f>
        <v>0</v>
      </c>
      <c r="N25" s="140" t="n">
        <f aca="false">MAX(0,M25-M24)</f>
        <v>0</v>
      </c>
      <c r="O25" s="139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HISTORICOS'!Y10)</f>
        <v>17050.13</v>
      </c>
      <c r="D26" s="45" t="n">
        <f aca="false">IF(B26&lt;='VALOR POR PL'!$P$5,0,IF($K$17&gt;0,$K$18*P26/$K$17,0))</f>
        <v>0</v>
      </c>
      <c r="E26" s="45" t="n">
        <f aca="false">L26+D26/$K$2</f>
        <v>13.118088051321</v>
      </c>
      <c r="F26" s="117" t="n">
        <f aca="false">IF($K$9=0,0,E26/$K$9)</f>
        <v>0.026368182617173</v>
      </c>
      <c r="G26" s="117" t="n">
        <f aca="false">G25+F26</f>
        <v>0.226863856556726</v>
      </c>
      <c r="H26" s="138" t="n">
        <v>14948.45</v>
      </c>
      <c r="L26" s="45" t="n">
        <f aca="false">C26/IF(B26&lt;='VALOR POR PL'!$P$5,IFERROR(INDEX('"INCC-FGV"'!$B$2:$B$800,MATCH(B26,'"INCC-FGV"'!$A$2:$A$800,0)),$K$2),$K$2)</f>
        <v>13.118088051321</v>
      </c>
      <c r="M26" s="139" t="n">
        <f aca="false">'CP RESUMO'!Y10</f>
        <v>0</v>
      </c>
      <c r="N26" s="140" t="n">
        <f aca="false">MAX(0,M26-M25)</f>
        <v>0</v>
      </c>
      <c r="O26" s="139" t="n">
        <f aca="false">IF(B26&lt;='VALOR POR PL'!$P$5,'CP RESUMO'!Y52,"")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HISTORICOS'!Z10)</f>
        <v>6011.34</v>
      </c>
      <c r="D27" s="45" t="n">
        <f aca="false">IF(B27&lt;='VALOR POR PL'!$P$5,0,IF($K$17&gt;0,$K$18*P27/$K$17,0))</f>
        <v>16150.009784483</v>
      </c>
      <c r="E27" s="45" t="n">
        <f aca="false">L27+D27/$K$2</f>
        <v>17.0505760254597</v>
      </c>
      <c r="F27" s="117" t="n">
        <f aca="false">IF($K$9=0,0,E27/$K$9)</f>
        <v>0.0342727309504559</v>
      </c>
      <c r="G27" s="117" t="n">
        <f aca="false">G26+F27</f>
        <v>0.261136587507181</v>
      </c>
      <c r="H27" s="138" t="n">
        <v>14608.9</v>
      </c>
      <c r="L27" s="45" t="n">
        <f aca="false">C27/IF(B27&lt;='VALOR POR PL'!$P$5,IFERROR(INDEX('"INCC-FGV"'!$B$2:$B$800,MATCH(B27,'"INCC-FGV"'!$A$2:$A$800,0)),$K$2),$K$2)</f>
        <v>4.62502558200012</v>
      </c>
      <c r="M27" s="139" t="n">
        <f aca="false">'CP RESUMO'!Z10</f>
        <v>0</v>
      </c>
      <c r="N27" s="140" t="n">
        <f aca="false">MAX(0,M27-M26)</f>
        <v>0</v>
      </c>
      <c r="O27" s="139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14608.9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HISTORICOS'!AA10)</f>
        <v>0</v>
      </c>
      <c r="D28" s="45" t="n">
        <f aca="false">IF(B28&lt;='VALOR POR PL'!$P$5,0,IF($K$17&gt;0,$K$18*P28/$K$17,0))</f>
        <v>16199.4694589115</v>
      </c>
      <c r="E28" s="45" t="n">
        <f aca="false">L28+D28/$K$2</f>
        <v>12.4636038990134</v>
      </c>
      <c r="F28" s="117" t="n">
        <f aca="false">IF($K$9=0,0,E28/$K$9)</f>
        <v>0.0250526282787225</v>
      </c>
      <c r="G28" s="117" t="n">
        <f aca="false">G27+F28</f>
        <v>0.286189215785904</v>
      </c>
      <c r="H28" s="138" t="n">
        <v>14653.64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RESUMO'!AA10</f>
        <v>0</v>
      </c>
      <c r="N28" s="140" t="n">
        <f aca="false">MAX(0,M28-M27)</f>
        <v>0</v>
      </c>
      <c r="O28" s="139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14653.64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HISTORICOS'!AB10)</f>
        <v>0</v>
      </c>
      <c r="D29" s="45" t="n">
        <f aca="false">IF(B29&lt;='VALOR POR PL'!$P$5,0,IF($K$17&gt;0,$K$18*P29/$K$17,0))</f>
        <v>16471.2544602131</v>
      </c>
      <c r="E29" s="45" t="n">
        <f aca="false">L29+D29/$K$2</f>
        <v>12.6727107843042</v>
      </c>
      <c r="F29" s="117" t="n">
        <f aca="false">IF($K$9=0,0,E29/$K$9)</f>
        <v>0.0254729462790503</v>
      </c>
      <c r="G29" s="117" t="n">
        <f aca="false">G28+F29</f>
        <v>0.311662162064954</v>
      </c>
      <c r="H29" s="138" t="n">
        <v>14899.49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RESUMO'!AB10</f>
        <v>0</v>
      </c>
      <c r="N29" s="140" t="n">
        <f aca="false">MAX(0,M29-M28)</f>
        <v>0</v>
      </c>
      <c r="O29" s="139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14899.49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HISTORICOS'!AC10)</f>
        <v>0</v>
      </c>
      <c r="D30" s="45" t="n">
        <f aca="false">IF(B30&lt;='VALOR POR PL'!$P$5,0,IF($K$17&gt;0,$K$18*P30/$K$17,0))</f>
        <v>16745.4825969749</v>
      </c>
      <c r="E30" s="45" t="n">
        <f aca="false">L30+D30/$K$2</f>
        <v>12.8836973776141</v>
      </c>
      <c r="F30" s="117" t="n">
        <f aca="false">IF($K$9=0,0,E30/$K$9)</f>
        <v>0.0258970426108027</v>
      </c>
      <c r="G30" s="117" t="n">
        <f aca="false">G29+F30</f>
        <v>0.337559204675757</v>
      </c>
      <c r="H30" s="138" t="n">
        <v>15147.55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RESUMO'!AC10</f>
        <v>0</v>
      </c>
      <c r="N30" s="140" t="n">
        <f aca="false">MAX(0,M30-M29)</f>
        <v>0</v>
      </c>
      <c r="O30" s="139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15147.55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HISTORICOS'!AD10)</f>
        <v>0</v>
      </c>
      <c r="D31" s="45" t="n">
        <f aca="false">IF(B31&lt;='VALOR POR PL'!$P$5,0,IF($K$17&gt;0,$K$18*P31/$K$17,0))</f>
        <v>17387.6513559991</v>
      </c>
      <c r="E31" s="45" t="n">
        <f aca="false">L31+D31/$K$2</f>
        <v>13.377771400785</v>
      </c>
      <c r="F31" s="117" t="n">
        <f aca="false">IF($K$9=0,0,E31/$K$9)</f>
        <v>0.0268901624937005</v>
      </c>
      <c r="G31" s="117" t="n">
        <f aca="false">G30+F31</f>
        <v>0.364449367169457</v>
      </c>
      <c r="H31" s="138" t="n">
        <v>15728.44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RESUMO'!AD10</f>
        <v>0</v>
      </c>
      <c r="N31" s="140" t="n">
        <f aca="false">MAX(0,M31-M30)</f>
        <v>0</v>
      </c>
      <c r="O31" s="139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15728.44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HISTORICOS'!AE10)</f>
        <v>0</v>
      </c>
      <c r="D32" s="45" t="n">
        <f aca="false">IF(B32&lt;='VALOR POR PL'!$P$5,0,IF($K$17&gt;0,$K$18*P32/$K$17,0))</f>
        <v>17718.314816399</v>
      </c>
      <c r="E32" s="45" t="n">
        <f aca="false">L32+D32/$K$2</f>
        <v>13.6321783987891</v>
      </c>
      <c r="F32" s="117" t="n">
        <f aca="false">IF($K$9=0,0,E32/$K$9)</f>
        <v>0.0274015365717077</v>
      </c>
      <c r="G32" s="117" t="n">
        <f aca="false">G31+F32</f>
        <v>0.391850903741165</v>
      </c>
      <c r="H32" s="138" t="n">
        <v>16027.55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RESUMO'!AE10</f>
        <v>0</v>
      </c>
      <c r="N32" s="140" t="n">
        <f aca="false">MAX(0,M32-M31)</f>
        <v>0</v>
      </c>
      <c r="O32" s="139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16027.55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HISTORICOS'!AF10)</f>
        <v>0</v>
      </c>
      <c r="D33" s="45" t="n">
        <f aca="false">IF(B33&lt;='VALOR POR PL'!$P$5,0,IF($K$17&gt;0,$K$18*P33/$K$17,0))</f>
        <v>17767.0559215745</v>
      </c>
      <c r="E33" s="45" t="n">
        <f aca="false">L33+D33/$K$2</f>
        <v>13.6696789990432</v>
      </c>
      <c r="F33" s="117" t="n">
        <f aca="false">IF($K$9=0,0,E33/$K$9)</f>
        <v>0.0274769151384535</v>
      </c>
      <c r="G33" s="117" t="n">
        <f aca="false">G32+F33</f>
        <v>0.419327818879618</v>
      </c>
      <c r="H33" s="138" t="n">
        <v>16071.64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RESUMO'!AF10</f>
        <v>0</v>
      </c>
      <c r="N33" s="140" t="n">
        <f aca="false">MAX(0,M33-M32)</f>
        <v>0</v>
      </c>
      <c r="O33" s="139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16071.64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HISTORICOS'!AG10)</f>
        <v>0</v>
      </c>
      <c r="D34" s="45" t="n">
        <f aca="false">IF(B34&lt;='VALOR POR PL'!$P$5,0,IF($K$17&gt;0,$K$18*P34/$K$17,0))</f>
        <v>18091.8934435694</v>
      </c>
      <c r="E34" s="45" t="n">
        <f aca="false">L34+D34/$K$2</f>
        <v>13.9196036163865</v>
      </c>
      <c r="F34" s="117" t="n">
        <f aca="false">IF($K$9=0,0,E34/$K$9)</f>
        <v>0.0279792793492175</v>
      </c>
      <c r="G34" s="117" t="n">
        <f aca="false">G33+F34</f>
        <v>0.447307098228836</v>
      </c>
      <c r="H34" s="138" t="n">
        <v>16365.48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RESUMO'!AG10</f>
        <v>0</v>
      </c>
      <c r="N34" s="140" t="n">
        <f aca="false">MAX(0,M34-M33)</f>
        <v>0</v>
      </c>
      <c r="O34" s="139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16365.48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HISTORICOS'!AH10)</f>
        <v>0</v>
      </c>
      <c r="D35" s="45" t="n">
        <f aca="false">IF(B35&lt;='VALOR POR PL'!$P$5,0,IF($K$17&gt;0,$K$18*P35/$K$17,0))</f>
        <v>18001.3647726051</v>
      </c>
      <c r="E35" s="45" t="n">
        <f aca="false">L35+D35/$K$2</f>
        <v>13.8499523540865</v>
      </c>
      <c r="F35" s="117" t="n">
        <f aca="false">IF($K$9=0,0,E35/$K$9)</f>
        <v>0.0278392759282419</v>
      </c>
      <c r="G35" s="117" t="n">
        <f aca="false">G34+F35</f>
        <v>0.475146374157078</v>
      </c>
      <c r="H35" s="138" t="n">
        <v>16283.59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RESUMO'!AH10</f>
        <v>0</v>
      </c>
      <c r="N35" s="140" t="n">
        <f aca="false">MAX(0,M35-M34)</f>
        <v>0</v>
      </c>
      <c r="O35" s="139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16283.59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HISTORICOS'!AI10)</f>
        <v>0</v>
      </c>
      <c r="D36" s="45" t="n">
        <f aca="false">IF(B36&lt;='VALOR POR PL'!$P$5,0,IF($K$17&gt;0,$K$18*P36/$K$17,0))</f>
        <v>17918.9725165668</v>
      </c>
      <c r="E36" s="45" t="n">
        <f aca="false">L36+D36/$K$2</f>
        <v>13.7865611148726</v>
      </c>
      <c r="F36" s="117" t="n">
        <f aca="false">IF($K$9=0,0,E36/$K$9)</f>
        <v>0.0277118555476666</v>
      </c>
      <c r="G36" s="117" t="n">
        <f aca="false">G35+F36</f>
        <v>0.502858229704745</v>
      </c>
      <c r="H36" s="138" t="n">
        <v>16209.06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RESUMO'!AI10</f>
        <v>0</v>
      </c>
      <c r="N36" s="140" t="n">
        <f aca="false">MAX(0,M36-M35)</f>
        <v>0</v>
      </c>
      <c r="O36" s="139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16209.06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HISTORICOS'!AJ10)</f>
        <v>0</v>
      </c>
      <c r="D37" s="45" t="n">
        <f aca="false">IF(B37&lt;='VALOR POR PL'!$P$5,0,IF($K$17&gt;0,$K$18*P37/$K$17,0))</f>
        <v>18143.2877275252</v>
      </c>
      <c r="E37" s="45" t="n">
        <f aca="false">L37+D37/$K$2</f>
        <v>13.9591455285166</v>
      </c>
      <c r="F37" s="117" t="n">
        <f aca="false">IF($K$9=0,0,E37/$K$9)</f>
        <v>0.0280587610813112</v>
      </c>
      <c r="G37" s="117" t="n">
        <f aca="false">G36+F37</f>
        <v>0.530916990786056</v>
      </c>
      <c r="H37" s="138" t="n">
        <v>16411.97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RESUMO'!AJ10</f>
        <v>0</v>
      </c>
      <c r="N37" s="140" t="n">
        <f aca="false">MAX(0,M37-M36)</f>
        <v>0</v>
      </c>
      <c r="O37" s="139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16411.97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HISTORICOS'!AK10)</f>
        <v>0</v>
      </c>
      <c r="D38" s="45" t="n">
        <f aca="false">IF(B38&lt;='VALOR POR PL'!$P$5,0,IF($K$17&gt;0,$K$18*P38/$K$17,0))</f>
        <v>17827.4931232062</v>
      </c>
      <c r="E38" s="45" t="n">
        <f aca="false">L38+D38/$K$2</f>
        <v>13.7161783824837</v>
      </c>
      <c r="F38" s="117" t="n">
        <f aca="false">IF($K$9=0,0,E38/$K$9)</f>
        <v>0.0275703818257747</v>
      </c>
      <c r="G38" s="117" t="n">
        <f aca="false">G37+F38</f>
        <v>0.55848737261183</v>
      </c>
      <c r="H38" s="138" t="n">
        <v>16126.31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RESUMO'!AK10</f>
        <v>0</v>
      </c>
      <c r="N38" s="140" t="n">
        <f aca="false">MAX(0,M38-M37)</f>
        <v>0</v>
      </c>
      <c r="O38" s="139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16126.31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HISTORICOS'!AL10)</f>
        <v>0</v>
      </c>
      <c r="D39" s="45" t="n">
        <f aca="false">IF(B39&lt;='VALOR POR PL'!$P$5,0,IF($K$17&gt;0,$K$18*P39/$K$17,0))</f>
        <v>17537.5449021715</v>
      </c>
      <c r="E39" s="45" t="n">
        <f aca="false">L39+D39/$K$2</f>
        <v>13.493097016309</v>
      </c>
      <c r="F39" s="117" t="n">
        <f aca="false">IF($K$9=0,0,E39/$K$9)</f>
        <v>0.0271219742393359</v>
      </c>
      <c r="G39" s="117" t="n">
        <f aca="false">G38+F39</f>
        <v>0.585609346851166</v>
      </c>
      <c r="H39" s="138" t="n">
        <v>15864.03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RESUMO'!AL10</f>
        <v>0</v>
      </c>
      <c r="N39" s="140" t="n">
        <f aca="false">MAX(0,M39-M38)</f>
        <v>0</v>
      </c>
      <c r="O39" s="139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15864.03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HISTORICOS'!AM10)</f>
        <v>0</v>
      </c>
      <c r="D40" s="45" t="n">
        <f aca="false">IF(B40&lt;='VALOR POR PL'!$P$5,0,IF($K$17&gt;0,$K$18*P40/$K$17,0))</f>
        <v>17600.1930861201</v>
      </c>
      <c r="E40" s="45" t="n">
        <f aca="false">L40+D40/$K$2</f>
        <v>13.5412974929794</v>
      </c>
      <c r="F40" s="117" t="n">
        <f aca="false">IF($K$9=0,0,E40/$K$9)</f>
        <v>0.0272188602311137</v>
      </c>
      <c r="G40" s="117" t="n">
        <f aca="false">G39+F40</f>
        <v>0.61282820708228</v>
      </c>
      <c r="H40" s="138" t="n">
        <v>15920.7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RESUMO'!AM10</f>
        <v>0</v>
      </c>
      <c r="N40" s="140" t="n">
        <f aca="false">MAX(0,M40-M39)</f>
        <v>0</v>
      </c>
      <c r="O40" s="139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15920.7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HISTORICOS'!AN10)</f>
        <v>0</v>
      </c>
      <c r="D41" s="45" t="n">
        <f aca="false">IF(B41&lt;='VALOR POR PL'!$P$5,0,IF($K$17&gt;0,$K$18*P41/$K$17,0))</f>
        <v>17745.7199422166</v>
      </c>
      <c r="E41" s="45" t="n">
        <f aca="false">L41+D41/$K$2</f>
        <v>13.6532634493743</v>
      </c>
      <c r="F41" s="117" t="n">
        <f aca="false">IF($K$9=0,0,E41/$K$9)</f>
        <v>0.0274439188504473</v>
      </c>
      <c r="G41" s="117" t="n">
        <f aca="false">G40+F41</f>
        <v>0.640272125932727</v>
      </c>
      <c r="H41" s="138" t="n">
        <v>16052.34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RESUMO'!AN10</f>
        <v>0</v>
      </c>
      <c r="N41" s="140" t="n">
        <f aca="false">MAX(0,M41-M40)</f>
        <v>0</v>
      </c>
      <c r="O41" s="139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16052.34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HISTORICOS'!AO10)</f>
        <v>0</v>
      </c>
      <c r="D42" s="45" t="n">
        <f aca="false">IF(B42&lt;='VALOR POR PL'!$P$5,0,IF($K$17&gt;0,$K$18*P42/$K$17,0))</f>
        <v>17738.6558537142</v>
      </c>
      <c r="E42" s="45" t="n">
        <f aca="false">L42+D42/$K$2</f>
        <v>13.6478284565046</v>
      </c>
      <c r="F42" s="117" t="n">
        <f aca="false">IF($K$9=0,0,E42/$K$9)</f>
        <v>0.0274329941727084</v>
      </c>
      <c r="G42" s="117" t="n">
        <f aca="false">G41+F42</f>
        <v>0.667705120105436</v>
      </c>
      <c r="H42" s="138" t="n">
        <v>16045.95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RESUMO'!AO10</f>
        <v>0</v>
      </c>
      <c r="N42" s="140" t="n">
        <f aca="false">MAX(0,M42-M41)</f>
        <v>0</v>
      </c>
      <c r="O42" s="139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16045.95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HISTORICOS'!AP10)</f>
        <v>0</v>
      </c>
      <c r="D43" s="45" t="n">
        <f aca="false">IF(B43&lt;='VALOR POR PL'!$P$5,0,IF($K$17&gt;0,$K$18*P43/$K$17,0))</f>
        <v>18304.5457228063</v>
      </c>
      <c r="E43" s="45" t="n">
        <f aca="false">L43+D43/$K$2</f>
        <v>14.0832147632425</v>
      </c>
      <c r="F43" s="117" t="n">
        <f aca="false">IF($K$9=0,0,E43/$K$9)</f>
        <v>0.0283081480518535</v>
      </c>
      <c r="G43" s="117" t="n">
        <f aca="false">G42+F43</f>
        <v>0.696013268157289</v>
      </c>
      <c r="H43" s="138" t="n">
        <v>16557.84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RESUMO'!AP10</f>
        <v>0</v>
      </c>
      <c r="N43" s="140" t="n">
        <f aca="false">MAX(0,M43-M42)</f>
        <v>0</v>
      </c>
      <c r="O43" s="139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16557.84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HISTORICOS'!AQ10)</f>
        <v>0</v>
      </c>
      <c r="D44" s="45" t="n">
        <f aca="false">IF(B44&lt;='VALOR POR PL'!$P$5,0,IF($K$17&gt;0,$K$18*P44/$K$17,0))</f>
        <v>17750.9378604845</v>
      </c>
      <c r="E44" s="45" t="n">
        <f aca="false">L44+D44/$K$2</f>
        <v>13.657278029397</v>
      </c>
      <c r="F44" s="117" t="n">
        <f aca="false">IF($K$9=0,0,E44/$K$9)</f>
        <v>0.0274519884089648</v>
      </c>
      <c r="G44" s="117" t="n">
        <f aca="false">G43+F44</f>
        <v>0.723465256566254</v>
      </c>
      <c r="H44" s="138" t="n">
        <v>16057.06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RESUMO'!AQ10</f>
        <v>0</v>
      </c>
      <c r="N44" s="140" t="n">
        <f aca="false">MAX(0,M44-M43)</f>
        <v>0</v>
      </c>
      <c r="O44" s="139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16057.06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HISTORICOS'!AR10)</f>
        <v>0</v>
      </c>
      <c r="D45" s="45" t="n">
        <f aca="false">IF(B45&lt;='VALOR POR PL'!$P$5,0,IF($K$17&gt;0,$K$18*P45/$K$17,0))</f>
        <v>17928.3581365019</v>
      </c>
      <c r="E45" s="45" t="n">
        <f aca="false">L45+D45/$K$2</f>
        <v>13.7937822556338</v>
      </c>
      <c r="F45" s="117" t="n">
        <f aca="false">IF($K$9=0,0,E45/$K$9)</f>
        <v>0.0277263704950849</v>
      </c>
      <c r="G45" s="117" t="n">
        <f aca="false">G44+F45</f>
        <v>0.751191627061339</v>
      </c>
      <c r="H45" s="138" t="n">
        <v>16217.55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RESUMO'!AR10</f>
        <v>0</v>
      </c>
      <c r="N45" s="140" t="n">
        <f aca="false">MAX(0,M45-M44)</f>
        <v>0</v>
      </c>
      <c r="O45" s="139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16217.55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HISTORICOS'!AS10)</f>
        <v>0</v>
      </c>
      <c r="D46" s="45" t="n">
        <f aca="false">IF(B46&lt;='VALOR POR PL'!$P$5,0,IF($K$17&gt;0,$K$18*P46/$K$17,0))</f>
        <v>17573.0753880036</v>
      </c>
      <c r="E46" s="45" t="n">
        <f aca="false">L46+D46/$K$2</f>
        <v>13.5204335845142</v>
      </c>
      <c r="F46" s="117" t="n">
        <f aca="false">IF($K$9=0,0,E46/$K$9)</f>
        <v>0.0271769224619535</v>
      </c>
      <c r="G46" s="117" t="n">
        <f aca="false">G45+F46</f>
        <v>0.778368549523292</v>
      </c>
      <c r="H46" s="138" t="n">
        <v>15896.17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RESUMO'!AS10</f>
        <v>0</v>
      </c>
      <c r="N46" s="140" t="n">
        <f aca="false">MAX(0,M46-M45)</f>
        <v>0</v>
      </c>
      <c r="O46" s="139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15896.17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HISTORICOS'!AT10)</f>
        <v>0</v>
      </c>
      <c r="D47" s="45" t="n">
        <f aca="false">IF(B47&lt;='VALOR POR PL'!$P$5,0,IF($K$17&gt;0,$K$18*P47/$K$17,0))</f>
        <v>17286.6979034106</v>
      </c>
      <c r="E47" s="45" t="n">
        <f aca="false">L47+D47/$K$2</f>
        <v>13.3000994839058</v>
      </c>
      <c r="F47" s="117" t="n">
        <f aca="false">IF($K$9=0,0,E47/$K$9)</f>
        <v>0.0267340370522121</v>
      </c>
      <c r="G47" s="117" t="n">
        <f aca="false">G46+F47</f>
        <v>0.805102586575505</v>
      </c>
      <c r="H47" s="138" t="n">
        <v>15637.12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RESUMO'!AT10</f>
        <v>0</v>
      </c>
      <c r="N47" s="140" t="n">
        <f aca="false">MAX(0,M47-M46)</f>
        <v>0</v>
      </c>
      <c r="O47" s="139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15637.12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HISTORICOS'!AU10)</f>
        <v>0</v>
      </c>
      <c r="D48" s="45" t="n">
        <f aca="false">IF(B48&lt;='VALOR POR PL'!$P$5,0,IF($K$17&gt;0,$K$18*P48/$K$17,0))</f>
        <v>17174.8553629116</v>
      </c>
      <c r="E48" s="45" t="n">
        <f aca="false">L48+D48/$K$2</f>
        <v>13.2140496828691</v>
      </c>
      <c r="F48" s="117" t="n">
        <f aca="false">IF($K$9=0,0,E48/$K$9)</f>
        <v>0.0265610715362749</v>
      </c>
      <c r="G48" s="117" t="n">
        <f aca="false">G47+F48</f>
        <v>0.831663658111779</v>
      </c>
      <c r="H48" s="138" t="n">
        <v>15535.95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RESUMO'!AU10</f>
        <v>0</v>
      </c>
      <c r="N48" s="140" t="n">
        <f aca="false">MAX(0,M48-M47)</f>
        <v>0</v>
      </c>
      <c r="O48" s="139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15535.95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HISTORICOS'!AV10)</f>
        <v>0</v>
      </c>
      <c r="D49" s="45" t="n">
        <f aca="false">IF(B49&lt;='VALOR POR PL'!$P$5,0,IF($K$17&gt;0,$K$18*P49/$K$17,0))</f>
        <v>16491.3191247387</v>
      </c>
      <c r="E49" s="45" t="n">
        <f aca="false">L49+D49/$K$2</f>
        <v>12.6881482053659</v>
      </c>
      <c r="F49" s="117" t="n">
        <f aca="false">IF($K$9=0,0,E49/$K$9)</f>
        <v>0.025503976466994</v>
      </c>
      <c r="G49" s="117" t="n">
        <f aca="false">G48+F49</f>
        <v>0.857167634578773</v>
      </c>
      <c r="H49" s="138" t="n">
        <v>14917.64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RESUMO'!AV10</f>
        <v>0</v>
      </c>
      <c r="N49" s="140" t="n">
        <f aca="false">MAX(0,M49-M48)</f>
        <v>0</v>
      </c>
      <c r="O49" s="139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14917.64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HISTORICOS'!AW10)</f>
        <v>0</v>
      </c>
      <c r="D50" s="45" t="n">
        <f aca="false">IF(B50&lt;='VALOR POR PL'!$P$5,0,IF($K$17&gt;0,$K$18*P50/$K$17,0))</f>
        <v>16321.5709573608</v>
      </c>
      <c r="E50" s="45" t="n">
        <f aca="false">L50+D50/$K$2</f>
        <v>12.557546772637</v>
      </c>
      <c r="F50" s="117" t="n">
        <f aca="false">IF($K$9=0,0,E50/$K$9)</f>
        <v>0.0252414593673383</v>
      </c>
      <c r="G50" s="117" t="n">
        <f aca="false">G49+F50</f>
        <v>0.882409093946112</v>
      </c>
      <c r="H50" s="138" t="n">
        <v>14764.09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RESUMO'!AW10</f>
        <v>0</v>
      </c>
      <c r="N50" s="140" t="n">
        <f aca="false">MAX(0,M50-M49)</f>
        <v>0</v>
      </c>
      <c r="O50" s="139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14764.09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HISTORICOS'!AX10)</f>
        <v>0</v>
      </c>
      <c r="D51" s="45" t="n">
        <f aca="false">IF(B51&lt;='VALOR POR PL'!$P$5,0,IF($K$17&gt;0,$K$18*P51/$K$17,0))</f>
        <v>15859.5088178691</v>
      </c>
      <c r="E51" s="45" t="n">
        <f aca="false">L51+D51/$K$2</f>
        <v>12.2020438039773</v>
      </c>
      <c r="F51" s="117" t="n">
        <f aca="false">IF($K$9=0,0,E51/$K$9)</f>
        <v>0.0245268760254753</v>
      </c>
      <c r="G51" s="117" t="n">
        <f aca="false">G50+F51</f>
        <v>0.906935969971587</v>
      </c>
      <c r="H51" s="138" t="n">
        <v>14346.12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RESUMO'!AX10</f>
        <v>0</v>
      </c>
      <c r="N51" s="140" t="n">
        <f aca="false">MAX(0,M51-M50)</f>
        <v>0</v>
      </c>
      <c r="O51" s="139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14346.12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HISTORICOS'!AY10)</f>
        <v>0</v>
      </c>
      <c r="D52" s="45" t="n">
        <f aca="false">IF(B52&lt;='VALOR POR PL'!$P$5,0,IF($K$17&gt;0,$K$18*P52/$K$17,0))</f>
        <v>15717.1326115741</v>
      </c>
      <c r="E52" s="45" t="n">
        <f aca="false">L52+D52/$K$2</f>
        <v>12.0925019054351</v>
      </c>
      <c r="F52" s="117" t="n">
        <f aca="false">IF($K$9=0,0,E52/$K$9)</f>
        <v>0.0243066899149924</v>
      </c>
      <c r="G52" s="117" t="n">
        <f aca="false">G51+F52</f>
        <v>0.931242659886579</v>
      </c>
      <c r="H52" s="138" t="n">
        <v>14217.33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RESUMO'!AY10</f>
        <v>0</v>
      </c>
      <c r="N52" s="140" t="n">
        <f aca="false">MAX(0,M52-M51)</f>
        <v>0</v>
      </c>
      <c r="O52" s="139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14217.33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HISTORICOS'!AZ10)</f>
        <v>0</v>
      </c>
      <c r="D53" s="45" t="n">
        <f aca="false">IF(B53&lt;='VALOR POR PL'!$P$5,0,IF($K$17&gt;0,$K$18*P53/$K$17,0))</f>
        <v>15469.8010746971</v>
      </c>
      <c r="E53" s="45" t="n">
        <f aca="false">L53+D53/$K$2</f>
        <v>11.9022091112675</v>
      </c>
      <c r="F53" s="117" t="n">
        <f aca="false">IF($K$9=0,0,E53/$K$9)</f>
        <v>0.0239241894219546</v>
      </c>
      <c r="G53" s="117" t="n">
        <f aca="false">G52+F53</f>
        <v>0.955166849308534</v>
      </c>
      <c r="H53" s="138" t="n">
        <v>13993.6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RESUMO'!AZ10</f>
        <v>0</v>
      </c>
      <c r="N53" s="140" t="n">
        <f aca="false">MAX(0,M53-M52)</f>
        <v>0</v>
      </c>
      <c r="O53" s="139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13993.6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HISTORICOS'!BA10)</f>
        <v>0</v>
      </c>
      <c r="D54" s="45" t="n">
        <f aca="false">IF(B54&lt;='VALOR POR PL'!$P$5,0,IF($K$17&gt;0,$K$18*P54/$K$17,0))</f>
        <v>14853.7771815699</v>
      </c>
      <c r="E54" s="45" t="n">
        <f aca="false">L54+D54/$K$2</f>
        <v>11.4282505155407</v>
      </c>
      <c r="F54" s="117" t="n">
        <f aca="false">IF($K$9=0,0,E54/$K$9)</f>
        <v>0.0229715028142561</v>
      </c>
      <c r="G54" s="117" t="n">
        <f aca="false">G53+F54</f>
        <v>0.97813835212279</v>
      </c>
      <c r="H54" s="138" t="n">
        <v>13436.36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RESUMO'!BA10</f>
        <v>0</v>
      </c>
      <c r="N54" s="140" t="n">
        <f aca="false">MAX(0,M54-M53)</f>
        <v>0</v>
      </c>
      <c r="O54" s="139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13436.36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HISTORICOS'!BB10)</f>
        <v>0</v>
      </c>
      <c r="D55" s="45" t="n">
        <f aca="false">IF(B55&lt;='VALOR POR PL'!$P$5,0,IF($K$17&gt;0,$K$18*P55/$K$17,0))</f>
        <v>14136.1254862477</v>
      </c>
      <c r="E55" s="45" t="n">
        <f aca="false">L55+D55/$K$2</f>
        <v>10.8761011694996</v>
      </c>
      <c r="F55" s="117" t="n">
        <f aca="false">IF($K$9=0,0,E55/$K$9)</f>
        <v>0.0218616478772099</v>
      </c>
      <c r="G55" s="117" t="n">
        <f aca="false">G54+F55</f>
        <v>1</v>
      </c>
      <c r="H55" s="138" t="n">
        <v>12787.19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RESUMO'!BB10</f>
        <v>0</v>
      </c>
      <c r="N55" s="140" t="n">
        <f aca="false">MAX(0,M55-M54)</f>
        <v>0</v>
      </c>
      <c r="O55" s="139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12787.19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RESUMO'!BC10</f>
        <v>0</v>
      </c>
      <c r="N56" s="140" t="n">
        <f aca="false">MAX(0,M56-M55)</f>
        <v>0</v>
      </c>
      <c r="O56" s="139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RESUMO'!BD10</f>
        <v>0</v>
      </c>
      <c r="N57" s="140" t="n">
        <f aca="false">MAX(0,M57-M56)</f>
        <v>0</v>
      </c>
      <c r="O57" s="139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RESUMO'!BE10</f>
        <v>0</v>
      </c>
      <c r="N58" s="140" t="n">
        <f aca="false">MAX(0,M58-M57)</f>
        <v>0</v>
      </c>
      <c r="O58" s="139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RESUMO'!BF10</f>
        <v>0</v>
      </c>
      <c r="N59" s="140" t="n">
        <f aca="false">MAX(0,M59-M58)</f>
        <v>0</v>
      </c>
      <c r="O59" s="139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RESUMO'!BG10</f>
        <v>0</v>
      </c>
      <c r="N60" s="140" t="n">
        <f aca="false">MAX(0,M60-M59)</f>
        <v>0</v>
      </c>
      <c r="O60" s="139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RESUMO'!BH10</f>
        <v>0</v>
      </c>
      <c r="N61" s="140" t="n">
        <f aca="false">MAX(0,M61-M60)</f>
        <v>0</v>
      </c>
      <c r="O61" s="139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RESUMO'!BI10</f>
        <v>0</v>
      </c>
      <c r="N62" s="140" t="n">
        <f aca="false">MAX(0,M62-M61)</f>
        <v>0</v>
      </c>
      <c r="O62" s="139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RESUMO'!BJ10</f>
        <v>0</v>
      </c>
      <c r="N63" s="140" t="n">
        <f aca="false">MAX(0,M63-M62)</f>
        <v>0</v>
      </c>
      <c r="O63" s="139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RESUMO'!BK10</f>
        <v>0</v>
      </c>
      <c r="N64" s="140" t="n">
        <f aca="false">MAX(0,M64-M63)</f>
        <v>0</v>
      </c>
      <c r="O64" s="139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RESUMO'!BL10</f>
        <v>0</v>
      </c>
      <c r="N65" s="140" t="n">
        <f aca="false">MAX(0,M65-M64)</f>
        <v>0</v>
      </c>
      <c r="O65" s="139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RESUMO'!BM10</f>
        <v>0</v>
      </c>
      <c r="N66" s="140" t="n">
        <f aca="false">MAX(0,M66-M65)</f>
        <v>0</v>
      </c>
      <c r="O66" s="139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RESUMO'!BN10</f>
        <v>0</v>
      </c>
      <c r="N67" s="140" t="n">
        <f aca="false">MAX(0,M67-M66)</f>
        <v>0</v>
      </c>
      <c r="O67" s="139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RESUMO'!BO10</f>
        <v>0</v>
      </c>
      <c r="N68" s="140" t="n">
        <f aca="false">MAX(0,M68-M67)</f>
        <v>0</v>
      </c>
      <c r="O68" s="139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RESUMO'!BP10</f>
        <v>0</v>
      </c>
      <c r="N69" s="140" t="n">
        <f aca="false">MAX(0,M69-M68)</f>
        <v>0</v>
      </c>
      <c r="O69" s="139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RESUMO'!BQ10</f>
        <v>0</v>
      </c>
      <c r="N70" s="140" t="n">
        <f aca="false">MAX(0,M70-M69)</f>
        <v>0</v>
      </c>
      <c r="O70" s="139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RESUMO'!BR10</f>
        <v>0</v>
      </c>
      <c r="N71" s="140" t="n">
        <f aca="false">MAX(0,M71-M70)</f>
        <v>0</v>
      </c>
      <c r="O71" s="139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RESUMO'!BS10</f>
        <v>0</v>
      </c>
      <c r="N72" s="140" t="n">
        <f aca="false">MAX(0,M72-M71)</f>
        <v>0</v>
      </c>
      <c r="O72" s="139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RESUMO'!BT10</f>
        <v>0</v>
      </c>
      <c r="N73" s="140" t="n">
        <f aca="false">MAX(0,M73-M72)</f>
        <v>0</v>
      </c>
      <c r="O73" s="139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RESUMO'!BU10</f>
        <v>0</v>
      </c>
      <c r="N74" s="140" t="n">
        <f aca="false">MAX(0,M74-M73)</f>
        <v>0</v>
      </c>
      <c r="O74" s="139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RESUMO'!BV10</f>
        <v>0</v>
      </c>
      <c r="N75" s="140" t="n">
        <f aca="false">MAX(0,M75-M74)</f>
        <v>0</v>
      </c>
      <c r="O75" s="139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RESUMO'!BW10</f>
        <v>0</v>
      </c>
      <c r="N76" s="140" t="n">
        <f aca="false">MAX(0,M76-M75)</f>
        <v>0</v>
      </c>
      <c r="O76" s="139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148911.47</v>
      </c>
      <c r="D78" s="61" t="n">
        <f aca="false">SUM(D5:D76)</f>
        <v>493912.069390426</v>
      </c>
      <c r="E78" s="61" t="n">
        <f aca="false">SUM(E5:E76)</f>
        <v>497.496859824441</v>
      </c>
      <c r="F78" s="145" t="n">
        <f aca="false">SUM(F5:F76)</f>
        <v>1</v>
      </c>
      <c r="H78" s="61" t="n">
        <f aca="false">SUM(H5:H76)</f>
        <v>461729.11</v>
      </c>
      <c r="L78" s="61" t="n">
        <f aca="false">SUM(L5:L76)</f>
        <v>117.489081826633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HISTORICOS'!D11)</f>
        <v>6471.14</v>
      </c>
      <c r="D5" s="45" t="n">
        <f aca="false">IF(B5&lt;='VALOR POR PL'!$P$5,0,IF($K$17&gt;0,$K$18*P5/$K$17,0))</f>
        <v>0</v>
      </c>
      <c r="E5" s="45" t="n">
        <f aca="false">L5+D5/$K$2</f>
        <v>5.64731759806917</v>
      </c>
      <c r="F5" s="117" t="n">
        <f aca="false">IF($K$9=0,0,E5/$K$9)</f>
        <v>0.0235314335108136</v>
      </c>
      <c r="G5" s="117" t="n">
        <f aca="false">F5</f>
        <v>0.0235314335108136</v>
      </c>
      <c r="H5" s="138"/>
      <c r="I5" s="42" t="s">
        <v>3894</v>
      </c>
      <c r="J5" s="56" t="n">
        <f aca="false">'VALOR POR PL'!F17</f>
        <v>120250</v>
      </c>
      <c r="K5" s="56" t="n">
        <f aca="false">'VALOR POR PL'!G17</f>
        <v>102.94885</v>
      </c>
      <c r="L5" s="56" t="n">
        <f aca="false">'DADOS HISTORICOS'!$BZ$11</f>
        <v>5.64731759806917</v>
      </c>
      <c r="M5" s="139" t="n">
        <f aca="false">'CP RESUMO'!D11</f>
        <v>0</v>
      </c>
      <c r="N5" s="140" t="n">
        <v>0</v>
      </c>
      <c r="O5" s="139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HISTORICOS'!E11)</f>
        <v>531.73</v>
      </c>
      <c r="D6" s="45" t="n">
        <f aca="false">IF(B6&lt;='VALOR POR PL'!$P$5,0,IF($K$17&gt;0,$K$18*P6/$K$17,0))</f>
        <v>0</v>
      </c>
      <c r="E6" s="45" t="n">
        <f aca="false">L6+D6/$K$2</f>
        <v>0.454813722504867</v>
      </c>
      <c r="F6" s="117" t="n">
        <f aca="false">IF($K$9=0,0,E6/$K$9)</f>
        <v>0.00189513316456437</v>
      </c>
      <c r="G6" s="117" t="n">
        <f aca="false">G5+F6</f>
        <v>0.025426566675378</v>
      </c>
      <c r="H6" s="138"/>
      <c r="I6" s="42" t="s">
        <v>3895</v>
      </c>
      <c r="K6" s="52" t="n">
        <f aca="false">'VALOR POR PL'!H17</f>
        <v>240.116491458709</v>
      </c>
      <c r="L6" s="45" t="n">
        <f aca="false">C6/IF(B6&lt;='VALOR POR PL'!$P$5,IFERROR(INDEX('"INCC-FGV"'!$B$2:$B$800,MATCH(B6,'"INCC-FGV"'!$A$2:$A$800,0)),$K$2),$K$2)</f>
        <v>0.454813722504867</v>
      </c>
      <c r="M6" s="139" t="n">
        <f aca="false">'CP RESUMO'!E11</f>
        <v>0</v>
      </c>
      <c r="N6" s="140" t="n">
        <f aca="false">MAX(0,M6-M5)</f>
        <v>0</v>
      </c>
      <c r="O6" s="139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HISTORICOS'!F11)</f>
        <v>859.01</v>
      </c>
      <c r="D7" s="45" t="n">
        <f aca="false">IF(B7&lt;='VALOR POR PL'!$P$5,0,IF($K$17&gt;0,$K$18*P7/$K$17,0))</f>
        <v>0</v>
      </c>
      <c r="E7" s="45" t="n">
        <f aca="false">L7+D7/$K$2</f>
        <v>0.731835317671615</v>
      </c>
      <c r="F7" s="117" t="n">
        <f aca="false">IF($K$9=0,0,E7/$K$9)</f>
        <v>0.00304943609414542</v>
      </c>
      <c r="G7" s="117" t="n">
        <f aca="false">G6+F7</f>
        <v>0.0284760027695234</v>
      </c>
      <c r="H7" s="138"/>
      <c r="I7" s="42" t="s">
        <v>3896</v>
      </c>
      <c r="J7" s="45" t="n">
        <f aca="false">C78+D78</f>
        <v>306464.866151032</v>
      </c>
      <c r="L7" s="45" t="n">
        <f aca="false">C7/IF(B7&lt;='VALOR POR PL'!$P$5,IFERROR(INDEX('"INCC-FGV"'!$B$2:$B$800,MATCH(B7,'"INCC-FGV"'!$A$2:$A$800,0)),$K$2),$K$2)</f>
        <v>0.731835317671615</v>
      </c>
      <c r="M7" s="139" t="n">
        <f aca="false">'CP RESUMO'!F11</f>
        <v>0</v>
      </c>
      <c r="N7" s="140" t="n">
        <f aca="false">MAX(0,M7-M6)</f>
        <v>0</v>
      </c>
      <c r="O7" s="139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HISTORICOS'!G11)</f>
        <v>972.44</v>
      </c>
      <c r="D8" s="45" t="n">
        <f aca="false">IF(B8&lt;='VALOR POR PL'!$P$5,0,IF($K$17&gt;0,$K$18*P8/$K$17,0))</f>
        <v>0</v>
      </c>
      <c r="E8" s="45" t="n">
        <f aca="false">L8+D8/$K$2</f>
        <v>0.825230442316864</v>
      </c>
      <c r="F8" s="117" t="n">
        <f aca="false">IF($K$9=0,0,E8/$K$9)</f>
        <v>0.00343859805071313</v>
      </c>
      <c r="G8" s="117" t="n">
        <f aca="false">G7+F8</f>
        <v>0.0319146008202365</v>
      </c>
      <c r="H8" s="138"/>
      <c r="I8" s="42" t="s">
        <v>3897</v>
      </c>
      <c r="K8" s="66" t="n">
        <f aca="false">SUM(L5:L76)</f>
        <v>103.292858387713</v>
      </c>
      <c r="L8" s="45" t="n">
        <f aca="false">C8/IF(B8&lt;='VALOR POR PL'!$P$5,IFERROR(INDEX('"INCC-FGV"'!$B$2:$B$800,MATCH(B8,'"INCC-FGV"'!$A$2:$A$800,0)),$K$2),$K$2)</f>
        <v>0.825230442316864</v>
      </c>
      <c r="M8" s="139" t="n">
        <f aca="false">'CP RESUMO'!G11</f>
        <v>0</v>
      </c>
      <c r="N8" s="140" t="n">
        <f aca="false">MAX(0,M8-M7)</f>
        <v>0</v>
      </c>
      <c r="O8" s="139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HISTORICOS'!H11)</f>
        <v>7674.44</v>
      </c>
      <c r="D9" s="45" t="n">
        <f aca="false">IF(B9&lt;='VALOR POR PL'!$P$5,0,IF($K$17&gt;0,$K$18*P9/$K$17,0))</f>
        <v>0</v>
      </c>
      <c r="E9" s="45" t="n">
        <f aca="false">L9+D9/$K$2</f>
        <v>6.47926231487376</v>
      </c>
      <c r="F9" s="117" t="n">
        <f aca="false">IF($K$9=0,0,E9/$K$9)</f>
        <v>0.026998008827005</v>
      </c>
      <c r="G9" s="117" t="n">
        <f aca="false">G8+F9</f>
        <v>0.0589126096472415</v>
      </c>
      <c r="H9" s="138"/>
      <c r="I9" s="42" t="s">
        <v>3898</v>
      </c>
      <c r="J9" s="45" t="n">
        <f aca="false">C78+D78</f>
        <v>306464.866151032</v>
      </c>
      <c r="K9" s="45" t="n">
        <f aca="false">E78</f>
        <v>239.990376934495</v>
      </c>
      <c r="L9" s="45" t="n">
        <f aca="false">C9/IF(B9&lt;='VALOR POR PL'!$P$5,IFERROR(INDEX('"INCC-FGV"'!$B$2:$B$800,MATCH(B9,'"INCC-FGV"'!$A$2:$A$800,0)),$K$2),$K$2)</f>
        <v>6.47926231487376</v>
      </c>
      <c r="M9" s="139" t="n">
        <f aca="false">'CP RESUMO'!H11</f>
        <v>0</v>
      </c>
      <c r="N9" s="140" t="n">
        <f aca="false">MAX(0,M9-M8)</f>
        <v>0</v>
      </c>
      <c r="O9" s="139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HISTORICOS'!I11)</f>
        <v>2821.4</v>
      </c>
      <c r="D10" s="45" t="n">
        <f aca="false">IF(B10&lt;='VALOR POR PL'!$P$5,0,IF($K$17&gt;0,$K$18*P10/$K$17,0))</f>
        <v>0</v>
      </c>
      <c r="E10" s="45" t="n">
        <f aca="false">L10+D10/$K$2</f>
        <v>2.36828343519454</v>
      </c>
      <c r="F10" s="117" t="n">
        <f aca="false">IF($K$9=0,0,E10/$K$9)</f>
        <v>0.00986824332477694</v>
      </c>
      <c r="G10" s="117" t="n">
        <f aca="false">G9+F10</f>
        <v>0.0687808529720185</v>
      </c>
      <c r="H10" s="138"/>
      <c r="I10" s="42" t="s">
        <v>3899</v>
      </c>
      <c r="K10" s="52" t="n">
        <f aca="false">IF(K6-K8&gt;0,(K6-K8)*'VALOR POR PL'!$G$65,K6-K8)</f>
        <v>136.697518546782</v>
      </c>
      <c r="L10" s="45" t="n">
        <f aca="false">C10/IF(B10&lt;='VALOR POR PL'!$P$5,IFERROR(INDEX('"INCC-FGV"'!$B$2:$B$800,MATCH(B10,'"INCC-FGV"'!$A$2:$A$800,0)),$K$2),$K$2)</f>
        <v>2.36828343519454</v>
      </c>
      <c r="M10" s="139" t="n">
        <f aca="false">'CP RESUMO'!I11</f>
        <v>0</v>
      </c>
      <c r="N10" s="140" t="n">
        <f aca="false">MAX(0,M10-M9)</f>
        <v>0</v>
      </c>
      <c r="O10" s="139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HISTORICOS'!J11)</f>
        <v>4688.63</v>
      </c>
      <c r="D11" s="45" t="n">
        <f aca="false">IF(B11&lt;='VALOR POR PL'!$P$5,0,IF($K$17&gt;0,$K$18*P11/$K$17,0))</f>
        <v>0</v>
      </c>
      <c r="E11" s="45" t="n">
        <f aca="false">L11+D11/$K$2</f>
        <v>3.90879101365642</v>
      </c>
      <c r="F11" s="117" t="n">
        <f aca="false">IF($K$9=0,0,E11/$K$9)</f>
        <v>0.0162872822801696</v>
      </c>
      <c r="G11" s="117" t="n">
        <f aca="false">G10+F11</f>
        <v>0.085068135252188</v>
      </c>
      <c r="H11" s="138"/>
      <c r="I11" s="42" t="s">
        <v>3900</v>
      </c>
      <c r="K11" s="56" t="n">
        <f aca="false">SUMPRODUCT((B5:B76&gt;'VALOR POR PL'!$P$5)*H5:H76)</f>
        <v>142819.26</v>
      </c>
      <c r="L11" s="45" t="n">
        <f aca="false">C11/IF(B11&lt;='VALOR POR PL'!$P$5,IFERROR(INDEX('"INCC-FGV"'!$B$2:$B$800,MATCH(B11,'"INCC-FGV"'!$A$2:$A$800,0)),$K$2),$K$2)</f>
        <v>3.90879101365642</v>
      </c>
      <c r="M11" s="139" t="n">
        <f aca="false">'CP RESUMO'!J11</f>
        <v>0</v>
      </c>
      <c r="N11" s="140" t="n">
        <f aca="false">MAX(0,M11-M10)</f>
        <v>0</v>
      </c>
      <c r="O11" s="139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HISTORICOS'!K11)</f>
        <v>4207.11</v>
      </c>
      <c r="D12" s="45" t="n">
        <f aca="false">IF(B12&lt;='VALOR POR PL'!$P$5,0,IF($K$17&gt;0,$K$18*P12/$K$17,0))</f>
        <v>0</v>
      </c>
      <c r="E12" s="45" t="n">
        <f aca="false">L12+D12/$K$2</f>
        <v>3.47559751534733</v>
      </c>
      <c r="F12" s="117" t="n">
        <f aca="false">IF($K$9=0,0,E12/$K$9)</f>
        <v>0.0144822369952608</v>
      </c>
      <c r="G12" s="117" t="n">
        <f aca="false">G11+F12</f>
        <v>0.0995503722474488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3.47559751534733</v>
      </c>
      <c r="M12" s="139" t="n">
        <f aca="false">'CP RESUMO'!K11</f>
        <v>0</v>
      </c>
      <c r="N12" s="140" t="n">
        <f aca="false">MAX(0,M12-M11)</f>
        <v>0</v>
      </c>
      <c r="O12" s="139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HISTORICOS'!L11)</f>
        <v>7356.51</v>
      </c>
      <c r="D13" s="45" t="n">
        <f aca="false">IF(B13&lt;='VALOR POR PL'!$P$5,0,IF($K$17&gt;0,$K$18*P13/$K$17,0))</f>
        <v>0</v>
      </c>
      <c r="E13" s="45" t="n">
        <f aca="false">L13+D13/$K$2</f>
        <v>6.04625110749844</v>
      </c>
      <c r="F13" s="117" t="n">
        <f aca="false">IF($K$9=0,0,E13/$K$9)</f>
        <v>0.0251937231181097</v>
      </c>
      <c r="G13" s="117" t="n">
        <f aca="false">G12+F13</f>
        <v>0.124744095365558</v>
      </c>
      <c r="H13" s="138"/>
      <c r="I13" s="42" t="s">
        <v>3902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6.04625110749844</v>
      </c>
      <c r="M13" s="139" t="n">
        <f aca="false">'CP RESUMO'!L11</f>
        <v>0</v>
      </c>
      <c r="N13" s="140" t="n">
        <f aca="false">MAX(0,M13-M12)</f>
        <v>0</v>
      </c>
      <c r="O13" s="139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HISTORICOS'!M11)</f>
        <v>3941.67</v>
      </c>
      <c r="D14" s="45" t="n">
        <f aca="false">IF(B14&lt;='VALOR POR PL'!$P$5,0,IF($K$17&gt;0,$K$18*P14/$K$17,0))</f>
        <v>0</v>
      </c>
      <c r="E14" s="45" t="n">
        <f aca="false">L14+D14/$K$2</f>
        <v>3.23419873033534</v>
      </c>
      <c r="F14" s="117" t="n">
        <f aca="false">IF($K$9=0,0,E14/$K$9)</f>
        <v>0.0134763683929631</v>
      </c>
      <c r="G14" s="117" t="n">
        <f aca="false">G13+F14</f>
        <v>0.138220463758522</v>
      </c>
      <c r="H14" s="138"/>
      <c r="I14" s="42" t="s">
        <v>3903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3.23419873033534</v>
      </c>
      <c r="M14" s="139" t="n">
        <f aca="false">'CP RESUMO'!M11</f>
        <v>0</v>
      </c>
      <c r="N14" s="140" t="n">
        <f aca="false">MAX(0,M14-M13)</f>
        <v>0</v>
      </c>
      <c r="O14" s="139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HISTORICOS'!N11)</f>
        <v>5007.53</v>
      </c>
      <c r="D15" s="45" t="n">
        <f aca="false">IF(B15&lt;='VALOR POR PL'!$P$5,0,IF($K$17&gt;0,$K$18*P15/$K$17,0))</f>
        <v>0</v>
      </c>
      <c r="E15" s="45" t="n">
        <f aca="false">L15+D15/$K$2</f>
        <v>4.0966216061442</v>
      </c>
      <c r="F15" s="117" t="n">
        <f aca="false">IF($K$9=0,0,E15/$K$9)</f>
        <v>0.0170699411304411</v>
      </c>
      <c r="G15" s="117" t="n">
        <f aca="false">G14+F15</f>
        <v>0.155290404888963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4.0966216061442</v>
      </c>
      <c r="M15" s="139" t="n">
        <f aca="false">'CP RESUMO'!N11</f>
        <v>0</v>
      </c>
      <c r="N15" s="140" t="n">
        <f aca="false">MAX(0,M15-M14)</f>
        <v>0</v>
      </c>
      <c r="O15" s="139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HISTORICOS'!O11)</f>
        <v>4936.49</v>
      </c>
      <c r="D16" s="45" t="n">
        <f aca="false">IF(B16&lt;='VALOR POR PL'!$P$5,0,IF($K$17&gt;0,$K$18*P16/$K$17,0))</f>
        <v>0</v>
      </c>
      <c r="E16" s="45" t="n">
        <f aca="false">L16+D16/$K$2</f>
        <v>4.02770649941704</v>
      </c>
      <c r="F16" s="117" t="n">
        <f aca="false">IF($K$9=0,0,E16/$K$9)</f>
        <v>0.0167827833385019</v>
      </c>
      <c r="G16" s="117" t="n">
        <f aca="false">G15+F16</f>
        <v>0.172073188227465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4.02770649941704</v>
      </c>
      <c r="M16" s="139" t="n">
        <f aca="false">'CP RESUMO'!O11</f>
        <v>0</v>
      </c>
      <c r="N16" s="140" t="n">
        <f aca="false">MAX(0,M16-M15)</f>
        <v>0</v>
      </c>
      <c r="O16" s="139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HISTORICOS'!P11)</f>
        <v>3510.93</v>
      </c>
      <c r="D17" s="45" t="n">
        <f aca="false">IF(B17&lt;='VALOR POR PL'!$P$5,0,IF($K$17&gt;0,$K$18*P17/$K$17,0))</f>
        <v>0</v>
      </c>
      <c r="E17" s="45" t="n">
        <f aca="false">L17+D17/$K$2</f>
        <v>2.85868872240692</v>
      </c>
      <c r="F17" s="117" t="n">
        <f aca="false">IF($K$9=0,0,E17/$K$9)</f>
        <v>0.0119116806220409</v>
      </c>
      <c r="G17" s="117" t="n">
        <f aca="false">G16+F17</f>
        <v>0.183984868849505</v>
      </c>
      <c r="H17" s="138"/>
      <c r="I17" s="42" t="s">
        <v>3907</v>
      </c>
      <c r="K17" s="45" t="n">
        <f aca="false">SUM(P5:P76)</f>
        <v>142819.26</v>
      </c>
      <c r="L17" s="45" t="n">
        <f aca="false">C17/IF(B17&lt;='VALOR POR PL'!$P$5,IFERROR(INDEX('"INCC-FGV"'!$B$2:$B$800,MATCH(B17,'"INCC-FGV"'!$A$2:$A$800,0)),$K$2),$K$2)</f>
        <v>2.85868872240692</v>
      </c>
      <c r="M17" s="139" t="n">
        <f aca="false">'CP RESUMO'!P11</f>
        <v>0</v>
      </c>
      <c r="N17" s="140" t="n">
        <f aca="false">MAX(0,M17-M16)</f>
        <v>0</v>
      </c>
      <c r="O17" s="139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HISTORICOS'!Q11)</f>
        <v>2466.39</v>
      </c>
      <c r="D18" s="45" t="n">
        <f aca="false">IF(B18&lt;='VALOR POR PL'!$P$5,0,IF($K$17&gt;0,$K$18*P18/$K$17,0))</f>
        <v>0</v>
      </c>
      <c r="E18" s="45" t="n">
        <f aca="false">L18+D18/$K$2</f>
        <v>1.99378999479401</v>
      </c>
      <c r="F18" s="117" t="n">
        <f aca="false">IF($K$9=0,0,E18/$K$9)</f>
        <v>0.00830779142172941</v>
      </c>
      <c r="G18" s="117" t="n">
        <f aca="false">G17+F18</f>
        <v>0.192292660271235</v>
      </c>
      <c r="H18" s="138"/>
      <c r="I18" s="42" t="s">
        <v>3908</v>
      </c>
      <c r="K18" s="45" t="n">
        <f aca="false">MAX(0,K10)*$K$2</f>
        <v>177671.506151032</v>
      </c>
      <c r="L18" s="45" t="n">
        <f aca="false">C18/IF(B18&lt;='VALOR POR PL'!$P$5,IFERROR(INDEX('"INCC-FGV"'!$B$2:$B$800,MATCH(B18,'"INCC-FGV"'!$A$2:$A$800,0)),$K$2),$K$2)</f>
        <v>1.99378999479401</v>
      </c>
      <c r="M18" s="139" t="n">
        <f aca="false">'CP RESUMO'!Q11</f>
        <v>0</v>
      </c>
      <c r="N18" s="140" t="n">
        <f aca="false">MAX(0,M18-M17)</f>
        <v>0</v>
      </c>
      <c r="O18" s="139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HISTORICOS'!R11)</f>
        <v>4287.6</v>
      </c>
      <c r="D19" s="45" t="n">
        <f aca="false">IF(B19&lt;='VALOR POR PL'!$P$5,0,IF($K$17&gt;0,$K$18*P19/$K$17,0))</f>
        <v>0</v>
      </c>
      <c r="E19" s="45" t="n">
        <f aca="false">L19+D19/$K$2</f>
        <v>3.45640118631402</v>
      </c>
      <c r="F19" s="117" t="n">
        <f aca="false">IF($K$9=0,0,E19/$K$9)</f>
        <v>0.0144022490837515</v>
      </c>
      <c r="G19" s="117" t="n">
        <f aca="false">G18+F19</f>
        <v>0.206694909354986</v>
      </c>
      <c r="H19" s="138"/>
      <c r="I19" s="42" t="s">
        <v>3909</v>
      </c>
      <c r="K19" s="142" t="n">
        <f aca="false">IF(AND(K16="PREVISÃO INFORMADA",K11&gt;0),K18/K11-1,"")</f>
        <v>0.244030435047987</v>
      </c>
      <c r="L19" s="45" t="n">
        <f aca="false">C19/IF(B19&lt;='VALOR POR PL'!$P$5,IFERROR(INDEX('"INCC-FGV"'!$B$2:$B$800,MATCH(B19,'"INCC-FGV"'!$A$2:$A$800,0)),$K$2),$K$2)</f>
        <v>3.45640118631402</v>
      </c>
      <c r="M19" s="139" t="n">
        <f aca="false">'CP RESUMO'!R11</f>
        <v>0</v>
      </c>
      <c r="N19" s="140" t="n">
        <f aca="false">MAX(0,M19-M18)</f>
        <v>0</v>
      </c>
      <c r="O19" s="139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HISTORICOS'!S11)</f>
        <v>3156.22</v>
      </c>
      <c r="D20" s="45" t="n">
        <f aca="false">IF(B20&lt;='VALOR POR PL'!$P$5,0,IF($K$17&gt;0,$K$18*P20/$K$17,0))</f>
        <v>0</v>
      </c>
      <c r="E20" s="45" t="n">
        <f aca="false">L20+D20/$K$2</f>
        <v>2.5306831967453</v>
      </c>
      <c r="F20" s="117" t="n">
        <f aca="false">IF($K$9=0,0,E20/$K$9)</f>
        <v>0.0105449361306518</v>
      </c>
      <c r="G20" s="117" t="n">
        <f aca="false">G19+F20</f>
        <v>0.217239845485638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2.5306831967453</v>
      </c>
      <c r="M20" s="139" t="n">
        <f aca="false">'CP RESUMO'!S11</f>
        <v>0</v>
      </c>
      <c r="N20" s="140" t="n">
        <f aca="false">MAX(0,M20-M19)</f>
        <v>0</v>
      </c>
      <c r="O20" s="139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HISTORICOS'!T11)</f>
        <v>5033.53</v>
      </c>
      <c r="D21" s="45" t="n">
        <f aca="false">IF(B21&lt;='VALOR POR PL'!$P$5,0,IF($K$17&gt;0,$K$18*P21/$K$17,0))</f>
        <v>0</v>
      </c>
      <c r="E21" s="45" t="n">
        <f aca="false">L21+D21/$K$2</f>
        <v>3.99596872787087</v>
      </c>
      <c r="F21" s="117" t="n">
        <f aca="false">IF($K$9=0,0,E21/$K$9)</f>
        <v>0.0166505373211758</v>
      </c>
      <c r="G21" s="117" t="n">
        <f aca="false">G20+F21</f>
        <v>0.233890382806814</v>
      </c>
      <c r="H21" s="138"/>
      <c r="K21" s="143"/>
      <c r="L21" s="45" t="n">
        <f aca="false">C21/IF(B21&lt;='VALOR POR PL'!$P$5,IFERROR(INDEX('"INCC-FGV"'!$B$2:$B$800,MATCH(B21,'"INCC-FGV"'!$A$2:$A$800,0)),$K$2),$K$2)</f>
        <v>3.99596872787087</v>
      </c>
      <c r="M21" s="139" t="n">
        <f aca="false">'CP RESUMO'!T11</f>
        <v>0</v>
      </c>
      <c r="N21" s="140" t="n">
        <f aca="false">MAX(0,M21-M20)</f>
        <v>0</v>
      </c>
      <c r="O21" s="139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HISTORICOS'!U11)</f>
        <v>6749.51</v>
      </c>
      <c r="D22" s="45" t="n">
        <f aca="false">IF(B22&lt;='VALOR POR PL'!$P$5,0,IF($K$17&gt;0,$K$18*P22/$K$17,0))</f>
        <v>0</v>
      </c>
      <c r="E22" s="45" t="n">
        <f aca="false">L22+D22/$K$2</f>
        <v>5.31166802419149</v>
      </c>
      <c r="F22" s="117" t="n">
        <f aca="false">IF($K$9=0,0,E22/$K$9)</f>
        <v>0.022132837541404</v>
      </c>
      <c r="G22" s="117" t="n">
        <f aca="false">G21+F22</f>
        <v>0.256023220348218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5.31166802419149</v>
      </c>
      <c r="M22" s="139" t="n">
        <f aca="false">'CP RESUMO'!U11</f>
        <v>0</v>
      </c>
      <c r="N22" s="140" t="n">
        <f aca="false">MAX(0,M22-M21)</f>
        <v>0</v>
      </c>
      <c r="O22" s="139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HISTORICOS'!V11)</f>
        <v>11142.84</v>
      </c>
      <c r="D23" s="45" t="n">
        <f aca="false">IF(B23&lt;='VALOR POR PL'!$P$5,0,IF($K$17&gt;0,$K$18*P23/$K$17,0))</f>
        <v>0</v>
      </c>
      <c r="E23" s="45" t="n">
        <f aca="false">L23+D23/$K$2</f>
        <v>8.70098645912477</v>
      </c>
      <c r="F23" s="117" t="n">
        <f aca="false">IF($K$9=0,0,E23/$K$9)</f>
        <v>0.0362555639532983</v>
      </c>
      <c r="G23" s="117" t="n">
        <f aca="false">G22+F23</f>
        <v>0.292278784301516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8.70098645912477</v>
      </c>
      <c r="M23" s="139" t="n">
        <f aca="false">'CP RESUMO'!V11</f>
        <v>0</v>
      </c>
      <c r="N23" s="140" t="n">
        <f aca="false">MAX(0,M23-M22)</f>
        <v>0</v>
      </c>
      <c r="O23" s="139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HISTORICOS'!W11)</f>
        <v>9271.15</v>
      </c>
      <c r="D24" s="45" t="n">
        <f aca="false">IF(B24&lt;='VALOR POR PL'!$P$5,0,IF($K$17&gt;0,$K$18*P24/$K$17,0))</f>
        <v>0</v>
      </c>
      <c r="E24" s="45" t="n">
        <f aca="false">L24+D24/$K$2</f>
        <v>7.19568995157676</v>
      </c>
      <c r="F24" s="117" t="n">
        <f aca="false">IF($K$9=0,0,E24/$K$9)</f>
        <v>0.0299832436762279</v>
      </c>
      <c r="G24" s="117" t="n">
        <f aca="false">G23+F24</f>
        <v>0.322262027977744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7.19568995157676</v>
      </c>
      <c r="M24" s="139" t="n">
        <f aca="false">'CP RESUMO'!W11</f>
        <v>0</v>
      </c>
      <c r="N24" s="140" t="n">
        <f aca="false">MAX(0,M24-M23)</f>
        <v>0</v>
      </c>
      <c r="O24" s="139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HISTORICOS'!X11)</f>
        <v>11459.16</v>
      </c>
      <c r="D25" s="45" t="n">
        <f aca="false">IF(B25&lt;='VALOR POR PL'!$P$5,0,IF($K$17&gt;0,$K$18*P25/$K$17,0))</f>
        <v>0</v>
      </c>
      <c r="E25" s="45" t="n">
        <f aca="false">L25+D25/$K$2</f>
        <v>8.83588341022246</v>
      </c>
      <c r="F25" s="117" t="n">
        <f aca="false">IF($K$9=0,0,E25/$K$9)</f>
        <v>0.0368176571206194</v>
      </c>
      <c r="G25" s="117" t="n">
        <f aca="false">G24+F25</f>
        <v>0.359079685098364</v>
      </c>
      <c r="H25" s="138"/>
      <c r="L25" s="45" t="n">
        <f aca="false">C25/IF(B25&lt;='VALOR POR PL'!$P$5,IFERROR(INDEX('"INCC-FGV"'!$B$2:$B$800,MATCH(B25,'"INCC-FGV"'!$A$2:$A$800,0)),$K$2),$K$2)</f>
        <v>8.83588341022246</v>
      </c>
      <c r="M25" s="139" t="n">
        <f aca="false">'CP RESUMO'!X11</f>
        <v>0</v>
      </c>
      <c r="N25" s="140" t="n">
        <f aca="false">MAX(0,M25-M24)</f>
        <v>0</v>
      </c>
      <c r="O25" s="139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HISTORICOS'!Y11)</f>
        <v>10434.08</v>
      </c>
      <c r="D26" s="45" t="n">
        <f aca="false">IF(B26&lt;='VALOR POR PL'!$P$5,0,IF($K$17&gt;0,$K$18*P26/$K$17,0))</f>
        <v>0</v>
      </c>
      <c r="E26" s="45" t="n">
        <f aca="false">L26+D26/$K$2</f>
        <v>8.02780859585979</v>
      </c>
      <c r="F26" s="117" t="n">
        <f aca="false">IF($K$9=0,0,E26/$K$9)</f>
        <v>0.0334505437193049</v>
      </c>
      <c r="G26" s="117" t="n">
        <f aca="false">G25+F26</f>
        <v>0.392530228817669</v>
      </c>
      <c r="H26" s="138" t="n">
        <v>4398.99</v>
      </c>
      <c r="L26" s="45" t="n">
        <f aca="false">C26/IF(B26&lt;='VALOR POR PL'!$P$5,IFERROR(INDEX('"INCC-FGV"'!$B$2:$B$800,MATCH(B26,'"INCC-FGV"'!$A$2:$A$800,0)),$K$2),$K$2)</f>
        <v>8.02780859585979</v>
      </c>
      <c r="M26" s="139" t="n">
        <f aca="false">'CP RESUMO'!Y11</f>
        <v>0</v>
      </c>
      <c r="N26" s="140" t="n">
        <f aca="false">MAX(0,M26-M25)</f>
        <v>0</v>
      </c>
      <c r="O26" s="139" t="n">
        <f aca="false">IF(B26&lt;='VALOR POR PL'!$P$5,'CP RESUMO'!Y53,"")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HISTORICOS'!Z11)</f>
        <v>5027.89</v>
      </c>
      <c r="D27" s="45" t="n">
        <f aca="false">IF(B27&lt;='VALOR POR PL'!$P$5,0,IF($K$17&gt;0,$K$18*P27/$K$17,0))</f>
        <v>5472.47744347175</v>
      </c>
      <c r="E27" s="45" t="n">
        <f aca="false">L27+D27/$K$2</f>
        <v>8.07880905862221</v>
      </c>
      <c r="F27" s="117" t="n">
        <f aca="false">IF($K$9=0,0,E27/$K$9)</f>
        <v>0.0336630541683232</v>
      </c>
      <c r="G27" s="117" t="n">
        <f aca="false">G26+F27</f>
        <v>0.426193282985992</v>
      </c>
      <c r="H27" s="138" t="n">
        <v>4398.99</v>
      </c>
      <c r="L27" s="45" t="n">
        <f aca="false">C27/IF(B27&lt;='VALOR POR PL'!$P$5,IFERROR(INDEX('"INCC-FGV"'!$B$2:$B$800,MATCH(B27,'"INCC-FGV"'!$A$2:$A$800,0)),$K$2),$K$2)</f>
        <v>3.86837541604411</v>
      </c>
      <c r="M27" s="139" t="n">
        <f aca="false">'CP RESUMO'!Z11</f>
        <v>0</v>
      </c>
      <c r="N27" s="140" t="n">
        <f aca="false">MAX(0,M27-M26)</f>
        <v>0</v>
      </c>
      <c r="O27" s="139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4398.99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HISTORICOS'!AA11)</f>
        <v>6209.13</v>
      </c>
      <c r="D28" s="45" t="n">
        <f aca="false">IF(B28&lt;='VALOR POR PL'!$P$5,0,IF($K$17&gt;0,$K$18*P28/$K$17,0))</f>
        <v>5472.47744347175</v>
      </c>
      <c r="E28" s="45" t="n">
        <f aca="false">L28+D28/$K$2</f>
        <v>8.98763557957791</v>
      </c>
      <c r="F28" s="117" t="n">
        <f aca="false">IF($K$9=0,0,E28/$K$9)</f>
        <v>0.03744998318008</v>
      </c>
      <c r="G28" s="117" t="n">
        <f aca="false">G27+F28</f>
        <v>0.463643266166072</v>
      </c>
      <c r="H28" s="138" t="n">
        <v>4398.99</v>
      </c>
      <c r="L28" s="45" t="n">
        <f aca="false">C28/IF(B28&lt;='VALOR POR PL'!$P$5,IFERROR(INDEX('"INCC-FGV"'!$B$2:$B$800,MATCH(B28,'"INCC-FGV"'!$A$2:$A$800,0)),$K$2),$K$2)</f>
        <v>4.77720193699981</v>
      </c>
      <c r="M28" s="139" t="n">
        <f aca="false">'CP RESUMO'!AA11</f>
        <v>0</v>
      </c>
      <c r="N28" s="140" t="n">
        <f aca="false">MAX(0,M28-M27)</f>
        <v>0</v>
      </c>
      <c r="O28" s="139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4398.99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HISTORICOS'!AB11)</f>
        <v>576.83</v>
      </c>
      <c r="D29" s="45" t="n">
        <f aca="false">IF(B29&lt;='VALOR POR PL'!$P$5,0,IF($K$17&gt;0,$K$18*P29/$K$17,0))</f>
        <v>5472.47744347175</v>
      </c>
      <c r="E29" s="45" t="n">
        <f aca="false">L29+D29/$K$2</f>
        <v>4.65423710511143</v>
      </c>
      <c r="F29" s="117" t="n">
        <f aca="false">IF($K$9=0,0,E29/$K$9)</f>
        <v>0.0193934322057496</v>
      </c>
      <c r="G29" s="117" t="n">
        <f aca="false">G28+F29</f>
        <v>0.483036698371821</v>
      </c>
      <c r="H29" s="138" t="n">
        <v>4398.99</v>
      </c>
      <c r="L29" s="45" t="n">
        <f aca="false">C29/IF(B29&lt;='VALOR POR PL'!$P$5,IFERROR(INDEX('"INCC-FGV"'!$B$2:$B$800,MATCH(B29,'"INCC-FGV"'!$A$2:$A$800,0)),$K$2),$K$2)</f>
        <v>0.443803462533334</v>
      </c>
      <c r="M29" s="139" t="n">
        <f aca="false">'CP RESUMO'!AB11</f>
        <v>0</v>
      </c>
      <c r="N29" s="140" t="n">
        <f aca="false">MAX(0,M29-M28)</f>
        <v>0</v>
      </c>
      <c r="O29" s="139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4398.99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5472.47744347175</v>
      </c>
      <c r="E30" s="45" t="n">
        <f aca="false">L30+D30/$K$2</f>
        <v>4.2104336425781</v>
      </c>
      <c r="F30" s="117" t="n">
        <f aca="false">IF($K$9=0,0,E30/$K$9)</f>
        <v>0.017544176963926</v>
      </c>
      <c r="G30" s="117" t="n">
        <f aca="false">G29+F30</f>
        <v>0.500580875335747</v>
      </c>
      <c r="H30" s="138" t="n">
        <v>4398.99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RESUMO'!AC11</f>
        <v>0</v>
      </c>
      <c r="N30" s="140" t="n">
        <f aca="false">MAX(0,M30-M29)</f>
        <v>0</v>
      </c>
      <c r="O30" s="139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4398.99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5472.47744347175</v>
      </c>
      <c r="E31" s="45" t="n">
        <f aca="false">L31+D31/$K$2</f>
        <v>4.2104336425781</v>
      </c>
      <c r="F31" s="117" t="n">
        <f aca="false">IF($K$9=0,0,E31/$K$9)</f>
        <v>0.017544176963926</v>
      </c>
      <c r="G31" s="117" t="n">
        <f aca="false">G30+F31</f>
        <v>0.518125052299673</v>
      </c>
      <c r="H31" s="138" t="n">
        <v>4398.99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RESUMO'!AD11</f>
        <v>0</v>
      </c>
      <c r="N31" s="140" t="n">
        <f aca="false">MAX(0,M31-M30)</f>
        <v>0</v>
      </c>
      <c r="O31" s="139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4398.99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5472.47744347175</v>
      </c>
      <c r="E32" s="45" t="n">
        <f aca="false">L32+D32/$K$2</f>
        <v>4.2104336425781</v>
      </c>
      <c r="F32" s="117" t="n">
        <f aca="false">IF($K$9=0,0,E32/$K$9)</f>
        <v>0.017544176963926</v>
      </c>
      <c r="G32" s="117" t="n">
        <f aca="false">G31+F32</f>
        <v>0.5356692292636</v>
      </c>
      <c r="H32" s="138" t="n">
        <v>4398.99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RESUMO'!AE11</f>
        <v>0</v>
      </c>
      <c r="N32" s="140" t="n">
        <f aca="false">MAX(0,M32-M31)</f>
        <v>0</v>
      </c>
      <c r="O32" s="139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4398.99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5472.47744347175</v>
      </c>
      <c r="E33" s="45" t="n">
        <f aca="false">L33+D33/$K$2</f>
        <v>4.2104336425781</v>
      </c>
      <c r="F33" s="117" t="n">
        <f aca="false">IF($K$9=0,0,E33/$K$9)</f>
        <v>0.017544176963926</v>
      </c>
      <c r="G33" s="117" t="n">
        <f aca="false">G32+F33</f>
        <v>0.553213406227526</v>
      </c>
      <c r="H33" s="138" t="n">
        <v>4398.99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RESUMO'!AF11</f>
        <v>0</v>
      </c>
      <c r="N33" s="140" t="n">
        <f aca="false">MAX(0,M33-M32)</f>
        <v>0</v>
      </c>
      <c r="O33" s="139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4398.99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5472.47744347175</v>
      </c>
      <c r="E34" s="45" t="n">
        <f aca="false">L34+D34/$K$2</f>
        <v>4.2104336425781</v>
      </c>
      <c r="F34" s="117" t="n">
        <f aca="false">IF($K$9=0,0,E34/$K$9)</f>
        <v>0.017544176963926</v>
      </c>
      <c r="G34" s="117" t="n">
        <f aca="false">G33+F34</f>
        <v>0.570757583191452</v>
      </c>
      <c r="H34" s="138" t="n">
        <v>4398.99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RESUMO'!AG11</f>
        <v>0</v>
      </c>
      <c r="N34" s="140" t="n">
        <f aca="false">MAX(0,M34-M33)</f>
        <v>0</v>
      </c>
      <c r="O34" s="139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4398.99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5472.47744347175</v>
      </c>
      <c r="E35" s="45" t="n">
        <f aca="false">L35+D35/$K$2</f>
        <v>4.2104336425781</v>
      </c>
      <c r="F35" s="117" t="n">
        <f aca="false">IF($K$9=0,0,E35/$K$9)</f>
        <v>0.017544176963926</v>
      </c>
      <c r="G35" s="117" t="n">
        <f aca="false">G34+F35</f>
        <v>0.588301760155378</v>
      </c>
      <c r="H35" s="138" t="n">
        <v>4398.99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RESUMO'!AH11</f>
        <v>0</v>
      </c>
      <c r="N35" s="140" t="n">
        <f aca="false">MAX(0,M35-M34)</f>
        <v>0</v>
      </c>
      <c r="O35" s="139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4398.99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5472.47744347175</v>
      </c>
      <c r="E36" s="45" t="n">
        <f aca="false">L36+D36/$K$2</f>
        <v>4.2104336425781</v>
      </c>
      <c r="F36" s="117" t="n">
        <f aca="false">IF($K$9=0,0,E36/$K$9)</f>
        <v>0.017544176963926</v>
      </c>
      <c r="G36" s="117" t="n">
        <f aca="false">G35+F36</f>
        <v>0.605845937119304</v>
      </c>
      <c r="H36" s="138" t="n">
        <v>4398.99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RESUMO'!AI11</f>
        <v>0</v>
      </c>
      <c r="N36" s="140" t="n">
        <f aca="false">MAX(0,M36-M35)</f>
        <v>0</v>
      </c>
      <c r="O36" s="139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4398.99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5472.47744347175</v>
      </c>
      <c r="E37" s="45" t="n">
        <f aca="false">L37+D37/$K$2</f>
        <v>4.2104336425781</v>
      </c>
      <c r="F37" s="117" t="n">
        <f aca="false">IF($K$9=0,0,E37/$K$9)</f>
        <v>0.017544176963926</v>
      </c>
      <c r="G37" s="117" t="n">
        <f aca="false">G36+F37</f>
        <v>0.62339011408323</v>
      </c>
      <c r="H37" s="138" t="n">
        <v>4398.99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RESUMO'!AJ11</f>
        <v>0</v>
      </c>
      <c r="N37" s="140" t="n">
        <f aca="false">MAX(0,M37-M36)</f>
        <v>0</v>
      </c>
      <c r="O37" s="139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4398.99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5472.47744347175</v>
      </c>
      <c r="E38" s="45" t="n">
        <f aca="false">L38+D38/$K$2</f>
        <v>4.2104336425781</v>
      </c>
      <c r="F38" s="117" t="n">
        <f aca="false">IF($K$9=0,0,E38/$K$9)</f>
        <v>0.017544176963926</v>
      </c>
      <c r="G38" s="117" t="n">
        <f aca="false">G37+F38</f>
        <v>0.640934291047156</v>
      </c>
      <c r="H38" s="138" t="n">
        <v>4398.99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RESUMO'!AK11</f>
        <v>0</v>
      </c>
      <c r="N38" s="140" t="n">
        <f aca="false">MAX(0,M38-M37)</f>
        <v>0</v>
      </c>
      <c r="O38" s="139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4398.99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5472.47744347175</v>
      </c>
      <c r="E39" s="45" t="n">
        <f aca="false">L39+D39/$K$2</f>
        <v>4.2104336425781</v>
      </c>
      <c r="F39" s="117" t="n">
        <f aca="false">IF($K$9=0,0,E39/$K$9)</f>
        <v>0.017544176963926</v>
      </c>
      <c r="G39" s="117" t="n">
        <f aca="false">G38+F39</f>
        <v>0.658478468011082</v>
      </c>
      <c r="H39" s="138" t="n">
        <v>4398.99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RESUMO'!AL11</f>
        <v>0</v>
      </c>
      <c r="N39" s="140" t="n">
        <f aca="false">MAX(0,M39-M38)</f>
        <v>0</v>
      </c>
      <c r="O39" s="139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4398.99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5472.47744347175</v>
      </c>
      <c r="E40" s="45" t="n">
        <f aca="false">L40+D40/$K$2</f>
        <v>4.2104336425781</v>
      </c>
      <c r="F40" s="117" t="n">
        <f aca="false">IF($K$9=0,0,E40/$K$9)</f>
        <v>0.017544176963926</v>
      </c>
      <c r="G40" s="117" t="n">
        <f aca="false">G39+F40</f>
        <v>0.676022644975008</v>
      </c>
      <c r="H40" s="138" t="n">
        <v>4398.99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RESUMO'!AM11</f>
        <v>0</v>
      </c>
      <c r="N40" s="140" t="n">
        <f aca="false">MAX(0,M40-M39)</f>
        <v>0</v>
      </c>
      <c r="O40" s="139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4398.99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5472.47744347175</v>
      </c>
      <c r="E41" s="45" t="n">
        <f aca="false">L41+D41/$K$2</f>
        <v>4.2104336425781</v>
      </c>
      <c r="F41" s="117" t="n">
        <f aca="false">IF($K$9=0,0,E41/$K$9)</f>
        <v>0.017544176963926</v>
      </c>
      <c r="G41" s="117" t="n">
        <f aca="false">G40+F41</f>
        <v>0.693566821938934</v>
      </c>
      <c r="H41" s="138" t="n">
        <v>4398.99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RESUMO'!AN11</f>
        <v>0</v>
      </c>
      <c r="N41" s="140" t="n">
        <f aca="false">MAX(0,M41-M40)</f>
        <v>0</v>
      </c>
      <c r="O41" s="139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4398.99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5472.47744347175</v>
      </c>
      <c r="E42" s="45" t="n">
        <f aca="false">L42+D42/$K$2</f>
        <v>4.2104336425781</v>
      </c>
      <c r="F42" s="117" t="n">
        <f aca="false">IF($K$9=0,0,E42/$K$9)</f>
        <v>0.017544176963926</v>
      </c>
      <c r="G42" s="117" t="n">
        <f aca="false">G41+F42</f>
        <v>0.71111099890286</v>
      </c>
      <c r="H42" s="138" t="n">
        <v>4398.99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RESUMO'!AO11</f>
        <v>0</v>
      </c>
      <c r="N42" s="140" t="n">
        <f aca="false">MAX(0,M42-M41)</f>
        <v>0</v>
      </c>
      <c r="O42" s="139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4398.99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5472.47744347175</v>
      </c>
      <c r="E43" s="45" t="n">
        <f aca="false">L43+D43/$K$2</f>
        <v>4.2104336425781</v>
      </c>
      <c r="F43" s="117" t="n">
        <f aca="false">IF($K$9=0,0,E43/$K$9)</f>
        <v>0.017544176963926</v>
      </c>
      <c r="G43" s="117" t="n">
        <f aca="false">G42+F43</f>
        <v>0.728655175866786</v>
      </c>
      <c r="H43" s="138" t="n">
        <v>4398.99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RESUMO'!AP11</f>
        <v>0</v>
      </c>
      <c r="N43" s="140" t="n">
        <f aca="false">MAX(0,M43-M42)</f>
        <v>0</v>
      </c>
      <c r="O43" s="139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4398.99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5472.47744347175</v>
      </c>
      <c r="E44" s="45" t="n">
        <f aca="false">L44+D44/$K$2</f>
        <v>4.2104336425781</v>
      </c>
      <c r="F44" s="117" t="n">
        <f aca="false">IF($K$9=0,0,E44/$K$9)</f>
        <v>0.017544176963926</v>
      </c>
      <c r="G44" s="117" t="n">
        <f aca="false">G43+F44</f>
        <v>0.746199352830712</v>
      </c>
      <c r="H44" s="138" t="n">
        <v>4398.99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RESUMO'!AQ11</f>
        <v>0</v>
      </c>
      <c r="N44" s="140" t="n">
        <f aca="false">MAX(0,M44-M43)</f>
        <v>0</v>
      </c>
      <c r="O44" s="139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4398.99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5472.47744347175</v>
      </c>
      <c r="E45" s="45" t="n">
        <f aca="false">L45+D45/$K$2</f>
        <v>4.2104336425781</v>
      </c>
      <c r="F45" s="117" t="n">
        <f aca="false">IF($K$9=0,0,E45/$K$9)</f>
        <v>0.017544176963926</v>
      </c>
      <c r="G45" s="117" t="n">
        <f aca="false">G44+F45</f>
        <v>0.763743529794638</v>
      </c>
      <c r="H45" s="138" t="n">
        <v>4398.99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RESUMO'!AR11</f>
        <v>0</v>
      </c>
      <c r="N45" s="140" t="n">
        <f aca="false">MAX(0,M45-M44)</f>
        <v>0</v>
      </c>
      <c r="O45" s="139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4398.99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5472.47744347175</v>
      </c>
      <c r="E46" s="45" t="n">
        <f aca="false">L46+D46/$K$2</f>
        <v>4.2104336425781</v>
      </c>
      <c r="F46" s="117" t="n">
        <f aca="false">IF($K$9=0,0,E46/$K$9)</f>
        <v>0.017544176963926</v>
      </c>
      <c r="G46" s="117" t="n">
        <f aca="false">G45+F46</f>
        <v>0.781287706758565</v>
      </c>
      <c r="H46" s="138" t="n">
        <v>4398.99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RESUMO'!AS11</f>
        <v>0</v>
      </c>
      <c r="N46" s="140" t="n">
        <f aca="false">MAX(0,M46-M45)</f>
        <v>0</v>
      </c>
      <c r="O46" s="139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4398.99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5472.47744347175</v>
      </c>
      <c r="E47" s="45" t="n">
        <f aca="false">L47+D47/$K$2</f>
        <v>4.2104336425781</v>
      </c>
      <c r="F47" s="117" t="n">
        <f aca="false">IF($K$9=0,0,E47/$K$9)</f>
        <v>0.017544176963926</v>
      </c>
      <c r="G47" s="117" t="n">
        <f aca="false">G46+F47</f>
        <v>0.798831883722491</v>
      </c>
      <c r="H47" s="138" t="n">
        <v>4398.99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RESUMO'!AT11</f>
        <v>0</v>
      </c>
      <c r="N47" s="140" t="n">
        <f aca="false">MAX(0,M47-M46)</f>
        <v>0</v>
      </c>
      <c r="O47" s="139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4398.99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5472.47744347175</v>
      </c>
      <c r="E48" s="45" t="n">
        <f aca="false">L48+D48/$K$2</f>
        <v>4.2104336425781</v>
      </c>
      <c r="F48" s="117" t="n">
        <f aca="false">IF($K$9=0,0,E48/$K$9)</f>
        <v>0.017544176963926</v>
      </c>
      <c r="G48" s="117" t="n">
        <f aca="false">G47+F48</f>
        <v>0.816376060686417</v>
      </c>
      <c r="H48" s="138" t="n">
        <v>4398.99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RESUMO'!AU11</f>
        <v>0</v>
      </c>
      <c r="N48" s="140" t="n">
        <f aca="false">MAX(0,M48-M47)</f>
        <v>0</v>
      </c>
      <c r="O48" s="139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4398.99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5472.47744347175</v>
      </c>
      <c r="E49" s="45" t="n">
        <f aca="false">L49+D49/$K$2</f>
        <v>4.2104336425781</v>
      </c>
      <c r="F49" s="117" t="n">
        <f aca="false">IF($K$9=0,0,E49/$K$9)</f>
        <v>0.017544176963926</v>
      </c>
      <c r="G49" s="117" t="n">
        <f aca="false">G48+F49</f>
        <v>0.833920237650343</v>
      </c>
      <c r="H49" s="138" t="n">
        <v>4398.99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RESUMO'!AV11</f>
        <v>0</v>
      </c>
      <c r="N49" s="140" t="n">
        <f aca="false">MAX(0,M49-M48)</f>
        <v>0</v>
      </c>
      <c r="O49" s="139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4398.99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5472.47744347175</v>
      </c>
      <c r="E50" s="45" t="n">
        <f aca="false">L50+D50/$K$2</f>
        <v>4.2104336425781</v>
      </c>
      <c r="F50" s="117" t="n">
        <f aca="false">IF($K$9=0,0,E50/$K$9)</f>
        <v>0.017544176963926</v>
      </c>
      <c r="G50" s="117" t="n">
        <f aca="false">G49+F50</f>
        <v>0.851464414614269</v>
      </c>
      <c r="H50" s="138" t="n">
        <v>4398.99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RESUMO'!AW11</f>
        <v>0</v>
      </c>
      <c r="N50" s="140" t="n">
        <f aca="false">MAX(0,M50-M49)</f>
        <v>0</v>
      </c>
      <c r="O50" s="139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4398.99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5472.47744347175</v>
      </c>
      <c r="E51" s="45" t="n">
        <f aca="false">L51+D51/$K$2</f>
        <v>4.2104336425781</v>
      </c>
      <c r="F51" s="117" t="n">
        <f aca="false">IF($K$9=0,0,E51/$K$9)</f>
        <v>0.017544176963926</v>
      </c>
      <c r="G51" s="117" t="n">
        <f aca="false">G50+F51</f>
        <v>0.869008591578195</v>
      </c>
      <c r="H51" s="138" t="n">
        <v>4398.99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RESUMO'!AX11</f>
        <v>0</v>
      </c>
      <c r="N51" s="140" t="n">
        <f aca="false">MAX(0,M51-M50)</f>
        <v>0</v>
      </c>
      <c r="O51" s="139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4398.99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5472.47744347175</v>
      </c>
      <c r="E52" s="45" t="n">
        <f aca="false">L52+D52/$K$2</f>
        <v>4.2104336425781</v>
      </c>
      <c r="F52" s="117" t="n">
        <f aca="false">IF($K$9=0,0,E52/$K$9)</f>
        <v>0.017544176963926</v>
      </c>
      <c r="G52" s="117" t="n">
        <f aca="false">G51+F52</f>
        <v>0.886552768542121</v>
      </c>
      <c r="H52" s="138" t="n">
        <v>4398.99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RESUMO'!AY11</f>
        <v>0</v>
      </c>
      <c r="N52" s="140" t="n">
        <f aca="false">MAX(0,M52-M51)</f>
        <v>0</v>
      </c>
      <c r="O52" s="139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4398.99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15722.7284145714</v>
      </c>
      <c r="E53" s="45" t="n">
        <f aca="false">L53+D53/$K$2</f>
        <v>12.0968072237193</v>
      </c>
      <c r="F53" s="117" t="n">
        <f aca="false">IF($K$9=0,0,E53/$K$9)</f>
        <v>0.050405384491817</v>
      </c>
      <c r="G53" s="117" t="n">
        <f aca="false">G52+F53</f>
        <v>0.936958153033938</v>
      </c>
      <c r="H53" s="138" t="n">
        <v>12638.54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RESUMO'!AZ11</f>
        <v>0</v>
      </c>
      <c r="N53" s="140" t="n">
        <f aca="false">MAX(0,M53-M52)</f>
        <v>0</v>
      </c>
      <c r="O53" s="139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12638.54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19664.3642061948</v>
      </c>
      <c r="E54" s="45" t="n">
        <f aca="false">L54+D54/$K$2</f>
        <v>15.1294366160321</v>
      </c>
      <c r="F54" s="117" t="n">
        <f aca="false">IF($K$9=0,0,E54/$K$9)</f>
        <v>0.0630418469660626</v>
      </c>
      <c r="G54" s="117" t="n">
        <f aca="false">G53+F54</f>
        <v>1</v>
      </c>
      <c r="H54" s="138" t="n">
        <v>15806.98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RESUMO'!BA11</f>
        <v>0</v>
      </c>
      <c r="N54" s="140" t="n">
        <f aca="false">MAX(0,M54-M53)</f>
        <v>0</v>
      </c>
      <c r="O54" s="139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15806.98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RESUMO'!BB11</f>
        <v>0</v>
      </c>
      <c r="N55" s="140" t="n">
        <f aca="false">MAX(0,M55-M54)</f>
        <v>0</v>
      </c>
      <c r="O55" s="139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RESUMO'!BC11</f>
        <v>0</v>
      </c>
      <c r="N56" s="140" t="n">
        <f aca="false">MAX(0,M56-M55)</f>
        <v>0</v>
      </c>
      <c r="O56" s="139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RESUMO'!BD11</f>
        <v>0</v>
      </c>
      <c r="N57" s="140" t="n">
        <f aca="false">MAX(0,M57-M56)</f>
        <v>0</v>
      </c>
      <c r="O57" s="139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RESUMO'!BE11</f>
        <v>0</v>
      </c>
      <c r="N58" s="140" t="n">
        <f aca="false">MAX(0,M58-M57)</f>
        <v>0</v>
      </c>
      <c r="O58" s="139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RESUMO'!BF11</f>
        <v>0</v>
      </c>
      <c r="N59" s="140" t="n">
        <f aca="false">MAX(0,M59-M58)</f>
        <v>0</v>
      </c>
      <c r="O59" s="139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RESUMO'!BG11</f>
        <v>0</v>
      </c>
      <c r="N60" s="140" t="n">
        <f aca="false">MAX(0,M60-M59)</f>
        <v>0</v>
      </c>
      <c r="O60" s="139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RESUMO'!BH11</f>
        <v>0</v>
      </c>
      <c r="N61" s="140" t="n">
        <f aca="false">MAX(0,M61-M60)</f>
        <v>0</v>
      </c>
      <c r="O61" s="139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RESUMO'!BI11</f>
        <v>0</v>
      </c>
      <c r="N62" s="140" t="n">
        <f aca="false">MAX(0,M62-M61)</f>
        <v>0</v>
      </c>
      <c r="O62" s="139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RESUMO'!BJ11</f>
        <v>0</v>
      </c>
      <c r="N63" s="140" t="n">
        <f aca="false">MAX(0,M63-M62)</f>
        <v>0</v>
      </c>
      <c r="O63" s="139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RESUMO'!BK11</f>
        <v>0</v>
      </c>
      <c r="N64" s="140" t="n">
        <f aca="false">MAX(0,M64-M63)</f>
        <v>0</v>
      </c>
      <c r="O64" s="139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RESUMO'!BL11</f>
        <v>0</v>
      </c>
      <c r="N65" s="140" t="n">
        <f aca="false">MAX(0,M65-M64)</f>
        <v>0</v>
      </c>
      <c r="O65" s="139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RESUMO'!BM11</f>
        <v>0</v>
      </c>
      <c r="N66" s="140" t="n">
        <f aca="false">MAX(0,M66-M65)</f>
        <v>0</v>
      </c>
      <c r="O66" s="139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RESUMO'!BN11</f>
        <v>0</v>
      </c>
      <c r="N67" s="140" t="n">
        <f aca="false">MAX(0,M67-M66)</f>
        <v>0</v>
      </c>
      <c r="O67" s="139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RESUMO'!BO11</f>
        <v>0</v>
      </c>
      <c r="N68" s="140" t="n">
        <f aca="false">MAX(0,M68-M67)</f>
        <v>0</v>
      </c>
      <c r="O68" s="139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RESUMO'!BP11</f>
        <v>0</v>
      </c>
      <c r="N69" s="140" t="n">
        <f aca="false">MAX(0,M69-M68)</f>
        <v>0</v>
      </c>
      <c r="O69" s="139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RESUMO'!BQ11</f>
        <v>0</v>
      </c>
      <c r="N70" s="140" t="n">
        <f aca="false">MAX(0,M70-M69)</f>
        <v>0</v>
      </c>
      <c r="O70" s="139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RESUMO'!BR11</f>
        <v>0</v>
      </c>
      <c r="N71" s="140" t="n">
        <f aca="false">MAX(0,M71-M70)</f>
        <v>0</v>
      </c>
      <c r="O71" s="139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RESUMO'!BS11</f>
        <v>0</v>
      </c>
      <c r="N72" s="140" t="n">
        <f aca="false">MAX(0,M72-M71)</f>
        <v>0</v>
      </c>
      <c r="O72" s="139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RESUMO'!BT11</f>
        <v>0</v>
      </c>
      <c r="N73" s="140" t="n">
        <f aca="false">MAX(0,M73-M72)</f>
        <v>0</v>
      </c>
      <c r="O73" s="139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RESUMO'!BU11</f>
        <v>0</v>
      </c>
      <c r="N74" s="140" t="n">
        <f aca="false">MAX(0,M74-M73)</f>
        <v>0</v>
      </c>
      <c r="O74" s="139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RESUMO'!BV11</f>
        <v>0</v>
      </c>
      <c r="N75" s="140" t="n">
        <f aca="false">MAX(0,M75-M74)</f>
        <v>0</v>
      </c>
      <c r="O75" s="139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RESUMO'!BW11</f>
        <v>0</v>
      </c>
      <c r="N76" s="140" t="n">
        <f aca="false">MAX(0,M76-M75)</f>
        <v>0</v>
      </c>
      <c r="O76" s="139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128793.36</v>
      </c>
      <c r="D78" s="61" t="n">
        <f aca="false">SUM(D5:D76)</f>
        <v>177671.506151032</v>
      </c>
      <c r="E78" s="61" t="n">
        <f aca="false">SUM(E5:E76)</f>
        <v>239.990376934495</v>
      </c>
      <c r="F78" s="145" t="n">
        <f aca="false">SUM(F5:F76)</f>
        <v>1</v>
      </c>
      <c r="H78" s="61" t="n">
        <f aca="false">SUM(H5:H76)</f>
        <v>147218.25</v>
      </c>
      <c r="L78" s="61" t="n">
        <f aca="false">SUM(L5:L76)</f>
        <v>103.292858387713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HISTORICOS'!D12)</f>
        <v>15137.12</v>
      </c>
      <c r="D5" s="45" t="n">
        <f aca="false">IF(B5&lt;='VALOR POR PL'!$P$5,0,IF($K$17&gt;0,$K$18*P5/$K$17,0))</f>
        <v>0</v>
      </c>
      <c r="E5" s="45" t="n">
        <f aca="false">L5+D5/$K$2</f>
        <v>13.2233804828391</v>
      </c>
      <c r="F5" s="117" t="n">
        <f aca="false">IF($K$9=0,0,E5/$K$9)</f>
        <v>0.017867711477742</v>
      </c>
      <c r="G5" s="117" t="n">
        <f aca="false">F5</f>
        <v>0.017867711477742</v>
      </c>
      <c r="H5" s="138"/>
      <c r="I5" s="42" t="s">
        <v>3894</v>
      </c>
      <c r="J5" s="56" t="n">
        <f aca="false">'VALOR POR PL'!F18</f>
        <v>854550</v>
      </c>
      <c r="K5" s="56" t="n">
        <f aca="false">'VALOR POR PL'!G18</f>
        <v>731.600332</v>
      </c>
      <c r="L5" s="56" t="n">
        <f aca="false">'DADOS HISTORICOS'!$BZ$12</f>
        <v>13.2233804828391</v>
      </c>
      <c r="M5" s="139" t="n">
        <f aca="false">'CP RESUMO'!D12</f>
        <v>0</v>
      </c>
      <c r="N5" s="140" t="n">
        <v>0</v>
      </c>
      <c r="O5" s="139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HISTORICOS'!E12)</f>
        <v>4468.95</v>
      </c>
      <c r="D6" s="45" t="n">
        <f aca="false">IF(B6&lt;='VALOR POR PL'!$P$5,0,IF($K$17&gt;0,$K$18*P6/$K$17,0))</f>
        <v>0</v>
      </c>
      <c r="E6" s="45" t="n">
        <f aca="false">L6+D6/$K$2</f>
        <v>3.82250349836971</v>
      </c>
      <c r="F6" s="117" t="n">
        <f aca="false">IF($K$9=0,0,E6/$K$9)</f>
        <v>0.00516504760035955</v>
      </c>
      <c r="G6" s="117" t="n">
        <f aca="false">G5+F6</f>
        <v>0.0230327590781016</v>
      </c>
      <c r="H6" s="138"/>
      <c r="I6" s="42" t="s">
        <v>3895</v>
      </c>
      <c r="K6" s="52" t="n">
        <f aca="false">'VALOR POR PL'!H18</f>
        <v>740.606953947202</v>
      </c>
      <c r="L6" s="45" t="n">
        <f aca="false">C6/IF(B6&lt;='VALOR POR PL'!$P$5,IFERROR(INDEX('"INCC-FGV"'!$B$2:$B$800,MATCH(B6,'"INCC-FGV"'!$A$2:$A$800,0)),$K$2),$K$2)</f>
        <v>3.82250349836971</v>
      </c>
      <c r="M6" s="139" t="n">
        <f aca="false">'CP RESUMO'!E12</f>
        <v>0</v>
      </c>
      <c r="N6" s="140" t="n">
        <f aca="false">MAX(0,M6-M5)</f>
        <v>0</v>
      </c>
      <c r="O6" s="139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HISTORICOS'!F12)</f>
        <v>1471.68</v>
      </c>
      <c r="D7" s="45" t="n">
        <f aca="false">IF(B7&lt;='VALOR POR PL'!$P$5,0,IF($K$17&gt;0,$K$18*P7/$K$17,0))</f>
        <v>0</v>
      </c>
      <c r="E7" s="45" t="n">
        <f aca="false">L7+D7/$K$2</f>
        <v>1.25380077101659</v>
      </c>
      <c r="F7" s="117" t="n">
        <f aca="false">IF($K$9=0,0,E7/$K$9)</f>
        <v>0.00169416212867566</v>
      </c>
      <c r="G7" s="117" t="n">
        <f aca="false">G6+F7</f>
        <v>0.0247269212067773</v>
      </c>
      <c r="H7" s="138"/>
      <c r="I7" s="42" t="s">
        <v>3896</v>
      </c>
      <c r="J7" s="45" t="n">
        <f aca="false">C78+D78</f>
        <v>953605.902324634</v>
      </c>
      <c r="L7" s="45" t="n">
        <f aca="false">C7/IF(B7&lt;='VALOR POR PL'!$P$5,IFERROR(INDEX('"INCC-FGV"'!$B$2:$B$800,MATCH(B7,'"INCC-FGV"'!$A$2:$A$800,0)),$K$2),$K$2)</f>
        <v>1.25380077101659</v>
      </c>
      <c r="M7" s="139" t="n">
        <f aca="false">'CP RESUMO'!F12</f>
        <v>0</v>
      </c>
      <c r="N7" s="140" t="n">
        <f aca="false">MAX(0,M7-M6)</f>
        <v>0</v>
      </c>
      <c r="O7" s="139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HISTORICOS'!G12)</f>
        <v>71.89</v>
      </c>
      <c r="D8" s="45" t="n">
        <f aca="false">IF(B8&lt;='VALOR POR PL'!$P$5,0,IF($K$17&gt;0,$K$18*P8/$K$17,0))</f>
        <v>0</v>
      </c>
      <c r="E8" s="45" t="n">
        <f aca="false">L8+D8/$K$2</f>
        <v>0.061007174219653</v>
      </c>
      <c r="F8" s="117" t="n">
        <f aca="false">IF($K$9=0,0,E8/$K$9)</f>
        <v>8.2434184544848E-005</v>
      </c>
      <c r="G8" s="117" t="n">
        <f aca="false">G7+F8</f>
        <v>0.0248093553913221</v>
      </c>
      <c r="H8" s="138"/>
      <c r="I8" s="42" t="s">
        <v>3897</v>
      </c>
      <c r="K8" s="66" t="n">
        <f aca="false">SUM(L5:L76)</f>
        <v>159.46885677511</v>
      </c>
      <c r="L8" s="45" t="n">
        <f aca="false">C8/IF(B8&lt;='VALOR POR PL'!$P$5,IFERROR(INDEX('"INCC-FGV"'!$B$2:$B$800,MATCH(B8,'"INCC-FGV"'!$A$2:$A$800,0)),$K$2),$K$2)</f>
        <v>0.061007174219653</v>
      </c>
      <c r="M8" s="139" t="n">
        <f aca="false">'CP RESUMO'!G12</f>
        <v>0</v>
      </c>
      <c r="N8" s="140" t="n">
        <f aca="false">MAX(0,M8-M7)</f>
        <v>0</v>
      </c>
      <c r="O8" s="139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HISTORICOS'!H12)</f>
        <v>3294</v>
      </c>
      <c r="D9" s="45" t="n">
        <f aca="false">IF(B9&lt;='VALOR POR PL'!$P$5,0,IF($K$17&gt;0,$K$18*P9/$K$17,0))</f>
        <v>0</v>
      </c>
      <c r="E9" s="45" t="n">
        <f aca="false">L9+D9/$K$2</f>
        <v>2.78100943719596</v>
      </c>
      <c r="F9" s="117" t="n">
        <f aca="false">IF($K$9=0,0,E9/$K$9)</f>
        <v>0.00375775878983302</v>
      </c>
      <c r="G9" s="117" t="n">
        <f aca="false">G8+F9</f>
        <v>0.0285671141811551</v>
      </c>
      <c r="H9" s="138"/>
      <c r="I9" s="42" t="s">
        <v>3898</v>
      </c>
      <c r="J9" s="45" t="n">
        <f aca="false">C78+D78</f>
        <v>953605.902324634</v>
      </c>
      <c r="K9" s="45" t="n">
        <f aca="false">E78</f>
        <v>740.071301202261</v>
      </c>
      <c r="L9" s="45" t="n">
        <f aca="false">C9/IF(B9&lt;='VALOR POR PL'!$P$5,IFERROR(INDEX('"INCC-FGV"'!$B$2:$B$800,MATCH(B9,'"INCC-FGV"'!$A$2:$A$800,0)),$K$2),$K$2)</f>
        <v>2.78100943719596</v>
      </c>
      <c r="M9" s="139" t="n">
        <f aca="false">'CP RESUMO'!H12</f>
        <v>0</v>
      </c>
      <c r="N9" s="140" t="n">
        <f aca="false">MAX(0,M9-M8)</f>
        <v>0</v>
      </c>
      <c r="O9" s="139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HISTORICOS'!I12)</f>
        <v>5791.43</v>
      </c>
      <c r="D10" s="45" t="n">
        <f aca="false">IF(B10&lt;='VALOR POR PL'!$P$5,0,IF($K$17&gt;0,$K$18*P10/$K$17,0))</f>
        <v>0</v>
      </c>
      <c r="E10" s="45" t="n">
        <f aca="false">L10+D10/$K$2</f>
        <v>4.86132690688619</v>
      </c>
      <c r="F10" s="117" t="n">
        <f aca="false">IF($K$9=0,0,E10/$K$9)</f>
        <v>0.00656872776851212</v>
      </c>
      <c r="G10" s="117" t="n">
        <f aca="false">G9+F10</f>
        <v>0.0351358419496672</v>
      </c>
      <c r="H10" s="138"/>
      <c r="I10" s="42" t="s">
        <v>3899</v>
      </c>
      <c r="K10" s="52" t="n">
        <f aca="false">IF(K6-K8&gt;0,(K6-K8)*'VALOR POR PL'!$G$65,K6-K8)</f>
        <v>580.602444427151</v>
      </c>
      <c r="L10" s="45" t="n">
        <f aca="false">C10/IF(B10&lt;='VALOR POR PL'!$P$5,IFERROR(INDEX('"INCC-FGV"'!$B$2:$B$800,MATCH(B10,'"INCC-FGV"'!$A$2:$A$800,0)),$K$2),$K$2)</f>
        <v>4.86132690688619</v>
      </c>
      <c r="M10" s="139" t="n">
        <f aca="false">'CP RESUMO'!I12</f>
        <v>0</v>
      </c>
      <c r="N10" s="140" t="n">
        <f aca="false">MAX(0,M10-M9)</f>
        <v>0</v>
      </c>
      <c r="O10" s="139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HISTORICOS'!J12)</f>
        <v>2577.2</v>
      </c>
      <c r="D11" s="45" t="n">
        <f aca="false">IF(B11&lt;='VALOR POR PL'!$P$5,0,IF($K$17&gt;0,$K$18*P11/$K$17,0))</f>
        <v>0</v>
      </c>
      <c r="E11" s="45" t="n">
        <f aca="false">L11+D11/$K$2</f>
        <v>2.14854577998164</v>
      </c>
      <c r="F11" s="117" t="n">
        <f aca="false">IF($K$9=0,0,E11/$K$9)</f>
        <v>0.00290316051506292</v>
      </c>
      <c r="G11" s="117" t="n">
        <f aca="false">G10+F11</f>
        <v>0.0380390024647302</v>
      </c>
      <c r="H11" s="138"/>
      <c r="I11" s="42" t="s">
        <v>3900</v>
      </c>
      <c r="K11" s="56" t="n">
        <f aca="false">SUMPRODUCT((B5:B76&gt;'VALOR POR PL'!$P$5)*H5:H76)</f>
        <v>677834.8</v>
      </c>
      <c r="L11" s="45" t="n">
        <f aca="false">C11/IF(B11&lt;='VALOR POR PL'!$P$5,IFERROR(INDEX('"INCC-FGV"'!$B$2:$B$800,MATCH(B11,'"INCC-FGV"'!$A$2:$A$800,0)),$K$2),$K$2)</f>
        <v>2.14854577998164</v>
      </c>
      <c r="M11" s="139" t="n">
        <f aca="false">'CP RESUMO'!J12</f>
        <v>0</v>
      </c>
      <c r="N11" s="140" t="n">
        <f aca="false">MAX(0,M11-M10)</f>
        <v>0</v>
      </c>
      <c r="O11" s="139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HISTORICOS'!K12)</f>
        <v>6009.9</v>
      </c>
      <c r="D12" s="45" t="n">
        <f aca="false">IF(B12&lt;='VALOR POR PL'!$P$5,0,IF($K$17&gt;0,$K$18*P12/$K$17,0))</f>
        <v>0</v>
      </c>
      <c r="E12" s="45" t="n">
        <f aca="false">L12+D12/$K$2</f>
        <v>4.96492687557157</v>
      </c>
      <c r="F12" s="117" t="n">
        <f aca="false">IF($K$9=0,0,E12/$K$9)</f>
        <v>0.00670871423808213</v>
      </c>
      <c r="G12" s="117" t="n">
        <f aca="false">G11+F12</f>
        <v>0.0447477167028123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4.96492687557157</v>
      </c>
      <c r="M12" s="139" t="n">
        <f aca="false">'CP RESUMO'!K12</f>
        <v>0</v>
      </c>
      <c r="N12" s="140" t="n">
        <f aca="false">MAX(0,M12-M11)</f>
        <v>0</v>
      </c>
      <c r="O12" s="139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HISTORICOS'!L12)</f>
        <v>5622.92</v>
      </c>
      <c r="D13" s="45" t="n">
        <f aca="false">IF(B13&lt;='VALOR POR PL'!$P$5,0,IF($K$17&gt;0,$K$18*P13/$K$17,0))</f>
        <v>0</v>
      </c>
      <c r="E13" s="45" t="n">
        <f aca="false">L13+D13/$K$2</f>
        <v>4.6214286771003</v>
      </c>
      <c r="F13" s="117" t="n">
        <f aca="false">IF($K$9=0,0,E13/$K$9)</f>
        <v>0.00624457220485742</v>
      </c>
      <c r="G13" s="117" t="n">
        <f aca="false">G12+F13</f>
        <v>0.0509922889076697</v>
      </c>
      <c r="H13" s="138"/>
      <c r="I13" s="42" t="s">
        <v>3902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4.6214286771003</v>
      </c>
      <c r="M13" s="139" t="n">
        <f aca="false">'CP RESUMO'!L12</f>
        <v>0</v>
      </c>
      <c r="N13" s="140" t="n">
        <f aca="false">MAX(0,M13-M12)</f>
        <v>0</v>
      </c>
      <c r="O13" s="139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HISTORICOS'!M12)</f>
        <v>9961.57</v>
      </c>
      <c r="D14" s="45" t="n">
        <f aca="false">IF(B14&lt;='VALOR POR PL'!$P$5,0,IF($K$17&gt;0,$K$18*P14/$K$17,0))</f>
        <v>0</v>
      </c>
      <c r="E14" s="45" t="n">
        <f aca="false">L14+D14/$K$2</f>
        <v>8.17361601710609</v>
      </c>
      <c r="F14" s="117" t="n">
        <f aca="false">IF($K$9=0,0,E14/$K$9)</f>
        <v>0.0110443628929103</v>
      </c>
      <c r="G14" s="117" t="n">
        <f aca="false">G13+F14</f>
        <v>0.06203665180058</v>
      </c>
      <c r="H14" s="138"/>
      <c r="I14" s="42" t="s">
        <v>3903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8.17361601710609</v>
      </c>
      <c r="M14" s="139" t="n">
        <f aca="false">'CP RESUMO'!M12</f>
        <v>0</v>
      </c>
      <c r="N14" s="140" t="n">
        <f aca="false">MAX(0,M14-M13)</f>
        <v>0</v>
      </c>
      <c r="O14" s="139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HISTORICOS'!N12)</f>
        <v>6569.24</v>
      </c>
      <c r="D15" s="45" t="n">
        <f aca="false">IF(B15&lt;='VALOR POR PL'!$P$5,0,IF($K$17&gt;0,$K$18*P15/$K$17,0))</f>
        <v>0</v>
      </c>
      <c r="E15" s="45" t="n">
        <f aca="false">L15+D15/$K$2</f>
        <v>5.37424449178472</v>
      </c>
      <c r="F15" s="117" t="n">
        <f aca="false">IF($K$9=0,0,E15/$K$9)</f>
        <v>0.00726179286111236</v>
      </c>
      <c r="G15" s="117" t="n">
        <f aca="false">G14+F15</f>
        <v>0.0692984446616924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5.37424449178472</v>
      </c>
      <c r="M15" s="139" t="n">
        <f aca="false">'CP RESUMO'!N12</f>
        <v>0</v>
      </c>
      <c r="N15" s="140" t="n">
        <f aca="false">MAX(0,M15-M14)</f>
        <v>0</v>
      </c>
      <c r="O15" s="139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HISTORICOS'!O12)</f>
        <v>5976.36</v>
      </c>
      <c r="D16" s="45" t="n">
        <f aca="false">IF(B16&lt;='VALOR POR PL'!$P$5,0,IF($K$17&gt;0,$K$18*P16/$K$17,0))</f>
        <v>0</v>
      </c>
      <c r="E16" s="45" t="n">
        <f aca="false">L16+D16/$K$2</f>
        <v>4.87614155297711</v>
      </c>
      <c r="F16" s="117" t="n">
        <f aca="false">IF($K$9=0,0,E16/$K$9)</f>
        <v>0.00658874563174619</v>
      </c>
      <c r="G16" s="117" t="n">
        <f aca="false">G15+F16</f>
        <v>0.0758871902934386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4.87614155297711</v>
      </c>
      <c r="M16" s="139" t="n">
        <f aca="false">'CP RESUMO'!O12</f>
        <v>0</v>
      </c>
      <c r="N16" s="140" t="n">
        <f aca="false">MAX(0,M16-M15)</f>
        <v>0</v>
      </c>
      <c r="O16" s="139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HISTORICOS'!P12)</f>
        <v>9174.4</v>
      </c>
      <c r="D17" s="45" t="n">
        <f aca="false">IF(B17&lt;='VALOR POR PL'!$P$5,0,IF($K$17&gt;0,$K$18*P17/$K$17,0))</f>
        <v>0</v>
      </c>
      <c r="E17" s="45" t="n">
        <f aca="false">L17+D17/$K$2</f>
        <v>7.47003039503778</v>
      </c>
      <c r="F17" s="117" t="n">
        <f aca="false">IF($K$9=0,0,E17/$K$9)</f>
        <v>0.0100936631144899</v>
      </c>
      <c r="G17" s="117" t="n">
        <f aca="false">G16+F17</f>
        <v>0.0859808534079284</v>
      </c>
      <c r="H17" s="138"/>
      <c r="I17" s="42" t="s">
        <v>3907</v>
      </c>
      <c r="K17" s="45" t="n">
        <f aca="false">SUM(P5:P76)</f>
        <v>677834.8</v>
      </c>
      <c r="L17" s="45" t="n">
        <f aca="false">C17/IF(B17&lt;='VALOR POR PL'!$P$5,IFERROR(INDEX('"INCC-FGV"'!$B$2:$B$800,MATCH(B17,'"INCC-FGV"'!$A$2:$A$800,0)),$K$2),$K$2)</f>
        <v>7.47003039503778</v>
      </c>
      <c r="M17" s="139" t="n">
        <f aca="false">'CP RESUMO'!P12</f>
        <v>0</v>
      </c>
      <c r="N17" s="140" t="n">
        <f aca="false">MAX(0,M17-M16)</f>
        <v>0</v>
      </c>
      <c r="O17" s="139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HISTORICOS'!Q12)</f>
        <v>2665.03</v>
      </c>
      <c r="D18" s="45" t="n">
        <f aca="false">IF(B18&lt;='VALOR POR PL'!$P$5,0,IF($K$17&gt;0,$K$18*P18/$K$17,0))</f>
        <v>0</v>
      </c>
      <c r="E18" s="45" t="n">
        <f aca="false">L18+D18/$K$2</f>
        <v>2.15436737491876</v>
      </c>
      <c r="F18" s="117" t="n">
        <f aca="false">IF($K$9=0,0,E18/$K$9)</f>
        <v>0.00291102677731043</v>
      </c>
      <c r="G18" s="117" t="n">
        <f aca="false">G17+F18</f>
        <v>0.0888918801852389</v>
      </c>
      <c r="H18" s="138"/>
      <c r="I18" s="42" t="s">
        <v>3908</v>
      </c>
      <c r="K18" s="45" t="n">
        <f aca="false">MAX(0,K10)*$K$2</f>
        <v>754633.382324634</v>
      </c>
      <c r="L18" s="45" t="n">
        <f aca="false">C18/IF(B18&lt;='VALOR POR PL'!$P$5,IFERROR(INDEX('"INCC-FGV"'!$B$2:$B$800,MATCH(B18,'"INCC-FGV"'!$A$2:$A$800,0)),$K$2),$K$2)</f>
        <v>2.15436737491876</v>
      </c>
      <c r="M18" s="139" t="n">
        <f aca="false">'CP RESUMO'!Q12</f>
        <v>0</v>
      </c>
      <c r="N18" s="140" t="n">
        <f aca="false">MAX(0,M18-M17)</f>
        <v>0</v>
      </c>
      <c r="O18" s="139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HISTORICOS'!R12)</f>
        <v>7732.71</v>
      </c>
      <c r="D19" s="45" t="n">
        <f aca="false">IF(B19&lt;='VALOR POR PL'!$P$5,0,IF($K$17&gt;0,$K$18*P19/$K$17,0))</f>
        <v>0</v>
      </c>
      <c r="E19" s="45" t="n">
        <f aca="false">L19+D19/$K$2</f>
        <v>6.2336384031678</v>
      </c>
      <c r="F19" s="117" t="n">
        <f aca="false">IF($K$9=0,0,E19/$K$9)</f>
        <v>0.00842302409651763</v>
      </c>
      <c r="G19" s="117" t="n">
        <f aca="false">G18+F19</f>
        <v>0.0973149042817565</v>
      </c>
      <c r="H19" s="138"/>
      <c r="I19" s="42" t="s">
        <v>3909</v>
      </c>
      <c r="K19" s="142" t="n">
        <f aca="false">IF(AND(K16="PREVISÃO INFORMADA",K11&gt;0),K18/K11-1,"")</f>
        <v>0.113299851711116</v>
      </c>
      <c r="L19" s="45" t="n">
        <f aca="false">C19/IF(B19&lt;='VALOR POR PL'!$P$5,IFERROR(INDEX('"INCC-FGV"'!$B$2:$B$800,MATCH(B19,'"INCC-FGV"'!$A$2:$A$800,0)),$K$2),$K$2)</f>
        <v>6.2336384031678</v>
      </c>
      <c r="M19" s="139" t="n">
        <f aca="false">'CP RESUMO'!R12</f>
        <v>0</v>
      </c>
      <c r="N19" s="140" t="n">
        <f aca="false">MAX(0,M19-M18)</f>
        <v>0</v>
      </c>
      <c r="O19" s="139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HISTORICOS'!S12)</f>
        <v>5460.17</v>
      </c>
      <c r="D20" s="45" t="n">
        <f aca="false">IF(B20&lt;='VALOR POR PL'!$P$5,0,IF($K$17&gt;0,$K$18*P20/$K$17,0))</f>
        <v>0</v>
      </c>
      <c r="E20" s="45" t="n">
        <f aca="false">L20+D20/$K$2</f>
        <v>4.37800928654301</v>
      </c>
      <c r="F20" s="117" t="n">
        <f aca="false">IF($K$9=0,0,E20/$K$9)</f>
        <v>0.00591565877427059</v>
      </c>
      <c r="G20" s="117" t="n">
        <f aca="false">G19+F20</f>
        <v>0.103230563056027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4.37800928654301</v>
      </c>
      <c r="M20" s="139" t="n">
        <f aca="false">'CP RESUMO'!S12</f>
        <v>0</v>
      </c>
      <c r="N20" s="140" t="n">
        <f aca="false">MAX(0,M20-M19)</f>
        <v>0</v>
      </c>
      <c r="O20" s="139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HISTORICOS'!T12)</f>
        <v>1326.6</v>
      </c>
      <c r="D21" s="45" t="n">
        <f aca="false">IF(B21&lt;='VALOR POR PL'!$P$5,0,IF($K$17&gt;0,$K$18*P21/$K$17,0))</f>
        <v>0</v>
      </c>
      <c r="E21" s="45" t="n">
        <f aca="false">L21+D21/$K$2</f>
        <v>1.05314801230816</v>
      </c>
      <c r="F21" s="117" t="n">
        <f aca="false">IF($K$9=0,0,E21/$K$9)</f>
        <v>0.00142303587586399</v>
      </c>
      <c r="G21" s="117" t="n">
        <f aca="false">G20+F21</f>
        <v>0.104653598931891</v>
      </c>
      <c r="H21" s="138"/>
      <c r="K21" s="143"/>
      <c r="L21" s="45" t="n">
        <f aca="false">C21/IF(B21&lt;='VALOR POR PL'!$P$5,IFERROR(INDEX('"INCC-FGV"'!$B$2:$B$800,MATCH(B21,'"INCC-FGV"'!$A$2:$A$800,0)),$K$2),$K$2)</f>
        <v>1.05314801230816</v>
      </c>
      <c r="M21" s="139" t="n">
        <f aca="false">'CP RESUMO'!T12</f>
        <v>0</v>
      </c>
      <c r="N21" s="140" t="n">
        <f aca="false">MAX(0,M21-M20)</f>
        <v>0</v>
      </c>
      <c r="O21" s="139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HISTORICOS'!U12)</f>
        <v>8098.09</v>
      </c>
      <c r="D22" s="45" t="n">
        <f aca="false">IF(B22&lt;='VALOR POR PL'!$P$5,0,IF($K$17&gt;0,$K$18*P22/$K$17,0))</f>
        <v>0</v>
      </c>
      <c r="E22" s="45" t="n">
        <f aca="false">L22+D22/$K$2</f>
        <v>6.37296125348727</v>
      </c>
      <c r="F22" s="117" t="n">
        <f aca="false">IF($K$9=0,0,E22/$K$9)</f>
        <v>0.00861128007954674</v>
      </c>
      <c r="G22" s="117" t="n">
        <f aca="false">G21+F22</f>
        <v>0.113264879011438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6.37296125348727</v>
      </c>
      <c r="M22" s="139" t="n">
        <f aca="false">'CP RESUMO'!U12</f>
        <v>0</v>
      </c>
      <c r="N22" s="140" t="n">
        <f aca="false">MAX(0,M22-M21)</f>
        <v>0</v>
      </c>
      <c r="O22" s="139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HISTORICOS'!V12)</f>
        <v>28867.01</v>
      </c>
      <c r="D23" s="45" t="n">
        <f aca="false">IF(B23&lt;='VALOR POR PL'!$P$5,0,IF($K$17&gt;0,$K$18*P23/$K$17,0))</f>
        <v>0</v>
      </c>
      <c r="E23" s="45" t="n">
        <f aca="false">L23+D23/$K$2</f>
        <v>22.5410634205839</v>
      </c>
      <c r="F23" s="117" t="n">
        <f aca="false">IF($K$9=0,0,E23/$K$9)</f>
        <v>0.0304579617990395</v>
      </c>
      <c r="G23" s="117" t="n">
        <f aca="false">G22+F23</f>
        <v>0.143722840810477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22.5410634205839</v>
      </c>
      <c r="M23" s="139" t="n">
        <f aca="false">'CP RESUMO'!V12</f>
        <v>0</v>
      </c>
      <c r="N23" s="140" t="n">
        <f aca="false">MAX(0,M23-M22)</f>
        <v>0</v>
      </c>
      <c r="O23" s="139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HISTORICOS'!W12)</f>
        <v>33839.33</v>
      </c>
      <c r="D24" s="45" t="n">
        <f aca="false">IF(B24&lt;='VALOR POR PL'!$P$5,0,IF($K$17&gt;0,$K$18*P24/$K$17,0))</f>
        <v>0</v>
      </c>
      <c r="E24" s="45" t="n">
        <f aca="false">L24+D24/$K$2</f>
        <v>26.2639830926142</v>
      </c>
      <c r="F24" s="117" t="n">
        <f aca="false">IF($K$9=0,0,E24/$K$9)</f>
        <v>0.0354884496263371</v>
      </c>
      <c r="G24" s="117" t="n">
        <f aca="false">G23+F24</f>
        <v>0.179211290436814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26.2639830926142</v>
      </c>
      <c r="M24" s="139" t="n">
        <f aca="false">'CP RESUMO'!W12</f>
        <v>0</v>
      </c>
      <c r="N24" s="140" t="n">
        <f aca="false">MAX(0,M24-M23)</f>
        <v>0</v>
      </c>
      <c r="O24" s="139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HISTORICOS'!X12)</f>
        <v>12635.41</v>
      </c>
      <c r="D25" s="45" t="n">
        <f aca="false">IF(B25&lt;='VALOR POR PL'!$P$5,0,IF($K$17&gt;0,$K$18*P25/$K$17,0))</f>
        <v>0</v>
      </c>
      <c r="E25" s="45" t="n">
        <f aca="false">L25+D25/$K$2</f>
        <v>9.74286157103654</v>
      </c>
      <c r="F25" s="117" t="n">
        <f aca="false">IF($K$9=0,0,E25/$K$9)</f>
        <v>0.0131647606861786</v>
      </c>
      <c r="G25" s="117" t="n">
        <f aca="false">G24+F25</f>
        <v>0.192376051122993</v>
      </c>
      <c r="H25" s="138"/>
      <c r="L25" s="45" t="n">
        <f aca="false">C25/IF(B25&lt;='VALOR POR PL'!$P$5,IFERROR(INDEX('"INCC-FGV"'!$B$2:$B$800,MATCH(B25,'"INCC-FGV"'!$A$2:$A$800,0)),$K$2),$K$2)</f>
        <v>9.74286157103654</v>
      </c>
      <c r="M25" s="139" t="n">
        <f aca="false">'CP RESUMO'!X12</f>
        <v>0</v>
      </c>
      <c r="N25" s="140" t="n">
        <f aca="false">MAX(0,M25-M24)</f>
        <v>0</v>
      </c>
      <c r="O25" s="139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HISTORICOS'!Y12)</f>
        <v>16194.51</v>
      </c>
      <c r="D26" s="45" t="n">
        <f aca="false">IF(B26&lt;='VALOR POR PL'!$P$5,0,IF($K$17&gt;0,$K$18*P26/$K$17,0))</f>
        <v>0</v>
      </c>
      <c r="E26" s="45" t="n">
        <f aca="false">L26+D26/$K$2</f>
        <v>12.4597881733452</v>
      </c>
      <c r="F26" s="117" t="n">
        <f aca="false">IF($K$9=0,0,E26/$K$9)</f>
        <v>0.0168359293937003</v>
      </c>
      <c r="G26" s="117" t="n">
        <f aca="false">G25+F26</f>
        <v>0.209211980516693</v>
      </c>
      <c r="H26" s="138" t="n">
        <v>14226.77</v>
      </c>
      <c r="L26" s="45" t="n">
        <f aca="false">C26/IF(B26&lt;='VALOR POR PL'!$P$5,IFERROR(INDEX('"INCC-FGV"'!$B$2:$B$800,MATCH(B26,'"INCC-FGV"'!$A$2:$A$800,0)),$K$2),$K$2)</f>
        <v>12.4597881733452</v>
      </c>
      <c r="M26" s="139" t="n">
        <f aca="false">'CP RESUMO'!Y12</f>
        <v>0</v>
      </c>
      <c r="N26" s="140" t="n">
        <f aca="false">MAX(0,M26-M25)</f>
        <v>0</v>
      </c>
      <c r="O26" s="139" t="n">
        <f aca="false">IF(B26&lt;='VALOR POR PL'!$P$5,'CP RESUMO'!Y54,"")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HISTORICOS'!Z12)</f>
        <v>5777</v>
      </c>
      <c r="D27" s="45" t="n">
        <f aca="false">IF(B27&lt;='VALOR POR PL'!$P$5,0,IF($K$17&gt;0,$K$18*P27/$K$17,0))</f>
        <v>19939.5120681046</v>
      </c>
      <c r="E27" s="45" t="n">
        <f aca="false">L27+D27/$K$2</f>
        <v>19.7858590921156</v>
      </c>
      <c r="F27" s="117" t="n">
        <f aca="false">IF($K$9=0,0,E27/$K$9)</f>
        <v>0.0267350714180824</v>
      </c>
      <c r="G27" s="117" t="n">
        <f aca="false">G26+F27</f>
        <v>0.235947051934776</v>
      </c>
      <c r="H27" s="138" t="n">
        <v>17910.28</v>
      </c>
      <c r="L27" s="45" t="n">
        <f aca="false">C27/IF(B27&lt;='VALOR POR PL'!$P$5,IFERROR(INDEX('"INCC-FGV"'!$B$2:$B$800,MATCH(B27,'"INCC-FGV"'!$A$2:$A$800,0)),$K$2),$K$2)</f>
        <v>4.44472826145497</v>
      </c>
      <c r="M27" s="139" t="n">
        <f aca="false">'CP RESUMO'!Z12</f>
        <v>0</v>
      </c>
      <c r="N27" s="140" t="n">
        <f aca="false">MAX(0,M27-M26)</f>
        <v>0</v>
      </c>
      <c r="O27" s="139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17910.28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HISTORICOS'!AA12)</f>
        <v>250</v>
      </c>
      <c r="D28" s="45" t="n">
        <f aca="false">IF(B28&lt;='VALOR POR PL'!$P$5,0,IF($K$17&gt;0,$K$18*P28/$K$17,0))</f>
        <v>13426.5966056094</v>
      </c>
      <c r="E28" s="45" t="n">
        <f aca="false">L28+D28/$K$2</f>
        <v>10.5225472483073</v>
      </c>
      <c r="F28" s="117" t="n">
        <f aca="false">IF($K$9=0,0,E28/$K$9)</f>
        <v>0.0142182884692504</v>
      </c>
      <c r="G28" s="117" t="n">
        <f aca="false">G27+F28</f>
        <v>0.250165340404026</v>
      </c>
      <c r="H28" s="138" t="n">
        <v>12060.18</v>
      </c>
      <c r="L28" s="45" t="n">
        <f aca="false">C28/IF(B28&lt;='VALOR POR PL'!$P$5,IFERROR(INDEX('"INCC-FGV"'!$B$2:$B$800,MATCH(B28,'"INCC-FGV"'!$A$2:$A$800,0)),$K$2),$K$2)</f>
        <v>0.192345865564089</v>
      </c>
      <c r="M28" s="139" t="n">
        <f aca="false">'CP RESUMO'!AA12</f>
        <v>0</v>
      </c>
      <c r="N28" s="140" t="n">
        <f aca="false">MAX(0,M28-M27)</f>
        <v>0</v>
      </c>
      <c r="O28" s="139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12060.18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13770.5839937911</v>
      </c>
      <c r="E29" s="45" t="n">
        <f aca="false">L29+D29/$K$2</f>
        <v>10.5948595904349</v>
      </c>
      <c r="F29" s="117" t="n">
        <f aca="false">IF($K$9=0,0,E29/$K$9)</f>
        <v>0.0143159984358579</v>
      </c>
      <c r="G29" s="117" t="n">
        <f aca="false">G28+F29</f>
        <v>0.264481338839884</v>
      </c>
      <c r="H29" s="138" t="n">
        <v>12369.16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RESUMO'!AB12</f>
        <v>0</v>
      </c>
      <c r="N29" s="140" t="n">
        <f aca="false">MAX(0,M29-M28)</f>
        <v>0</v>
      </c>
      <c r="O29" s="139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12369.16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18157.3639314824</v>
      </c>
      <c r="E30" s="45" t="n">
        <f aca="false">L30+D30/$K$2</f>
        <v>13.9699755270526</v>
      </c>
      <c r="F30" s="117" t="n">
        <f aca="false">IF($K$9=0,0,E30/$K$9)</f>
        <v>0.0188765264973228</v>
      </c>
      <c r="G30" s="117" t="n">
        <f aca="false">G29+F30</f>
        <v>0.283357865337207</v>
      </c>
      <c r="H30" s="138" t="n">
        <v>16309.5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RESUMO'!AC12</f>
        <v>0</v>
      </c>
      <c r="N30" s="140" t="n">
        <f aca="false">MAX(0,M30-M29)</f>
        <v>0</v>
      </c>
      <c r="O30" s="139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16309.5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20312.3227894471</v>
      </c>
      <c r="E31" s="45" t="n">
        <f aca="false">L31+D31/$K$2</f>
        <v>15.6279652342135</v>
      </c>
      <c r="F31" s="117" t="n">
        <f aca="false">IF($K$9=0,0,E31/$K$9)</f>
        <v>0.0211168372680112</v>
      </c>
      <c r="G31" s="117" t="n">
        <f aca="false">G30+F31</f>
        <v>0.304474702605218</v>
      </c>
      <c r="H31" s="138" t="n">
        <v>18245.15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RESUMO'!AD12</f>
        <v>0</v>
      </c>
      <c r="N31" s="140" t="n">
        <f aca="false">MAX(0,M31-M30)</f>
        <v>0</v>
      </c>
      <c r="O31" s="139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18245.15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28405.8679824062</v>
      </c>
      <c r="E32" s="45" t="n">
        <f aca="false">L32+D32/$K$2</f>
        <v>21.8550050567006</v>
      </c>
      <c r="F32" s="117" t="n">
        <f aca="false">IF($K$9=0,0,E32/$K$9)</f>
        <v>0.0295309452227058</v>
      </c>
      <c r="G32" s="117" t="n">
        <f aca="false">G31+F32</f>
        <v>0.334005647827924</v>
      </c>
      <c r="H32" s="138" t="n">
        <v>25515.02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RESUMO'!AE12</f>
        <v>0</v>
      </c>
      <c r="N32" s="140" t="n">
        <f aca="false">MAX(0,M32-M31)</f>
        <v>0</v>
      </c>
      <c r="O32" s="139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25515.02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33288.6452700319</v>
      </c>
      <c r="E33" s="45" t="n">
        <f aca="false">L33+D33/$K$2</f>
        <v>25.6117331516808</v>
      </c>
      <c r="F33" s="117" t="n">
        <f aca="false">IF($K$9=0,0,E33/$K$9)</f>
        <v>0.0346071157063839</v>
      </c>
      <c r="G33" s="117" t="n">
        <f aca="false">G32+F33</f>
        <v>0.368612763534308</v>
      </c>
      <c r="H33" s="138" t="n">
        <v>29900.88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RESUMO'!AF12</f>
        <v>0</v>
      </c>
      <c r="N33" s="140" t="n">
        <f aca="false">MAX(0,M33-M32)</f>
        <v>0</v>
      </c>
      <c r="O33" s="139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29900.88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33621.2436007306</v>
      </c>
      <c r="E34" s="45" t="n">
        <f aca="false">L34+D34/$K$2</f>
        <v>25.8676288068944</v>
      </c>
      <c r="F34" s="117" t="n">
        <f aca="false">IF($K$9=0,0,E34/$K$9)</f>
        <v>0.0349528873297369</v>
      </c>
      <c r="G34" s="117" t="n">
        <f aca="false">G33+F34</f>
        <v>0.403565650864045</v>
      </c>
      <c r="H34" s="138" t="n">
        <v>30199.63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RESUMO'!AG12</f>
        <v>0</v>
      </c>
      <c r="N34" s="140" t="n">
        <f aca="false">MAX(0,M34-M33)</f>
        <v>0</v>
      </c>
      <c r="O34" s="139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30199.63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38409.9804498822</v>
      </c>
      <c r="E35" s="45" t="n">
        <f aca="false">L35+D35/$K$2</f>
        <v>29.5520037437293</v>
      </c>
      <c r="F35" s="117" t="n">
        <f aca="false">IF($K$9=0,0,E35/$K$9)</f>
        <v>0.039931292695341</v>
      </c>
      <c r="G35" s="117" t="n">
        <f aca="false">G34+F35</f>
        <v>0.443496943559386</v>
      </c>
      <c r="H35" s="138" t="n">
        <v>34501.02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RESUMO'!AH12</f>
        <v>0</v>
      </c>
      <c r="N35" s="140" t="n">
        <f aca="false">MAX(0,M35-M34)</f>
        <v>0</v>
      </c>
      <c r="O35" s="139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34501.02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36494.4589910251</v>
      </c>
      <c r="E36" s="45" t="n">
        <f aca="false">L36+D36/$K$2</f>
        <v>28.0782332116875</v>
      </c>
      <c r="F36" s="117" t="n">
        <f aca="false">IF($K$9=0,0,E36/$K$9)</f>
        <v>0.03793990277163</v>
      </c>
      <c r="G36" s="117" t="n">
        <f aca="false">G35+F36</f>
        <v>0.481436846331016</v>
      </c>
      <c r="H36" s="138" t="n">
        <v>32780.44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RESUMO'!AI12</f>
        <v>0</v>
      </c>
      <c r="N36" s="140" t="n">
        <f aca="false">MAX(0,M36-M35)</f>
        <v>0</v>
      </c>
      <c r="O36" s="139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32780.44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34710.3625796625</v>
      </c>
      <c r="E37" s="45" t="n">
        <f aca="false">L37+D37/$K$2</f>
        <v>26.7055789377142</v>
      </c>
      <c r="F37" s="117" t="n">
        <f aca="false">IF($K$9=0,0,E37/$K$9)</f>
        <v>0.0360851432751553</v>
      </c>
      <c r="G37" s="117" t="n">
        <f aca="false">G36+F37</f>
        <v>0.517521989606171</v>
      </c>
      <c r="H37" s="138" t="n">
        <v>31177.91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RESUMO'!AJ12</f>
        <v>0</v>
      </c>
      <c r="N37" s="140" t="n">
        <f aca="false">MAX(0,M37-M36)</f>
        <v>0</v>
      </c>
      <c r="O37" s="139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31177.91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37876.6764219171</v>
      </c>
      <c r="E38" s="45" t="n">
        <f aca="false">L38+D38/$K$2</f>
        <v>29.1416884442582</v>
      </c>
      <c r="F38" s="117" t="n">
        <f aca="false">IF($K$9=0,0,E38/$K$9)</f>
        <v>0.0393768659815844</v>
      </c>
      <c r="G38" s="117" t="n">
        <f aca="false">G37+F38</f>
        <v>0.556898855587755</v>
      </c>
      <c r="H38" s="138" t="n">
        <v>34021.99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RESUMO'!AK12</f>
        <v>0</v>
      </c>
      <c r="N38" s="140" t="n">
        <f aca="false">MAX(0,M38-M37)</f>
        <v>0</v>
      </c>
      <c r="O38" s="139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34021.99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32779.7113758207</v>
      </c>
      <c r="E39" s="45" t="n">
        <f aca="false">L39+D39/$K$2</f>
        <v>25.2201678300929</v>
      </c>
      <c r="F39" s="117" t="n">
        <f aca="false">IF($K$9=0,0,E39/$K$9)</f>
        <v>0.0340780243594398</v>
      </c>
      <c r="G39" s="117" t="n">
        <f aca="false">G38+F39</f>
        <v>0.590976879947195</v>
      </c>
      <c r="H39" s="138" t="n">
        <v>29443.74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RESUMO'!AL12</f>
        <v>0</v>
      </c>
      <c r="N39" s="140" t="n">
        <f aca="false">MAX(0,M39-M38)</f>
        <v>0</v>
      </c>
      <c r="O39" s="139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29443.74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29462.5788026548</v>
      </c>
      <c r="E40" s="45" t="n">
        <f aca="false">L40+D40/$K$2</f>
        <v>22.6680208861873</v>
      </c>
      <c r="F40" s="117" t="n">
        <f aca="false">IF($K$9=0,0,E40/$K$9)</f>
        <v>0.0306295094126236</v>
      </c>
      <c r="G40" s="117" t="n">
        <f aca="false">G39+F40</f>
        <v>0.621606389359819</v>
      </c>
      <c r="H40" s="138" t="n">
        <v>26464.19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RESUMO'!AM12</f>
        <v>0</v>
      </c>
      <c r="N40" s="140" t="n">
        <f aca="false">MAX(0,M40-M39)</f>
        <v>0</v>
      </c>
      <c r="O40" s="139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26464.19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32290.683282958</v>
      </c>
      <c r="E41" s="45" t="n">
        <f aca="false">L41+D41/$K$2</f>
        <v>24.8439177028657</v>
      </c>
      <c r="F41" s="117" t="n">
        <f aca="false">IF($K$9=0,0,E41/$K$9)</f>
        <v>0.0335696272271418</v>
      </c>
      <c r="G41" s="117" t="n">
        <f aca="false">G40+F41</f>
        <v>0.65517601658696</v>
      </c>
      <c r="H41" s="138" t="n">
        <v>29004.48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RESUMO'!AN12</f>
        <v>0</v>
      </c>
      <c r="N41" s="140" t="n">
        <f aca="false">MAX(0,M41-M40)</f>
        <v>0</v>
      </c>
      <c r="O41" s="139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29004.48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35093.7719155933</v>
      </c>
      <c r="E42" s="45" t="n">
        <f aca="false">L42+D42/$K$2</f>
        <v>27.000567740054</v>
      </c>
      <c r="F42" s="117" t="n">
        <f aca="false">IF($K$9=0,0,E42/$K$9)</f>
        <v>0.0364837383860056</v>
      </c>
      <c r="G42" s="117" t="n">
        <f aca="false">G41+F42</f>
        <v>0.691659754972966</v>
      </c>
      <c r="H42" s="138" t="n">
        <v>31522.3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RESUMO'!AO12</f>
        <v>0</v>
      </c>
      <c r="N42" s="140" t="n">
        <f aca="false">MAX(0,M42-M41)</f>
        <v>0</v>
      </c>
      <c r="O42" s="139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31522.3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34525.588203274</v>
      </c>
      <c r="E43" s="45" t="n">
        <f aca="false">L43+D43/$K$2</f>
        <v>26.5634165882722</v>
      </c>
      <c r="F43" s="117" t="n">
        <f aca="false">IF($K$9=0,0,E43/$K$9)</f>
        <v>0.035893050500836</v>
      </c>
      <c r="G43" s="117" t="n">
        <f aca="false">G42+F43</f>
        <v>0.727552805473802</v>
      </c>
      <c r="H43" s="138" t="n">
        <v>31011.94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RESUMO'!AP12</f>
        <v>0</v>
      </c>
      <c r="N43" s="140" t="n">
        <f aca="false">MAX(0,M43-M42)</f>
        <v>0</v>
      </c>
      <c r="O43" s="139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31011.94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43204.8961132109</v>
      </c>
      <c r="E44" s="45" t="n">
        <f aca="false">L44+D44/$K$2</f>
        <v>33.2411325580084</v>
      </c>
      <c r="F44" s="117" t="n">
        <f aca="false">IF($K$9=0,0,E44/$K$9)</f>
        <v>0.0449161216007261</v>
      </c>
      <c r="G44" s="117" t="n">
        <f aca="false">G43+F44</f>
        <v>0.772468927074528</v>
      </c>
      <c r="H44" s="138" t="n">
        <v>38807.96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RESUMO'!AQ12</f>
        <v>0</v>
      </c>
      <c r="N44" s="140" t="n">
        <f aca="false">MAX(0,M44-M43)</f>
        <v>0</v>
      </c>
      <c r="O44" s="139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38807.96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34269.4513063908</v>
      </c>
      <c r="E45" s="45" t="n">
        <f aca="false">L45+D45/$K$2</f>
        <v>26.3663490957366</v>
      </c>
      <c r="F45" s="117" t="n">
        <f aca="false">IF($K$9=0,0,E45/$K$9)</f>
        <v>0.0356267687355312</v>
      </c>
      <c r="G45" s="117" t="n">
        <f aca="false">G44+F45</f>
        <v>0.808095695810059</v>
      </c>
      <c r="H45" s="138" t="n">
        <v>30781.87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RESUMO'!AR12</f>
        <v>0</v>
      </c>
      <c r="N45" s="140" t="n">
        <f aca="false">MAX(0,M45-M44)</f>
        <v>0</v>
      </c>
      <c r="O45" s="139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30781.87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37587.3965884485</v>
      </c>
      <c r="E46" s="45" t="n">
        <f aca="false">L46+D46/$K$2</f>
        <v>28.9191213244232</v>
      </c>
      <c r="F46" s="117" t="n">
        <f aca="false">IF($K$9=0,0,E46/$K$9)</f>
        <v>0.0390761285803726</v>
      </c>
      <c r="G46" s="117" t="n">
        <f aca="false">G45+F46</f>
        <v>0.847171824390432</v>
      </c>
      <c r="H46" s="138" t="n">
        <v>33762.15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RESUMO'!AS12</f>
        <v>0</v>
      </c>
      <c r="N46" s="140" t="n">
        <f aca="false">MAX(0,M46-M45)</f>
        <v>0</v>
      </c>
      <c r="O46" s="139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33762.15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32307.282583747</v>
      </c>
      <c r="E47" s="45" t="n">
        <f aca="false">L47+D47/$K$2</f>
        <v>24.8566889303778</v>
      </c>
      <c r="F47" s="117" t="n">
        <f aca="false">IF($K$9=0,0,E47/$K$9)</f>
        <v>0.0335868839799592</v>
      </c>
      <c r="G47" s="117" t="n">
        <f aca="false">G46+F47</f>
        <v>0.880758708370391</v>
      </c>
      <c r="H47" s="138" t="n">
        <v>29019.39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RESUMO'!AT12</f>
        <v>0</v>
      </c>
      <c r="N47" s="140" t="n">
        <f aca="false">MAX(0,M47-M46)</f>
        <v>0</v>
      </c>
      <c r="O47" s="139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29019.39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27684.9061314366</v>
      </c>
      <c r="E48" s="45" t="n">
        <f aca="false">L48+D48/$K$2</f>
        <v>21.3003089316469</v>
      </c>
      <c r="F48" s="117" t="n">
        <f aca="false">IF($K$9=0,0,E48/$K$9)</f>
        <v>0.0287814280827321</v>
      </c>
      <c r="G48" s="117" t="n">
        <f aca="false">G47+F48</f>
        <v>0.909540136453123</v>
      </c>
      <c r="H48" s="138" t="n">
        <v>24867.43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RESUMO'!AU12</f>
        <v>0</v>
      </c>
      <c r="N48" s="140" t="n">
        <f aca="false">MAX(0,M48-M47)</f>
        <v>0</v>
      </c>
      <c r="O48" s="139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24867.43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25879.8796828618</v>
      </c>
      <c r="E49" s="45" t="n">
        <f aca="false">L49+D49/$K$2</f>
        <v>19.9115514331781</v>
      </c>
      <c r="F49" s="117" t="n">
        <f aca="false">IF($K$9=0,0,E49/$K$9)</f>
        <v>0.0269049095686204</v>
      </c>
      <c r="G49" s="117" t="n">
        <f aca="false">G48+F49</f>
        <v>0.936445046021744</v>
      </c>
      <c r="H49" s="138" t="n">
        <v>23246.1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RESUMO'!AV12</f>
        <v>0</v>
      </c>
      <c r="N49" s="140" t="n">
        <f aca="false">MAX(0,M49-M48)</f>
        <v>0</v>
      </c>
      <c r="O49" s="139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23246.1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14392.9854088887</v>
      </c>
      <c r="E50" s="45" t="n">
        <f aca="false">L50+D50/$K$2</f>
        <v>11.073724946096</v>
      </c>
      <c r="F50" s="117" t="n">
        <f aca="false">IF($K$9=0,0,E50/$K$9)</f>
        <v>0.0149630514358637</v>
      </c>
      <c r="G50" s="117" t="n">
        <f aca="false">G49+F50</f>
        <v>0.951408097457607</v>
      </c>
      <c r="H50" s="138" t="n">
        <v>12928.22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RESUMO'!AW12</f>
        <v>0</v>
      </c>
      <c r="N50" s="140" t="n">
        <f aca="false">MAX(0,M50-M49)</f>
        <v>0</v>
      </c>
      <c r="O50" s="139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12928.22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3792.95692978719</v>
      </c>
      <c r="E51" s="45" t="n">
        <f aca="false">L51+D51/$K$2</f>
        <v>2.9182383348289</v>
      </c>
      <c r="F51" s="117" t="n">
        <f aca="false">IF($K$9=0,0,E51/$K$9)</f>
        <v>0.00394318537968999</v>
      </c>
      <c r="G51" s="117" t="n">
        <f aca="false">G50+F51</f>
        <v>0.955351282837297</v>
      </c>
      <c r="H51" s="138" t="n">
        <v>3406.95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RESUMO'!AX12</f>
        <v>0</v>
      </c>
      <c r="N51" s="140" t="n">
        <f aca="false">MAX(0,M51-M50)</f>
        <v>0</v>
      </c>
      <c r="O51" s="139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3406.95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5103.88977117406</v>
      </c>
      <c r="E52" s="45" t="n">
        <f aca="false">L52+D52/$K$2</f>
        <v>3.9268483831207</v>
      </c>
      <c r="F52" s="117" t="n">
        <f aca="false">IF($K$9=0,0,E52/$K$9)</f>
        <v>0.00530604061627771</v>
      </c>
      <c r="G52" s="117" t="n">
        <f aca="false">G51+F52</f>
        <v>0.960657323453575</v>
      </c>
      <c r="H52" s="138" t="n">
        <v>4584.47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RESUMO'!AY12</f>
        <v>0</v>
      </c>
      <c r="N52" s="140" t="n">
        <f aca="false">MAX(0,M52-M51)</f>
        <v>0</v>
      </c>
      <c r="O52" s="139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4584.47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4168.55090075897</v>
      </c>
      <c r="E53" s="45" t="n">
        <f aca="false">L53+D53/$K$2</f>
        <v>3.20721412461778</v>
      </c>
      <c r="F53" s="117" t="n">
        <f aca="false">IF($K$9=0,0,E53/$K$9)</f>
        <v>0.00433365558076309</v>
      </c>
      <c r="G53" s="117" t="n">
        <f aca="false">G52+F53</f>
        <v>0.964990979034338</v>
      </c>
      <c r="H53" s="138" t="n">
        <v>3744.32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RESUMO'!AZ12</f>
        <v>0</v>
      </c>
      <c r="N53" s="140" t="n">
        <f aca="false">MAX(0,M53-M52)</f>
        <v>0</v>
      </c>
      <c r="O53" s="139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3744.32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3901.19194137054</v>
      </c>
      <c r="E54" s="45" t="n">
        <f aca="false">L54+D54/$K$2</f>
        <v>3.00151256277826</v>
      </c>
      <c r="F54" s="117" t="n">
        <f aca="false">IF($K$9=0,0,E54/$K$9)</f>
        <v>0.00405570727834229</v>
      </c>
      <c r="G54" s="117" t="n">
        <f aca="false">G53+F54</f>
        <v>0.96904668631268</v>
      </c>
      <c r="H54" s="138" t="n">
        <v>3504.17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RESUMO'!BA12</f>
        <v>0</v>
      </c>
      <c r="N54" s="140" t="n">
        <f aca="false">MAX(0,M54-M53)</f>
        <v>0</v>
      </c>
      <c r="O54" s="139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3504.17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3901.19194137054</v>
      </c>
      <c r="E55" s="45" t="n">
        <f aca="false">L55+D55/$K$2</f>
        <v>3.00151256277826</v>
      </c>
      <c r="F55" s="117" t="n">
        <f aca="false">IF($K$9=0,0,E55/$K$9)</f>
        <v>0.00405570727834229</v>
      </c>
      <c r="G55" s="117" t="n">
        <f aca="false">G54+F55</f>
        <v>0.973102393591022</v>
      </c>
      <c r="H55" s="138" t="n">
        <v>3504.17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RESUMO'!BB12</f>
        <v>0</v>
      </c>
      <c r="N55" s="140" t="n">
        <f aca="false">MAX(0,M55-M54)</f>
        <v>0</v>
      </c>
      <c r="O55" s="139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3504.17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2418.75525782757</v>
      </c>
      <c r="E56" s="45" t="n">
        <f aca="false">L56+D56/$K$2</f>
        <v>1.86095029461814</v>
      </c>
      <c r="F56" s="117" t="n">
        <f aca="false">IF($K$9=0,0,E56/$K$9)</f>
        <v>0.00251455541053273</v>
      </c>
      <c r="G56" s="117" t="n">
        <f aca="false">G55+F56</f>
        <v>0.975616949001555</v>
      </c>
      <c r="H56" s="138" t="n">
        <v>2172.6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RESUMO'!BC12</f>
        <v>0</v>
      </c>
      <c r="N56" s="140" t="n">
        <f aca="false">MAX(0,M56-M55)</f>
        <v>0</v>
      </c>
      <c r="O56" s="139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2172.6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23454.0995029699</v>
      </c>
      <c r="E57" s="45" t="n">
        <f aca="false">L57+D57/$K$2</f>
        <v>18.0451962797001</v>
      </c>
      <c r="F57" s="117" t="n">
        <f aca="false">IF($K$9=0,0,E57/$K$9)</f>
        <v>0.0243830509984447</v>
      </c>
      <c r="G57" s="117" t="n">
        <f aca="false">G56+F57</f>
        <v>1</v>
      </c>
      <c r="H57" s="138" t="n">
        <v>21067.19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RESUMO'!BD12</f>
        <v>0</v>
      </c>
      <c r="N57" s="140" t="n">
        <f aca="false">MAX(0,M57-M56)</f>
        <v>0</v>
      </c>
      <c r="O57" s="139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21067.19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RESUMO'!BE12</f>
        <v>0</v>
      </c>
      <c r="N58" s="140" t="n">
        <f aca="false">MAX(0,M58-M57)</f>
        <v>0</v>
      </c>
      <c r="O58" s="139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RESUMO'!BF12</f>
        <v>0</v>
      </c>
      <c r="N59" s="140" t="n">
        <f aca="false">MAX(0,M59-M58)</f>
        <v>0</v>
      </c>
      <c r="O59" s="139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RESUMO'!BG12</f>
        <v>0</v>
      </c>
      <c r="N60" s="140" t="n">
        <f aca="false">MAX(0,M60-M59)</f>
        <v>0</v>
      </c>
      <c r="O60" s="139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RESUMO'!BH12</f>
        <v>0</v>
      </c>
      <c r="N61" s="140" t="n">
        <f aca="false">MAX(0,M61-M60)</f>
        <v>0</v>
      </c>
      <c r="O61" s="139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RESUMO'!BI12</f>
        <v>0</v>
      </c>
      <c r="N62" s="140" t="n">
        <f aca="false">MAX(0,M62-M61)</f>
        <v>0</v>
      </c>
      <c r="O62" s="139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RESUMO'!BJ12</f>
        <v>0</v>
      </c>
      <c r="N63" s="140" t="n">
        <f aca="false">MAX(0,M63-M62)</f>
        <v>0</v>
      </c>
      <c r="O63" s="139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RESUMO'!BK12</f>
        <v>0</v>
      </c>
      <c r="N64" s="140" t="n">
        <f aca="false">MAX(0,M64-M63)</f>
        <v>0</v>
      </c>
      <c r="O64" s="139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RESUMO'!BL12</f>
        <v>0</v>
      </c>
      <c r="N65" s="140" t="n">
        <f aca="false">MAX(0,M65-M64)</f>
        <v>0</v>
      </c>
      <c r="O65" s="139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RESUMO'!BM12</f>
        <v>0</v>
      </c>
      <c r="N66" s="140" t="n">
        <f aca="false">MAX(0,M66-M65)</f>
        <v>0</v>
      </c>
      <c r="O66" s="139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RESUMO'!BN12</f>
        <v>0</v>
      </c>
      <c r="N67" s="140" t="n">
        <f aca="false">MAX(0,M67-M66)</f>
        <v>0</v>
      </c>
      <c r="O67" s="139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RESUMO'!BO12</f>
        <v>0</v>
      </c>
      <c r="N68" s="140" t="n">
        <f aca="false">MAX(0,M68-M67)</f>
        <v>0</v>
      </c>
      <c r="O68" s="139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RESUMO'!BP12</f>
        <v>0</v>
      </c>
      <c r="N69" s="140" t="n">
        <f aca="false">MAX(0,M69-M68)</f>
        <v>0</v>
      </c>
      <c r="O69" s="139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RESUMO'!BQ12</f>
        <v>0</v>
      </c>
      <c r="N70" s="140" t="n">
        <f aca="false">MAX(0,M70-M69)</f>
        <v>0</v>
      </c>
      <c r="O70" s="139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RESUMO'!BR12</f>
        <v>0</v>
      </c>
      <c r="N71" s="140" t="n">
        <f aca="false">MAX(0,M71-M70)</f>
        <v>0</v>
      </c>
      <c r="O71" s="139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RESUMO'!BS12</f>
        <v>0</v>
      </c>
      <c r="N72" s="140" t="n">
        <f aca="false">MAX(0,M72-M71)</f>
        <v>0</v>
      </c>
      <c r="O72" s="139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RESUMO'!BT12</f>
        <v>0</v>
      </c>
      <c r="N73" s="140" t="n">
        <f aca="false">MAX(0,M73-M72)</f>
        <v>0</v>
      </c>
      <c r="O73" s="139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RESUMO'!BU12</f>
        <v>0</v>
      </c>
      <c r="N74" s="140" t="n">
        <f aca="false">MAX(0,M74-M73)</f>
        <v>0</v>
      </c>
      <c r="O74" s="139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RESUMO'!BV12</f>
        <v>0</v>
      </c>
      <c r="N75" s="140" t="n">
        <f aca="false">MAX(0,M75-M74)</f>
        <v>0</v>
      </c>
      <c r="O75" s="139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RESUMO'!BW12</f>
        <v>0</v>
      </c>
      <c r="N76" s="140" t="n">
        <f aca="false">MAX(0,M76-M75)</f>
        <v>0</v>
      </c>
      <c r="O76" s="139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198972.52</v>
      </c>
      <c r="D78" s="61" t="n">
        <f aca="false">SUM(D5:D76)</f>
        <v>754633.382324634</v>
      </c>
      <c r="E78" s="61" t="n">
        <f aca="false">SUM(E5:E76)</f>
        <v>740.071301202261</v>
      </c>
      <c r="F78" s="145" t="n">
        <f aca="false">SUM(F5:F76)</f>
        <v>1</v>
      </c>
      <c r="H78" s="61" t="n">
        <f aca="false">SUM(H5:H76)</f>
        <v>692061.57</v>
      </c>
      <c r="L78" s="61" t="n">
        <f aca="false">SUM(L5:L76)</f>
        <v>159.46885677511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HISTORICOS'!D13)</f>
        <v>25880.78</v>
      </c>
      <c r="D5" s="45" t="n">
        <f aca="false">IF(B5&lt;='VALOR POR PL'!$P$5,0,IF($K$17&gt;0,$K$18*P5/$K$17,0))</f>
        <v>0</v>
      </c>
      <c r="E5" s="45" t="n">
        <f aca="false">L5+D5/$K$2</f>
        <v>22.9710599191341</v>
      </c>
      <c r="F5" s="117" t="n">
        <f aca="false">IF($K$9=0,0,E5/$K$9)</f>
        <v>0.0170962594592759</v>
      </c>
      <c r="G5" s="117" t="n">
        <f aca="false">F5</f>
        <v>0.0170962594592759</v>
      </c>
      <c r="H5" s="138"/>
      <c r="I5" s="42" t="s">
        <v>3894</v>
      </c>
      <c r="J5" s="56" t="n">
        <f aca="false">'VALOR POR PL'!F19</f>
        <v>1559953.91</v>
      </c>
      <c r="K5" s="56" t="n">
        <f aca="false">'VALOR POR PL'!G19</f>
        <v>1335.513192</v>
      </c>
      <c r="L5" s="56" t="n">
        <f aca="false">'DADOS HISTORICOS'!$BZ$13</f>
        <v>22.9710599191341</v>
      </c>
      <c r="M5" s="139" t="n">
        <f aca="false">'CP RESUMO'!D13</f>
        <v>0</v>
      </c>
      <c r="N5" s="140" t="n">
        <v>0</v>
      </c>
      <c r="O5" s="139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HISTORICOS'!E13)</f>
        <v>2679.05</v>
      </c>
      <c r="D6" s="45" t="n">
        <f aca="false">IF(B6&lt;='VALOR POR PL'!$P$5,0,IF($K$17&gt;0,$K$18*P6/$K$17,0))</f>
        <v>0</v>
      </c>
      <c r="E6" s="45" t="n">
        <f aca="false">L6+D6/$K$2</f>
        <v>2.29151769371046</v>
      </c>
      <c r="F6" s="117" t="n">
        <f aca="false">IF($K$9=0,0,E6/$K$9)</f>
        <v>0.00170546684328497</v>
      </c>
      <c r="G6" s="117" t="n">
        <f aca="false">G5+F6</f>
        <v>0.0188017263025608</v>
      </c>
      <c r="H6" s="138"/>
      <c r="I6" s="42" t="s">
        <v>3895</v>
      </c>
      <c r="K6" s="52" t="n">
        <f aca="false">'VALOR POR PL'!H19</f>
        <v>1344.18246220376</v>
      </c>
      <c r="L6" s="45" t="n">
        <f aca="false">C6/IF(B6&lt;='VALOR POR PL'!$P$5,IFERROR(INDEX('"INCC-FGV"'!$B$2:$B$800,MATCH(B6,'"INCC-FGV"'!$A$2:$A$800,0)),$K$2),$K$2)</f>
        <v>2.29151769371046</v>
      </c>
      <c r="M6" s="139" t="n">
        <f aca="false">'CP RESUMO'!E13</f>
        <v>0</v>
      </c>
      <c r="N6" s="140" t="n">
        <f aca="false">MAX(0,M6-M5)</f>
        <v>0</v>
      </c>
      <c r="O6" s="139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HISTORICOS'!F13)</f>
        <v>126909.7</v>
      </c>
      <c r="D7" s="45" t="n">
        <f aca="false">IF(B7&lt;='VALOR POR PL'!$P$5,0,IF($K$17&gt;0,$K$18*P7/$K$17,0))</f>
        <v>0</v>
      </c>
      <c r="E7" s="45" t="n">
        <f aca="false">L7+D7/$K$2</f>
        <v>108.120977188984</v>
      </c>
      <c r="F7" s="117" t="n">
        <f aca="false">IF($K$9=0,0,E7/$K$9)</f>
        <v>0.0804692637397031</v>
      </c>
      <c r="G7" s="117" t="n">
        <f aca="false">G6+F7</f>
        <v>0.0992709900422639</v>
      </c>
      <c r="H7" s="138"/>
      <c r="I7" s="42" t="s">
        <v>3896</v>
      </c>
      <c r="J7" s="45" t="n">
        <f aca="false">C78+D78</f>
        <v>1679934.69862738</v>
      </c>
      <c r="L7" s="45" t="n">
        <f aca="false">C7/IF(B7&lt;='VALOR POR PL'!$P$5,IFERROR(INDEX('"INCC-FGV"'!$B$2:$B$800,MATCH(B7,'"INCC-FGV"'!$A$2:$A$800,0)),$K$2),$K$2)</f>
        <v>108.120977188984</v>
      </c>
      <c r="M7" s="139" t="n">
        <f aca="false">'CP RESUMO'!F13</f>
        <v>0</v>
      </c>
      <c r="N7" s="140" t="n">
        <f aca="false">MAX(0,M7-M6)</f>
        <v>0</v>
      </c>
      <c r="O7" s="139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HISTORICOS'!G13)</f>
        <v>146680.08</v>
      </c>
      <c r="D8" s="45" t="n">
        <f aca="false">IF(B8&lt;='VALOR POR PL'!$P$5,0,IF($K$17&gt;0,$K$18*P8/$K$17,0))</f>
        <v>0</v>
      </c>
      <c r="E8" s="45" t="n">
        <f aca="false">L8+D8/$K$2</f>
        <v>124.475409585654</v>
      </c>
      <c r="F8" s="117" t="n">
        <f aca="false">IF($K$9=0,0,E8/$K$9)</f>
        <v>0.0926410843064044</v>
      </c>
      <c r="G8" s="117" t="n">
        <f aca="false">G7+F8</f>
        <v>0.191912074348668</v>
      </c>
      <c r="H8" s="138"/>
      <c r="I8" s="42" t="s">
        <v>3897</v>
      </c>
      <c r="K8" s="66" t="n">
        <f aca="false">SUM(L5:L76)</f>
        <v>745.621184522958</v>
      </c>
      <c r="L8" s="45" t="n">
        <f aca="false">C8/IF(B8&lt;='VALOR POR PL'!$P$5,IFERROR(INDEX('"INCC-FGV"'!$B$2:$B$800,MATCH(B8,'"INCC-FGV"'!$A$2:$A$800,0)),$K$2),$K$2)</f>
        <v>124.475409585654</v>
      </c>
      <c r="M8" s="139" t="n">
        <f aca="false">'CP RESUMO'!G13</f>
        <v>0</v>
      </c>
      <c r="N8" s="140" t="n">
        <f aca="false">MAX(0,M8-M7)</f>
        <v>0</v>
      </c>
      <c r="O8" s="139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HISTORICOS'!H13)</f>
        <v>21272.38</v>
      </c>
      <c r="D9" s="45" t="n">
        <f aca="false">IF(B9&lt;='VALOR POR PL'!$P$5,0,IF($K$17&gt;0,$K$18*P9/$K$17,0))</f>
        <v>0</v>
      </c>
      <c r="E9" s="45" t="n">
        <f aca="false">L9+D9/$K$2</f>
        <v>17.959529305288</v>
      </c>
      <c r="F9" s="117" t="n">
        <f aca="false">IF($K$9=0,0,E9/$K$9)</f>
        <v>0.0133664173029263</v>
      </c>
      <c r="G9" s="117" t="n">
        <f aca="false">G8+F9</f>
        <v>0.205278491651595</v>
      </c>
      <c r="H9" s="138"/>
      <c r="I9" s="42" t="s">
        <v>3898</v>
      </c>
      <c r="J9" s="45" t="n">
        <f aca="false">C78+D78</f>
        <v>1679934.69862738</v>
      </c>
      <c r="K9" s="45" t="n">
        <f aca="false">E78</f>
        <v>1343.63074998085</v>
      </c>
      <c r="L9" s="45" t="n">
        <f aca="false">C9/IF(B9&lt;='VALOR POR PL'!$P$5,IFERROR(INDEX('"INCC-FGV"'!$B$2:$B$800,MATCH(B9,'"INCC-FGV"'!$A$2:$A$800,0)),$K$2),$K$2)</f>
        <v>17.959529305288</v>
      </c>
      <c r="M9" s="139" t="n">
        <f aca="false">'CP RESUMO'!H13</f>
        <v>0</v>
      </c>
      <c r="N9" s="140" t="n">
        <f aca="false">MAX(0,M9-M8)</f>
        <v>0</v>
      </c>
      <c r="O9" s="139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HISTORICOS'!I13)</f>
        <v>12378.73</v>
      </c>
      <c r="D10" s="45" t="n">
        <f aca="false">IF(B10&lt;='VALOR POR PL'!$P$5,0,IF($K$17&gt;0,$K$18*P10/$K$17,0))</f>
        <v>0</v>
      </c>
      <c r="E10" s="45" t="n">
        <f aca="false">L10+D10/$K$2</f>
        <v>10.3907071694002</v>
      </c>
      <c r="F10" s="117" t="n">
        <f aca="false">IF($K$9=0,0,E10/$K$9)</f>
        <v>0.00773330557487483</v>
      </c>
      <c r="G10" s="117" t="n">
        <f aca="false">G9+F10</f>
        <v>0.21301179722647</v>
      </c>
      <c r="H10" s="138"/>
      <c r="I10" s="42" t="s">
        <v>3899</v>
      </c>
      <c r="K10" s="52" t="n">
        <f aca="false">IF(K6-K8&gt;0,(K6-K8)*'VALOR POR PL'!$G$65,K6-K8)</f>
        <v>598.009565457895</v>
      </c>
      <c r="L10" s="45" t="n">
        <f aca="false">C10/IF(B10&lt;='VALOR POR PL'!$P$5,IFERROR(INDEX('"INCC-FGV"'!$B$2:$B$800,MATCH(B10,'"INCC-FGV"'!$A$2:$A$800,0)),$K$2),$K$2)</f>
        <v>10.3907071694002</v>
      </c>
      <c r="M10" s="139" t="n">
        <f aca="false">'CP RESUMO'!I13</f>
        <v>0</v>
      </c>
      <c r="N10" s="140" t="n">
        <f aca="false">MAX(0,M10-M9)</f>
        <v>0</v>
      </c>
      <c r="O10" s="139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HISTORICOS'!J13)</f>
        <v>10621.02</v>
      </c>
      <c r="D11" s="45" t="n">
        <f aca="false">IF(B11&lt;='VALOR POR PL'!$P$5,0,IF($K$17&gt;0,$K$18*P11/$K$17,0))</f>
        <v>0</v>
      </c>
      <c r="E11" s="45" t="n">
        <f aca="false">L11+D11/$K$2</f>
        <v>8.85447295518416</v>
      </c>
      <c r="F11" s="117" t="n">
        <f aca="false">IF($K$9=0,0,E11/$K$9)</f>
        <v>0.00658996004319665</v>
      </c>
      <c r="G11" s="117" t="n">
        <f aca="false">G10+F11</f>
        <v>0.219601757269666</v>
      </c>
      <c r="H11" s="138"/>
      <c r="I11" s="42" t="s">
        <v>3900</v>
      </c>
      <c r="K11" s="56" t="n">
        <f aca="false">SUMPRODUCT((B5:B76&gt;'VALOR POR PL'!$P$5)*H5:H76)</f>
        <v>645835.48</v>
      </c>
      <c r="L11" s="45" t="n">
        <f aca="false">C11/IF(B11&lt;='VALOR POR PL'!$P$5,IFERROR(INDEX('"INCC-FGV"'!$B$2:$B$800,MATCH(B11,'"INCC-FGV"'!$A$2:$A$800,0)),$K$2),$K$2)</f>
        <v>8.85447295518416</v>
      </c>
      <c r="M11" s="139" t="n">
        <f aca="false">'CP RESUMO'!J13</f>
        <v>0</v>
      </c>
      <c r="N11" s="140" t="n">
        <f aca="false">MAX(0,M11-M10)</f>
        <v>0</v>
      </c>
      <c r="O11" s="139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HISTORICOS'!K13)</f>
        <v>25742.23</v>
      </c>
      <c r="D12" s="45" t="n">
        <f aca="false">IF(B12&lt;='VALOR POR PL'!$P$5,0,IF($K$17&gt;0,$K$18*P12/$K$17,0))</f>
        <v>0</v>
      </c>
      <c r="E12" s="45" t="n">
        <f aca="false">L12+D12/$K$2</f>
        <v>21.2662922118746</v>
      </c>
      <c r="F12" s="117" t="n">
        <f aca="false">IF($K$9=0,0,E12/$K$9)</f>
        <v>0.0158274825223951</v>
      </c>
      <c r="G12" s="117" t="n">
        <f aca="false">G11+F12</f>
        <v>0.235429239792061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21.2662922118746</v>
      </c>
      <c r="M12" s="139" t="n">
        <f aca="false">'CP RESUMO'!K13</f>
        <v>0</v>
      </c>
      <c r="N12" s="140" t="n">
        <f aca="false">MAX(0,M12-M11)</f>
        <v>0</v>
      </c>
      <c r="O12" s="139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HISTORICOS'!L13)</f>
        <v>143972.58</v>
      </c>
      <c r="D13" s="45" t="n">
        <f aca="false">IF(B13&lt;='VALOR POR PL'!$P$5,0,IF($K$17&gt;0,$K$18*P13/$K$17,0))</f>
        <v>0</v>
      </c>
      <c r="E13" s="45" t="n">
        <f aca="false">L13+D13/$K$2</f>
        <v>118.32980194065</v>
      </c>
      <c r="F13" s="117" t="n">
        <f aca="false">IF($K$9=0,0,E13/$K$9)</f>
        <v>0.0880672029442135</v>
      </c>
      <c r="G13" s="117" t="n">
        <f aca="false">G12+F13</f>
        <v>0.323496442736275</v>
      </c>
      <c r="H13" s="138"/>
      <c r="I13" s="42" t="s">
        <v>3902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118.32980194065</v>
      </c>
      <c r="M13" s="139" t="n">
        <f aca="false">'CP RESUMO'!L13</f>
        <v>0</v>
      </c>
      <c r="N13" s="140" t="n">
        <f aca="false">MAX(0,M13-M12)</f>
        <v>0</v>
      </c>
      <c r="O13" s="139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HISTORICOS'!M13)</f>
        <v>131293.27</v>
      </c>
      <c r="D14" s="45" t="n">
        <f aca="false">IF(B14&lt;='VALOR POR PL'!$P$5,0,IF($K$17&gt;0,$K$18*P14/$K$17,0))</f>
        <v>0</v>
      </c>
      <c r="E14" s="45" t="n">
        <f aca="false">L14+D14/$K$2</f>
        <v>107.728076458855</v>
      </c>
      <c r="F14" s="117" t="n">
        <f aca="false">IF($K$9=0,0,E14/$K$9)</f>
        <v>0.0801768465483467</v>
      </c>
      <c r="G14" s="117" t="n">
        <f aca="false">G13+F14</f>
        <v>0.403673289284622</v>
      </c>
      <c r="H14" s="138"/>
      <c r="I14" s="42" t="s">
        <v>3903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107.728076458855</v>
      </c>
      <c r="M14" s="139" t="n">
        <f aca="false">'CP RESUMO'!M13</f>
        <v>0</v>
      </c>
      <c r="N14" s="140" t="n">
        <f aca="false">MAX(0,M14-M13)</f>
        <v>0</v>
      </c>
      <c r="O14" s="139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HISTORICOS'!N13)</f>
        <v>26251.42</v>
      </c>
      <c r="D15" s="45" t="n">
        <f aca="false">IF(B15&lt;='VALOR POR PL'!$P$5,0,IF($K$17&gt;0,$K$18*P15/$K$17,0))</f>
        <v>0</v>
      </c>
      <c r="E15" s="45" t="n">
        <f aca="false">L15+D15/$K$2</f>
        <v>21.4760838904542</v>
      </c>
      <c r="F15" s="117" t="n">
        <f aca="false">IF($K$9=0,0,E15/$K$9)</f>
        <v>0.015983620418601</v>
      </c>
      <c r="G15" s="117" t="n">
        <f aca="false">G14+F15</f>
        <v>0.419656909703223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21.4760838904542</v>
      </c>
      <c r="M15" s="139" t="n">
        <f aca="false">'CP RESUMO'!N13</f>
        <v>0</v>
      </c>
      <c r="N15" s="140" t="n">
        <f aca="false">MAX(0,M15-M14)</f>
        <v>0</v>
      </c>
      <c r="O15" s="139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HISTORICOS'!O13)</f>
        <v>36995.11</v>
      </c>
      <c r="D16" s="45" t="n">
        <f aca="false">IF(B16&lt;='VALOR POR PL'!$P$5,0,IF($K$17&gt;0,$K$18*P16/$K$17,0))</f>
        <v>0</v>
      </c>
      <c r="E16" s="45" t="n">
        <f aca="false">L16+D16/$K$2</f>
        <v>30.1844924214671</v>
      </c>
      <c r="F16" s="117" t="n">
        <f aca="false">IF($K$9=0,0,E16/$K$9)</f>
        <v>0.0224648717081663</v>
      </c>
      <c r="G16" s="117" t="n">
        <f aca="false">G15+F16</f>
        <v>0.442121781411389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30.1844924214671</v>
      </c>
      <c r="M16" s="139" t="n">
        <f aca="false">'CP RESUMO'!O13</f>
        <v>0</v>
      </c>
      <c r="N16" s="140" t="n">
        <f aca="false">MAX(0,M16-M15)</f>
        <v>0</v>
      </c>
      <c r="O16" s="139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HISTORICOS'!P13)</f>
        <v>15498.77</v>
      </c>
      <c r="D17" s="45" t="n">
        <f aca="false">IF(B17&lt;='VALOR POR PL'!$P$5,0,IF($K$17&gt;0,$K$18*P17/$K$17,0))</f>
        <v>0</v>
      </c>
      <c r="E17" s="45" t="n">
        <f aca="false">L17+D17/$K$2</f>
        <v>12.6194936983018</v>
      </c>
      <c r="F17" s="117" t="n">
        <f aca="false">IF($K$9=0,0,E17/$K$9)</f>
        <v>0.00939208461735607</v>
      </c>
      <c r="G17" s="117" t="n">
        <f aca="false">G16+F17</f>
        <v>0.451513866028745</v>
      </c>
      <c r="H17" s="138"/>
      <c r="I17" s="42" t="s">
        <v>3907</v>
      </c>
      <c r="K17" s="45" t="n">
        <f aca="false">SUM(P5:P76)</f>
        <v>645835.48</v>
      </c>
      <c r="L17" s="45" t="n">
        <f aca="false">C17/IF(B17&lt;='VALOR POR PL'!$P$5,IFERROR(INDEX('"INCC-FGV"'!$B$2:$B$800,MATCH(B17,'"INCC-FGV"'!$A$2:$A$800,0)),$K$2),$K$2)</f>
        <v>12.6194936983018</v>
      </c>
      <c r="M17" s="139" t="n">
        <f aca="false">'CP RESUMO'!P13</f>
        <v>0</v>
      </c>
      <c r="N17" s="140" t="n">
        <f aca="false">MAX(0,M17-M16)</f>
        <v>0</v>
      </c>
      <c r="O17" s="139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HISTORICOS'!Q13)</f>
        <v>16216.73</v>
      </c>
      <c r="D18" s="45" t="n">
        <f aca="false">IF(B18&lt;='VALOR POR PL'!$P$5,0,IF($K$17&gt;0,$K$18*P18/$K$17,0))</f>
        <v>0</v>
      </c>
      <c r="E18" s="45" t="n">
        <f aca="false">L18+D18/$K$2</f>
        <v>13.1093436245994</v>
      </c>
      <c r="F18" s="117" t="n">
        <f aca="false">IF($K$9=0,0,E18/$K$9)</f>
        <v>0.00975665645102738</v>
      </c>
      <c r="G18" s="117" t="n">
        <f aca="false">G17+F18</f>
        <v>0.461270522479772</v>
      </c>
      <c r="H18" s="138"/>
      <c r="I18" s="42" t="s">
        <v>3908</v>
      </c>
      <c r="K18" s="45" t="n">
        <f aca="false">MAX(0,K10)*$K$2</f>
        <v>777258.148627375</v>
      </c>
      <c r="L18" s="45" t="n">
        <f aca="false">C18/IF(B18&lt;='VALOR POR PL'!$P$5,IFERROR(INDEX('"INCC-FGV"'!$B$2:$B$800,MATCH(B18,'"INCC-FGV"'!$A$2:$A$800,0)),$K$2),$K$2)</f>
        <v>13.1093436245994</v>
      </c>
      <c r="M18" s="139" t="n">
        <f aca="false">'CP RESUMO'!Q13</f>
        <v>0</v>
      </c>
      <c r="N18" s="140" t="n">
        <f aca="false">MAX(0,M18-M17)</f>
        <v>0</v>
      </c>
      <c r="O18" s="139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HISTORICOS'!R13)</f>
        <v>13976.19</v>
      </c>
      <c r="D19" s="45" t="n">
        <f aca="false">IF(B19&lt;='VALOR POR PL'!$P$5,0,IF($K$17&gt;0,$K$18*P19/$K$17,0))</f>
        <v>0</v>
      </c>
      <c r="E19" s="45" t="n">
        <f aca="false">L19+D19/$K$2</f>
        <v>11.2667505588558</v>
      </c>
      <c r="F19" s="117" t="n">
        <f aca="false">IF($K$9=0,0,E19/$K$9)</f>
        <v>0.00838530270241013</v>
      </c>
      <c r="G19" s="117" t="n">
        <f aca="false">G18+F19</f>
        <v>0.469655825182182</v>
      </c>
      <c r="H19" s="138"/>
      <c r="I19" s="42" t="s">
        <v>3909</v>
      </c>
      <c r="K19" s="142" t="n">
        <f aca="false">IF(AND(K16="PREVISÃO INFORMADA",K11&gt;0),K18/K11-1,"")</f>
        <v>0.203492487943486</v>
      </c>
      <c r="L19" s="45" t="n">
        <f aca="false">C19/IF(B19&lt;='VALOR POR PL'!$P$5,IFERROR(INDEX('"INCC-FGV"'!$B$2:$B$800,MATCH(B19,'"INCC-FGV"'!$A$2:$A$800,0)),$K$2),$K$2)</f>
        <v>11.2667505588558</v>
      </c>
      <c r="M19" s="139" t="n">
        <f aca="false">'CP RESUMO'!R13</f>
        <v>0</v>
      </c>
      <c r="N19" s="140" t="n">
        <f aca="false">MAX(0,M19-M18)</f>
        <v>0</v>
      </c>
      <c r="O19" s="139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HISTORICOS'!S13)</f>
        <v>25304.36</v>
      </c>
      <c r="D20" s="45" t="n">
        <f aca="false">IF(B20&lt;='VALOR POR PL'!$P$5,0,IF($K$17&gt;0,$K$18*P20/$K$17,0))</f>
        <v>0</v>
      </c>
      <c r="E20" s="45" t="n">
        <f aca="false">L20+D20/$K$2</f>
        <v>20.2892443037538</v>
      </c>
      <c r="F20" s="117" t="n">
        <f aca="false">IF($K$9=0,0,E20/$K$9)</f>
        <v>0.0151003125702824</v>
      </c>
      <c r="G20" s="117" t="n">
        <f aca="false">G19+F20</f>
        <v>0.484756137752465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20.2892443037538</v>
      </c>
      <c r="M20" s="139" t="n">
        <f aca="false">'CP RESUMO'!S13</f>
        <v>0</v>
      </c>
      <c r="N20" s="140" t="n">
        <f aca="false">MAX(0,M20-M19)</f>
        <v>0</v>
      </c>
      <c r="O20" s="139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HISTORICOS'!T13)</f>
        <v>20634.6</v>
      </c>
      <c r="D21" s="45" t="n">
        <f aca="false">IF(B21&lt;='VALOR POR PL'!$P$5,0,IF($K$17&gt;0,$K$18*P21/$K$17,0))</f>
        <v>0</v>
      </c>
      <c r="E21" s="45" t="n">
        <f aca="false">L21+D21/$K$2</f>
        <v>16.3811909956083</v>
      </c>
      <c r="F21" s="117" t="n">
        <f aca="false">IF($K$9=0,0,E21/$K$9)</f>
        <v>0.0121917357100094</v>
      </c>
      <c r="G21" s="117" t="n">
        <f aca="false">G20+F21</f>
        <v>0.496947873462474</v>
      </c>
      <c r="H21" s="138"/>
      <c r="K21" s="143"/>
      <c r="L21" s="45" t="n">
        <f aca="false">C21/IF(B21&lt;='VALOR POR PL'!$P$5,IFERROR(INDEX('"INCC-FGV"'!$B$2:$B$800,MATCH(B21,'"INCC-FGV"'!$A$2:$A$800,0)),$K$2),$K$2)</f>
        <v>16.3811909956083</v>
      </c>
      <c r="M21" s="139" t="n">
        <f aca="false">'CP RESUMO'!T13</f>
        <v>0</v>
      </c>
      <c r="N21" s="140" t="n">
        <f aca="false">MAX(0,M21-M20)</f>
        <v>0</v>
      </c>
      <c r="O21" s="139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HISTORICOS'!U13)</f>
        <v>9832.02</v>
      </c>
      <c r="D22" s="45" t="n">
        <f aca="false">IF(B22&lt;='VALOR POR PL'!$P$5,0,IF($K$17&gt;0,$K$18*P22/$K$17,0))</f>
        <v>0</v>
      </c>
      <c r="E22" s="45" t="n">
        <f aca="false">L22+D22/$K$2</f>
        <v>7.73751372280524</v>
      </c>
      <c r="F22" s="117" t="n">
        <f aca="false">IF($K$9=0,0,E22/$K$9)</f>
        <v>0.00575866079495092</v>
      </c>
      <c r="G22" s="117" t="n">
        <f aca="false">G21+F22</f>
        <v>0.502706534257425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7.73751372280524</v>
      </c>
      <c r="M22" s="139" t="n">
        <f aca="false">'CP RESUMO'!U13</f>
        <v>0</v>
      </c>
      <c r="N22" s="140" t="n">
        <f aca="false">MAX(0,M22-M21)</f>
        <v>0</v>
      </c>
      <c r="O22" s="139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HISTORICOS'!V13)</f>
        <v>25296.98</v>
      </c>
      <c r="D23" s="45" t="n">
        <f aca="false">IF(B23&lt;='VALOR POR PL'!$P$5,0,IF($K$17&gt;0,$K$18*P23/$K$17,0))</f>
        <v>0</v>
      </c>
      <c r="E23" s="45" t="n">
        <f aca="false">L23+D23/$K$2</f>
        <v>19.753373505924</v>
      </c>
      <c r="F23" s="117" t="n">
        <f aca="false">IF($K$9=0,0,E23/$K$9)</f>
        <v>0.0147014896065794</v>
      </c>
      <c r="G23" s="117" t="n">
        <f aca="false">G22+F23</f>
        <v>0.517408023864005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19.753373505924</v>
      </c>
      <c r="M23" s="139" t="n">
        <f aca="false">'CP RESUMO'!V13</f>
        <v>0</v>
      </c>
      <c r="N23" s="140" t="n">
        <f aca="false">MAX(0,M23-M22)</f>
        <v>0</v>
      </c>
      <c r="O23" s="139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HISTORICOS'!W13)</f>
        <v>28560.83</v>
      </c>
      <c r="D24" s="45" t="n">
        <f aca="false">IF(B24&lt;='VALOR POR PL'!$P$5,0,IF($K$17&gt;0,$K$18*P24/$K$17,0))</f>
        <v>0</v>
      </c>
      <c r="E24" s="45" t="n">
        <f aca="false">L24+D24/$K$2</f>
        <v>22.1671397226549</v>
      </c>
      <c r="F24" s="117" t="n">
        <f aca="false">IF($K$9=0,0,E24/$K$9)</f>
        <v>0.0164979401691803</v>
      </c>
      <c r="G24" s="117" t="n">
        <f aca="false">G23+F24</f>
        <v>0.533905964033185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22.1671397226549</v>
      </c>
      <c r="M24" s="139" t="n">
        <f aca="false">'CP RESUMO'!W13</f>
        <v>0</v>
      </c>
      <c r="N24" s="140" t="n">
        <f aca="false">MAX(0,M24-M23)</f>
        <v>0</v>
      </c>
      <c r="O24" s="139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HISTORICOS'!X13)</f>
        <v>16509.8</v>
      </c>
      <c r="D25" s="45" t="n">
        <f aca="false">IF(B25&lt;='VALOR POR PL'!$P$5,0,IF($K$17&gt;0,$K$18*P25/$K$17,0))</f>
        <v>0</v>
      </c>
      <c r="E25" s="45" t="n">
        <f aca="false">L25+D25/$K$2</f>
        <v>12.7303107667657</v>
      </c>
      <c r="F25" s="117" t="n">
        <f aca="false">IF($K$9=0,0,E25/$K$9)</f>
        <v>0.0094745604526743</v>
      </c>
      <c r="G25" s="117" t="n">
        <f aca="false">G24+F25</f>
        <v>0.543380524485859</v>
      </c>
      <c r="H25" s="138"/>
      <c r="L25" s="45" t="n">
        <f aca="false">C25/IF(B25&lt;='VALOR POR PL'!$P$5,IFERROR(INDEX('"INCC-FGV"'!$B$2:$B$800,MATCH(B25,'"INCC-FGV"'!$A$2:$A$800,0)),$K$2),$K$2)</f>
        <v>12.7303107667657</v>
      </c>
      <c r="M25" s="139" t="n">
        <f aca="false">'CP RESUMO'!X13</f>
        <v>0</v>
      </c>
      <c r="N25" s="140" t="n">
        <f aca="false">MAX(0,M25-M24)</f>
        <v>0</v>
      </c>
      <c r="O25" s="139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HISTORICOS'!Y13)</f>
        <v>19442.99</v>
      </c>
      <c r="D26" s="45" t="n">
        <f aca="false">IF(B26&lt;='VALOR POR PL'!$P$5,0,IF($K$17&gt;0,$K$18*P26/$K$17,0))</f>
        <v>0</v>
      </c>
      <c r="E26" s="45" t="n">
        <f aca="false">L26+D26/$K$2</f>
        <v>14.9591149628157</v>
      </c>
      <c r="F26" s="117" t="n">
        <f aca="false">IF($K$9=0,0,E26/$K$9)</f>
        <v>0.0111333526439678</v>
      </c>
      <c r="G26" s="117" t="n">
        <f aca="false">G25+F26</f>
        <v>0.554513877129827</v>
      </c>
      <c r="H26" s="138" t="n">
        <v>23726.29</v>
      </c>
      <c r="L26" s="45" t="n">
        <f aca="false">C26/IF(B26&lt;='VALOR POR PL'!$P$5,IFERROR(INDEX('"INCC-FGV"'!$B$2:$B$800,MATCH(B26,'"INCC-FGV"'!$A$2:$A$800,0)),$K$2),$K$2)</f>
        <v>14.9591149628157</v>
      </c>
      <c r="M26" s="139" t="n">
        <f aca="false">'CP RESUMO'!Y13</f>
        <v>0</v>
      </c>
      <c r="N26" s="140" t="n">
        <f aca="false">MAX(0,M26-M25)</f>
        <v>0</v>
      </c>
      <c r="O26" s="139" t="n">
        <f aca="false">IF(B26&lt;='VALOR POR PL'!$P$5,'CP RESUMO'!Y55,"")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HISTORICOS'!Z13)</f>
        <v>726.93</v>
      </c>
      <c r="D27" s="45" t="n">
        <f aca="false">IF(B27&lt;='VALOR POR PL'!$P$5,0,IF($K$17&gt;0,$K$18*P27/$K$17,0))</f>
        <v>23444.9723892797</v>
      </c>
      <c r="E27" s="45" t="n">
        <f aca="false">L27+D27/$K$2</f>
        <v>18.5974619495867</v>
      </c>
      <c r="F27" s="117" t="n">
        <f aca="false">IF($K$9=0,0,E27/$K$9)</f>
        <v>0.0138412000096393</v>
      </c>
      <c r="G27" s="117" t="n">
        <f aca="false">G26+F27</f>
        <v>0.568355077139466</v>
      </c>
      <c r="H27" s="138" t="n">
        <v>19480.78</v>
      </c>
      <c r="L27" s="45" t="n">
        <f aca="false">C27/IF(B27&lt;='VALOR POR PL'!$P$5,IFERROR(INDEX('"INCC-FGV"'!$B$2:$B$800,MATCH(B27,'"INCC-FGV"'!$A$2:$A$800,0)),$K$2),$K$2)</f>
        <v>0.559287920218012</v>
      </c>
      <c r="M27" s="139" t="n">
        <f aca="false">'CP RESUMO'!Z13</f>
        <v>0</v>
      </c>
      <c r="N27" s="140" t="n">
        <f aca="false">MAX(0,M27-M26)</f>
        <v>0</v>
      </c>
      <c r="O27" s="139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19480.78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20797.288915804</v>
      </c>
      <c r="E28" s="45" t="n">
        <f aca="false">L28+D28/$K$2</f>
        <v>16.001090151587</v>
      </c>
      <c r="F28" s="117" t="n">
        <f aca="false">IF($K$9=0,0,E28/$K$9)</f>
        <v>0.0119088448606993</v>
      </c>
      <c r="G28" s="117" t="n">
        <f aca="false">G27+F28</f>
        <v>0.580263922000165</v>
      </c>
      <c r="H28" s="138" t="n">
        <v>17280.78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RESUMO'!AA13</f>
        <v>0</v>
      </c>
      <c r="N28" s="140" t="n">
        <f aca="false">MAX(0,M28-M27)</f>
        <v>0</v>
      </c>
      <c r="O28" s="139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17280.78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20797.288915804</v>
      </c>
      <c r="E29" s="45" t="n">
        <f aca="false">L29+D29/$K$2</f>
        <v>16.001090151587</v>
      </c>
      <c r="F29" s="117" t="n">
        <f aca="false">IF($K$9=0,0,E29/$K$9)</f>
        <v>0.0119088448606993</v>
      </c>
      <c r="G29" s="117" t="n">
        <f aca="false">G28+F29</f>
        <v>0.592172766860865</v>
      </c>
      <c r="H29" s="138" t="n">
        <v>17280.78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RESUMO'!AB13</f>
        <v>0</v>
      </c>
      <c r="N29" s="140" t="n">
        <f aca="false">MAX(0,M29-M28)</f>
        <v>0</v>
      </c>
      <c r="O29" s="139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17280.78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24288.9576012247</v>
      </c>
      <c r="E30" s="45" t="n">
        <f aca="false">L30+D30/$K$2</f>
        <v>18.6875222938281</v>
      </c>
      <c r="F30" s="117" t="n">
        <f aca="false">IF($K$9=0,0,E30/$K$9)</f>
        <v>0.0139082276094786</v>
      </c>
      <c r="G30" s="117" t="n">
        <f aca="false">G29+F30</f>
        <v>0.606080994470343</v>
      </c>
      <c r="H30" s="138" t="n">
        <v>20182.06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RESUMO'!AC13</f>
        <v>0</v>
      </c>
      <c r="N30" s="140" t="n">
        <f aca="false">MAX(0,M30-M29)</f>
        <v>0</v>
      </c>
      <c r="O30" s="139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20182.06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21641.274127749</v>
      </c>
      <c r="E31" s="45" t="n">
        <f aca="false">L31+D31/$K$2</f>
        <v>16.6504384160464</v>
      </c>
      <c r="F31" s="117" t="n">
        <f aca="false">IF($K$9=0,0,E31/$K$9)</f>
        <v>0.0123921236666277</v>
      </c>
      <c r="G31" s="117" t="n">
        <f aca="false">G30+F31</f>
        <v>0.618473118136971</v>
      </c>
      <c r="H31" s="138" t="n">
        <v>17982.06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RESUMO'!AD13</f>
        <v>0</v>
      </c>
      <c r="N31" s="140" t="n">
        <f aca="false">MAX(0,M31-M30)</f>
        <v>0</v>
      </c>
      <c r="O31" s="139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17982.06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18308.7793587838</v>
      </c>
      <c r="E32" s="45" t="n">
        <f aca="false">L32+D32/$K$2</f>
        <v>14.0864720527488</v>
      </c>
      <c r="F32" s="117" t="n">
        <f aca="false">IF($K$9=0,0,E32/$K$9)</f>
        <v>0.01048388633034</v>
      </c>
      <c r="G32" s="117" t="n">
        <f aca="false">G31+F32</f>
        <v>0.628957004467311</v>
      </c>
      <c r="H32" s="138" t="n">
        <v>15213.04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RESUMO'!AE13</f>
        <v>0</v>
      </c>
      <c r="N32" s="140" t="n">
        <f aca="false">MAX(0,M32-M31)</f>
        <v>0</v>
      </c>
      <c r="O32" s="139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15213.04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24288.9576012247</v>
      </c>
      <c r="E33" s="45" t="n">
        <f aca="false">L33+D33/$K$2</f>
        <v>18.6875222938281</v>
      </c>
      <c r="F33" s="117" t="n">
        <f aca="false">IF($K$9=0,0,E33/$K$9)</f>
        <v>0.0139082276094786</v>
      </c>
      <c r="G33" s="117" t="n">
        <f aca="false">G32+F33</f>
        <v>0.64286523207679</v>
      </c>
      <c r="H33" s="138" t="n">
        <v>20182.06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RESUMO'!AF13</f>
        <v>0</v>
      </c>
      <c r="N33" s="140" t="n">
        <f aca="false">MAX(0,M33-M32)</f>
        <v>0</v>
      </c>
      <c r="O33" s="139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20182.06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21641.274127749</v>
      </c>
      <c r="E34" s="45" t="n">
        <f aca="false">L34+D34/$K$2</f>
        <v>16.6504384160464</v>
      </c>
      <c r="F34" s="117" t="n">
        <f aca="false">IF($K$9=0,0,E34/$K$9)</f>
        <v>0.0123921236666277</v>
      </c>
      <c r="G34" s="117" t="n">
        <f aca="false">G33+F34</f>
        <v>0.655257355743417</v>
      </c>
      <c r="H34" s="138" t="n">
        <v>17982.06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RESUMO'!AG13</f>
        <v>0</v>
      </c>
      <c r="N34" s="140" t="n">
        <f aca="false">MAX(0,M34-M33)</f>
        <v>0</v>
      </c>
      <c r="O34" s="139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17982.06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28048.8967971329</v>
      </c>
      <c r="E35" s="45" t="n">
        <f aca="false">L35+D35/$K$2</f>
        <v>21.5803573302493</v>
      </c>
      <c r="F35" s="117" t="n">
        <f aca="false">IF($K$9=0,0,E35/$K$9)</f>
        <v>0.0160612261445764</v>
      </c>
      <c r="G35" s="117" t="n">
        <f aca="false">G34+F35</f>
        <v>0.671318581887994</v>
      </c>
      <c r="H35" s="138" t="n">
        <v>23306.25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RESUMO'!AH13</f>
        <v>0</v>
      </c>
      <c r="N35" s="140" t="n">
        <f aca="false">MAX(0,M35-M34)</f>
        <v>0</v>
      </c>
      <c r="O35" s="139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23306.25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15197.5587186518</v>
      </c>
      <c r="E36" s="45" t="n">
        <f aca="false">L36+D36/$K$2</f>
        <v>11.6927503448006</v>
      </c>
      <c r="F36" s="117" t="n">
        <f aca="false">IF($K$9=0,0,E36/$K$9)</f>
        <v>0.0087023539353853</v>
      </c>
      <c r="G36" s="117" t="n">
        <f aca="false">G35+F36</f>
        <v>0.680020935823379</v>
      </c>
      <c r="H36" s="138" t="n">
        <v>12627.88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RESUMO'!AI13</f>
        <v>0</v>
      </c>
      <c r="N36" s="140" t="n">
        <f aca="false">MAX(0,M36-M35)</f>
        <v>0</v>
      </c>
      <c r="O36" s="139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12627.88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12123.8990790685</v>
      </c>
      <c r="E37" s="45" t="n">
        <f aca="false">L37+D37/$K$2</f>
        <v>9.32792744950038</v>
      </c>
      <c r="F37" s="117" t="n">
        <f aca="false">IF($K$9=0,0,E37/$K$9)</f>
        <v>0.0069423295422744</v>
      </c>
      <c r="G37" s="117" t="n">
        <f aca="false">G36+F37</f>
        <v>0.686963265365653</v>
      </c>
      <c r="H37" s="138" t="n">
        <v>10073.93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RESUMO'!AJ13</f>
        <v>0</v>
      </c>
      <c r="N37" s="140" t="n">
        <f aca="false">MAX(0,M37-M36)</f>
        <v>0</v>
      </c>
      <c r="O37" s="139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10073.93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11643.7898208532</v>
      </c>
      <c r="E38" s="45" t="n">
        <f aca="false">L38+D38/$K$2</f>
        <v>8.95853932615336</v>
      </c>
      <c r="F38" s="117" t="n">
        <f aca="false">IF($K$9=0,0,E38/$K$9)</f>
        <v>0.00666741165776463</v>
      </c>
      <c r="G38" s="117" t="n">
        <f aca="false">G37+F38</f>
        <v>0.693630677023418</v>
      </c>
      <c r="H38" s="138" t="n">
        <v>9675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RESUMO'!AK13</f>
        <v>0</v>
      </c>
      <c r="N38" s="140" t="n">
        <f aca="false">MAX(0,M38-M37)</f>
        <v>0</v>
      </c>
      <c r="O38" s="139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9675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14291.4732943289</v>
      </c>
      <c r="E39" s="45" t="n">
        <f aca="false">L39+D39/$K$2</f>
        <v>10.995623203935</v>
      </c>
      <c r="F39" s="117" t="n">
        <f aca="false">IF($K$9=0,0,E39/$K$9)</f>
        <v>0.0081835156006155</v>
      </c>
      <c r="G39" s="117" t="n">
        <f aca="false">G38+F39</f>
        <v>0.701814192624033</v>
      </c>
      <c r="H39" s="138" t="n">
        <v>11875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RESUMO'!AL13</f>
        <v>0</v>
      </c>
      <c r="N39" s="140" t="n">
        <f aca="false">MAX(0,M39-M38)</f>
        <v>0</v>
      </c>
      <c r="O39" s="139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11875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11643.7898208532</v>
      </c>
      <c r="E40" s="45" t="n">
        <f aca="false">L40+D40/$K$2</f>
        <v>8.95853932615336</v>
      </c>
      <c r="F40" s="117" t="n">
        <f aca="false">IF($K$9=0,0,E40/$K$9)</f>
        <v>0.00666741165776463</v>
      </c>
      <c r="G40" s="117" t="n">
        <f aca="false">G39+F40</f>
        <v>0.708481604281798</v>
      </c>
      <c r="H40" s="138" t="n">
        <v>9675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RESUMO'!AM13</f>
        <v>0</v>
      </c>
      <c r="N40" s="140" t="n">
        <f aca="false">MAX(0,M40-M39)</f>
        <v>0</v>
      </c>
      <c r="O40" s="139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9675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11643.7898208532</v>
      </c>
      <c r="E41" s="45" t="n">
        <f aca="false">L41+D41/$K$2</f>
        <v>8.95853932615336</v>
      </c>
      <c r="F41" s="117" t="n">
        <f aca="false">IF($K$9=0,0,E41/$K$9)</f>
        <v>0.00666741165776463</v>
      </c>
      <c r="G41" s="117" t="n">
        <f aca="false">G40+F41</f>
        <v>0.715149015939563</v>
      </c>
      <c r="H41" s="138" t="n">
        <v>9675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RESUMO'!AN13</f>
        <v>0</v>
      </c>
      <c r="N41" s="140" t="n">
        <f aca="false">MAX(0,M41-M40)</f>
        <v>0</v>
      </c>
      <c r="O41" s="139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9675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14291.4732943289</v>
      </c>
      <c r="E42" s="45" t="n">
        <f aca="false">L42+D42/$K$2</f>
        <v>10.995623203935</v>
      </c>
      <c r="F42" s="117" t="n">
        <f aca="false">IF($K$9=0,0,E42/$K$9)</f>
        <v>0.0081835156006155</v>
      </c>
      <c r="G42" s="117" t="n">
        <f aca="false">G41+F42</f>
        <v>0.723332531540178</v>
      </c>
      <c r="H42" s="138" t="n">
        <v>11875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RESUMO'!AO13</f>
        <v>0</v>
      </c>
      <c r="N42" s="140" t="n">
        <f aca="false">MAX(0,M42-M41)</f>
        <v>0</v>
      </c>
      <c r="O42" s="139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11875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11643.7898208532</v>
      </c>
      <c r="E43" s="45" t="n">
        <f aca="false">L43+D43/$K$2</f>
        <v>8.95853932615336</v>
      </c>
      <c r="F43" s="117" t="n">
        <f aca="false">IF($K$9=0,0,E43/$K$9)</f>
        <v>0.00666741165776463</v>
      </c>
      <c r="G43" s="117" t="n">
        <f aca="false">G42+F43</f>
        <v>0.729999943197943</v>
      </c>
      <c r="H43" s="138" t="n">
        <v>9675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RESUMO'!AP13</f>
        <v>0</v>
      </c>
      <c r="N43" s="140" t="n">
        <f aca="false">MAX(0,M43-M42)</f>
        <v>0</v>
      </c>
      <c r="O43" s="139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9675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11643.7898208532</v>
      </c>
      <c r="E44" s="45" t="n">
        <f aca="false">L44+D44/$K$2</f>
        <v>8.95853932615336</v>
      </c>
      <c r="F44" s="117" t="n">
        <f aca="false">IF($K$9=0,0,E44/$K$9)</f>
        <v>0.00666741165776463</v>
      </c>
      <c r="G44" s="117" t="n">
        <f aca="false">G43+F44</f>
        <v>0.736667354855707</v>
      </c>
      <c r="H44" s="138" t="n">
        <v>9675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RESUMO'!AQ13</f>
        <v>0</v>
      </c>
      <c r="N44" s="140" t="n">
        <f aca="false">MAX(0,M44-M43)</f>
        <v>0</v>
      </c>
      <c r="O44" s="139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9675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14291.4732943289</v>
      </c>
      <c r="E45" s="45" t="n">
        <f aca="false">L45+D45/$K$2</f>
        <v>10.995623203935</v>
      </c>
      <c r="F45" s="117" t="n">
        <f aca="false">IF($K$9=0,0,E45/$K$9)</f>
        <v>0.0081835156006155</v>
      </c>
      <c r="G45" s="117" t="n">
        <f aca="false">G44+F45</f>
        <v>0.744850870456323</v>
      </c>
      <c r="H45" s="138" t="n">
        <v>11875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RESUMO'!AR13</f>
        <v>0</v>
      </c>
      <c r="N45" s="140" t="n">
        <f aca="false">MAX(0,M45-M44)</f>
        <v>0</v>
      </c>
      <c r="O45" s="139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11875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11643.7898208532</v>
      </c>
      <c r="E46" s="45" t="n">
        <f aca="false">L46+D46/$K$2</f>
        <v>8.95853932615336</v>
      </c>
      <c r="F46" s="117" t="n">
        <f aca="false">IF($K$9=0,0,E46/$K$9)</f>
        <v>0.00666741165776463</v>
      </c>
      <c r="G46" s="117" t="n">
        <f aca="false">G45+F46</f>
        <v>0.751518282114087</v>
      </c>
      <c r="H46" s="138" t="n">
        <v>9675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RESUMO'!AS13</f>
        <v>0</v>
      </c>
      <c r="N46" s="140" t="n">
        <f aca="false">MAX(0,M46-M45)</f>
        <v>0</v>
      </c>
      <c r="O46" s="139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9675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17691.3395727692</v>
      </c>
      <c r="E47" s="45" t="n">
        <f aca="false">L47+D47/$K$2</f>
        <v>13.6114240924501</v>
      </c>
      <c r="F47" s="117" t="n">
        <f aca="false">IF($K$9=0,0,E47/$K$9)</f>
        <v>0.0101303308908672</v>
      </c>
      <c r="G47" s="117" t="n">
        <f aca="false">G46+F47</f>
        <v>0.761648613004955</v>
      </c>
      <c r="H47" s="138" t="n">
        <v>14700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RESUMO'!AT13</f>
        <v>0</v>
      </c>
      <c r="N47" s="140" t="n">
        <f aca="false">MAX(0,M47-M46)</f>
        <v>0</v>
      </c>
      <c r="O47" s="139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14700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14291.4732943289</v>
      </c>
      <c r="E48" s="45" t="n">
        <f aca="false">L48+D48/$K$2</f>
        <v>10.995623203935</v>
      </c>
      <c r="F48" s="117" t="n">
        <f aca="false">IF($K$9=0,0,E48/$K$9)</f>
        <v>0.0081835156006155</v>
      </c>
      <c r="G48" s="117" t="n">
        <f aca="false">G47+F48</f>
        <v>0.76983212860557</v>
      </c>
      <c r="H48" s="138" t="n">
        <v>11875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RESUMO'!AU13</f>
        <v>0</v>
      </c>
      <c r="N48" s="140" t="n">
        <f aca="false">MAX(0,M48-M47)</f>
        <v>0</v>
      </c>
      <c r="O48" s="139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11875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56774.7581187339</v>
      </c>
      <c r="E49" s="45" t="n">
        <f aca="false">L49+D49/$K$2</f>
        <v>43.6815599701586</v>
      </c>
      <c r="F49" s="117" t="n">
        <f aca="false">IF($K$9=0,0,E49/$K$9)</f>
        <v>0.0325100925018136</v>
      </c>
      <c r="G49" s="117" t="n">
        <f aca="false">G48+F49</f>
        <v>0.802342221107384</v>
      </c>
      <c r="H49" s="138" t="n">
        <v>47175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RESUMO'!AV13</f>
        <v>0</v>
      </c>
      <c r="N49" s="140" t="n">
        <f aca="false">MAX(0,M49-M48)</f>
        <v>0</v>
      </c>
      <c r="O49" s="139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47175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59422.4415922096</v>
      </c>
      <c r="E50" s="45" t="n">
        <f aca="false">L50+D50/$K$2</f>
        <v>45.7186438479403</v>
      </c>
      <c r="F50" s="117" t="n">
        <f aca="false">IF($K$9=0,0,E50/$K$9)</f>
        <v>0.0340261964446644</v>
      </c>
      <c r="G50" s="117" t="n">
        <f aca="false">G49+F50</f>
        <v>0.836368417552048</v>
      </c>
      <c r="H50" s="138" t="n">
        <v>49375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RESUMO'!AW13</f>
        <v>0</v>
      </c>
      <c r="N50" s="140" t="n">
        <f aca="false">MAX(0,M50-M49)</f>
        <v>0</v>
      </c>
      <c r="O50" s="139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49375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11643.7898208532</v>
      </c>
      <c r="E51" s="45" t="n">
        <f aca="false">L51+D51/$K$2</f>
        <v>8.95853932615336</v>
      </c>
      <c r="F51" s="117" t="n">
        <f aca="false">IF($K$9=0,0,E51/$K$9)</f>
        <v>0.00666741165776463</v>
      </c>
      <c r="G51" s="117" t="n">
        <f aca="false">G50+F51</f>
        <v>0.843035829209813</v>
      </c>
      <c r="H51" s="138" t="n">
        <v>9675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RESUMO'!AX13</f>
        <v>0</v>
      </c>
      <c r="N51" s="140" t="n">
        <f aca="false">MAX(0,M51-M50)</f>
        <v>0</v>
      </c>
      <c r="O51" s="139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9675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7218.54794268503</v>
      </c>
      <c r="E52" s="45" t="n">
        <f aca="false">L52+D52/$K$2</f>
        <v>5.5538314086065</v>
      </c>
      <c r="F52" s="117" t="n">
        <f aca="false">IF($K$9=0,0,E52/$K$9)</f>
        <v>0.00413345065873615</v>
      </c>
      <c r="G52" s="117" t="n">
        <f aca="false">G51+F52</f>
        <v>0.847169279868549</v>
      </c>
      <c r="H52" s="138" t="n">
        <v>5998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RESUMO'!AY13</f>
        <v>0</v>
      </c>
      <c r="N52" s="140" t="n">
        <f aca="false">MAX(0,M52-M51)</f>
        <v>0</v>
      </c>
      <c r="O52" s="139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5998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46856.8126303663</v>
      </c>
      <c r="E53" s="45" t="n">
        <f aca="false">L53+D53/$K$2</f>
        <v>36.0508567318486</v>
      </c>
      <c r="F53" s="117" t="n">
        <f aca="false">IF($K$9=0,0,E53/$K$9)</f>
        <v>0.02683092563367</v>
      </c>
      <c r="G53" s="117" t="n">
        <f aca="false">G52+F53</f>
        <v>0.874000205502219</v>
      </c>
      <c r="H53" s="138" t="n">
        <v>38934.03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RESUMO'!AZ13</f>
        <v>0</v>
      </c>
      <c r="N53" s="140" t="n">
        <f aca="false">MAX(0,M53-M52)</f>
        <v>0</v>
      </c>
      <c r="O53" s="139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38934.03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61716.9601950983</v>
      </c>
      <c r="E54" s="45" t="n">
        <f aca="false">L54+D54/$K$2</f>
        <v>47.4840085148424</v>
      </c>
      <c r="F54" s="117" t="n">
        <f aca="false">IF($K$9=0,0,E54/$K$9)</f>
        <v>0.0353400727956837</v>
      </c>
      <c r="G54" s="117" t="n">
        <f aca="false">G53+F54</f>
        <v>0.909340278297903</v>
      </c>
      <c r="H54" s="138" t="n">
        <v>51281.55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RESUMO'!BA13</f>
        <v>0</v>
      </c>
      <c r="N54" s="140" t="n">
        <f aca="false">MAX(0,M54-M53)</f>
        <v>0</v>
      </c>
      <c r="O54" s="139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51281.55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24304.795562366</v>
      </c>
      <c r="E55" s="45" t="n">
        <f aca="false">L55+D55/$K$2</f>
        <v>18.6997077592061</v>
      </c>
      <c r="F55" s="117" t="n">
        <f aca="false">IF($K$9=0,0,E55/$K$9)</f>
        <v>0.0139172966676094</v>
      </c>
      <c r="G55" s="117" t="n">
        <f aca="false">G54+F55</f>
        <v>0.923257574965512</v>
      </c>
      <c r="H55" s="138" t="n">
        <v>20195.22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RESUMO'!BB13</f>
        <v>0</v>
      </c>
      <c r="N55" s="140" t="n">
        <f aca="false">MAX(0,M55-M54)</f>
        <v>0</v>
      </c>
      <c r="O55" s="139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20195.22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67010.4617286933</v>
      </c>
      <c r="E56" s="45" t="n">
        <f aca="false">L56+D56/$K$2</f>
        <v>51.5567410522191</v>
      </c>
      <c r="F56" s="117" t="n">
        <f aca="false">IF($K$9=0,0,E56/$K$9)</f>
        <v>0.0383712125172439</v>
      </c>
      <c r="G56" s="117" t="n">
        <f aca="false">G55+F56</f>
        <v>0.961628787482756</v>
      </c>
      <c r="H56" s="138" t="n">
        <v>55680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RESUMO'!BC13</f>
        <v>0</v>
      </c>
      <c r="N56" s="140" t="n">
        <f aca="false">MAX(0,M56-M55)</f>
        <v>0</v>
      </c>
      <c r="O56" s="139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55680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67010.4617286933</v>
      </c>
      <c r="E57" s="45" t="n">
        <f aca="false">L57+D57/$K$2</f>
        <v>51.5567410522191</v>
      </c>
      <c r="F57" s="117" t="n">
        <f aca="false">IF($K$9=0,0,E57/$K$9)</f>
        <v>0.0383712125172439</v>
      </c>
      <c r="G57" s="117" t="n">
        <f aca="false">G56+F57</f>
        <v>1</v>
      </c>
      <c r="H57" s="138" t="n">
        <v>55680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RESUMO'!BD13</f>
        <v>0</v>
      </c>
      <c r="N57" s="140" t="n">
        <f aca="false">MAX(0,M57-M56)</f>
        <v>0</v>
      </c>
      <c r="O57" s="139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55680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RESUMO'!BE13</f>
        <v>0</v>
      </c>
      <c r="N58" s="140" t="n">
        <f aca="false">MAX(0,M58-M57)</f>
        <v>0</v>
      </c>
      <c r="O58" s="139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RESUMO'!BF13</f>
        <v>0</v>
      </c>
      <c r="N59" s="140" t="n">
        <f aca="false">MAX(0,M59-M58)</f>
        <v>0</v>
      </c>
      <c r="O59" s="139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RESUMO'!BG13</f>
        <v>0</v>
      </c>
      <c r="N60" s="140" t="n">
        <f aca="false">MAX(0,M60-M59)</f>
        <v>0</v>
      </c>
      <c r="O60" s="139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RESUMO'!BH13</f>
        <v>0</v>
      </c>
      <c r="N61" s="140" t="n">
        <f aca="false">MAX(0,M61-M60)</f>
        <v>0</v>
      </c>
      <c r="O61" s="139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RESUMO'!BI13</f>
        <v>0</v>
      </c>
      <c r="N62" s="140" t="n">
        <f aca="false">MAX(0,M62-M61)</f>
        <v>0</v>
      </c>
      <c r="O62" s="139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RESUMO'!BJ13</f>
        <v>0</v>
      </c>
      <c r="N63" s="140" t="n">
        <f aca="false">MAX(0,M63-M62)</f>
        <v>0</v>
      </c>
      <c r="O63" s="139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RESUMO'!BK13</f>
        <v>0</v>
      </c>
      <c r="N64" s="140" t="n">
        <f aca="false">MAX(0,M64-M63)</f>
        <v>0</v>
      </c>
      <c r="O64" s="139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RESUMO'!BL13</f>
        <v>0</v>
      </c>
      <c r="N65" s="140" t="n">
        <f aca="false">MAX(0,M65-M64)</f>
        <v>0</v>
      </c>
      <c r="O65" s="139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RESUMO'!BM13</f>
        <v>0</v>
      </c>
      <c r="N66" s="140" t="n">
        <f aca="false">MAX(0,M66-M65)</f>
        <v>0</v>
      </c>
      <c r="O66" s="139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RESUMO'!BN13</f>
        <v>0</v>
      </c>
      <c r="N67" s="140" t="n">
        <f aca="false">MAX(0,M67-M66)</f>
        <v>0</v>
      </c>
      <c r="O67" s="139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RESUMO'!BO13</f>
        <v>0</v>
      </c>
      <c r="N68" s="140" t="n">
        <f aca="false">MAX(0,M68-M67)</f>
        <v>0</v>
      </c>
      <c r="O68" s="139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RESUMO'!BP13</f>
        <v>0</v>
      </c>
      <c r="N69" s="140" t="n">
        <f aca="false">MAX(0,M69-M68)</f>
        <v>0</v>
      </c>
      <c r="O69" s="139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RESUMO'!BQ13</f>
        <v>0</v>
      </c>
      <c r="N70" s="140" t="n">
        <f aca="false">MAX(0,M70-M69)</f>
        <v>0</v>
      </c>
      <c r="O70" s="139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RESUMO'!BR13</f>
        <v>0</v>
      </c>
      <c r="N71" s="140" t="n">
        <f aca="false">MAX(0,M71-M70)</f>
        <v>0</v>
      </c>
      <c r="O71" s="139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RESUMO'!BS13</f>
        <v>0</v>
      </c>
      <c r="N72" s="140" t="n">
        <f aca="false">MAX(0,M72-M71)</f>
        <v>0</v>
      </c>
      <c r="O72" s="139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RESUMO'!BT13</f>
        <v>0</v>
      </c>
      <c r="N73" s="140" t="n">
        <f aca="false">MAX(0,M73-M72)</f>
        <v>0</v>
      </c>
      <c r="O73" s="139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RESUMO'!BU13</f>
        <v>0</v>
      </c>
      <c r="N74" s="140" t="n">
        <f aca="false">MAX(0,M74-M73)</f>
        <v>0</v>
      </c>
      <c r="O74" s="139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RESUMO'!BV13</f>
        <v>0</v>
      </c>
      <c r="N75" s="140" t="n">
        <f aca="false">MAX(0,M75-M74)</f>
        <v>0</v>
      </c>
      <c r="O75" s="139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RESUMO'!BW13</f>
        <v>0</v>
      </c>
      <c r="N76" s="140" t="n">
        <f aca="false">MAX(0,M76-M75)</f>
        <v>0</v>
      </c>
      <c r="O76" s="139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902676.55</v>
      </c>
      <c r="D78" s="61" t="n">
        <f aca="false">SUM(D5:D76)</f>
        <v>777258.148627375</v>
      </c>
      <c r="E78" s="61" t="n">
        <f aca="false">SUM(E5:E76)</f>
        <v>1343.63074998085</v>
      </c>
      <c r="F78" s="145" t="n">
        <f aca="false">SUM(F5:F76)</f>
        <v>1</v>
      </c>
      <c r="H78" s="61" t="n">
        <f aca="false">SUM(H5:H76)</f>
        <v>669561.77</v>
      </c>
      <c r="L78" s="61" t="n">
        <f aca="false">SUM(L5:L76)</f>
        <v>745.621184522958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HISTORICOS'!D14)</f>
        <v>89150.95</v>
      </c>
      <c r="D5" s="45" t="n">
        <f aca="false">IF(B5&lt;='VALOR POR PL'!$P$5,0,IF($K$17&gt;0,$K$18*P5/$K$17,0))</f>
        <v>0</v>
      </c>
      <c r="E5" s="45" t="n">
        <f aca="false">L5+D5/$K$2</f>
        <v>77.9302475744883</v>
      </c>
      <c r="F5" s="117" t="n">
        <f aca="false">IF($K$9=0,0,E5/$K$9)</f>
        <v>0.00466712428682735</v>
      </c>
      <c r="G5" s="117" t="n">
        <f aca="false">F5</f>
        <v>0.00466712428682735</v>
      </c>
      <c r="H5" s="138"/>
      <c r="I5" s="42" t="s">
        <v>3894</v>
      </c>
      <c r="J5" s="56" t="n">
        <f aca="false">'VALOR POR PL'!F20</f>
        <v>18808583.52</v>
      </c>
      <c r="K5" s="56" t="n">
        <f aca="false">'VALOR POR PL'!G20</f>
        <v>16102.470245</v>
      </c>
      <c r="L5" s="56" t="n">
        <f aca="false">'DADOS HISTORICOS'!$BZ$14</f>
        <v>77.9302475744883</v>
      </c>
      <c r="M5" s="139" t="n">
        <f aca="false">'CP RESUMO'!D14</f>
        <v>0</v>
      </c>
      <c r="N5" s="140" t="n">
        <v>0</v>
      </c>
      <c r="O5" s="139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HISTORICOS'!E14)</f>
        <v>10175.14</v>
      </c>
      <c r="D6" s="45" t="n">
        <f aca="false">IF(B6&lt;='VALOR POR PL'!$P$5,0,IF($K$17&gt;0,$K$18*P6/$K$17,0))</f>
        <v>0</v>
      </c>
      <c r="E6" s="45" t="n">
        <f aca="false">L6+D6/$K$2</f>
        <v>8.70327666373568</v>
      </c>
      <c r="F6" s="117" t="n">
        <f aca="false">IF($K$9=0,0,E6/$K$9)</f>
        <v>0.000521226034261899</v>
      </c>
      <c r="G6" s="117" t="n">
        <f aca="false">G5+F6</f>
        <v>0.00518835032108925</v>
      </c>
      <c r="H6" s="138"/>
      <c r="I6" s="42" t="s">
        <v>3895</v>
      </c>
      <c r="K6" s="52" t="n">
        <f aca="false">'VALOR POR PL'!H20</f>
        <v>16708.665611115</v>
      </c>
      <c r="L6" s="45" t="n">
        <f aca="false">C6/IF(B6&lt;='VALOR POR PL'!$P$5,IFERROR(INDEX('"INCC-FGV"'!$B$2:$B$800,MATCH(B6,'"INCC-FGV"'!$A$2:$A$800,0)),$K$2),$K$2)</f>
        <v>8.70327666373568</v>
      </c>
      <c r="M6" s="139" t="n">
        <f aca="false">'CP RESUMO'!E14</f>
        <v>0</v>
      </c>
      <c r="N6" s="140" t="n">
        <f aca="false">MAX(0,M6-M5)</f>
        <v>0</v>
      </c>
      <c r="O6" s="139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HISTORICOS'!F14)</f>
        <v>44807.63</v>
      </c>
      <c r="D7" s="45" t="n">
        <f aca="false">IF(B7&lt;='VALOR POR PL'!$P$5,0,IF($K$17&gt;0,$K$18*P7/$K$17,0))</f>
        <v>0</v>
      </c>
      <c r="E7" s="45" t="n">
        <f aca="false">L7+D7/$K$2</f>
        <v>38.1739515665268</v>
      </c>
      <c r="F7" s="117" t="n">
        <f aca="false">IF($K$9=0,0,E7/$K$9)</f>
        <v>0.00228618003952848</v>
      </c>
      <c r="G7" s="117" t="n">
        <f aca="false">G6+F7</f>
        <v>0.00747453036061773</v>
      </c>
      <c r="H7" s="138"/>
      <c r="I7" s="42" t="s">
        <v>3896</v>
      </c>
      <c r="J7" s="45" t="n">
        <f aca="false">C78+D78</f>
        <v>21436708.6780545</v>
      </c>
      <c r="L7" s="45" t="n">
        <f aca="false">C7/IF(B7&lt;='VALOR POR PL'!$P$5,IFERROR(INDEX('"INCC-FGV"'!$B$2:$B$800,MATCH(B7,'"INCC-FGV"'!$A$2:$A$800,0)),$K$2),$K$2)</f>
        <v>38.1739515665268</v>
      </c>
      <c r="M7" s="139" t="n">
        <f aca="false">'CP RESUMO'!F14</f>
        <v>0</v>
      </c>
      <c r="N7" s="140" t="n">
        <f aca="false">MAX(0,M7-M6)</f>
        <v>0</v>
      </c>
      <c r="O7" s="139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HISTORICOS'!G14)</f>
        <v>70530.72</v>
      </c>
      <c r="D8" s="45" t="n">
        <f aca="false">IF(B8&lt;='VALOR POR PL'!$P$5,0,IF($K$17&gt;0,$K$18*P8/$K$17,0))</f>
        <v>0</v>
      </c>
      <c r="E8" s="45" t="n">
        <f aca="false">L8+D8/$K$2</f>
        <v>59.8536642492358</v>
      </c>
      <c r="F8" s="117" t="n">
        <f aca="false">IF($K$9=0,0,E8/$K$9)</f>
        <v>0.00358454513834582</v>
      </c>
      <c r="G8" s="117" t="n">
        <f aca="false">G7+F8</f>
        <v>0.0110590754989636</v>
      </c>
      <c r="H8" s="138"/>
      <c r="I8" s="42" t="s">
        <v>3897</v>
      </c>
      <c r="K8" s="66" t="n">
        <f aca="false">SUM(L5:L76)</f>
        <v>4813.3822938796</v>
      </c>
      <c r="L8" s="45" t="n">
        <f aca="false">C8/IF(B8&lt;='VALOR POR PL'!$P$5,IFERROR(INDEX('"INCC-FGV"'!$B$2:$B$800,MATCH(B8,'"INCC-FGV"'!$A$2:$A$800,0)),$K$2),$K$2)</f>
        <v>59.8536642492358</v>
      </c>
      <c r="M8" s="139" t="n">
        <f aca="false">'CP RESUMO'!G14</f>
        <v>0</v>
      </c>
      <c r="N8" s="140" t="n">
        <f aca="false">MAX(0,M8-M7)</f>
        <v>0</v>
      </c>
      <c r="O8" s="139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HISTORICOS'!H14)</f>
        <v>133478</v>
      </c>
      <c r="D9" s="45" t="n">
        <f aca="false">IF(B9&lt;='VALOR POR PL'!$P$5,0,IF($K$17&gt;0,$K$18*P9/$K$17,0))</f>
        <v>0</v>
      </c>
      <c r="E9" s="45" t="n">
        <f aca="false">L9+D9/$K$2</f>
        <v>112.6908250328</v>
      </c>
      <c r="F9" s="117" t="n">
        <f aca="false">IF($K$9=0,0,E9/$K$9)</f>
        <v>0.00674888252998912</v>
      </c>
      <c r="G9" s="117" t="n">
        <f aca="false">G8+F9</f>
        <v>0.0178079580289527</v>
      </c>
      <c r="H9" s="138"/>
      <c r="I9" s="42" t="s">
        <v>3898</v>
      </c>
      <c r="J9" s="45" t="n">
        <f aca="false">C78+D78</f>
        <v>21436708.6780545</v>
      </c>
      <c r="K9" s="45" t="n">
        <f aca="false">E78</f>
        <v>16697.7013649371</v>
      </c>
      <c r="L9" s="45" t="n">
        <f aca="false">C9/IF(B9&lt;='VALOR POR PL'!$P$5,IFERROR(INDEX('"INCC-FGV"'!$B$2:$B$800,MATCH(B9,'"INCC-FGV"'!$A$2:$A$800,0)),$K$2),$K$2)</f>
        <v>112.6908250328</v>
      </c>
      <c r="M9" s="139" t="n">
        <f aca="false">'CP RESUMO'!H14</f>
        <v>0</v>
      </c>
      <c r="N9" s="140" t="n">
        <f aca="false">MAX(0,M9-M8)</f>
        <v>0</v>
      </c>
      <c r="O9" s="139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HISTORICOS'!I14)</f>
        <v>189027.71</v>
      </c>
      <c r="D10" s="45" t="n">
        <f aca="false">IF(B10&lt;='VALOR POR PL'!$P$5,0,IF($K$17&gt;0,$K$18*P10/$K$17,0))</f>
        <v>0</v>
      </c>
      <c r="E10" s="45" t="n">
        <f aca="false">L10+D10/$K$2</f>
        <v>158.66987821144</v>
      </c>
      <c r="F10" s="117" t="n">
        <f aca="false">IF($K$9=0,0,E10/$K$9)</f>
        <v>0.00950249826270247</v>
      </c>
      <c r="G10" s="117" t="n">
        <f aca="false">G9+F10</f>
        <v>0.0273104562916551</v>
      </c>
      <c r="H10" s="138"/>
      <c r="I10" s="42" t="s">
        <v>3899</v>
      </c>
      <c r="K10" s="52" t="n">
        <f aca="false">IF(K6-K8&gt;0,(K6-K8)*'VALOR POR PL'!$G$65,K6-K8)</f>
        <v>11884.3190710575</v>
      </c>
      <c r="L10" s="45" t="n">
        <f aca="false">C10/IF(B10&lt;='VALOR POR PL'!$P$5,IFERROR(INDEX('"INCC-FGV"'!$B$2:$B$800,MATCH(B10,'"INCC-FGV"'!$A$2:$A$800,0)),$K$2),$K$2)</f>
        <v>158.66987821144</v>
      </c>
      <c r="M10" s="139" t="n">
        <f aca="false">'CP RESUMO'!I14</f>
        <v>0</v>
      </c>
      <c r="N10" s="140" t="n">
        <f aca="false">MAX(0,M10-M9)</f>
        <v>0</v>
      </c>
      <c r="O10" s="139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HISTORICOS'!J14)</f>
        <v>222221.58</v>
      </c>
      <c r="D11" s="45" t="n">
        <f aca="false">IF(B11&lt;='VALOR POR PL'!$P$5,0,IF($K$17&gt;0,$K$18*P11/$K$17,0))</f>
        <v>0</v>
      </c>
      <c r="E11" s="45" t="n">
        <f aca="false">L11+D11/$K$2</f>
        <v>185.260452401774</v>
      </c>
      <c r="F11" s="117" t="n">
        <f aca="false">IF($K$9=0,0,E11/$K$9)</f>
        <v>0.0110949674061602</v>
      </c>
      <c r="G11" s="117" t="n">
        <f aca="false">G10+F11</f>
        <v>0.0384054236978154</v>
      </c>
      <c r="H11" s="138"/>
      <c r="I11" s="42" t="s">
        <v>3900</v>
      </c>
      <c r="K11" s="56" t="n">
        <f aca="false">SUMPRODUCT((B5:B76&gt;'VALOR POR PL'!$P$5)*H5:H76)</f>
        <v>13255230.18</v>
      </c>
      <c r="L11" s="45" t="n">
        <f aca="false">C11/IF(B11&lt;='VALOR POR PL'!$P$5,IFERROR(INDEX('"INCC-FGV"'!$B$2:$B$800,MATCH(B11,'"INCC-FGV"'!$A$2:$A$800,0)),$K$2),$K$2)</f>
        <v>185.260452401774</v>
      </c>
      <c r="M11" s="139" t="n">
        <f aca="false">'CP RESUMO'!J14</f>
        <v>0</v>
      </c>
      <c r="N11" s="140" t="n">
        <f aca="false">MAX(0,M11-M10)</f>
        <v>0</v>
      </c>
      <c r="O11" s="139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HISTORICOS'!K14)</f>
        <v>271532.86</v>
      </c>
      <c r="D12" s="45" t="n">
        <f aca="false">IF(B12&lt;='VALOR POR PL'!$P$5,0,IF($K$17&gt;0,$K$18*P12/$K$17,0))</f>
        <v>0</v>
      </c>
      <c r="E12" s="45" t="n">
        <f aca="false">L12+D12/$K$2</f>
        <v>224.320004361938</v>
      </c>
      <c r="F12" s="117" t="n">
        <f aca="false">IF($K$9=0,0,E12/$K$9)</f>
        <v>0.013434184709578</v>
      </c>
      <c r="G12" s="117" t="n">
        <f aca="false">G11+F12</f>
        <v>0.0518396084073934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224.320004361938</v>
      </c>
      <c r="M12" s="139" t="n">
        <f aca="false">'CP RESUMO'!K14</f>
        <v>0</v>
      </c>
      <c r="N12" s="140" t="n">
        <f aca="false">MAX(0,M12-M11)</f>
        <v>0</v>
      </c>
      <c r="O12" s="139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HISTORICOS'!L14)</f>
        <v>277064.12</v>
      </c>
      <c r="D13" s="45" t="n">
        <f aca="false">IF(B13&lt;='VALOR POR PL'!$P$5,0,IF($K$17&gt;0,$K$18*P13/$K$17,0))</f>
        <v>0</v>
      </c>
      <c r="E13" s="45" t="n">
        <f aca="false">L13+D13/$K$2</f>
        <v>227.716572450535</v>
      </c>
      <c r="F13" s="117" t="n">
        <f aca="false">IF($K$9=0,0,E13/$K$9)</f>
        <v>0.0136376000189288</v>
      </c>
      <c r="G13" s="117" t="n">
        <f aca="false">G12+F13</f>
        <v>0.0654772084263222</v>
      </c>
      <c r="H13" s="138"/>
      <c r="I13" s="42" t="s">
        <v>3902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227.716572450535</v>
      </c>
      <c r="M13" s="139" t="n">
        <f aca="false">'CP RESUMO'!L14</f>
        <v>0</v>
      </c>
      <c r="N13" s="140" t="n">
        <f aca="false">MAX(0,M13-M12)</f>
        <v>0</v>
      </c>
      <c r="O13" s="139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HISTORICOS'!M14)</f>
        <v>276496.21</v>
      </c>
      <c r="D14" s="45" t="n">
        <f aca="false">IF(B14&lt;='VALOR POR PL'!$P$5,0,IF($K$17&gt;0,$K$18*P14/$K$17,0))</f>
        <v>0</v>
      </c>
      <c r="E14" s="45" t="n">
        <f aca="false">L14+D14/$K$2</f>
        <v>226.869243575574</v>
      </c>
      <c r="F14" s="117" t="n">
        <f aca="false">IF($K$9=0,0,E14/$K$9)</f>
        <v>0.0135868547782252</v>
      </c>
      <c r="G14" s="117" t="n">
        <f aca="false">G13+F14</f>
        <v>0.0790640632045474</v>
      </c>
      <c r="H14" s="138"/>
      <c r="I14" s="42" t="s">
        <v>3903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226.869243575574</v>
      </c>
      <c r="M14" s="139" t="n">
        <f aca="false">'CP RESUMO'!M14</f>
        <v>0</v>
      </c>
      <c r="N14" s="140" t="n">
        <f aca="false">MAX(0,M14-M13)</f>
        <v>0</v>
      </c>
      <c r="O14" s="139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HISTORICOS'!N14)</f>
        <v>339373.99</v>
      </c>
      <c r="D15" s="45" t="n">
        <f aca="false">IF(B15&lt;='VALOR POR PL'!$P$5,0,IF($K$17&gt;0,$K$18*P15/$K$17,0))</f>
        <v>0</v>
      </c>
      <c r="E15" s="45" t="n">
        <f aca="false">L15+D15/$K$2</f>
        <v>277.63923930508</v>
      </c>
      <c r="F15" s="117" t="n">
        <f aca="false">IF($K$9=0,0,E15/$K$9)</f>
        <v>0.0166273927912068</v>
      </c>
      <c r="G15" s="117" t="n">
        <f aca="false">G14+F15</f>
        <v>0.0956914559957542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277.63923930508</v>
      </c>
      <c r="M15" s="139" t="n">
        <f aca="false">'CP RESUMO'!N14</f>
        <v>0</v>
      </c>
      <c r="N15" s="140" t="n">
        <f aca="false">MAX(0,M15-M14)</f>
        <v>0</v>
      </c>
      <c r="O15" s="139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HISTORICOS'!O14)</f>
        <v>363581.49</v>
      </c>
      <c r="D16" s="45" t="n">
        <f aca="false">IF(B16&lt;='VALOR POR PL'!$P$5,0,IF($K$17&gt;0,$K$18*P16/$K$17,0))</f>
        <v>0</v>
      </c>
      <c r="E16" s="45" t="n">
        <f aca="false">L16+D16/$K$2</f>
        <v>296.64792805024</v>
      </c>
      <c r="F16" s="117" t="n">
        <f aca="false">IF($K$9=0,0,E16/$K$9)</f>
        <v>0.0177657943190408</v>
      </c>
      <c r="G16" s="117" t="n">
        <f aca="false">G15+F16</f>
        <v>0.113457250314795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296.64792805024</v>
      </c>
      <c r="M16" s="139" t="n">
        <f aca="false">'CP RESUMO'!O14</f>
        <v>0</v>
      </c>
      <c r="N16" s="140" t="n">
        <f aca="false">MAX(0,M16-M15)</f>
        <v>0</v>
      </c>
      <c r="O16" s="139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HISTORICOS'!P14)</f>
        <v>382985.27</v>
      </c>
      <c r="D17" s="45" t="n">
        <f aca="false">IF(B17&lt;='VALOR POR PL'!$P$5,0,IF($K$17&gt;0,$K$18*P17/$K$17,0))</f>
        <v>0</v>
      </c>
      <c r="E17" s="45" t="n">
        <f aca="false">L17+D17/$K$2</f>
        <v>311.836371615774</v>
      </c>
      <c r="F17" s="117" t="n">
        <f aca="false">IF($K$9=0,0,E17/$K$9)</f>
        <v>0.0186754071593703</v>
      </c>
      <c r="G17" s="117" t="n">
        <f aca="false">G16+F17</f>
        <v>0.132132657474165</v>
      </c>
      <c r="H17" s="138"/>
      <c r="I17" s="42" t="s">
        <v>3907</v>
      </c>
      <c r="K17" s="45" t="n">
        <f aca="false">SUM(P5:P76)</f>
        <v>13255230.18</v>
      </c>
      <c r="L17" s="45" t="n">
        <f aca="false">C17/IF(B17&lt;='VALOR POR PL'!$P$5,IFERROR(INDEX('"INCC-FGV"'!$B$2:$B$800,MATCH(B17,'"INCC-FGV"'!$A$2:$A$800,0)),$K$2),$K$2)</f>
        <v>311.836371615774</v>
      </c>
      <c r="M17" s="139" t="n">
        <f aca="false">'CP RESUMO'!P14</f>
        <v>0</v>
      </c>
      <c r="N17" s="140" t="n">
        <f aca="false">MAX(0,M17-M16)</f>
        <v>0</v>
      </c>
      <c r="O17" s="139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HISTORICOS'!Q14)</f>
        <v>324044.68</v>
      </c>
      <c r="D18" s="45" t="n">
        <f aca="false">IF(B18&lt;='VALOR POR PL'!$P$5,0,IF($K$17&gt;0,$K$18*P18/$K$17,0))</f>
        <v>0</v>
      </c>
      <c r="E18" s="45" t="n">
        <f aca="false">L18+D18/$K$2</f>
        <v>261.952505828448</v>
      </c>
      <c r="F18" s="117" t="n">
        <f aca="false">IF($K$9=0,0,E18/$K$9)</f>
        <v>0.0156879381241368</v>
      </c>
      <c r="G18" s="117" t="n">
        <f aca="false">G17+F18</f>
        <v>0.147820595598302</v>
      </c>
      <c r="H18" s="138"/>
      <c r="I18" s="42" t="s">
        <v>3908</v>
      </c>
      <c r="K18" s="45" t="n">
        <f aca="false">MAX(0,K10)*$K$2</f>
        <v>15446548.6380545</v>
      </c>
      <c r="L18" s="45" t="n">
        <f aca="false">C18/IF(B18&lt;='VALOR POR PL'!$P$5,IFERROR(INDEX('"INCC-FGV"'!$B$2:$B$800,MATCH(B18,'"INCC-FGV"'!$A$2:$A$800,0)),$K$2),$K$2)</f>
        <v>261.952505828448</v>
      </c>
      <c r="M18" s="139" t="n">
        <f aca="false">'CP RESUMO'!Q14</f>
        <v>0</v>
      </c>
      <c r="N18" s="140" t="n">
        <f aca="false">MAX(0,M18-M17)</f>
        <v>0</v>
      </c>
      <c r="O18" s="139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HISTORICOS'!R14)</f>
        <v>303003.19</v>
      </c>
      <c r="D19" s="45" t="n">
        <f aca="false">IF(B19&lt;='VALOR POR PL'!$P$5,0,IF($K$17&gt;0,$K$18*P19/$K$17,0))</f>
        <v>0</v>
      </c>
      <c r="E19" s="45" t="n">
        <f aca="false">L19+D19/$K$2</f>
        <v>244.26266101617</v>
      </c>
      <c r="F19" s="117" t="n">
        <f aca="false">IF($K$9=0,0,E19/$K$9)</f>
        <v>0.0146285201584146</v>
      </c>
      <c r="G19" s="117" t="n">
        <f aca="false">G18+F19</f>
        <v>0.162449115756717</v>
      </c>
      <c r="H19" s="138"/>
      <c r="I19" s="42" t="s">
        <v>3909</v>
      </c>
      <c r="K19" s="142" t="n">
        <f aca="false">IF(AND(K16="PREVISÃO INFORMADA",K11&gt;0),K18/K11-1,"")</f>
        <v>0.165317269356877</v>
      </c>
      <c r="L19" s="45" t="n">
        <f aca="false">C19/IF(B19&lt;='VALOR POR PL'!$P$5,IFERROR(INDEX('"INCC-FGV"'!$B$2:$B$800,MATCH(B19,'"INCC-FGV"'!$A$2:$A$800,0)),$K$2),$K$2)</f>
        <v>244.26266101617</v>
      </c>
      <c r="M19" s="139" t="n">
        <f aca="false">'CP RESUMO'!R14</f>
        <v>0</v>
      </c>
      <c r="N19" s="140" t="n">
        <f aca="false">MAX(0,M19-M18)</f>
        <v>0</v>
      </c>
      <c r="O19" s="139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HISTORICOS'!S14)</f>
        <v>294497.6</v>
      </c>
      <c r="D20" s="45" t="n">
        <f aca="false">IF(B20&lt;='VALOR POR PL'!$P$5,0,IF($K$17&gt;0,$K$18*P20/$K$17,0))</f>
        <v>0</v>
      </c>
      <c r="E20" s="45" t="n">
        <f aca="false">L20+D20/$K$2</f>
        <v>236.130601733028</v>
      </c>
      <c r="F20" s="117" t="n">
        <f aca="false">IF($K$9=0,0,E20/$K$9)</f>
        <v>0.0141415034663915</v>
      </c>
      <c r="G20" s="117" t="n">
        <f aca="false">G19+F20</f>
        <v>0.176590619223108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236.130601733028</v>
      </c>
      <c r="M20" s="139" t="n">
        <f aca="false">'CP RESUMO'!S14</f>
        <v>0</v>
      </c>
      <c r="N20" s="140" t="n">
        <f aca="false">MAX(0,M20-M19)</f>
        <v>0</v>
      </c>
      <c r="O20" s="139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HISTORICOS'!T14)</f>
        <v>280936.72</v>
      </c>
      <c r="D21" s="45" t="n">
        <f aca="false">IF(B21&lt;='VALOR POR PL'!$P$5,0,IF($K$17&gt;0,$K$18*P21/$K$17,0))</f>
        <v>0</v>
      </c>
      <c r="E21" s="45" t="n">
        <f aca="false">L21+D21/$K$2</f>
        <v>223.027248795699</v>
      </c>
      <c r="F21" s="117" t="n">
        <f aca="false">IF($K$9=0,0,E21/$K$9)</f>
        <v>0.0133567635401616</v>
      </c>
      <c r="G21" s="117" t="n">
        <f aca="false">G20+F21</f>
        <v>0.18994738276327</v>
      </c>
      <c r="H21" s="138"/>
      <c r="K21" s="143"/>
      <c r="L21" s="45" t="n">
        <f aca="false">C21/IF(B21&lt;='VALOR POR PL'!$P$5,IFERROR(INDEX('"INCC-FGV"'!$B$2:$B$800,MATCH(B21,'"INCC-FGV"'!$A$2:$A$800,0)),$K$2),$K$2)</f>
        <v>223.027248795699</v>
      </c>
      <c r="M21" s="139" t="n">
        <f aca="false">'CP RESUMO'!T14</f>
        <v>0</v>
      </c>
      <c r="N21" s="140" t="n">
        <f aca="false">MAX(0,M21-M20)</f>
        <v>0</v>
      </c>
      <c r="O21" s="139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HISTORICOS'!U14)</f>
        <v>334753.8</v>
      </c>
      <c r="D22" s="45" t="n">
        <f aca="false">IF(B22&lt;='VALOR POR PL'!$P$5,0,IF($K$17&gt;0,$K$18*P22/$K$17,0))</f>
        <v>0</v>
      </c>
      <c r="E22" s="45" t="n">
        <f aca="false">L22+D22/$K$2</f>
        <v>263.441502484861</v>
      </c>
      <c r="F22" s="117" t="n">
        <f aca="false">IF($K$9=0,0,E22/$K$9)</f>
        <v>0.015777111874695</v>
      </c>
      <c r="G22" s="117" t="n">
        <f aca="false">G21+F22</f>
        <v>0.205724494637965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263.441502484861</v>
      </c>
      <c r="M22" s="139" t="n">
        <f aca="false">'CP RESUMO'!U14</f>
        <v>0</v>
      </c>
      <c r="N22" s="140" t="n">
        <f aca="false">MAX(0,M22-M21)</f>
        <v>0</v>
      </c>
      <c r="O22" s="139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HISTORICOS'!V14)</f>
        <v>338422.41</v>
      </c>
      <c r="D23" s="45" t="n">
        <f aca="false">IF(B23&lt;='VALOR POR PL'!$P$5,0,IF($K$17&gt;0,$K$18*P23/$K$17,0))</f>
        <v>0</v>
      </c>
      <c r="E23" s="45" t="n">
        <f aca="false">L23+D23/$K$2</f>
        <v>264.260171273604</v>
      </c>
      <c r="F23" s="117" t="n">
        <f aca="false">IF($K$9=0,0,E23/$K$9)</f>
        <v>0.0158261407063199</v>
      </c>
      <c r="G23" s="117" t="n">
        <f aca="false">G22+F23</f>
        <v>0.221550635344285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264.260171273604</v>
      </c>
      <c r="M23" s="139" t="n">
        <f aca="false">'CP RESUMO'!V14</f>
        <v>0</v>
      </c>
      <c r="N23" s="140" t="n">
        <f aca="false">MAX(0,M23-M22)</f>
        <v>0</v>
      </c>
      <c r="O23" s="139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HISTORICOS'!W14)</f>
        <v>338968.52</v>
      </c>
      <c r="D24" s="45" t="n">
        <f aca="false">IF(B24&lt;='VALOR POR PL'!$P$5,0,IF($K$17&gt;0,$K$18*P24/$K$17,0))</f>
        <v>0</v>
      </c>
      <c r="E24" s="45" t="n">
        <f aca="false">L24+D24/$K$2</f>
        <v>263.086280910658</v>
      </c>
      <c r="F24" s="117" t="n">
        <f aca="false">IF($K$9=0,0,E24/$K$9)</f>
        <v>0.0157558381935793</v>
      </c>
      <c r="G24" s="117" t="n">
        <f aca="false">G23+F24</f>
        <v>0.237306473537864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263.086280910658</v>
      </c>
      <c r="M24" s="139" t="n">
        <f aca="false">'CP RESUMO'!W14</f>
        <v>0</v>
      </c>
      <c r="N24" s="140" t="n">
        <f aca="false">MAX(0,M24-M23)</f>
        <v>0</v>
      </c>
      <c r="O24" s="139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HISTORICOS'!X14)</f>
        <v>388922.2</v>
      </c>
      <c r="D25" s="45" t="n">
        <f aca="false">IF(B25&lt;='VALOR POR PL'!$P$5,0,IF($K$17&gt;0,$K$18*P25/$K$17,0))</f>
        <v>0</v>
      </c>
      <c r="E25" s="45" t="n">
        <f aca="false">L25+D25/$K$2</f>
        <v>299.888579516057</v>
      </c>
      <c r="F25" s="117" t="n">
        <f aca="false">IF($K$9=0,0,E25/$K$9)</f>
        <v>0.0179598720184194</v>
      </c>
      <c r="G25" s="117" t="n">
        <f aca="false">G24+F25</f>
        <v>0.255266345556283</v>
      </c>
      <c r="H25" s="138"/>
      <c r="L25" s="45" t="n">
        <f aca="false">C25/IF(B25&lt;='VALOR POR PL'!$P$5,IFERROR(INDEX('"INCC-FGV"'!$B$2:$B$800,MATCH(B25,'"INCC-FGV"'!$A$2:$A$800,0)),$K$2),$K$2)</f>
        <v>299.888579516057</v>
      </c>
      <c r="M25" s="139" t="n">
        <f aca="false">'CP RESUMO'!X14</f>
        <v>0</v>
      </c>
      <c r="N25" s="140" t="n">
        <f aca="false">MAX(0,M25-M24)</f>
        <v>0</v>
      </c>
      <c r="O25" s="139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HISTORICOS'!Y14)</f>
        <v>362747</v>
      </c>
      <c r="D26" s="45" t="n">
        <f aca="false">IF(B26&lt;='VALOR POR PL'!$P$5,0,IF($K$17&gt;0,$K$18*P26/$K$17,0))</f>
        <v>0</v>
      </c>
      <c r="E26" s="45" t="n">
        <f aca="false">L26+D26/$K$2</f>
        <v>279.091542783106</v>
      </c>
      <c r="F26" s="117" t="n">
        <f aca="false">IF($K$9=0,0,E26/$K$9)</f>
        <v>0.0167143690429846</v>
      </c>
      <c r="G26" s="117" t="n">
        <f aca="false">G25+F26</f>
        <v>0.271980714599268</v>
      </c>
      <c r="H26" s="138" t="n">
        <v>230233.71</v>
      </c>
      <c r="L26" s="45" t="n">
        <f aca="false">C26/IF(B26&lt;='VALOR POR PL'!$P$5,IFERROR(INDEX('"INCC-FGV"'!$B$2:$B$800,MATCH(B26,'"INCC-FGV"'!$A$2:$A$800,0)),$K$2),$K$2)</f>
        <v>279.091542783106</v>
      </c>
      <c r="M26" s="139" t="n">
        <f aca="false">'CP RESUMO'!Y14</f>
        <v>0</v>
      </c>
      <c r="N26" s="140" t="n">
        <f aca="false">MAX(0,M26-M25)</f>
        <v>0</v>
      </c>
      <c r="O26" s="139" t="n">
        <f aca="false">IF(B26&lt;='VALOR POR PL'!$P$5,'CP RESUMO'!Y56,"")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HISTORICOS'!Z14)</f>
        <v>185473.02</v>
      </c>
      <c r="D27" s="45" t="n">
        <f aca="false">IF(B27&lt;='VALOR POR PL'!$P$5,0,IF($K$17&gt;0,$K$18*P27/$K$17,0))</f>
        <v>363190.890775959</v>
      </c>
      <c r="E27" s="45" t="n">
        <f aca="false">L27+D27/$K$2</f>
        <v>422.132939287919</v>
      </c>
      <c r="F27" s="117" t="n">
        <f aca="false">IF($K$9=0,0,E27/$K$9)</f>
        <v>0.0252809012487396</v>
      </c>
      <c r="G27" s="117" t="n">
        <f aca="false">G26+F27</f>
        <v>0.297261615848008</v>
      </c>
      <c r="H27" s="138" t="n">
        <v>311666.96</v>
      </c>
      <c r="L27" s="45" t="n">
        <f aca="false">C27/IF(B27&lt;='VALOR POR PL'!$P$5,IFERROR(INDEX('"INCC-FGV"'!$B$2:$B$800,MATCH(B27,'"INCC-FGV"'!$A$2:$A$800,0)),$K$2),$K$2)</f>
        <v>142.699874282742</v>
      </c>
      <c r="M27" s="139" t="n">
        <f aca="false">'CP RESUMO'!Z14</f>
        <v>0</v>
      </c>
      <c r="N27" s="140" t="n">
        <f aca="false">MAX(0,M27-M26)</f>
        <v>0</v>
      </c>
      <c r="O27" s="139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311666.96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HISTORICOS'!AA14)</f>
        <v>80478.41</v>
      </c>
      <c r="D28" s="45" t="n">
        <f aca="false">IF(B28&lt;='VALOR POR PL'!$P$5,0,IF($K$17&gt;0,$K$18*P28/$K$17,0))</f>
        <v>458710.793681045</v>
      </c>
      <c r="E28" s="45" t="n">
        <f aca="false">L28+D28/$K$2</f>
        <v>414.84325633937</v>
      </c>
      <c r="F28" s="117" t="n">
        <f aca="false">IF($K$9=0,0,E28/$K$9)</f>
        <v>0.0248443331972917</v>
      </c>
      <c r="G28" s="117" t="n">
        <f aca="false">G27+F28</f>
        <v>0.322105949045299</v>
      </c>
      <c r="H28" s="138" t="n">
        <v>393635.97</v>
      </c>
      <c r="L28" s="45" t="n">
        <f aca="false">C28/IF(B28&lt;='VALOR POR PL'!$P$5,IFERROR(INDEX('"INCC-FGV"'!$B$2:$B$800,MATCH(B28,'"INCC-FGV"'!$A$2:$A$800,0)),$K$2),$K$2)</f>
        <v>61.9187577226865</v>
      </c>
      <c r="M28" s="139" t="n">
        <f aca="false">'CP RESUMO'!AA14</f>
        <v>0</v>
      </c>
      <c r="N28" s="140" t="n">
        <f aca="false">MAX(0,M28-M27)</f>
        <v>0</v>
      </c>
      <c r="O28" s="139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393635.97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HISTORICOS'!AB14)</f>
        <v>76889.41</v>
      </c>
      <c r="D29" s="45" t="n">
        <f aca="false">IF(B29&lt;='VALOR POR PL'!$P$5,0,IF($K$17&gt;0,$K$18*P29/$K$17,0))</f>
        <v>543789.255748759</v>
      </c>
      <c r="E29" s="45" t="n">
        <f aca="false">L29+D29/$K$2</f>
        <v>477.539900802435</v>
      </c>
      <c r="F29" s="117" t="n">
        <f aca="false">IF($K$9=0,0,E29/$K$9)</f>
        <v>0.028599140107105</v>
      </c>
      <c r="G29" s="117" t="n">
        <f aca="false">G28+F29</f>
        <v>0.350705089152404</v>
      </c>
      <c r="H29" s="138" t="n">
        <v>466644.81</v>
      </c>
      <c r="L29" s="45" t="n">
        <f aca="false">C29/IF(B29&lt;='VALOR POR PL'!$P$5,IFERROR(INDEX('"INCC-FGV"'!$B$2:$B$800,MATCH(B29,'"INCC-FGV"'!$A$2:$A$800,0)),$K$2),$K$2)</f>
        <v>59.1574404766484</v>
      </c>
      <c r="M29" s="139" t="n">
        <f aca="false">'CP RESUMO'!AB14</f>
        <v>0</v>
      </c>
      <c r="N29" s="140" t="n">
        <f aca="false">MAX(0,M29-M28)</f>
        <v>0</v>
      </c>
      <c r="O29" s="139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466644.81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HISTORICOS'!AC14)</f>
        <v>0</v>
      </c>
      <c r="D30" s="45" t="n">
        <f aca="false">IF(B30&lt;='VALOR POR PL'!$P$5,0,IF($K$17&gt;0,$K$18*P30/$K$17,0))</f>
        <v>549860.150861064</v>
      </c>
      <c r="E30" s="45" t="n">
        <f aca="false">L30+D30/$K$2</f>
        <v>423.053306626287</v>
      </c>
      <c r="F30" s="117" t="n">
        <f aca="false">IF($K$9=0,0,E30/$K$9)</f>
        <v>0.0253360206521983</v>
      </c>
      <c r="G30" s="117" t="n">
        <f aca="false">G29+F30</f>
        <v>0.376041109804602</v>
      </c>
      <c r="H30" s="138" t="n">
        <v>471854.46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RESUMO'!AC14</f>
        <v>0</v>
      </c>
      <c r="N30" s="140" t="n">
        <f aca="false">MAX(0,M30-M29)</f>
        <v>0</v>
      </c>
      <c r="O30" s="139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471854.46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HISTORICOS'!AD14)</f>
        <v>0</v>
      </c>
      <c r="D31" s="45" t="n">
        <f aca="false">IF(B31&lt;='VALOR POR PL'!$P$5,0,IF($K$17&gt;0,$K$18*P31/$K$17,0))</f>
        <v>485983.459538857</v>
      </c>
      <c r="E31" s="45" t="n">
        <f aca="false">L31+D31/$K$2</f>
        <v>373.907636699327</v>
      </c>
      <c r="F31" s="117" t="n">
        <f aca="false">IF($K$9=0,0,E31/$K$9)</f>
        <v>0.0223927610470074</v>
      </c>
      <c r="G31" s="117" t="n">
        <f aca="false">G30+F31</f>
        <v>0.39843387085161</v>
      </c>
      <c r="H31" s="138" t="n">
        <v>417039.61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RESUMO'!AD14</f>
        <v>0</v>
      </c>
      <c r="N31" s="140" t="n">
        <f aca="false">MAX(0,M31-M30)</f>
        <v>0</v>
      </c>
      <c r="O31" s="139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417039.61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HISTORICOS'!AE14)</f>
        <v>1253.15</v>
      </c>
      <c r="D32" s="45" t="n">
        <f aca="false">IF(B32&lt;='VALOR POR PL'!$P$5,0,IF($K$17&gt;0,$K$18*P32/$K$17,0))</f>
        <v>485983.459538857</v>
      </c>
      <c r="E32" s="45" t="n">
        <f aca="false">L32+D32/$K$2</f>
        <v>374.871789585054</v>
      </c>
      <c r="F32" s="117" t="n">
        <f aca="false">IF($K$9=0,0,E32/$K$9)</f>
        <v>0.0224505027004635</v>
      </c>
      <c r="G32" s="117" t="n">
        <f aca="false">G31+F32</f>
        <v>0.420884373552073</v>
      </c>
      <c r="H32" s="138" t="n">
        <v>417039.61</v>
      </c>
      <c r="L32" s="45" t="n">
        <f aca="false">C32/IF(B32&lt;='VALOR POR PL'!$P$5,IFERROR(INDEX('"INCC-FGV"'!$B$2:$B$800,MATCH(B32,'"INCC-FGV"'!$A$2:$A$800,0)),$K$2),$K$2)</f>
        <v>0.964152885726552</v>
      </c>
      <c r="M32" s="139" t="n">
        <f aca="false">'CP RESUMO'!AE14</f>
        <v>0</v>
      </c>
      <c r="N32" s="140" t="n">
        <f aca="false">MAX(0,M32-M31)</f>
        <v>0</v>
      </c>
      <c r="O32" s="139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417039.61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463392.071255988</v>
      </c>
      <c r="E33" s="45" t="n">
        <f aca="false">L33+D33/$K$2</f>
        <v>356.526196165076</v>
      </c>
      <c r="F33" s="117" t="n">
        <f aca="false">IF($K$9=0,0,E33/$K$9)</f>
        <v>0.021351812945567</v>
      </c>
      <c r="G33" s="117" t="n">
        <f aca="false">G32+F33</f>
        <v>0.44223618649764</v>
      </c>
      <c r="H33" s="138" t="n">
        <v>397653.14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RESUMO'!AF14</f>
        <v>0</v>
      </c>
      <c r="N33" s="140" t="n">
        <f aca="false">MAX(0,M33-M32)</f>
        <v>0</v>
      </c>
      <c r="O33" s="139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397653.14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463392.071255988</v>
      </c>
      <c r="E34" s="45" t="n">
        <f aca="false">L34+D34/$K$2</f>
        <v>356.526196165076</v>
      </c>
      <c r="F34" s="117" t="n">
        <f aca="false">IF($K$9=0,0,E34/$K$9)</f>
        <v>0.021351812945567</v>
      </c>
      <c r="G34" s="117" t="n">
        <f aca="false">G33+F34</f>
        <v>0.463587999443207</v>
      </c>
      <c r="H34" s="138" t="n">
        <v>397653.14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RESUMO'!AG14</f>
        <v>0</v>
      </c>
      <c r="N34" s="140" t="n">
        <f aca="false">MAX(0,M34-M33)</f>
        <v>0</v>
      </c>
      <c r="O34" s="139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397653.14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463392.071255988</v>
      </c>
      <c r="E35" s="45" t="n">
        <f aca="false">L35+D35/$K$2</f>
        <v>356.526196165076</v>
      </c>
      <c r="F35" s="117" t="n">
        <f aca="false">IF($K$9=0,0,E35/$K$9)</f>
        <v>0.021351812945567</v>
      </c>
      <c r="G35" s="117" t="n">
        <f aca="false">G34+F35</f>
        <v>0.484939812388774</v>
      </c>
      <c r="H35" s="138" t="n">
        <v>397653.14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RESUMO'!AH14</f>
        <v>0</v>
      </c>
      <c r="N35" s="140" t="n">
        <f aca="false">MAX(0,M35-M34)</f>
        <v>0</v>
      </c>
      <c r="O35" s="139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397653.14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HISTORICOS'!AI14)</f>
        <v>0</v>
      </c>
      <c r="D36" s="45" t="n">
        <f aca="false">IF(B36&lt;='VALOR POR PL'!$P$5,0,IF($K$17&gt;0,$K$18*P36/$K$17,0))</f>
        <v>466186.362229833</v>
      </c>
      <c r="E36" s="45" t="n">
        <f aca="false">L36+D36/$K$2</f>
        <v>358.676077429085</v>
      </c>
      <c r="F36" s="117" t="n">
        <f aca="false">IF($K$9=0,0,E36/$K$9)</f>
        <v>0.0214805660725407</v>
      </c>
      <c r="G36" s="117" t="n">
        <f aca="false">G35+F36</f>
        <v>0.506420378461315</v>
      </c>
      <c r="H36" s="138" t="n">
        <v>400051.02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RESUMO'!AI14</f>
        <v>0</v>
      </c>
      <c r="N36" s="140" t="n">
        <f aca="false">MAX(0,M36-M35)</f>
        <v>0</v>
      </c>
      <c r="O36" s="139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400051.02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466186.362229833</v>
      </c>
      <c r="E37" s="45" t="n">
        <f aca="false">L37+D37/$K$2</f>
        <v>358.676077429085</v>
      </c>
      <c r="F37" s="117" t="n">
        <f aca="false">IF($K$9=0,0,E37/$K$9)</f>
        <v>0.0214805660725407</v>
      </c>
      <c r="G37" s="117" t="n">
        <f aca="false">G36+F37</f>
        <v>0.527900944533856</v>
      </c>
      <c r="H37" s="138" t="n">
        <v>400051.02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RESUMO'!AJ14</f>
        <v>0</v>
      </c>
      <c r="N37" s="140" t="n">
        <f aca="false">MAX(0,M37-M36)</f>
        <v>0</v>
      </c>
      <c r="O37" s="139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400051.02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466186.362229833</v>
      </c>
      <c r="E38" s="45" t="n">
        <f aca="false">L38+D38/$K$2</f>
        <v>358.676077429085</v>
      </c>
      <c r="F38" s="117" t="n">
        <f aca="false">IF($K$9=0,0,E38/$K$9)</f>
        <v>0.0214805660725407</v>
      </c>
      <c r="G38" s="117" t="n">
        <f aca="false">G37+F38</f>
        <v>0.549381510606396</v>
      </c>
      <c r="H38" s="138" t="n">
        <v>400051.02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RESUMO'!AK14</f>
        <v>0</v>
      </c>
      <c r="N38" s="140" t="n">
        <f aca="false">MAX(0,M38-M37)</f>
        <v>0</v>
      </c>
      <c r="O38" s="139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400051.02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HISTORICOS'!AL14)</f>
        <v>1511.82</v>
      </c>
      <c r="D39" s="45" t="n">
        <f aca="false">IF(B39&lt;='VALOR POR PL'!$P$5,0,IF($K$17&gt;0,$K$18*P39/$K$17,0))</f>
        <v>445018.339072448</v>
      </c>
      <c r="E39" s="45" t="n">
        <f aca="false">L39+D39/$K$2</f>
        <v>343.552919789041</v>
      </c>
      <c r="F39" s="117" t="n">
        <f aca="false">IF($K$9=0,0,E39/$K$9)</f>
        <v>0.0205748631072331</v>
      </c>
      <c r="G39" s="117" t="n">
        <f aca="false">G38+F39</f>
        <v>0.569956373713629</v>
      </c>
      <c r="H39" s="138" t="n">
        <v>381885.99</v>
      </c>
      <c r="L39" s="45" t="n">
        <f aca="false">C39/IF(B39&lt;='VALOR POR PL'!$P$5,IFERROR(INDEX('"INCC-FGV"'!$B$2:$B$800,MATCH(B39,'"INCC-FGV"'!$A$2:$A$800,0)),$K$2),$K$2)</f>
        <v>1.1631693059084</v>
      </c>
      <c r="M39" s="139" t="n">
        <f aca="false">'CP RESUMO'!AL14</f>
        <v>0</v>
      </c>
      <c r="N39" s="140" t="n">
        <f aca="false">MAX(0,M39-M38)</f>
        <v>0</v>
      </c>
      <c r="O39" s="139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381885.99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HISTORICOS'!AM14)</f>
        <v>230.44</v>
      </c>
      <c r="D40" s="45" t="n">
        <f aca="false">IF(B40&lt;='VALOR POR PL'!$P$5,0,IF($K$17&gt;0,$K$18*P40/$K$17,0))</f>
        <v>515498.743522027</v>
      </c>
      <c r="E40" s="45" t="n">
        <f aca="false">L40+D40/$K$2</f>
        <v>396.793504804821</v>
      </c>
      <c r="F40" s="117" t="n">
        <f aca="false">IF($K$9=0,0,E40/$K$9)</f>
        <v>0.0237633609640446</v>
      </c>
      <c r="G40" s="117" t="n">
        <f aca="false">G39+F40</f>
        <v>0.593719734677674</v>
      </c>
      <c r="H40" s="138" t="n">
        <v>442367.72</v>
      </c>
      <c r="L40" s="45" t="n">
        <f aca="false">C40/IF(B40&lt;='VALOR POR PL'!$P$5,IFERROR(INDEX('"INCC-FGV"'!$B$2:$B$800,MATCH(B40,'"INCC-FGV"'!$A$2:$A$800,0)),$K$2),$K$2)</f>
        <v>0.177296725042355</v>
      </c>
      <c r="M40" s="139" t="n">
        <f aca="false">'CP RESUMO'!AM14</f>
        <v>0</v>
      </c>
      <c r="N40" s="140" t="n">
        <f aca="false">MAX(0,M40-M39)</f>
        <v>0</v>
      </c>
      <c r="O40" s="139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442367.72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HISTORICOS'!AN14)</f>
        <v>0</v>
      </c>
      <c r="D41" s="45" t="n">
        <f aca="false">IF(B41&lt;='VALOR POR PL'!$P$5,0,IF($K$17&gt;0,$K$18*P41/$K$17,0))</f>
        <v>515767.279233578</v>
      </c>
      <c r="E41" s="45" t="n">
        <f aca="false">L41+D41/$K$2</f>
        <v>396.822815015271</v>
      </c>
      <c r="F41" s="117" t="n">
        <f aca="false">IF($K$9=0,0,E41/$K$9)</f>
        <v>0.0237651163080772</v>
      </c>
      <c r="G41" s="117" t="n">
        <f aca="false">G40+F41</f>
        <v>0.617484850985751</v>
      </c>
      <c r="H41" s="138" t="n">
        <v>442598.16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RESUMO'!AN14</f>
        <v>0</v>
      </c>
      <c r="N41" s="140" t="n">
        <f aca="false">MAX(0,M41-M40)</f>
        <v>0</v>
      </c>
      <c r="O41" s="139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442598.16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451428.434735517</v>
      </c>
      <c r="E42" s="45" t="n">
        <f aca="false">L42+D42/$K$2</f>
        <v>347.321572077779</v>
      </c>
      <c r="F42" s="117" t="n">
        <f aca="false">IF($K$9=0,0,E42/$K$9)</f>
        <v>0.0208005619747821</v>
      </c>
      <c r="G42" s="117" t="n">
        <f aca="false">G41+F42</f>
        <v>0.638285412960533</v>
      </c>
      <c r="H42" s="138" t="n">
        <v>387386.72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RESUMO'!AO14</f>
        <v>0</v>
      </c>
      <c r="N42" s="140" t="n">
        <f aca="false">MAX(0,M42-M41)</f>
        <v>0</v>
      </c>
      <c r="O42" s="139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387386.72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451428.434735517</v>
      </c>
      <c r="E43" s="45" t="n">
        <f aca="false">L43+D43/$K$2</f>
        <v>347.321572077779</v>
      </c>
      <c r="F43" s="117" t="n">
        <f aca="false">IF($K$9=0,0,E43/$K$9)</f>
        <v>0.0208005619747821</v>
      </c>
      <c r="G43" s="117" t="n">
        <f aca="false">G42+F43</f>
        <v>0.659085974935316</v>
      </c>
      <c r="H43" s="138" t="n">
        <v>387386.72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RESUMO'!AP14</f>
        <v>0</v>
      </c>
      <c r="N43" s="140" t="n">
        <f aca="false">MAX(0,M43-M42)</f>
        <v>0</v>
      </c>
      <c r="O43" s="139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387386.72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445137.283006131</v>
      </c>
      <c r="E44" s="45" t="n">
        <f aca="false">L44+D44/$K$2</f>
        <v>342.481263978644</v>
      </c>
      <c r="F44" s="117" t="n">
        <f aca="false">IF($K$9=0,0,E44/$K$9)</f>
        <v>0.0205106832667284</v>
      </c>
      <c r="G44" s="117" t="n">
        <f aca="false">G43+F44</f>
        <v>0.679596658202044</v>
      </c>
      <c r="H44" s="138" t="n">
        <v>381988.06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RESUMO'!AQ14</f>
        <v>0</v>
      </c>
      <c r="N44" s="140" t="n">
        <f aca="false">MAX(0,M44-M43)</f>
        <v>0</v>
      </c>
      <c r="O44" s="139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381988.06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445137.283006131</v>
      </c>
      <c r="E45" s="45" t="n">
        <f aca="false">L45+D45/$K$2</f>
        <v>342.481263978644</v>
      </c>
      <c r="F45" s="117" t="n">
        <f aca="false">IF($K$9=0,0,E45/$K$9)</f>
        <v>0.0205106832667284</v>
      </c>
      <c r="G45" s="117" t="n">
        <f aca="false">G44+F45</f>
        <v>0.700107341468772</v>
      </c>
      <c r="H45" s="138" t="n">
        <v>381988.06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RESUMO'!AR14</f>
        <v>0</v>
      </c>
      <c r="N45" s="140" t="n">
        <f aca="false">MAX(0,M45-M44)</f>
        <v>0</v>
      </c>
      <c r="O45" s="139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381988.06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445137.283006131</v>
      </c>
      <c r="E46" s="45" t="n">
        <f aca="false">L46+D46/$K$2</f>
        <v>342.481263978644</v>
      </c>
      <c r="F46" s="117" t="n">
        <f aca="false">IF($K$9=0,0,E46/$K$9)</f>
        <v>0.0205106832667284</v>
      </c>
      <c r="G46" s="117" t="n">
        <f aca="false">G45+F46</f>
        <v>0.720618024735501</v>
      </c>
      <c r="H46" s="138" t="n">
        <v>381988.06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RESUMO'!AS14</f>
        <v>0</v>
      </c>
      <c r="N46" s="140" t="n">
        <f aca="false">MAX(0,M46-M45)</f>
        <v>0</v>
      </c>
      <c r="O46" s="139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381988.06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445137.283006131</v>
      </c>
      <c r="E47" s="45" t="n">
        <f aca="false">L47+D47/$K$2</f>
        <v>342.481263978644</v>
      </c>
      <c r="F47" s="117" t="n">
        <f aca="false">IF($K$9=0,0,E47/$K$9)</f>
        <v>0.0205106832667284</v>
      </c>
      <c r="G47" s="117" t="n">
        <f aca="false">G46+F47</f>
        <v>0.741128708002229</v>
      </c>
      <c r="H47" s="138" t="n">
        <v>381988.06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RESUMO'!AT14</f>
        <v>0</v>
      </c>
      <c r="N47" s="140" t="n">
        <f aca="false">MAX(0,M47-M46)</f>
        <v>0</v>
      </c>
      <c r="O47" s="139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381988.06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445137.283006131</v>
      </c>
      <c r="E48" s="45" t="n">
        <f aca="false">L48+D48/$K$2</f>
        <v>342.481263978644</v>
      </c>
      <c r="F48" s="117" t="n">
        <f aca="false">IF($K$9=0,0,E48/$K$9)</f>
        <v>0.0205106832667284</v>
      </c>
      <c r="G48" s="117" t="n">
        <f aca="false">G47+F48</f>
        <v>0.761639391268958</v>
      </c>
      <c r="H48" s="138" t="n">
        <v>381988.06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RESUMO'!AU14</f>
        <v>0</v>
      </c>
      <c r="N48" s="140" t="n">
        <f aca="false">MAX(0,M48-M47)</f>
        <v>0</v>
      </c>
      <c r="O48" s="139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381988.06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445137.283006131</v>
      </c>
      <c r="E49" s="45" t="n">
        <f aca="false">L49+D49/$K$2</f>
        <v>342.481263978644</v>
      </c>
      <c r="F49" s="117" t="n">
        <f aca="false">IF($K$9=0,0,E49/$K$9)</f>
        <v>0.0205106832667284</v>
      </c>
      <c r="G49" s="117" t="n">
        <f aca="false">G48+F49</f>
        <v>0.782150074535686</v>
      </c>
      <c r="H49" s="138" t="n">
        <v>381988.06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RESUMO'!AV14</f>
        <v>0</v>
      </c>
      <c r="N49" s="140" t="n">
        <f aca="false">MAX(0,M49-M48)</f>
        <v>0</v>
      </c>
      <c r="O49" s="139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381988.06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445137.283006131</v>
      </c>
      <c r="E50" s="45" t="n">
        <f aca="false">L50+D50/$K$2</f>
        <v>342.481263978644</v>
      </c>
      <c r="F50" s="117" t="n">
        <f aca="false">IF($K$9=0,0,E50/$K$9)</f>
        <v>0.0205106832667284</v>
      </c>
      <c r="G50" s="117" t="n">
        <f aca="false">G49+F50</f>
        <v>0.802660757802415</v>
      </c>
      <c r="H50" s="138" t="n">
        <v>381988.06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RESUMO'!AW14</f>
        <v>0</v>
      </c>
      <c r="N50" s="140" t="n">
        <f aca="false">MAX(0,M50-M49)</f>
        <v>0</v>
      </c>
      <c r="O50" s="139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381988.06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433869.993473137</v>
      </c>
      <c r="E51" s="45" t="n">
        <f aca="false">L51+D51/$K$2</f>
        <v>333.812397747504</v>
      </c>
      <c r="F51" s="117" t="n">
        <f aca="false">IF($K$9=0,0,E51/$K$9)</f>
        <v>0.0199915180210651</v>
      </c>
      <c r="G51" s="117" t="n">
        <f aca="false">G50+F51</f>
        <v>0.82265227582348</v>
      </c>
      <c r="H51" s="138" t="n">
        <v>372319.2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RESUMO'!AX14</f>
        <v>0</v>
      </c>
      <c r="N51" s="140" t="n">
        <f aca="false">MAX(0,M51-M50)</f>
        <v>0</v>
      </c>
      <c r="O51" s="139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372319.2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510345.594025204</v>
      </c>
      <c r="E52" s="45" t="n">
        <f aca="false">L52+D52/$K$2</f>
        <v>392.651460078388</v>
      </c>
      <c r="F52" s="117" t="n">
        <f aca="false">IF($K$9=0,0,E52/$K$9)</f>
        <v>0.0235153001899352</v>
      </c>
      <c r="G52" s="117" t="n">
        <f aca="false">G51+F52</f>
        <v>0.846167576013415</v>
      </c>
      <c r="H52" s="138" t="n">
        <v>437945.62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RESUMO'!AY14</f>
        <v>0</v>
      </c>
      <c r="N52" s="140" t="n">
        <f aca="false">MAX(0,M52-M51)</f>
        <v>0</v>
      </c>
      <c r="O52" s="139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437945.62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510345.594025204</v>
      </c>
      <c r="E53" s="45" t="n">
        <f aca="false">L53+D53/$K$2</f>
        <v>392.651460078388</v>
      </c>
      <c r="F53" s="117" t="n">
        <f aca="false">IF($K$9=0,0,E53/$K$9)</f>
        <v>0.0235153001899352</v>
      </c>
      <c r="G53" s="117" t="n">
        <f aca="false">G52+F53</f>
        <v>0.86968287620335</v>
      </c>
      <c r="H53" s="138" t="n">
        <v>437945.62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RESUMO'!AZ14</f>
        <v>0</v>
      </c>
      <c r="N53" s="140" t="n">
        <f aca="false">MAX(0,M53-M52)</f>
        <v>0</v>
      </c>
      <c r="O53" s="139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437945.62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219467.907046897</v>
      </c>
      <c r="E54" s="45" t="n">
        <f aca="false">L54+D54/$K$2</f>
        <v>168.854978177898</v>
      </c>
      <c r="F54" s="117" t="n">
        <f aca="false">IF($K$9=0,0,E54/$K$9)</f>
        <v>0.0101124684462539</v>
      </c>
      <c r="G54" s="117" t="n">
        <f aca="false">G53+F54</f>
        <v>0.879795344649604</v>
      </c>
      <c r="H54" s="138" t="n">
        <v>188333.18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RESUMO'!BA14</f>
        <v>0</v>
      </c>
      <c r="N54" s="140" t="n">
        <f aca="false">MAX(0,M54-M53)</f>
        <v>0</v>
      </c>
      <c r="O54" s="139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188333.18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214425.346158936</v>
      </c>
      <c r="E55" s="45" t="n">
        <f aca="false">L55+D55/$K$2</f>
        <v>164.97531522328</v>
      </c>
      <c r="F55" s="117" t="n">
        <f aca="false">IF($K$9=0,0,E55/$K$9)</f>
        <v>0.00988012131835734</v>
      </c>
      <c r="G55" s="117" t="n">
        <f aca="false">G54+F55</f>
        <v>0.889675465967961</v>
      </c>
      <c r="H55" s="138" t="n">
        <v>184005.98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RESUMO'!BB14</f>
        <v>0</v>
      </c>
      <c r="N55" s="140" t="n">
        <f aca="false">MAX(0,M55-M54)</f>
        <v>0</v>
      </c>
      <c r="O55" s="139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184005.98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23869.9394312893</v>
      </c>
      <c r="E56" s="45" t="n">
        <f aca="false">L56+D56/$K$2</f>
        <v>18.3651366434949</v>
      </c>
      <c r="F56" s="117" t="n">
        <f aca="false">IF($K$9=0,0,E56/$K$9)</f>
        <v>0.0010998601689008</v>
      </c>
      <c r="G56" s="117" t="n">
        <f aca="false">G55+F56</f>
        <v>0.890775326136862</v>
      </c>
      <c r="H56" s="138" t="n">
        <v>20483.64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RESUMO'!BC14</f>
        <v>0</v>
      </c>
      <c r="N56" s="140" t="n">
        <f aca="false">MAX(0,M56-M55)</f>
        <v>0</v>
      </c>
      <c r="O56" s="139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20483.64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1735736.62336795</v>
      </c>
      <c r="E57" s="45" t="n">
        <f aca="false">L57+D57/$K$2</f>
        <v>1335.44705285199</v>
      </c>
      <c r="F57" s="117" t="n">
        <f aca="false">IF($K$9=0,0,E57/$K$9)</f>
        <v>0.0799778977755731</v>
      </c>
      <c r="G57" s="117" t="n">
        <f aca="false">G56+F57</f>
        <v>0.970753223912435</v>
      </c>
      <c r="H57" s="138" t="n">
        <v>1489497.04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RESUMO'!BD14</f>
        <v>0</v>
      </c>
      <c r="N57" s="140" t="n">
        <f aca="false">MAX(0,M57-M56)</f>
        <v>0</v>
      </c>
      <c r="O57" s="139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1489497.04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0.970753223912435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RESUMO'!BE14</f>
        <v>0</v>
      </c>
      <c r="N58" s="140" t="n">
        <f aca="false">MAX(0,M58-M57)</f>
        <v>0</v>
      </c>
      <c r="O58" s="139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627132.117581837</v>
      </c>
      <c r="E59" s="45" t="n">
        <f aca="false">L59+D59/$K$2</f>
        <v>482.505079917274</v>
      </c>
      <c r="F59" s="117" t="n">
        <f aca="false">IF($K$9=0,0,E59/$K$9)</f>
        <v>0.0288964971508275</v>
      </c>
      <c r="G59" s="117" t="n">
        <f aca="false">G58+F59</f>
        <v>0.999649721063263</v>
      </c>
      <c r="H59" s="138" t="n">
        <v>538164.27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RESUMO'!BF14</f>
        <v>0</v>
      </c>
      <c r="N59" s="140" t="n">
        <f aca="false">MAX(0,M59-M58)</f>
        <v>0</v>
      </c>
      <c r="O59" s="139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538164.27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0.999649721063263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RESUMO'!BG14</f>
        <v>0</v>
      </c>
      <c r="N60" s="140" t="n">
        <f aca="false">MAX(0,M60-M59)</f>
        <v>0</v>
      </c>
      <c r="O60" s="139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0.999649721063263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RESUMO'!BH14</f>
        <v>0</v>
      </c>
      <c r="N61" s="140" t="n">
        <f aca="false">MAX(0,M61-M60)</f>
        <v>0</v>
      </c>
      <c r="O61" s="139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HISTORICOS'!BI14)</f>
        <v>7602</v>
      </c>
      <c r="D62" s="45" t="n">
        <f aca="false">IF(B62&lt;='VALOR POR PL'!$P$5,0,IF($K$17&gt;0,$K$18*P62/$K$17,0))</f>
        <v>0</v>
      </c>
      <c r="E62" s="45" t="n">
        <f aca="false">L62+D62/$K$2</f>
        <v>5.84885308007281</v>
      </c>
      <c r="F62" s="117" t="n">
        <f aca="false">IF($K$9=0,0,E62/$K$9)</f>
        <v>0.00035027893673764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5.84885308007281</v>
      </c>
      <c r="M62" s="139" t="n">
        <f aca="false">'CP RESUMO'!BI14</f>
        <v>0</v>
      </c>
      <c r="N62" s="140" t="n">
        <f aca="false">MAX(0,M62-M61)</f>
        <v>0</v>
      </c>
      <c r="O62" s="139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RESUMO'!BJ14</f>
        <v>0</v>
      </c>
      <c r="N63" s="140" t="n">
        <f aca="false">MAX(0,M63-M62)</f>
        <v>0</v>
      </c>
      <c r="O63" s="139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RESUMO'!BK14</f>
        <v>0</v>
      </c>
      <c r="N64" s="140" t="n">
        <f aca="false">MAX(0,M64-M63)</f>
        <v>0</v>
      </c>
      <c r="O64" s="139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RESUMO'!BL14</f>
        <v>0</v>
      </c>
      <c r="N65" s="140" t="n">
        <f aca="false">MAX(0,M65-M64)</f>
        <v>0</v>
      </c>
      <c r="O65" s="139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RESUMO'!BM14</f>
        <v>0</v>
      </c>
      <c r="N66" s="140" t="n">
        <f aca="false">MAX(0,M66-M65)</f>
        <v>0</v>
      </c>
      <c r="O66" s="139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RESUMO'!BN14</f>
        <v>0</v>
      </c>
      <c r="N67" s="140" t="n">
        <f aca="false">MAX(0,M67-M66)</f>
        <v>0</v>
      </c>
      <c r="O67" s="139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RESUMO'!BO14</f>
        <v>0</v>
      </c>
      <c r="N68" s="140" t="n">
        <f aca="false">MAX(0,M68-M67)</f>
        <v>0</v>
      </c>
      <c r="O68" s="139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RESUMO'!BP14</f>
        <v>0</v>
      </c>
      <c r="N69" s="140" t="n">
        <f aca="false">MAX(0,M69-M68)</f>
        <v>0</v>
      </c>
      <c r="O69" s="139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RESUMO'!BQ14</f>
        <v>0</v>
      </c>
      <c r="N70" s="140" t="n">
        <f aca="false">MAX(0,M70-M69)</f>
        <v>0</v>
      </c>
      <c r="O70" s="139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RESUMO'!BR14</f>
        <v>0</v>
      </c>
      <c r="N71" s="140" t="n">
        <f aca="false">MAX(0,M71-M70)</f>
        <v>0</v>
      </c>
      <c r="O71" s="139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RESUMO'!BS14</f>
        <v>0</v>
      </c>
      <c r="N72" s="140" t="n">
        <f aca="false">MAX(0,M72-M71)</f>
        <v>0</v>
      </c>
      <c r="O72" s="139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RESUMO'!BT14</f>
        <v>0</v>
      </c>
      <c r="N73" s="140" t="n">
        <f aca="false">MAX(0,M73-M72)</f>
        <v>0</v>
      </c>
      <c r="O73" s="139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RESUMO'!BU14</f>
        <v>0</v>
      </c>
      <c r="N74" s="140" t="n">
        <f aca="false">MAX(0,M74-M73)</f>
        <v>0</v>
      </c>
      <c r="O74" s="139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RESUMO'!BV14</f>
        <v>0</v>
      </c>
      <c r="N75" s="140" t="n">
        <f aca="false">MAX(0,M75-M74)</f>
        <v>0</v>
      </c>
      <c r="O75" s="139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RESUMO'!BW14</f>
        <v>0</v>
      </c>
      <c r="N76" s="140" t="n">
        <f aca="false">MAX(0,M76-M75)</f>
        <v>0</v>
      </c>
      <c r="O76" s="139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5990160.04</v>
      </c>
      <c r="D78" s="61" t="n">
        <f aca="false">SUM(D5:D76)</f>
        <v>15446548.6380545</v>
      </c>
      <c r="E78" s="61" t="n">
        <f aca="false">SUM(E5:E76)</f>
        <v>16697.7013649371</v>
      </c>
      <c r="F78" s="145" t="n">
        <f aca="false">SUM(F5:F76)</f>
        <v>1</v>
      </c>
      <c r="H78" s="61" t="n">
        <f aca="false">SUM(H5:H76)</f>
        <v>13485463.89</v>
      </c>
      <c r="L78" s="61" t="n">
        <f aca="false">SUM(L5:L76)</f>
        <v>4813.3822938796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HISTORICOS'!D15)</f>
        <v>8992.37</v>
      </c>
      <c r="D5" s="45" t="n">
        <f aca="false">IF(B5&lt;='VALOR POR PL'!$P$5,0,IF($K$17&gt;0,$K$18*P5/$K$17,0))</f>
        <v>0</v>
      </c>
      <c r="E5" s="45" t="n">
        <f aca="false">L5+D5/$K$2</f>
        <v>7.9045391748915</v>
      </c>
      <c r="F5" s="117" t="n">
        <f aca="false">IF($K$9=0,0,E5/$K$9)</f>
        <v>0.00125601299896007</v>
      </c>
      <c r="G5" s="117" t="n">
        <f aca="false">F5</f>
        <v>0.00125601299896007</v>
      </c>
      <c r="H5" s="138"/>
      <c r="I5" s="42" t="s">
        <v>3894</v>
      </c>
      <c r="J5" s="56" t="n">
        <f aca="false">'VALOR POR PL'!F21</f>
        <v>6685927.14</v>
      </c>
      <c r="K5" s="56" t="n">
        <f aca="false">'VALOR POR PL'!G21</f>
        <v>5723.979302</v>
      </c>
      <c r="L5" s="56" t="n">
        <f aca="false">'DADOS HISTORICOS'!$BZ$15</f>
        <v>7.9045391748915</v>
      </c>
      <c r="M5" s="139" t="n">
        <f aca="false">'CP RESUMO'!D15</f>
        <v>0</v>
      </c>
      <c r="N5" s="140" t="n">
        <v>0</v>
      </c>
      <c r="O5" s="139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0.00125601299896007</v>
      </c>
      <c r="H6" s="138"/>
      <c r="I6" s="42" t="s">
        <v>3895</v>
      </c>
      <c r="K6" s="52" t="n">
        <f aca="false">'VALOR POR PL'!H21</f>
        <v>6297.062793201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RESUMO'!E15</f>
        <v>0</v>
      </c>
      <c r="N6" s="140" t="n">
        <f aca="false">MAX(0,M6-M5)</f>
        <v>0</v>
      </c>
      <c r="O6" s="139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HISTORICOS'!F15)</f>
        <v>6150</v>
      </c>
      <c r="D7" s="45" t="n">
        <f aca="false">IF(B7&lt;='VALOR POR PL'!$P$5,0,IF($K$17&gt;0,$K$18*P7/$K$17,0))</f>
        <v>0</v>
      </c>
      <c r="E7" s="45" t="n">
        <f aca="false">L7+D7/$K$2</f>
        <v>5.23950501586761</v>
      </c>
      <c r="F7" s="117" t="n">
        <f aca="false">IF($K$9=0,0,E7/$K$9)</f>
        <v>0.000832545232864448</v>
      </c>
      <c r="G7" s="117" t="n">
        <f aca="false">G6+F7</f>
        <v>0.00208855823182452</v>
      </c>
      <c r="H7" s="138"/>
      <c r="I7" s="42" t="s">
        <v>3896</v>
      </c>
      <c r="J7" s="45" t="n">
        <f aca="false">C78+D78</f>
        <v>8113545.27109457</v>
      </c>
      <c r="L7" s="45" t="n">
        <f aca="false">C7/IF(B7&lt;='VALOR POR PL'!$P$5,IFERROR(INDEX('"INCC-FGV"'!$B$2:$B$800,MATCH(B7,'"INCC-FGV"'!$A$2:$A$800,0)),$K$2),$K$2)</f>
        <v>5.23950501586761</v>
      </c>
      <c r="M7" s="139" t="n">
        <f aca="false">'CP RESUMO'!F15</f>
        <v>0</v>
      </c>
      <c r="N7" s="140" t="n">
        <f aca="false">MAX(0,M7-M6)</f>
        <v>0</v>
      </c>
      <c r="O7" s="139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HISTORICOS'!G15)</f>
        <v>36234.96</v>
      </c>
      <c r="D8" s="45" t="n">
        <f aca="false">IF(B8&lt;='VALOR POR PL'!$P$5,0,IF($K$17&gt;0,$K$18*P8/$K$17,0))</f>
        <v>0</v>
      </c>
      <c r="E8" s="45" t="n">
        <f aca="false">L8+D8/$K$2</f>
        <v>30.7496524907798</v>
      </c>
      <c r="F8" s="117" t="n">
        <f aca="false">IF($K$9=0,0,E8/$K$9)</f>
        <v>0.00488604868511571</v>
      </c>
      <c r="G8" s="117" t="n">
        <f aca="false">G7+F8</f>
        <v>0.00697460691694023</v>
      </c>
      <c r="H8" s="138"/>
      <c r="I8" s="42" t="s">
        <v>3897</v>
      </c>
      <c r="K8" s="66" t="n">
        <f aca="false">SUM(L5:L76)</f>
        <v>2277.43226930237</v>
      </c>
      <c r="L8" s="45" t="n">
        <f aca="false">C8/IF(B8&lt;='VALOR POR PL'!$P$5,IFERROR(INDEX('"INCC-FGV"'!$B$2:$B$800,MATCH(B8,'"INCC-FGV"'!$A$2:$A$800,0)),$K$2),$K$2)</f>
        <v>30.7496524907798</v>
      </c>
      <c r="M8" s="139" t="n">
        <f aca="false">'CP RESUMO'!G15</f>
        <v>0</v>
      </c>
      <c r="N8" s="140" t="n">
        <f aca="false">MAX(0,M8-M7)</f>
        <v>0</v>
      </c>
      <c r="O8" s="139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HISTORICOS'!H15)</f>
        <v>20280.07</v>
      </c>
      <c r="D9" s="45" t="n">
        <f aca="false">IF(B9&lt;='VALOR POR PL'!$P$5,0,IF($K$17&gt;0,$K$18*P9/$K$17,0))</f>
        <v>0</v>
      </c>
      <c r="E9" s="45" t="n">
        <f aca="false">L9+D9/$K$2</f>
        <v>17.1217565443214</v>
      </c>
      <c r="F9" s="117" t="n">
        <f aca="false">IF($K$9=0,0,E9/$K$9)</f>
        <v>0.00272060752801475</v>
      </c>
      <c r="G9" s="117" t="n">
        <f aca="false">G8+F9</f>
        <v>0.00969521444495498</v>
      </c>
      <c r="H9" s="138"/>
      <c r="I9" s="42" t="s">
        <v>3898</v>
      </c>
      <c r="J9" s="45" t="n">
        <f aca="false">C78+D78</f>
        <v>8113545.27109457</v>
      </c>
      <c r="K9" s="45" t="n">
        <f aca="false">E78</f>
        <v>6293.35777689893</v>
      </c>
      <c r="L9" s="45" t="n">
        <f aca="false">C9/IF(B9&lt;='VALOR POR PL'!$P$5,IFERROR(INDEX('"INCC-FGV"'!$B$2:$B$800,MATCH(B9,'"INCC-FGV"'!$A$2:$A$800,0)),$K$2),$K$2)</f>
        <v>17.1217565443214</v>
      </c>
      <c r="M9" s="139" t="n">
        <f aca="false">'CP RESUMO'!H15</f>
        <v>0</v>
      </c>
      <c r="N9" s="140" t="n">
        <f aca="false">MAX(0,M9-M8)</f>
        <v>0</v>
      </c>
      <c r="O9" s="139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HISTORICOS'!I15)</f>
        <v>63840.43</v>
      </c>
      <c r="D10" s="45" t="n">
        <f aca="false">IF(B10&lt;='VALOR POR PL'!$P$5,0,IF($K$17&gt;0,$K$18*P10/$K$17,0))</f>
        <v>0</v>
      </c>
      <c r="E10" s="45" t="n">
        <f aca="false">L10+D10/$K$2</f>
        <v>53.5876631688865</v>
      </c>
      <c r="F10" s="117" t="n">
        <f aca="false">IF($K$9=0,0,E10/$K$9)</f>
        <v>0.00851495577854973</v>
      </c>
      <c r="G10" s="117" t="n">
        <f aca="false">G9+F10</f>
        <v>0.0182101702235047</v>
      </c>
      <c r="H10" s="138"/>
      <c r="I10" s="42" t="s">
        <v>3899</v>
      </c>
      <c r="K10" s="52" t="n">
        <f aca="false">IF(K6-K8&gt;0,(K6-K8)*'VALOR POR PL'!$G$65,K6-K8)</f>
        <v>4015.92550759656</v>
      </c>
      <c r="L10" s="45" t="n">
        <f aca="false">C10/IF(B10&lt;='VALOR POR PL'!$P$5,IFERROR(INDEX('"INCC-FGV"'!$B$2:$B$800,MATCH(B10,'"INCC-FGV"'!$A$2:$A$800,0)),$K$2),$K$2)</f>
        <v>53.5876631688865</v>
      </c>
      <c r="M10" s="139" t="n">
        <f aca="false">'CP RESUMO'!I15</f>
        <v>0</v>
      </c>
      <c r="N10" s="140" t="n">
        <f aca="false">MAX(0,M10-M9)</f>
        <v>0</v>
      </c>
      <c r="O10" s="139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HISTORICOS'!J15)</f>
        <v>23229.91</v>
      </c>
      <c r="D11" s="45" t="n">
        <f aca="false">IF(B11&lt;='VALOR POR PL'!$P$5,0,IF($K$17&gt;0,$K$18*P11/$K$17,0))</f>
        <v>0</v>
      </c>
      <c r="E11" s="45" t="n">
        <f aca="false">L11+D11/$K$2</f>
        <v>19.3661823296032</v>
      </c>
      <c r="F11" s="117" t="n">
        <f aca="false">IF($K$9=0,0,E11/$K$9)</f>
        <v>0.00307724159600313</v>
      </c>
      <c r="G11" s="117" t="n">
        <f aca="false">G10+F11</f>
        <v>0.0212874118195078</v>
      </c>
      <c r="H11" s="138"/>
      <c r="I11" s="42" t="s">
        <v>3900</v>
      </c>
      <c r="K11" s="56" t="n">
        <f aca="false">SUMPRODUCT((B5:B76&gt;'VALOR POR PL'!$P$5)*H5:H76)</f>
        <v>4540655.03</v>
      </c>
      <c r="L11" s="45" t="n">
        <f aca="false">C11/IF(B11&lt;='VALOR POR PL'!$P$5,IFERROR(INDEX('"INCC-FGV"'!$B$2:$B$800,MATCH(B11,'"INCC-FGV"'!$A$2:$A$800,0)),$K$2),$K$2)</f>
        <v>19.3661823296032</v>
      </c>
      <c r="M11" s="139" t="n">
        <f aca="false">'CP RESUMO'!J15</f>
        <v>0</v>
      </c>
      <c r="N11" s="140" t="n">
        <f aca="false">MAX(0,M11-M10)</f>
        <v>0</v>
      </c>
      <c r="O11" s="139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HISTORICOS'!K15)</f>
        <v>36806</v>
      </c>
      <c r="D12" s="45" t="n">
        <f aca="false">IF(B12&lt;='VALOR POR PL'!$P$5,0,IF($K$17&gt;0,$K$18*P12/$K$17,0))</f>
        <v>0</v>
      </c>
      <c r="E12" s="45" t="n">
        <f aca="false">L12+D12/$K$2</f>
        <v>30.406345959548</v>
      </c>
      <c r="F12" s="117" t="n">
        <f aca="false">IF($K$9=0,0,E12/$K$9)</f>
        <v>0.00483149807105529</v>
      </c>
      <c r="G12" s="117" t="n">
        <f aca="false">G11+F12</f>
        <v>0.0261189098905631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30.406345959548</v>
      </c>
      <c r="M12" s="139" t="n">
        <f aca="false">'CP RESUMO'!K15</f>
        <v>0</v>
      </c>
      <c r="N12" s="140" t="n">
        <f aca="false">MAX(0,M12-M11)</f>
        <v>0</v>
      </c>
      <c r="O12" s="139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HISTORICOS'!L15)</f>
        <v>17148.68</v>
      </c>
      <c r="D13" s="45" t="n">
        <f aca="false">IF(B13&lt;='VALOR POR PL'!$P$5,0,IF($K$17&gt;0,$K$18*P13/$K$17,0))</f>
        <v>0</v>
      </c>
      <c r="E13" s="45" t="n">
        <f aca="false">L13+D13/$K$2</f>
        <v>14.0943498264988</v>
      </c>
      <c r="F13" s="117" t="n">
        <f aca="false">IF($K$9=0,0,E13/$K$9)</f>
        <v>0.0022395596001605</v>
      </c>
      <c r="G13" s="117" t="n">
        <f aca="false">G12+F13</f>
        <v>0.0283584694907236</v>
      </c>
      <c r="H13" s="138"/>
      <c r="I13" s="42" t="s">
        <v>3902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14.0943498264988</v>
      </c>
      <c r="M13" s="139" t="n">
        <f aca="false">'CP RESUMO'!L15</f>
        <v>0</v>
      </c>
      <c r="N13" s="140" t="n">
        <f aca="false">MAX(0,M13-M12)</f>
        <v>0</v>
      </c>
      <c r="O13" s="139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HISTORICOS'!M15)</f>
        <v>21563.76</v>
      </c>
      <c r="D14" s="45" t="n">
        <f aca="false">IF(B14&lt;='VALOR POR PL'!$P$5,0,IF($K$17&gt;0,$K$18*P14/$K$17,0))</f>
        <v>0</v>
      </c>
      <c r="E14" s="45" t="n">
        <f aca="false">L14+D14/$K$2</f>
        <v>17.6933850914095</v>
      </c>
      <c r="F14" s="117" t="n">
        <f aca="false">IF($K$9=0,0,E14/$K$9)</f>
        <v>0.00281143798249587</v>
      </c>
      <c r="G14" s="117" t="n">
        <f aca="false">G13+F14</f>
        <v>0.0311699074732195</v>
      </c>
      <c r="H14" s="138"/>
      <c r="I14" s="42" t="s">
        <v>3903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17.6933850914095</v>
      </c>
      <c r="M14" s="139" t="n">
        <f aca="false">'CP RESUMO'!M15</f>
        <v>0</v>
      </c>
      <c r="N14" s="140" t="n">
        <f aca="false">MAX(0,M14-M13)</f>
        <v>0</v>
      </c>
      <c r="O14" s="139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HISTORICOS'!N15)</f>
        <v>34597.8</v>
      </c>
      <c r="D15" s="45" t="n">
        <f aca="false">IF(B15&lt;='VALOR POR PL'!$P$5,0,IF($K$17&gt;0,$K$18*P15/$K$17,0))</f>
        <v>0</v>
      </c>
      <c r="E15" s="45" t="n">
        <f aca="false">L15+D15/$K$2</f>
        <v>28.3041928865241</v>
      </c>
      <c r="F15" s="117" t="n">
        <f aca="false">IF($K$9=0,0,E15/$K$9)</f>
        <v>0.00449747080809873</v>
      </c>
      <c r="G15" s="117" t="n">
        <f aca="false">G14+F15</f>
        <v>0.0356673782813182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28.3041928865241</v>
      </c>
      <c r="M15" s="139" t="n">
        <f aca="false">'CP RESUMO'!N15</f>
        <v>0</v>
      </c>
      <c r="N15" s="140" t="n">
        <f aca="false">MAX(0,M15-M14)</f>
        <v>0</v>
      </c>
      <c r="O15" s="139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HISTORICOS'!O15)</f>
        <v>100603.75</v>
      </c>
      <c r="D16" s="45" t="n">
        <f aca="false">IF(B16&lt;='VALOR POR PL'!$P$5,0,IF($K$17&gt;0,$K$18*P16/$K$17,0))</f>
        <v>0</v>
      </c>
      <c r="E16" s="45" t="n">
        <f aca="false">L16+D16/$K$2</f>
        <v>82.0830950211034</v>
      </c>
      <c r="F16" s="117" t="n">
        <f aca="false">IF($K$9=0,0,E16/$K$9)</f>
        <v>0.0130428140161372</v>
      </c>
      <c r="G16" s="117" t="n">
        <f aca="false">G15+F16</f>
        <v>0.0487101922974554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82.0830950211034</v>
      </c>
      <c r="M16" s="139" t="n">
        <f aca="false">'CP RESUMO'!O15</f>
        <v>0</v>
      </c>
      <c r="N16" s="140" t="n">
        <f aca="false">MAX(0,M16-M15)</f>
        <v>0</v>
      </c>
      <c r="O16" s="139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HISTORICOS'!P15)</f>
        <v>58690.57</v>
      </c>
      <c r="D17" s="45" t="n">
        <f aca="false">IF(B17&lt;='VALOR POR PL'!$P$5,0,IF($K$17&gt;0,$K$18*P17/$K$17,0))</f>
        <v>0</v>
      </c>
      <c r="E17" s="45" t="n">
        <f aca="false">L17+D17/$K$2</f>
        <v>47.7873584977865</v>
      </c>
      <c r="F17" s="117" t="n">
        <f aca="false">IF($K$9=0,0,E17/$K$9)</f>
        <v>0.00759330077708277</v>
      </c>
      <c r="G17" s="117" t="n">
        <f aca="false">G16+F17</f>
        <v>0.0563034930745382</v>
      </c>
      <c r="H17" s="138"/>
      <c r="I17" s="42" t="s">
        <v>3907</v>
      </c>
      <c r="K17" s="45" t="n">
        <f aca="false">SUM(P5:P76)</f>
        <v>4540655.03</v>
      </c>
      <c r="L17" s="45" t="n">
        <f aca="false">C17/IF(B17&lt;='VALOR POR PL'!$P$5,IFERROR(INDEX('"INCC-FGV"'!$B$2:$B$800,MATCH(B17,'"INCC-FGV"'!$A$2:$A$800,0)),$K$2),$K$2)</f>
        <v>47.7873584977865</v>
      </c>
      <c r="M17" s="139" t="n">
        <f aca="false">'CP RESUMO'!P15</f>
        <v>0</v>
      </c>
      <c r="N17" s="140" t="n">
        <f aca="false">MAX(0,M17-M16)</f>
        <v>0</v>
      </c>
      <c r="O17" s="139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HISTORICOS'!Q15)</f>
        <v>55385.66</v>
      </c>
      <c r="D18" s="45" t="n">
        <f aca="false">IF(B18&lt;='VALOR POR PL'!$P$5,0,IF($K$17&gt;0,$K$18*P18/$K$17,0))</f>
        <v>0</v>
      </c>
      <c r="E18" s="45" t="n">
        <f aca="false">L18+D18/$K$2</f>
        <v>44.7728764563036</v>
      </c>
      <c r="F18" s="117" t="n">
        <f aca="false">IF($K$9=0,0,E18/$K$9)</f>
        <v>0.00711430655041601</v>
      </c>
      <c r="G18" s="117" t="n">
        <f aca="false">G17+F18</f>
        <v>0.0634177996249542</v>
      </c>
      <c r="H18" s="138"/>
      <c r="I18" s="42" t="s">
        <v>3908</v>
      </c>
      <c r="K18" s="45" t="n">
        <f aca="false">MAX(0,K10)*$K$2</f>
        <v>5219667.05109457</v>
      </c>
      <c r="L18" s="45" t="n">
        <f aca="false">C18/IF(B18&lt;='VALOR POR PL'!$P$5,IFERROR(INDEX('"INCC-FGV"'!$B$2:$B$800,MATCH(B18,'"INCC-FGV"'!$A$2:$A$800,0)),$K$2),$K$2)</f>
        <v>44.7728764563036</v>
      </c>
      <c r="M18" s="139" t="n">
        <f aca="false">'CP RESUMO'!Q15</f>
        <v>0</v>
      </c>
      <c r="N18" s="140" t="n">
        <f aca="false">MAX(0,M18-M17)</f>
        <v>0</v>
      </c>
      <c r="O18" s="139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HISTORICOS'!R15)</f>
        <v>73367.92</v>
      </c>
      <c r="D19" s="45" t="n">
        <f aca="false">IF(B19&lt;='VALOR POR PL'!$P$5,0,IF($K$17&gt;0,$K$18*P19/$K$17,0))</f>
        <v>0</v>
      </c>
      <c r="E19" s="45" t="n">
        <f aca="false">L19+D19/$K$2</f>
        <v>59.1447349858644</v>
      </c>
      <c r="F19" s="117" t="n">
        <f aca="false">IF($K$9=0,0,E19/$K$9)</f>
        <v>0.00939796164187063</v>
      </c>
      <c r="G19" s="117" t="n">
        <f aca="false">G18+F19</f>
        <v>0.0728157612668248</v>
      </c>
      <c r="H19" s="138"/>
      <c r="I19" s="42" t="s">
        <v>3909</v>
      </c>
      <c r="K19" s="142" t="n">
        <f aca="false">IF(AND(K16="PREVISÃO INFORMADA",K11&gt;0),K18/K11-1,"")</f>
        <v>0.149540543513734</v>
      </c>
      <c r="L19" s="45" t="n">
        <f aca="false">C19/IF(B19&lt;='VALOR POR PL'!$P$5,IFERROR(INDEX('"INCC-FGV"'!$B$2:$B$800,MATCH(B19,'"INCC-FGV"'!$A$2:$A$800,0)),$K$2),$K$2)</f>
        <v>59.1447349858644</v>
      </c>
      <c r="M19" s="139" t="n">
        <f aca="false">'CP RESUMO'!R15</f>
        <v>0</v>
      </c>
      <c r="N19" s="140" t="n">
        <f aca="false">MAX(0,M19-M18)</f>
        <v>0</v>
      </c>
      <c r="O19" s="139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HISTORICOS'!S15)</f>
        <v>160755.39</v>
      </c>
      <c r="D20" s="45" t="n">
        <f aca="false">IF(B20&lt;='VALOR POR PL'!$P$5,0,IF($K$17&gt;0,$K$18*P20/$K$17,0))</f>
        <v>0</v>
      </c>
      <c r="E20" s="45" t="n">
        <f aca="false">L20+D20/$K$2</f>
        <v>128.894995994968</v>
      </c>
      <c r="F20" s="117" t="n">
        <f aca="false">IF($K$9=0,0,E20/$K$9)</f>
        <v>0.020481116848005</v>
      </c>
      <c r="G20" s="117" t="n">
        <f aca="false">G19+F20</f>
        <v>0.0932968781148298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128.894995994968</v>
      </c>
      <c r="M20" s="139" t="n">
        <f aca="false">'CP RESUMO'!S15</f>
        <v>0</v>
      </c>
      <c r="N20" s="140" t="n">
        <f aca="false">MAX(0,M20-M19)</f>
        <v>0</v>
      </c>
      <c r="O20" s="139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HISTORICOS'!T15)</f>
        <v>353104.5</v>
      </c>
      <c r="D21" s="45" t="n">
        <f aca="false">IF(B21&lt;='VALOR POR PL'!$P$5,0,IF($K$17&gt;0,$K$18*P21/$K$17,0))</f>
        <v>0</v>
      </c>
      <c r="E21" s="45" t="n">
        <f aca="false">L21+D21/$K$2</f>
        <v>280.319088129102</v>
      </c>
      <c r="F21" s="117" t="n">
        <f aca="false">IF($K$9=0,0,E21/$K$9)</f>
        <v>0.0445420549834417</v>
      </c>
      <c r="G21" s="117" t="n">
        <f aca="false">G20+F21</f>
        <v>0.137838933098271</v>
      </c>
      <c r="H21" s="138"/>
      <c r="K21" s="143"/>
      <c r="L21" s="45" t="n">
        <f aca="false">C21/IF(B21&lt;='VALOR POR PL'!$P$5,IFERROR(INDEX('"INCC-FGV"'!$B$2:$B$800,MATCH(B21,'"INCC-FGV"'!$A$2:$A$800,0)),$K$2),$K$2)</f>
        <v>280.319088129102</v>
      </c>
      <c r="M21" s="139" t="n">
        <f aca="false">'CP RESUMO'!T15</f>
        <v>0</v>
      </c>
      <c r="N21" s="140" t="n">
        <f aca="false">MAX(0,M21-M20)</f>
        <v>0</v>
      </c>
      <c r="O21" s="139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HISTORICOS'!U15)</f>
        <v>181064.72</v>
      </c>
      <c r="D22" s="45" t="n">
        <f aca="false">IF(B22&lt;='VALOR POR PL'!$P$5,0,IF($K$17&gt;0,$K$18*P22/$K$17,0))</f>
        <v>0</v>
      </c>
      <c r="E22" s="45" t="n">
        <f aca="false">L22+D22/$K$2</f>
        <v>142.49266739855</v>
      </c>
      <c r="F22" s="117" t="n">
        <f aca="false">IF($K$9=0,0,E22/$K$9)</f>
        <v>0.0226417553951244</v>
      </c>
      <c r="G22" s="117" t="n">
        <f aca="false">G21+F22</f>
        <v>0.160480688493396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142.49266739855</v>
      </c>
      <c r="M22" s="139" t="n">
        <f aca="false">'CP RESUMO'!U15</f>
        <v>0</v>
      </c>
      <c r="N22" s="140" t="n">
        <f aca="false">MAX(0,M22-M21)</f>
        <v>0</v>
      </c>
      <c r="O22" s="139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HISTORICOS'!V15)</f>
        <v>192488.66</v>
      </c>
      <c r="D23" s="45" t="n">
        <f aca="false">IF(B23&lt;='VALOR POR PL'!$P$5,0,IF($K$17&gt;0,$K$18*P23/$K$17,0))</f>
        <v>0</v>
      </c>
      <c r="E23" s="45" t="n">
        <f aca="false">L23+D23/$K$2</f>
        <v>150.306494950576</v>
      </c>
      <c r="F23" s="117" t="n">
        <f aca="false">IF($K$9=0,0,E23/$K$9)</f>
        <v>0.0238833545269437</v>
      </c>
      <c r="G23" s="117" t="n">
        <f aca="false">G22+F23</f>
        <v>0.18436404302034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150.306494950576</v>
      </c>
      <c r="M23" s="139" t="n">
        <f aca="false">'CP RESUMO'!V15</f>
        <v>0</v>
      </c>
      <c r="N23" s="140" t="n">
        <f aca="false">MAX(0,M23-M22)</f>
        <v>0</v>
      </c>
      <c r="O23" s="139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HISTORICOS'!W15)</f>
        <v>227238.92</v>
      </c>
      <c r="D24" s="45" t="n">
        <f aca="false">IF(B24&lt;='VALOR POR PL'!$P$5,0,IF($K$17&gt;0,$K$18*P24/$K$17,0))</f>
        <v>0</v>
      </c>
      <c r="E24" s="45" t="n">
        <f aca="false">L24+D24/$K$2</f>
        <v>176.368715127159</v>
      </c>
      <c r="F24" s="117" t="n">
        <f aca="false">IF($K$9=0,0,E24/$K$9)</f>
        <v>0.028024581055054</v>
      </c>
      <c r="G24" s="117" t="n">
        <f aca="false">G23+F24</f>
        <v>0.212388624075394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176.368715127159</v>
      </c>
      <c r="M24" s="139" t="n">
        <f aca="false">'CP RESUMO'!W15</f>
        <v>0</v>
      </c>
      <c r="N24" s="140" t="n">
        <f aca="false">MAX(0,M24-M23)</f>
        <v>0</v>
      </c>
      <c r="O24" s="139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HISTORICOS'!X15)</f>
        <v>207373.28</v>
      </c>
      <c r="D25" s="45" t="n">
        <f aca="false">IF(B25&lt;='VALOR POR PL'!$P$5,0,IF($K$17&gt;0,$K$18*P25/$K$17,0))</f>
        <v>0</v>
      </c>
      <c r="E25" s="45" t="n">
        <f aca="false">L25+D25/$K$2</f>
        <v>159.900562037306</v>
      </c>
      <c r="F25" s="117" t="n">
        <f aca="false">IF($K$9=0,0,E25/$K$9)</f>
        <v>0.0254078296047706</v>
      </c>
      <c r="G25" s="117" t="n">
        <f aca="false">G24+F25</f>
        <v>0.237796453680164</v>
      </c>
      <c r="H25" s="138"/>
      <c r="L25" s="45" t="n">
        <f aca="false">C25/IF(B25&lt;='VALOR POR PL'!$P$5,IFERROR(INDEX('"INCC-FGV"'!$B$2:$B$800,MATCH(B25,'"INCC-FGV"'!$A$2:$A$800,0)),$K$2),$K$2)</f>
        <v>159.900562037306</v>
      </c>
      <c r="M25" s="139" t="n">
        <f aca="false">'CP RESUMO'!X15</f>
        <v>0</v>
      </c>
      <c r="N25" s="140" t="n">
        <f aca="false">MAX(0,M25-M24)</f>
        <v>0</v>
      </c>
      <c r="O25" s="139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HISTORICOS'!Y15)</f>
        <v>276382.65</v>
      </c>
      <c r="D26" s="45" t="n">
        <f aca="false">IF(B26&lt;='VALOR POR PL'!$P$5,0,IF($K$17&gt;0,$K$18*P26/$K$17,0))</f>
        <v>0</v>
      </c>
      <c r="E26" s="45" t="n">
        <f aca="false">L26+D26/$K$2</f>
        <v>212.644240164587</v>
      </c>
      <c r="F26" s="117" t="n">
        <f aca="false">IF($K$9=0,0,E26/$K$9)</f>
        <v>0.0337886781115704</v>
      </c>
      <c r="G26" s="117" t="n">
        <f aca="false">G25+F26</f>
        <v>0.271585131791735</v>
      </c>
      <c r="H26" s="138" t="n">
        <v>72000.18</v>
      </c>
      <c r="L26" s="45" t="n">
        <f aca="false">C26/IF(B26&lt;='VALOR POR PL'!$P$5,IFERROR(INDEX('"INCC-FGV"'!$B$2:$B$800,MATCH(B26,'"INCC-FGV"'!$A$2:$A$800,0)),$K$2),$K$2)</f>
        <v>212.644240164587</v>
      </c>
      <c r="M26" s="139" t="n">
        <f aca="false">'CP RESUMO'!Y15</f>
        <v>0</v>
      </c>
      <c r="N26" s="140" t="n">
        <f aca="false">MAX(0,M26-M25)</f>
        <v>0</v>
      </c>
      <c r="O26" s="139" t="n">
        <f aca="false">IF(B26&lt;='VALOR POR PL'!$P$5,'CP RESUMO'!Y57,"")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HISTORICOS'!Z15)</f>
        <v>121913.73</v>
      </c>
      <c r="D27" s="45" t="n">
        <f aca="false">IF(B27&lt;='VALOR POR PL'!$P$5,0,IF($K$17&gt;0,$K$18*P27/$K$17,0))</f>
        <v>198393.339748263</v>
      </c>
      <c r="E27" s="45" t="n">
        <f aca="false">L27+D27/$K$2</f>
        <v>246.438962308107</v>
      </c>
      <c r="F27" s="117" t="n">
        <f aca="false">IF($K$9=0,0,E27/$K$9)</f>
        <v>0.0391585813240607</v>
      </c>
      <c r="G27" s="117" t="n">
        <f aca="false">G26+F27</f>
        <v>0.310743713115795</v>
      </c>
      <c r="H27" s="138" t="n">
        <v>172584.9</v>
      </c>
      <c r="L27" s="45" t="n">
        <f aca="false">C27/IF(B27&lt;='VALOR POR PL'!$P$5,IFERROR(INDEX('"INCC-FGV"'!$B$2:$B$800,MATCH(B27,'"INCC-FGV"'!$A$2:$A$800,0)),$K$2),$K$2)</f>
        <v>93.7984076839865</v>
      </c>
      <c r="M27" s="139" t="n">
        <f aca="false">'CP RESUMO'!Z15</f>
        <v>0</v>
      </c>
      <c r="N27" s="140" t="n">
        <f aca="false">MAX(0,M27-M26)</f>
        <v>0</v>
      </c>
      <c r="O27" s="139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172584.9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HISTORICOS'!AA15)</f>
        <v>69406.09</v>
      </c>
      <c r="D28" s="45" t="n">
        <f aca="false">IF(B28&lt;='VALOR POR PL'!$P$5,0,IF($K$17&gt;0,$K$18*P28/$K$17,0))</f>
        <v>230599.522853454</v>
      </c>
      <c r="E28" s="45" t="n">
        <f aca="false">L28+D28/$K$2</f>
        <v>230.81935711353</v>
      </c>
      <c r="F28" s="117" t="n">
        <f aca="false">IF($K$9=0,0,E28/$K$9)</f>
        <v>0.0366766621724257</v>
      </c>
      <c r="G28" s="117" t="n">
        <f aca="false">G27+F28</f>
        <v>0.347420375288221</v>
      </c>
      <c r="H28" s="138" t="n">
        <v>200601.47</v>
      </c>
      <c r="L28" s="45" t="n">
        <f aca="false">C28/IF(B28&lt;='VALOR POR PL'!$P$5,IFERROR(INDEX('"INCC-FGV"'!$B$2:$B$800,MATCH(B28,'"INCC-FGV"'!$A$2:$A$800,0)),$K$2),$K$2)</f>
        <v>53.3998978258762</v>
      </c>
      <c r="M28" s="139" t="n">
        <f aca="false">'CP RESUMO'!AA15</f>
        <v>0</v>
      </c>
      <c r="N28" s="140" t="n">
        <f aca="false">MAX(0,M28-M27)</f>
        <v>0</v>
      </c>
      <c r="O28" s="139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200601.47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HISTORICOS'!AB15)</f>
        <v>17182.87</v>
      </c>
      <c r="D29" s="45" t="n">
        <f aca="false">IF(B29&lt;='VALOR POR PL'!$P$5,0,IF($K$17&gt;0,$K$18*P29/$K$17,0))</f>
        <v>191481.232927953</v>
      </c>
      <c r="E29" s="45" t="n">
        <f aca="false">L29+D29/$K$2</f>
        <v>160.542709959325</v>
      </c>
      <c r="F29" s="117" t="n">
        <f aca="false">IF($K$9=0,0,E29/$K$9)</f>
        <v>0.0255098654248818</v>
      </c>
      <c r="G29" s="117" t="n">
        <f aca="false">G28+F29</f>
        <v>0.372930240713103</v>
      </c>
      <c r="H29" s="138" t="n">
        <v>166571.97</v>
      </c>
      <c r="L29" s="45" t="n">
        <f aca="false">C29/IF(B29&lt;='VALOR POR PL'!$P$5,IFERROR(INDEX('"INCC-FGV"'!$B$2:$B$800,MATCH(B29,'"INCC-FGV"'!$A$2:$A$800,0)),$K$2),$K$2)</f>
        <v>13.2202160121009</v>
      </c>
      <c r="M29" s="139" t="n">
        <f aca="false">'CP RESUMO'!AB15</f>
        <v>0</v>
      </c>
      <c r="N29" s="140" t="n">
        <f aca="false">MAX(0,M29-M28)</f>
        <v>0</v>
      </c>
      <c r="O29" s="139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166571.97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HISTORICOS'!AC15)</f>
        <v>16426</v>
      </c>
      <c r="D30" s="45" t="n">
        <f aca="false">IF(B30&lt;='VALOR POR PL'!$P$5,0,IF($K$17&gt;0,$K$18*P30/$K$17,0))</f>
        <v>225878.589749352</v>
      </c>
      <c r="E30" s="45" t="n">
        <f aca="false">L30+D30/$K$2</f>
        <v>186.425144181962</v>
      </c>
      <c r="F30" s="117" t="n">
        <f aca="false">IF($K$9=0,0,E30/$K$9)</f>
        <v>0.0296225243805897</v>
      </c>
      <c r="G30" s="117" t="n">
        <f aca="false">G29+F30</f>
        <v>0.402552765093693</v>
      </c>
      <c r="H30" s="138" t="n">
        <v>196494.67</v>
      </c>
      <c r="L30" s="45" t="n">
        <f aca="false">C30/IF(B30&lt;='VALOR POR PL'!$P$5,IFERROR(INDEX('"INCC-FGV"'!$B$2:$B$800,MATCH(B30,'"INCC-FGV"'!$A$2:$A$800,0)),$K$2),$K$2)</f>
        <v>12.6378927510229</v>
      </c>
      <c r="M30" s="139" t="n">
        <f aca="false">'CP RESUMO'!AC15</f>
        <v>0</v>
      </c>
      <c r="N30" s="140" t="n">
        <f aca="false">MAX(0,M30-M29)</f>
        <v>0</v>
      </c>
      <c r="O30" s="139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196494.67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HISTORICOS'!AD15)</f>
        <v>16426</v>
      </c>
      <c r="D31" s="45" t="n">
        <f aca="false">IF(B31&lt;='VALOR POR PL'!$P$5,0,IF($K$17&gt;0,$K$18*P31/$K$17,0))</f>
        <v>203087.97136473</v>
      </c>
      <c r="E31" s="45" t="n">
        <f aca="false">L31+D31/$K$2</f>
        <v>168.890419302238</v>
      </c>
      <c r="F31" s="117" t="n">
        <f aca="false">IF($K$9=0,0,E31/$K$9)</f>
        <v>0.0268362971388955</v>
      </c>
      <c r="G31" s="117" t="n">
        <f aca="false">G30+F31</f>
        <v>0.429389062232588</v>
      </c>
      <c r="H31" s="138" t="n">
        <v>176668.82</v>
      </c>
      <c r="L31" s="45" t="n">
        <f aca="false">C31/IF(B31&lt;='VALOR POR PL'!$P$5,IFERROR(INDEX('"INCC-FGV"'!$B$2:$B$800,MATCH(B31,'"INCC-FGV"'!$A$2:$A$800,0)),$K$2),$K$2)</f>
        <v>12.6378927510229</v>
      </c>
      <c r="M31" s="139" t="n">
        <f aca="false">'CP RESUMO'!AD15</f>
        <v>0</v>
      </c>
      <c r="N31" s="140" t="n">
        <f aca="false">MAX(0,M31-M30)</f>
        <v>0</v>
      </c>
      <c r="O31" s="139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176668.82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HISTORICOS'!AE15)</f>
        <v>16426</v>
      </c>
      <c r="D32" s="45" t="n">
        <f aca="false">IF(B32&lt;='VALOR POR PL'!$P$5,0,IF($K$17&gt;0,$K$18*P32/$K$17,0))</f>
        <v>191822.887872891</v>
      </c>
      <c r="E32" s="45" t="n">
        <f aca="false">L32+D32/$K$2</f>
        <v>160.223250362681</v>
      </c>
      <c r="F32" s="117" t="n">
        <f aca="false">IF($K$9=0,0,E32/$K$9)</f>
        <v>0.0254591040335913</v>
      </c>
      <c r="G32" s="117" t="n">
        <f aca="false">G31+F32</f>
        <v>0.454848166266179</v>
      </c>
      <c r="H32" s="138" t="n">
        <v>166869.18</v>
      </c>
      <c r="L32" s="45" t="n">
        <f aca="false">C32/IF(B32&lt;='VALOR POR PL'!$P$5,IFERROR(INDEX('"INCC-FGV"'!$B$2:$B$800,MATCH(B32,'"INCC-FGV"'!$A$2:$A$800,0)),$K$2),$K$2)</f>
        <v>12.6378927510229</v>
      </c>
      <c r="M32" s="139" t="n">
        <f aca="false">'CP RESUMO'!AE15</f>
        <v>0</v>
      </c>
      <c r="N32" s="140" t="n">
        <f aca="false">MAX(0,M32-M31)</f>
        <v>0</v>
      </c>
      <c r="O32" s="139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166869.18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HISTORICOS'!AF15)</f>
        <v>16426</v>
      </c>
      <c r="D33" s="45" t="n">
        <f aca="false">IF(B33&lt;='VALOR POR PL'!$P$5,0,IF($K$17&gt;0,$K$18*P33/$K$17,0))</f>
        <v>178636.439325812</v>
      </c>
      <c r="E33" s="45" t="n">
        <f aca="false">L33+D33/$K$2</f>
        <v>150.077814924664</v>
      </c>
      <c r="F33" s="117" t="n">
        <f aca="false">IF($K$9=0,0,E33/$K$9)</f>
        <v>0.023847017799553</v>
      </c>
      <c r="G33" s="117" t="n">
        <f aca="false">G32+F33</f>
        <v>0.478695184065732</v>
      </c>
      <c r="H33" s="138" t="n">
        <v>155398.12</v>
      </c>
      <c r="L33" s="45" t="n">
        <f aca="false">C33/IF(B33&lt;='VALOR POR PL'!$P$5,IFERROR(INDEX('"INCC-FGV"'!$B$2:$B$800,MATCH(B33,'"INCC-FGV"'!$A$2:$A$800,0)),$K$2),$K$2)</f>
        <v>12.6378927510229</v>
      </c>
      <c r="M33" s="139" t="n">
        <f aca="false">'CP RESUMO'!AF15</f>
        <v>0</v>
      </c>
      <c r="N33" s="140" t="n">
        <f aca="false">MAX(0,M33-M32)</f>
        <v>0</v>
      </c>
      <c r="O33" s="139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155398.12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HISTORICOS'!AG15)</f>
        <v>16426</v>
      </c>
      <c r="D34" s="45" t="n">
        <f aca="false">IF(B34&lt;='VALOR POR PL'!$P$5,0,IF($K$17&gt;0,$K$18*P34/$K$17,0))</f>
        <v>154931.407420447</v>
      </c>
      <c r="E34" s="45" t="n">
        <f aca="false">L34+D34/$K$2</f>
        <v>131.839555404417</v>
      </c>
      <c r="F34" s="117" t="n">
        <f aca="false">IF($K$9=0,0,E34/$K$9)</f>
        <v>0.0209490005301082</v>
      </c>
      <c r="G34" s="117" t="n">
        <f aca="false">G33+F34</f>
        <v>0.499644184595841</v>
      </c>
      <c r="H34" s="138" t="n">
        <v>134776.81</v>
      </c>
      <c r="L34" s="45" t="n">
        <f aca="false">C34/IF(B34&lt;='VALOR POR PL'!$P$5,IFERROR(INDEX('"INCC-FGV"'!$B$2:$B$800,MATCH(B34,'"INCC-FGV"'!$A$2:$A$800,0)),$K$2),$K$2)</f>
        <v>12.6378927510229</v>
      </c>
      <c r="M34" s="139" t="n">
        <f aca="false">'CP RESUMO'!AG15</f>
        <v>0</v>
      </c>
      <c r="N34" s="140" t="n">
        <f aca="false">MAX(0,M34-M33)</f>
        <v>0</v>
      </c>
      <c r="O34" s="139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134776.81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HISTORICOS'!AH15)</f>
        <v>16426</v>
      </c>
      <c r="D35" s="45" t="n">
        <f aca="false">IF(B35&lt;='VALOR POR PL'!$P$5,0,IF($K$17&gt;0,$K$18*P35/$K$17,0))</f>
        <v>149894.097767959</v>
      </c>
      <c r="E35" s="45" t="n">
        <f aca="false">L35+D35/$K$2</f>
        <v>127.963932663528</v>
      </c>
      <c r="F35" s="117" t="n">
        <f aca="false">IF($K$9=0,0,E35/$K$9)</f>
        <v>0.0203331730373325</v>
      </c>
      <c r="G35" s="117" t="n">
        <f aca="false">G34+F35</f>
        <v>0.519977357633173</v>
      </c>
      <c r="H35" s="138" t="n">
        <v>130394.79</v>
      </c>
      <c r="L35" s="45" t="n">
        <f aca="false">C35/IF(B35&lt;='VALOR POR PL'!$P$5,IFERROR(INDEX('"INCC-FGV"'!$B$2:$B$800,MATCH(B35,'"INCC-FGV"'!$A$2:$A$800,0)),$K$2),$K$2)</f>
        <v>12.6378927510229</v>
      </c>
      <c r="M35" s="139" t="n">
        <f aca="false">'CP RESUMO'!AH15</f>
        <v>0</v>
      </c>
      <c r="N35" s="140" t="n">
        <f aca="false">MAX(0,M35-M34)</f>
        <v>0</v>
      </c>
      <c r="O35" s="139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130394.79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HISTORICOS'!AI15)</f>
        <v>16916</v>
      </c>
      <c r="D36" s="45" t="n">
        <f aca="false">IF(B36&lt;='VALOR POR PL'!$P$5,0,IF($K$17&gt;0,$K$18*P36/$K$17,0))</f>
        <v>160361.997883682</v>
      </c>
      <c r="E36" s="45" t="n">
        <f aca="false">L36+D36/$K$2</f>
        <v>136.394759793622</v>
      </c>
      <c r="F36" s="117" t="n">
        <f aca="false">IF($K$9=0,0,E36/$K$9)</f>
        <v>0.0216728119755542</v>
      </c>
      <c r="G36" s="117" t="n">
        <f aca="false">G35+F36</f>
        <v>0.541650169608727</v>
      </c>
      <c r="H36" s="138" t="n">
        <v>139500.95</v>
      </c>
      <c r="L36" s="45" t="n">
        <f aca="false">C36/IF(B36&lt;='VALOR POR PL'!$P$5,IFERROR(INDEX('"INCC-FGV"'!$B$2:$B$800,MATCH(B36,'"INCC-FGV"'!$A$2:$A$800,0)),$K$2),$K$2)</f>
        <v>13.0148906475285</v>
      </c>
      <c r="M36" s="139" t="n">
        <f aca="false">'CP RESUMO'!AI15</f>
        <v>0</v>
      </c>
      <c r="N36" s="140" t="n">
        <f aca="false">MAX(0,M36-M35)</f>
        <v>0</v>
      </c>
      <c r="O36" s="139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139500.95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HISTORICOS'!AJ15)</f>
        <v>16426</v>
      </c>
      <c r="D37" s="45" t="n">
        <f aca="false">IF(B37&lt;='VALOR POR PL'!$P$5,0,IF($K$17&gt;0,$K$18*P37/$K$17,0))</f>
        <v>149872.681827634</v>
      </c>
      <c r="E37" s="45" t="n">
        <f aca="false">L37+D37/$K$2</f>
        <v>127.947455593213</v>
      </c>
      <c r="F37" s="117" t="n">
        <f aca="false">IF($K$9=0,0,E37/$K$9)</f>
        <v>0.0203305548689557</v>
      </c>
      <c r="G37" s="117" t="n">
        <f aca="false">G36+F37</f>
        <v>0.561980724477683</v>
      </c>
      <c r="H37" s="138" t="n">
        <v>130376.16</v>
      </c>
      <c r="L37" s="45" t="n">
        <f aca="false">C37/IF(B37&lt;='VALOR POR PL'!$P$5,IFERROR(INDEX('"INCC-FGV"'!$B$2:$B$800,MATCH(B37,'"INCC-FGV"'!$A$2:$A$800,0)),$K$2),$K$2)</f>
        <v>12.6378927510229</v>
      </c>
      <c r="M37" s="139" t="n">
        <f aca="false">'CP RESUMO'!AJ15</f>
        <v>0</v>
      </c>
      <c r="N37" s="140" t="n">
        <f aca="false">MAX(0,M37-M36)</f>
        <v>0</v>
      </c>
      <c r="O37" s="139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130376.16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HISTORICOS'!AK15)</f>
        <v>16426</v>
      </c>
      <c r="D38" s="45" t="n">
        <f aca="false">IF(B38&lt;='VALOR POR PL'!$P$5,0,IF($K$17&gt;0,$K$18*P38/$K$17,0))</f>
        <v>159474.55258409</v>
      </c>
      <c r="E38" s="45" t="n">
        <f aca="false">L38+D38/$K$2</f>
        <v>135.334976159953</v>
      </c>
      <c r="F38" s="117" t="n">
        <f aca="false">IF($K$9=0,0,E38/$K$9)</f>
        <v>0.0215044148064691</v>
      </c>
      <c r="G38" s="117" t="n">
        <f aca="false">G37+F38</f>
        <v>0.583485139284152</v>
      </c>
      <c r="H38" s="138" t="n">
        <v>138728.95</v>
      </c>
      <c r="L38" s="45" t="n">
        <f aca="false">C38/IF(B38&lt;='VALOR POR PL'!$P$5,IFERROR(INDEX('"INCC-FGV"'!$B$2:$B$800,MATCH(B38,'"INCC-FGV"'!$A$2:$A$800,0)),$K$2),$K$2)</f>
        <v>12.6378927510229</v>
      </c>
      <c r="M38" s="139" t="n">
        <f aca="false">'CP RESUMO'!AK15</f>
        <v>0</v>
      </c>
      <c r="N38" s="140" t="n">
        <f aca="false">MAX(0,M38-M37)</f>
        <v>0</v>
      </c>
      <c r="O38" s="139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138728.95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HISTORICOS'!AL15)</f>
        <v>16426</v>
      </c>
      <c r="D39" s="45" t="n">
        <f aca="false">IF(B39&lt;='VALOR POR PL'!$P$5,0,IF($K$17&gt;0,$K$18*P39/$K$17,0))</f>
        <v>189278.667264959</v>
      </c>
      <c r="E39" s="45" t="n">
        <f aca="false">L39+D39/$K$2</f>
        <v>158.265769102606</v>
      </c>
      <c r="F39" s="117" t="n">
        <f aca="false">IF($K$9=0,0,E39/$K$9)</f>
        <v>0.0251480647872195</v>
      </c>
      <c r="G39" s="117" t="n">
        <f aca="false">G38+F39</f>
        <v>0.608633204071372</v>
      </c>
      <c r="H39" s="138" t="n">
        <v>164655.93</v>
      </c>
      <c r="L39" s="45" t="n">
        <f aca="false">C39/IF(B39&lt;='VALOR POR PL'!$P$5,IFERROR(INDEX('"INCC-FGV"'!$B$2:$B$800,MATCH(B39,'"INCC-FGV"'!$A$2:$A$800,0)),$K$2),$K$2)</f>
        <v>12.6378927510229</v>
      </c>
      <c r="M39" s="139" t="n">
        <f aca="false">'CP RESUMO'!AL15</f>
        <v>0</v>
      </c>
      <c r="N39" s="140" t="n">
        <f aca="false">MAX(0,M39-M38)</f>
        <v>0</v>
      </c>
      <c r="O39" s="139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164655.93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HISTORICOS'!AM15)</f>
        <v>16426</v>
      </c>
      <c r="D40" s="45" t="n">
        <f aca="false">IF(B40&lt;='VALOR POR PL'!$P$5,0,IF($K$17&gt;0,$K$18*P40/$K$17,0))</f>
        <v>96263.5941865455</v>
      </c>
      <c r="E40" s="45" t="n">
        <f aca="false">L40+D40/$K$2</f>
        <v>86.7015101355081</v>
      </c>
      <c r="F40" s="117" t="n">
        <f aca="false">IF($K$9=0,0,E40/$K$9)</f>
        <v>0.013776669499669</v>
      </c>
      <c r="G40" s="117" t="n">
        <f aca="false">G39+F40</f>
        <v>0.622409873571041</v>
      </c>
      <c r="H40" s="138" t="n">
        <v>83740.93</v>
      </c>
      <c r="L40" s="45" t="n">
        <f aca="false">C40/IF(B40&lt;='VALOR POR PL'!$P$5,IFERROR(INDEX('"INCC-FGV"'!$B$2:$B$800,MATCH(B40,'"INCC-FGV"'!$A$2:$A$800,0)),$K$2),$K$2)</f>
        <v>12.6378927510229</v>
      </c>
      <c r="M40" s="139" t="n">
        <f aca="false">'CP RESUMO'!AM15</f>
        <v>0</v>
      </c>
      <c r="N40" s="140" t="n">
        <f aca="false">MAX(0,M40-M39)</f>
        <v>0</v>
      </c>
      <c r="O40" s="139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83740.93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HISTORICOS'!AN15)</f>
        <v>16426</v>
      </c>
      <c r="D41" s="45" t="n">
        <f aca="false">IF(B41&lt;='VALOR POR PL'!$P$5,0,IF($K$17&gt;0,$K$18*P41/$K$17,0))</f>
        <v>82963.3181348482</v>
      </c>
      <c r="E41" s="45" t="n">
        <f aca="false">L41+D41/$K$2</f>
        <v>76.4684976978879</v>
      </c>
      <c r="F41" s="117" t="n">
        <f aca="false">IF($K$9=0,0,E41/$K$9)</f>
        <v>0.0121506674828787</v>
      </c>
      <c r="G41" s="117" t="n">
        <f aca="false">G40+F41</f>
        <v>0.634560541053919</v>
      </c>
      <c r="H41" s="138" t="n">
        <v>72170.85</v>
      </c>
      <c r="L41" s="45" t="n">
        <f aca="false">C41/IF(B41&lt;='VALOR POR PL'!$P$5,IFERROR(INDEX('"INCC-FGV"'!$B$2:$B$800,MATCH(B41,'"INCC-FGV"'!$A$2:$A$800,0)),$K$2),$K$2)</f>
        <v>12.6378927510229</v>
      </c>
      <c r="M41" s="139" t="n">
        <f aca="false">'CP RESUMO'!AN15</f>
        <v>0</v>
      </c>
      <c r="N41" s="140" t="n">
        <f aca="false">MAX(0,M41-M40)</f>
        <v>0</v>
      </c>
      <c r="O41" s="139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72170.85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HISTORICOS'!AO15)</f>
        <v>16426</v>
      </c>
      <c r="D42" s="45" t="n">
        <f aca="false">IF(B42&lt;='VALOR POR PL'!$P$5,0,IF($K$17&gt;0,$K$18*P42/$K$17,0))</f>
        <v>81941.5835089623</v>
      </c>
      <c r="E42" s="45" t="n">
        <f aca="false">L42+D42/$K$2</f>
        <v>75.6823919739166</v>
      </c>
      <c r="F42" s="117" t="n">
        <f aca="false">IF($K$9=0,0,E42/$K$9)</f>
        <v>0.0120257571008793</v>
      </c>
      <c r="G42" s="117" t="n">
        <f aca="false">G41+F42</f>
        <v>0.646586298154799</v>
      </c>
      <c r="H42" s="138" t="n">
        <v>71282.03</v>
      </c>
      <c r="L42" s="45" t="n">
        <f aca="false">C42/IF(B42&lt;='VALOR POR PL'!$P$5,IFERROR(INDEX('"INCC-FGV"'!$B$2:$B$800,MATCH(B42,'"INCC-FGV"'!$A$2:$A$800,0)),$K$2),$K$2)</f>
        <v>12.6378927510229</v>
      </c>
      <c r="M42" s="139" t="n">
        <f aca="false">'CP RESUMO'!AO15</f>
        <v>0</v>
      </c>
      <c r="N42" s="140" t="n">
        <f aca="false">MAX(0,M42-M41)</f>
        <v>0</v>
      </c>
      <c r="O42" s="139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71282.03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HISTORICOS'!AP15)</f>
        <v>16426</v>
      </c>
      <c r="D43" s="45" t="n">
        <f aca="false">IF(B43&lt;='VALOR POR PL'!$P$5,0,IF($K$17&gt;0,$K$18*P43/$K$17,0))</f>
        <v>87092.6057120147</v>
      </c>
      <c r="E43" s="45" t="n">
        <f aca="false">L43+D43/$K$2</f>
        <v>79.6455032706604</v>
      </c>
      <c r="F43" s="117" t="n">
        <f aca="false">IF($K$9=0,0,E43/$K$9)</f>
        <v>0.0126554863228999</v>
      </c>
      <c r="G43" s="117" t="n">
        <f aca="false">G42+F43</f>
        <v>0.659241784477699</v>
      </c>
      <c r="H43" s="138" t="n">
        <v>75762.97</v>
      </c>
      <c r="L43" s="45" t="n">
        <f aca="false">C43/IF(B43&lt;='VALOR POR PL'!$P$5,IFERROR(INDEX('"INCC-FGV"'!$B$2:$B$800,MATCH(B43,'"INCC-FGV"'!$A$2:$A$800,0)),$K$2),$K$2)</f>
        <v>12.6378927510229</v>
      </c>
      <c r="M43" s="139" t="n">
        <f aca="false">'CP RESUMO'!AP15</f>
        <v>0</v>
      </c>
      <c r="N43" s="140" t="n">
        <f aca="false">MAX(0,M43-M42)</f>
        <v>0</v>
      </c>
      <c r="O43" s="139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75762.97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HISTORICOS'!AQ15)</f>
        <v>16426</v>
      </c>
      <c r="D44" s="45" t="n">
        <f aca="false">IF(B44&lt;='VALOR POR PL'!$P$5,0,IF($K$17&gt;0,$K$18*P44/$K$17,0))</f>
        <v>254136.928756764</v>
      </c>
      <c r="E44" s="45" t="n">
        <f aca="false">L44+D44/$K$2</f>
        <v>208.166642885099</v>
      </c>
      <c r="F44" s="117" t="n">
        <f aca="false">IF($K$9=0,0,E44/$K$9)</f>
        <v>0.0330771982564248</v>
      </c>
      <c r="G44" s="117" t="n">
        <f aca="false">G43+F44</f>
        <v>0.692318982734123</v>
      </c>
      <c r="H44" s="138" t="n">
        <v>221076.96</v>
      </c>
      <c r="L44" s="45" t="n">
        <f aca="false">C44/IF(B44&lt;='VALOR POR PL'!$P$5,IFERROR(INDEX('"INCC-FGV"'!$B$2:$B$800,MATCH(B44,'"INCC-FGV"'!$A$2:$A$800,0)),$K$2),$K$2)</f>
        <v>12.6378927510229</v>
      </c>
      <c r="M44" s="139" t="n">
        <f aca="false">'CP RESUMO'!AQ15</f>
        <v>0</v>
      </c>
      <c r="N44" s="140" t="n">
        <f aca="false">MAX(0,M44-M43)</f>
        <v>0</v>
      </c>
      <c r="O44" s="139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221076.96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HISTORICOS'!AR15)</f>
        <v>16426</v>
      </c>
      <c r="D45" s="45" t="n">
        <f aca="false">IF(B45&lt;='VALOR POR PL'!$P$5,0,IF($K$17&gt;0,$K$18*P45/$K$17,0))</f>
        <v>158254.821094989</v>
      </c>
      <c r="E45" s="45" t="n">
        <f aca="false">L45+D45/$K$2</f>
        <v>134.396534923846</v>
      </c>
      <c r="F45" s="117" t="n">
        <f aca="false">IF($K$9=0,0,E45/$K$9)</f>
        <v>0.0213552986638033</v>
      </c>
      <c r="G45" s="117" t="n">
        <f aca="false">G44+F45</f>
        <v>0.713674281397927</v>
      </c>
      <c r="H45" s="138" t="n">
        <v>137667.89</v>
      </c>
      <c r="L45" s="45" t="n">
        <f aca="false">C45/IF(B45&lt;='VALOR POR PL'!$P$5,IFERROR(INDEX('"INCC-FGV"'!$B$2:$B$800,MATCH(B45,'"INCC-FGV"'!$A$2:$A$800,0)),$K$2),$K$2)</f>
        <v>12.6378927510229</v>
      </c>
      <c r="M45" s="139" t="n">
        <f aca="false">'CP RESUMO'!AR15</f>
        <v>0</v>
      </c>
      <c r="N45" s="140" t="n">
        <f aca="false">MAX(0,M45-M44)</f>
        <v>0</v>
      </c>
      <c r="O45" s="139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137667.89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HISTORICOS'!AS15)</f>
        <v>25397.79</v>
      </c>
      <c r="D46" s="45" t="n">
        <f aca="false">IF(B46&lt;='VALOR POR PL'!$P$5,0,IF($K$17&gt;0,$K$18*P46/$K$17,0))</f>
        <v>120447.651131798</v>
      </c>
      <c r="E46" s="45" t="n">
        <f aca="false">L46+D46/$K$2</f>
        <v>112.211070452288</v>
      </c>
      <c r="F46" s="117" t="n">
        <f aca="false">IF($K$9=0,0,E46/$K$9)</f>
        <v>0.0178300796538507</v>
      </c>
      <c r="G46" s="117" t="n">
        <f aca="false">G45+F46</f>
        <v>0.731504361051777</v>
      </c>
      <c r="H46" s="138" t="n">
        <v>104778.95</v>
      </c>
      <c r="L46" s="45" t="n">
        <f aca="false">C46/IF(B46&lt;='VALOR POR PL'!$P$5,IFERROR(INDEX('"INCC-FGV"'!$B$2:$B$800,MATCH(B46,'"INCC-FGV"'!$A$2:$A$800,0)),$K$2),$K$2)</f>
        <v>19.5406396038598</v>
      </c>
      <c r="M46" s="139" t="n">
        <f aca="false">'CP RESUMO'!AS15</f>
        <v>0</v>
      </c>
      <c r="N46" s="140" t="n">
        <f aca="false">MAX(0,M46-M45)</f>
        <v>0</v>
      </c>
      <c r="O46" s="139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104778.95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HISTORICOS'!AT15)</f>
        <v>16426</v>
      </c>
      <c r="D47" s="45" t="n">
        <f aca="false">IF(B47&lt;='VALOR POR PL'!$P$5,0,IF($K$17&gt;0,$K$18*P47/$K$17,0))</f>
        <v>129516.307507146</v>
      </c>
      <c r="E47" s="45" t="n">
        <f aca="false">L47+D47/$K$2</f>
        <v>112.285597839529</v>
      </c>
      <c r="F47" s="117" t="n">
        <f aca="false">IF($K$9=0,0,E47/$K$9)</f>
        <v>0.0178419218833699</v>
      </c>
      <c r="G47" s="117" t="n">
        <f aca="false">G46+F47</f>
        <v>0.749346282935147</v>
      </c>
      <c r="H47" s="138" t="n">
        <v>112667.89</v>
      </c>
      <c r="L47" s="45" t="n">
        <f aca="false">C47/IF(B47&lt;='VALOR POR PL'!$P$5,IFERROR(INDEX('"INCC-FGV"'!$B$2:$B$800,MATCH(B47,'"INCC-FGV"'!$A$2:$A$800,0)),$K$2),$K$2)</f>
        <v>12.6378927510229</v>
      </c>
      <c r="M47" s="139" t="n">
        <f aca="false">'CP RESUMO'!AT15</f>
        <v>0</v>
      </c>
      <c r="N47" s="140" t="n">
        <f aca="false">MAX(0,M47-M46)</f>
        <v>0</v>
      </c>
      <c r="O47" s="139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112667.89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HISTORICOS'!AU15)</f>
        <v>27381.74</v>
      </c>
      <c r="D48" s="45" t="n">
        <f aca="false">IF(B48&lt;='VALOR POR PL'!$P$5,0,IF($K$17&gt;0,$K$18*P48/$K$17,0))</f>
        <v>123708.276901853</v>
      </c>
      <c r="E48" s="45" t="n">
        <f aca="false">L48+D48/$K$2</f>
        <v>116.246160316319</v>
      </c>
      <c r="F48" s="117" t="n">
        <f aca="false">IF($K$9=0,0,E48/$K$9)</f>
        <v>0.0184712461037929</v>
      </c>
      <c r="G48" s="117" t="n">
        <f aca="false">G47+F48</f>
        <v>0.76781752903894</v>
      </c>
      <c r="H48" s="138" t="n">
        <v>107615.41</v>
      </c>
      <c r="L48" s="45" t="n">
        <f aca="false">C48/IF(B48&lt;='VALOR POR PL'!$P$5,IFERROR(INDEX('"INCC-FGV"'!$B$2:$B$800,MATCH(B48,'"INCC-FGV"'!$A$2:$A$800,0)),$K$2),$K$2)</f>
        <v>21.0670579238033</v>
      </c>
      <c r="M48" s="139" t="n">
        <f aca="false">'CP RESUMO'!AU15</f>
        <v>0</v>
      </c>
      <c r="N48" s="140" t="n">
        <f aca="false">MAX(0,M48-M47)</f>
        <v>0</v>
      </c>
      <c r="O48" s="139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107615.41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HISTORICOS'!AV15)</f>
        <v>16876</v>
      </c>
      <c r="D49" s="45" t="n">
        <f aca="false">IF(B49&lt;='VALOR POR PL'!$P$5,0,IF($K$17&gt;0,$K$18*P49/$K$17,0))</f>
        <v>124416.945656119</v>
      </c>
      <c r="E49" s="45" t="n">
        <f aca="false">L49+D49/$K$2</f>
        <v>108.708455721304</v>
      </c>
      <c r="F49" s="117" t="n">
        <f aca="false">IF($K$9=0,0,E49/$K$9)</f>
        <v>0.0172735222714241</v>
      </c>
      <c r="G49" s="117" t="n">
        <f aca="false">G48+F49</f>
        <v>0.785091051310364</v>
      </c>
      <c r="H49" s="138" t="n">
        <v>108231.89</v>
      </c>
      <c r="L49" s="45" t="n">
        <f aca="false">C49/IF(B49&lt;='VALOR POR PL'!$P$5,IFERROR(INDEX('"INCC-FGV"'!$B$2:$B$800,MATCH(B49,'"INCC-FGV"'!$A$2:$A$800,0)),$K$2),$K$2)</f>
        <v>12.9841153090383</v>
      </c>
      <c r="M49" s="139" t="n">
        <f aca="false">'CP RESUMO'!AV15</f>
        <v>0</v>
      </c>
      <c r="N49" s="140" t="n">
        <f aca="false">MAX(0,M49-M48)</f>
        <v>0</v>
      </c>
      <c r="O49" s="139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108231.89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HISTORICOS'!AW15)</f>
        <v>16426</v>
      </c>
      <c r="D50" s="45" t="n">
        <f aca="false">IF(B50&lt;='VALOR POR PL'!$P$5,0,IF($K$17&gt;0,$K$18*P50/$K$17,0))</f>
        <v>149074.590314488</v>
      </c>
      <c r="E50" s="45" t="n">
        <f aca="false">L50+D50/$K$2</f>
        <v>127.333417181632</v>
      </c>
      <c r="F50" s="117" t="n">
        <f aca="false">IF($K$9=0,0,E50/$K$9)</f>
        <v>0.0202329855850616</v>
      </c>
      <c r="G50" s="117" t="n">
        <f aca="false">G49+F50</f>
        <v>0.805324036895426</v>
      </c>
      <c r="H50" s="138" t="n">
        <v>129681.89</v>
      </c>
      <c r="L50" s="45" t="n">
        <f aca="false">C50/IF(B50&lt;='VALOR POR PL'!$P$5,IFERROR(INDEX('"INCC-FGV"'!$B$2:$B$800,MATCH(B50,'"INCC-FGV"'!$A$2:$A$800,0)),$K$2),$K$2)</f>
        <v>12.6378927510229</v>
      </c>
      <c r="M50" s="139" t="n">
        <f aca="false">'CP RESUMO'!AW15</f>
        <v>0</v>
      </c>
      <c r="N50" s="140" t="n">
        <f aca="false">MAX(0,M50-M49)</f>
        <v>0</v>
      </c>
      <c r="O50" s="139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129681.89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HISTORICOS'!AX15)</f>
        <v>16426</v>
      </c>
      <c r="D51" s="45" t="n">
        <f aca="false">IF(B51&lt;='VALOR POR PL'!$P$5,0,IF($K$17&gt;0,$K$18*P51/$K$17,0))</f>
        <v>104185.032090277</v>
      </c>
      <c r="E51" s="45" t="n">
        <f aca="false">L51+D51/$K$2</f>
        <v>92.7961334559297</v>
      </c>
      <c r="F51" s="117" t="n">
        <f aca="false">IF($K$9=0,0,E51/$K$9)</f>
        <v>0.0147450910540248</v>
      </c>
      <c r="G51" s="117" t="n">
        <f aca="false">G50+F51</f>
        <v>0.820069127949451</v>
      </c>
      <c r="H51" s="138" t="n">
        <v>90631.89</v>
      </c>
      <c r="L51" s="45" t="n">
        <f aca="false">C51/IF(B51&lt;='VALOR POR PL'!$P$5,IFERROR(INDEX('"INCC-FGV"'!$B$2:$B$800,MATCH(B51,'"INCC-FGV"'!$A$2:$A$800,0)),$K$2),$K$2)</f>
        <v>12.6378927510229</v>
      </c>
      <c r="M51" s="139" t="n">
        <f aca="false">'CP RESUMO'!AX15</f>
        <v>0</v>
      </c>
      <c r="N51" s="140" t="n">
        <f aca="false">MAX(0,M51-M50)</f>
        <v>0</v>
      </c>
      <c r="O51" s="139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90631.89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HISTORICOS'!AY15)</f>
        <v>16426</v>
      </c>
      <c r="D52" s="45" t="n">
        <f aca="false">IF(B52&lt;='VALOR POR PL'!$P$5,0,IF($K$17&gt;0,$K$18*P52/$K$17,0))</f>
        <v>104185.032090277</v>
      </c>
      <c r="E52" s="45" t="n">
        <f aca="false">L52+D52/$K$2</f>
        <v>92.7961334559297</v>
      </c>
      <c r="F52" s="117" t="n">
        <f aca="false">IF($K$9=0,0,E52/$K$9)</f>
        <v>0.0147450910540248</v>
      </c>
      <c r="G52" s="117" t="n">
        <f aca="false">G51+F52</f>
        <v>0.834814219003475</v>
      </c>
      <c r="H52" s="138" t="n">
        <v>90631.89</v>
      </c>
      <c r="L52" s="45" t="n">
        <f aca="false">C52/IF(B52&lt;='VALOR POR PL'!$P$5,IFERROR(INDEX('"INCC-FGV"'!$B$2:$B$800,MATCH(B52,'"INCC-FGV"'!$A$2:$A$800,0)),$K$2),$K$2)</f>
        <v>12.6378927510229</v>
      </c>
      <c r="M52" s="139" t="n">
        <f aca="false">'CP RESUMO'!AY15</f>
        <v>0</v>
      </c>
      <c r="N52" s="140" t="n">
        <f aca="false">MAX(0,M52-M51)</f>
        <v>0</v>
      </c>
      <c r="O52" s="139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90631.89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HISTORICOS'!AZ15)</f>
        <v>16426</v>
      </c>
      <c r="D53" s="45" t="n">
        <f aca="false">IF(B53&lt;='VALOR POR PL'!$P$5,0,IF($K$17&gt;0,$K$18*P53/$K$17,0))</f>
        <v>170340.078773814</v>
      </c>
      <c r="E53" s="45" t="n">
        <f aca="false">L53+D53/$K$2</f>
        <v>143.69473231904</v>
      </c>
      <c r="F53" s="117" t="n">
        <f aca="false">IF($K$9=0,0,E53/$K$9)</f>
        <v>0.0228327607317196</v>
      </c>
      <c r="G53" s="117" t="n">
        <f aca="false">G52+F53</f>
        <v>0.857646979735195</v>
      </c>
      <c r="H53" s="138" t="n">
        <v>148181.01</v>
      </c>
      <c r="L53" s="45" t="n">
        <f aca="false">C53/IF(B53&lt;='VALOR POR PL'!$P$5,IFERROR(INDEX('"INCC-FGV"'!$B$2:$B$800,MATCH(B53,'"INCC-FGV"'!$A$2:$A$800,0)),$K$2),$K$2)</f>
        <v>12.6378927510229</v>
      </c>
      <c r="M53" s="139" t="n">
        <f aca="false">'CP RESUMO'!AZ15</f>
        <v>0</v>
      </c>
      <c r="N53" s="140" t="n">
        <f aca="false">MAX(0,M53-M52)</f>
        <v>0</v>
      </c>
      <c r="O53" s="139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148181.01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HISTORICOS'!BA15)</f>
        <v>16426</v>
      </c>
      <c r="D54" s="45" t="n">
        <f aca="false">IF(B54&lt;='VALOR POR PL'!$P$5,0,IF($K$17&gt;0,$K$18*P54/$K$17,0))</f>
        <v>0</v>
      </c>
      <c r="E54" s="45" t="n">
        <f aca="false">L54+D54/$K$2</f>
        <v>12.6378927510229</v>
      </c>
      <c r="F54" s="117" t="n">
        <f aca="false">IF($K$9=0,0,E54/$K$9)</f>
        <v>0.00200813193831326</v>
      </c>
      <c r="G54" s="117" t="n">
        <f aca="false">G53+F54</f>
        <v>0.859655111673508</v>
      </c>
      <c r="H54" s="138"/>
      <c r="L54" s="45" t="n">
        <f aca="false">C54/IF(B54&lt;='VALOR POR PL'!$P$5,IFERROR(INDEX('"INCC-FGV"'!$B$2:$B$800,MATCH(B54,'"INCC-FGV"'!$A$2:$A$800,0)),$K$2),$K$2)</f>
        <v>12.6378927510229</v>
      </c>
      <c r="M54" s="139" t="n">
        <f aca="false">'CP RESUMO'!BA15</f>
        <v>0</v>
      </c>
      <c r="N54" s="140" t="n">
        <f aca="false">MAX(0,M54-M53)</f>
        <v>0</v>
      </c>
      <c r="O54" s="139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HISTORICOS'!BB15)</f>
        <v>16426</v>
      </c>
      <c r="D55" s="45" t="n">
        <f aca="false">IF(B55&lt;='VALOR POR PL'!$P$5,0,IF($K$17&gt;0,$K$18*P55/$K$17,0))</f>
        <v>0</v>
      </c>
      <c r="E55" s="45" t="n">
        <f aca="false">L55+D55/$K$2</f>
        <v>12.6378927510229</v>
      </c>
      <c r="F55" s="117" t="n">
        <f aca="false">IF($K$9=0,0,E55/$K$9)</f>
        <v>0.00200813193831326</v>
      </c>
      <c r="G55" s="117" t="n">
        <f aca="false">G54+F55</f>
        <v>0.861663243611821</v>
      </c>
      <c r="H55" s="138"/>
      <c r="L55" s="45" t="n">
        <f aca="false">C55/IF(B55&lt;='VALOR POR PL'!$P$5,IFERROR(INDEX('"INCC-FGV"'!$B$2:$B$800,MATCH(B55,'"INCC-FGV"'!$A$2:$A$800,0)),$K$2),$K$2)</f>
        <v>12.6378927510229</v>
      </c>
      <c r="M55" s="139" t="n">
        <f aca="false">'CP RESUMO'!BB15</f>
        <v>0</v>
      </c>
      <c r="N55" s="140" t="n">
        <f aca="false">MAX(0,M55-M54)</f>
        <v>0</v>
      </c>
      <c r="O55" s="139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HISTORICOS'!BC15)</f>
        <v>16426</v>
      </c>
      <c r="D56" s="45" t="n">
        <f aca="false">IF(B56&lt;='VALOR POR PL'!$P$5,0,IF($K$17&gt;0,$K$18*P56/$K$17,0))</f>
        <v>0</v>
      </c>
      <c r="E56" s="45" t="n">
        <f aca="false">L56+D56/$K$2</f>
        <v>12.6378927510229</v>
      </c>
      <c r="F56" s="117" t="n">
        <f aca="false">IF($K$9=0,0,E56/$K$9)</f>
        <v>0.00200813193831326</v>
      </c>
      <c r="G56" s="117" t="n">
        <f aca="false">G55+F56</f>
        <v>0.863671375550135</v>
      </c>
      <c r="H56" s="138"/>
      <c r="L56" s="45" t="n">
        <f aca="false">C56/IF(B56&lt;='VALOR POR PL'!$P$5,IFERROR(INDEX('"INCC-FGV"'!$B$2:$B$800,MATCH(B56,'"INCC-FGV"'!$A$2:$A$800,0)),$K$2),$K$2)</f>
        <v>12.6378927510229</v>
      </c>
      <c r="M56" s="139" t="n">
        <f aca="false">'CP RESUMO'!BC15</f>
        <v>0</v>
      </c>
      <c r="N56" s="140" t="n">
        <f aca="false">MAX(0,M56-M55)</f>
        <v>0</v>
      </c>
      <c r="O56" s="139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HISTORICOS'!BD15)</f>
        <v>16426</v>
      </c>
      <c r="D57" s="45" t="n">
        <f aca="false">IF(B57&lt;='VALOR POR PL'!$P$5,0,IF($K$17&gt;0,$K$18*P57/$K$17,0))</f>
        <v>0</v>
      </c>
      <c r="E57" s="45" t="n">
        <f aca="false">L57+D57/$K$2</f>
        <v>12.6378927510229</v>
      </c>
      <c r="F57" s="117" t="n">
        <f aca="false">IF($K$9=0,0,E57/$K$9)</f>
        <v>0.00200813193831326</v>
      </c>
      <c r="G57" s="117" t="n">
        <f aca="false">G56+F57</f>
        <v>0.865679507488448</v>
      </c>
      <c r="H57" s="138"/>
      <c r="L57" s="45" t="n">
        <f aca="false">C57/IF(B57&lt;='VALOR POR PL'!$P$5,IFERROR(INDEX('"INCC-FGV"'!$B$2:$B$800,MATCH(B57,'"INCC-FGV"'!$A$2:$A$800,0)),$K$2),$K$2)</f>
        <v>12.6378927510229</v>
      </c>
      <c r="M57" s="139" t="n">
        <f aca="false">'CP RESUMO'!BD15</f>
        <v>0</v>
      </c>
      <c r="N57" s="140" t="n">
        <f aca="false">MAX(0,M57-M56)</f>
        <v>0</v>
      </c>
      <c r="O57" s="139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HISTORICOS'!BE15)</f>
        <v>16426</v>
      </c>
      <c r="D58" s="45" t="n">
        <f aca="false">IF(B58&lt;='VALOR POR PL'!$P$5,0,IF($K$17&gt;0,$K$18*P58/$K$17,0))</f>
        <v>0</v>
      </c>
      <c r="E58" s="45" t="n">
        <f aca="false">L58+D58/$K$2</f>
        <v>12.6378927510229</v>
      </c>
      <c r="F58" s="117" t="n">
        <f aca="false">IF($K$9=0,0,E58/$K$9)</f>
        <v>0.00200813193831326</v>
      </c>
      <c r="G58" s="117" t="n">
        <f aca="false">G57+F58</f>
        <v>0.867687639426761</v>
      </c>
      <c r="H58" s="138"/>
      <c r="L58" s="45" t="n">
        <f aca="false">C58/IF(B58&lt;='VALOR POR PL'!$P$5,IFERROR(INDEX('"INCC-FGV"'!$B$2:$B$800,MATCH(B58,'"INCC-FGV"'!$A$2:$A$800,0)),$K$2),$K$2)</f>
        <v>12.6378927510229</v>
      </c>
      <c r="M58" s="139" t="n">
        <f aca="false">'CP RESUMO'!BE15</f>
        <v>0</v>
      </c>
      <c r="N58" s="140" t="n">
        <f aca="false">MAX(0,M58-M57)</f>
        <v>0</v>
      </c>
      <c r="O58" s="139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HISTORICOS'!BF15)</f>
        <v>16426</v>
      </c>
      <c r="D59" s="45" t="n">
        <f aca="false">IF(B59&lt;='VALOR POR PL'!$P$5,0,IF($K$17&gt;0,$K$18*P59/$K$17,0))</f>
        <v>0</v>
      </c>
      <c r="E59" s="45" t="n">
        <f aca="false">L59+D59/$K$2</f>
        <v>12.6378927510229</v>
      </c>
      <c r="F59" s="117" t="n">
        <f aca="false">IF($K$9=0,0,E59/$K$9)</f>
        <v>0.00200813193831326</v>
      </c>
      <c r="G59" s="117" t="n">
        <f aca="false">G58+F59</f>
        <v>0.869695771365075</v>
      </c>
      <c r="H59" s="138"/>
      <c r="L59" s="45" t="n">
        <f aca="false">C59/IF(B59&lt;='VALOR POR PL'!$P$5,IFERROR(INDEX('"INCC-FGV"'!$B$2:$B$800,MATCH(B59,'"INCC-FGV"'!$A$2:$A$800,0)),$K$2),$K$2)</f>
        <v>12.6378927510229</v>
      </c>
      <c r="M59" s="139" t="n">
        <f aca="false">'CP RESUMO'!BF15</f>
        <v>0</v>
      </c>
      <c r="N59" s="140" t="n">
        <f aca="false">MAX(0,M59-M58)</f>
        <v>0</v>
      </c>
      <c r="O59" s="139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HISTORICOS'!BG15)</f>
        <v>16428</v>
      </c>
      <c r="D60" s="45" t="n">
        <f aca="false">IF(B60&lt;='VALOR POR PL'!$P$5,0,IF($K$17&gt;0,$K$18*P60/$K$17,0))</f>
        <v>1049426.89664345</v>
      </c>
      <c r="E60" s="45" t="n">
        <f aca="false">L60+D60/$K$2</f>
        <v>820.051130642425</v>
      </c>
      <c r="F60" s="117" t="n">
        <f aca="false">IF($K$9=0,0,E60/$K$9)</f>
        <v>0.130304228634926</v>
      </c>
      <c r="G60" s="117" t="n">
        <f aca="false">G59+F60</f>
        <v>1</v>
      </c>
      <c r="H60" s="138" t="n">
        <v>912909.86</v>
      </c>
      <c r="L60" s="45" t="n">
        <f aca="false">C60/IF(B60&lt;='VALOR POR PL'!$P$5,IFERROR(INDEX('"INCC-FGV"'!$B$2:$B$800,MATCH(B60,'"INCC-FGV"'!$A$2:$A$800,0)),$K$2),$K$2)</f>
        <v>12.6394315179474</v>
      </c>
      <c r="M60" s="139" t="n">
        <f aca="false">'CP RESUMO'!BG15</f>
        <v>0</v>
      </c>
      <c r="N60" s="140" t="n">
        <f aca="false">MAX(0,M60-M59)</f>
        <v>0</v>
      </c>
      <c r="O60" s="139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912909.86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RESUMO'!BH15</f>
        <v>0</v>
      </c>
      <c r="N61" s="140" t="n">
        <f aca="false">MAX(0,M61-M60)</f>
        <v>0</v>
      </c>
      <c r="O61" s="139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RESUMO'!BI15</f>
        <v>0</v>
      </c>
      <c r="N62" s="140" t="n">
        <f aca="false">MAX(0,M62-M61)</f>
        <v>0</v>
      </c>
      <c r="O62" s="139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RESUMO'!BJ15</f>
        <v>0</v>
      </c>
      <c r="N63" s="140" t="n">
        <f aca="false">MAX(0,M63-M62)</f>
        <v>0</v>
      </c>
      <c r="O63" s="139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RESUMO'!BK15</f>
        <v>0</v>
      </c>
      <c r="N64" s="140" t="n">
        <f aca="false">MAX(0,M64-M63)</f>
        <v>0</v>
      </c>
      <c r="O64" s="139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RESUMO'!BL15</f>
        <v>0</v>
      </c>
      <c r="N65" s="140" t="n">
        <f aca="false">MAX(0,M65-M64)</f>
        <v>0</v>
      </c>
      <c r="O65" s="139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RESUMO'!BM15</f>
        <v>0</v>
      </c>
      <c r="N66" s="140" t="n">
        <f aca="false">MAX(0,M66-M65)</f>
        <v>0</v>
      </c>
      <c r="O66" s="139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RESUMO'!BN15</f>
        <v>0</v>
      </c>
      <c r="N67" s="140" t="n">
        <f aca="false">MAX(0,M67-M66)</f>
        <v>0</v>
      </c>
      <c r="O67" s="139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RESUMO'!BO15</f>
        <v>0</v>
      </c>
      <c r="N68" s="140" t="n">
        <f aca="false">MAX(0,M68-M67)</f>
        <v>0</v>
      </c>
      <c r="O68" s="139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RESUMO'!BP15</f>
        <v>0</v>
      </c>
      <c r="N69" s="140" t="n">
        <f aca="false">MAX(0,M69-M68)</f>
        <v>0</v>
      </c>
      <c r="O69" s="139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RESUMO'!BQ15</f>
        <v>0</v>
      </c>
      <c r="N70" s="140" t="n">
        <f aca="false">MAX(0,M70-M69)</f>
        <v>0</v>
      </c>
      <c r="O70" s="139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RESUMO'!BR15</f>
        <v>0</v>
      </c>
      <c r="N71" s="140" t="n">
        <f aca="false">MAX(0,M71-M70)</f>
        <v>0</v>
      </c>
      <c r="O71" s="139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RESUMO'!BS15</f>
        <v>0</v>
      </c>
      <c r="N72" s="140" t="n">
        <f aca="false">MAX(0,M72-M71)</f>
        <v>0</v>
      </c>
      <c r="O72" s="139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RESUMO'!BT15</f>
        <v>0</v>
      </c>
      <c r="N73" s="140" t="n">
        <f aca="false">MAX(0,M73-M72)</f>
        <v>0</v>
      </c>
      <c r="O73" s="139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RESUMO'!BU15</f>
        <v>0</v>
      </c>
      <c r="N74" s="140" t="n">
        <f aca="false">MAX(0,M74-M73)</f>
        <v>0</v>
      </c>
      <c r="O74" s="139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RESUMO'!BV15</f>
        <v>0</v>
      </c>
      <c r="N75" s="140" t="n">
        <f aca="false">MAX(0,M75-M74)</f>
        <v>0</v>
      </c>
      <c r="O75" s="139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RESUMO'!BW15</f>
        <v>0</v>
      </c>
      <c r="N76" s="140" t="n">
        <f aca="false">MAX(0,M76-M75)</f>
        <v>0</v>
      </c>
      <c r="O76" s="139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2893878.22</v>
      </c>
      <c r="D78" s="61" t="n">
        <f aca="false">SUM(D5:D76)</f>
        <v>5219667.05109457</v>
      </c>
      <c r="E78" s="61" t="n">
        <f aca="false">SUM(E5:E76)</f>
        <v>6293.35777689893</v>
      </c>
      <c r="F78" s="145" t="n">
        <f aca="false">SUM(F5:F76)</f>
        <v>1</v>
      </c>
      <c r="H78" s="61" t="n">
        <f aca="false">SUM(H5:H76)</f>
        <v>4612655.21</v>
      </c>
      <c r="L78" s="61" t="n">
        <f aca="false">SUM(L5:L76)</f>
        <v>2277.43226930237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HISTORICOS'!D16)</f>
        <v>4200.01</v>
      </c>
      <c r="D5" s="45" t="n">
        <f aca="false">IF(B5&lt;='VALOR POR PL'!$P$5,0,IF($K$17&gt;0,$K$18*P5/$K$17,0))</f>
        <v>0</v>
      </c>
      <c r="E5" s="45" t="n">
        <f aca="false">L5+D5/$K$2</f>
        <v>3.70579233334963</v>
      </c>
      <c r="F5" s="117" t="n">
        <f aca="false">IF($K$9=0,0,E5/$K$9)</f>
        <v>0.0829775173076934</v>
      </c>
      <c r="G5" s="117" t="n">
        <f aca="false">F5</f>
        <v>0.0829775173076934</v>
      </c>
      <c r="H5" s="138"/>
      <c r="I5" s="42" t="s">
        <v>3894</v>
      </c>
      <c r="J5" s="56" t="n">
        <f aca="false">'VALOR POR PL'!F22</f>
        <v>25566.72</v>
      </c>
      <c r="K5" s="56" t="n">
        <f aca="false">'VALOR POR PL'!G22</f>
        <v>21.888268</v>
      </c>
      <c r="L5" s="56" t="n">
        <f aca="false">'DADOS HISTORICOS'!$BZ$16</f>
        <v>3.70579233334963</v>
      </c>
      <c r="M5" s="139" t="n">
        <f aca="false">'CP RESUMO'!D16</f>
        <v>0</v>
      </c>
      <c r="N5" s="140" t="n">
        <v>0</v>
      </c>
      <c r="O5" s="139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HISTORICOS'!E16)</f>
        <v>29638</v>
      </c>
      <c r="D6" s="45" t="n">
        <f aca="false">IF(B6&lt;='VALOR POR PL'!$P$5,0,IF($K$17&gt;0,$K$18*P6/$K$17,0))</f>
        <v>0</v>
      </c>
      <c r="E6" s="45" t="n">
        <f aca="false">L6+D6/$K$2</f>
        <v>25.3507778526682</v>
      </c>
      <c r="F6" s="117" t="n">
        <f aca="false">IF($K$9=0,0,E6/$K$9)</f>
        <v>0.567636936668787</v>
      </c>
      <c r="G6" s="117" t="n">
        <f aca="false">G5+F6</f>
        <v>0.650614453976481</v>
      </c>
      <c r="H6" s="138"/>
      <c r="I6" s="42" t="s">
        <v>3895</v>
      </c>
      <c r="K6" s="52" t="n">
        <f aca="false">'VALOR POR PL'!H22</f>
        <v>44.6601977690895</v>
      </c>
      <c r="L6" s="45" t="n">
        <f aca="false">C6/IF(B6&lt;='VALOR POR PL'!$P$5,IFERROR(INDEX('"INCC-FGV"'!$B$2:$B$800,MATCH(B6,'"INCC-FGV"'!$A$2:$A$800,0)),$K$2),$K$2)</f>
        <v>25.3507778526682</v>
      </c>
      <c r="M6" s="139" t="n">
        <f aca="false">'CP RESUMO'!E16</f>
        <v>0</v>
      </c>
      <c r="N6" s="140" t="n">
        <f aca="false">MAX(0,M6-M5)</f>
        <v>0</v>
      </c>
      <c r="O6" s="139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HISTORICOS'!F16)</f>
        <v>13160.36</v>
      </c>
      <c r="D7" s="45" t="n">
        <f aca="false">IF(B7&lt;='VALOR POR PL'!$P$5,0,IF($K$17&gt;0,$K$18*P7/$K$17,0))</f>
        <v>0</v>
      </c>
      <c r="E7" s="45" t="n">
        <f aca="false">L7+D7/$K$2</f>
        <v>11.2119954846542</v>
      </c>
      <c r="F7" s="117" t="n">
        <f aca="false">IF($K$9=0,0,E7/$K$9)</f>
        <v>0.251051183038297</v>
      </c>
      <c r="G7" s="117" t="n">
        <f aca="false">G6+F7</f>
        <v>0.901665637014777</v>
      </c>
      <c r="H7" s="138"/>
      <c r="I7" s="42" t="s">
        <v>3896</v>
      </c>
      <c r="J7" s="45" t="n">
        <f aca="false">C78+D78</f>
        <v>52250.01</v>
      </c>
      <c r="L7" s="45" t="n">
        <f aca="false">C7/IF(B7&lt;='VALOR POR PL'!$P$5,IFERROR(INDEX('"INCC-FGV"'!$B$2:$B$800,MATCH(B7,'"INCC-FGV"'!$A$2:$A$800,0)),$K$2),$K$2)</f>
        <v>11.2119954846542</v>
      </c>
      <c r="M7" s="139" t="n">
        <f aca="false">'CP RESUMO'!F16</f>
        <v>0</v>
      </c>
      <c r="N7" s="140" t="n">
        <f aca="false">MAX(0,M7-M6)</f>
        <v>0</v>
      </c>
      <c r="O7" s="139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HISTORICOS'!G16)</f>
        <v>901.64</v>
      </c>
      <c r="D8" s="45" t="n">
        <f aca="false">IF(B8&lt;='VALOR POR PL'!$P$5,0,IF($K$17&gt;0,$K$18*P8/$K$17,0))</f>
        <v>0</v>
      </c>
      <c r="E8" s="45" t="n">
        <f aca="false">L8+D8/$K$2</f>
        <v>0.765148262114451</v>
      </c>
      <c r="F8" s="117" t="n">
        <f aca="false">IF($K$9=0,0,E8/$K$9)</f>
        <v>0.0171326662293473</v>
      </c>
      <c r="G8" s="117" t="n">
        <f aca="false">G7+F8</f>
        <v>0.918798303244125</v>
      </c>
      <c r="H8" s="138"/>
      <c r="I8" s="42" t="s">
        <v>3897</v>
      </c>
      <c r="K8" s="66" t="n">
        <f aca="false">SUM(L5:L76)</f>
        <v>44.6601977690895</v>
      </c>
      <c r="L8" s="45" t="n">
        <f aca="false">C8/IF(B8&lt;='VALOR POR PL'!$P$5,IFERROR(INDEX('"INCC-FGV"'!$B$2:$B$800,MATCH(B8,'"INCC-FGV"'!$A$2:$A$800,0)),$K$2),$K$2)</f>
        <v>0.765148262114451</v>
      </c>
      <c r="M8" s="139" t="n">
        <f aca="false">'CP RESUMO'!G16</f>
        <v>0</v>
      </c>
      <c r="N8" s="140" t="n">
        <f aca="false">MAX(0,M8-M7)</f>
        <v>0</v>
      </c>
      <c r="O8" s="139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0.918798303244125</v>
      </c>
      <c r="H9" s="138"/>
      <c r="I9" s="42" t="s">
        <v>3898</v>
      </c>
      <c r="J9" s="45" t="n">
        <f aca="false">C78+D78</f>
        <v>52250.01</v>
      </c>
      <c r="K9" s="45" t="n">
        <f aca="false">E78</f>
        <v>44.6601977690895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RESUMO'!H16</f>
        <v>0</v>
      </c>
      <c r="N9" s="140" t="n">
        <f aca="false">MAX(0,M9-M8)</f>
        <v>0</v>
      </c>
      <c r="O9" s="139" t="n">
        <f aca="false">IF(B9&lt;='VALOR POR PL'!$P$5,'CP RESUMO'!H58,"")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0.918798303244125</v>
      </c>
      <c r="H10" s="138"/>
      <c r="I10" s="42" t="s">
        <v>3899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RESUMO'!I16</f>
        <v>100</v>
      </c>
      <c r="N10" s="140" t="n">
        <f aca="false">MAX(0,M10-M9)</f>
        <v>100</v>
      </c>
      <c r="O10" s="139" t="n">
        <f aca="false">IF(B10&lt;='VALOR POR PL'!$P$5,'CP RESUMO'!I58,"")</f>
        <v>100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HISTORICOS'!J16)</f>
        <v>4350</v>
      </c>
      <c r="D11" s="45" t="n">
        <f aca="false">IF(B11&lt;='VALOR POR PL'!$P$5,0,IF($K$17&gt;0,$K$18*P11/$K$17,0))</f>
        <v>0</v>
      </c>
      <c r="E11" s="45" t="n">
        <f aca="false">L11+D11/$K$2</f>
        <v>3.62648383630302</v>
      </c>
      <c r="F11" s="117" t="n">
        <f aca="false">IF($K$9=0,0,E11/$K$9)</f>
        <v>0.0812016967558752</v>
      </c>
      <c r="G11" s="117" t="n">
        <f aca="false">G10+F11</f>
        <v>1</v>
      </c>
      <c r="H11" s="138"/>
      <c r="I11" s="42" t="s">
        <v>3900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3.62648383630302</v>
      </c>
      <c r="M11" s="139" t="n">
        <f aca="false">'CP RESUMO'!J16</f>
        <v>100</v>
      </c>
      <c r="N11" s="140" t="n">
        <f aca="false">MAX(0,M11-M10)</f>
        <v>0</v>
      </c>
      <c r="O11" s="139" t="n">
        <f aca="false">IF(B11&lt;='VALOR POR PL'!$P$5,'CP RESUMO'!J58,"")</f>
        <v>100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RESUMO'!K16</f>
        <v>100</v>
      </c>
      <c r="N12" s="140" t="n">
        <f aca="false">MAX(0,M12-M11)</f>
        <v>0</v>
      </c>
      <c r="O12" s="139" t="n">
        <f aca="false">IF(B12&lt;='VALOR POR PL'!$P$5,'CP RESUMO'!K58,"")</f>
        <v>100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1</v>
      </c>
      <c r="H13" s="138"/>
      <c r="I13" s="42" t="s">
        <v>3902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RESUMO'!L16</f>
        <v>100</v>
      </c>
      <c r="N13" s="140" t="n">
        <f aca="false">MAX(0,M13-M12)</f>
        <v>0</v>
      </c>
      <c r="O13" s="139" t="n">
        <f aca="false">IF(B13&lt;='VALOR POR PL'!$P$5,'CP RESUMO'!L58,"")</f>
        <v>100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1</v>
      </c>
      <c r="H14" s="138"/>
      <c r="I14" s="42" t="s">
        <v>3903</v>
      </c>
      <c r="K14" s="58" t="n">
        <f aca="false">IFERROR(INDEX('CP RESUMO'!$D$58:$BW$58,MATCH('VALOR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RESUMO'!M16</f>
        <v>100</v>
      </c>
      <c r="N14" s="140" t="n">
        <f aca="false">MAX(0,M14-M13)</f>
        <v>0</v>
      </c>
      <c r="O14" s="139" t="n">
        <f aca="false">IF(B14&lt;='VALOR POR PL'!$P$5,'CP RESUMO'!M58,"")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1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RESUMO'!N16</f>
        <v>100</v>
      </c>
      <c r="N15" s="140" t="n">
        <f aca="false">MAX(0,M15-M14)</f>
        <v>0</v>
      </c>
      <c r="O15" s="139" t="n">
        <f aca="false">IF(B15&lt;='VALOR POR PL'!$P$5,'CP RESUMO'!N58,"")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1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RESUMO'!O16</f>
        <v>100</v>
      </c>
      <c r="N16" s="140" t="n">
        <f aca="false">MAX(0,M16-M15)</f>
        <v>0</v>
      </c>
      <c r="O16" s="139" t="n">
        <f aca="false">IF(B16&lt;='VALOR POR PL'!$P$5,'CP RESUMO'!O58,"")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8"/>
      <c r="I17" s="42" t="s">
        <v>3907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RESUMO'!P16</f>
        <v>100</v>
      </c>
      <c r="N17" s="140" t="n">
        <f aca="false">MAX(0,M17-M16)</f>
        <v>0</v>
      </c>
      <c r="O17" s="139" t="n">
        <f aca="false">IF(B17&lt;='VALOR POR PL'!$P$5,'CP RESUMO'!P58,"")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8"/>
      <c r="I18" s="42" t="s">
        <v>3908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RESUMO'!Q16</f>
        <v>100</v>
      </c>
      <c r="N18" s="140" t="n">
        <f aca="false">MAX(0,M18-M17)</f>
        <v>0</v>
      </c>
      <c r="O18" s="139" t="n">
        <f aca="false">IF(B18&lt;='VALOR POR PL'!$P$5,'CP RESUMO'!Q58,"")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RESUMO'!R16</f>
        <v>100</v>
      </c>
      <c r="N19" s="140" t="n">
        <f aca="false">MAX(0,M19-M18)</f>
        <v>0</v>
      </c>
      <c r="O19" s="139" t="n">
        <f aca="false">IF(B19&lt;='VALOR POR PL'!$P$5,'CP RESUMO'!R58,"")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RESUMO'!S16</f>
        <v>100</v>
      </c>
      <c r="N20" s="140" t="n">
        <f aca="false">MAX(0,M20-M19)</f>
        <v>0</v>
      </c>
      <c r="O20" s="139" t="n">
        <f aca="false">IF(B20&lt;='VALOR POR PL'!$P$5,'CP RESUMO'!S58,"")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RESUMO'!T16</f>
        <v>100</v>
      </c>
      <c r="N21" s="140" t="n">
        <f aca="false">MAX(0,M21-M20)</f>
        <v>0</v>
      </c>
      <c r="O21" s="139" t="n">
        <f aca="false">IF(B21&lt;='VALOR POR PL'!$P$5,'CP RESUMO'!T58,"")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RESUMO'!U16</f>
        <v>100</v>
      </c>
      <c r="N22" s="140" t="n">
        <f aca="false">MAX(0,M22-M21)</f>
        <v>0</v>
      </c>
      <c r="O22" s="139" t="n">
        <f aca="false">IF(B22&lt;='VALOR POR PL'!$P$5,'CP RESUMO'!U58,"")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RESUMO'!V16</f>
        <v>100</v>
      </c>
      <c r="N23" s="140" t="n">
        <f aca="false">MAX(0,M23-M22)</f>
        <v>0</v>
      </c>
      <c r="O23" s="139" t="n">
        <f aca="false">IF(B23&lt;='VALOR POR PL'!$P$5,'CP RESUMO'!V58,"")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RESUMO'!W16</f>
        <v>100</v>
      </c>
      <c r="N24" s="140" t="n">
        <f aca="false">MAX(0,M24-M23)</f>
        <v>0</v>
      </c>
      <c r="O24" s="139" t="n">
        <f aca="false">IF(B24&lt;='VALOR POR PL'!$P$5,'CP RESUMO'!W58,"")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RESUMO'!X16</f>
        <v>100</v>
      </c>
      <c r="N25" s="140" t="n">
        <f aca="false">MAX(0,M25-M24)</f>
        <v>0</v>
      </c>
      <c r="O25" s="139" t="n">
        <f aca="false">IF(B25&lt;='VALOR POR PL'!$P$5,'CP RESUMO'!X58,"")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RESUMO'!Y16</f>
        <v>100</v>
      </c>
      <c r="N26" s="140" t="n">
        <f aca="false">MAX(0,M26-M25)</f>
        <v>0</v>
      </c>
      <c r="O26" s="139" t="n">
        <f aca="false">IF(B26&lt;='VALOR POR PL'!$P$5,'CP RESUMO'!Y58,"")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RESUMO'!Z16</f>
        <v>100</v>
      </c>
      <c r="N27" s="140" t="n">
        <f aca="false">MAX(0,M27-M26)</f>
        <v>0</v>
      </c>
      <c r="O27" s="139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RESUMO'!AA16</f>
        <v>100</v>
      </c>
      <c r="N28" s="140" t="n">
        <f aca="false">MAX(0,M28-M27)</f>
        <v>0</v>
      </c>
      <c r="O28" s="139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RESUMO'!AB16</f>
        <v>100</v>
      </c>
      <c r="N29" s="140" t="n">
        <f aca="false">MAX(0,M29-M28)</f>
        <v>0</v>
      </c>
      <c r="O29" s="139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RESUMO'!AC16</f>
        <v>100</v>
      </c>
      <c r="N30" s="140" t="n">
        <f aca="false">MAX(0,M30-M29)</f>
        <v>0</v>
      </c>
      <c r="O30" s="139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RESUMO'!AD16</f>
        <v>100</v>
      </c>
      <c r="N31" s="140" t="n">
        <f aca="false">MAX(0,M31-M30)</f>
        <v>0</v>
      </c>
      <c r="O31" s="139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RESUMO'!AE16</f>
        <v>100</v>
      </c>
      <c r="N32" s="140" t="n">
        <f aca="false">MAX(0,M32-M31)</f>
        <v>0</v>
      </c>
      <c r="O32" s="139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RESUMO'!AF16</f>
        <v>100</v>
      </c>
      <c r="N33" s="140" t="n">
        <f aca="false">MAX(0,M33-M32)</f>
        <v>0</v>
      </c>
      <c r="O33" s="139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RESUMO'!AG16</f>
        <v>100</v>
      </c>
      <c r="N34" s="140" t="n">
        <f aca="false">MAX(0,M34-M33)</f>
        <v>0</v>
      </c>
      <c r="O34" s="139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RESUMO'!AH16</f>
        <v>100</v>
      </c>
      <c r="N35" s="140" t="n">
        <f aca="false">MAX(0,M35-M34)</f>
        <v>0</v>
      </c>
      <c r="O35" s="139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RESUMO'!AI16</f>
        <v>100</v>
      </c>
      <c r="N36" s="140" t="n">
        <f aca="false">MAX(0,M36-M35)</f>
        <v>0</v>
      </c>
      <c r="O36" s="139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RESUMO'!AJ16</f>
        <v>100</v>
      </c>
      <c r="N37" s="140" t="n">
        <f aca="false">MAX(0,M37-M36)</f>
        <v>0</v>
      </c>
      <c r="O37" s="139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RESUMO'!AK16</f>
        <v>100</v>
      </c>
      <c r="N38" s="140" t="n">
        <f aca="false">MAX(0,M38-M37)</f>
        <v>0</v>
      </c>
      <c r="O38" s="139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HISTORICOS'!AL16)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RESUMO'!AL16</f>
        <v>100</v>
      </c>
      <c r="N39" s="140" t="n">
        <f aca="false">MAX(0,M39-M38)</f>
        <v>0</v>
      </c>
      <c r="O39" s="139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RESUMO'!AM16</f>
        <v>100</v>
      </c>
      <c r="N40" s="140" t="n">
        <f aca="false">MAX(0,M40-M39)</f>
        <v>0</v>
      </c>
      <c r="O40" s="139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RESUMO'!AN16</f>
        <v>100</v>
      </c>
      <c r="N41" s="140" t="n">
        <f aca="false">MAX(0,M41-M40)</f>
        <v>0</v>
      </c>
      <c r="O41" s="139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RESUMO'!AO16</f>
        <v>100</v>
      </c>
      <c r="N42" s="140" t="n">
        <f aca="false">MAX(0,M42-M41)</f>
        <v>0</v>
      </c>
      <c r="O42" s="139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RESUMO'!AP16</f>
        <v>100</v>
      </c>
      <c r="N43" s="140" t="n">
        <f aca="false">MAX(0,M43-M42)</f>
        <v>0</v>
      </c>
      <c r="O43" s="139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RESUMO'!AQ16</f>
        <v>100</v>
      </c>
      <c r="N44" s="140" t="n">
        <f aca="false">MAX(0,M44-M43)</f>
        <v>0</v>
      </c>
      <c r="O44" s="139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RESUMO'!AR16</f>
        <v>100</v>
      </c>
      <c r="N45" s="140" t="n">
        <f aca="false">MAX(0,M45-M44)</f>
        <v>0</v>
      </c>
      <c r="O45" s="139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RESUMO'!AS16</f>
        <v>100</v>
      </c>
      <c r="N46" s="140" t="n">
        <f aca="false">MAX(0,M46-M45)</f>
        <v>0</v>
      </c>
      <c r="O46" s="139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RESUMO'!AT16</f>
        <v>100</v>
      </c>
      <c r="N47" s="140" t="n">
        <f aca="false">MAX(0,M47-M46)</f>
        <v>0</v>
      </c>
      <c r="O47" s="139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RESUMO'!AU16</f>
        <v>100</v>
      </c>
      <c r="N48" s="140" t="n">
        <f aca="false">MAX(0,M48-M47)</f>
        <v>0</v>
      </c>
      <c r="O48" s="139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RESUMO'!AV16</f>
        <v>100</v>
      </c>
      <c r="N49" s="140" t="n">
        <f aca="false">MAX(0,M49-M48)</f>
        <v>0</v>
      </c>
      <c r="O49" s="139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RESUMO'!AW16</f>
        <v>100</v>
      </c>
      <c r="N50" s="140" t="n">
        <f aca="false">MAX(0,M50-M49)</f>
        <v>0</v>
      </c>
      <c r="O50" s="139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RESUMO'!AX16</f>
        <v>100</v>
      </c>
      <c r="N51" s="140" t="n">
        <f aca="false">MAX(0,M51-M50)</f>
        <v>0</v>
      </c>
      <c r="O51" s="139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RESUMO'!AY16</f>
        <v>100</v>
      </c>
      <c r="N52" s="140" t="n">
        <f aca="false">MAX(0,M52-M51)</f>
        <v>0</v>
      </c>
      <c r="O52" s="139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RESUMO'!AZ16</f>
        <v>100</v>
      </c>
      <c r="N53" s="140" t="n">
        <f aca="false">MAX(0,M53-M52)</f>
        <v>0</v>
      </c>
      <c r="O53" s="139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RESUMO'!BA16</f>
        <v>100</v>
      </c>
      <c r="N54" s="140" t="n">
        <f aca="false">MAX(0,M54-M53)</f>
        <v>0</v>
      </c>
      <c r="O54" s="139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RESUMO'!BB16</f>
        <v>100</v>
      </c>
      <c r="N55" s="140" t="n">
        <f aca="false">MAX(0,M55-M54)</f>
        <v>0</v>
      </c>
      <c r="O55" s="139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RESUMO'!BC16</f>
        <v>100</v>
      </c>
      <c r="N56" s="140" t="n">
        <f aca="false">MAX(0,M56-M55)</f>
        <v>0</v>
      </c>
      <c r="O56" s="139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RESUMO'!BD16</f>
        <v>100</v>
      </c>
      <c r="N57" s="140" t="n">
        <f aca="false">MAX(0,M57-M56)</f>
        <v>0</v>
      </c>
      <c r="O57" s="139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RESUMO'!BE16</f>
        <v>100</v>
      </c>
      <c r="N58" s="140" t="n">
        <f aca="false">MAX(0,M58-M57)</f>
        <v>0</v>
      </c>
      <c r="O58" s="139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RESUMO'!BF16</f>
        <v>100</v>
      </c>
      <c r="N59" s="140" t="n">
        <f aca="false">MAX(0,M59-M58)</f>
        <v>0</v>
      </c>
      <c r="O59" s="139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RESUMO'!BG16</f>
        <v>100</v>
      </c>
      <c r="N60" s="140" t="n">
        <f aca="false">MAX(0,M60-M59)</f>
        <v>0</v>
      </c>
      <c r="O60" s="139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RESUMO'!BH16</f>
        <v>100</v>
      </c>
      <c r="N61" s="140" t="n">
        <f aca="false">MAX(0,M61-M60)</f>
        <v>0</v>
      </c>
      <c r="O61" s="139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RESUMO'!BI16</f>
        <v>100</v>
      </c>
      <c r="N62" s="140" t="n">
        <f aca="false">MAX(0,M62-M61)</f>
        <v>0</v>
      </c>
      <c r="O62" s="139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RESUMO'!BJ16</f>
        <v>100</v>
      </c>
      <c r="N63" s="140" t="n">
        <f aca="false">MAX(0,M63-M62)</f>
        <v>0</v>
      </c>
      <c r="O63" s="139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RESUMO'!BK16</f>
        <v>100</v>
      </c>
      <c r="N64" s="140" t="n">
        <f aca="false">MAX(0,M64-M63)</f>
        <v>0</v>
      </c>
      <c r="O64" s="139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RESUMO'!BL16</f>
        <v>100</v>
      </c>
      <c r="N65" s="140" t="n">
        <f aca="false">MAX(0,M65-M64)</f>
        <v>0</v>
      </c>
      <c r="O65" s="139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RESUMO'!BM16</f>
        <v>100</v>
      </c>
      <c r="N66" s="140" t="n">
        <f aca="false">MAX(0,M66-M65)</f>
        <v>0</v>
      </c>
      <c r="O66" s="139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RESUMO'!BN16</f>
        <v>100</v>
      </c>
      <c r="N67" s="140" t="n">
        <f aca="false">MAX(0,M67-M66)</f>
        <v>0</v>
      </c>
      <c r="O67" s="139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RESUMO'!BO16</f>
        <v>100</v>
      </c>
      <c r="N68" s="140" t="n">
        <f aca="false">MAX(0,M68-M67)</f>
        <v>0</v>
      </c>
      <c r="O68" s="139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RESUMO'!BP16</f>
        <v>100</v>
      </c>
      <c r="N69" s="140" t="n">
        <f aca="false">MAX(0,M69-M68)</f>
        <v>0</v>
      </c>
      <c r="O69" s="139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RESUMO'!BQ16</f>
        <v>100</v>
      </c>
      <c r="N70" s="140" t="n">
        <f aca="false">MAX(0,M70-M69)</f>
        <v>0</v>
      </c>
      <c r="O70" s="139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RESUMO'!BR16</f>
        <v>100</v>
      </c>
      <c r="N71" s="140" t="n">
        <f aca="false">MAX(0,M71-M70)</f>
        <v>0</v>
      </c>
      <c r="O71" s="139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RESUMO'!BS16</f>
        <v>100</v>
      </c>
      <c r="N72" s="140" t="n">
        <f aca="false">MAX(0,M72-M71)</f>
        <v>0</v>
      </c>
      <c r="O72" s="139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RESUMO'!BT16</f>
        <v>100</v>
      </c>
      <c r="N73" s="140" t="n">
        <f aca="false">MAX(0,M73-M72)</f>
        <v>0</v>
      </c>
      <c r="O73" s="139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RESUMO'!BU16</f>
        <v>100</v>
      </c>
      <c r="N74" s="140" t="n">
        <f aca="false">MAX(0,M74-M73)</f>
        <v>0</v>
      </c>
      <c r="O74" s="139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RESUMO'!BV16</f>
        <v>100</v>
      </c>
      <c r="N75" s="140" t="n">
        <f aca="false">MAX(0,M75-M74)</f>
        <v>0</v>
      </c>
      <c r="O75" s="139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RESUMO'!BW16</f>
        <v>100</v>
      </c>
      <c r="N76" s="140" t="n">
        <f aca="false">MAX(0,M76-M75)</f>
        <v>0</v>
      </c>
      <c r="O76" s="139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52250.01</v>
      </c>
      <c r="D78" s="61" t="n">
        <f aca="false">SUM(D5:D76)</f>
        <v>0</v>
      </c>
      <c r="E78" s="61" t="n">
        <f aca="false">SUM(E5:E76)</f>
        <v>44.6601977690895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44.6601977690895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HISTORICOS'!D17)</f>
        <v>51793.14</v>
      </c>
      <c r="D5" s="45" t="n">
        <f aca="false">IF(B5&lt;='VALOR POR PL'!$P$5,0,IF($K$17&gt;0,$K$18*P5/$K$17,0))</f>
        <v>0</v>
      </c>
      <c r="E5" s="45" t="n">
        <f aca="false">L5+D5/$K$2</f>
        <v>45.8219273582619</v>
      </c>
      <c r="F5" s="117" t="n">
        <f aca="false">IF($K$9=0,0,E5/$K$9)</f>
        <v>0.0179094376909295</v>
      </c>
      <c r="G5" s="117" t="n">
        <f aca="false">F5</f>
        <v>0.0179094376909295</v>
      </c>
      <c r="H5" s="138"/>
      <c r="I5" s="42" t="s">
        <v>3894</v>
      </c>
      <c r="J5" s="56" t="n">
        <f aca="false">'VALOR POR PL'!F23</f>
        <v>3516929.76</v>
      </c>
      <c r="K5" s="56" t="n">
        <f aca="false">'VALOR POR PL'!G23</f>
        <v>3010.926198</v>
      </c>
      <c r="L5" s="56" t="n">
        <f aca="false">'DADOS HISTORICOS'!$BZ$17</f>
        <v>45.8219273582619</v>
      </c>
      <c r="M5" s="139" t="n">
        <f aca="false">'CP RESUMO'!D17</f>
        <v>0</v>
      </c>
      <c r="N5" s="140" t="n">
        <v>0</v>
      </c>
      <c r="O5" s="139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0.0179094376909295</v>
      </c>
      <c r="H6" s="138"/>
      <c r="I6" s="42" t="s">
        <v>3895</v>
      </c>
      <c r="K6" s="52" t="n">
        <f aca="false">'VALOR POR PL'!H23</f>
        <v>2558.53523427311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RESUMO'!E17</f>
        <v>0</v>
      </c>
      <c r="N6" s="140" t="n">
        <f aca="false">MAX(0,M6-M5)</f>
        <v>0</v>
      </c>
      <c r="O6" s="139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HISTORICOS'!F17)</f>
        <v>34631.8</v>
      </c>
      <c r="D7" s="45" t="n">
        <f aca="false">IF(B7&lt;='VALOR POR PL'!$P$5,0,IF($K$17&gt;0,$K$18*P7/$K$17,0))</f>
        <v>0</v>
      </c>
      <c r="E7" s="45" t="n">
        <f aca="false">L7+D7/$K$2</f>
        <v>29.5046324891909</v>
      </c>
      <c r="F7" s="117" t="n">
        <f aca="false">IF($K$9=0,0,E7/$K$9)</f>
        <v>0.0115318452894292</v>
      </c>
      <c r="G7" s="117" t="n">
        <f aca="false">G6+F7</f>
        <v>0.0294412829803586</v>
      </c>
      <c r="H7" s="138"/>
      <c r="I7" s="42" t="s">
        <v>3896</v>
      </c>
      <c r="J7" s="45" t="n">
        <f aca="false">C78+D78</f>
        <v>3094379.11</v>
      </c>
      <c r="L7" s="45" t="n">
        <f aca="false">C7/IF(B7&lt;='VALOR POR PL'!$P$5,IFERROR(INDEX('"INCC-FGV"'!$B$2:$B$800,MATCH(B7,'"INCC-FGV"'!$A$2:$A$800,0)),$K$2),$K$2)</f>
        <v>29.5046324891909</v>
      </c>
      <c r="M7" s="139" t="n">
        <f aca="false">'CP RESUMO'!F17</f>
        <v>0</v>
      </c>
      <c r="N7" s="140" t="n">
        <f aca="false">MAX(0,M7-M6)</f>
        <v>0</v>
      </c>
      <c r="O7" s="139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HISTORICOS'!G17)</f>
        <v>68777.66</v>
      </c>
      <c r="D8" s="45" t="n">
        <f aca="false">IF(B8&lt;='VALOR POR PL'!$P$5,0,IF($K$17&gt;0,$K$18*P8/$K$17,0))</f>
        <v>0</v>
      </c>
      <c r="E8" s="45" t="n">
        <f aca="false">L8+D8/$K$2</f>
        <v>58.3659853392691</v>
      </c>
      <c r="F8" s="117" t="n">
        <f aca="false">IF($K$9=0,0,E8/$K$9)</f>
        <v>0.0228122656109722</v>
      </c>
      <c r="G8" s="117" t="n">
        <f aca="false">G7+F8</f>
        <v>0.0522535485913309</v>
      </c>
      <c r="H8" s="138"/>
      <c r="I8" s="42" t="s">
        <v>3897</v>
      </c>
      <c r="K8" s="66" t="n">
        <f aca="false">SUM(L5:L76)</f>
        <v>2558.53523427311</v>
      </c>
      <c r="L8" s="45" t="n">
        <f aca="false">C8/IF(B8&lt;='VALOR POR PL'!$P$5,IFERROR(INDEX('"INCC-FGV"'!$B$2:$B$800,MATCH(B8,'"INCC-FGV"'!$A$2:$A$800,0)),$K$2),$K$2)</f>
        <v>58.3659853392691</v>
      </c>
      <c r="M8" s="139" t="n">
        <f aca="false">'CP RESUMO'!G17</f>
        <v>0</v>
      </c>
      <c r="N8" s="140" t="n">
        <f aca="false">MAX(0,M8-M7)</f>
        <v>0</v>
      </c>
      <c r="O8" s="139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HISTORICOS'!H17)</f>
        <v>289018.47</v>
      </c>
      <c r="D9" s="45" t="n">
        <f aca="false">IF(B9&lt;='VALOR POR PL'!$P$5,0,IF($K$17&gt;0,$K$18*P9/$K$17,0))</f>
        <v>0</v>
      </c>
      <c r="E9" s="45" t="n">
        <f aca="false">L9+D9/$K$2</f>
        <v>244.008224831189</v>
      </c>
      <c r="F9" s="117" t="n">
        <f aca="false">IF($K$9=0,0,E9/$K$9)</f>
        <v>0.0953702812306641</v>
      </c>
      <c r="G9" s="117" t="n">
        <f aca="false">G8+F9</f>
        <v>0.147623829821995</v>
      </c>
      <c r="H9" s="138"/>
      <c r="I9" s="42" t="s">
        <v>3898</v>
      </c>
      <c r="J9" s="45" t="n">
        <f aca="false">C78+D78</f>
        <v>3094379.11</v>
      </c>
      <c r="K9" s="45" t="n">
        <f aca="false">E78</f>
        <v>2558.53523427311</v>
      </c>
      <c r="L9" s="45" t="n">
        <f aca="false">C9/IF(B9&lt;='VALOR POR PL'!$P$5,IFERROR(INDEX('"INCC-FGV"'!$B$2:$B$800,MATCH(B9,'"INCC-FGV"'!$A$2:$A$800,0)),$K$2),$K$2)</f>
        <v>244.008224831189</v>
      </c>
      <c r="M9" s="139" t="n">
        <f aca="false">'CP RESUMO'!H17</f>
        <v>0</v>
      </c>
      <c r="N9" s="140" t="n">
        <f aca="false">MAX(0,M9-M8)</f>
        <v>0</v>
      </c>
      <c r="O9" s="139" t="n">
        <f aca="false">IF(B9&lt;='VALOR POR PL'!$P$5,'CP RESUMO'!H59,"")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HISTORICOS'!I17)</f>
        <v>447931.23</v>
      </c>
      <c r="D10" s="45" t="n">
        <f aca="false">IF(B10&lt;='VALOR POR PL'!$P$5,0,IF($K$17&gt;0,$K$18*P10/$K$17,0))</f>
        <v>0</v>
      </c>
      <c r="E10" s="45" t="n">
        <f aca="false">L10+D10/$K$2</f>
        <v>375.993518152447</v>
      </c>
      <c r="F10" s="117" t="n">
        <f aca="false">IF($K$9=0,0,E10/$K$9)</f>
        <v>0.146956552763389</v>
      </c>
      <c r="G10" s="117" t="n">
        <f aca="false">G9+F10</f>
        <v>0.294580382585384</v>
      </c>
      <c r="H10" s="138"/>
      <c r="I10" s="42" t="s">
        <v>3899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375.993518152447</v>
      </c>
      <c r="M10" s="139" t="n">
        <f aca="false">'CP RESUMO'!I17</f>
        <v>11.72</v>
      </c>
      <c r="N10" s="140" t="n">
        <f aca="false">MAX(0,M10-M9)</f>
        <v>11.72</v>
      </c>
      <c r="O10" s="139" t="n">
        <f aca="false">IF(B10&lt;='VALOR POR PL'!$P$5,'CP RESUMO'!I59,"")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HISTORICOS'!J17)</f>
        <v>307290.56</v>
      </c>
      <c r="D11" s="45" t="n">
        <f aca="false">IF(B11&lt;='VALOR POR PL'!$P$5,0,IF($K$17&gt;0,$K$18*P11/$K$17,0))</f>
        <v>0</v>
      </c>
      <c r="E11" s="45" t="n">
        <f aca="false">L11+D11/$K$2</f>
        <v>256.180287100805</v>
      </c>
      <c r="F11" s="117" t="n">
        <f aca="false">IF($K$9=0,0,E11/$K$9)</f>
        <v>0.100127715135253</v>
      </c>
      <c r="G11" s="117" t="n">
        <f aca="false">G10+F11</f>
        <v>0.394708097720637</v>
      </c>
      <c r="H11" s="138"/>
      <c r="I11" s="42" t="s">
        <v>3900</v>
      </c>
      <c r="K11" s="56" t="n">
        <f aca="false">SUMPRODUCT((B5:B76&gt;'VALOR POR PL'!$P$5)*H5:H76)</f>
        <v>3</v>
      </c>
      <c r="L11" s="45" t="n">
        <f aca="false">C11/IF(B11&lt;='VALOR POR PL'!$P$5,IFERROR(INDEX('"INCC-FGV"'!$B$2:$B$800,MATCH(B11,'"INCC-FGV"'!$A$2:$A$800,0)),$K$2),$K$2)</f>
        <v>256.180287100805</v>
      </c>
      <c r="M11" s="139" t="n">
        <f aca="false">'CP RESUMO'!J17</f>
        <v>27.34</v>
      </c>
      <c r="N11" s="140" t="n">
        <f aca="false">MAX(0,M11-M10)</f>
        <v>15.62</v>
      </c>
      <c r="O11" s="139" t="n">
        <f aca="false">IF(B11&lt;='VALOR POR PL'!$P$5,'CP RESUMO'!J59,"")</f>
        <v>51.01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HISTORICOS'!K17)</f>
        <v>232883.87</v>
      </c>
      <c r="D12" s="45" t="n">
        <f aca="false">IF(B12&lt;='VALOR POR PL'!$P$5,0,IF($K$17&gt;0,$K$18*P12/$K$17,0))</f>
        <v>0</v>
      </c>
      <c r="E12" s="45" t="n">
        <f aca="false">L12+D12/$K$2</f>
        <v>192.391118828952</v>
      </c>
      <c r="F12" s="117" t="n">
        <f aca="false">IF($K$9=0,0,E12/$K$9)</f>
        <v>0.0751958058860233</v>
      </c>
      <c r="G12" s="117" t="n">
        <f aca="false">G11+F12</f>
        <v>0.469903903606661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192.391118828952</v>
      </c>
      <c r="M12" s="139" t="n">
        <f aca="false">'CP RESUMO'!K17</f>
        <v>45.31</v>
      </c>
      <c r="N12" s="140" t="n">
        <f aca="false">MAX(0,M12-M11)</f>
        <v>17.97</v>
      </c>
      <c r="O12" s="139" t="n">
        <f aca="false">IF(B12&lt;='VALOR POR PL'!$P$5,'CP RESUMO'!K59,"")</f>
        <v>80.48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HISTORICOS'!L17)</f>
        <v>529876.06</v>
      </c>
      <c r="D13" s="45" t="n">
        <f aca="false">IF(B13&lt;='VALOR POR PL'!$P$5,0,IF($K$17&gt;0,$K$18*P13/$K$17,0))</f>
        <v>0</v>
      </c>
      <c r="E13" s="45" t="n">
        <f aca="false">L13+D13/$K$2</f>
        <v>435.500490669069</v>
      </c>
      <c r="F13" s="117" t="n">
        <f aca="false">IF($K$9=0,0,E13/$K$9)</f>
        <v>0.170214771653437</v>
      </c>
      <c r="G13" s="117" t="n">
        <f aca="false">G12+F13</f>
        <v>0.640118675260097</v>
      </c>
      <c r="H13" s="138"/>
      <c r="I13" s="42" t="s">
        <v>3902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435.500490669069</v>
      </c>
      <c r="M13" s="139" t="n">
        <f aca="false">'CP RESUMO'!L17</f>
        <v>60.94</v>
      </c>
      <c r="N13" s="140" t="n">
        <f aca="false">MAX(0,M13-M12)</f>
        <v>15.63</v>
      </c>
      <c r="O13" s="139" t="n">
        <f aca="false">IF(B13&lt;='VALOR POR PL'!$P$5,'CP RESUMO'!L59,"")</f>
        <v>88.21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HISTORICOS'!M17)</f>
        <v>236869.43</v>
      </c>
      <c r="D14" s="45" t="n">
        <f aca="false">IF(B14&lt;='VALOR POR PL'!$P$5,0,IF($K$17&gt;0,$K$18*P14/$K$17,0))</f>
        <v>0</v>
      </c>
      <c r="E14" s="45" t="n">
        <f aca="false">L14+D14/$K$2</f>
        <v>194.354882514583</v>
      </c>
      <c r="F14" s="117" t="n">
        <f aca="false">IF($K$9=0,0,E14/$K$9)</f>
        <v>0.0759633402390098</v>
      </c>
      <c r="G14" s="117" t="n">
        <f aca="false">G13+F14</f>
        <v>0.716082015499107</v>
      </c>
      <c r="H14" s="138"/>
      <c r="I14" s="42" t="s">
        <v>3903</v>
      </c>
      <c r="K14" s="58" t="n">
        <f aca="false">IFERROR(INDEX('CP RESUMO'!$D$59:$BW$59,MATCH('VALOR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194.354882514583</v>
      </c>
      <c r="M14" s="139" t="n">
        <f aca="false">'CP RESUMO'!M17</f>
        <v>78.13</v>
      </c>
      <c r="N14" s="140" t="n">
        <f aca="false">MAX(0,M14-M13)</f>
        <v>17.19</v>
      </c>
      <c r="O14" s="139" t="n">
        <f aca="false">IF(B14&lt;='VALOR POR PL'!$P$5,'CP RESUMO'!M59,"")</f>
        <v>95.28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HISTORICOS'!N17)</f>
        <v>612093.14</v>
      </c>
      <c r="D15" s="45" t="n">
        <f aca="false">IF(B15&lt;='VALOR POR PL'!$P$5,0,IF($K$17&gt;0,$K$18*P15/$K$17,0))</f>
        <v>0</v>
      </c>
      <c r="E15" s="45" t="n">
        <f aca="false">L15+D15/$K$2</f>
        <v>500.74866896387</v>
      </c>
      <c r="F15" s="117" t="n">
        <f aca="false">IF($K$9=0,0,E15/$K$9)</f>
        <v>0.195716932976354</v>
      </c>
      <c r="G15" s="117" t="n">
        <f aca="false">G14+F15</f>
        <v>0.911798948475461</v>
      </c>
      <c r="H15" s="138"/>
      <c r="I15" s="42" t="s">
        <v>3904</v>
      </c>
      <c r="K15" s="67" t="s">
        <v>3917</v>
      </c>
      <c r="L15" s="45" t="n">
        <f aca="false">C15/IF(B15&lt;='VALOR POR PL'!$P$5,IFERROR(INDEX('"INCC-FGV"'!$B$2:$B$800,MATCH(B15,'"INCC-FGV"'!$A$2:$A$800,0)),$K$2),$K$2)</f>
        <v>500.74866896387</v>
      </c>
      <c r="M15" s="139" t="n">
        <f aca="false">'CP RESUMO'!N17</f>
        <v>96.09</v>
      </c>
      <c r="N15" s="140" t="n">
        <f aca="false">MAX(0,M15-M14)</f>
        <v>17.96</v>
      </c>
      <c r="O15" s="139" t="n">
        <f aca="false">IF(B15&lt;='VALOR POR PL'!$P$5,'CP RESUMO'!N59,"")</f>
        <v>95.28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HISTORICOS'!O17)</f>
        <v>140976.31</v>
      </c>
      <c r="D16" s="45" t="n">
        <f aca="false">IF(B16&lt;='VALOR POR PL'!$P$5,0,IF($K$17&gt;0,$K$18*P16/$K$17,0))</f>
        <v>0</v>
      </c>
      <c r="E16" s="45" t="n">
        <f aca="false">L16+D16/$K$2</f>
        <v>115.023265528914</v>
      </c>
      <c r="F16" s="117" t="n">
        <f aca="false">IF($K$9=0,0,E16/$K$9)</f>
        <v>0.0449566861492111</v>
      </c>
      <c r="G16" s="117" t="n">
        <f aca="false">G15+F16</f>
        <v>0.956755634624672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115.023265528914</v>
      </c>
      <c r="M16" s="139" t="n">
        <f aca="false">'CP RESUMO'!O17</f>
        <v>99</v>
      </c>
      <c r="N16" s="140" t="n">
        <f aca="false">MAX(0,M16-M15)</f>
        <v>2.91</v>
      </c>
      <c r="O16" s="139" t="n">
        <f aca="false">IF(B16&lt;='VALOR POR PL'!$P$5,'CP RESUMO'!O59,"")</f>
        <v>99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HISTORICOS'!P17)</f>
        <v>15666.06</v>
      </c>
      <c r="D17" s="45" t="n">
        <f aca="false">IF(B17&lt;='VALOR POR PL'!$P$5,0,IF($K$17&gt;0,$K$18*P17/$K$17,0))</f>
        <v>0</v>
      </c>
      <c r="E17" s="45" t="n">
        <f aca="false">L17+D17/$K$2</f>
        <v>12.7557054816103</v>
      </c>
      <c r="F17" s="117" t="n">
        <f aca="false">IF($K$9=0,0,E17/$K$9)</f>
        <v>0.00498555005643073</v>
      </c>
      <c r="G17" s="117" t="n">
        <f aca="false">G16+F17</f>
        <v>0.961741184681103</v>
      </c>
      <c r="H17" s="138"/>
      <c r="I17" s="42" t="s">
        <v>3907</v>
      </c>
      <c r="K17" s="45" t="n">
        <f aca="false">SUM(P5:P76)</f>
        <v>3</v>
      </c>
      <c r="L17" s="45" t="n">
        <f aca="false">C17/IF(B17&lt;='VALOR POR PL'!$P$5,IFERROR(INDEX('"INCC-FGV"'!$B$2:$B$800,MATCH(B17,'"INCC-FGV"'!$A$2:$A$800,0)),$K$2),$K$2)</f>
        <v>12.7557054816103</v>
      </c>
      <c r="M17" s="139" t="n">
        <f aca="false">'CP RESUMO'!P17</f>
        <v>100</v>
      </c>
      <c r="N17" s="140" t="n">
        <f aca="false">MAX(0,M17-M16)</f>
        <v>1</v>
      </c>
      <c r="O17" s="139" t="n">
        <f aca="false">IF(B17&lt;='VALOR POR PL'!$P$5,'CP RESUMO'!P59,"")</f>
        <v>99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HISTORICOS'!Q17)</f>
        <v>1819.26</v>
      </c>
      <c r="D18" s="45" t="n">
        <f aca="false">IF(B18&lt;='VALOR POR PL'!$P$5,0,IF($K$17&gt;0,$K$18*P18/$K$17,0))</f>
        <v>0</v>
      </c>
      <c r="E18" s="45" t="n">
        <f aca="false">L18+D18/$K$2</f>
        <v>1.47066051432618</v>
      </c>
      <c r="F18" s="117" t="n">
        <f aca="false">IF($K$9=0,0,E18/$K$9)</f>
        <v>0.000574805652322393</v>
      </c>
      <c r="G18" s="117" t="n">
        <f aca="false">G17+F18</f>
        <v>0.962315990333425</v>
      </c>
      <c r="H18" s="138"/>
      <c r="I18" s="42" t="s">
        <v>3908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1.47066051432618</v>
      </c>
      <c r="M18" s="139" t="n">
        <f aca="false">'CP RESUMO'!Q17</f>
        <v>100</v>
      </c>
      <c r="N18" s="140" t="n">
        <f aca="false">MAX(0,M18-M17)</f>
        <v>0</v>
      </c>
      <c r="O18" s="139" t="n">
        <f aca="false">IF(B18&lt;='VALOR POR PL'!$P$5,'CP RESUMO'!Q59,"")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0.962315990333425</v>
      </c>
      <c r="H19" s="138"/>
      <c r="I19" s="42" t="s">
        <v>3909</v>
      </c>
      <c r="K19" s="142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RESUMO'!R17</f>
        <v>100</v>
      </c>
      <c r="N19" s="140" t="n">
        <f aca="false">MAX(0,M19-M18)</f>
        <v>0</v>
      </c>
      <c r="O19" s="139" t="n">
        <f aca="false">IF(B19&lt;='VALOR POR PL'!$P$5,'CP RESUMO'!R59,"")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HISTORICOS'!S17)</f>
        <v>768</v>
      </c>
      <c r="D20" s="45" t="n">
        <f aca="false">IF(B20&lt;='VALOR POR PL'!$P$5,0,IF($K$17&gt;0,$K$18*P20/$K$17,0))</f>
        <v>0</v>
      </c>
      <c r="E20" s="45" t="n">
        <f aca="false">L20+D20/$K$2</f>
        <v>0.615788726736536</v>
      </c>
      <c r="F20" s="117" t="n">
        <f aca="false">IF($K$9=0,0,E20/$K$9)</f>
        <v>0.000240680182351088</v>
      </c>
      <c r="G20" s="117" t="n">
        <f aca="false">G19+F20</f>
        <v>0.962556670515776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0.615788726736536</v>
      </c>
      <c r="M20" s="139" t="n">
        <f aca="false">'CP RESUMO'!S17</f>
        <v>100</v>
      </c>
      <c r="N20" s="140" t="n">
        <f aca="false">MAX(0,M20-M19)</f>
        <v>0</v>
      </c>
      <c r="O20" s="139" t="n">
        <f aca="false">IF(B20&lt;='VALOR POR PL'!$P$5,'CP RESUMO'!S59,"")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HISTORICOS'!T17)</f>
        <v>7727.6</v>
      </c>
      <c r="D21" s="45" t="n">
        <f aca="false">IF(B21&lt;='VALOR POR PL'!$P$5,0,IF($K$17&gt;0,$K$18*P21/$K$17,0))</f>
        <v>0</v>
      </c>
      <c r="E21" s="45" t="n">
        <f aca="false">L21+D21/$K$2</f>
        <v>6.13471022155325</v>
      </c>
      <c r="F21" s="117" t="n">
        <f aca="false">IF($K$9=0,0,E21/$K$9)</f>
        <v>0.00239774310682736</v>
      </c>
      <c r="G21" s="117" t="n">
        <f aca="false">G20+F21</f>
        <v>0.964954413622604</v>
      </c>
      <c r="H21" s="138"/>
      <c r="K21" s="143"/>
      <c r="L21" s="45" t="n">
        <f aca="false">C21/IF(B21&lt;='VALOR POR PL'!$P$5,IFERROR(INDEX('"INCC-FGV"'!$B$2:$B$800,MATCH(B21,'"INCC-FGV"'!$A$2:$A$800,0)),$K$2),$K$2)</f>
        <v>6.13471022155325</v>
      </c>
      <c r="M21" s="139" t="n">
        <f aca="false">'CP RESUMO'!T17</f>
        <v>100</v>
      </c>
      <c r="N21" s="140" t="n">
        <f aca="false">MAX(0,M21-M20)</f>
        <v>0</v>
      </c>
      <c r="O21" s="139" t="n">
        <f aca="false">IF(B21&lt;='VALOR POR PL'!$P$5,'CP RESUMO'!T59,"")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0.964954413622604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RESUMO'!U17</f>
        <v>100</v>
      </c>
      <c r="N22" s="140" t="n">
        <f aca="false">MAX(0,M22-M21)</f>
        <v>0</v>
      </c>
      <c r="O22" s="139" t="n">
        <f aca="false">IF(B22&lt;='VALOR POR PL'!$P$5,'CP RESUMO'!U59,"")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HISTORICOS'!V17)</f>
        <v>338.77</v>
      </c>
      <c r="D23" s="45" t="n">
        <f aca="false">IF(B23&lt;='VALOR POR PL'!$P$5,0,IF($K$17&gt;0,$K$18*P23/$K$17,0))</f>
        <v>0</v>
      </c>
      <c r="E23" s="45" t="n">
        <f aca="false">L23+D23/$K$2</f>
        <v>0.264531590039675</v>
      </c>
      <c r="F23" s="117" t="n">
        <f aca="false">IF($K$9=0,0,E23/$K$9)</f>
        <v>0.000103391810476603</v>
      </c>
      <c r="G23" s="117" t="n">
        <f aca="false">G22+F23</f>
        <v>0.96505780543308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0.264531590039675</v>
      </c>
      <c r="M23" s="139" t="n">
        <f aca="false">'CP RESUMO'!V17</f>
        <v>100</v>
      </c>
      <c r="N23" s="140" t="n">
        <f aca="false">MAX(0,M23-M22)</f>
        <v>0</v>
      </c>
      <c r="O23" s="139" t="n">
        <f aca="false">IF(B23&lt;='VALOR POR PL'!$P$5,'CP RESUMO'!V59,"")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HISTORICOS'!W17)</f>
        <v>25731.24</v>
      </c>
      <c r="D24" s="45" t="n">
        <f aca="false">IF(B24&lt;='VALOR POR PL'!$P$5,0,IF($K$17&gt;0,$K$18*P24/$K$17,0))</f>
        <v>0</v>
      </c>
      <c r="E24" s="45" t="n">
        <f aca="false">L24+D24/$K$2</f>
        <v>19.970987969088</v>
      </c>
      <c r="F24" s="117" t="n">
        <f aca="false">IF($K$9=0,0,E24/$K$9)</f>
        <v>0.00780563335676002</v>
      </c>
      <c r="G24" s="117" t="n">
        <f aca="false">G23+F24</f>
        <v>0.97286343878984</v>
      </c>
      <c r="H24" s="138"/>
      <c r="I24" s="144" t="s">
        <v>3918</v>
      </c>
      <c r="J24" s="144"/>
      <c r="K24" s="144"/>
      <c r="L24" s="45" t="n">
        <f aca="false">C24/IF(B24&lt;='VALOR POR PL'!$P$5,IFERROR(INDEX('"INCC-FGV"'!$B$2:$B$800,MATCH(B24,'"INCC-FGV"'!$A$2:$A$800,0)),$K$2),$K$2)</f>
        <v>19.970987969088</v>
      </c>
      <c r="M24" s="139" t="n">
        <f aca="false">'CP RESUMO'!W17</f>
        <v>100</v>
      </c>
      <c r="N24" s="140" t="n">
        <f aca="false">MAX(0,M24-M23)</f>
        <v>0</v>
      </c>
      <c r="O24" s="139" t="n">
        <f aca="false">IF(B24&lt;='VALOR POR PL'!$P$5,'CP RESUMO'!W59,"")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HISTORICOS'!X17)</f>
        <v>24719.3</v>
      </c>
      <c r="D25" s="45" t="n">
        <f aca="false">IF(B25&lt;='VALOR POR PL'!$P$5,0,IF($K$17&gt;0,$K$18*P25/$K$17,0))</f>
        <v>0</v>
      </c>
      <c r="E25" s="45" t="n">
        <f aca="false">L25+D25/$K$2</f>
        <v>19.0604592991382</v>
      </c>
      <c r="F25" s="117" t="n">
        <f aca="false">IF($K$9=0,0,E25/$K$9)</f>
        <v>0.00744975447037506</v>
      </c>
      <c r="G25" s="117" t="n">
        <f aca="false">G24+F25</f>
        <v>0.980313193260216</v>
      </c>
      <c r="H25" s="138"/>
      <c r="L25" s="45" t="n">
        <f aca="false">C25/IF(B25&lt;='VALOR POR PL'!$P$5,IFERROR(INDEX('"INCC-FGV"'!$B$2:$B$800,MATCH(B25,'"INCC-FGV"'!$A$2:$A$800,0)),$K$2),$K$2)</f>
        <v>19.0604592991382</v>
      </c>
      <c r="M25" s="139" t="n">
        <f aca="false">'CP RESUMO'!X17</f>
        <v>100</v>
      </c>
      <c r="N25" s="140" t="n">
        <f aca="false">MAX(0,M25-M24)</f>
        <v>0</v>
      </c>
      <c r="O25" s="139" t="n">
        <f aca="false">IF(B25&lt;='VALOR POR PL'!$P$5,'CP RESUMO'!X59,"")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HISTORICOS'!Y17)</f>
        <v>5053.1</v>
      </c>
      <c r="D26" s="45" t="n">
        <f aca="false">IF(B26&lt;='VALOR POR PL'!$P$5,0,IF($K$17&gt;0,$K$18*P26/$K$17,0))</f>
        <v>0</v>
      </c>
      <c r="E26" s="45" t="n">
        <f aca="false">L26+D26/$K$2</f>
        <v>3.88777157312759</v>
      </c>
      <c r="F26" s="117" t="n">
        <f aca="false">IF($K$9=0,0,E26/$K$9)</f>
        <v>0.00151953020659969</v>
      </c>
      <c r="G26" s="117" t="n">
        <f aca="false">G25+F26</f>
        <v>0.981832723466815</v>
      </c>
      <c r="H26" s="138"/>
      <c r="L26" s="45" t="n">
        <f aca="false">C26/IF(B26&lt;='VALOR POR PL'!$P$5,IFERROR(INDEX('"INCC-FGV"'!$B$2:$B$800,MATCH(B26,'"INCC-FGV"'!$A$2:$A$800,0)),$K$2),$K$2)</f>
        <v>3.88777157312759</v>
      </c>
      <c r="M26" s="139" t="n">
        <f aca="false">'CP RESUMO'!Y17</f>
        <v>100</v>
      </c>
      <c r="N26" s="140" t="n">
        <f aca="false">MAX(0,M26-M25)</f>
        <v>0</v>
      </c>
      <c r="O26" s="139" t="n">
        <f aca="false">IF(B26&lt;='VALOR POR PL'!$P$5,'CP RESUMO'!Y59,"")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HISTORICOS'!Z17)</f>
        <v>18590.46</v>
      </c>
      <c r="D27" s="45" t="n">
        <f aca="false">IF(B27&lt;='VALOR POR PL'!$P$5,0,IF($K$17&gt;0,$K$18*P27/$K$17,0))</f>
        <v>0</v>
      </c>
      <c r="E27" s="45" t="n">
        <f aca="false">L27+D27/$K$2</f>
        <v>14.3031924797383</v>
      </c>
      <c r="F27" s="117" t="n">
        <f aca="false">IF($K$9=0,0,E27/$K$9)</f>
        <v>0.00559038323496135</v>
      </c>
      <c r="G27" s="117" t="n">
        <f aca="false">G26+F27</f>
        <v>0.987423106701777</v>
      </c>
      <c r="H27" s="138"/>
      <c r="L27" s="45" t="n">
        <f aca="false">C27/IF(B27&lt;='VALOR POR PL'!$P$5,IFERROR(INDEX('"INCC-FGV"'!$B$2:$B$800,MATCH(B27,'"INCC-FGV"'!$A$2:$A$800,0)),$K$2),$K$2)</f>
        <v>14.3031924797383</v>
      </c>
      <c r="M27" s="139" t="n">
        <f aca="false">'CP RESUMO'!Z17</f>
        <v>100</v>
      </c>
      <c r="N27" s="140" t="n">
        <f aca="false">MAX(0,M27-M26)</f>
        <v>0</v>
      </c>
      <c r="O27" s="139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HISTORICOS'!AA17)</f>
        <v>5078.5</v>
      </c>
      <c r="D28" s="45" t="n">
        <f aca="false">IF(B28&lt;='VALOR POR PL'!$P$5,0,IF($K$17&gt;0,$K$18*P28/$K$17,0))</f>
        <v>0</v>
      </c>
      <c r="E28" s="45" t="n">
        <f aca="false">L28+D28/$K$2</f>
        <v>3.9073139130689</v>
      </c>
      <c r="F28" s="117" t="n">
        <f aca="false">IF($K$9=0,0,E28/$K$9)</f>
        <v>0.00152716830346055</v>
      </c>
      <c r="G28" s="117" t="n">
        <f aca="false">G27+F28</f>
        <v>0.988950275005237</v>
      </c>
      <c r="H28" s="138"/>
      <c r="L28" s="45" t="n">
        <f aca="false">C28/IF(B28&lt;='VALOR POR PL'!$P$5,IFERROR(INDEX('"INCC-FGV"'!$B$2:$B$800,MATCH(B28,'"INCC-FGV"'!$A$2:$A$800,0)),$K$2),$K$2)</f>
        <v>3.9073139130689</v>
      </c>
      <c r="M28" s="139" t="n">
        <f aca="false">'CP RESUMO'!AA17</f>
        <v>100</v>
      </c>
      <c r="N28" s="140" t="n">
        <f aca="false">MAX(0,M28-M27)</f>
        <v>0</v>
      </c>
      <c r="O28" s="139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HISTORICOS'!AB17)</f>
        <v>5783.71</v>
      </c>
      <c r="D29" s="45" t="n">
        <f aca="false">IF(B29&lt;='VALOR POR PL'!$P$5,0,IF($K$17&gt;0,$K$18*P29/$K$17,0))</f>
        <v>0</v>
      </c>
      <c r="E29" s="45" t="n">
        <f aca="false">L29+D29/$K$2</f>
        <v>4.44989082448671</v>
      </c>
      <c r="F29" s="117" t="n">
        <f aca="false">IF($K$9=0,0,E29/$K$9)</f>
        <v>0.00173923374784047</v>
      </c>
      <c r="G29" s="117" t="n">
        <f aca="false">G28+F29</f>
        <v>0.990689508753078</v>
      </c>
      <c r="H29" s="138"/>
      <c r="L29" s="45" t="n">
        <f aca="false">C29/IF(B29&lt;='VALOR POR PL'!$P$5,IFERROR(INDEX('"INCC-FGV"'!$B$2:$B$800,MATCH(B29,'"INCC-FGV"'!$A$2:$A$800,0)),$K$2),$K$2)</f>
        <v>4.44989082448671</v>
      </c>
      <c r="M29" s="139" t="n">
        <f aca="false">'CP RESUMO'!AB17</f>
        <v>100</v>
      </c>
      <c r="N29" s="140" t="n">
        <f aca="false">MAX(0,M29-M28)</f>
        <v>0</v>
      </c>
      <c r="O29" s="139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HISTORICOS'!AC17)</f>
        <v>1523.01</v>
      </c>
      <c r="D30" s="45" t="n">
        <f aca="false">IF(B30&lt;='VALOR POR PL'!$P$5,0,IF($K$17&gt;0,$K$18*P30/$K$17,0))</f>
        <v>0</v>
      </c>
      <c r="E30" s="45" t="n">
        <f aca="false">L30+D30/$K$2</f>
        <v>1.17177870685105</v>
      </c>
      <c r="F30" s="117" t="n">
        <f aca="false">IF($K$9=0,0,E30/$K$9)</f>
        <v>0.000457988106301753</v>
      </c>
      <c r="G30" s="117" t="n">
        <f aca="false">G29+F30</f>
        <v>0.991147496859379</v>
      </c>
      <c r="H30" s="138"/>
      <c r="L30" s="45" t="n">
        <f aca="false">C30/IF(B30&lt;='VALOR POR PL'!$P$5,IFERROR(INDEX('"INCC-FGV"'!$B$2:$B$800,MATCH(B30,'"INCC-FGV"'!$A$2:$A$800,0)),$K$2),$K$2)</f>
        <v>1.17177870685105</v>
      </c>
      <c r="M30" s="139" t="n">
        <f aca="false">'CP RESUMO'!AC17</f>
        <v>100</v>
      </c>
      <c r="N30" s="140" t="n">
        <f aca="false">MAX(0,M30-M29)</f>
        <v>0</v>
      </c>
      <c r="O30" s="139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0.991147496859379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RESUMO'!AD17</f>
        <v>100</v>
      </c>
      <c r="N31" s="140" t="n">
        <f aca="false">MAX(0,M31-M30)</f>
        <v>0</v>
      </c>
      <c r="O31" s="139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HISTORICOS'!AE17)</f>
        <v>27769.62</v>
      </c>
      <c r="D32" s="45" t="n">
        <f aca="false">IF(B32&lt;='VALOR POR PL'!$P$5,0,IF($K$17&gt;0,$K$18*P32/$K$17,0))</f>
        <v>0</v>
      </c>
      <c r="E32" s="45" t="n">
        <f aca="false">L32+D32/$K$2</f>
        <v>21.3654863811433</v>
      </c>
      <c r="F32" s="117" t="n">
        <f aca="false">IF($K$9=0,0,E32/$K$9)</f>
        <v>0.00835067115548768</v>
      </c>
      <c r="G32" s="117" t="n">
        <f aca="false">G31+F32</f>
        <v>0.999498168014867</v>
      </c>
      <c r="H32" s="138" t="n">
        <v>1</v>
      </c>
      <c r="L32" s="45" t="n">
        <f aca="false">C32/IF(B32&lt;='VALOR POR PL'!$P$5,IFERROR(INDEX('"INCC-FGV"'!$B$2:$B$800,MATCH(B32,'"INCC-FGV"'!$A$2:$A$800,0)),$K$2),$K$2)</f>
        <v>21.3654863811433</v>
      </c>
      <c r="M32" s="139" t="n">
        <f aca="false">'CP RESUMO'!AE17</f>
        <v>100</v>
      </c>
      <c r="N32" s="140" t="n">
        <f aca="false">MAX(0,M32-M31)</f>
        <v>0</v>
      </c>
      <c r="O32" s="139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0.999498168014867</v>
      </c>
      <c r="H33" s="138" t="n">
        <v>1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RESUMO'!AF17</f>
        <v>100</v>
      </c>
      <c r="N33" s="140" t="n">
        <f aca="false">MAX(0,M33-M32)</f>
        <v>0</v>
      </c>
      <c r="O33" s="139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0.999498168014867</v>
      </c>
      <c r="H34" s="138" t="n">
        <v>1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RESUMO'!AG17</f>
        <v>100</v>
      </c>
      <c r="N34" s="140" t="n">
        <f aca="false">MAX(0,M34-M33)</f>
        <v>0</v>
      </c>
      <c r="O34" s="139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0.999498168014867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RESUMO'!AH17</f>
        <v>100</v>
      </c>
      <c r="N35" s="140" t="n">
        <f aca="false">MAX(0,M35-M34)</f>
        <v>0</v>
      </c>
      <c r="O35" s="139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0.999498168014867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RESUMO'!AI17</f>
        <v>100</v>
      </c>
      <c r="N36" s="140" t="n">
        <f aca="false">MAX(0,M36-M35)</f>
        <v>0</v>
      </c>
      <c r="O36" s="139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0.999498168014867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RESUMO'!AJ17</f>
        <v>100</v>
      </c>
      <c r="N37" s="140" t="n">
        <f aca="false">MAX(0,M37-M36)</f>
        <v>0</v>
      </c>
      <c r="O37" s="139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0.999498168014867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RESUMO'!AK17</f>
        <v>100</v>
      </c>
      <c r="N38" s="140" t="n">
        <f aca="false">MAX(0,M38-M37)</f>
        <v>0</v>
      </c>
      <c r="O38" s="139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0.999498168014867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RESUMO'!AL17</f>
        <v>100</v>
      </c>
      <c r="N39" s="140" t="n">
        <f aca="false">MAX(0,M39-M38)</f>
        <v>0</v>
      </c>
      <c r="O39" s="139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0.999498168014867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RESUMO'!AM17</f>
        <v>100</v>
      </c>
      <c r="N40" s="140" t="n">
        <f aca="false">MAX(0,M40-M39)</f>
        <v>0</v>
      </c>
      <c r="O40" s="139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0.999498168014867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RESUMO'!AN17</f>
        <v>100</v>
      </c>
      <c r="N41" s="140" t="n">
        <f aca="false">MAX(0,M41-M40)</f>
        <v>0</v>
      </c>
      <c r="O41" s="139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0.999498168014867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RESUMO'!AO17</f>
        <v>100</v>
      </c>
      <c r="N42" s="140" t="n">
        <f aca="false">MAX(0,M42-M41)</f>
        <v>0</v>
      </c>
      <c r="O42" s="139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0.999498168014867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RESUMO'!AP17</f>
        <v>100</v>
      </c>
      <c r="N43" s="140" t="n">
        <f aca="false">MAX(0,M43-M42)</f>
        <v>0</v>
      </c>
      <c r="O43" s="139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0.999498168014867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RESUMO'!AQ17</f>
        <v>100</v>
      </c>
      <c r="N44" s="140" t="n">
        <f aca="false">MAX(0,M44-M43)</f>
        <v>0</v>
      </c>
      <c r="O44" s="139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0.999498168014867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RESUMO'!AR17</f>
        <v>100</v>
      </c>
      <c r="N45" s="140" t="n">
        <f aca="false">MAX(0,M45-M44)</f>
        <v>0</v>
      </c>
      <c r="O45" s="139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HISTORICOS'!AS17)</f>
        <v>1668.81</v>
      </c>
      <c r="D46" s="45" t="n">
        <f aca="false">IF(B46&lt;='VALOR POR PL'!$P$5,0,IF($K$17&gt;0,$K$18*P46/$K$17,0))</f>
        <v>0</v>
      </c>
      <c r="E46" s="45" t="n">
        <f aca="false">L46+D46/$K$2</f>
        <v>1.28395481564803</v>
      </c>
      <c r="F46" s="117" t="n">
        <f aca="false">IF($K$9=0,0,E46/$K$9)</f>
        <v>0.000501831985133012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1.28395481564803</v>
      </c>
      <c r="M46" s="139" t="n">
        <f aca="false">'CP RESUMO'!AS17</f>
        <v>100</v>
      </c>
      <c r="N46" s="140" t="n">
        <f aca="false">MAX(0,M46-M45)</f>
        <v>0</v>
      </c>
      <c r="O46" s="139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RESUMO'!AT17</f>
        <v>100</v>
      </c>
      <c r="N47" s="140" t="n">
        <f aca="false">MAX(0,M47-M46)</f>
        <v>0</v>
      </c>
      <c r="O47" s="139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RESUMO'!AU17</f>
        <v>100</v>
      </c>
      <c r="N48" s="140" t="n">
        <f aca="false">MAX(0,M48-M47)</f>
        <v>0</v>
      </c>
      <c r="O48" s="139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RESUMO'!AV17</f>
        <v>100</v>
      </c>
      <c r="N49" s="140" t="n">
        <f aca="false">MAX(0,M49-M48)</f>
        <v>0</v>
      </c>
      <c r="O49" s="139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RESUMO'!AW17</f>
        <v>100</v>
      </c>
      <c r="N50" s="140" t="n">
        <f aca="false">MAX(0,M50-M49)</f>
        <v>0</v>
      </c>
      <c r="O50" s="139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RESUMO'!AX17</f>
        <v>100</v>
      </c>
      <c r="N51" s="140" t="n">
        <f aca="false">MAX(0,M51-M50)</f>
        <v>0</v>
      </c>
      <c r="O51" s="139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RESUMO'!AY17</f>
        <v>100</v>
      </c>
      <c r="N52" s="140" t="n">
        <f aca="false">MAX(0,M52-M51)</f>
        <v>0</v>
      </c>
      <c r="O52" s="139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RESUMO'!AZ17</f>
        <v>100</v>
      </c>
      <c r="N53" s="140" t="n">
        <f aca="false">MAX(0,M53-M52)</f>
        <v>0</v>
      </c>
      <c r="O53" s="139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RESUMO'!BA17</f>
        <v>100</v>
      </c>
      <c r="N54" s="140" t="n">
        <f aca="false">MAX(0,M54-M53)</f>
        <v>0</v>
      </c>
      <c r="O54" s="139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RESUMO'!BB17</f>
        <v>100</v>
      </c>
      <c r="N55" s="140" t="n">
        <f aca="false">MAX(0,M55-M54)</f>
        <v>0</v>
      </c>
      <c r="O55" s="139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RESUMO'!BC17</f>
        <v>100</v>
      </c>
      <c r="N56" s="140" t="n">
        <f aca="false">MAX(0,M56-M55)</f>
        <v>0</v>
      </c>
      <c r="O56" s="139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RESUMO'!BD17</f>
        <v>100</v>
      </c>
      <c r="N57" s="140" t="n">
        <f aca="false">MAX(0,M57-M56)</f>
        <v>0</v>
      </c>
      <c r="O57" s="139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RESUMO'!BE17</f>
        <v>100</v>
      </c>
      <c r="N58" s="140" t="n">
        <f aca="false">MAX(0,M58-M57)</f>
        <v>0</v>
      </c>
      <c r="O58" s="139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RESUMO'!BF17</f>
        <v>100</v>
      </c>
      <c r="N59" s="140" t="n">
        <f aca="false">MAX(0,M59-M58)</f>
        <v>0</v>
      </c>
      <c r="O59" s="139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RESUMO'!BG17</f>
        <v>100</v>
      </c>
      <c r="N60" s="140" t="n">
        <f aca="false">MAX(0,M60-M59)</f>
        <v>0</v>
      </c>
      <c r="O60" s="139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RESUMO'!BH17</f>
        <v>100</v>
      </c>
      <c r="N61" s="140" t="n">
        <f aca="false">MAX(0,M61-M60)</f>
        <v>0</v>
      </c>
      <c r="O61" s="139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RESUMO'!BI17</f>
        <v>100</v>
      </c>
      <c r="N62" s="140" t="n">
        <f aca="false">MAX(0,M62-M61)</f>
        <v>0</v>
      </c>
      <c r="O62" s="139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RESUMO'!BJ17</f>
        <v>100</v>
      </c>
      <c r="N63" s="140" t="n">
        <f aca="false">MAX(0,M63-M62)</f>
        <v>0</v>
      </c>
      <c r="O63" s="139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RESUMO'!BK17</f>
        <v>100</v>
      </c>
      <c r="N64" s="140" t="n">
        <f aca="false">MAX(0,M64-M63)</f>
        <v>0</v>
      </c>
      <c r="O64" s="139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RESUMO'!BL17</f>
        <v>100</v>
      </c>
      <c r="N65" s="140" t="n">
        <f aca="false">MAX(0,M65-M64)</f>
        <v>0</v>
      </c>
      <c r="O65" s="139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RESUMO'!BM17</f>
        <v>100</v>
      </c>
      <c r="N66" s="140" t="n">
        <f aca="false">MAX(0,M66-M65)</f>
        <v>0</v>
      </c>
      <c r="O66" s="139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RESUMO'!BN17</f>
        <v>100</v>
      </c>
      <c r="N67" s="140" t="n">
        <f aca="false">MAX(0,M67-M66)</f>
        <v>0</v>
      </c>
      <c r="O67" s="139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RESUMO'!BO17</f>
        <v>100</v>
      </c>
      <c r="N68" s="140" t="n">
        <f aca="false">MAX(0,M68-M67)</f>
        <v>0</v>
      </c>
      <c r="O68" s="139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RESUMO'!BP17</f>
        <v>100</v>
      </c>
      <c r="N69" s="140" t="n">
        <f aca="false">MAX(0,M69-M68)</f>
        <v>0</v>
      </c>
      <c r="O69" s="139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RESUMO'!BQ17</f>
        <v>100</v>
      </c>
      <c r="N70" s="140" t="n">
        <f aca="false">MAX(0,M70-M69)</f>
        <v>0</v>
      </c>
      <c r="O70" s="139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RESUMO'!BR17</f>
        <v>100</v>
      </c>
      <c r="N71" s="140" t="n">
        <f aca="false">MAX(0,M71-M70)</f>
        <v>0</v>
      </c>
      <c r="O71" s="139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RESUMO'!BS17</f>
        <v>100</v>
      </c>
      <c r="N72" s="140" t="n">
        <f aca="false">MAX(0,M72-M71)</f>
        <v>0</v>
      </c>
      <c r="O72" s="139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RESUMO'!BT17</f>
        <v>100</v>
      </c>
      <c r="N73" s="140" t="n">
        <f aca="false">MAX(0,M73-M72)</f>
        <v>0</v>
      </c>
      <c r="O73" s="139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RESUMO'!BU17</f>
        <v>100</v>
      </c>
      <c r="N74" s="140" t="n">
        <f aca="false">MAX(0,M74-M73)</f>
        <v>0</v>
      </c>
      <c r="O74" s="139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RESUMO'!BV17</f>
        <v>100</v>
      </c>
      <c r="N75" s="140" t="n">
        <f aca="false">MAX(0,M75-M74)</f>
        <v>0</v>
      </c>
      <c r="O75" s="139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RESUMO'!BW17</f>
        <v>100</v>
      </c>
      <c r="N76" s="140" t="n">
        <f aca="false">MAX(0,M76-M75)</f>
        <v>0</v>
      </c>
      <c r="O76" s="139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3094379.11</v>
      </c>
      <c r="D78" s="61" t="n">
        <f aca="false">SUM(D5:D76)</f>
        <v>0</v>
      </c>
      <c r="E78" s="61" t="n">
        <f aca="false">SUM(E5:E76)</f>
        <v>2558.53523427311</v>
      </c>
      <c r="F78" s="145" t="n">
        <f aca="false">SUM(F5:F76)</f>
        <v>1</v>
      </c>
      <c r="H78" s="61" t="n">
        <f aca="false">SUM(H5:H76)</f>
        <v>3</v>
      </c>
      <c r="L78" s="61" t="n">
        <f aca="false">SUM(L5:L76)</f>
        <v>2558.53523427311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HISTORICOS'!D18)</f>
        <v>65353.89</v>
      </c>
      <c r="D5" s="45" t="n">
        <f aca="false">IF(B5&lt;='VALOR POR PL'!$P$5,0,IF($K$17&gt;0,$K$18*P5/$K$17,0))</f>
        <v>0</v>
      </c>
      <c r="E5" s="45" t="n">
        <f aca="false">L5+D5/$K$2</f>
        <v>57.0585464215989</v>
      </c>
      <c r="F5" s="117" t="n">
        <f aca="false">IF($K$9=0,0,E5/$K$9)</f>
        <v>0.0330889999642756</v>
      </c>
      <c r="G5" s="117" t="n">
        <f aca="false">F5</f>
        <v>0.0330889999642756</v>
      </c>
      <c r="H5" s="138"/>
      <c r="I5" s="42" t="s">
        <v>3894</v>
      </c>
      <c r="J5" s="56" t="n">
        <f aca="false">'VALOR POR PL'!F24</f>
        <v>1921505.73</v>
      </c>
      <c r="K5" s="56" t="n">
        <f aca="false">'VALOR POR PL'!G24</f>
        <v>1645.046196</v>
      </c>
      <c r="L5" s="56" t="n">
        <f aca="false">'DADOS HISTORICOS'!$BZ$18</f>
        <v>57.0585464215989</v>
      </c>
      <c r="M5" s="139" t="n">
        <f aca="false">'CP RESUMO'!D18</f>
        <v>0</v>
      </c>
      <c r="N5" s="140" t="n">
        <v>0</v>
      </c>
      <c r="O5" s="139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HISTORICOS'!E18)</f>
        <v>1300</v>
      </c>
      <c r="D6" s="45" t="n">
        <f aca="false">IF(B6&lt;='VALOR POR PL'!$P$5,0,IF($K$17&gt;0,$K$18*P6/$K$17,0))</f>
        <v>0</v>
      </c>
      <c r="E6" s="45" t="n">
        <f aca="false">L6+D6/$K$2</f>
        <v>1.11195125205711</v>
      </c>
      <c r="F6" s="117" t="n">
        <f aca="false">IF($K$9=0,0,E6/$K$9)</f>
        <v>0.000644835125446978</v>
      </c>
      <c r="G6" s="117" t="n">
        <f aca="false">G5+F6</f>
        <v>0.0337338350897226</v>
      </c>
      <c r="H6" s="138"/>
      <c r="I6" s="42" t="s">
        <v>3895</v>
      </c>
      <c r="K6" s="52" t="n">
        <f aca="false">'VALOR POR PL'!H24</f>
        <v>1724.39621877971</v>
      </c>
      <c r="L6" s="45" t="n">
        <f aca="false">C6/IF(B6&lt;='VALOR POR PL'!$P$5,IFERROR(INDEX('"INCC-FGV"'!$B$2:$B$800,MATCH(B6,'"INCC-FGV"'!$A$2:$A$800,0)),$K$2),$K$2)</f>
        <v>1.11195125205711</v>
      </c>
      <c r="M6" s="139" t="n">
        <f aca="false">'CP RESUMO'!E18</f>
        <v>0</v>
      </c>
      <c r="N6" s="140" t="n">
        <f aca="false">MAX(0,M6-M5)</f>
        <v>0</v>
      </c>
      <c r="O6" s="139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0.0337338350897226</v>
      </c>
      <c r="H7" s="138"/>
      <c r="I7" s="42" t="s">
        <v>3896</v>
      </c>
      <c r="J7" s="45" t="n">
        <f aca="false">C78+D78</f>
        <v>2096520.99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RESUMO'!F18</f>
        <v>0</v>
      </c>
      <c r="N7" s="140" t="n">
        <f aca="false">MAX(0,M7-M6)</f>
        <v>0</v>
      </c>
      <c r="O7" s="139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0.0337338350897226</v>
      </c>
      <c r="H8" s="138"/>
      <c r="I8" s="42" t="s">
        <v>3897</v>
      </c>
      <c r="K8" s="66" t="n">
        <f aca="false">SUM(L5:L76)</f>
        <v>1724.39621877971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RESUMO'!G18</f>
        <v>0</v>
      </c>
      <c r="N8" s="140" t="n">
        <f aca="false">MAX(0,M8-M7)</f>
        <v>0</v>
      </c>
      <c r="O8" s="139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0.0337338350897226</v>
      </c>
      <c r="H9" s="138"/>
      <c r="I9" s="42" t="s">
        <v>3898</v>
      </c>
      <c r="J9" s="45" t="n">
        <f aca="false">C78+D78</f>
        <v>2096520.99</v>
      </c>
      <c r="K9" s="45" t="n">
        <f aca="false">E78</f>
        <v>1724.39621877971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RESUMO'!H18</f>
        <v>0</v>
      </c>
      <c r="N9" s="140" t="n">
        <f aca="false">MAX(0,M9-M8)</f>
        <v>0</v>
      </c>
      <c r="O9" s="139" t="n">
        <f aca="false">IF(B9&lt;='VALOR POR PL'!$P$5,'CP RESUMO'!H60,"")</f>
        <v>30.4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HISTORICOS'!I18)</f>
        <v>58031.16</v>
      </c>
      <c r="D10" s="45" t="n">
        <f aca="false">IF(B10&lt;='VALOR POR PL'!$P$5,0,IF($K$17&gt;0,$K$18*P10/$K$17,0))</f>
        <v>0</v>
      </c>
      <c r="E10" s="45" t="n">
        <f aca="false">L10+D10/$K$2</f>
        <v>48.7113613642602</v>
      </c>
      <c r="F10" s="117" t="n">
        <f aca="false">IF($K$9=0,0,E10/$K$9)</f>
        <v>0.0282483577925793</v>
      </c>
      <c r="G10" s="117" t="n">
        <f aca="false">G9+F10</f>
        <v>0.0619821928823019</v>
      </c>
      <c r="H10" s="138"/>
      <c r="I10" s="42" t="s">
        <v>3899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48.7113613642602</v>
      </c>
      <c r="M10" s="139" t="n">
        <f aca="false">'CP RESUMO'!I18</f>
        <v>0</v>
      </c>
      <c r="N10" s="140" t="n">
        <f aca="false">MAX(0,M10-M9)</f>
        <v>0</v>
      </c>
      <c r="O10" s="139" t="n">
        <f aca="false">IF(B10&lt;='VALOR POR PL'!$P$5,'CP RESUMO'!I60,"")</f>
        <v>37.6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HISTORICOS'!J18)</f>
        <v>244429.38</v>
      </c>
      <c r="D11" s="45" t="n">
        <f aca="false">IF(B11&lt;='VALOR POR PL'!$P$5,0,IF($K$17&gt;0,$K$18*P11/$K$17,0))</f>
        <v>0</v>
      </c>
      <c r="E11" s="45" t="n">
        <f aca="false">L11+D11/$K$2</f>
        <v>203.774527744269</v>
      </c>
      <c r="F11" s="117" t="n">
        <f aca="false">IF($K$9=0,0,E11/$K$9)</f>
        <v>0.118171523183037</v>
      </c>
      <c r="G11" s="117" t="n">
        <f aca="false">G10+F11</f>
        <v>0.180153716065339</v>
      </c>
      <c r="H11" s="138"/>
      <c r="I11" s="42" t="s">
        <v>3900</v>
      </c>
      <c r="K11" s="56" t="n">
        <f aca="false">SUMPRODUCT((B5:B76&gt;'VALOR POR PL'!$P$5)*H5:H76)</f>
        <v>112231.02</v>
      </c>
      <c r="L11" s="45" t="n">
        <f aca="false">C11/IF(B11&lt;='VALOR POR PL'!$P$5,IFERROR(INDEX('"INCC-FGV"'!$B$2:$B$800,MATCH(B11,'"INCC-FGV"'!$A$2:$A$800,0)),$K$2),$K$2)</f>
        <v>203.774527744269</v>
      </c>
      <c r="M11" s="139" t="n">
        <f aca="false">'CP RESUMO'!J18</f>
        <v>0</v>
      </c>
      <c r="N11" s="140" t="n">
        <f aca="false">MAX(0,M11-M10)</f>
        <v>0</v>
      </c>
      <c r="O11" s="139" t="n">
        <f aca="false">IF(B11&lt;='VALOR POR PL'!$P$5,'CP RESUMO'!J60,"")</f>
        <v>62.4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HISTORICOS'!K18)</f>
        <v>369031.98</v>
      </c>
      <c r="D12" s="45" t="n">
        <f aca="false">IF(B12&lt;='VALOR POR PL'!$P$5,0,IF($K$17&gt;0,$K$18*P12/$K$17,0))</f>
        <v>0</v>
      </c>
      <c r="E12" s="45" t="n">
        <f aca="false">L12+D12/$K$2</f>
        <v>304.866436288023</v>
      </c>
      <c r="F12" s="117" t="n">
        <f aca="false">IF($K$9=0,0,E12/$K$9)</f>
        <v>0.176796047780576</v>
      </c>
      <c r="G12" s="117" t="n">
        <f aca="false">G11+F12</f>
        <v>0.356949763845916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304.866436288023</v>
      </c>
      <c r="M12" s="139" t="n">
        <f aca="false">'CP RESUMO'!K18</f>
        <v>17.11</v>
      </c>
      <c r="N12" s="140" t="n">
        <f aca="false">MAX(0,M12-M11)</f>
        <v>17.11</v>
      </c>
      <c r="O12" s="139" t="n">
        <f aca="false">IF(B12&lt;='VALOR POR PL'!$P$5,'CP RESUMO'!K60,"")</f>
        <v>82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HISTORICOS'!L18)</f>
        <v>540521.81</v>
      </c>
      <c r="D13" s="45" t="n">
        <f aca="false">IF(B13&lt;='VALOR POR PL'!$P$5,0,IF($K$17&gt;0,$K$18*P13/$K$17,0))</f>
        <v>0</v>
      </c>
      <c r="E13" s="45" t="n">
        <f aca="false">L13+D13/$K$2</f>
        <v>444.250139310565</v>
      </c>
      <c r="F13" s="117" t="n">
        <f aca="false">IF($K$9=0,0,E13/$K$9)</f>
        <v>0.257626486576817</v>
      </c>
      <c r="G13" s="117" t="n">
        <f aca="false">G12+F13</f>
        <v>0.614576250422732</v>
      </c>
      <c r="H13" s="138"/>
      <c r="I13" s="42" t="s">
        <v>3902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444.250139310565</v>
      </c>
      <c r="M13" s="139" t="n">
        <f aca="false">'CP RESUMO'!L18</f>
        <v>28.96</v>
      </c>
      <c r="N13" s="140" t="n">
        <f aca="false">MAX(0,M13-M12)</f>
        <v>11.85</v>
      </c>
      <c r="O13" s="139" t="n">
        <f aca="false">IF(B13&lt;='VALOR POR PL'!$P$5,'CP RESUMO'!L60,"")</f>
        <v>88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HISTORICOS'!M18)</f>
        <v>338988.81</v>
      </c>
      <c r="D14" s="45" t="n">
        <f aca="false">IF(B14&lt;='VALOR POR PL'!$P$5,0,IF($K$17&gt;0,$K$18*P14/$K$17,0))</f>
        <v>0</v>
      </c>
      <c r="E14" s="45" t="n">
        <f aca="false">L14+D14/$K$2</f>
        <v>278.14534928086</v>
      </c>
      <c r="F14" s="117" t="n">
        <f aca="false">IF($K$9=0,0,E14/$K$9)</f>
        <v>0.161300138710402</v>
      </c>
      <c r="G14" s="117" t="n">
        <f aca="false">G13+F14</f>
        <v>0.775876389133134</v>
      </c>
      <c r="H14" s="138"/>
      <c r="I14" s="42" t="s">
        <v>3903</v>
      </c>
      <c r="K14" s="58" t="n">
        <f aca="false">IFERROR(INDEX('CP RESUMO'!$D$60:$BW$60,MATCH('VALOR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278.14534928086</v>
      </c>
      <c r="M14" s="139" t="n">
        <f aca="false">'CP RESUMO'!M18</f>
        <v>52</v>
      </c>
      <c r="N14" s="140" t="n">
        <f aca="false">MAX(0,M14-M13)</f>
        <v>23.04</v>
      </c>
      <c r="O14" s="139" t="n">
        <f aca="false">IF(B14&lt;='VALOR POR PL'!$P$5,'CP RESUMO'!M60,"")</f>
        <v>98.48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HISTORICOS'!N18)</f>
        <v>160988.83</v>
      </c>
      <c r="D15" s="45" t="n">
        <f aca="false">IF(B15&lt;='VALOR POR PL'!$P$5,0,IF($K$17&gt;0,$K$18*P15/$K$17,0))</f>
        <v>0</v>
      </c>
      <c r="E15" s="45" t="n">
        <f aca="false">L15+D15/$K$2</f>
        <v>131.703718065768</v>
      </c>
      <c r="F15" s="117" t="n">
        <f aca="false">IF($K$9=0,0,E15/$K$9)</f>
        <v>0.0763767147198743</v>
      </c>
      <c r="G15" s="117" t="n">
        <f aca="false">G14+F15</f>
        <v>0.852253103853008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131.703718065768</v>
      </c>
      <c r="M15" s="139" t="n">
        <f aca="false">'CP RESUMO'!N18</f>
        <v>65.63</v>
      </c>
      <c r="N15" s="140" t="n">
        <f aca="false">MAX(0,M15-M14)</f>
        <v>13.63</v>
      </c>
      <c r="O15" s="139" t="n">
        <f aca="false">IF(B15&lt;='VALOR POR PL'!$P$5,'CP RESUMO'!N60,"")</f>
        <v>98.66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HISTORICOS'!O18)</f>
        <v>168047.95</v>
      </c>
      <c r="D16" s="45" t="n">
        <f aca="false">IF(B16&lt;='VALOR POR PL'!$P$5,0,IF($K$17&gt;0,$K$18*P16/$K$17,0))</f>
        <v>0</v>
      </c>
      <c r="E16" s="45" t="n">
        <f aca="false">L16+D16/$K$2</f>
        <v>137.111149911923</v>
      </c>
      <c r="F16" s="117" t="n">
        <f aca="false">IF($K$9=0,0,E16/$K$9)</f>
        <v>0.0795125554200944</v>
      </c>
      <c r="G16" s="117" t="n">
        <f aca="false">G15+F16</f>
        <v>0.931765659273102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137.111149911923</v>
      </c>
      <c r="M16" s="139" t="n">
        <f aca="false">'CP RESUMO'!O18</f>
        <v>76.89</v>
      </c>
      <c r="N16" s="140" t="n">
        <f aca="false">MAX(0,M16-M15)</f>
        <v>11.26</v>
      </c>
      <c r="O16" s="139" t="n">
        <f aca="false">IF(B16&lt;='VALOR POR PL'!$P$5,'CP RESUMO'!O60,"")</f>
        <v>98.66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HISTORICOS'!P18)</f>
        <v>29778.78</v>
      </c>
      <c r="D17" s="45" t="n">
        <f aca="false">IF(B17&lt;='VALOR POR PL'!$P$5,0,IF($K$17&gt;0,$K$18*P17/$K$17,0))</f>
        <v>0</v>
      </c>
      <c r="E17" s="45" t="n">
        <f aca="false">L17+D17/$K$2</f>
        <v>24.2466419304961</v>
      </c>
      <c r="F17" s="117" t="n">
        <f aca="false">IF($K$9=0,0,E17/$K$9)</f>
        <v>0.0140609458930816</v>
      </c>
      <c r="G17" s="117" t="n">
        <f aca="false">G16+F17</f>
        <v>0.945826605166184</v>
      </c>
      <c r="H17" s="138"/>
      <c r="I17" s="42" t="s">
        <v>3907</v>
      </c>
      <c r="K17" s="45" t="n">
        <f aca="false">SUM(P5:P76)</f>
        <v>112231.02</v>
      </c>
      <c r="L17" s="45" t="n">
        <f aca="false">C17/IF(B17&lt;='VALOR POR PL'!$P$5,IFERROR(INDEX('"INCC-FGV"'!$B$2:$B$800,MATCH(B17,'"INCC-FGV"'!$A$2:$A$800,0)),$K$2),$K$2)</f>
        <v>24.2466419304961</v>
      </c>
      <c r="M17" s="139" t="n">
        <f aca="false">'CP RESUMO'!P18</f>
        <v>86.96</v>
      </c>
      <c r="N17" s="140" t="n">
        <f aca="false">MAX(0,M17-M16)</f>
        <v>10.07</v>
      </c>
      <c r="O17" s="139" t="n">
        <f aca="false">IF(B17&lt;='VALOR POR PL'!$P$5,'CP RESUMO'!P60,"")</f>
        <v>98.66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0.945826605166184</v>
      </c>
      <c r="H18" s="138"/>
      <c r="I18" s="42" t="s">
        <v>3908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RESUMO'!Q18</f>
        <v>98.66</v>
      </c>
      <c r="N18" s="140" t="n">
        <f aca="false">MAX(0,M18-M17)</f>
        <v>11.7</v>
      </c>
      <c r="O18" s="139" t="n">
        <f aca="false">IF(B18&lt;='VALOR POR PL'!$P$5,'CP RESUMO'!Q60,"")</f>
        <v>98.66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0.945826605166184</v>
      </c>
      <c r="H19" s="138"/>
      <c r="I19" s="42" t="s">
        <v>3909</v>
      </c>
      <c r="K19" s="142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RESUMO'!R18</f>
        <v>98.66</v>
      </c>
      <c r="N19" s="140" t="n">
        <f aca="false">MAX(0,M19-M18)</f>
        <v>0</v>
      </c>
      <c r="O19" s="139" t="n">
        <f aca="false">IF(B19&lt;='VALOR POR PL'!$P$5,'CP RESUMO'!R60,"")</f>
        <v>98.66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0.945826605166184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RESUMO'!S18</f>
        <v>98.66</v>
      </c>
      <c r="N20" s="140" t="n">
        <f aca="false">MAX(0,M20-M19)</f>
        <v>0</v>
      </c>
      <c r="O20" s="139" t="n">
        <f aca="false">IF(B20&lt;='VALOR POR PL'!$P$5,'CP RESUMO'!S60,"")</f>
        <v>98.66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0.945826605166184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RESUMO'!T18</f>
        <v>98.66</v>
      </c>
      <c r="N21" s="140" t="n">
        <f aca="false">MAX(0,M21-M20)</f>
        <v>0</v>
      </c>
      <c r="O21" s="139" t="n">
        <f aca="false">IF(B21&lt;='VALOR POR PL'!$P$5,'CP RESUMO'!T60,"")</f>
        <v>98.66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HISTORICOS'!U18)</f>
        <v>44436.66</v>
      </c>
      <c r="D22" s="45" t="n">
        <f aca="false">IF(B22&lt;='VALOR POR PL'!$P$5,0,IF($K$17&gt;0,$K$18*P22/$K$17,0))</f>
        <v>0</v>
      </c>
      <c r="E22" s="45" t="n">
        <f aca="false">L22+D22/$K$2</f>
        <v>34.9703587406892</v>
      </c>
      <c r="F22" s="117" t="n">
        <f aca="false">IF($K$9=0,0,E22/$K$9)</f>
        <v>0.0202797700202778</v>
      </c>
      <c r="G22" s="117" t="n">
        <f aca="false">G21+F22</f>
        <v>0.966106375186462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34.9703587406892</v>
      </c>
      <c r="M22" s="139" t="n">
        <f aca="false">'CP RESUMO'!U18</f>
        <v>98.66</v>
      </c>
      <c r="N22" s="140" t="n">
        <f aca="false">MAX(0,M22-M21)</f>
        <v>0</v>
      </c>
      <c r="O22" s="139" t="n">
        <f aca="false">IF(B22&lt;='VALOR POR PL'!$P$5,'CP RESUMO'!U60,"")</f>
        <v>98.66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HISTORICOS'!V18)</f>
        <v>13562.69</v>
      </c>
      <c r="D23" s="45" t="n">
        <f aca="false">IF(B23&lt;='VALOR POR PL'!$P$5,0,IF($K$17&gt;0,$K$18*P23/$K$17,0))</f>
        <v>0</v>
      </c>
      <c r="E23" s="45" t="n">
        <f aca="false">L23+D23/$K$2</f>
        <v>10.5905480146271</v>
      </c>
      <c r="F23" s="117" t="n">
        <f aca="false">IF($K$9=0,0,E23/$K$9)</f>
        <v>0.0061415977948047</v>
      </c>
      <c r="G23" s="117" t="n">
        <f aca="false">G22+F23</f>
        <v>0.972247972981267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10.5905480146271</v>
      </c>
      <c r="M23" s="139" t="n">
        <f aca="false">'CP RESUMO'!V18</f>
        <v>98.66</v>
      </c>
      <c r="N23" s="140" t="n">
        <f aca="false">MAX(0,M23-M22)</f>
        <v>0</v>
      </c>
      <c r="O23" s="139" t="n">
        <f aca="false">IF(B23&lt;='VALOR POR PL'!$P$5,'CP RESUMO'!V60,"")</f>
        <v>98.66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HISTORICOS'!W18)</f>
        <v>14325.63</v>
      </c>
      <c r="D24" s="45" t="n">
        <f aca="false">IF(B24&lt;='VALOR POR PL'!$P$5,0,IF($K$17&gt;0,$K$18*P24/$K$17,0))</f>
        <v>0</v>
      </c>
      <c r="E24" s="45" t="n">
        <f aca="false">L24+D24/$K$2</f>
        <v>11.1186629318916</v>
      </c>
      <c r="F24" s="117" t="n">
        <f aca="false">IF($K$9=0,0,E24/$K$9)</f>
        <v>0.00644785856684366</v>
      </c>
      <c r="G24" s="117" t="n">
        <f aca="false">G23+F24</f>
        <v>0.97869583154811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11.1186629318916</v>
      </c>
      <c r="M24" s="139" t="n">
        <f aca="false">'CP RESUMO'!W18</f>
        <v>98.66</v>
      </c>
      <c r="N24" s="140" t="n">
        <f aca="false">MAX(0,M24-M23)</f>
        <v>0</v>
      </c>
      <c r="O24" s="139" t="n">
        <f aca="false">IF(B24&lt;='VALOR POR PL'!$P$5,'CP RESUMO'!W60,"")</f>
        <v>98.66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HISTORICOS'!X18)</f>
        <v>11354.11</v>
      </c>
      <c r="D25" s="45" t="n">
        <f aca="false">IF(B25&lt;='VALOR POR PL'!$P$5,0,IF($K$17&gt;0,$K$18*P25/$K$17,0))</f>
        <v>0</v>
      </c>
      <c r="E25" s="45" t="n">
        <f aca="false">L25+D25/$K$2</f>
        <v>8.75488187501012</v>
      </c>
      <c r="F25" s="117" t="n">
        <f aca="false">IF($K$9=0,0,E25/$K$9)</f>
        <v>0.0050770709072916</v>
      </c>
      <c r="G25" s="117" t="n">
        <f aca="false">G24+F25</f>
        <v>0.983772902455402</v>
      </c>
      <c r="H25" s="138"/>
      <c r="L25" s="45" t="n">
        <f aca="false">C25/IF(B25&lt;='VALOR POR PL'!$P$5,IFERROR(INDEX('"INCC-FGV"'!$B$2:$B$800,MATCH(B25,'"INCC-FGV"'!$A$2:$A$800,0)),$K$2),$K$2)</f>
        <v>8.75488187501012</v>
      </c>
      <c r="M25" s="139" t="n">
        <f aca="false">'CP RESUMO'!X18</f>
        <v>100</v>
      </c>
      <c r="N25" s="140" t="n">
        <f aca="false">MAX(0,M25-M24)</f>
        <v>1.34</v>
      </c>
      <c r="O25" s="139" t="n">
        <f aca="false">IF(B25&lt;='VALOR POR PL'!$P$5,'CP RESUMO'!X60,"")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HISTORICOS'!Y18)</f>
        <v>18991.44</v>
      </c>
      <c r="D26" s="45" t="n">
        <f aca="false">IF(B26&lt;='VALOR POR PL'!$P$5,0,IF($K$17&gt;0,$K$18*P26/$K$17,0))</f>
        <v>0</v>
      </c>
      <c r="E26" s="45" t="n">
        <f aca="false">L26+D26/$K$2</f>
        <v>14.6116998604338</v>
      </c>
      <c r="F26" s="117" t="n">
        <f aca="false">IF($K$9=0,0,E26/$K$9)</f>
        <v>0.0084735165278743</v>
      </c>
      <c r="G26" s="117" t="n">
        <f aca="false">G25+F26</f>
        <v>0.992246418983276</v>
      </c>
      <c r="H26" s="138"/>
      <c r="L26" s="45" t="n">
        <f aca="false">C26/IF(B26&lt;='VALOR POR PL'!$P$5,IFERROR(INDEX('"INCC-FGV"'!$B$2:$B$800,MATCH(B26,'"INCC-FGV"'!$A$2:$A$800,0)),$K$2),$K$2)</f>
        <v>14.6116998604338</v>
      </c>
      <c r="M26" s="139" t="n">
        <f aca="false">'CP RESUMO'!Y18</f>
        <v>100</v>
      </c>
      <c r="N26" s="140" t="n">
        <f aca="false">MAX(0,M26-M25)</f>
        <v>0</v>
      </c>
      <c r="O26" s="139" t="n">
        <f aca="false">IF(B26&lt;='VALOR POR PL'!$P$5,'CP RESUMO'!Y60,"")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HISTORICOS'!Z18)</f>
        <v>13096</v>
      </c>
      <c r="D27" s="45" t="n">
        <f aca="false">IF(B27&lt;='VALOR POR PL'!$P$5,0,IF($K$17&gt;0,$K$18*P27/$K$17,0))</f>
        <v>0</v>
      </c>
      <c r="E27" s="45" t="n">
        <f aca="false">L27+D27/$K$2</f>
        <v>10.0758458217092</v>
      </c>
      <c r="F27" s="117" t="n">
        <f aca="false">IF($K$9=0,0,E27/$K$9)</f>
        <v>0.00584311523765664</v>
      </c>
      <c r="G27" s="117" t="n">
        <f aca="false">G26+F27</f>
        <v>0.998089534220933</v>
      </c>
      <c r="H27" s="138" t="n">
        <v>112231.02</v>
      </c>
      <c r="L27" s="45" t="n">
        <f aca="false">C27/IF(B27&lt;='VALOR POR PL'!$P$5,IFERROR(INDEX('"INCC-FGV"'!$B$2:$B$800,MATCH(B27,'"INCC-FGV"'!$A$2:$A$800,0)),$K$2),$K$2)</f>
        <v>10.0758458217092</v>
      </c>
      <c r="M27" s="139" t="n">
        <f aca="false">'CP RESUMO'!Z18</f>
        <v>100</v>
      </c>
      <c r="N27" s="140" t="n">
        <f aca="false">MAX(0,M27-M26)</f>
        <v>0</v>
      </c>
      <c r="O27" s="139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112231.02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HISTORICOS'!AA18)</f>
        <v>657.3</v>
      </c>
      <c r="D28" s="45" t="n">
        <f aca="false">IF(B28&lt;='VALOR POR PL'!$P$5,0,IF($K$17&gt;0,$K$18*P28/$K$17,0))</f>
        <v>0</v>
      </c>
      <c r="E28" s="45" t="n">
        <f aca="false">L28+D28/$K$2</f>
        <v>0.505715749741102</v>
      </c>
      <c r="F28" s="117" t="n">
        <f aca="false">IF($K$9=0,0,E28/$K$9)</f>
        <v>0.000293271200802666</v>
      </c>
      <c r="G28" s="117" t="n">
        <f aca="false">G27+F28</f>
        <v>0.998382805421736</v>
      </c>
      <c r="H28" s="138"/>
      <c r="L28" s="45" t="n">
        <f aca="false">C28/IF(B28&lt;='VALOR POR PL'!$P$5,IFERROR(INDEX('"INCC-FGV"'!$B$2:$B$800,MATCH(B28,'"INCC-FGV"'!$A$2:$A$800,0)),$K$2),$K$2)</f>
        <v>0.505715749741102</v>
      </c>
      <c r="M28" s="139" t="n">
        <f aca="false">'CP RESUMO'!AA18</f>
        <v>100</v>
      </c>
      <c r="N28" s="140" t="n">
        <f aca="false">MAX(0,M28-M27)</f>
        <v>0</v>
      </c>
      <c r="O28" s="139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0.998382805421736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RESUMO'!AB18</f>
        <v>100</v>
      </c>
      <c r="N29" s="140" t="n">
        <f aca="false">MAX(0,M29-M28)</f>
        <v>0</v>
      </c>
      <c r="O29" s="139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HISTORICOS'!AC18)</f>
        <v>835.15</v>
      </c>
      <c r="D30" s="45" t="n">
        <f aca="false">IF(B30&lt;='VALOR POR PL'!$P$5,0,IF($K$17&gt;0,$K$18*P30/$K$17,0))</f>
        <v>0</v>
      </c>
      <c r="E30" s="45" t="n">
        <f aca="false">L30+D30/$K$2</f>
        <v>0.642550598503395</v>
      </c>
      <c r="F30" s="117" t="n">
        <f aca="false">IF($K$9=0,0,E30/$K$9)</f>
        <v>0.000372623525559632</v>
      </c>
      <c r="G30" s="117" t="n">
        <f aca="false">G29+F30</f>
        <v>0.998755428947295</v>
      </c>
      <c r="H30" s="138"/>
      <c r="L30" s="45" t="n">
        <f aca="false">C30/IF(B30&lt;='VALOR POR PL'!$P$5,IFERROR(INDEX('"INCC-FGV"'!$B$2:$B$800,MATCH(B30,'"INCC-FGV"'!$A$2:$A$800,0)),$K$2),$K$2)</f>
        <v>0.642550598503395</v>
      </c>
      <c r="M30" s="139" t="n">
        <f aca="false">'CP RESUMO'!AC18</f>
        <v>100</v>
      </c>
      <c r="N30" s="140" t="n">
        <f aca="false">MAX(0,M30-M29)</f>
        <v>0</v>
      </c>
      <c r="O30" s="139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0.998755428947295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RESUMO'!AD18</f>
        <v>100</v>
      </c>
      <c r="N31" s="140" t="n">
        <f aca="false">MAX(0,M31-M30)</f>
        <v>0</v>
      </c>
      <c r="O31" s="139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HISTORICOS'!AE18)</f>
        <v>2789.42</v>
      </c>
      <c r="D32" s="45" t="n">
        <f aca="false">IF(B32&lt;='VALOR POR PL'!$P$5,0,IF($K$17&gt;0,$K$18*P32/$K$17,0))</f>
        <v>0</v>
      </c>
      <c r="E32" s="45" t="n">
        <f aca="false">L32+D32/$K$2</f>
        <v>2.14613361728712</v>
      </c>
      <c r="F32" s="117" t="n">
        <f aca="false">IF($K$9=0,0,E32/$K$9)</f>
        <v>0.00124457105270496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2.14613361728712</v>
      </c>
      <c r="M32" s="139" t="n">
        <f aca="false">'CP RESUMO'!AE18</f>
        <v>100</v>
      </c>
      <c r="N32" s="140" t="n">
        <f aca="false">MAX(0,M32-M31)</f>
        <v>0</v>
      </c>
      <c r="O32" s="139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RESUMO'!AF18</f>
        <v>100</v>
      </c>
      <c r="N33" s="140" t="n">
        <f aca="false">MAX(0,M33-M32)</f>
        <v>0</v>
      </c>
      <c r="O33" s="139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RESUMO'!AG18</f>
        <v>100</v>
      </c>
      <c r="N34" s="140" t="n">
        <f aca="false">MAX(0,M34-M33)</f>
        <v>0</v>
      </c>
      <c r="O34" s="139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RESUMO'!AH18</f>
        <v>100</v>
      </c>
      <c r="N35" s="140" t="n">
        <f aca="false">MAX(0,M35-M34)</f>
        <v>0</v>
      </c>
      <c r="O35" s="139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RESUMO'!AI18</f>
        <v>100</v>
      </c>
      <c r="N36" s="140" t="n">
        <f aca="false">MAX(0,M36-M35)</f>
        <v>0</v>
      </c>
      <c r="O36" s="139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RESUMO'!AJ18</f>
        <v>100</v>
      </c>
      <c r="N37" s="140" t="n">
        <f aca="false">MAX(0,M37-M36)</f>
        <v>0</v>
      </c>
      <c r="O37" s="139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RESUMO'!AK18</f>
        <v>100</v>
      </c>
      <c r="N38" s="140" t="n">
        <f aca="false">MAX(0,M38-M37)</f>
        <v>0</v>
      </c>
      <c r="O38" s="139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RESUMO'!AL18</f>
        <v>100</v>
      </c>
      <c r="N39" s="140" t="n">
        <f aca="false">MAX(0,M39-M38)</f>
        <v>0</v>
      </c>
      <c r="O39" s="139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RESUMO'!AM18</f>
        <v>100</v>
      </c>
      <c r="N40" s="140" t="n">
        <f aca="false">MAX(0,M40-M39)</f>
        <v>0</v>
      </c>
      <c r="O40" s="139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RESUMO'!AN18</f>
        <v>100</v>
      </c>
      <c r="N41" s="140" t="n">
        <f aca="false">MAX(0,M41-M40)</f>
        <v>0</v>
      </c>
      <c r="O41" s="139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RESUMO'!AO18</f>
        <v>100</v>
      </c>
      <c r="N42" s="140" t="n">
        <f aca="false">MAX(0,M42-M41)</f>
        <v>0</v>
      </c>
      <c r="O42" s="139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RESUMO'!AP18</f>
        <v>100</v>
      </c>
      <c r="N43" s="140" t="n">
        <f aca="false">MAX(0,M43-M42)</f>
        <v>0</v>
      </c>
      <c r="O43" s="139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RESUMO'!AQ18</f>
        <v>100</v>
      </c>
      <c r="N44" s="140" t="n">
        <f aca="false">MAX(0,M44-M43)</f>
        <v>0</v>
      </c>
      <c r="O44" s="139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RESUMO'!AR18</f>
        <v>100</v>
      </c>
      <c r="N45" s="140" t="n">
        <f aca="false">MAX(0,M45-M44)</f>
        <v>0</v>
      </c>
      <c r="O45" s="139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RESUMO'!AS18</f>
        <v>100</v>
      </c>
      <c r="N46" s="140" t="n">
        <f aca="false">MAX(0,M46-M45)</f>
        <v>0</v>
      </c>
      <c r="O46" s="139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RESUMO'!AT18</f>
        <v>100</v>
      </c>
      <c r="N47" s="140" t="n">
        <f aca="false">MAX(0,M47-M46)</f>
        <v>0</v>
      </c>
      <c r="O47" s="139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RESUMO'!AU18</f>
        <v>100</v>
      </c>
      <c r="N48" s="140" t="n">
        <f aca="false">MAX(0,M48-M47)</f>
        <v>0</v>
      </c>
      <c r="O48" s="139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RESUMO'!AV18</f>
        <v>100</v>
      </c>
      <c r="N49" s="140" t="n">
        <f aca="false">MAX(0,M49-M48)</f>
        <v>0</v>
      </c>
      <c r="O49" s="139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RESUMO'!AW18</f>
        <v>100</v>
      </c>
      <c r="N50" s="140" t="n">
        <f aca="false">MAX(0,M50-M49)</f>
        <v>0</v>
      </c>
      <c r="O50" s="139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RESUMO'!AX18</f>
        <v>100</v>
      </c>
      <c r="N51" s="140" t="n">
        <f aca="false">MAX(0,M51-M50)</f>
        <v>0</v>
      </c>
      <c r="O51" s="139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RESUMO'!AY18</f>
        <v>100</v>
      </c>
      <c r="N52" s="140" t="n">
        <f aca="false">MAX(0,M52-M51)</f>
        <v>0</v>
      </c>
      <c r="O52" s="139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RESUMO'!AZ18</f>
        <v>100</v>
      </c>
      <c r="N53" s="140" t="n">
        <f aca="false">MAX(0,M53-M52)</f>
        <v>0</v>
      </c>
      <c r="O53" s="139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RESUMO'!BA18</f>
        <v>100</v>
      </c>
      <c r="N54" s="140" t="n">
        <f aca="false">MAX(0,M54-M53)</f>
        <v>0</v>
      </c>
      <c r="O54" s="139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RESUMO'!BB18</f>
        <v>100</v>
      </c>
      <c r="N55" s="140" t="n">
        <f aca="false">MAX(0,M55-M54)</f>
        <v>0</v>
      </c>
      <c r="O55" s="139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RESUMO'!BC18</f>
        <v>100</v>
      </c>
      <c r="N56" s="140" t="n">
        <f aca="false">MAX(0,M56-M55)</f>
        <v>0</v>
      </c>
      <c r="O56" s="139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RESUMO'!BD18</f>
        <v>100</v>
      </c>
      <c r="N57" s="140" t="n">
        <f aca="false">MAX(0,M57-M56)</f>
        <v>0</v>
      </c>
      <c r="O57" s="139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RESUMO'!BE18</f>
        <v>100</v>
      </c>
      <c r="N58" s="140" t="n">
        <f aca="false">MAX(0,M58-M57)</f>
        <v>0</v>
      </c>
      <c r="O58" s="139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RESUMO'!BF18</f>
        <v>100</v>
      </c>
      <c r="N59" s="140" t="n">
        <f aca="false">MAX(0,M59-M58)</f>
        <v>0</v>
      </c>
      <c r="O59" s="139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RESUMO'!BG18</f>
        <v>100</v>
      </c>
      <c r="N60" s="140" t="n">
        <f aca="false">MAX(0,M60-M59)</f>
        <v>0</v>
      </c>
      <c r="O60" s="139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RESUMO'!BH18</f>
        <v>100</v>
      </c>
      <c r="N61" s="140" t="n">
        <f aca="false">MAX(0,M61-M60)</f>
        <v>0</v>
      </c>
      <c r="O61" s="139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RESUMO'!BI18</f>
        <v>100</v>
      </c>
      <c r="N62" s="140" t="n">
        <f aca="false">MAX(0,M62-M61)</f>
        <v>0</v>
      </c>
      <c r="O62" s="139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RESUMO'!BJ18</f>
        <v>100</v>
      </c>
      <c r="N63" s="140" t="n">
        <f aca="false">MAX(0,M63-M62)</f>
        <v>0</v>
      </c>
      <c r="O63" s="139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RESUMO'!BK18</f>
        <v>100</v>
      </c>
      <c r="N64" s="140" t="n">
        <f aca="false">MAX(0,M64-M63)</f>
        <v>0</v>
      </c>
      <c r="O64" s="139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RESUMO'!BL18</f>
        <v>100</v>
      </c>
      <c r="N65" s="140" t="n">
        <f aca="false">MAX(0,M65-M64)</f>
        <v>0</v>
      </c>
      <c r="O65" s="139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RESUMO'!BM18</f>
        <v>100</v>
      </c>
      <c r="N66" s="140" t="n">
        <f aca="false">MAX(0,M66-M65)</f>
        <v>0</v>
      </c>
      <c r="O66" s="139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RESUMO'!BN18</f>
        <v>100</v>
      </c>
      <c r="N67" s="140" t="n">
        <f aca="false">MAX(0,M67-M66)</f>
        <v>0</v>
      </c>
      <c r="O67" s="139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RESUMO'!BO18</f>
        <v>100</v>
      </c>
      <c r="N68" s="140" t="n">
        <f aca="false">MAX(0,M68-M67)</f>
        <v>0</v>
      </c>
      <c r="O68" s="139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RESUMO'!BP18</f>
        <v>100</v>
      </c>
      <c r="N69" s="140" t="n">
        <f aca="false">MAX(0,M69-M68)</f>
        <v>0</v>
      </c>
      <c r="O69" s="139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RESUMO'!BQ18</f>
        <v>100</v>
      </c>
      <c r="N70" s="140" t="n">
        <f aca="false">MAX(0,M70-M69)</f>
        <v>0</v>
      </c>
      <c r="O70" s="139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RESUMO'!BR18</f>
        <v>100</v>
      </c>
      <c r="N71" s="140" t="n">
        <f aca="false">MAX(0,M71-M70)</f>
        <v>0</v>
      </c>
      <c r="O71" s="139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RESUMO'!BS18</f>
        <v>100</v>
      </c>
      <c r="N72" s="140" t="n">
        <f aca="false">MAX(0,M72-M71)</f>
        <v>0</v>
      </c>
      <c r="O72" s="139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RESUMO'!BT18</f>
        <v>100</v>
      </c>
      <c r="N73" s="140" t="n">
        <f aca="false">MAX(0,M73-M72)</f>
        <v>0</v>
      </c>
      <c r="O73" s="139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RESUMO'!BU18</f>
        <v>100</v>
      </c>
      <c r="N74" s="140" t="n">
        <f aca="false">MAX(0,M74-M73)</f>
        <v>0</v>
      </c>
      <c r="O74" s="139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RESUMO'!BV18</f>
        <v>100</v>
      </c>
      <c r="N75" s="140" t="n">
        <f aca="false">MAX(0,M75-M74)</f>
        <v>0</v>
      </c>
      <c r="O75" s="139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RESUMO'!BW18</f>
        <v>100</v>
      </c>
      <c r="N76" s="140" t="n">
        <f aca="false">MAX(0,M76-M75)</f>
        <v>0</v>
      </c>
      <c r="O76" s="139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2096520.99</v>
      </c>
      <c r="D78" s="61" t="n">
        <f aca="false">SUM(D5:D76)</f>
        <v>0</v>
      </c>
      <c r="E78" s="61" t="n">
        <f aca="false">SUM(E5:E76)</f>
        <v>1724.39621877971</v>
      </c>
      <c r="F78" s="145" t="n">
        <f aca="false">SUM(F5:F76)</f>
        <v>1</v>
      </c>
      <c r="H78" s="61" t="n">
        <f aca="false">SUM(H5:H76)</f>
        <v>112231.02</v>
      </c>
      <c r="L78" s="61" t="n">
        <f aca="false">SUM(L5:L76)</f>
        <v>1724.39621877971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HISTORICOS'!D19)</f>
        <v>187028.3</v>
      </c>
      <c r="D5" s="45" t="n">
        <f aca="false">IF(B5&lt;='VALOR POR PL'!$P$5,0,IF($K$17&gt;0,$K$18*P5/$K$17,0))</f>
        <v>0</v>
      </c>
      <c r="E5" s="45" t="n">
        <f aca="false">L5+D5/$K$2</f>
        <v>164.967872781245</v>
      </c>
      <c r="F5" s="117" t="n">
        <f aca="false">IF($K$9=0,0,E5/$K$9)</f>
        <v>0.0400254498009203</v>
      </c>
      <c r="G5" s="117" t="n">
        <f aca="false">F5</f>
        <v>0.0400254498009203</v>
      </c>
      <c r="H5" s="138"/>
      <c r="I5" s="42" t="s">
        <v>3894</v>
      </c>
      <c r="J5" s="56" t="n">
        <f aca="false">'VALOR POR PL'!F25</f>
        <v>6569078.52</v>
      </c>
      <c r="K5" s="56" t="n">
        <f aca="false">'VALOR POR PL'!G25</f>
        <v>5623.942458</v>
      </c>
      <c r="L5" s="56" t="n">
        <f aca="false">'DADOS HISTORICOS'!$BZ$19</f>
        <v>164.967872781245</v>
      </c>
      <c r="M5" s="139" t="n">
        <f aca="false">'CP RESUMO'!D19</f>
        <v>0</v>
      </c>
      <c r="N5" s="140" t="n">
        <v>0</v>
      </c>
      <c r="O5" s="139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0.0400254498009203</v>
      </c>
      <c r="H6" s="138"/>
      <c r="I6" s="42" t="s">
        <v>3895</v>
      </c>
      <c r="K6" s="52" t="n">
        <f aca="false">'VALOR POR PL'!H25</f>
        <v>4121.57448827601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RESUMO'!E19</f>
        <v>0</v>
      </c>
      <c r="N6" s="140" t="n">
        <f aca="false">MAX(0,M6-M5)</f>
        <v>0</v>
      </c>
      <c r="O6" s="139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0.0400254498009203</v>
      </c>
      <c r="H7" s="138"/>
      <c r="I7" s="42" t="s">
        <v>3896</v>
      </c>
      <c r="J7" s="45" t="n">
        <f aca="false">C78+D78</f>
        <v>5000029.77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RESUMO'!F19</f>
        <v>0</v>
      </c>
      <c r="N7" s="140" t="n">
        <f aca="false">MAX(0,M7-M6)</f>
        <v>0</v>
      </c>
      <c r="O7" s="139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HISTORICOS'!G19)</f>
        <v>970</v>
      </c>
      <c r="D8" s="45" t="n">
        <f aca="false">IF(B8&lt;='VALOR POR PL'!$P$5,0,IF($K$17&gt;0,$K$18*P8/$K$17,0))</f>
        <v>0</v>
      </c>
      <c r="E8" s="45" t="n">
        <f aca="false">L8+D8/$K$2</f>
        <v>0.823159813507628</v>
      </c>
      <c r="F8" s="117" t="n">
        <f aca="false">IF($K$9=0,0,E8/$K$9)</f>
        <v>0.000199719746870799</v>
      </c>
      <c r="G8" s="117" t="n">
        <f aca="false">G7+F8</f>
        <v>0.0402251695477911</v>
      </c>
      <c r="H8" s="138"/>
      <c r="I8" s="42" t="s">
        <v>3897</v>
      </c>
      <c r="K8" s="66" t="n">
        <f aca="false">SUM(L5:L76)</f>
        <v>4121.57448827601</v>
      </c>
      <c r="L8" s="45" t="n">
        <f aca="false">C8/IF(B8&lt;='VALOR POR PL'!$P$5,IFERROR(INDEX('"INCC-FGV"'!$B$2:$B$800,MATCH(B8,'"INCC-FGV"'!$A$2:$A$800,0)),$K$2),$K$2)</f>
        <v>0.823159813507628</v>
      </c>
      <c r="M8" s="139" t="n">
        <f aca="false">'CP RESUMO'!G19</f>
        <v>0</v>
      </c>
      <c r="N8" s="140" t="n">
        <f aca="false">MAX(0,M8-M7)</f>
        <v>0</v>
      </c>
      <c r="O8" s="139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HISTORICOS'!H19)</f>
        <v>47804</v>
      </c>
      <c r="D9" s="45" t="n">
        <f aca="false">IF(B9&lt;='VALOR POR PL'!$P$5,0,IF($K$17&gt;0,$K$18*P9/$K$17,0))</f>
        <v>0</v>
      </c>
      <c r="E9" s="45" t="n">
        <f aca="false">L9+D9/$K$2</f>
        <v>40.3592517109033</v>
      </c>
      <c r="F9" s="117" t="n">
        <f aca="false">IF($K$9=0,0,E9/$K$9)</f>
        <v>0.00979219272287979</v>
      </c>
      <c r="G9" s="117" t="n">
        <f aca="false">G8+F9</f>
        <v>0.0500173622706709</v>
      </c>
      <c r="H9" s="138"/>
      <c r="I9" s="42" t="s">
        <v>3898</v>
      </c>
      <c r="J9" s="45" t="n">
        <f aca="false">C78+D78</f>
        <v>5000029.77</v>
      </c>
      <c r="K9" s="45" t="n">
        <f aca="false">E78</f>
        <v>4121.57448827601</v>
      </c>
      <c r="L9" s="45" t="n">
        <f aca="false">C9/IF(B9&lt;='VALOR POR PL'!$P$5,IFERROR(INDEX('"INCC-FGV"'!$B$2:$B$800,MATCH(B9,'"INCC-FGV"'!$A$2:$A$800,0)),$K$2),$K$2)</f>
        <v>40.3592517109033</v>
      </c>
      <c r="M9" s="139" t="n">
        <f aca="false">'CP RESUMO'!H19</f>
        <v>5.05</v>
      </c>
      <c r="N9" s="140" t="n">
        <f aca="false">MAX(0,M9-M8)</f>
        <v>5.05</v>
      </c>
      <c r="O9" s="139" t="n">
        <f aca="false">IF(B9&lt;='VALOR POR PL'!$P$5,'CP RESUMO'!H61,"")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HISTORICOS'!I19)</f>
        <v>294931.18</v>
      </c>
      <c r="D10" s="45" t="n">
        <f aca="false">IF(B10&lt;='VALOR POR PL'!$P$5,0,IF($K$17&gt;0,$K$18*P10/$K$17,0))</f>
        <v>0</v>
      </c>
      <c r="E10" s="45" t="n">
        <f aca="false">L10+D10/$K$2</f>
        <v>247.565261259083</v>
      </c>
      <c r="F10" s="117" t="n">
        <f aca="false">IF($K$9=0,0,E10/$K$9)</f>
        <v>0.060065701096339</v>
      </c>
      <c r="G10" s="117" t="n">
        <f aca="false">G9+F10</f>
        <v>0.11008306336701</v>
      </c>
      <c r="H10" s="138"/>
      <c r="I10" s="42" t="s">
        <v>3899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247.565261259083</v>
      </c>
      <c r="M10" s="139" t="n">
        <f aca="false">'CP RESUMO'!I19</f>
        <v>26.26</v>
      </c>
      <c r="N10" s="140" t="n">
        <f aca="false">MAX(0,M10-M9)</f>
        <v>21.21</v>
      </c>
      <c r="O10" s="139" t="n">
        <f aca="false">IF(B10&lt;='VALOR POR PL'!$P$5,'CP RESUMO'!I61,"")</f>
        <v>12.22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HISTORICOS'!J19)</f>
        <v>291652.53</v>
      </c>
      <c r="D11" s="45" t="n">
        <f aca="false">IF(B11&lt;='VALOR POR PL'!$P$5,0,IF($K$17&gt;0,$K$18*P11/$K$17,0))</f>
        <v>0</v>
      </c>
      <c r="E11" s="45" t="n">
        <f aca="false">L11+D11/$K$2</f>
        <v>243.143261117674</v>
      </c>
      <c r="F11" s="117" t="n">
        <f aca="false">IF($K$9=0,0,E11/$K$9)</f>
        <v>0.0589928101043194</v>
      </c>
      <c r="G11" s="117" t="n">
        <f aca="false">G10+F11</f>
        <v>0.169075873471329</v>
      </c>
      <c r="H11" s="138"/>
      <c r="I11" s="42" t="s">
        <v>3900</v>
      </c>
      <c r="K11" s="56" t="n">
        <f aca="false">SUMPRODUCT((B5:B76&gt;'VALOR POR PL'!$P$5)*H5:H76)</f>
        <v>247295.71</v>
      </c>
      <c r="L11" s="45" t="n">
        <f aca="false">C11/IF(B11&lt;='VALOR POR PL'!$P$5,IFERROR(INDEX('"INCC-FGV"'!$B$2:$B$800,MATCH(B11,'"INCC-FGV"'!$A$2:$A$800,0)),$K$2),$K$2)</f>
        <v>243.143261117674</v>
      </c>
      <c r="M11" s="139" t="n">
        <f aca="false">'CP RESUMO'!J19</f>
        <v>46.46</v>
      </c>
      <c r="N11" s="140" t="n">
        <f aca="false">MAX(0,M11-M10)</f>
        <v>20.2</v>
      </c>
      <c r="O11" s="139" t="n">
        <f aca="false">IF(B11&lt;='VALOR POR PL'!$P$5,'CP RESUMO'!J61,"")</f>
        <v>23.8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HISTORICOS'!K19)</f>
        <v>759436.3</v>
      </c>
      <c r="D12" s="45" t="n">
        <f aca="false">IF(B12&lt;='VALOR POR PL'!$P$5,0,IF($K$17&gt;0,$K$18*P12/$K$17,0))</f>
        <v>0</v>
      </c>
      <c r="E12" s="45" t="n">
        <f aca="false">L12+D12/$K$2</f>
        <v>627.389090692797</v>
      </c>
      <c r="F12" s="117" t="n">
        <f aca="false">IF($K$9=0,0,E12/$K$9)</f>
        <v>0.152220733236153</v>
      </c>
      <c r="G12" s="117" t="n">
        <f aca="false">G11+F12</f>
        <v>0.321296606707482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627.389090692797</v>
      </c>
      <c r="M12" s="139" t="n">
        <f aca="false">'CP RESUMO'!K19</f>
        <v>69.7</v>
      </c>
      <c r="N12" s="140" t="n">
        <f aca="false">MAX(0,M12-M11)</f>
        <v>23.24</v>
      </c>
      <c r="O12" s="139" t="n">
        <f aca="false">IF(B12&lt;='VALOR POR PL'!$P$5,'CP RESUMO'!K61,"")</f>
        <v>40.83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HISTORICOS'!L19)</f>
        <v>665952.26</v>
      </c>
      <c r="D13" s="45" t="n">
        <f aca="false">IF(B13&lt;='VALOR POR PL'!$P$5,0,IF($K$17&gt;0,$K$18*P13/$K$17,0))</f>
        <v>0</v>
      </c>
      <c r="E13" s="45" t="n">
        <f aca="false">L13+D13/$K$2</f>
        <v>547.340327079837</v>
      </c>
      <c r="F13" s="117" t="n">
        <f aca="false">IF($K$9=0,0,E13/$K$9)</f>
        <v>0.132798843897343</v>
      </c>
      <c r="G13" s="117" t="n">
        <f aca="false">G12+F13</f>
        <v>0.454095450604825</v>
      </c>
      <c r="H13" s="138"/>
      <c r="I13" s="42" t="s">
        <v>3902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547.340327079837</v>
      </c>
      <c r="M13" s="139" t="n">
        <f aca="false">'CP RESUMO'!L19</f>
        <v>89.9</v>
      </c>
      <c r="N13" s="140" t="n">
        <f aca="false">MAX(0,M13-M12)</f>
        <v>20.2</v>
      </c>
      <c r="O13" s="139" t="n">
        <f aca="false">IF(B13&lt;='VALOR POR PL'!$P$5,'CP RESUMO'!L61,"")</f>
        <v>62.68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HISTORICOS'!M19)</f>
        <v>1223686.02</v>
      </c>
      <c r="D14" s="45" t="n">
        <f aca="false">IF(B14&lt;='VALOR POR PL'!$P$5,0,IF($K$17&gt;0,$K$18*P14/$K$17,0))</f>
        <v>0</v>
      </c>
      <c r="E14" s="45" t="n">
        <f aca="false">L14+D14/$K$2</f>
        <v>1004.05253920625</v>
      </c>
      <c r="F14" s="117" t="n">
        <f aca="false">IF($K$9=0,0,E14/$K$9)</f>
        <v>0.243608975662655</v>
      </c>
      <c r="G14" s="117" t="n">
        <f aca="false">G13+F14</f>
        <v>0.69770442626748</v>
      </c>
      <c r="H14" s="138"/>
      <c r="I14" s="42" t="s">
        <v>3903</v>
      </c>
      <c r="K14" s="58" t="n">
        <f aca="false">IFERROR(INDEX('CP RESUMO'!$D$61:$BW$61,MATCH('VALOR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1004.05253920625</v>
      </c>
      <c r="M14" s="139" t="n">
        <f aca="false">'CP RESUMO'!M19</f>
        <v>100</v>
      </c>
      <c r="N14" s="140" t="n">
        <f aca="false">MAX(0,M14-M13)</f>
        <v>10.1</v>
      </c>
      <c r="O14" s="139" t="n">
        <f aca="false">IF(B14&lt;='VALOR POR PL'!$P$5,'CP RESUMO'!M61,"")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HISTORICOS'!N19)</f>
        <v>942534.48</v>
      </c>
      <c r="D15" s="45" t="n">
        <f aca="false">IF(B15&lt;='VALOR POR PL'!$P$5,0,IF($K$17&gt;0,$K$18*P15/$K$17,0))</f>
        <v>0</v>
      </c>
      <c r="E15" s="45" t="n">
        <f aca="false">L15+D15/$K$2</f>
        <v>771.080176315247</v>
      </c>
      <c r="F15" s="117" t="n">
        <f aca="false">IF($K$9=0,0,E15/$K$9)</f>
        <v>0.187083887118531</v>
      </c>
      <c r="G15" s="117" t="n">
        <f aca="false">G14+F15</f>
        <v>0.884788313386011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771.080176315247</v>
      </c>
      <c r="M15" s="139" t="n">
        <f aca="false">'CP RESUMO'!N19</f>
        <v>100</v>
      </c>
      <c r="N15" s="140" t="n">
        <f aca="false">MAX(0,M15-M14)</f>
        <v>0</v>
      </c>
      <c r="O15" s="139" t="n">
        <f aca="false">IF(B15&lt;='VALOR POR PL'!$P$5,'CP RESUMO'!N61,"")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HISTORICOS'!O19)</f>
        <v>446747.23</v>
      </c>
      <c r="D16" s="45" t="n">
        <f aca="false">IF(B16&lt;='VALOR POR PL'!$P$5,0,IF($K$17&gt;0,$K$18*P16/$K$17,0))</f>
        <v>0</v>
      </c>
      <c r="E16" s="45" t="n">
        <f aca="false">L16+D16/$K$2</f>
        <v>364.503264843554</v>
      </c>
      <c r="F16" s="117" t="n">
        <f aca="false">IF($K$9=0,0,E16/$K$9)</f>
        <v>0.0884378690426192</v>
      </c>
      <c r="G16" s="117" t="n">
        <f aca="false">G15+F16</f>
        <v>0.97322618242863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364.503264843554</v>
      </c>
      <c r="M16" s="139" t="n">
        <f aca="false">'CP RESUMO'!O19</f>
        <v>100</v>
      </c>
      <c r="N16" s="140" t="n">
        <f aca="false">MAX(0,M16-M15)</f>
        <v>0</v>
      </c>
      <c r="O16" s="139" t="n">
        <f aca="false">IF(B16&lt;='VALOR POR PL'!$P$5,'CP RESUMO'!O61,"")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HISTORICOS'!P19)</f>
        <v>31432.02</v>
      </c>
      <c r="D17" s="45" t="n">
        <f aca="false">IF(B17&lt;='VALOR POR PL'!$P$5,0,IF($K$17&gt;0,$K$18*P17/$K$17,0))</f>
        <v>0</v>
      </c>
      <c r="E17" s="45" t="n">
        <f aca="false">L17+D17/$K$2</f>
        <v>25.5927520903204</v>
      </c>
      <c r="F17" s="117" t="n">
        <f aca="false">IF($K$9=0,0,E17/$K$9)</f>
        <v>0.00620946004084605</v>
      </c>
      <c r="G17" s="117" t="n">
        <f aca="false">G16+F17</f>
        <v>0.979435642469477</v>
      </c>
      <c r="H17" s="138"/>
      <c r="I17" s="42" t="s">
        <v>3907</v>
      </c>
      <c r="K17" s="45" t="n">
        <f aca="false">SUM(P5:P76)</f>
        <v>247295.71</v>
      </c>
      <c r="L17" s="45" t="n">
        <f aca="false">C17/IF(B17&lt;='VALOR POR PL'!$P$5,IFERROR(INDEX('"INCC-FGV"'!$B$2:$B$800,MATCH(B17,'"INCC-FGV"'!$A$2:$A$800,0)),$K$2),$K$2)</f>
        <v>25.5927520903204</v>
      </c>
      <c r="M17" s="139" t="n">
        <f aca="false">'CP RESUMO'!P19</f>
        <v>100</v>
      </c>
      <c r="N17" s="140" t="n">
        <f aca="false">MAX(0,M17-M16)</f>
        <v>0</v>
      </c>
      <c r="O17" s="139" t="n">
        <f aca="false">IF(B17&lt;='VALOR POR PL'!$P$5,'CP RESUMO'!P61,"")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HISTORICOS'!Q19)</f>
        <v>15362.5</v>
      </c>
      <c r="D18" s="45" t="n">
        <f aca="false">IF(B18&lt;='VALOR POR PL'!$P$5,0,IF($K$17&gt;0,$K$18*P18/$K$17,0))</f>
        <v>0</v>
      </c>
      <c r="E18" s="45" t="n">
        <f aca="false">L18+D18/$K$2</f>
        <v>12.4187978361179</v>
      </c>
      <c r="F18" s="117" t="n">
        <f aca="false">IF($K$9=0,0,E18/$K$9)</f>
        <v>0.00301311983355966</v>
      </c>
      <c r="G18" s="117" t="n">
        <f aca="false">G17+F18</f>
        <v>0.982448762303036</v>
      </c>
      <c r="H18" s="138"/>
      <c r="I18" s="42" t="s">
        <v>3908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12.4187978361179</v>
      </c>
      <c r="M18" s="139" t="n">
        <f aca="false">'CP RESUMO'!Q19</f>
        <v>100</v>
      </c>
      <c r="N18" s="140" t="n">
        <f aca="false">MAX(0,M18-M17)</f>
        <v>0</v>
      </c>
      <c r="O18" s="139" t="n">
        <f aca="false">IF(B18&lt;='VALOR POR PL'!$P$5,'CP RESUMO'!Q61,"")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HISTORICOS'!R19)</f>
        <v>4557</v>
      </c>
      <c r="D19" s="45" t="n">
        <f aca="false">IF(B19&lt;='VALOR POR PL'!$P$5,0,IF($K$17&gt;0,$K$18*P19/$K$17,0))</f>
        <v>0</v>
      </c>
      <c r="E19" s="45" t="n">
        <f aca="false">L19+D19/$K$2</f>
        <v>3.673575008404</v>
      </c>
      <c r="F19" s="117" t="n">
        <f aca="false">IF($K$9=0,0,E19/$K$9)</f>
        <v>0.000891303801218111</v>
      </c>
      <c r="G19" s="117" t="n">
        <f aca="false">G18+F19</f>
        <v>0.983340066104254</v>
      </c>
      <c r="H19" s="138"/>
      <c r="I19" s="42" t="s">
        <v>3909</v>
      </c>
      <c r="K19" s="142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3.673575008404</v>
      </c>
      <c r="M19" s="139" t="n">
        <f aca="false">'CP RESUMO'!R19</f>
        <v>100</v>
      </c>
      <c r="N19" s="140" t="n">
        <f aca="false">MAX(0,M19-M18)</f>
        <v>0</v>
      </c>
      <c r="O19" s="139" t="n">
        <f aca="false">IF(B19&lt;='VALOR POR PL'!$P$5,'CP RESUMO'!R61,"")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0.983340066104254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RESUMO'!S19</f>
        <v>100</v>
      </c>
      <c r="N20" s="140" t="n">
        <f aca="false">MAX(0,M20-M19)</f>
        <v>0</v>
      </c>
      <c r="O20" s="139" t="n">
        <f aca="false">IF(B20&lt;='VALOR POR PL'!$P$5,'CP RESUMO'!S61,"")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HISTORICOS'!T19)</f>
        <v>22570.21</v>
      </c>
      <c r="D21" s="45" t="n">
        <f aca="false">IF(B21&lt;='VALOR POR PL'!$P$5,0,IF($K$17&gt;0,$K$18*P21/$K$17,0))</f>
        <v>0</v>
      </c>
      <c r="E21" s="45" t="n">
        <f aca="false">L21+D21/$K$2</f>
        <v>17.9178138088933</v>
      </c>
      <c r="F21" s="117" t="n">
        <f aca="false">IF($K$9=0,0,E21/$K$9)</f>
        <v>0.00434732257292964</v>
      </c>
      <c r="G21" s="117" t="n">
        <f aca="false">G20+F21</f>
        <v>0.987687388677184</v>
      </c>
      <c r="H21" s="138"/>
      <c r="K21" s="143"/>
      <c r="L21" s="45" t="n">
        <f aca="false">C21/IF(B21&lt;='VALOR POR PL'!$P$5,IFERROR(INDEX('"INCC-FGV"'!$B$2:$B$800,MATCH(B21,'"INCC-FGV"'!$A$2:$A$800,0)),$K$2),$K$2)</f>
        <v>17.9178138088933</v>
      </c>
      <c r="M21" s="139" t="n">
        <f aca="false">'CP RESUMO'!T19</f>
        <v>100</v>
      </c>
      <c r="N21" s="140" t="n">
        <f aca="false">MAX(0,M21-M20)</f>
        <v>0</v>
      </c>
      <c r="O21" s="139" t="n">
        <f aca="false">IF(B21&lt;='VALOR POR PL'!$P$5,'CP RESUMO'!T61,"")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0.987687388677184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RESUMO'!U19</f>
        <v>100</v>
      </c>
      <c r="N22" s="140" t="n">
        <f aca="false">MAX(0,M22-M21)</f>
        <v>0</v>
      </c>
      <c r="O22" s="139" t="n">
        <f aca="false">IF(B22&lt;='VALOR POR PL'!$P$5,'CP RESUMO'!U61,"")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HISTORICOS'!V19)</f>
        <v>28521.92</v>
      </c>
      <c r="D23" s="45" t="n">
        <f aca="false">IF(B23&lt;='VALOR POR PL'!$P$5,0,IF($K$17&gt;0,$K$18*P23/$K$17,0))</f>
        <v>0</v>
      </c>
      <c r="E23" s="45" t="n">
        <f aca="false">L23+D23/$K$2</f>
        <v>22.271596801914</v>
      </c>
      <c r="F23" s="117" t="n">
        <f aca="false">IF($K$9=0,0,E23/$K$9)</f>
        <v>0.00540366232983694</v>
      </c>
      <c r="G23" s="117" t="n">
        <f aca="false">G22+F23</f>
        <v>0.993091051007021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22.271596801914</v>
      </c>
      <c r="M23" s="139" t="n">
        <f aca="false">'CP RESUMO'!V19</f>
        <v>100</v>
      </c>
      <c r="N23" s="140" t="n">
        <f aca="false">MAX(0,M23-M22)</f>
        <v>0</v>
      </c>
      <c r="O23" s="139" t="n">
        <f aca="false">IF(B23&lt;='VALOR POR PL'!$P$5,'CP RESUMO'!V61,"")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HISTORICOS'!W19)</f>
        <v>19057.7</v>
      </c>
      <c r="D24" s="45" t="n">
        <f aca="false">IF(B24&lt;='VALOR POR PL'!$P$5,0,IF($K$17&gt;0,$K$18*P24/$K$17,0))</f>
        <v>0</v>
      </c>
      <c r="E24" s="45" t="n">
        <f aca="false">L24+D24/$K$2</f>
        <v>14.7914013245568</v>
      </c>
      <c r="F24" s="117" t="n">
        <f aca="false">IF($K$9=0,0,E24/$K$9)</f>
        <v>0.00358877447602403</v>
      </c>
      <c r="G24" s="117" t="n">
        <f aca="false">G23+F24</f>
        <v>0.996679825483045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14.7914013245568</v>
      </c>
      <c r="M24" s="139" t="n">
        <f aca="false">'CP RESUMO'!W19</f>
        <v>100</v>
      </c>
      <c r="N24" s="140" t="n">
        <f aca="false">MAX(0,M24-M23)</f>
        <v>0</v>
      </c>
      <c r="O24" s="139" t="n">
        <f aca="false">IF(B24&lt;='VALOR POR PL'!$P$5,'CP RESUMO'!W61,"")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0.996679825483045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RESUMO'!X19</f>
        <v>100</v>
      </c>
      <c r="N25" s="140" t="n">
        <f aca="false">MAX(0,M25-M24)</f>
        <v>0</v>
      </c>
      <c r="O25" s="139" t="n">
        <f aca="false">IF(B25&lt;='VALOR POR PL'!$P$5,'CP RESUMO'!X61,"")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HISTORICOS'!Y19)</f>
        <v>4000</v>
      </c>
      <c r="D26" s="45" t="n">
        <f aca="false">IF(B26&lt;='VALOR POR PL'!$P$5,0,IF($K$17&gt;0,$K$18*P26/$K$17,0))</f>
        <v>0</v>
      </c>
      <c r="E26" s="45" t="n">
        <f aca="false">L26+D26/$K$2</f>
        <v>3.07753384902542</v>
      </c>
      <c r="F26" s="117" t="n">
        <f aca="false">IF($K$9=0,0,E26/$K$9)</f>
        <v>0.000746688882556798</v>
      </c>
      <c r="G26" s="117" t="n">
        <f aca="false">G25+F26</f>
        <v>0.997426514365602</v>
      </c>
      <c r="H26" s="138"/>
      <c r="L26" s="45" t="n">
        <f aca="false">C26/IF(B26&lt;='VALOR POR PL'!$P$5,IFERROR(INDEX('"INCC-FGV"'!$B$2:$B$800,MATCH(B26,'"INCC-FGV"'!$A$2:$A$800,0)),$K$2),$K$2)</f>
        <v>3.07753384902542</v>
      </c>
      <c r="M26" s="139" t="n">
        <f aca="false">'CP RESUMO'!Y19</f>
        <v>100</v>
      </c>
      <c r="N26" s="140" t="n">
        <f aca="false">MAX(0,M26-M25)</f>
        <v>0</v>
      </c>
      <c r="O26" s="139" t="n">
        <f aca="false">IF(B26&lt;='VALOR POR PL'!$P$5,'CP RESUMO'!Y61,"")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HISTORICOS'!Z19)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0.997426514365602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RESUMO'!Z19</f>
        <v>100</v>
      </c>
      <c r="N27" s="140" t="n">
        <f aca="false">MAX(0,M27-M26)</f>
        <v>0</v>
      </c>
      <c r="O27" s="139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HISTORICOS'!AA19)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0.997426514365602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RESUMO'!AA19</f>
        <v>100</v>
      </c>
      <c r="N28" s="140" t="n">
        <f aca="false">MAX(0,M28-M27)</f>
        <v>0</v>
      </c>
      <c r="O28" s="139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HISTORICOS'!AB19)</f>
        <v>402.83</v>
      </c>
      <c r="D29" s="45" t="n">
        <f aca="false">IF(B29&lt;='VALOR POR PL'!$P$5,0,IF($K$17&gt;0,$K$18*P29/$K$17,0))</f>
        <v>0</v>
      </c>
      <c r="E29" s="45" t="n">
        <f aca="false">L29+D29/$K$2</f>
        <v>0.309930740100728</v>
      </c>
      <c r="F29" s="117" t="n">
        <f aca="false">IF($K$9=0,0,E29/$K$9)</f>
        <v>7.51971706400887E-005</v>
      </c>
      <c r="G29" s="117" t="n">
        <f aca="false">G28+F29</f>
        <v>0.997501711536242</v>
      </c>
      <c r="H29" s="138"/>
      <c r="L29" s="45" t="n">
        <f aca="false">C29/IF(B29&lt;='VALOR POR PL'!$P$5,IFERROR(INDEX('"INCC-FGV"'!$B$2:$B$800,MATCH(B29,'"INCC-FGV"'!$A$2:$A$800,0)),$K$2),$K$2)</f>
        <v>0.309930740100728</v>
      </c>
      <c r="M29" s="139" t="n">
        <f aca="false">'CP RESUMO'!AB19</f>
        <v>100</v>
      </c>
      <c r="N29" s="140" t="n">
        <f aca="false">MAX(0,M29-M28)</f>
        <v>0</v>
      </c>
      <c r="O29" s="139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0.997501711536242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RESUMO'!AC19</f>
        <v>100</v>
      </c>
      <c r="N30" s="140" t="n">
        <f aca="false">MAX(0,M30-M29)</f>
        <v>0</v>
      </c>
      <c r="O30" s="139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0.997501711536242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RESUMO'!AD19</f>
        <v>100</v>
      </c>
      <c r="N31" s="140" t="n">
        <f aca="false">MAX(0,M31-M30)</f>
        <v>0</v>
      </c>
      <c r="O31" s="139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HISTORICOS'!AE19)</f>
        <v>12016.19</v>
      </c>
      <c r="D32" s="45" t="n">
        <f aca="false">IF(B32&lt;='VALOR POR PL'!$P$5,0,IF($K$17&gt;0,$K$18*P32/$K$17,0))</f>
        <v>0</v>
      </c>
      <c r="E32" s="45" t="n">
        <f aca="false">L32+D32/$K$2</f>
        <v>9.2450578653302</v>
      </c>
      <c r="F32" s="117" t="n">
        <f aca="false">IF($K$9=0,0,E32/$K$9)</f>
        <v>0.00224308887092254</v>
      </c>
      <c r="G32" s="117" t="n">
        <f aca="false">G31+F32</f>
        <v>0.999744800407164</v>
      </c>
      <c r="H32" s="138"/>
      <c r="L32" s="45" t="n">
        <f aca="false">C32/IF(B32&lt;='VALOR POR PL'!$P$5,IFERROR(INDEX('"INCC-FGV"'!$B$2:$B$800,MATCH(B32,'"INCC-FGV"'!$A$2:$A$800,0)),$K$2),$K$2)</f>
        <v>9.2450578653302</v>
      </c>
      <c r="M32" s="139" t="n">
        <f aca="false">'CP RESUMO'!AE19</f>
        <v>100</v>
      </c>
      <c r="N32" s="140" t="n">
        <f aca="false">MAX(0,M32-M31)</f>
        <v>0</v>
      </c>
      <c r="O32" s="139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0.999744800407164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RESUMO'!AF19</f>
        <v>100</v>
      </c>
      <c r="N33" s="140" t="n">
        <f aca="false">MAX(0,M33-M32)</f>
        <v>0</v>
      </c>
      <c r="O33" s="139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0.999744800407164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RESUMO'!AG19</f>
        <v>100</v>
      </c>
      <c r="N34" s="140" t="n">
        <f aca="false">MAX(0,M34-M33)</f>
        <v>0</v>
      </c>
      <c r="O34" s="139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0.999744800407164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RESUMO'!AH19</f>
        <v>100</v>
      </c>
      <c r="N35" s="140" t="n">
        <f aca="false">MAX(0,M35-M34)</f>
        <v>0</v>
      </c>
      <c r="O35" s="139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0.999744800407164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RESUMO'!AI19</f>
        <v>100</v>
      </c>
      <c r="N36" s="140" t="n">
        <f aca="false">MAX(0,M36-M35)</f>
        <v>0</v>
      </c>
      <c r="O36" s="139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0.999744800407164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RESUMO'!AJ19</f>
        <v>100</v>
      </c>
      <c r="N37" s="140" t="n">
        <f aca="false">MAX(0,M37-M36)</f>
        <v>0</v>
      </c>
      <c r="O37" s="139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0.999744800407164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RESUMO'!AK19</f>
        <v>100</v>
      </c>
      <c r="N38" s="140" t="n">
        <f aca="false">MAX(0,M38-M37)</f>
        <v>0</v>
      </c>
      <c r="O38" s="139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0.999744800407164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RESUMO'!AL19</f>
        <v>100</v>
      </c>
      <c r="N39" s="140" t="n">
        <f aca="false">MAX(0,M39-M38)</f>
        <v>0</v>
      </c>
      <c r="O39" s="139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0.999744800407164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RESUMO'!AM19</f>
        <v>100</v>
      </c>
      <c r="N40" s="140" t="n">
        <f aca="false">MAX(0,M40-M39)</f>
        <v>0</v>
      </c>
      <c r="O40" s="139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0.999744800407164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RESUMO'!AN19</f>
        <v>100</v>
      </c>
      <c r="N41" s="140" t="n">
        <f aca="false">MAX(0,M41-M40)</f>
        <v>0</v>
      </c>
      <c r="O41" s="139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0.999744800407164</v>
      </c>
      <c r="H42" s="138" t="n">
        <v>247295.71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RESUMO'!AO19</f>
        <v>100</v>
      </c>
      <c r="N42" s="140" t="n">
        <f aca="false">MAX(0,M42-M41)</f>
        <v>0</v>
      </c>
      <c r="O42" s="139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247295.71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0.999744800407164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RESUMO'!AP19</f>
        <v>100</v>
      </c>
      <c r="N43" s="140" t="n">
        <f aca="false">MAX(0,M43-M42)</f>
        <v>0</v>
      </c>
      <c r="O43" s="139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0.999744800407164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RESUMO'!AQ19</f>
        <v>100</v>
      </c>
      <c r="N44" s="140" t="n">
        <f aca="false">MAX(0,M44-M43)</f>
        <v>0</v>
      </c>
      <c r="O44" s="139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0.999744800407164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RESUMO'!AR19</f>
        <v>100</v>
      </c>
      <c r="N45" s="140" t="n">
        <f aca="false">MAX(0,M45-M44)</f>
        <v>0</v>
      </c>
      <c r="O45" s="139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0.999744800407164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RESUMO'!AS19</f>
        <v>100</v>
      </c>
      <c r="N46" s="140" t="n">
        <f aca="false">MAX(0,M46-M45)</f>
        <v>0</v>
      </c>
      <c r="O46" s="139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HISTORICOS'!AT19)</f>
        <v>1367.1</v>
      </c>
      <c r="D47" s="45" t="n">
        <f aca="false">IF(B47&lt;='VALOR POR PL'!$P$5,0,IF($K$17&gt;0,$K$18*P47/$K$17,0))</f>
        <v>0</v>
      </c>
      <c r="E47" s="45" t="n">
        <f aca="false">L47+D47/$K$2</f>
        <v>1.05182413125066</v>
      </c>
      <c r="F47" s="117" t="n">
        <f aca="false">IF($K$9=0,0,E47/$K$9)</f>
        <v>0.00025519959283585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1.05182413125066</v>
      </c>
      <c r="M47" s="139" t="n">
        <f aca="false">'CP RESUMO'!AT19</f>
        <v>100</v>
      </c>
      <c r="N47" s="140" t="n">
        <f aca="false">MAX(0,M47-M46)</f>
        <v>0</v>
      </c>
      <c r="O47" s="139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RESUMO'!AU19</f>
        <v>100</v>
      </c>
      <c r="N48" s="140" t="n">
        <f aca="false">MAX(0,M48-M47)</f>
        <v>0</v>
      </c>
      <c r="O48" s="139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RESUMO'!AV19</f>
        <v>100</v>
      </c>
      <c r="N49" s="140" t="n">
        <f aca="false">MAX(0,M49-M48)</f>
        <v>0</v>
      </c>
      <c r="O49" s="139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RESUMO'!AW19</f>
        <v>100</v>
      </c>
      <c r="N50" s="140" t="n">
        <f aca="false">MAX(0,M50-M49)</f>
        <v>0</v>
      </c>
      <c r="O50" s="139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RESUMO'!AX19</f>
        <v>100</v>
      </c>
      <c r="N51" s="140" t="n">
        <f aca="false">MAX(0,M51-M50)</f>
        <v>0</v>
      </c>
      <c r="O51" s="139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RESUMO'!AY19</f>
        <v>100</v>
      </c>
      <c r="N52" s="140" t="n">
        <f aca="false">MAX(0,M52-M51)</f>
        <v>0</v>
      </c>
      <c r="O52" s="139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RESUMO'!AZ19</f>
        <v>100</v>
      </c>
      <c r="N53" s="140" t="n">
        <f aca="false">MAX(0,M53-M52)</f>
        <v>0</v>
      </c>
      <c r="O53" s="139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RESUMO'!BA19</f>
        <v>100</v>
      </c>
      <c r="N54" s="140" t="n">
        <f aca="false">MAX(0,M54-M53)</f>
        <v>0</v>
      </c>
      <c r="O54" s="139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RESUMO'!BB19</f>
        <v>100</v>
      </c>
      <c r="N55" s="140" t="n">
        <f aca="false">MAX(0,M55-M54)</f>
        <v>0</v>
      </c>
      <c r="O55" s="139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RESUMO'!BC19</f>
        <v>100</v>
      </c>
      <c r="N56" s="140" t="n">
        <f aca="false">MAX(0,M56-M55)</f>
        <v>0</v>
      </c>
      <c r="O56" s="139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RESUMO'!BD19</f>
        <v>100</v>
      </c>
      <c r="N57" s="140" t="n">
        <f aca="false">MAX(0,M57-M56)</f>
        <v>0</v>
      </c>
      <c r="O57" s="139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RESUMO'!BE19</f>
        <v>100</v>
      </c>
      <c r="N58" s="140" t="n">
        <f aca="false">MAX(0,M58-M57)</f>
        <v>0</v>
      </c>
      <c r="O58" s="139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RESUMO'!BF19</f>
        <v>100</v>
      </c>
      <c r="N59" s="140" t="n">
        <f aca="false">MAX(0,M59-M58)</f>
        <v>0</v>
      </c>
      <c r="O59" s="139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RESUMO'!BG19</f>
        <v>100</v>
      </c>
      <c r="N60" s="140" t="n">
        <f aca="false">MAX(0,M60-M59)</f>
        <v>0</v>
      </c>
      <c r="O60" s="139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RESUMO'!BH19</f>
        <v>100</v>
      </c>
      <c r="N61" s="140" t="n">
        <f aca="false">MAX(0,M61-M60)</f>
        <v>0</v>
      </c>
      <c r="O61" s="139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RESUMO'!BI19</f>
        <v>100</v>
      </c>
      <c r="N62" s="140" t="n">
        <f aca="false">MAX(0,M62-M61)</f>
        <v>0</v>
      </c>
      <c r="O62" s="139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RESUMO'!BJ19</f>
        <v>100</v>
      </c>
      <c r="N63" s="140" t="n">
        <f aca="false">MAX(0,M63-M62)</f>
        <v>0</v>
      </c>
      <c r="O63" s="139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RESUMO'!BK19</f>
        <v>100</v>
      </c>
      <c r="N64" s="140" t="n">
        <f aca="false">MAX(0,M64-M63)</f>
        <v>0</v>
      </c>
      <c r="O64" s="139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RESUMO'!BL19</f>
        <v>100</v>
      </c>
      <c r="N65" s="140" t="n">
        <f aca="false">MAX(0,M65-M64)</f>
        <v>0</v>
      </c>
      <c r="O65" s="139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RESUMO'!BM19</f>
        <v>100</v>
      </c>
      <c r="N66" s="140" t="n">
        <f aca="false">MAX(0,M66-M65)</f>
        <v>0</v>
      </c>
      <c r="O66" s="139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RESUMO'!BN19</f>
        <v>100</v>
      </c>
      <c r="N67" s="140" t="n">
        <f aca="false">MAX(0,M67-M66)</f>
        <v>0</v>
      </c>
      <c r="O67" s="139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RESUMO'!BO19</f>
        <v>100</v>
      </c>
      <c r="N68" s="140" t="n">
        <f aca="false">MAX(0,M68-M67)</f>
        <v>0</v>
      </c>
      <c r="O68" s="139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RESUMO'!BP19</f>
        <v>100</v>
      </c>
      <c r="N69" s="140" t="n">
        <f aca="false">MAX(0,M69-M68)</f>
        <v>0</v>
      </c>
      <c r="O69" s="139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RESUMO'!BQ19</f>
        <v>100</v>
      </c>
      <c r="N70" s="140" t="n">
        <f aca="false">MAX(0,M70-M69)</f>
        <v>0</v>
      </c>
      <c r="O70" s="139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RESUMO'!BR19</f>
        <v>100</v>
      </c>
      <c r="N71" s="140" t="n">
        <f aca="false">MAX(0,M71-M70)</f>
        <v>0</v>
      </c>
      <c r="O71" s="139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RESUMO'!BS19</f>
        <v>100</v>
      </c>
      <c r="N72" s="140" t="n">
        <f aca="false">MAX(0,M72-M71)</f>
        <v>0</v>
      </c>
      <c r="O72" s="139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RESUMO'!BT19</f>
        <v>100</v>
      </c>
      <c r="N73" s="140" t="n">
        <f aca="false">MAX(0,M73-M72)</f>
        <v>0</v>
      </c>
      <c r="O73" s="139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RESUMO'!BU19</f>
        <v>100</v>
      </c>
      <c r="N74" s="140" t="n">
        <f aca="false">MAX(0,M74-M73)</f>
        <v>0</v>
      </c>
      <c r="O74" s="139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RESUMO'!BV19</f>
        <v>100</v>
      </c>
      <c r="N75" s="140" t="n">
        <f aca="false">MAX(0,M75-M74)</f>
        <v>0</v>
      </c>
      <c r="O75" s="139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RESUMO'!BW19</f>
        <v>100</v>
      </c>
      <c r="N76" s="140" t="n">
        <f aca="false">MAX(0,M76-M75)</f>
        <v>0</v>
      </c>
      <c r="O76" s="139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5000029.77</v>
      </c>
      <c r="D78" s="61" t="n">
        <f aca="false">SUM(D5:D76)</f>
        <v>0</v>
      </c>
      <c r="E78" s="61" t="n">
        <f aca="false">SUM(E5:E76)</f>
        <v>4121.57448827601</v>
      </c>
      <c r="F78" s="145" t="n">
        <f aca="false">SUM(F5:F76)</f>
        <v>1</v>
      </c>
      <c r="H78" s="61" t="n">
        <f aca="false">SUM(H5:H76)</f>
        <v>247295.71</v>
      </c>
      <c r="L78" s="61" t="n">
        <f aca="false">SUM(L5:L76)</f>
        <v>4121.57448827601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HISTORICOS'!D20)</f>
        <v>44065.17</v>
      </c>
      <c r="D5" s="45" t="n">
        <f aca="false">IF(B5&lt;='VALOR POR PL'!$P$5,0,IF($K$17&gt;0,$K$18*P5/$K$17,0))</f>
        <v>0</v>
      </c>
      <c r="E5" s="45" t="n">
        <f aca="false">L5+D5/$K$2</f>
        <v>38.8691235933846</v>
      </c>
      <c r="F5" s="117" t="n">
        <f aca="false">IF($K$9=0,0,E5/$K$9)</f>
        <v>0.0183290103289496</v>
      </c>
      <c r="G5" s="117" t="n">
        <f aca="false">F5</f>
        <v>0.0183290103289496</v>
      </c>
      <c r="H5" s="138"/>
      <c r="I5" s="42" t="s">
        <v>3894</v>
      </c>
      <c r="J5" s="56" t="n">
        <f aca="false">'VALOR POR PL'!F26</f>
        <v>3887368.06</v>
      </c>
      <c r="K5" s="56" t="n">
        <f aca="false">'VALOR POR PL'!G26</f>
        <v>3328.067126</v>
      </c>
      <c r="L5" s="56" t="n">
        <f aca="false">'DADOS HISTORICOS'!$BZ$20</f>
        <v>38.8691235933846</v>
      </c>
      <c r="M5" s="139" t="n">
        <f aca="false">'CP RESUMO'!D20</f>
        <v>0</v>
      </c>
      <c r="N5" s="140" t="n">
        <v>0</v>
      </c>
      <c r="O5" s="139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0.0183290103289496</v>
      </c>
      <c r="H6" s="138"/>
      <c r="I6" s="42" t="s">
        <v>3895</v>
      </c>
      <c r="K6" s="52" t="n">
        <f aca="false">'VALOR POR PL'!H26</f>
        <v>2120.80558425878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RESUMO'!E20</f>
        <v>0</v>
      </c>
      <c r="N6" s="140" t="n">
        <f aca="false">MAX(0,M6-M5)</f>
        <v>0</v>
      </c>
      <c r="O6" s="139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0.0183290103289496</v>
      </c>
      <c r="H7" s="138"/>
      <c r="I7" s="42" t="s">
        <v>3896</v>
      </c>
      <c r="J7" s="45" t="n">
        <f aca="false">C78+D78</f>
        <v>2623109.92540345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RESUMO'!F20</f>
        <v>0</v>
      </c>
      <c r="N7" s="140" t="n">
        <f aca="false">MAX(0,M7-M6)</f>
        <v>0</v>
      </c>
      <c r="O7" s="139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0.0183290103289496</v>
      </c>
      <c r="H8" s="138"/>
      <c r="I8" s="42" t="s">
        <v>3897</v>
      </c>
      <c r="K8" s="66" t="n">
        <f aca="false">SUM(L5:L76)</f>
        <v>1934.71643547183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RESUMO'!G20</f>
        <v>0</v>
      </c>
      <c r="N8" s="140" t="n">
        <f aca="false">MAX(0,M8-M7)</f>
        <v>0</v>
      </c>
      <c r="O8" s="139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0.0183290103289496</v>
      </c>
      <c r="H9" s="138"/>
      <c r="I9" s="42" t="s">
        <v>3898</v>
      </c>
      <c r="J9" s="45" t="n">
        <f aca="false">C78+D78</f>
        <v>2623109.92540345</v>
      </c>
      <c r="K9" s="45" t="n">
        <f aca="false">E78</f>
        <v>2120.63406020308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RESUMO'!H20</f>
        <v>0</v>
      </c>
      <c r="N9" s="140" t="n">
        <f aca="false">MAX(0,M9-M8)</f>
        <v>0</v>
      </c>
      <c r="O9" s="139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0.0183290103289496</v>
      </c>
      <c r="H10" s="138"/>
      <c r="I10" s="42" t="s">
        <v>3899</v>
      </c>
      <c r="K10" s="52" t="n">
        <f aca="false">IF(K6-K8&gt;0,(K6-K8)*'VALOR POR PL'!$G$65,K6-K8)</f>
        <v>185.917624731252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RESUMO'!I20</f>
        <v>6.39</v>
      </c>
      <c r="N10" s="140" t="n">
        <f aca="false">MAX(0,M10-M9)</f>
        <v>6.39</v>
      </c>
      <c r="O10" s="139" t="n">
        <f aca="false">IF(B10&lt;='VALOR POR PL'!$P$5,'CP RESUMO'!I62,"")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HISTORICOS'!J20)</f>
        <v>9788.63</v>
      </c>
      <c r="D11" s="45" t="n">
        <f aca="false">IF(B11&lt;='VALOR POR PL'!$P$5,0,IF($K$17&gt;0,$K$18*P11/$K$17,0))</f>
        <v>0</v>
      </c>
      <c r="E11" s="45" t="n">
        <f aca="false">L11+D11/$K$2</f>
        <v>8.16053068380479</v>
      </c>
      <c r="F11" s="117" t="n">
        <f aca="false">IF($K$9=0,0,E11/$K$9)</f>
        <v>0.00384815600057999</v>
      </c>
      <c r="G11" s="117" t="n">
        <f aca="false">G10+F11</f>
        <v>0.0221771663295296</v>
      </c>
      <c r="H11" s="138"/>
      <c r="I11" s="42" t="s">
        <v>3900</v>
      </c>
      <c r="K11" s="56" t="n">
        <f aca="false">SUMPRODUCT((B5:B76&gt;'VALOR POR PL'!$P$5)*H5:H76)</f>
        <v>563919.49</v>
      </c>
      <c r="L11" s="45" t="n">
        <f aca="false">C11/IF(B11&lt;='VALOR POR PL'!$P$5,IFERROR(INDEX('"INCC-FGV"'!$B$2:$B$800,MATCH(B11,'"INCC-FGV"'!$A$2:$A$800,0)),$K$2),$K$2)</f>
        <v>8.16053068380479</v>
      </c>
      <c r="M11" s="139" t="n">
        <f aca="false">'CP RESUMO'!J20</f>
        <v>18</v>
      </c>
      <c r="N11" s="140" t="n">
        <f aca="false">MAX(0,M11-M10)</f>
        <v>11.61</v>
      </c>
      <c r="O11" s="139" t="n">
        <f aca="false">IF(B11&lt;='VALOR POR PL'!$P$5,'CP RESUMO'!J62,"")</f>
        <v>1.54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HISTORICOS'!K20)</f>
        <v>94552.16</v>
      </c>
      <c r="D12" s="45" t="n">
        <f aca="false">IF(B12&lt;='VALOR POR PL'!$P$5,0,IF($K$17&gt;0,$K$18*P12/$K$17,0))</f>
        <v>0</v>
      </c>
      <c r="E12" s="45" t="n">
        <f aca="false">L12+D12/$K$2</f>
        <v>78.1118754600482</v>
      </c>
      <c r="F12" s="117" t="n">
        <f aca="false">IF($K$9=0,0,E12/$K$9)</f>
        <v>0.0368342077145399</v>
      </c>
      <c r="G12" s="117" t="n">
        <f aca="false">G11+F12</f>
        <v>0.0590113740440695</v>
      </c>
      <c r="H12" s="138"/>
      <c r="I12" s="42" t="s">
        <v>3901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78.1118754600482</v>
      </c>
      <c r="M12" s="139" t="n">
        <f aca="false">'CP RESUMO'!K20</f>
        <v>31.35</v>
      </c>
      <c r="N12" s="140" t="n">
        <f aca="false">MAX(0,M12-M11)</f>
        <v>13.35</v>
      </c>
      <c r="O12" s="139" t="n">
        <f aca="false">IF(B12&lt;='VALOR POR PL'!$P$5,'CP RESUMO'!K62,"")</f>
        <v>6.41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HISTORICOS'!L20)</f>
        <v>109831.95</v>
      </c>
      <c r="D13" s="45" t="n">
        <f aca="false">IF(B13&lt;='VALOR POR PL'!$P$5,0,IF($K$17&gt;0,$K$18*P13/$K$17,0))</f>
        <v>0</v>
      </c>
      <c r="E13" s="45" t="n">
        <f aca="false">L13+D13/$K$2</f>
        <v>90.2699173013037</v>
      </c>
      <c r="F13" s="117" t="n">
        <f aca="false">IF($K$9=0,0,E13/$K$9)</f>
        <v>0.0425674183940341</v>
      </c>
      <c r="G13" s="117" t="n">
        <f aca="false">G12+F13</f>
        <v>0.101578792438104</v>
      </c>
      <c r="H13" s="138"/>
      <c r="I13" s="42" t="s">
        <v>3902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90.2699173013037</v>
      </c>
      <c r="M13" s="139" t="n">
        <f aca="false">'CP RESUMO'!L20</f>
        <v>42.97</v>
      </c>
      <c r="N13" s="140" t="n">
        <f aca="false">MAX(0,M13-M12)</f>
        <v>11.62</v>
      </c>
      <c r="O13" s="139" t="n">
        <f aca="false">IF(B13&lt;='VALOR POR PL'!$P$5,'CP RESUMO'!L62,"")</f>
        <v>10.59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HISTORICOS'!M20)</f>
        <v>85584.02</v>
      </c>
      <c r="D14" s="45" t="n">
        <f aca="false">IF(B14&lt;='VALOR POR PL'!$P$5,0,IF($K$17&gt;0,$K$18*P14/$K$17,0))</f>
        <v>0</v>
      </c>
      <c r="E14" s="45" t="n">
        <f aca="false">L14+D14/$K$2</f>
        <v>70.2229584975389</v>
      </c>
      <c r="F14" s="117" t="n">
        <f aca="false">IF($K$9=0,0,E14/$K$9)</f>
        <v>0.0331141330865987</v>
      </c>
      <c r="G14" s="117" t="n">
        <f aca="false">G13+F14</f>
        <v>0.134692925524702</v>
      </c>
      <c r="H14" s="138"/>
      <c r="I14" s="42" t="s">
        <v>3903</v>
      </c>
      <c r="K14" s="58" t="n">
        <f aca="false">IFERROR(INDEX('CP RESUMO'!$D$62:$BW$62,MATCH('VALOR POR PL'!$P$5,'CP RESUMO'!$D$4:$BW$4,0))/100,0)</f>
        <v>0.9894</v>
      </c>
      <c r="L14" s="45" t="n">
        <f aca="false">C14/IF(B14&lt;='VALOR POR PL'!$P$5,IFERROR(INDEX('"INCC-FGV"'!$B$2:$B$800,MATCH(B14,'"INCC-FGV"'!$A$2:$A$800,0)),$K$2),$K$2)</f>
        <v>70.2229584975389</v>
      </c>
      <c r="M14" s="139" t="n">
        <f aca="false">'CP RESUMO'!M20</f>
        <v>55.74</v>
      </c>
      <c r="N14" s="140" t="n">
        <f aca="false">MAX(0,M14-M13)</f>
        <v>12.77</v>
      </c>
      <c r="O14" s="139" t="n">
        <f aca="false">IF(B14&lt;='VALOR POR PL'!$P$5,'CP RESUMO'!M62,"")</f>
        <v>25.99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HISTORICOS'!N20)</f>
        <v>265948.17</v>
      </c>
      <c r="D15" s="45" t="n">
        <f aca="false">IF(B15&lt;='VALOR POR PL'!$P$5,0,IF($K$17&gt;0,$K$18*P15/$K$17,0))</f>
        <v>0</v>
      </c>
      <c r="E15" s="45" t="n">
        <f aca="false">L15+D15/$K$2</f>
        <v>217.570143231595</v>
      </c>
      <c r="F15" s="117" t="n">
        <f aca="false">IF($K$9=0,0,E15/$K$9)</f>
        <v>0.102596740906236</v>
      </c>
      <c r="G15" s="117" t="n">
        <f aca="false">G14+F15</f>
        <v>0.237289666430939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217.570143231595</v>
      </c>
      <c r="M15" s="139" t="n">
        <f aca="false">'CP RESUMO'!N20</f>
        <v>69.09</v>
      </c>
      <c r="N15" s="140" t="n">
        <f aca="false">MAX(0,M15-M14)</f>
        <v>13.35</v>
      </c>
      <c r="O15" s="139" t="n">
        <f aca="false">IF(B15&lt;='VALOR POR PL'!$P$5,'CP RESUMO'!N62,"")</f>
        <v>66.77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HISTORICOS'!O20)</f>
        <v>1002170.99</v>
      </c>
      <c r="D16" s="45" t="n">
        <f aca="false">IF(B16&lt;='VALOR POR PL'!$P$5,0,IF($K$17&gt;0,$K$18*P16/$K$17,0))</f>
        <v>0</v>
      </c>
      <c r="E16" s="45" t="n">
        <f aca="false">L16+D16/$K$2</f>
        <v>817.676245662446</v>
      </c>
      <c r="F16" s="117" t="n">
        <f aca="false">IF($K$9=0,0,E16/$K$9)</f>
        <v>0.385581020793443</v>
      </c>
      <c r="G16" s="117" t="n">
        <f aca="false">G15+F16</f>
        <v>0.622870687224381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817.676245662446</v>
      </c>
      <c r="M16" s="139" t="n">
        <f aca="false">'CP RESUMO'!O20</f>
        <v>74.15</v>
      </c>
      <c r="N16" s="140" t="n">
        <f aca="false">MAX(0,M16-M15)</f>
        <v>5.06</v>
      </c>
      <c r="O16" s="139" t="n">
        <f aca="false">IF(B16&lt;='VALOR POR PL'!$P$5,'CP RESUMO'!O62,"")</f>
        <v>80.58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HISTORICOS'!P20)</f>
        <v>320952.69</v>
      </c>
      <c r="D17" s="45" t="n">
        <f aca="false">IF(B17&lt;='VALOR POR PL'!$P$5,0,IF($K$17&gt;0,$K$18*P17/$K$17,0))</f>
        <v>0</v>
      </c>
      <c r="E17" s="45" t="n">
        <f aca="false">L17+D17/$K$2</f>
        <v>261.327863366448</v>
      </c>
      <c r="F17" s="117" t="n">
        <f aca="false">IF($K$9=0,0,E17/$K$9)</f>
        <v>0.123231003533642</v>
      </c>
      <c r="G17" s="117" t="n">
        <f aca="false">G16+F17</f>
        <v>0.746101690758024</v>
      </c>
      <c r="H17" s="138"/>
      <c r="I17" s="42" t="s">
        <v>3907</v>
      </c>
      <c r="K17" s="45" t="n">
        <f aca="false">SUM(P5:P76)</f>
        <v>563919.49</v>
      </c>
      <c r="L17" s="45" t="n">
        <f aca="false">C17/IF(B17&lt;='VALOR POR PL'!$P$5,IFERROR(INDEX('"INCC-FGV"'!$B$2:$B$800,MATCH(B17,'"INCC-FGV"'!$A$2:$A$800,0)),$K$2),$K$2)</f>
        <v>261.327863366448</v>
      </c>
      <c r="M17" s="139" t="n">
        <f aca="false">'CP RESUMO'!P20</f>
        <v>80.05</v>
      </c>
      <c r="N17" s="140" t="n">
        <f aca="false">MAX(0,M17-M16)</f>
        <v>5.89999999999999</v>
      </c>
      <c r="O17" s="139" t="n">
        <f aca="false">IF(B17&lt;='VALOR POR PL'!$P$5,'CP RESUMO'!P62,"")</f>
        <v>80.58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HISTORICOS'!Q20)</f>
        <v>74218.96</v>
      </c>
      <c r="D18" s="45" t="n">
        <f aca="false">IF(B18&lt;='VALOR POR PL'!$P$5,0,IF($K$17&gt;0,$K$18*P18/$K$17,0))</f>
        <v>0</v>
      </c>
      <c r="E18" s="45" t="n">
        <f aca="false">L18+D18/$K$2</f>
        <v>59.9974131714841</v>
      </c>
      <c r="F18" s="117" t="n">
        <f aca="false">IF($K$9=0,0,E18/$K$9)</f>
        <v>0.0282922048162042</v>
      </c>
      <c r="G18" s="117" t="n">
        <f aca="false">G17+F18</f>
        <v>0.774393895574228</v>
      </c>
      <c r="H18" s="138"/>
      <c r="I18" s="42" t="s">
        <v>3908</v>
      </c>
      <c r="K18" s="45" t="n">
        <f aca="false">MAX(0,K10)*$K$2</f>
        <v>241644.945403447</v>
      </c>
      <c r="L18" s="45" t="n">
        <f aca="false">C18/IF(B18&lt;='VALOR POR PL'!$P$5,IFERROR(INDEX('"INCC-FGV"'!$B$2:$B$800,MATCH(B18,'"INCC-FGV"'!$A$2:$A$800,0)),$K$2),$K$2)</f>
        <v>59.9974131714841</v>
      </c>
      <c r="M18" s="139" t="n">
        <f aca="false">'CP RESUMO'!Q20</f>
        <v>80.58</v>
      </c>
      <c r="N18" s="140" t="n">
        <f aca="false">MAX(0,M18-M17)</f>
        <v>0.530000000000001</v>
      </c>
      <c r="O18" s="139" t="n">
        <f aca="false">IF(B18&lt;='VALOR POR PL'!$P$5,'CP RESUMO'!Q62,"")</f>
        <v>80.58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0.774393895574228</v>
      </c>
      <c r="H19" s="138"/>
      <c r="I19" s="42" t="s">
        <v>3909</v>
      </c>
      <c r="K19" s="142" t="n">
        <f aca="false">IF(AND(K16="PREVISÃO INFORMADA",K11&gt;0),K18/K11-1,"")</f>
        <v>-0.571490346248811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RESUMO'!R20</f>
        <v>80.58</v>
      </c>
      <c r="N19" s="140" t="n">
        <f aca="false">MAX(0,M19-M18)</f>
        <v>0</v>
      </c>
      <c r="O19" s="139" t="n">
        <f aca="false">IF(B19&lt;='VALOR POR PL'!$P$5,'CP RESUMO'!R62,"")</f>
        <v>80.58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HISTORICOS'!S20)</f>
        <v>40087.65</v>
      </c>
      <c r="D20" s="45" t="n">
        <f aca="false">IF(B20&lt;='VALOR POR PL'!$P$5,0,IF($K$17&gt;0,$K$18*P20/$K$17,0))</f>
        <v>0</v>
      </c>
      <c r="E20" s="45" t="n">
        <f aca="false">L20+D20/$K$2</f>
        <v>32.1426080095832</v>
      </c>
      <c r="F20" s="117" t="n">
        <f aca="false">IF($K$9=0,0,E20/$K$9)</f>
        <v>0.0151570742981017</v>
      </c>
      <c r="G20" s="117" t="n">
        <f aca="false">G19+F20</f>
        <v>0.789550969872329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32.1426080095832</v>
      </c>
      <c r="M20" s="139" t="n">
        <f aca="false">'CP RESUMO'!S20</f>
        <v>80.58</v>
      </c>
      <c r="N20" s="140" t="n">
        <f aca="false">MAX(0,M20-M19)</f>
        <v>0</v>
      </c>
      <c r="O20" s="139" t="n">
        <f aca="false">IF(B20&lt;='VALOR POR PL'!$P$5,'CP RESUMO'!S62,"")</f>
        <v>81.33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HISTORICOS'!T20)</f>
        <v>1739.23</v>
      </c>
      <c r="D21" s="45" t="n">
        <f aca="false">IF(B21&lt;='VALOR POR PL'!$P$5,0,IF($K$17&gt;0,$K$18*P21/$K$17,0))</f>
        <v>0</v>
      </c>
      <c r="E21" s="45" t="n">
        <f aca="false">L21+D21/$K$2</f>
        <v>1.38072261227704</v>
      </c>
      <c r="F21" s="117" t="n">
        <f aca="false">IF($K$9=0,0,E21/$K$9)</f>
        <v>0.000651089519964052</v>
      </c>
      <c r="G21" s="117" t="n">
        <f aca="false">G20+F21</f>
        <v>0.790202059392294</v>
      </c>
      <c r="H21" s="138"/>
      <c r="K21" s="143"/>
      <c r="L21" s="45" t="n">
        <f aca="false">C21/IF(B21&lt;='VALOR POR PL'!$P$5,IFERROR(INDEX('"INCC-FGV"'!$B$2:$B$800,MATCH(B21,'"INCC-FGV"'!$A$2:$A$800,0)),$K$2),$K$2)</f>
        <v>1.38072261227704</v>
      </c>
      <c r="M21" s="139" t="n">
        <f aca="false">'CP RESUMO'!T20</f>
        <v>80.68</v>
      </c>
      <c r="N21" s="140" t="n">
        <f aca="false">MAX(0,M21-M20)</f>
        <v>0.100000000000009</v>
      </c>
      <c r="O21" s="139" t="n">
        <f aca="false">IF(B21&lt;='VALOR POR PL'!$P$5,'CP RESUMO'!T62,"")</f>
        <v>81.33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HISTORICOS'!U20)</f>
        <v>139157.18</v>
      </c>
      <c r="D22" s="45" t="n">
        <f aca="false">IF(B22&lt;='VALOR POR PL'!$P$5,0,IF($K$17&gt;0,$K$18*P22/$K$17,0))</f>
        <v>0</v>
      </c>
      <c r="E22" s="45" t="n">
        <f aca="false">L22+D22/$K$2</f>
        <v>109.512652524799</v>
      </c>
      <c r="F22" s="117" t="n">
        <f aca="false">IF($K$9=0,0,E22/$K$9)</f>
        <v>0.0516414663802543</v>
      </c>
      <c r="G22" s="117" t="n">
        <f aca="false">G21+F22</f>
        <v>0.841843525772548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109.512652524799</v>
      </c>
      <c r="M22" s="139" t="n">
        <f aca="false">'CP RESUMO'!U20</f>
        <v>81.33</v>
      </c>
      <c r="N22" s="140" t="n">
        <f aca="false">MAX(0,M22-M21)</f>
        <v>0.649999999999992</v>
      </c>
      <c r="O22" s="139" t="n">
        <f aca="false">IF(B22&lt;='VALOR POR PL'!$P$5,'CP RESUMO'!U62,"")</f>
        <v>81.33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HISTORICOS'!V20)</f>
        <v>40129.4</v>
      </c>
      <c r="D23" s="45" t="n">
        <f aca="false">IF(B23&lt;='VALOR POR PL'!$P$5,0,IF($K$17&gt;0,$K$18*P23/$K$17,0))</f>
        <v>0</v>
      </c>
      <c r="E23" s="45" t="n">
        <f aca="false">L23+D23/$K$2</f>
        <v>31.3354015684333</v>
      </c>
      <c r="F23" s="117" t="n">
        <f aca="false">IF($K$9=0,0,E23/$K$9)</f>
        <v>0.0147764303877268</v>
      </c>
      <c r="G23" s="117" t="n">
        <f aca="false">G22+F23</f>
        <v>0.856619956160275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31.3354015684333</v>
      </c>
      <c r="M23" s="139" t="n">
        <f aca="false">'CP RESUMO'!V20</f>
        <v>86.61</v>
      </c>
      <c r="N23" s="140" t="n">
        <f aca="false">MAX(0,M23-M22)</f>
        <v>5.28</v>
      </c>
      <c r="O23" s="139" t="n">
        <f aca="false">IF(B23&lt;='VALOR POR PL'!$P$5,'CP RESUMO'!V62,"")</f>
        <v>94.4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HISTORICOS'!W20)</f>
        <v>20378.96</v>
      </c>
      <c r="D24" s="45" t="n">
        <f aca="false">IF(B24&lt;='VALOR POR PL'!$P$5,0,IF($K$17&gt;0,$K$18*P24/$K$17,0))</f>
        <v>0</v>
      </c>
      <c r="E24" s="45" t="n">
        <f aca="false">L24+D24/$K$2</f>
        <v>15.8168811523473</v>
      </c>
      <c r="F24" s="117" t="n">
        <f aca="false">IF($K$9=0,0,E24/$K$9)</f>
        <v>0.00745856225228819</v>
      </c>
      <c r="G24" s="117" t="n">
        <f aca="false">G23+F24</f>
        <v>0.864078518412563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15.8168811523473</v>
      </c>
      <c r="M24" s="139" t="n">
        <f aca="false">'CP RESUMO'!W20</f>
        <v>94.72</v>
      </c>
      <c r="N24" s="140" t="n">
        <f aca="false">MAX(0,M24-M23)</f>
        <v>8.11</v>
      </c>
      <c r="O24" s="139" t="n">
        <f aca="false">IF(B24&lt;='VALOR POR PL'!$P$5,'CP RESUMO'!W62,"")</f>
        <v>97.95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HISTORICOS'!X20)</f>
        <v>60234.71</v>
      </c>
      <c r="D25" s="45" t="n">
        <f aca="false">IF(B25&lt;='VALOR POR PL'!$P$5,0,IF($K$17&gt;0,$K$18*P25/$K$17,0))</f>
        <v>0</v>
      </c>
      <c r="E25" s="45" t="n">
        <f aca="false">L25+D25/$K$2</f>
        <v>46.4455400577844</v>
      </c>
      <c r="F25" s="117" t="n">
        <f aca="false">IF($K$9=0,0,E25/$K$9)</f>
        <v>0.0219017231352668</v>
      </c>
      <c r="G25" s="117" t="n">
        <f aca="false">G24+F25</f>
        <v>0.885980241547829</v>
      </c>
      <c r="H25" s="138"/>
      <c r="L25" s="45" t="n">
        <f aca="false">C25/IF(B25&lt;='VALOR POR PL'!$P$5,IFERROR(INDEX('"INCC-FGV"'!$B$2:$B$800,MATCH(B25,'"INCC-FGV"'!$A$2:$A$800,0)),$K$2),$K$2)</f>
        <v>46.4455400577844</v>
      </c>
      <c r="M25" s="139" t="n">
        <f aca="false">'CP RESUMO'!X20</f>
        <v>100</v>
      </c>
      <c r="N25" s="140" t="n">
        <f aca="false">MAX(0,M25-M24)</f>
        <v>5.28</v>
      </c>
      <c r="O25" s="139" t="n">
        <f aca="false">IF(B25&lt;='VALOR POR PL'!$P$5,'CP RESUMO'!X62,"")</f>
        <v>98.94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HISTORICOS'!Y20)</f>
        <v>13754.49</v>
      </c>
      <c r="D26" s="45" t="n">
        <f aca="false">IF(B26&lt;='VALOR POR PL'!$P$5,0,IF($K$17&gt;0,$K$18*P26/$K$17,0))</f>
        <v>0</v>
      </c>
      <c r="E26" s="45" t="n">
        <f aca="false">L26+D26/$K$2</f>
        <v>10.5824771377704</v>
      </c>
      <c r="F26" s="117" t="n">
        <f aca="false">IF($K$9=0,0,E26/$K$9)</f>
        <v>0.00499024199241476</v>
      </c>
      <c r="G26" s="117" t="n">
        <f aca="false">G25+F26</f>
        <v>0.890970483540244</v>
      </c>
      <c r="H26" s="138"/>
      <c r="L26" s="45" t="n">
        <f aca="false">C26/IF(B26&lt;='VALOR POR PL'!$P$5,IFERROR(INDEX('"INCC-FGV"'!$B$2:$B$800,MATCH(B26,'"INCC-FGV"'!$A$2:$A$800,0)),$K$2),$K$2)</f>
        <v>10.5824771377704</v>
      </c>
      <c r="M26" s="139" t="n">
        <f aca="false">'CP RESUMO'!Y20</f>
        <v>100</v>
      </c>
      <c r="N26" s="140" t="n">
        <f aca="false">MAX(0,M26-M25)</f>
        <v>0</v>
      </c>
      <c r="O26" s="139" t="n">
        <f aca="false">IF(B26&lt;='VALOR POR PL'!$P$5,'CP RESUMO'!Y62,"")</f>
        <v>98.94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HISTORICOS'!Z20)</f>
        <v>17571.33</v>
      </c>
      <c r="D27" s="45" t="n">
        <f aca="false">IF(B27&lt;='VALOR POR PL'!$P$5,0,IF($K$17&gt;0,$K$18*P27/$K$17,0))</f>
        <v>32138.2240313392</v>
      </c>
      <c r="E27" s="45" t="n">
        <f aca="false">L27+D27/$K$2</f>
        <v>38.2457087878511</v>
      </c>
      <c r="F27" s="117" t="n">
        <f aca="false">IF($K$9=0,0,E27/$K$9)</f>
        <v>0.0180350346651457</v>
      </c>
      <c r="G27" s="117" t="n">
        <f aca="false">G26+F27</f>
        <v>0.90900551820539</v>
      </c>
      <c r="H27" s="138" t="n">
        <v>75000</v>
      </c>
      <c r="L27" s="45" t="n">
        <f aca="false">C27/IF(B27&lt;='VALOR POR PL'!$P$5,IFERROR(INDEX('"INCC-FGV"'!$B$2:$B$800,MATCH(B27,'"INCC-FGV"'!$A$2:$A$800,0)),$K$2),$K$2)</f>
        <v>13.519090711849</v>
      </c>
      <c r="M27" s="139" t="n">
        <f aca="false">'CP RESUMO'!Z20</f>
        <v>100</v>
      </c>
      <c r="N27" s="140" t="n">
        <f aca="false">MAX(0,M27-M26)</f>
        <v>0</v>
      </c>
      <c r="O27" s="139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75000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HISTORICOS'!AA20)</f>
        <v>790.73</v>
      </c>
      <c r="D28" s="45" t="n">
        <f aca="false">IF(B28&lt;='VALOR POR PL'!$P$5,0,IF($K$17&gt;0,$K$18*P28/$K$17,0))</f>
        <v>32138.2240313392</v>
      </c>
      <c r="E28" s="45" t="n">
        <f aca="false">L28+D28/$K$2</f>
        <v>25.3349926611121</v>
      </c>
      <c r="F28" s="117" t="n">
        <f aca="false">IF($K$9=0,0,E28/$K$9)</f>
        <v>0.0119468950992355</v>
      </c>
      <c r="G28" s="117" t="n">
        <f aca="false">G27+F28</f>
        <v>0.920952413304625</v>
      </c>
      <c r="H28" s="138" t="n">
        <v>75000</v>
      </c>
      <c r="L28" s="45" t="n">
        <f aca="false">C28/IF(B28&lt;='VALOR POR PL'!$P$5,IFERROR(INDEX('"INCC-FGV"'!$B$2:$B$800,MATCH(B28,'"INCC-FGV"'!$A$2:$A$800,0)),$K$2),$K$2)</f>
        <v>0.608374585109968</v>
      </c>
      <c r="M28" s="139" t="n">
        <f aca="false">'CP RESUMO'!AA20</f>
        <v>100</v>
      </c>
      <c r="N28" s="140" t="n">
        <f aca="false">MAX(0,M28-M27)</f>
        <v>0</v>
      </c>
      <c r="O28" s="139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75000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HISTORICOS'!AB20)</f>
        <v>5760.51</v>
      </c>
      <c r="D29" s="45" t="n">
        <f aca="false">IF(B29&lt;='VALOR POR PL'!$P$5,0,IF($K$17&gt;0,$K$18*P29/$K$17,0))</f>
        <v>3666.53856722551</v>
      </c>
      <c r="E29" s="45" t="n">
        <f aca="false">L29+D29/$K$2</f>
        <v>7.25301526551078</v>
      </c>
      <c r="F29" s="117" t="n">
        <f aca="false">IF($K$9=0,0,E29/$K$9)</f>
        <v>0.00342021068209015</v>
      </c>
      <c r="G29" s="117" t="n">
        <f aca="false">G28+F29</f>
        <v>0.924372623986716</v>
      </c>
      <c r="H29" s="138" t="n">
        <v>8556.49</v>
      </c>
      <c r="L29" s="45" t="n">
        <f aca="false">C29/IF(B29&lt;='VALOR POR PL'!$P$5,IFERROR(INDEX('"INCC-FGV"'!$B$2:$B$800,MATCH(B29,'"INCC-FGV"'!$A$2:$A$800,0)),$K$2),$K$2)</f>
        <v>4.43204112816236</v>
      </c>
      <c r="M29" s="139" t="n">
        <f aca="false">'CP RESUMO'!AB20</f>
        <v>100</v>
      </c>
      <c r="N29" s="140" t="n">
        <f aca="false">MAX(0,M29-M28)</f>
        <v>0</v>
      </c>
      <c r="O29" s="139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8556.49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HISTORICOS'!AC20)</f>
        <v>18292.36</v>
      </c>
      <c r="D30" s="45" t="n">
        <f aca="false">IF(B30&lt;='VALOR POR PL'!$P$5,0,IF($K$17&gt;0,$K$18*P30/$K$17,0))</f>
        <v>0</v>
      </c>
      <c r="E30" s="45" t="n">
        <f aca="false">L30+D30/$K$2</f>
        <v>14.0738392696397</v>
      </c>
      <c r="F30" s="117" t="n">
        <f aca="false">IF($K$9=0,0,E30/$K$9)</f>
        <v>0.00663661851601682</v>
      </c>
      <c r="G30" s="117" t="n">
        <f aca="false">G29+F30</f>
        <v>0.931009242502732</v>
      </c>
      <c r="H30" s="138"/>
      <c r="L30" s="45" t="n">
        <f aca="false">C30/IF(B30&lt;='VALOR POR PL'!$P$5,IFERROR(INDEX('"INCC-FGV"'!$B$2:$B$800,MATCH(B30,'"INCC-FGV"'!$A$2:$A$800,0)),$K$2),$K$2)</f>
        <v>14.0738392696397</v>
      </c>
      <c r="M30" s="139" t="n">
        <f aca="false">'CP RESUMO'!AC20</f>
        <v>100</v>
      </c>
      <c r="N30" s="140" t="n">
        <f aca="false">MAX(0,M30-M29)</f>
        <v>0</v>
      </c>
      <c r="O30" s="139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HISTORICOS'!AD20)</f>
        <v>0</v>
      </c>
      <c r="D31" s="45" t="n">
        <f aca="false">IF(B31&lt;='VALOR POR PL'!$P$5,0,IF($K$17&gt;0,$K$18*P31/$K$17,0))</f>
        <v>28950.3264622572</v>
      </c>
      <c r="E31" s="45" t="n">
        <f aca="false">L31+D31/$K$2</f>
        <v>22.2739024069832</v>
      </c>
      <c r="F31" s="117" t="n">
        <f aca="false">IF($K$9=0,0,E31/$K$9)</f>
        <v>0.0105034163248563</v>
      </c>
      <c r="G31" s="117" t="n">
        <f aca="false">G30+F31</f>
        <v>0.941512658827589</v>
      </c>
      <c r="H31" s="138" t="n">
        <v>67560.5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RESUMO'!AD20</f>
        <v>100</v>
      </c>
      <c r="N31" s="140" t="n">
        <f aca="false">MAX(0,M31-M30)</f>
        <v>0</v>
      </c>
      <c r="O31" s="139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67560.5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HISTORICOS'!AE20)</f>
        <v>7631.35</v>
      </c>
      <c r="D32" s="45" t="n">
        <f aca="false">IF(B32&lt;='VALOR POR PL'!$P$5,0,IF($K$17&gt;0,$K$18*P32/$K$17,0))</f>
        <v>0</v>
      </c>
      <c r="E32" s="45" t="n">
        <f aca="false">L32+D32/$K$2</f>
        <v>5.87143448469004</v>
      </c>
      <c r="F32" s="117" t="n">
        <f aca="false">IF($K$9=0,0,E32/$K$9)</f>
        <v>0.00276871648667558</v>
      </c>
      <c r="G32" s="117" t="n">
        <f aca="false">G31+F32</f>
        <v>0.944281375314264</v>
      </c>
      <c r="H32" s="138"/>
      <c r="L32" s="45" t="n">
        <f aca="false">C32/IF(B32&lt;='VALOR POR PL'!$P$5,IFERROR(INDEX('"INCC-FGV"'!$B$2:$B$800,MATCH(B32,'"INCC-FGV"'!$A$2:$A$800,0)),$K$2),$K$2)</f>
        <v>5.87143448469004</v>
      </c>
      <c r="M32" s="139" t="n">
        <f aca="false">'CP RESUMO'!AE20</f>
        <v>100</v>
      </c>
      <c r="N32" s="140" t="n">
        <f aca="false">MAX(0,M32-M31)</f>
        <v>0</v>
      </c>
      <c r="O32" s="139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28950.3264622572</v>
      </c>
      <c r="E33" s="45" t="n">
        <f aca="false">L33+D33/$K$2</f>
        <v>22.2739024069832</v>
      </c>
      <c r="F33" s="117" t="n">
        <f aca="false">IF($K$9=0,0,E33/$K$9)</f>
        <v>0.0105034163248563</v>
      </c>
      <c r="G33" s="117" t="n">
        <f aca="false">G32+F33</f>
        <v>0.95478479163912</v>
      </c>
      <c r="H33" s="138" t="n">
        <v>67560.5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RESUMO'!AF20</f>
        <v>100</v>
      </c>
      <c r="N33" s="140" t="n">
        <f aca="false">MAX(0,M33-M32)</f>
        <v>0</v>
      </c>
      <c r="O33" s="139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67560.5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0.95478479163912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RESUMO'!AG20</f>
        <v>100</v>
      </c>
      <c r="N34" s="140" t="n">
        <f aca="false">MAX(0,M34-M33)</f>
        <v>0</v>
      </c>
      <c r="O34" s="139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HISTORICOS'!AH20)</f>
        <v>419.58</v>
      </c>
      <c r="D35" s="45" t="n">
        <f aca="false">IF(B35&lt;='VALOR POR PL'!$P$5,0,IF($K$17&gt;0,$K$18*P35/$K$17,0))</f>
        <v>28950.3264622572</v>
      </c>
      <c r="E35" s="45" t="n">
        <f aca="false">L35+D35/$K$2</f>
        <v>22.5967203200768</v>
      </c>
      <c r="F35" s="117" t="n">
        <f aca="false">IF($K$9=0,0,E35/$K$9)</f>
        <v>0.0106556433965381</v>
      </c>
      <c r="G35" s="117" t="n">
        <f aca="false">G34+F35</f>
        <v>0.965440435035659</v>
      </c>
      <c r="H35" s="138" t="n">
        <v>67560.5</v>
      </c>
      <c r="L35" s="45" t="n">
        <f aca="false">C35/IF(B35&lt;='VALOR POR PL'!$P$5,IFERROR(INDEX('"INCC-FGV"'!$B$2:$B$800,MATCH(B35,'"INCC-FGV"'!$A$2:$A$800,0)),$K$2),$K$2)</f>
        <v>0.322817913093522</v>
      </c>
      <c r="M35" s="139" t="n">
        <f aca="false">'CP RESUMO'!AH20</f>
        <v>100</v>
      </c>
      <c r="N35" s="140" t="n">
        <f aca="false">MAX(0,M35-M34)</f>
        <v>0</v>
      </c>
      <c r="O35" s="139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67560.5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0.965440435035659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RESUMO'!AI20</f>
        <v>100</v>
      </c>
      <c r="N36" s="140" t="n">
        <f aca="false">MAX(0,M36-M35)</f>
        <v>0</v>
      </c>
      <c r="O36" s="139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28950.3264622572</v>
      </c>
      <c r="E37" s="45" t="n">
        <f aca="false">L37+D37/$K$2</f>
        <v>22.2739024069832</v>
      </c>
      <c r="F37" s="117" t="n">
        <f aca="false">IF($K$9=0,0,E37/$K$9)</f>
        <v>0.0105034163248563</v>
      </c>
      <c r="G37" s="117" t="n">
        <f aca="false">G36+F37</f>
        <v>0.975943851360515</v>
      </c>
      <c r="H37" s="138" t="n">
        <v>67560.5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RESUMO'!AJ20</f>
        <v>100</v>
      </c>
      <c r="N37" s="140" t="n">
        <f aca="false">MAX(0,M37-M36)</f>
        <v>0</v>
      </c>
      <c r="O37" s="139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67560.5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0.975943851360515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RESUMO'!AK20</f>
        <v>100</v>
      </c>
      <c r="N38" s="140" t="n">
        <f aca="false">MAX(0,M38-M37)</f>
        <v>0</v>
      </c>
      <c r="O38" s="139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28950.3264622572</v>
      </c>
      <c r="E39" s="45" t="n">
        <f aca="false">L39+D39/$K$2</f>
        <v>22.2739024069832</v>
      </c>
      <c r="F39" s="117" t="n">
        <f aca="false">IF($K$9=0,0,E39/$K$9)</f>
        <v>0.0105034163248563</v>
      </c>
      <c r="G39" s="117" t="n">
        <f aca="false">G38+F39</f>
        <v>0.986447267685371</v>
      </c>
      <c r="H39" s="138" t="n">
        <v>67560.5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RESUMO'!AL20</f>
        <v>100</v>
      </c>
      <c r="N39" s="140" t="n">
        <f aca="false">MAX(0,M39-M38)</f>
        <v>0</v>
      </c>
      <c r="O39" s="139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67560.5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HISTORICOS'!AM20)</f>
        <v>443.52</v>
      </c>
      <c r="D40" s="45" t="n">
        <f aca="false">IF(B40&lt;='VALOR POR PL'!$P$5,0,IF($K$17&gt;0,$K$18*P40/$K$17,0))</f>
        <v>0</v>
      </c>
      <c r="E40" s="45" t="n">
        <f aca="false">L40+D40/$K$2</f>
        <v>0.341236953179939</v>
      </c>
      <c r="F40" s="117" t="n">
        <f aca="false">IF($K$9=0,0,E40/$K$9)</f>
        <v>0.000160912700396438</v>
      </c>
      <c r="G40" s="117" t="n">
        <f aca="false">G39+F40</f>
        <v>0.986608180385768</v>
      </c>
      <c r="H40" s="138"/>
      <c r="L40" s="45" t="n">
        <f aca="false">C40/IF(B40&lt;='VALOR POR PL'!$P$5,IFERROR(INDEX('"INCC-FGV"'!$B$2:$B$800,MATCH(B40,'"INCC-FGV"'!$A$2:$A$800,0)),$K$2),$K$2)</f>
        <v>0.341236953179939</v>
      </c>
      <c r="M40" s="139" t="n">
        <f aca="false">'CP RESUMO'!AM20</f>
        <v>100</v>
      </c>
      <c r="N40" s="140" t="n">
        <f aca="false">MAX(0,M40-M39)</f>
        <v>0</v>
      </c>
      <c r="O40" s="139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28950.3264622572</v>
      </c>
      <c r="E41" s="45" t="n">
        <f aca="false">L41+D41/$K$2</f>
        <v>22.2739024069832</v>
      </c>
      <c r="F41" s="117" t="n">
        <f aca="false">IF($K$9=0,0,E41/$K$9)</f>
        <v>0.0105034163248563</v>
      </c>
      <c r="G41" s="117" t="n">
        <f aca="false">G40+F41</f>
        <v>0.997111596710624</v>
      </c>
      <c r="H41" s="138" t="n">
        <v>67560.5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RESUMO'!AN20</f>
        <v>100</v>
      </c>
      <c r="N41" s="140" t="n">
        <f aca="false">MAX(0,M41-M40)</f>
        <v>0</v>
      </c>
      <c r="O41" s="139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67560.5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0.997111596710624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RESUMO'!AO20</f>
        <v>100</v>
      </c>
      <c r="N42" s="140" t="n">
        <f aca="false">MAX(0,M42-M41)</f>
        <v>0</v>
      </c>
      <c r="O42" s="139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0.997111596710624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RESUMO'!AP20</f>
        <v>100</v>
      </c>
      <c r="N43" s="140" t="n">
        <f aca="false">MAX(0,M43-M42)</f>
        <v>0</v>
      </c>
      <c r="O43" s="139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0.997111596710624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RESUMO'!AQ20</f>
        <v>100</v>
      </c>
      <c r="N44" s="140" t="n">
        <f aca="false">MAX(0,M44-M43)</f>
        <v>0</v>
      </c>
      <c r="O44" s="139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0.997111596710624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RESUMO'!AR20</f>
        <v>100</v>
      </c>
      <c r="N45" s="140" t="n">
        <f aca="false">MAX(0,M45-M44)</f>
        <v>0</v>
      </c>
      <c r="O45" s="139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HISTORICOS'!AS20)</f>
        <v>7961.24</v>
      </c>
      <c r="D46" s="45" t="n">
        <f aca="false">IF(B46&lt;='VALOR POR PL'!$P$5,0,IF($K$17&gt;0,$K$18*P46/$K$17,0))</f>
        <v>0</v>
      </c>
      <c r="E46" s="45" t="n">
        <f aca="false">L46+D46/$K$2</f>
        <v>6.12524639505379</v>
      </c>
      <c r="F46" s="117" t="n">
        <f aca="false">IF($K$9=0,0,E46/$K$9)</f>
        <v>0.0028884032893762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6.12524639505379</v>
      </c>
      <c r="M46" s="139" t="n">
        <f aca="false">'CP RESUMO'!AS20</f>
        <v>100</v>
      </c>
      <c r="N46" s="140" t="n">
        <f aca="false">MAX(0,M46-M45)</f>
        <v>0</v>
      </c>
      <c r="O46" s="139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RESUMO'!AT20</f>
        <v>100</v>
      </c>
      <c r="N47" s="140" t="n">
        <f aca="false">MAX(0,M47-M46)</f>
        <v>0</v>
      </c>
      <c r="O47" s="139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RESUMO'!AU20</f>
        <v>100</v>
      </c>
      <c r="N48" s="140" t="n">
        <f aca="false">MAX(0,M48-M47)</f>
        <v>0</v>
      </c>
      <c r="O48" s="139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RESUMO'!AV20</f>
        <v>100</v>
      </c>
      <c r="N49" s="140" t="n">
        <f aca="false">MAX(0,M49-M48)</f>
        <v>0</v>
      </c>
      <c r="O49" s="139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RESUMO'!AW20</f>
        <v>100</v>
      </c>
      <c r="N50" s="140" t="n">
        <f aca="false">MAX(0,M50-M49)</f>
        <v>0</v>
      </c>
      <c r="O50" s="139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RESUMO'!AX20</f>
        <v>100</v>
      </c>
      <c r="N51" s="140" t="n">
        <f aca="false">MAX(0,M51-M50)</f>
        <v>0</v>
      </c>
      <c r="O51" s="139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RESUMO'!AY20</f>
        <v>100</v>
      </c>
      <c r="N52" s="140" t="n">
        <f aca="false">MAX(0,M52-M51)</f>
        <v>0</v>
      </c>
      <c r="O52" s="139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RESUMO'!AZ20</f>
        <v>100</v>
      </c>
      <c r="N53" s="140" t="n">
        <f aca="false">MAX(0,M53-M52)</f>
        <v>0</v>
      </c>
      <c r="O53" s="139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RESUMO'!BA20</f>
        <v>100</v>
      </c>
      <c r="N54" s="140" t="n">
        <f aca="false">MAX(0,M54-M53)</f>
        <v>0</v>
      </c>
      <c r="O54" s="139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RESUMO'!BB20</f>
        <v>100</v>
      </c>
      <c r="N55" s="140" t="n">
        <f aca="false">MAX(0,M55-M54)</f>
        <v>0</v>
      </c>
      <c r="O55" s="139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RESUMO'!BC20</f>
        <v>100</v>
      </c>
      <c r="N56" s="140" t="n">
        <f aca="false">MAX(0,M56-M55)</f>
        <v>0</v>
      </c>
      <c r="O56" s="139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RESUMO'!BD20</f>
        <v>100</v>
      </c>
      <c r="N57" s="140" t="n">
        <f aca="false">MAX(0,M57-M56)</f>
        <v>0</v>
      </c>
      <c r="O57" s="139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RESUMO'!BE20</f>
        <v>100</v>
      </c>
      <c r="N58" s="140" t="n">
        <f aca="false">MAX(0,M58-M57)</f>
        <v>0</v>
      </c>
      <c r="O58" s="139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RESUMO'!BF20</f>
        <v>100</v>
      </c>
      <c r="N59" s="140" t="n">
        <f aca="false">MAX(0,M59-M58)</f>
        <v>0</v>
      </c>
      <c r="O59" s="139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RESUMO'!BG20</f>
        <v>100</v>
      </c>
      <c r="N60" s="140" t="n">
        <f aca="false">MAX(0,M60-M59)</f>
        <v>0</v>
      </c>
      <c r="O60" s="139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RESUMO'!BH20</f>
        <v>100</v>
      </c>
      <c r="N61" s="140" t="n">
        <f aca="false">MAX(0,M61-M60)</f>
        <v>0</v>
      </c>
      <c r="O61" s="139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RESUMO'!BI20</f>
        <v>100</v>
      </c>
      <c r="N62" s="140" t="n">
        <f aca="false">MAX(0,M62-M61)</f>
        <v>0</v>
      </c>
      <c r="O62" s="139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RESUMO'!BJ20</f>
        <v>100</v>
      </c>
      <c r="N63" s="140" t="n">
        <f aca="false">MAX(0,M63-M62)</f>
        <v>0</v>
      </c>
      <c r="O63" s="139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RESUMO'!BK20</f>
        <v>100</v>
      </c>
      <c r="N64" s="140" t="n">
        <f aca="false">MAX(0,M64-M63)</f>
        <v>0</v>
      </c>
      <c r="O64" s="139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RESUMO'!BL20</f>
        <v>100</v>
      </c>
      <c r="N65" s="140" t="n">
        <f aca="false">MAX(0,M65-M64)</f>
        <v>0</v>
      </c>
      <c r="O65" s="139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RESUMO'!BM20</f>
        <v>100</v>
      </c>
      <c r="N66" s="140" t="n">
        <f aca="false">MAX(0,M66-M65)</f>
        <v>0</v>
      </c>
      <c r="O66" s="139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RESUMO'!BN20</f>
        <v>100</v>
      </c>
      <c r="N67" s="140" t="n">
        <f aca="false">MAX(0,M67-M66)</f>
        <v>0</v>
      </c>
      <c r="O67" s="139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RESUMO'!BO20</f>
        <v>100</v>
      </c>
      <c r="N68" s="140" t="n">
        <f aca="false">MAX(0,M68-M67)</f>
        <v>0</v>
      </c>
      <c r="O68" s="139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RESUMO'!BP20</f>
        <v>100</v>
      </c>
      <c r="N69" s="140" t="n">
        <f aca="false">MAX(0,M69-M68)</f>
        <v>0</v>
      </c>
      <c r="O69" s="139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RESUMO'!BQ20</f>
        <v>100</v>
      </c>
      <c r="N70" s="140" t="n">
        <f aca="false">MAX(0,M70-M69)</f>
        <v>0</v>
      </c>
      <c r="O70" s="139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RESUMO'!BR20</f>
        <v>100</v>
      </c>
      <c r="N71" s="140" t="n">
        <f aca="false">MAX(0,M71-M70)</f>
        <v>0</v>
      </c>
      <c r="O71" s="139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RESUMO'!BS20</f>
        <v>100</v>
      </c>
      <c r="N72" s="140" t="n">
        <f aca="false">MAX(0,M72-M71)</f>
        <v>0</v>
      </c>
      <c r="O72" s="139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RESUMO'!BT20</f>
        <v>100</v>
      </c>
      <c r="N73" s="140" t="n">
        <f aca="false">MAX(0,M73-M72)</f>
        <v>0</v>
      </c>
      <c r="O73" s="139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RESUMO'!BU20</f>
        <v>100</v>
      </c>
      <c r="N74" s="140" t="n">
        <f aca="false">MAX(0,M74-M73)</f>
        <v>0</v>
      </c>
      <c r="O74" s="139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RESUMO'!BV20</f>
        <v>100</v>
      </c>
      <c r="N75" s="140" t="n">
        <f aca="false">MAX(0,M75-M74)</f>
        <v>0</v>
      </c>
      <c r="O75" s="139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RESUMO'!BW20</f>
        <v>100</v>
      </c>
      <c r="N76" s="140" t="n">
        <f aca="false">MAX(0,M76-M75)</f>
        <v>0</v>
      </c>
      <c r="O76" s="139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2381464.98</v>
      </c>
      <c r="D78" s="61" t="n">
        <f aca="false">SUM(D5:D76)</f>
        <v>241644.945403447</v>
      </c>
      <c r="E78" s="61" t="n">
        <f aca="false">SUM(E5:E76)</f>
        <v>2120.63406020308</v>
      </c>
      <c r="F78" s="145" t="n">
        <f aca="false">SUM(F5:F76)</f>
        <v>1</v>
      </c>
      <c r="H78" s="61" t="n">
        <f aca="false">SUM(H5:H76)</f>
        <v>563919.49</v>
      </c>
      <c r="L78" s="61" t="n">
        <f aca="false">SUM(L5:L76)</f>
        <v>1934.71643547183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-3.12638803734444E-013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HISTORICOS'!D21)</f>
        <v>154289.15</v>
      </c>
      <c r="D5" s="45" t="n">
        <f aca="false">IF(B5&lt;='VALOR POR PL'!$P$5,0,IF($K$17&gt;0,$K$18*P5/$K$17,0))</f>
        <v>0</v>
      </c>
      <c r="E5" s="45" t="n">
        <f aca="false">L5+D5/$K$2</f>
        <v>135.620043530569</v>
      </c>
      <c r="F5" s="117" t="n">
        <f aca="false">IF($K$9=0,0,E5/$K$9)</f>
        <v>0.00618158445019873</v>
      </c>
      <c r="G5" s="117" t="n">
        <f aca="false">F5</f>
        <v>0.00618158445019873</v>
      </c>
      <c r="H5" s="138"/>
      <c r="I5" s="42" t="s">
        <v>3894</v>
      </c>
      <c r="J5" s="56" t="n">
        <f aca="false">'VALOR POR PL'!F27</f>
        <v>27534260.67</v>
      </c>
      <c r="K5" s="56" t="n">
        <f aca="false">'VALOR POR PL'!G27</f>
        <v>23572.727452</v>
      </c>
      <c r="L5" s="56" t="n">
        <f aca="false">'DADOS HISTORICOS'!$BZ$21</f>
        <v>135.620043530569</v>
      </c>
      <c r="M5" s="139" t="n">
        <f aca="false">'CP RESUMO'!D21</f>
        <v>0</v>
      </c>
      <c r="N5" s="140" t="n">
        <v>0</v>
      </c>
      <c r="O5" s="139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0.00618158445019873</v>
      </c>
      <c r="H6" s="138"/>
      <c r="I6" s="42" t="s">
        <v>3895</v>
      </c>
      <c r="K6" s="52" t="n">
        <f aca="false">'VALOR POR PL'!H27</f>
        <v>21947.2844099111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RESUMO'!E21</f>
        <v>0</v>
      </c>
      <c r="N6" s="140" t="n">
        <f aca="false">MAX(0,M6-M5)</f>
        <v>0</v>
      </c>
      <c r="O6" s="139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HISTORICOS'!F21)</f>
        <v>1352.4</v>
      </c>
      <c r="D7" s="45" t="n">
        <f aca="false">IF(B7&lt;='VALOR POR PL'!$P$5,0,IF($K$17&gt;0,$K$18*P7/$K$17,0))</f>
        <v>0</v>
      </c>
      <c r="E7" s="45" t="n">
        <f aca="false">L7+D7/$K$2</f>
        <v>1.15217993226981</v>
      </c>
      <c r="F7" s="117" t="n">
        <f aca="false">IF($K$9=0,0,E7/$K$9)</f>
        <v>5.25165555749487E-005</v>
      </c>
      <c r="G7" s="117" t="n">
        <f aca="false">G6+F7</f>
        <v>0.00623410100577368</v>
      </c>
      <c r="H7" s="138"/>
      <c r="I7" s="42" t="s">
        <v>3896</v>
      </c>
      <c r="J7" s="45" t="n">
        <f aca="false">C78+D78</f>
        <v>28045891.8578509</v>
      </c>
      <c r="L7" s="45" t="n">
        <f aca="false">C7/IF(B7&lt;='VALOR POR PL'!$P$5,IFERROR(INDEX('"INCC-FGV"'!$B$2:$B$800,MATCH(B7,'"INCC-FGV"'!$A$2:$A$800,0)),$K$2),$K$2)</f>
        <v>1.15217993226981</v>
      </c>
      <c r="M7" s="139" t="n">
        <f aca="false">'CP RESUMO'!F21</f>
        <v>0</v>
      </c>
      <c r="N7" s="140" t="n">
        <f aca="false">MAX(0,M7-M6)</f>
        <v>0</v>
      </c>
      <c r="O7" s="139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HISTORICOS'!G21)</f>
        <v>7094.97</v>
      </c>
      <c r="D8" s="45" t="n">
        <f aca="false">IF(B8&lt;='VALOR POR PL'!$P$5,0,IF($K$17&gt;0,$K$18*P8/$K$17,0))</f>
        <v>0</v>
      </c>
      <c r="E8" s="45" t="n">
        <f aca="false">L8+D8/$K$2</f>
        <v>6.02092183715693</v>
      </c>
      <c r="F8" s="117" t="n">
        <f aca="false">IF($K$9=0,0,E8/$K$9)</f>
        <v>0.000274434632488832</v>
      </c>
      <c r="G8" s="117" t="n">
        <f aca="false">G7+F8</f>
        <v>0.00650853563826251</v>
      </c>
      <c r="H8" s="138"/>
      <c r="I8" s="42" t="s">
        <v>3897</v>
      </c>
      <c r="K8" s="66" t="n">
        <f aca="false">SUM(L5:L76)</f>
        <v>13356.4448308982</v>
      </c>
      <c r="L8" s="45" t="n">
        <f aca="false">C8/IF(B8&lt;='VALOR POR PL'!$P$5,IFERROR(INDEX('"INCC-FGV"'!$B$2:$B$800,MATCH(B8,'"INCC-FGV"'!$A$2:$A$800,0)),$K$2),$K$2)</f>
        <v>6.02092183715693</v>
      </c>
      <c r="M8" s="139" t="n">
        <f aca="false">'CP RESUMO'!G21</f>
        <v>0</v>
      </c>
      <c r="N8" s="140" t="n">
        <f aca="false">MAX(0,M8-M7)</f>
        <v>0</v>
      </c>
      <c r="O8" s="139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HISTORICOS'!H21)</f>
        <v>5516.1</v>
      </c>
      <c r="D9" s="45" t="n">
        <f aca="false">IF(B9&lt;='VALOR POR PL'!$P$5,0,IF($K$17&gt;0,$K$18*P9/$K$17,0))</f>
        <v>0</v>
      </c>
      <c r="E9" s="45" t="n">
        <f aca="false">L9+D9/$K$2</f>
        <v>4.65705104933717</v>
      </c>
      <c r="F9" s="117" t="n">
        <f aca="false">IF($K$9=0,0,E9/$K$9)</f>
        <v>0.000212269172026002</v>
      </c>
      <c r="G9" s="117" t="n">
        <f aca="false">G8+F9</f>
        <v>0.00672080481028852</v>
      </c>
      <c r="H9" s="138"/>
      <c r="I9" s="42" t="s">
        <v>3898</v>
      </c>
      <c r="J9" s="45" t="n">
        <f aca="false">C78+D78</f>
        <v>28045891.8578509</v>
      </c>
      <c r="K9" s="45" t="n">
        <f aca="false">E78</f>
        <v>21939.3659705174</v>
      </c>
      <c r="L9" s="45" t="n">
        <f aca="false">C9/IF(B9&lt;='VALOR POR PL'!$P$5,IFERROR(INDEX('"INCC-FGV"'!$B$2:$B$800,MATCH(B9,'"INCC-FGV"'!$A$2:$A$800,0)),$K$2),$K$2)</f>
        <v>4.65705104933717</v>
      </c>
      <c r="M9" s="139" t="n">
        <f aca="false">'CP RESUMO'!H21</f>
        <v>0</v>
      </c>
      <c r="N9" s="140" t="n">
        <f aca="false">MAX(0,M9-M8)</f>
        <v>0</v>
      </c>
      <c r="O9" s="139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HISTORICOS'!I21)</f>
        <v>3460.6</v>
      </c>
      <c r="D10" s="45" t="n">
        <f aca="false">IF(B10&lt;='VALOR POR PL'!$P$5,0,IF($K$17&gt;0,$K$18*P10/$K$17,0))</f>
        <v>0</v>
      </c>
      <c r="E10" s="45" t="n">
        <f aca="false">L10+D10/$K$2</f>
        <v>2.90482797754101</v>
      </c>
      <c r="F10" s="117" t="n">
        <f aca="false">IF($K$9=0,0,E10/$K$9)</f>
        <v>0.000132402548981798</v>
      </c>
      <c r="G10" s="117" t="n">
        <f aca="false">G9+F10</f>
        <v>0.00685320735927031</v>
      </c>
      <c r="H10" s="138"/>
      <c r="I10" s="42" t="s">
        <v>3899</v>
      </c>
      <c r="K10" s="52" t="n">
        <f aca="false">IF(K6-K8&gt;0,(K6-K8)*'VALOR POR PL'!$G$65,K6-K8)</f>
        <v>8582.92113961915</v>
      </c>
      <c r="L10" s="45" t="n">
        <f aca="false">C10/IF(B10&lt;='VALOR POR PL'!$P$5,IFERROR(INDEX('"INCC-FGV"'!$B$2:$B$800,MATCH(B10,'"INCC-FGV"'!$A$2:$A$800,0)),$K$2),$K$2)</f>
        <v>2.90482797754101</v>
      </c>
      <c r="M10" s="139" t="n">
        <f aca="false">'CP RESUMO'!I21</f>
        <v>0</v>
      </c>
      <c r="N10" s="140" t="n">
        <f aca="false">MAX(0,M10-M9)</f>
        <v>0</v>
      </c>
      <c r="O10" s="139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HISTORICOS'!J21)</f>
        <v>11932.23</v>
      </c>
      <c r="D11" s="45" t="n">
        <f aca="false">IF(B11&lt;='VALOR POR PL'!$P$5,0,IF($K$17&gt;0,$K$18*P11/$K$17,0))</f>
        <v>0</v>
      </c>
      <c r="E11" s="45" t="n">
        <f aca="false">L11+D11/$K$2</f>
        <v>9.94759522437931</v>
      </c>
      <c r="F11" s="117" t="n">
        <f aca="false">IF($K$9=0,0,E11/$K$9)</f>
        <v>0.000453413067531082</v>
      </c>
      <c r="G11" s="117" t="n">
        <f aca="false">G10+F11</f>
        <v>0.0073066204268014</v>
      </c>
      <c r="H11" s="138"/>
      <c r="I11" s="42" t="s">
        <v>3900</v>
      </c>
      <c r="K11" s="56" t="n">
        <f aca="false">SUMPRODUCT((B5:B76&gt;'VALOR POR PL'!$P$5)*H5:H76)</f>
        <v>12284085.03</v>
      </c>
      <c r="L11" s="45" t="n">
        <f aca="false">C11/IF(B11&lt;='VALOR POR PL'!$P$5,IFERROR(INDEX('"INCC-FGV"'!$B$2:$B$800,MATCH(B11,'"INCC-FGV"'!$A$2:$A$800,0)),$K$2),$K$2)</f>
        <v>9.94759522437931</v>
      </c>
      <c r="M11" s="139" t="n">
        <f aca="false">'CP RESUMO'!J21</f>
        <v>0.14</v>
      </c>
      <c r="N11" s="140" t="n">
        <f aca="false">MAX(0,M11-M10)</f>
        <v>0.14</v>
      </c>
      <c r="O11" s="139" t="n">
        <f aca="false">IF(B11&lt;='VALOR POR PL'!$P$5,'CP RESUMO'!J63,"")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HISTORICOS'!K21)</f>
        <v>46566.89</v>
      </c>
      <c r="D12" s="45" t="n">
        <f aca="false">IF(B12&lt;='VALOR POR PL'!$P$5,0,IF($K$17&gt;0,$K$18*P12/$K$17,0))</f>
        <v>0</v>
      </c>
      <c r="E12" s="45" t="n">
        <f aca="false">L12+D12/$K$2</f>
        <v>38.470058349188</v>
      </c>
      <c r="F12" s="117" t="n">
        <f aca="false">IF($K$9=0,0,E12/$K$9)</f>
        <v>0.00175347174575988</v>
      </c>
      <c r="G12" s="117" t="n">
        <f aca="false">G11+F12</f>
        <v>0.00906009217256128</v>
      </c>
      <c r="H12" s="138"/>
      <c r="I12" s="42" t="s">
        <v>3901</v>
      </c>
      <c r="K12" s="139" t="n">
        <f aca="false">SUMPRODUCT((B5:B76&gt;'VALOR POR PL'!$P$5)*N5:N76)</f>
        <v>34.38</v>
      </c>
      <c r="L12" s="45" t="n">
        <f aca="false">C12/IF(B12&lt;='VALOR POR PL'!$P$5,IFERROR(INDEX('"INCC-FGV"'!$B$2:$B$800,MATCH(B12,'"INCC-FGV"'!$A$2:$A$800,0)),$K$2),$K$2)</f>
        <v>38.470058349188</v>
      </c>
      <c r="M12" s="139" t="n">
        <f aca="false">'CP RESUMO'!K21</f>
        <v>0.71</v>
      </c>
      <c r="N12" s="140" t="n">
        <f aca="false">MAX(0,M12-M11)</f>
        <v>0.57</v>
      </c>
      <c r="O12" s="139" t="n">
        <f aca="false">IF(B12&lt;='VALOR POR PL'!$P$5,'CP RESUMO'!K63,"")</f>
        <v>0.71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HISTORICOS'!L21)</f>
        <v>189195.17</v>
      </c>
      <c r="D13" s="45" t="n">
        <f aca="false">IF(B13&lt;='VALOR POR PL'!$P$5,0,IF($K$17&gt;0,$K$18*P13/$K$17,0))</f>
        <v>0</v>
      </c>
      <c r="E13" s="45" t="n">
        <f aca="false">L13+D13/$K$2</f>
        <v>155.497852398196</v>
      </c>
      <c r="F13" s="117" t="n">
        <f aca="false">IF($K$9=0,0,E13/$K$9)</f>
        <v>0.00708761832986232</v>
      </c>
      <c r="G13" s="117" t="n">
        <f aca="false">G12+F13</f>
        <v>0.0161477105024236</v>
      </c>
      <c r="H13" s="138"/>
      <c r="I13" s="42" t="s">
        <v>3902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155.497852398196</v>
      </c>
      <c r="M13" s="139" t="n">
        <f aca="false">'CP RESUMO'!L21</f>
        <v>1.96</v>
      </c>
      <c r="N13" s="140" t="n">
        <f aca="false">MAX(0,M13-M12)</f>
        <v>1.25</v>
      </c>
      <c r="O13" s="139" t="n">
        <f aca="false">IF(B13&lt;='VALOR POR PL'!$P$5,'CP RESUMO'!L63,"")</f>
        <v>1.87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HISTORICOS'!M21)</f>
        <v>282352.35</v>
      </c>
      <c r="D14" s="45" t="n">
        <f aca="false">IF(B14&lt;='VALOR POR PL'!$P$5,0,IF($K$17&gt;0,$K$18*P14/$K$17,0))</f>
        <v>0</v>
      </c>
      <c r="E14" s="45" t="n">
        <f aca="false">L14+D14/$K$2</f>
        <v>231.674293352107</v>
      </c>
      <c r="F14" s="117" t="n">
        <f aca="false">IF($K$9=0,0,E14/$K$9)</f>
        <v>0.0105597533521906</v>
      </c>
      <c r="G14" s="117" t="n">
        <f aca="false">G13+F14</f>
        <v>0.0267074638546142</v>
      </c>
      <c r="H14" s="138"/>
      <c r="I14" s="42" t="s">
        <v>3903</v>
      </c>
      <c r="K14" s="58" t="n">
        <f aca="false">IFERROR(INDEX('CP RESUMO'!$D$63:$BW$63,MATCH('VALOR POR PL'!$P$5,'CP RESUMO'!$D$4:$BW$4,0))/100,0)</f>
        <v>0.5339</v>
      </c>
      <c r="L14" s="45" t="n">
        <f aca="false">C14/IF(B14&lt;='VALOR POR PL'!$P$5,IFERROR(INDEX('"INCC-FGV"'!$B$2:$B$800,MATCH(B14,'"INCC-FGV"'!$A$2:$A$800,0)),$K$2),$K$2)</f>
        <v>231.674293352107</v>
      </c>
      <c r="M14" s="139" t="n">
        <f aca="false">'CP RESUMO'!M21</f>
        <v>4.98</v>
      </c>
      <c r="N14" s="140" t="n">
        <f aca="false">MAX(0,M14-M13)</f>
        <v>3.02</v>
      </c>
      <c r="O14" s="139" t="n">
        <f aca="false">IF(B14&lt;='VALOR POR PL'!$P$5,'CP RESUMO'!M63,"")</f>
        <v>4.98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HISTORICOS'!N21)</f>
        <v>488907.9</v>
      </c>
      <c r="D15" s="45" t="n">
        <f aca="false">IF(B15&lt;='VALOR POR PL'!$P$5,0,IF($K$17&gt;0,$K$18*P15/$K$17,0))</f>
        <v>0</v>
      </c>
      <c r="E15" s="45" t="n">
        <f aca="false">L15+D15/$K$2</f>
        <v>399.971775816538</v>
      </c>
      <c r="F15" s="117" t="n">
        <f aca="false">IF($K$9=0,0,E15/$K$9)</f>
        <v>0.0182307809785401</v>
      </c>
      <c r="G15" s="117" t="n">
        <f aca="false">G14+F15</f>
        <v>0.0449382448331543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399.971775816538</v>
      </c>
      <c r="M15" s="139" t="n">
        <f aca="false">'CP RESUMO'!N21</f>
        <v>7.58</v>
      </c>
      <c r="N15" s="140" t="n">
        <f aca="false">MAX(0,M15-M14)</f>
        <v>2.6</v>
      </c>
      <c r="O15" s="139" t="n">
        <f aca="false">IF(B15&lt;='VALOR POR PL'!$P$5,'CP RESUMO'!N63,"")</f>
        <v>7.68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HISTORICOS'!O21)</f>
        <v>759547.22</v>
      </c>
      <c r="D16" s="45" t="n">
        <f aca="false">IF(B16&lt;='VALOR POR PL'!$P$5,0,IF($K$17&gt;0,$K$18*P16/$K$17,0))</f>
        <v>0</v>
      </c>
      <c r="E16" s="45" t="n">
        <f aca="false">L16+D16/$K$2</f>
        <v>619.718316983958</v>
      </c>
      <c r="F16" s="117" t="n">
        <f aca="false">IF($K$9=0,0,E16/$K$9)</f>
        <v>0.0282468653750865</v>
      </c>
      <c r="G16" s="117" t="n">
        <f aca="false">G15+F16</f>
        <v>0.0731851102082408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619.718316983958</v>
      </c>
      <c r="M16" s="139" t="n">
        <f aca="false">'CP RESUMO'!O21</f>
        <v>12.61</v>
      </c>
      <c r="N16" s="140" t="n">
        <f aca="false">MAX(0,M16-M15)</f>
        <v>5.03</v>
      </c>
      <c r="O16" s="139" t="n">
        <f aca="false">IF(B16&lt;='VALOR POR PL'!$P$5,'CP RESUMO'!O63,"")</f>
        <v>10.87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HISTORICOS'!P21)</f>
        <v>1210391.79</v>
      </c>
      <c r="D17" s="45" t="n">
        <f aca="false">IF(B17&lt;='VALOR POR PL'!$P$5,0,IF($K$17&gt;0,$K$18*P17/$K$17,0))</f>
        <v>0</v>
      </c>
      <c r="E17" s="45" t="n">
        <f aca="false">L17+D17/$K$2</f>
        <v>985.531856165438</v>
      </c>
      <c r="F17" s="117" t="n">
        <f aca="false">IF($K$9=0,0,E17/$K$9)</f>
        <v>0.044920708168587</v>
      </c>
      <c r="G17" s="117" t="n">
        <f aca="false">G16+F17</f>
        <v>0.118105818376828</v>
      </c>
      <c r="H17" s="138"/>
      <c r="I17" s="42" t="s">
        <v>3907</v>
      </c>
      <c r="K17" s="45" t="n">
        <f aca="false">SUM(P5:P76)</f>
        <v>34.38</v>
      </c>
      <c r="L17" s="45" t="n">
        <f aca="false">C17/IF(B17&lt;='VALOR POR PL'!$P$5,IFERROR(INDEX('"INCC-FGV"'!$B$2:$B$800,MATCH(B17,'"INCC-FGV"'!$A$2:$A$800,0)),$K$2),$K$2)</f>
        <v>985.531856165438</v>
      </c>
      <c r="M17" s="139" t="n">
        <f aca="false">'CP RESUMO'!P21</f>
        <v>14.15</v>
      </c>
      <c r="N17" s="140" t="n">
        <f aca="false">MAX(0,M17-M16)</f>
        <v>1.54</v>
      </c>
      <c r="O17" s="139" t="n">
        <f aca="false">IF(B17&lt;='VALOR POR PL'!$P$5,'CP RESUMO'!P63,"")</f>
        <v>14.15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HISTORICOS'!Q21)</f>
        <v>1025636.7</v>
      </c>
      <c r="D18" s="45" t="n">
        <f aca="false">IF(B18&lt;='VALOR POR PL'!$P$5,0,IF($K$17&gt;0,$K$18*P18/$K$17,0))</f>
        <v>0</v>
      </c>
      <c r="E18" s="45" t="n">
        <f aca="false">L18+D18/$K$2</f>
        <v>829.10820703682</v>
      </c>
      <c r="F18" s="117" t="n">
        <f aca="false">IF($K$9=0,0,E18/$K$9)</f>
        <v>0.0377908918676591</v>
      </c>
      <c r="G18" s="117" t="n">
        <f aca="false">G17+F18</f>
        <v>0.155896710244487</v>
      </c>
      <c r="H18" s="138"/>
      <c r="I18" s="42" t="s">
        <v>3908</v>
      </c>
      <c r="K18" s="45" t="n">
        <f aca="false">MAX(0,K10)*$K$2</f>
        <v>11155583.0878509</v>
      </c>
      <c r="L18" s="45" t="n">
        <f aca="false">C18/IF(B18&lt;='VALOR POR PL'!$P$5,IFERROR(INDEX('"INCC-FGV"'!$B$2:$B$800,MATCH(B18,'"INCC-FGV"'!$A$2:$A$800,0)),$K$2),$K$2)</f>
        <v>829.10820703682</v>
      </c>
      <c r="M18" s="139" t="n">
        <f aca="false">'CP RESUMO'!Q21</f>
        <v>19.57</v>
      </c>
      <c r="N18" s="140" t="n">
        <f aca="false">MAX(0,M18-M17)</f>
        <v>5.42</v>
      </c>
      <c r="O18" s="139" t="n">
        <f aca="false">IF(B18&lt;='VALOR POR PL'!$P$5,'CP RESUMO'!Q63,"")</f>
        <v>19.43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HISTORICOS'!R21)</f>
        <v>928706.83</v>
      </c>
      <c r="D19" s="45" t="n">
        <f aca="false">IF(B19&lt;='VALOR POR PL'!$P$5,0,IF($K$17&gt;0,$K$18*P19/$K$17,0))</f>
        <v>0</v>
      </c>
      <c r="E19" s="45" t="n">
        <f aca="false">L19+D19/$K$2</f>
        <v>748.666710735594</v>
      </c>
      <c r="F19" s="117" t="n">
        <f aca="false">IF($K$9=0,0,E19/$K$9)</f>
        <v>0.0341243549034949</v>
      </c>
      <c r="G19" s="117" t="n">
        <f aca="false">G18+F19</f>
        <v>0.190021065147982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748.666710735594</v>
      </c>
      <c r="M19" s="139" t="n">
        <f aca="false">'CP RESUMO'!R21</f>
        <v>24.5</v>
      </c>
      <c r="N19" s="140" t="n">
        <f aca="false">MAX(0,M19-M18)</f>
        <v>4.93</v>
      </c>
      <c r="O19" s="139" t="n">
        <f aca="false">IF(B19&lt;='VALOR POR PL'!$P$5,'CP RESUMO'!R63,"")</f>
        <v>24.66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HISTORICOS'!S21)</f>
        <v>1400160.04</v>
      </c>
      <c r="D20" s="45" t="n">
        <f aca="false">IF(B20&lt;='VALOR POR PL'!$P$5,0,IF($K$17&gt;0,$K$18*P20/$K$17,0))</f>
        <v>0</v>
      </c>
      <c r="E20" s="45" t="n">
        <f aca="false">L20+D20/$K$2</f>
        <v>1122.65985450388</v>
      </c>
      <c r="F20" s="117" t="n">
        <f aca="false">IF($K$9=0,0,E20/$K$9)</f>
        <v>0.0511710254531756</v>
      </c>
      <c r="G20" s="117" t="n">
        <f aca="false">G19+F20</f>
        <v>0.241192090601157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1122.65985450388</v>
      </c>
      <c r="M20" s="139" t="n">
        <f aca="false">'CP RESUMO'!S21</f>
        <v>30.59</v>
      </c>
      <c r="N20" s="140" t="n">
        <f aca="false">MAX(0,M20-M19)</f>
        <v>6.09</v>
      </c>
      <c r="O20" s="139" t="n">
        <f aca="false">IF(B20&lt;='VALOR POR PL'!$P$5,'CP RESUMO'!S63,"")</f>
        <v>29.79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HISTORICOS'!T21)</f>
        <v>940649.35</v>
      </c>
      <c r="D21" s="45" t="n">
        <f aca="false">IF(B21&lt;='VALOR POR PL'!$P$5,0,IF($K$17&gt;0,$K$18*P21/$K$17,0))</f>
        <v>0</v>
      </c>
      <c r="E21" s="45" t="n">
        <f aca="false">L21+D21/$K$2</f>
        <v>746.753349337754</v>
      </c>
      <c r="F21" s="117" t="n">
        <f aca="false">IF($K$9=0,0,E21/$K$9)</f>
        <v>0.0340371435683811</v>
      </c>
      <c r="G21" s="117" t="n">
        <f aca="false">G20+F21</f>
        <v>0.275229234169539</v>
      </c>
      <c r="H21" s="138"/>
      <c r="K21" s="143"/>
      <c r="L21" s="45" t="n">
        <f aca="false">C21/IF(B21&lt;='VALOR POR PL'!$P$5,IFERROR(INDEX('"INCC-FGV"'!$B$2:$B$800,MATCH(B21,'"INCC-FGV"'!$A$2:$A$800,0)),$K$2),$K$2)</f>
        <v>746.753349337754</v>
      </c>
      <c r="M21" s="139" t="n">
        <f aca="false">'CP RESUMO'!T21</f>
        <v>36.45</v>
      </c>
      <c r="N21" s="140" t="n">
        <f aca="false">MAX(0,M21-M20)</f>
        <v>5.86</v>
      </c>
      <c r="O21" s="139" t="n">
        <f aca="false">IF(B21&lt;='VALOR POR PL'!$P$5,'CP RESUMO'!T63,"")</f>
        <v>35.91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HISTORICOS'!U21)</f>
        <v>1499313.56</v>
      </c>
      <c r="D22" s="45" t="n">
        <f aca="false">IF(B22&lt;='VALOR POR PL'!$P$5,0,IF($K$17&gt;0,$K$18*P22/$K$17,0))</f>
        <v>0</v>
      </c>
      <c r="E22" s="45" t="n">
        <f aca="false">L22+D22/$K$2</f>
        <v>1179.91615611929</v>
      </c>
      <c r="F22" s="117" t="n">
        <f aca="false">IF($K$9=0,0,E22/$K$9)</f>
        <v>0.0537807773344448</v>
      </c>
      <c r="G22" s="117" t="n">
        <f aca="false">G21+F22</f>
        <v>0.329010011503983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1179.91615611929</v>
      </c>
      <c r="M22" s="139" t="n">
        <f aca="false">'CP RESUMO'!U21</f>
        <v>40.6</v>
      </c>
      <c r="N22" s="140" t="n">
        <f aca="false">MAX(0,M22-M21)</f>
        <v>4.15</v>
      </c>
      <c r="O22" s="139" t="n">
        <f aca="false">IF(B22&lt;='VALOR POR PL'!$P$5,'CP RESUMO'!U63,"")</f>
        <v>41.3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HISTORICOS'!V21)</f>
        <v>1378371.53</v>
      </c>
      <c r="D23" s="45" t="n">
        <f aca="false">IF(B23&lt;='VALOR POR PL'!$P$5,0,IF($K$17&gt;0,$K$18*P23/$K$17,0))</f>
        <v>0</v>
      </c>
      <c r="E23" s="45" t="n">
        <f aca="false">L23+D23/$K$2</f>
        <v>1076.31376006234</v>
      </c>
      <c r="F23" s="117" t="n">
        <f aca="false">IF($K$9=0,0,E23/$K$9)</f>
        <v>0.0490585626543958</v>
      </c>
      <c r="G23" s="117" t="n">
        <f aca="false">G22+F23</f>
        <v>0.378068574158379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1076.31376006234</v>
      </c>
      <c r="M23" s="139" t="n">
        <f aca="false">'CP RESUMO'!V21</f>
        <v>46.15</v>
      </c>
      <c r="N23" s="140" t="n">
        <f aca="false">MAX(0,M23-M22)</f>
        <v>5.55</v>
      </c>
      <c r="O23" s="139" t="n">
        <f aca="false">IF(B23&lt;='VALOR POR PL'!$P$5,'CP RESUMO'!V63,"")</f>
        <v>46.28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HISTORICOS'!W21)</f>
        <v>2181699.11</v>
      </c>
      <c r="D24" s="45" t="n">
        <f aca="false">IF(B24&lt;='VALOR POR PL'!$P$5,0,IF($K$17&gt;0,$K$18*P24/$K$17,0))</f>
        <v>0</v>
      </c>
      <c r="E24" s="45" t="n">
        <f aca="false">L24+D24/$K$2</f>
        <v>1693.2991444633</v>
      </c>
      <c r="F24" s="117" t="n">
        <f aca="false">IF($K$9=0,0,E24/$K$9)</f>
        <v>0.077180860501566</v>
      </c>
      <c r="G24" s="117" t="n">
        <f aca="false">G23+F24</f>
        <v>0.455249434659945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1693.2991444633</v>
      </c>
      <c r="M24" s="139" t="n">
        <f aca="false">'CP RESUMO'!W21</f>
        <v>49.62</v>
      </c>
      <c r="N24" s="140" t="n">
        <f aca="false">MAX(0,M24-M23)</f>
        <v>3.47</v>
      </c>
      <c r="O24" s="139" t="n">
        <f aca="false">IF(B24&lt;='VALOR POR PL'!$P$5,'CP RESUMO'!W63,"")</f>
        <v>51.32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HISTORICOS'!X21)</f>
        <v>1406972.34</v>
      </c>
      <c r="D25" s="45" t="n">
        <f aca="false">IF(B25&lt;='VALOR POR PL'!$P$5,0,IF($K$17&gt;0,$K$18*P25/$K$17,0))</f>
        <v>0</v>
      </c>
      <c r="E25" s="45" t="n">
        <f aca="false">L25+D25/$K$2</f>
        <v>1084.88262295385</v>
      </c>
      <c r="F25" s="117" t="n">
        <f aca="false">IF($K$9=0,0,E25/$K$9)</f>
        <v>0.0494491328697349</v>
      </c>
      <c r="G25" s="117" t="n">
        <f aca="false">G24+F25</f>
        <v>0.50469856752968</v>
      </c>
      <c r="H25" s="138"/>
      <c r="L25" s="45" t="n">
        <f aca="false">C25/IF(B25&lt;='VALOR POR PL'!$P$5,IFERROR(INDEX('"INCC-FGV"'!$B$2:$B$800,MATCH(B25,'"INCC-FGV"'!$A$2:$A$800,0)),$K$2),$K$2)</f>
        <v>1084.88262295385</v>
      </c>
      <c r="M25" s="139" t="n">
        <f aca="false">'CP RESUMO'!X21</f>
        <v>57.54</v>
      </c>
      <c r="N25" s="140" t="n">
        <f aca="false">MAX(0,M25-M24)</f>
        <v>7.92</v>
      </c>
      <c r="O25" s="139" t="n">
        <f aca="false">IF(B25&lt;='VALOR POR PL'!$P$5,'CP RESUMO'!X63,"")</f>
        <v>53.39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HISTORICOS'!Y21)</f>
        <v>1568346.71</v>
      </c>
      <c r="D26" s="45" t="n">
        <f aca="false">IF(B26&lt;='VALOR POR PL'!$P$5,0,IF($K$17&gt;0,$K$18*P26/$K$17,0))</f>
        <v>0</v>
      </c>
      <c r="E26" s="45" t="n">
        <f aca="false">L26+D26/$K$2</f>
        <v>1206.66002175816</v>
      </c>
      <c r="F26" s="117" t="n">
        <f aca="false">IF($K$9=0,0,E26/$K$9)</f>
        <v>0.0549997672393862</v>
      </c>
      <c r="G26" s="117" t="n">
        <f aca="false">G25+F26</f>
        <v>0.559698334769066</v>
      </c>
      <c r="H26" s="138" t="n">
        <v>142689.15</v>
      </c>
      <c r="L26" s="45" t="n">
        <f aca="false">C26/IF(B26&lt;='VALOR POR PL'!$P$5,IFERROR(INDEX('"INCC-FGV"'!$B$2:$B$800,MATCH(B26,'"INCC-FGV"'!$A$2:$A$800,0)),$K$2),$K$2)</f>
        <v>1206.66002175816</v>
      </c>
      <c r="M26" s="139" t="n">
        <f aca="false">'CP RESUMO'!Y21</f>
        <v>65.62</v>
      </c>
      <c r="N26" s="140" t="n">
        <f aca="false">MAX(0,M26-M25)</f>
        <v>8.08000000000001</v>
      </c>
      <c r="O26" s="139" t="n">
        <f aca="false">IF(B26&lt;='VALOR POR PL'!$P$5,'CP RESUMO'!Y63,"")</f>
        <v>53.39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HISTORICOS'!Z21)</f>
        <v>1027092.01</v>
      </c>
      <c r="D27" s="45" t="n">
        <f aca="false">IF(B27&lt;='VALOR POR PL'!$P$5,0,IF($K$17&gt;0,$K$18*P27/$K$17,0))</f>
        <v>2024748.06481063</v>
      </c>
      <c r="E27" s="45" t="n">
        <f aca="false">L27+D27/$K$2</f>
        <v>2348.0352830105</v>
      </c>
      <c r="F27" s="117" t="n">
        <f aca="false">IF($K$9=0,0,E27/$K$9)</f>
        <v>0.107023844087648</v>
      </c>
      <c r="G27" s="117" t="n">
        <f aca="false">G26+F27</f>
        <v>0.666722178856714</v>
      </c>
      <c r="H27" s="138" t="n">
        <v>2077147.76</v>
      </c>
      <c r="L27" s="45" t="n">
        <f aca="false">C27/IF(B27&lt;='VALOR POR PL'!$P$5,IFERROR(INDEX('"INCC-FGV"'!$B$2:$B$800,MATCH(B27,'"INCC-FGV"'!$A$2:$A$800,0)),$K$2),$K$2)</f>
        <v>790.227606709639</v>
      </c>
      <c r="M27" s="139" t="n">
        <f aca="false">'CP RESUMO'!Z21</f>
        <v>71.86</v>
      </c>
      <c r="N27" s="140" t="n">
        <f aca="false">MAX(0,M27-M26)</f>
        <v>6.24</v>
      </c>
      <c r="O27" s="139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6.24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HISTORICOS'!AA21)</f>
        <v>68947.56</v>
      </c>
      <c r="D28" s="45" t="n">
        <f aca="false">IF(B28&lt;='VALOR POR PL'!$P$5,0,IF($K$17&gt;0,$K$18*P28/$K$17,0))</f>
        <v>2018258.48767983</v>
      </c>
      <c r="E28" s="45" t="n">
        <f aca="false">L28+D28/$K$2</f>
        <v>1605.86181540631</v>
      </c>
      <c r="F28" s="117" t="n">
        <f aca="false">IF($K$9=0,0,E28/$K$9)</f>
        <v>0.0731954523008689</v>
      </c>
      <c r="G28" s="117" t="n">
        <f aca="false">G27+F28</f>
        <v>0.739917631157583</v>
      </c>
      <c r="H28" s="138" t="n">
        <v>1447640.69</v>
      </c>
      <c r="L28" s="45" t="n">
        <f aca="false">C28/IF(B28&lt;='VALOR POR PL'!$P$5,IFERROR(INDEX('"INCC-FGV"'!$B$2:$B$800,MATCH(B28,'"INCC-FGV"'!$A$2:$A$800,0)),$K$2),$K$2)</f>
        <v>53.0471124269278</v>
      </c>
      <c r="M28" s="139" t="n">
        <f aca="false">'CP RESUMO'!AA21</f>
        <v>78.08</v>
      </c>
      <c r="N28" s="140" t="n">
        <f aca="false">MAX(0,M28-M27)</f>
        <v>6.22</v>
      </c>
      <c r="O28" s="139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6.22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HISTORICOS'!AB21)</f>
        <v>4373.98</v>
      </c>
      <c r="D29" s="45" t="n">
        <f aca="false">IF(B29&lt;='VALOR POR PL'!$P$5,0,IF($K$17&gt;0,$K$18*P29/$K$17,0))</f>
        <v>979926.146751297</v>
      </c>
      <c r="E29" s="45" t="n">
        <f aca="false">L29+D29/$K$2</f>
        <v>757.304239419283</v>
      </c>
      <c r="F29" s="117" t="n">
        <f aca="false">IF($K$9=0,0,E29/$K$9)</f>
        <v>0.034518054917219</v>
      </c>
      <c r="G29" s="117" t="n">
        <f aca="false">G28+F29</f>
        <v>0.774435686074802</v>
      </c>
      <c r="H29" s="138" t="n">
        <v>1549101.6</v>
      </c>
      <c r="L29" s="45" t="n">
        <f aca="false">C29/IF(B29&lt;='VALOR POR PL'!$P$5,IFERROR(INDEX('"INCC-FGV"'!$B$2:$B$800,MATCH(B29,'"INCC-FGV"'!$A$2:$A$800,0)),$K$2),$K$2)</f>
        <v>3.36526787624005</v>
      </c>
      <c r="M29" s="139" t="n">
        <f aca="false">'CP RESUMO'!AB21</f>
        <v>81.1</v>
      </c>
      <c r="N29" s="140" t="n">
        <f aca="false">MAX(0,M29-M28)</f>
        <v>3.02</v>
      </c>
      <c r="O29" s="139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3.02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HISTORICOS'!AC21)</f>
        <v>81622.54</v>
      </c>
      <c r="D30" s="45" t="n">
        <f aca="false">IF(B30&lt;='VALOR POR PL'!$P$5,0,IF($K$17&gt;0,$K$18*P30/$K$17,0))</f>
        <v>1207061.34632941</v>
      </c>
      <c r="E30" s="45" t="n">
        <f aca="false">L30+D30/$K$2</f>
        <v>991.4920702181</v>
      </c>
      <c r="F30" s="117" t="n">
        <f aca="false">IF($K$9=0,0,E30/$K$9)</f>
        <v>0.045192375730023</v>
      </c>
      <c r="G30" s="117" t="n">
        <f aca="false">G29+F30</f>
        <v>0.819628061804825</v>
      </c>
      <c r="H30" s="138" t="n">
        <v>780084.33</v>
      </c>
      <c r="L30" s="45" t="n">
        <f aca="false">C30/IF(B30&lt;='VALOR POR PL'!$P$5,IFERROR(INDEX('"INCC-FGV"'!$B$2:$B$800,MATCH(B30,'"INCC-FGV"'!$A$2:$A$800,0)),$K$2),$K$2)</f>
        <v>62.7990324233579</v>
      </c>
      <c r="M30" s="139" t="n">
        <f aca="false">'CP RESUMO'!AC21</f>
        <v>84.82</v>
      </c>
      <c r="N30" s="140" t="n">
        <f aca="false">MAX(0,M30-M29)</f>
        <v>3.72</v>
      </c>
      <c r="O30" s="139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3.72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HISTORICOS'!AD21)</f>
        <v>370.41</v>
      </c>
      <c r="D31" s="45" t="n">
        <f aca="false">IF(B31&lt;='VALOR POR PL'!$P$5,0,IF($K$17&gt;0,$K$18*P31/$K$17,0))</f>
        <v>1460154.85443074</v>
      </c>
      <c r="E31" s="45" t="n">
        <f aca="false">L31+D31/$K$2</f>
        <v>1123.7039846606</v>
      </c>
      <c r="F31" s="117" t="n">
        <f aca="false">IF($K$9=0,0,E31/$K$9)</f>
        <v>0.0512186170817636</v>
      </c>
      <c r="G31" s="117" t="n">
        <f aca="false">G30+F31</f>
        <v>0.870846678886589</v>
      </c>
      <c r="H31" s="138" t="n">
        <v>766819.67</v>
      </c>
      <c r="L31" s="45" t="n">
        <f aca="false">C31/IF(B31&lt;='VALOR POR PL'!$P$5,IFERROR(INDEX('"INCC-FGV"'!$B$2:$B$800,MATCH(B31,'"INCC-FGV"'!$A$2:$A$800,0)),$K$2),$K$2)</f>
        <v>0.284987328254377</v>
      </c>
      <c r="M31" s="139" t="n">
        <f aca="false">'CP RESUMO'!AD21</f>
        <v>89.32</v>
      </c>
      <c r="N31" s="140" t="n">
        <f aca="false">MAX(0,M31-M30)</f>
        <v>4.5</v>
      </c>
      <c r="O31" s="139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4.5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HISTORICOS'!AE21)</f>
        <v>1697.43</v>
      </c>
      <c r="D32" s="45" t="n">
        <f aca="false">IF(B32&lt;='VALOR POR PL'!$P$5,0,IF($K$17&gt;0,$K$18*P32/$K$17,0))</f>
        <v>1482868.37438856</v>
      </c>
      <c r="E32" s="45" t="n">
        <f aca="false">L32+D32/$K$2</f>
        <v>1142.20037852786</v>
      </c>
      <c r="F32" s="117" t="n">
        <f aca="false">IF($K$9=0,0,E32/$K$9)</f>
        <v>0.0520616858327983</v>
      </c>
      <c r="G32" s="117" t="n">
        <f aca="false">G31+F32</f>
        <v>0.922908364719387</v>
      </c>
      <c r="H32" s="138" t="n">
        <v>1103402.63</v>
      </c>
      <c r="L32" s="45" t="n">
        <f aca="false">C32/IF(B32&lt;='VALOR POR PL'!$P$5,IFERROR(INDEX('"INCC-FGV"'!$B$2:$B$800,MATCH(B32,'"INCC-FGV"'!$A$2:$A$800,0)),$K$2),$K$2)</f>
        <v>1.30597457033781</v>
      </c>
      <c r="M32" s="139" t="n">
        <f aca="false">'CP RESUMO'!AE21</f>
        <v>93.89</v>
      </c>
      <c r="N32" s="140" t="n">
        <f aca="false">MAX(0,M32-M31)</f>
        <v>4.57000000000001</v>
      </c>
      <c r="O32" s="139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4.57000000000001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HISTORICOS'!AF21)</f>
        <v>0</v>
      </c>
      <c r="D33" s="45" t="n">
        <f aca="false">IF(B33&lt;='VALOR POR PL'!$P$5,0,IF($K$17&gt;0,$K$18*P33/$K$17,0))</f>
        <v>1271957.11763745</v>
      </c>
      <c r="E33" s="45" t="n">
        <f aca="false">L33+D33/$K$2</f>
        <v>978.622771009514</v>
      </c>
      <c r="F33" s="117" t="n">
        <f aca="false">IF($K$9=0,0,E33/$K$9)</f>
        <v>0.0446057909022809</v>
      </c>
      <c r="G33" s="117" t="n">
        <f aca="false">G32+F33</f>
        <v>0.967514155621668</v>
      </c>
      <c r="H33" s="138" t="n">
        <v>1150785.12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RESUMO'!AF21</f>
        <v>97.81</v>
      </c>
      <c r="N33" s="140" t="n">
        <f aca="false">MAX(0,M33-M32)</f>
        <v>3.92</v>
      </c>
      <c r="O33" s="139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3.92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584061.941772296</v>
      </c>
      <c r="E34" s="45" t="n">
        <f aca="false">L34+D34/$K$2</f>
        <v>449.367598932939</v>
      </c>
      <c r="F34" s="117" t="n">
        <f aca="false">IF($K$9=0,0,E34/$K$9)</f>
        <v>0.0204822509245167</v>
      </c>
      <c r="G34" s="117" t="n">
        <f aca="false">G33+F34</f>
        <v>0.987996406546184</v>
      </c>
      <c r="H34" s="138" t="n">
        <v>1154087.84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RESUMO'!AG21</f>
        <v>99.61</v>
      </c>
      <c r="N34" s="140" t="n">
        <f aca="false">MAX(0,M34-M33)</f>
        <v>1.8</v>
      </c>
      <c r="O34" s="139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1.8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90854.0798312466</v>
      </c>
      <c r="E35" s="45" t="n">
        <f aca="false">L35+D35/$K$2</f>
        <v>69.9016265006798</v>
      </c>
      <c r="F35" s="117" t="n">
        <f aca="false">IF($K$9=0,0,E35/$K$9)</f>
        <v>0.0031861279215915</v>
      </c>
      <c r="G35" s="117" t="n">
        <f aca="false">G34+F35</f>
        <v>0.991182534467776</v>
      </c>
      <c r="H35" s="138" t="n">
        <v>882759.36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RESUMO'!AH21</f>
        <v>99.89</v>
      </c>
      <c r="N35" s="140" t="n">
        <f aca="false">MAX(0,M35-M34)</f>
        <v>0.280000000000001</v>
      </c>
      <c r="O35" s="139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0.280000000000001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35692.674219418</v>
      </c>
      <c r="E36" s="45" t="n">
        <f aca="false">L36+D36/$K$2</f>
        <v>27.461353268124</v>
      </c>
      <c r="F36" s="117" t="n">
        <f aca="false">IF($K$9=0,0,E36/$K$9)</f>
        <v>0.00125169311205379</v>
      </c>
      <c r="G36" s="117" t="n">
        <f aca="false">G35+F36</f>
        <v>0.99243422757983</v>
      </c>
      <c r="H36" s="138" t="n">
        <v>117562.47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RESUMO'!AI21</f>
        <v>100</v>
      </c>
      <c r="N36" s="140" t="n">
        <f aca="false">MAX(0,M36-M35)</f>
        <v>0.109999999999999</v>
      </c>
      <c r="O36" s="139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0.109999999999999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0.99243422757983</v>
      </c>
      <c r="H37" s="138" t="n">
        <v>125968.6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RESUMO'!AJ21</f>
        <v>100</v>
      </c>
      <c r="N37" s="140" t="n">
        <f aca="false">MAX(0,M37-M36)</f>
        <v>0</v>
      </c>
      <c r="O37" s="139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0.99243422757983</v>
      </c>
      <c r="H38" s="138" t="n">
        <v>18360.71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RESUMO'!AK21</f>
        <v>100</v>
      </c>
      <c r="N38" s="140" t="n">
        <f aca="false">MAX(0,M38-M37)</f>
        <v>0</v>
      </c>
      <c r="O38" s="139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0.99243422757983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RESUMO'!AL21</f>
        <v>100</v>
      </c>
      <c r="N39" s="140" t="n">
        <f aca="false">MAX(0,M39-M38)</f>
        <v>0</v>
      </c>
      <c r="O39" s="139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HISTORICOS'!AM21)</f>
        <v>1469.74</v>
      </c>
      <c r="D40" s="45" t="n">
        <f aca="false">IF(B40&lt;='VALOR POR PL'!$P$5,0,IF($K$17&gt;0,$K$18*P40/$K$17,0))</f>
        <v>0</v>
      </c>
      <c r="E40" s="45" t="n">
        <f aca="false">L40+D40/$K$2</f>
        <v>1.13079364981666</v>
      </c>
      <c r="F40" s="117" t="n">
        <f aca="false">IF($K$9=0,0,E40/$K$9)</f>
        <v>5.15417652149221E-005</v>
      </c>
      <c r="G40" s="117" t="n">
        <f aca="false">G39+F40</f>
        <v>0.992485769345045</v>
      </c>
      <c r="H40" s="138"/>
      <c r="L40" s="45" t="n">
        <f aca="false">C40/IF(B40&lt;='VALOR POR PL'!$P$5,IFERROR(INDEX('"INCC-FGV"'!$B$2:$B$800,MATCH(B40,'"INCC-FGV"'!$A$2:$A$800,0)),$K$2),$K$2)</f>
        <v>1.13079364981666</v>
      </c>
      <c r="M40" s="139" t="n">
        <f aca="false">'CP RESUMO'!AM21</f>
        <v>100</v>
      </c>
      <c r="N40" s="140" t="n">
        <f aca="false">MAX(0,M40-M39)</f>
        <v>0</v>
      </c>
      <c r="O40" s="139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HISTORICOS'!AN21)</f>
        <v>68.6</v>
      </c>
      <c r="D41" s="45" t="n">
        <f aca="false">IF(B41&lt;='VALOR POR PL'!$P$5,0,IF($K$17&gt;0,$K$18*P41/$K$17,0))</f>
        <v>0</v>
      </c>
      <c r="E41" s="45" t="n">
        <f aca="false">L41+D41/$K$2</f>
        <v>0.052779705510786</v>
      </c>
      <c r="F41" s="117" t="n">
        <f aca="false">IF($K$9=0,0,E41/$K$9)</f>
        <v>2.40570787604859E-006</v>
      </c>
      <c r="G41" s="117" t="n">
        <f aca="false">G40+F41</f>
        <v>0.992488175052921</v>
      </c>
      <c r="H41" s="138"/>
      <c r="L41" s="45" t="n">
        <f aca="false">C41/IF(B41&lt;='VALOR POR PL'!$P$5,IFERROR(INDEX('"INCC-FGV"'!$B$2:$B$800,MATCH(B41,'"INCC-FGV"'!$A$2:$A$800,0)),$K$2),$K$2)</f>
        <v>0.052779705510786</v>
      </c>
      <c r="M41" s="139" t="n">
        <f aca="false">'CP RESUMO'!AN21</f>
        <v>100</v>
      </c>
      <c r="N41" s="140" t="n">
        <f aca="false">MAX(0,M41-M40)</f>
        <v>0</v>
      </c>
      <c r="O41" s="139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HISTORICOS'!AO21)</f>
        <v>31884.45</v>
      </c>
      <c r="D42" s="45" t="n">
        <f aca="false">IF(B42&lt;='VALOR POR PL'!$P$5,0,IF($K$17&gt;0,$K$18*P42/$K$17,0))</f>
        <v>0</v>
      </c>
      <c r="E42" s="45" t="n">
        <f aca="false">L42+D42/$K$2</f>
        <v>24.5313685331397</v>
      </c>
      <c r="F42" s="117" t="n">
        <f aca="false">IF($K$9=0,0,E42/$K$9)</f>
        <v>0.0011181439138262</v>
      </c>
      <c r="G42" s="117" t="n">
        <f aca="false">G41+F42</f>
        <v>0.993606318966747</v>
      </c>
      <c r="H42" s="138"/>
      <c r="L42" s="45" t="n">
        <f aca="false">C42/IF(B42&lt;='VALOR POR PL'!$P$5,IFERROR(INDEX('"INCC-FGV"'!$B$2:$B$800,MATCH(B42,'"INCC-FGV"'!$A$2:$A$800,0)),$K$2),$K$2)</f>
        <v>24.5313685331397</v>
      </c>
      <c r="M42" s="139" t="n">
        <f aca="false">'CP RESUMO'!AO21</f>
        <v>100</v>
      </c>
      <c r="N42" s="140" t="n">
        <f aca="false">MAX(0,M42-M41)</f>
        <v>0</v>
      </c>
      <c r="O42" s="139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0.993606318966747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RESUMO'!AP21</f>
        <v>100</v>
      </c>
      <c r="N43" s="140" t="n">
        <f aca="false">MAX(0,M43-M42)</f>
        <v>0</v>
      </c>
      <c r="O43" s="139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HISTORICOS'!AQ21)</f>
        <v>1272.28</v>
      </c>
      <c r="D44" s="45" t="n">
        <f aca="false">IF(B44&lt;='VALOR POR PL'!$P$5,0,IF($K$17&gt;0,$K$18*P44/$K$17,0))</f>
        <v>0</v>
      </c>
      <c r="E44" s="45" t="n">
        <f aca="false">L44+D44/$K$2</f>
        <v>0.978871191359516</v>
      </c>
      <c r="F44" s="117" t="n">
        <f aca="false">IF($K$9=0,0,E44/$K$9)</f>
        <v>4.46171139437187E-005</v>
      </c>
      <c r="G44" s="117" t="n">
        <f aca="false">G43+F44</f>
        <v>0.993650936080691</v>
      </c>
      <c r="H44" s="138"/>
      <c r="L44" s="45" t="n">
        <f aca="false">C44/IF(B44&lt;='VALOR POR PL'!$P$5,IFERROR(INDEX('"INCC-FGV"'!$B$2:$B$800,MATCH(B44,'"INCC-FGV"'!$A$2:$A$800,0)),$K$2),$K$2)</f>
        <v>0.978871191359516</v>
      </c>
      <c r="M44" s="139" t="n">
        <f aca="false">'CP RESUMO'!AQ21</f>
        <v>100</v>
      </c>
      <c r="N44" s="140" t="n">
        <f aca="false">MAX(0,M44-M43)</f>
        <v>0</v>
      </c>
      <c r="O44" s="139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0.993650936080691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RESUMO'!AR21</f>
        <v>100</v>
      </c>
      <c r="N45" s="140" t="n">
        <f aca="false">MAX(0,M45-M44)</f>
        <v>0</v>
      </c>
      <c r="O45" s="139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HISTORICOS'!AS21)</f>
        <v>181046.83</v>
      </c>
      <c r="D46" s="45" t="n">
        <f aca="false">IF(B46&lt;='VALOR POR PL'!$P$5,0,IF($K$17&gt;0,$K$18*P46/$K$17,0))</f>
        <v>0</v>
      </c>
      <c r="E46" s="45" t="n">
        <f aca="false">L46+D46/$K$2</f>
        <v>139.294436895938</v>
      </c>
      <c r="F46" s="117" t="n">
        <f aca="false">IF($K$9=0,0,E46/$K$9)</f>
        <v>0.00634906391930947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139.294436895938</v>
      </c>
      <c r="M46" s="139" t="n">
        <f aca="false">'CP RESUMO'!AS21</f>
        <v>100</v>
      </c>
      <c r="N46" s="140" t="n">
        <f aca="false">MAX(0,M46-M45)</f>
        <v>0</v>
      </c>
      <c r="O46" s="139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 t="n">
        <v>1110364.25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RESUMO'!AT21</f>
        <v>100</v>
      </c>
      <c r="N47" s="140" t="n">
        <f aca="false">MAX(0,M47-M46)</f>
        <v>0</v>
      </c>
      <c r="O47" s="139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HISTORICOS'!AU21)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RESUMO'!AU21</f>
        <v>100</v>
      </c>
      <c r="N48" s="140" t="n">
        <f aca="false">MAX(0,M48-M47)</f>
        <v>0</v>
      </c>
      <c r="O48" s="139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RESUMO'!AV21</f>
        <v>100</v>
      </c>
      <c r="N49" s="140" t="n">
        <f aca="false">MAX(0,M49-M48)</f>
        <v>0</v>
      </c>
      <c r="O49" s="139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RESUMO'!AW21</f>
        <v>100</v>
      </c>
      <c r="N50" s="140" t="n">
        <f aca="false">MAX(0,M50-M49)</f>
        <v>0</v>
      </c>
      <c r="O50" s="139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RESUMO'!AX21</f>
        <v>100</v>
      </c>
      <c r="N51" s="140" t="n">
        <f aca="false">MAX(0,M51-M50)</f>
        <v>0</v>
      </c>
      <c r="O51" s="139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RESUMO'!AY21</f>
        <v>100</v>
      </c>
      <c r="N52" s="140" t="n">
        <f aca="false">MAX(0,M52-M51)</f>
        <v>0</v>
      </c>
      <c r="O52" s="139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RESUMO'!AZ21</f>
        <v>100</v>
      </c>
      <c r="N53" s="140" t="n">
        <f aca="false">MAX(0,M53-M52)</f>
        <v>0</v>
      </c>
      <c r="O53" s="139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RESUMO'!BA21</f>
        <v>100</v>
      </c>
      <c r="N54" s="140" t="n">
        <f aca="false">MAX(0,M54-M53)</f>
        <v>0</v>
      </c>
      <c r="O54" s="139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RESUMO'!BB21</f>
        <v>100</v>
      </c>
      <c r="N55" s="140" t="n">
        <f aca="false">MAX(0,M55-M54)</f>
        <v>0</v>
      </c>
      <c r="O55" s="139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RESUMO'!BC21</f>
        <v>100</v>
      </c>
      <c r="N56" s="140" t="n">
        <f aca="false">MAX(0,M56-M55)</f>
        <v>0</v>
      </c>
      <c r="O56" s="139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RESUMO'!BD21</f>
        <v>100</v>
      </c>
      <c r="N57" s="140" t="n">
        <f aca="false">MAX(0,M57-M56)</f>
        <v>0</v>
      </c>
      <c r="O57" s="139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RESUMO'!BE21</f>
        <v>100</v>
      </c>
      <c r="N58" s="140" t="n">
        <f aca="false">MAX(0,M58-M57)</f>
        <v>0</v>
      </c>
      <c r="O58" s="139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RESUMO'!BF21</f>
        <v>100</v>
      </c>
      <c r="N59" s="140" t="n">
        <f aca="false">MAX(0,M59-M58)</f>
        <v>0</v>
      </c>
      <c r="O59" s="139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RESUMO'!BG21</f>
        <v>100</v>
      </c>
      <c r="N60" s="140" t="n">
        <f aca="false">MAX(0,M60-M59)</f>
        <v>0</v>
      </c>
      <c r="O60" s="139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RESUMO'!BH21</f>
        <v>100</v>
      </c>
      <c r="N61" s="140" t="n">
        <f aca="false">MAX(0,M61-M60)</f>
        <v>0</v>
      </c>
      <c r="O61" s="139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RESUMO'!BI21</f>
        <v>100</v>
      </c>
      <c r="N62" s="140" t="n">
        <f aca="false">MAX(0,M62-M61)</f>
        <v>0</v>
      </c>
      <c r="O62" s="139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RESUMO'!BJ21</f>
        <v>100</v>
      </c>
      <c r="N63" s="140" t="n">
        <f aca="false">MAX(0,M63-M62)</f>
        <v>0</v>
      </c>
      <c r="O63" s="139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RESUMO'!BK21</f>
        <v>100</v>
      </c>
      <c r="N64" s="140" t="n">
        <f aca="false">MAX(0,M64-M63)</f>
        <v>0</v>
      </c>
      <c r="O64" s="139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RESUMO'!BL21</f>
        <v>100</v>
      </c>
      <c r="N65" s="140" t="n">
        <f aca="false">MAX(0,M65-M64)</f>
        <v>0</v>
      </c>
      <c r="O65" s="139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RESUMO'!BM21</f>
        <v>100</v>
      </c>
      <c r="N66" s="140" t="n">
        <f aca="false">MAX(0,M66-M65)</f>
        <v>0</v>
      </c>
      <c r="O66" s="139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RESUMO'!BN21</f>
        <v>100</v>
      </c>
      <c r="N67" s="140" t="n">
        <f aca="false">MAX(0,M67-M66)</f>
        <v>0</v>
      </c>
      <c r="O67" s="139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RESUMO'!BO21</f>
        <v>100</v>
      </c>
      <c r="N68" s="140" t="n">
        <f aca="false">MAX(0,M68-M67)</f>
        <v>0</v>
      </c>
      <c r="O68" s="139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RESUMO'!BP21</f>
        <v>100</v>
      </c>
      <c r="N69" s="140" t="n">
        <f aca="false">MAX(0,M69-M68)</f>
        <v>0</v>
      </c>
      <c r="O69" s="139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RESUMO'!BQ21</f>
        <v>100</v>
      </c>
      <c r="N70" s="140" t="n">
        <f aca="false">MAX(0,M70-M69)</f>
        <v>0</v>
      </c>
      <c r="O70" s="139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RESUMO'!BR21</f>
        <v>100</v>
      </c>
      <c r="N71" s="140" t="n">
        <f aca="false">MAX(0,M71-M70)</f>
        <v>0</v>
      </c>
      <c r="O71" s="139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RESUMO'!BS21</f>
        <v>100</v>
      </c>
      <c r="N72" s="140" t="n">
        <f aca="false">MAX(0,M72-M71)</f>
        <v>0</v>
      </c>
      <c r="O72" s="139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RESUMO'!BT21</f>
        <v>100</v>
      </c>
      <c r="N73" s="140" t="n">
        <f aca="false">MAX(0,M73-M72)</f>
        <v>0</v>
      </c>
      <c r="O73" s="139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RESUMO'!BU21</f>
        <v>100</v>
      </c>
      <c r="N74" s="140" t="n">
        <f aca="false">MAX(0,M74-M73)</f>
        <v>0</v>
      </c>
      <c r="O74" s="139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RESUMO'!BV21</f>
        <v>100</v>
      </c>
      <c r="N75" s="140" t="n">
        <f aca="false">MAX(0,M75-M74)</f>
        <v>0</v>
      </c>
      <c r="O75" s="139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RESUMO'!BW21</f>
        <v>100</v>
      </c>
      <c r="N76" s="140" t="n">
        <f aca="false">MAX(0,M76-M75)</f>
        <v>0</v>
      </c>
      <c r="O76" s="139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16890308.77</v>
      </c>
      <c r="D78" s="61" t="n">
        <f aca="false">SUM(D5:D76)</f>
        <v>11155583.0878509</v>
      </c>
      <c r="E78" s="61" t="n">
        <f aca="false">SUM(E5:E76)</f>
        <v>21939.3659705174</v>
      </c>
      <c r="F78" s="145" t="n">
        <f aca="false">SUM(F5:F76)</f>
        <v>1</v>
      </c>
      <c r="H78" s="61" t="n">
        <f aca="false">SUM(H5:H76)</f>
        <v>12426774.18</v>
      </c>
      <c r="L78" s="61" t="n">
        <f aca="false">SUM(L5:L76)</f>
        <v>13356.4448308982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PL'!F28</f>
        <v>4902992.67</v>
      </c>
      <c r="K5" s="56" t="n">
        <f aca="false">'VALOR POR PL'!G28</f>
        <v>4197.567219</v>
      </c>
      <c r="L5" s="56" t="n">
        <f aca="false">'DADOS HISTORICOS'!$BZ$22</f>
        <v>0</v>
      </c>
      <c r="M5" s="139" t="n">
        <f aca="false">'CP RESUMO'!D22</f>
        <v>0</v>
      </c>
      <c r="N5" s="140" t="n">
        <v>0</v>
      </c>
      <c r="O5" s="139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PL'!H28</f>
        <v>4547.74103701333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RESUMO'!E22</f>
        <v>0</v>
      </c>
      <c r="N6" s="140" t="n">
        <f aca="false">MAX(0,M6-M5)</f>
        <v>0</v>
      </c>
      <c r="O6" s="139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5904178.07545626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RESUMO'!F22</f>
        <v>0</v>
      </c>
      <c r="N7" s="140" t="n">
        <f aca="false">MAX(0,M7-M6)</f>
        <v>0</v>
      </c>
      <c r="O7" s="139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409.38291837981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RESUMO'!G22</f>
        <v>0</v>
      </c>
      <c r="N8" s="140" t="n">
        <f aca="false">MAX(0,M8-M7)</f>
        <v>0</v>
      </c>
      <c r="O8" s="139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5904178.07545626</v>
      </c>
      <c r="K9" s="45" t="n">
        <f aca="false">E78</f>
        <v>4543.92658585863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RESUMO'!H22</f>
        <v>0</v>
      </c>
      <c r="N9" s="140" t="n">
        <f aca="false">MAX(0,M9-M8)</f>
        <v>0</v>
      </c>
      <c r="O9" s="139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4134.54366747882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RESUMO'!I22</f>
        <v>0</v>
      </c>
      <c r="N10" s="140" t="n">
        <f aca="false">MAX(0,M10-M9)</f>
        <v>0</v>
      </c>
      <c r="O10" s="139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5523668.58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RESUMO'!J22</f>
        <v>0</v>
      </c>
      <c r="N11" s="140" t="n">
        <f aca="false">MAX(0,M11-M10)</f>
        <v>0</v>
      </c>
      <c r="O11" s="139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90.48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RESUMO'!K22</f>
        <v>0</v>
      </c>
      <c r="N12" s="140" t="n">
        <f aca="false">MAX(0,M12-M11)</f>
        <v>0</v>
      </c>
      <c r="O12" s="139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RESUMO'!L22</f>
        <v>0</v>
      </c>
      <c r="N13" s="140" t="n">
        <f aca="false">MAX(0,M13-M12)</f>
        <v>0</v>
      </c>
      <c r="O13" s="139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RESUMO'!$D$64:$BW$64,MATCH('VALOR POR PL'!$P$5,'CP RESUMO'!$D$4:$BW$4,0))/100,0)</f>
        <v>0.0629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RESUMO'!M22</f>
        <v>0</v>
      </c>
      <c r="N14" s="140" t="n">
        <f aca="false">MAX(0,M14-M13)</f>
        <v>0</v>
      </c>
      <c r="O14" s="139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RESUMO'!N22</f>
        <v>0</v>
      </c>
      <c r="N15" s="140" t="n">
        <f aca="false">MAX(0,M15-M14)</f>
        <v>0</v>
      </c>
      <c r="O15" s="139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RESUMO'!O22</f>
        <v>0</v>
      </c>
      <c r="N16" s="140" t="n">
        <f aca="false">MAX(0,M16-M15)</f>
        <v>0</v>
      </c>
      <c r="O16" s="139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90.48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RESUMO'!P22</f>
        <v>0</v>
      </c>
      <c r="N17" s="140" t="n">
        <f aca="false">MAX(0,M17-M16)</f>
        <v>0</v>
      </c>
      <c r="O17" s="139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5373840.05545626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RESUMO'!Q22</f>
        <v>0</v>
      </c>
      <c r="N18" s="140" t="n">
        <f aca="false">MAX(0,M18-M17)</f>
        <v>0</v>
      </c>
      <c r="O18" s="139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RESUMO'!R22</f>
        <v>0</v>
      </c>
      <c r="N19" s="140" t="n">
        <f aca="false">MAX(0,M19-M18)</f>
        <v>0</v>
      </c>
      <c r="O19" s="139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RESUMO'!S22</f>
        <v>0</v>
      </c>
      <c r="N20" s="140" t="n">
        <f aca="false">MAX(0,M20-M19)</f>
        <v>0</v>
      </c>
      <c r="O20" s="139" t="n">
        <f aca="false">IF(B20&lt;='VALOR POR PL'!$P$5,'CP RESUMO'!S64,"")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HISTORICOS'!T22)</f>
        <v>7706.5</v>
      </c>
      <c r="D21" s="45" t="n">
        <f aca="false">IF(B21&lt;='VALOR POR PL'!$P$5,0,IF($K$17&gt;0,$K$18*P21/$K$17,0))</f>
        <v>0</v>
      </c>
      <c r="E21" s="45" t="n">
        <f aca="false">L21+D21/$K$2</f>
        <v>6.11795956343498</v>
      </c>
      <c r="F21" s="117" t="n">
        <f aca="false">IF($K$9=0,0,E21/$K$9)</f>
        <v>0.00134640369905512</v>
      </c>
      <c r="G21" s="117" t="n">
        <f aca="false">G20+F21</f>
        <v>0.00134640369905512</v>
      </c>
      <c r="H21" s="138"/>
      <c r="K21" s="143"/>
      <c r="L21" s="45" t="n">
        <f aca="false">C21/IF(B21&lt;='VALOR POR PL'!$P$5,IFERROR(INDEX('"INCC-FGV"'!$B$2:$B$800,MATCH(B21,'"INCC-FGV"'!$A$2:$A$800,0)),$K$2),$K$2)</f>
        <v>6.11795956343498</v>
      </c>
      <c r="M21" s="139" t="n">
        <f aca="false">'CP RESUMO'!T22</f>
        <v>0.17</v>
      </c>
      <c r="N21" s="140" t="n">
        <f aca="false">MAX(0,M21-M20)</f>
        <v>0.17</v>
      </c>
      <c r="O21" s="139" t="n">
        <f aca="false">IF(B21&lt;='VALOR POR PL'!$P$5,'CP RESUMO'!T64,"")</f>
        <v>0.21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HISTORICOS'!U22)</f>
        <v>14902.2</v>
      </c>
      <c r="D22" s="45" t="n">
        <f aca="false">IF(B22&lt;='VALOR POR PL'!$P$5,0,IF($K$17&gt;0,$K$18*P22/$K$17,0))</f>
        <v>0</v>
      </c>
      <c r="E22" s="45" t="n">
        <f aca="false">L22+D22/$K$2</f>
        <v>11.727597889344</v>
      </c>
      <c r="F22" s="117" t="n">
        <f aca="false">IF($K$9=0,0,E22/$K$9)</f>
        <v>0.00258093912120896</v>
      </c>
      <c r="G22" s="117" t="n">
        <f aca="false">G21+F22</f>
        <v>0.00392734282026409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11.727597889344</v>
      </c>
      <c r="M22" s="139" t="n">
        <f aca="false">'CP RESUMO'!U22</f>
        <v>0.71</v>
      </c>
      <c r="N22" s="140" t="n">
        <f aca="false">MAX(0,M22-M21)</f>
        <v>0.54</v>
      </c>
      <c r="O22" s="139" t="n">
        <f aca="false">IF(B22&lt;='VALOR POR PL'!$P$5,'CP RESUMO'!U64,"")</f>
        <v>0.75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HISTORICOS'!V22)</f>
        <v>10188.56</v>
      </c>
      <c r="D23" s="45" t="n">
        <f aca="false">IF(B23&lt;='VALOR POR PL'!$P$5,0,IF($K$17&gt;0,$K$18*P23/$K$17,0))</f>
        <v>0</v>
      </c>
      <c r="E23" s="45" t="n">
        <f aca="false">L23+D23/$K$2</f>
        <v>7.95582837032392</v>
      </c>
      <c r="F23" s="117" t="n">
        <f aca="false">IF($K$9=0,0,E23/$K$9)</f>
        <v>0.00175087079863562</v>
      </c>
      <c r="G23" s="117" t="n">
        <f aca="false">G22+F23</f>
        <v>0.00567821361889971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7.95582837032392</v>
      </c>
      <c r="M23" s="139" t="n">
        <f aca="false">'CP RESUMO'!V22</f>
        <v>2.63</v>
      </c>
      <c r="N23" s="140" t="n">
        <f aca="false">MAX(0,M23-M22)</f>
        <v>1.92</v>
      </c>
      <c r="O23" s="139" t="n">
        <f aca="false">IF(B23&lt;='VALOR POR PL'!$P$5,'CP RESUMO'!V64,"")</f>
        <v>4.96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HISTORICOS'!W22)</f>
        <v>79156.11</v>
      </c>
      <c r="D24" s="45" t="n">
        <f aca="false">IF(B24&lt;='VALOR POR PL'!$P$5,0,IF($K$17&gt;0,$K$18*P24/$K$17,0))</f>
        <v>0</v>
      </c>
      <c r="E24" s="45" t="n">
        <f aca="false">L24+D24/$K$2</f>
        <v>61.4360489618769</v>
      </c>
      <c r="F24" s="117" t="n">
        <f aca="false">IF($K$9=0,0,E24/$K$9)</f>
        <v>0.0135204756945403</v>
      </c>
      <c r="G24" s="117" t="n">
        <f aca="false">G23+F24</f>
        <v>0.01919868931344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61.4360489618769</v>
      </c>
      <c r="M24" s="139" t="n">
        <f aca="false">'CP RESUMO'!W22</f>
        <v>5.43</v>
      </c>
      <c r="N24" s="140" t="n">
        <f aca="false">MAX(0,M24-M23)</f>
        <v>2.8</v>
      </c>
      <c r="O24" s="139" t="n">
        <f aca="false">IF(B24&lt;='VALOR POR PL'!$P$5,'CP RESUMO'!W64,"")</f>
        <v>6.01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HISTORICOS'!X22)</f>
        <v>146083.04</v>
      </c>
      <c r="D25" s="45" t="n">
        <f aca="false">IF(B25&lt;='VALOR POR PL'!$P$5,0,IF($K$17&gt;0,$K$18*P25/$K$17,0))</f>
        <v>0</v>
      </c>
      <c r="E25" s="45" t="n">
        <f aca="false">L25+D25/$K$2</f>
        <v>112.641128115051</v>
      </c>
      <c r="F25" s="117" t="n">
        <f aca="false">IF($K$9=0,0,E25/$K$9)</f>
        <v>0.0247893811633327</v>
      </c>
      <c r="G25" s="117" t="n">
        <f aca="false">G24+F25</f>
        <v>0.0439880704767727</v>
      </c>
      <c r="H25" s="138"/>
      <c r="L25" s="45" t="n">
        <f aca="false">C25/IF(B25&lt;='VALOR POR PL'!$P$5,IFERROR(INDEX('"INCC-FGV"'!$B$2:$B$800,MATCH(B25,'"INCC-FGV"'!$A$2:$A$800,0)),$K$2),$K$2)</f>
        <v>112.641128115051</v>
      </c>
      <c r="M25" s="139" t="n">
        <f aca="false">'CP RESUMO'!X22</f>
        <v>7.15</v>
      </c>
      <c r="N25" s="140" t="n">
        <f aca="false">MAX(0,M25-M24)</f>
        <v>1.72</v>
      </c>
      <c r="O25" s="139" t="n">
        <f aca="false">IF(B25&lt;='VALOR POR PL'!$P$5,'CP RESUMO'!X64,"")</f>
        <v>6.29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HISTORICOS'!Y22)</f>
        <v>141585.41</v>
      </c>
      <c r="D26" s="45" t="n">
        <f aca="false">IF(B26&lt;='VALOR POR PL'!$P$5,0,IF($K$17&gt;0,$K$18*P26/$K$17,0))</f>
        <v>0</v>
      </c>
      <c r="E26" s="45" t="n">
        <f aca="false">L26+D26/$K$2</f>
        <v>108.933472950786</v>
      </c>
      <c r="F26" s="117" t="n">
        <f aca="false">IF($K$9=0,0,E26/$K$9)</f>
        <v>0.0239734227418644</v>
      </c>
      <c r="G26" s="117" t="n">
        <f aca="false">G25+F26</f>
        <v>0.0679614932186371</v>
      </c>
      <c r="H26" s="138" t="n">
        <v>100075.86</v>
      </c>
      <c r="L26" s="45" t="n">
        <f aca="false">C26/IF(B26&lt;='VALOR POR PL'!$P$5,IFERROR(INDEX('"INCC-FGV"'!$B$2:$B$800,MATCH(B26,'"INCC-FGV"'!$A$2:$A$800,0)),$K$2),$K$2)</f>
        <v>108.933472950786</v>
      </c>
      <c r="M26" s="139" t="n">
        <f aca="false">'CP RESUMO'!Y22</f>
        <v>9.52</v>
      </c>
      <c r="N26" s="140" t="n">
        <f aca="false">MAX(0,M26-M25)</f>
        <v>2.37</v>
      </c>
      <c r="O26" s="139" t="n">
        <f aca="false">IF(B26&lt;='VALOR POR PL'!$P$5,'CP RESUMO'!Y64,"")</f>
        <v>6.29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HISTORICOS'!Z22)</f>
        <v>105967.94</v>
      </c>
      <c r="D27" s="45" t="n">
        <f aca="false">IF(B27&lt;='VALOR POR PL'!$P$5,0,IF($K$17&gt;0,$K$18*P27/$K$17,0))</f>
        <v>232224.962608687</v>
      </c>
      <c r="E27" s="45" t="n">
        <f aca="false">L27+D27/$K$2</f>
        <v>260.200026319598</v>
      </c>
      <c r="F27" s="117" t="n">
        <f aca="false">IF($K$9=0,0,E27/$K$9)</f>
        <v>0.0572632548970704</v>
      </c>
      <c r="G27" s="117" t="n">
        <f aca="false">G26+F27</f>
        <v>0.125224748115708</v>
      </c>
      <c r="H27" s="138" t="n">
        <v>122185.65</v>
      </c>
      <c r="L27" s="45" t="n">
        <f aca="false">C27/IF(B27&lt;='VALOR POR PL'!$P$5,IFERROR(INDEX('"INCC-FGV"'!$B$2:$B$800,MATCH(B27,'"INCC-FGV"'!$A$2:$A$800,0)),$K$2),$K$2)</f>
        <v>81.5299805653738</v>
      </c>
      <c r="M27" s="139" t="n">
        <f aca="false">'CP RESUMO'!Z22</f>
        <v>13.43</v>
      </c>
      <c r="N27" s="140" t="n">
        <f aca="false">MAX(0,M27-M26)</f>
        <v>3.91</v>
      </c>
      <c r="O27" s="139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3.91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HISTORICOS'!AA22)</f>
        <v>10756.9</v>
      </c>
      <c r="D28" s="45" t="n">
        <f aca="false">IF(B28&lt;='VALOR POR PL'!$P$5,0,IF($K$17&gt;0,$K$18*P28/$K$17,0))</f>
        <v>156202.468455459</v>
      </c>
      <c r="E28" s="45" t="n">
        <f aca="false">L28+D28/$K$2</f>
        <v>128.455776958396</v>
      </c>
      <c r="F28" s="117" t="n">
        <f aca="false">IF($K$9=0,0,E28/$K$9)</f>
        <v>0.0282697738467362</v>
      </c>
      <c r="G28" s="117" t="n">
        <f aca="false">G27+F28</f>
        <v>0.153494521962444</v>
      </c>
      <c r="H28" s="138" t="n">
        <v>223425.18</v>
      </c>
      <c r="L28" s="45" t="n">
        <f aca="false">C28/IF(B28&lt;='VALOR POR PL'!$P$5,IFERROR(INDEX('"INCC-FGV"'!$B$2:$B$800,MATCH(B28,'"INCC-FGV"'!$A$2:$A$800,0)),$K$2),$K$2)</f>
        <v>8.27618096514539</v>
      </c>
      <c r="M28" s="139" t="n">
        <f aca="false">'CP RESUMO'!AA22</f>
        <v>16.06</v>
      </c>
      <c r="N28" s="140" t="n">
        <f aca="false">MAX(0,M28-M27)</f>
        <v>2.63</v>
      </c>
      <c r="O28" s="139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2.63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HISTORICOS'!AB22)</f>
        <v>0</v>
      </c>
      <c r="D29" s="45" t="n">
        <f aca="false">IF(B29&lt;='VALOR POR PL'!$P$5,0,IF($K$17&gt;0,$K$18*P29/$K$17,0))</f>
        <v>102749.152253971</v>
      </c>
      <c r="E29" s="45" t="n">
        <f aca="false">L29+D29/$K$2</f>
        <v>79.0534985050659</v>
      </c>
      <c r="F29" s="117" t="n">
        <f aca="false">IF($K$9=0,0,E29/$K$9)</f>
        <v>0.017397617899702</v>
      </c>
      <c r="G29" s="117" t="n">
        <f aca="false">G28+F29</f>
        <v>0.170892139862146</v>
      </c>
      <c r="H29" s="138" t="n">
        <v>141968.08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RESUMO'!AB22</f>
        <v>17.79</v>
      </c>
      <c r="N29" s="140" t="n">
        <f aca="false">MAX(0,M29-M28)</f>
        <v>1.73</v>
      </c>
      <c r="O29" s="139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1.73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HISTORICOS'!AC22)</f>
        <v>0</v>
      </c>
      <c r="D30" s="45" t="n">
        <f aca="false">IF(B30&lt;='VALOR POR PL'!$P$5,0,IF($K$17&gt;0,$K$18*P30/$K$17,0))</f>
        <v>299932.496463905</v>
      </c>
      <c r="E30" s="45" t="n">
        <f aca="false">L30+D30/$K$2</f>
        <v>230.763102572591</v>
      </c>
      <c r="F30" s="117" t="n">
        <f aca="false">IF($K$9=0,0,E30/$K$9)</f>
        <v>0.0507849539846792</v>
      </c>
      <c r="G30" s="117" t="n">
        <f aca="false">G29+F30</f>
        <v>0.221677093846825</v>
      </c>
      <c r="H30" s="138" t="n">
        <v>67493.02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RESUMO'!AC22</f>
        <v>22.84</v>
      </c>
      <c r="N30" s="140" t="n">
        <f aca="false">MAX(0,M30-M29)</f>
        <v>5.05</v>
      </c>
      <c r="O30" s="139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5.05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HISTORICOS'!AD22)</f>
        <v>0</v>
      </c>
      <c r="D31" s="45" t="n">
        <f aca="false">IF(B31&lt;='VALOR POR PL'!$P$5,0,IF($K$17&gt;0,$K$18*P31/$K$17,0))</f>
        <v>436535.415645485</v>
      </c>
      <c r="E31" s="45" t="n">
        <f aca="false">L31+D31/$K$2</f>
        <v>335.863129486841</v>
      </c>
      <c r="F31" s="117" t="n">
        <f aca="false">IF($K$9=0,0,E31/$K$9)</f>
        <v>0.0739147350074044</v>
      </c>
      <c r="G31" s="117" t="n">
        <f aca="false">G30+F31</f>
        <v>0.295591828854229</v>
      </c>
      <c r="H31" s="138" t="n">
        <v>194915.2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RESUMO'!AD22</f>
        <v>30.19</v>
      </c>
      <c r="N31" s="140" t="n">
        <f aca="false">MAX(0,M31-M30)</f>
        <v>7.35</v>
      </c>
      <c r="O31" s="139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7.35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HISTORICOS'!AE22)</f>
        <v>0</v>
      </c>
      <c r="D32" s="45" t="n">
        <f aca="false">IF(B32&lt;='VALOR POR PL'!$P$5,0,IF($K$17&gt;0,$K$18*P32/$K$17,0))</f>
        <v>466825.628159661</v>
      </c>
      <c r="E32" s="45" t="n">
        <f aca="false">L32+D32/$K$2</f>
        <v>359.167918063478</v>
      </c>
      <c r="F32" s="117" t="n">
        <f aca="false">IF($K$9=0,0,E32/$K$9)</f>
        <v>0.0790435125385304</v>
      </c>
      <c r="G32" s="117" t="n">
        <f aca="false">G31+F32</f>
        <v>0.37463534139276</v>
      </c>
      <c r="H32" s="138" t="n">
        <v>290918.2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RESUMO'!AE22</f>
        <v>38.05</v>
      </c>
      <c r="N32" s="140" t="n">
        <f aca="false">MAX(0,M32-M31)</f>
        <v>7.86</v>
      </c>
      <c r="O32" s="139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7.86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529781.756130303</v>
      </c>
      <c r="E33" s="45" t="n">
        <f aca="false">L33+D33/$K$2</f>
        <v>407.605321771785</v>
      </c>
      <c r="F33" s="117" t="n">
        <f aca="false">IF($K$9=0,0,E33/$K$9)</f>
        <v>0.0897033246620473</v>
      </c>
      <c r="G33" s="117" t="n">
        <f aca="false">G32+F33</f>
        <v>0.464338666054807</v>
      </c>
      <c r="H33" s="138" t="n">
        <v>326410.22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RESUMO'!AF22</f>
        <v>46.97</v>
      </c>
      <c r="N33" s="140" t="n">
        <f aca="false">MAX(0,M33-M32)</f>
        <v>8.92</v>
      </c>
      <c r="O33" s="139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8.92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483455.54875568</v>
      </c>
      <c r="E34" s="45" t="n">
        <f aca="false">L34+D34/$K$2</f>
        <v>371.962703948691</v>
      </c>
      <c r="F34" s="117" t="n">
        <f aca="false">IF($K$9=0,0,E34/$K$9)</f>
        <v>0.0818593119673839</v>
      </c>
      <c r="G34" s="117" t="n">
        <f aca="false">G33+F34</f>
        <v>0.546197978022191</v>
      </c>
      <c r="H34" s="138" t="n">
        <v>363065.92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RESUMO'!AG22</f>
        <v>55.11</v>
      </c>
      <c r="N34" s="140" t="n">
        <f aca="false">MAX(0,M34-M33)</f>
        <v>8.14</v>
      </c>
      <c r="O34" s="139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8.14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HISTORICOS'!AH22)</f>
        <v>4832.65</v>
      </c>
      <c r="D35" s="45" t="n">
        <f aca="false">IF(B35&lt;='VALOR POR PL'!$P$5,0,IF($K$17&gt;0,$K$18*P35/$K$17,0))</f>
        <v>465637.776688517</v>
      </c>
      <c r="E35" s="45" t="n">
        <f aca="false">L35+D35/$K$2</f>
        <v>361.972165774836</v>
      </c>
      <c r="F35" s="117" t="n">
        <f aca="false">IF($K$9=0,0,E35/$K$9)</f>
        <v>0.0796606544879812</v>
      </c>
      <c r="G35" s="117" t="n">
        <f aca="false">G34+F35</f>
        <v>0.625858632510172</v>
      </c>
      <c r="H35" s="138" t="n">
        <v>385757.54</v>
      </c>
      <c r="L35" s="45" t="n">
        <f aca="false">C35/IF(B35&lt;='VALOR POR PL'!$P$5,IFERROR(INDEX('"INCC-FGV"'!$B$2:$B$800,MATCH(B35,'"INCC-FGV"'!$A$2:$A$800,0)),$K$2),$K$2)</f>
        <v>3.71816098887318</v>
      </c>
      <c r="M35" s="139" t="n">
        <f aca="false">'CP RESUMO'!AH22</f>
        <v>62.95</v>
      </c>
      <c r="N35" s="140" t="n">
        <f aca="false">MAX(0,M35-M34)</f>
        <v>7.84</v>
      </c>
      <c r="O35" s="139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7.84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459104.593597225</v>
      </c>
      <c r="E36" s="45" t="n">
        <f aca="false">L36+D36/$K$2</f>
        <v>353.22748175963</v>
      </c>
      <c r="F36" s="117" t="n">
        <f aca="false">IF($K$9=0,0,E36/$K$9)</f>
        <v>0.0777361770894199</v>
      </c>
      <c r="G36" s="117" t="n">
        <f aca="false">G35+F36</f>
        <v>0.703594809599592</v>
      </c>
      <c r="H36" s="138" t="n">
        <v>438704.65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RESUMO'!AI22</f>
        <v>70.68</v>
      </c>
      <c r="N36" s="140" t="n">
        <f aca="false">MAX(0,M36-M35)</f>
        <v>7.73</v>
      </c>
      <c r="O36" s="139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7.73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483455.548755679</v>
      </c>
      <c r="E37" s="45" t="n">
        <f aca="false">L37+D37/$K$2</f>
        <v>371.962703948691</v>
      </c>
      <c r="F37" s="117" t="n">
        <f aca="false">IF($K$9=0,0,E37/$K$9)</f>
        <v>0.0818593119673838</v>
      </c>
      <c r="G37" s="117" t="n">
        <f aca="false">G36+F37</f>
        <v>0.785454121566976</v>
      </c>
      <c r="H37" s="138" t="n">
        <v>535871.33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RESUMO'!AJ22</f>
        <v>78.82</v>
      </c>
      <c r="N37" s="140" t="n">
        <f aca="false">MAX(0,M37-M36)</f>
        <v>8.13999999999999</v>
      </c>
      <c r="O37" s="139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8.13999999999999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353385.812665393</v>
      </c>
      <c r="E38" s="45" t="n">
        <f aca="false">L38+D38/$K$2</f>
        <v>271.889200060776</v>
      </c>
      <c r="F38" s="117" t="n">
        <f aca="false">IF($K$9=0,0,E38/$K$9)</f>
        <v>0.0598357378631369</v>
      </c>
      <c r="G38" s="117" t="n">
        <f aca="false">G37+F38</f>
        <v>0.845289859430113</v>
      </c>
      <c r="H38" s="138" t="n">
        <v>451505.05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RESUMO'!AK22</f>
        <v>84.77</v>
      </c>
      <c r="N38" s="140" t="n">
        <f aca="false">MAX(0,M38-M37)</f>
        <v>5.95</v>
      </c>
      <c r="O38" s="139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5.95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409214.831809169</v>
      </c>
      <c r="E39" s="45" t="n">
        <f aca="false">L39+D39/$K$2</f>
        <v>314.843124103991</v>
      </c>
      <c r="F39" s="117" t="n">
        <f aca="false">IF($K$9=0,0,E39/$K$9)</f>
        <v>0.0692887788028594</v>
      </c>
      <c r="G39" s="117" t="n">
        <f aca="false">G38+F39</f>
        <v>0.914578638232972</v>
      </c>
      <c r="H39" s="138" t="n">
        <v>304882.28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RESUMO'!AL22</f>
        <v>91.66</v>
      </c>
      <c r="N39" s="140" t="n">
        <f aca="false">MAX(0,M39-M38)</f>
        <v>6.89</v>
      </c>
      <c r="O39" s="139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6.89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231631.036873115</v>
      </c>
      <c r="E40" s="45" t="n">
        <f aca="false">L40+D40/$K$2</f>
        <v>178.213089115467</v>
      </c>
      <c r="F40" s="117" t="n">
        <f aca="false">IF($K$9=0,0,E40/$K$9)</f>
        <v>0.0392200634733167</v>
      </c>
      <c r="G40" s="117" t="n">
        <f aca="false">G39+F40</f>
        <v>0.953798701706289</v>
      </c>
      <c r="H40" s="138" t="n">
        <v>309536.97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RESUMO'!AM22</f>
        <v>95.56</v>
      </c>
      <c r="N40" s="140" t="n">
        <f aca="false">MAX(0,M40-M39)</f>
        <v>3.90000000000001</v>
      </c>
      <c r="O40" s="139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3.90000000000001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HISTORICOS'!AN22)</f>
        <v>0</v>
      </c>
      <c r="D41" s="45" t="n">
        <f aca="false">IF(B41&lt;='VALOR POR PL'!$P$5,0,IF($K$17&gt;0,$K$18*P41/$K$17,0))</f>
        <v>86119.231657953</v>
      </c>
      <c r="E41" s="45" t="n">
        <f aca="false">L41+D41/$K$2</f>
        <v>66.258712619853</v>
      </c>
      <c r="F41" s="117" t="n">
        <f aca="false">IF($K$9=0,0,E41/$K$9)</f>
        <v>0.0145818184708485</v>
      </c>
      <c r="G41" s="117" t="n">
        <f aca="false">G40+F41</f>
        <v>0.968380520177137</v>
      </c>
      <c r="H41" s="138" t="n">
        <v>293245.55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RESUMO'!AN22</f>
        <v>97.01</v>
      </c>
      <c r="N41" s="140" t="n">
        <f aca="false">MAX(0,M41-M40)</f>
        <v>1.45</v>
      </c>
      <c r="O41" s="139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1.45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69489.3110619344</v>
      </c>
      <c r="E42" s="45" t="n">
        <f aca="false">L42+D42/$K$2</f>
        <v>53.46392673464</v>
      </c>
      <c r="F42" s="117" t="n">
        <f aca="false">IF($K$9=0,0,E42/$K$9)</f>
        <v>0.011766019041995</v>
      </c>
      <c r="G42" s="117" t="n">
        <f aca="false">G41+F42</f>
        <v>0.980146539219132</v>
      </c>
      <c r="H42" s="138" t="n">
        <v>220516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RESUMO'!AO22</f>
        <v>98.18</v>
      </c>
      <c r="N42" s="140" t="n">
        <f aca="false">MAX(0,M42-M41)</f>
        <v>1.17</v>
      </c>
      <c r="O42" s="139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1.17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24350.9551584554</v>
      </c>
      <c r="E43" s="45" t="n">
        <f aca="false">L43+D43/$K$2</f>
        <v>18.7352221890617</v>
      </c>
      <c r="F43" s="117" t="n">
        <f aca="false">IF($K$9=0,0,E43/$K$9)</f>
        <v>0.00412313487796402</v>
      </c>
      <c r="G43" s="117" t="n">
        <f aca="false">G42+F43</f>
        <v>0.984269674097096</v>
      </c>
      <c r="H43" s="138" t="n">
        <v>238552.93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RESUMO'!AP22</f>
        <v>98.59</v>
      </c>
      <c r="N43" s="140" t="n">
        <f aca="false">MAX(0,M43-M42)</f>
        <v>0.409999999999997</v>
      </c>
      <c r="O43" s="139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0.409999999999997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0.984269674097096</v>
      </c>
      <c r="H44" s="138" t="n">
        <v>135567.88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RESUMO'!AQ22</f>
        <v>98.59</v>
      </c>
      <c r="N44" s="140" t="n">
        <f aca="false">MAX(0,M44-M43)</f>
        <v>0</v>
      </c>
      <c r="O44" s="139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83743.5287156642</v>
      </c>
      <c r="E45" s="45" t="n">
        <f aca="false">L45+D45/$K$2</f>
        <v>64.4308860648223</v>
      </c>
      <c r="F45" s="117" t="n">
        <f aca="false">IF($K$9=0,0,E45/$K$9)</f>
        <v>0.0141795614095837</v>
      </c>
      <c r="G45" s="117" t="n">
        <f aca="false">G44+F45</f>
        <v>0.99844923550668</v>
      </c>
      <c r="H45" s="138" t="n">
        <v>152441.14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RESUMO'!AR22</f>
        <v>100</v>
      </c>
      <c r="N45" s="140" t="n">
        <f aca="false">MAX(0,M45-M44)</f>
        <v>1.41</v>
      </c>
      <c r="O45" s="139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1.41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0.99844923550668</v>
      </c>
      <c r="H46" s="138" t="n">
        <v>176878.27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RESUMO'!AS22</f>
        <v>100</v>
      </c>
      <c r="N46" s="140" t="n">
        <f aca="false">MAX(0,M46-M45)</f>
        <v>0</v>
      </c>
      <c r="O46" s="139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0.99844923550668</v>
      </c>
      <c r="H47" s="138" t="n">
        <v>83748.01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RESUMO'!AT22</f>
        <v>100</v>
      </c>
      <c r="N47" s="140" t="n">
        <f aca="false">MAX(0,M47-M46)</f>
        <v>0</v>
      </c>
      <c r="O47" s="139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0.99844923550668</v>
      </c>
      <c r="H48" s="138" t="n">
        <v>64421.55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RESUMO'!AU22</f>
        <v>100</v>
      </c>
      <c r="N48" s="140" t="n">
        <f aca="false">MAX(0,M48-M47)</f>
        <v>0</v>
      </c>
      <c r="O48" s="139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0.99844923550668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RESUMO'!AV22</f>
        <v>100</v>
      </c>
      <c r="N49" s="140" t="n">
        <f aca="false">MAX(0,M49-M48)</f>
        <v>0</v>
      </c>
      <c r="O49" s="139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0.99844923550668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RESUMO'!AW22</f>
        <v>100</v>
      </c>
      <c r="N50" s="140" t="n">
        <f aca="false">MAX(0,M50-M49)</f>
        <v>0</v>
      </c>
      <c r="O50" s="139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HISTORICOS'!AX22)</f>
        <v>9158.71</v>
      </c>
      <c r="D51" s="45" t="n">
        <f aca="false">IF(B51&lt;='VALOR POR PL'!$P$5,0,IF($K$17&gt;0,$K$18*P51/$K$17,0))</f>
        <v>0</v>
      </c>
      <c r="E51" s="45" t="n">
        <f aca="false">L51+D51/$K$2</f>
        <v>7.04656000960191</v>
      </c>
      <c r="F51" s="117" t="n">
        <f aca="false">IF($K$9=0,0,E51/$K$9)</f>
        <v>0.00155076449331991</v>
      </c>
      <c r="G51" s="117" t="n">
        <f aca="false">G50+F51</f>
        <v>1</v>
      </c>
      <c r="H51" s="138" t="n">
        <v>1657.96</v>
      </c>
      <c r="L51" s="45" t="n">
        <f aca="false">C51/IF(B51&lt;='VALOR POR PL'!$P$5,IFERROR(INDEX('"INCC-FGV"'!$B$2:$B$800,MATCH(B51,'"INCC-FGV"'!$A$2:$A$800,0)),$K$2),$K$2)</f>
        <v>7.04656000960191</v>
      </c>
      <c r="M51" s="139" t="n">
        <f aca="false">'CP RESUMO'!AX22</f>
        <v>100</v>
      </c>
      <c r="N51" s="140" t="n">
        <f aca="false">MAX(0,M51-M50)</f>
        <v>0</v>
      </c>
      <c r="O51" s="139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RESUMO'!AY22</f>
        <v>100</v>
      </c>
      <c r="N52" s="140" t="n">
        <f aca="false">MAX(0,M52-M51)</f>
        <v>0</v>
      </c>
      <c r="O52" s="139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RESUMO'!AZ22</f>
        <v>100</v>
      </c>
      <c r="N53" s="140" t="n">
        <f aca="false">MAX(0,M53-M52)</f>
        <v>0</v>
      </c>
      <c r="O53" s="139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RESUMO'!BA22</f>
        <v>100</v>
      </c>
      <c r="N54" s="140" t="n">
        <f aca="false">MAX(0,M54-M53)</f>
        <v>0</v>
      </c>
      <c r="O54" s="139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RESUMO'!BB22</f>
        <v>100</v>
      </c>
      <c r="N55" s="140" t="n">
        <f aca="false">MAX(0,M55-M54)</f>
        <v>0</v>
      </c>
      <c r="O55" s="139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RESUMO'!BC22</f>
        <v>100</v>
      </c>
      <c r="N56" s="140" t="n">
        <f aca="false">MAX(0,M56-M55)</f>
        <v>0</v>
      </c>
      <c r="O56" s="139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RESUMO'!BD22</f>
        <v>100</v>
      </c>
      <c r="N57" s="140" t="n">
        <f aca="false">MAX(0,M57-M56)</f>
        <v>0</v>
      </c>
      <c r="O57" s="139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RESUMO'!BE22</f>
        <v>100</v>
      </c>
      <c r="N58" s="140" t="n">
        <f aca="false">MAX(0,M58-M57)</f>
        <v>0</v>
      </c>
      <c r="O58" s="139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RESUMO'!BF22</f>
        <v>100</v>
      </c>
      <c r="N59" s="140" t="n">
        <f aca="false">MAX(0,M59-M58)</f>
        <v>0</v>
      </c>
      <c r="O59" s="139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RESUMO'!BG22</f>
        <v>100</v>
      </c>
      <c r="N60" s="140" t="n">
        <f aca="false">MAX(0,M60-M59)</f>
        <v>0</v>
      </c>
      <c r="O60" s="139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RESUMO'!BH22</f>
        <v>100</v>
      </c>
      <c r="N61" s="140" t="n">
        <f aca="false">MAX(0,M61-M60)</f>
        <v>0</v>
      </c>
      <c r="O61" s="139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RESUMO'!BI22</f>
        <v>100</v>
      </c>
      <c r="N62" s="140" t="n">
        <f aca="false">MAX(0,M62-M61)</f>
        <v>0</v>
      </c>
      <c r="O62" s="139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RESUMO'!BJ22</f>
        <v>100</v>
      </c>
      <c r="N63" s="140" t="n">
        <f aca="false">MAX(0,M63-M62)</f>
        <v>0</v>
      </c>
      <c r="O63" s="139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RESUMO'!BK22</f>
        <v>100</v>
      </c>
      <c r="N64" s="140" t="n">
        <f aca="false">MAX(0,M64-M63)</f>
        <v>0</v>
      </c>
      <c r="O64" s="139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RESUMO'!BL22</f>
        <v>100</v>
      </c>
      <c r="N65" s="140" t="n">
        <f aca="false">MAX(0,M65-M64)</f>
        <v>0</v>
      </c>
      <c r="O65" s="139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RESUMO'!BM22</f>
        <v>100</v>
      </c>
      <c r="N66" s="140" t="n">
        <f aca="false">MAX(0,M66-M65)</f>
        <v>0</v>
      </c>
      <c r="O66" s="139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RESUMO'!BN22</f>
        <v>100</v>
      </c>
      <c r="N67" s="140" t="n">
        <f aca="false">MAX(0,M67-M66)</f>
        <v>0</v>
      </c>
      <c r="O67" s="139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RESUMO'!BO22</f>
        <v>100</v>
      </c>
      <c r="N68" s="140" t="n">
        <f aca="false">MAX(0,M68-M67)</f>
        <v>0</v>
      </c>
      <c r="O68" s="139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RESUMO'!BP22</f>
        <v>100</v>
      </c>
      <c r="N69" s="140" t="n">
        <f aca="false">MAX(0,M69-M68)</f>
        <v>0</v>
      </c>
      <c r="O69" s="139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RESUMO'!BQ22</f>
        <v>100</v>
      </c>
      <c r="N70" s="140" t="n">
        <f aca="false">MAX(0,M70-M69)</f>
        <v>0</v>
      </c>
      <c r="O70" s="139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RESUMO'!BR22</f>
        <v>100</v>
      </c>
      <c r="N71" s="140" t="n">
        <f aca="false">MAX(0,M71-M70)</f>
        <v>0</v>
      </c>
      <c r="O71" s="139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RESUMO'!BS22</f>
        <v>100</v>
      </c>
      <c r="N72" s="140" t="n">
        <f aca="false">MAX(0,M72-M71)</f>
        <v>0</v>
      </c>
      <c r="O72" s="139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RESUMO'!BT22</f>
        <v>100</v>
      </c>
      <c r="N73" s="140" t="n">
        <f aca="false">MAX(0,M73-M72)</f>
        <v>0</v>
      </c>
      <c r="O73" s="139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RESUMO'!BU22</f>
        <v>100</v>
      </c>
      <c r="N74" s="140" t="n">
        <f aca="false">MAX(0,M74-M73)</f>
        <v>0</v>
      </c>
      <c r="O74" s="139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RESUMO'!BV22</f>
        <v>100</v>
      </c>
      <c r="N75" s="140" t="n">
        <f aca="false">MAX(0,M75-M74)</f>
        <v>0</v>
      </c>
      <c r="O75" s="139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RESUMO'!BW22</f>
        <v>100</v>
      </c>
      <c r="N76" s="140" t="n">
        <f aca="false">MAX(0,M76-M75)</f>
        <v>0</v>
      </c>
      <c r="O76" s="139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530338.02</v>
      </c>
      <c r="D78" s="61" t="n">
        <f aca="false">SUM(D5:D76)</f>
        <v>5373840.05545626</v>
      </c>
      <c r="E78" s="61" t="n">
        <f aca="false">SUM(E5:E76)</f>
        <v>4543.92658585863</v>
      </c>
      <c r="F78" s="145" t="n">
        <f aca="false">SUM(F5:F76)</f>
        <v>1</v>
      </c>
      <c r="H78" s="61" t="n">
        <f aca="false">SUM(H5:H76)</f>
        <v>5623744.44</v>
      </c>
      <c r="L78" s="61" t="n">
        <f aca="false">SUM(L5:L76)</f>
        <v>409.38291837981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PL'!F29</f>
        <v>3466051.2</v>
      </c>
      <c r="K5" s="56" t="n">
        <f aca="false">'VALOR POR PL'!G29</f>
        <v>2967.367867</v>
      </c>
      <c r="L5" s="56" t="n">
        <f aca="false">'DADOS HISTORICOS'!$BZ$23</f>
        <v>0</v>
      </c>
      <c r="M5" s="139" t="n">
        <f aca="false">'CP RESUMO'!D23</f>
        <v>0</v>
      </c>
      <c r="N5" s="140" t="n">
        <v>0</v>
      </c>
      <c r="O5" s="139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PL'!H29</f>
        <v>2967.367867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RESUMO'!E23</f>
        <v>0</v>
      </c>
      <c r="N6" s="140" t="n">
        <f aca="false">MAX(0,M6-M5)</f>
        <v>0</v>
      </c>
      <c r="O6" s="139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3853257.70410218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RESUMO'!F23</f>
        <v>0</v>
      </c>
      <c r="N7" s="140" t="n">
        <f aca="false">MAX(0,M7-M6)</f>
        <v>0</v>
      </c>
      <c r="O7" s="139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RESUMO'!G23</f>
        <v>0</v>
      </c>
      <c r="N8" s="140" t="n">
        <f aca="false">MAX(0,M8-M7)</f>
        <v>0</v>
      </c>
      <c r="O8" s="139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3853257.70410218</v>
      </c>
      <c r="K9" s="45" t="n">
        <f aca="false">E78</f>
        <v>2964.63275334811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RESUMO'!H23</f>
        <v>0</v>
      </c>
      <c r="N9" s="140" t="n">
        <f aca="false">MAX(0,M9-M8)</f>
        <v>0</v>
      </c>
      <c r="O9" s="139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2964.63275334811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RESUMO'!I23</f>
        <v>0</v>
      </c>
      <c r="N10" s="140" t="n">
        <f aca="false">MAX(0,M10-M9)</f>
        <v>0</v>
      </c>
      <c r="O10" s="139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3756440.67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RESUMO'!J23</f>
        <v>0</v>
      </c>
      <c r="N11" s="140" t="n">
        <f aca="false">MAX(0,M11-M10)</f>
        <v>0</v>
      </c>
      <c r="O11" s="139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RESUMO'!K23</f>
        <v>0</v>
      </c>
      <c r="N12" s="140" t="n">
        <f aca="false">MAX(0,M12-M11)</f>
        <v>0</v>
      </c>
      <c r="O12" s="139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RESUMO'!L23</f>
        <v>0</v>
      </c>
      <c r="N13" s="140" t="n">
        <f aca="false">MAX(0,M13-M12)</f>
        <v>0</v>
      </c>
      <c r="O13" s="139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RESUMO'!M23</f>
        <v>0</v>
      </c>
      <c r="N14" s="140" t="n">
        <f aca="false">MAX(0,M14-M13)</f>
        <v>0</v>
      </c>
      <c r="O14" s="139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RESUMO'!N23</f>
        <v>0</v>
      </c>
      <c r="N15" s="140" t="n">
        <f aca="false">MAX(0,M15-M14)</f>
        <v>0</v>
      </c>
      <c r="O15" s="139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RESUMO'!O23</f>
        <v>0</v>
      </c>
      <c r="N16" s="140" t="n">
        <f aca="false">MAX(0,M16-M15)</f>
        <v>0</v>
      </c>
      <c r="O16" s="139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RESUMO'!P23</f>
        <v>0</v>
      </c>
      <c r="N17" s="140" t="n">
        <f aca="false">MAX(0,M17-M16)</f>
        <v>0</v>
      </c>
      <c r="O17" s="139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3853257.70410218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RESUMO'!Q23</f>
        <v>0</v>
      </c>
      <c r="N18" s="140" t="n">
        <f aca="false">MAX(0,M18-M17)</f>
        <v>0</v>
      </c>
      <c r="O18" s="139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RESUMO'!R23</f>
        <v>0</v>
      </c>
      <c r="N19" s="140" t="n">
        <f aca="false">MAX(0,M19-M18)</f>
        <v>0</v>
      </c>
      <c r="O19" s="139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RESUMO'!S23</f>
        <v>0</v>
      </c>
      <c r="N20" s="140" t="n">
        <f aca="false">MAX(0,M20-M19)</f>
        <v>0</v>
      </c>
      <c r="O20" s="139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RESUMO'!T23</f>
        <v>0</v>
      </c>
      <c r="N21" s="140" t="n">
        <f aca="false">MAX(0,M21-M20)</f>
        <v>0</v>
      </c>
      <c r="O21" s="139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RESUMO'!U23</f>
        <v>0</v>
      </c>
      <c r="N22" s="140" t="n">
        <f aca="false">MAX(0,M22-M21)</f>
        <v>0</v>
      </c>
      <c r="O22" s="139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RESUMO'!V23</f>
        <v>0</v>
      </c>
      <c r="N23" s="140" t="n">
        <f aca="false">MAX(0,M23-M22)</f>
        <v>0</v>
      </c>
      <c r="O23" s="139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RESUMO'!W23</f>
        <v>0</v>
      </c>
      <c r="N24" s="140" t="n">
        <f aca="false">MAX(0,M24-M23)</f>
        <v>0</v>
      </c>
      <c r="O24" s="139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HISTORICOS'!X23)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RESUMO'!X23</f>
        <v>0</v>
      </c>
      <c r="N25" s="140" t="n">
        <f aca="false">MAX(0,M25-M24)</f>
        <v>0</v>
      </c>
      <c r="O25" s="139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HISTORICOS'!Y23)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RESUMO'!Y23</f>
        <v>0</v>
      </c>
      <c r="N26" s="140" t="n">
        <f aca="false">MAX(0,M26-M25)</f>
        <v>0</v>
      </c>
      <c r="O26" s="139" t="n">
        <f aca="false">IF(B26&lt;='VALOR POR PL'!$P$5,'CP RESUMO'!Y65,"")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HISTORICOS'!Z23)</f>
        <v>0</v>
      </c>
      <c r="D27" s="45" t="n">
        <f aca="false">IF(B27&lt;='VALOR POR PL'!$P$5,0,IF($K$17&gt;0,$K$18*P27/$K$17,0))</f>
        <v>213085.151036851</v>
      </c>
      <c r="E27" s="45" t="n">
        <f aca="false">L27+D27/$K$2</f>
        <v>163.944191260151</v>
      </c>
      <c r="F27" s="117" t="n">
        <f aca="false">IF($K$9=0,0,E27/$K$9)</f>
        <v>0.0553</v>
      </c>
      <c r="G27" s="117" t="n">
        <f aca="false">G26+F27</f>
        <v>0.0553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RESUMO'!Z23</f>
        <v>5.53</v>
      </c>
      <c r="N27" s="140" t="n">
        <f aca="false">MAX(0,M27-M26)</f>
        <v>5.53</v>
      </c>
      <c r="O27" s="139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5.53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HISTORICOS'!AA23)</f>
        <v>0</v>
      </c>
      <c r="D28" s="45" t="n">
        <f aca="false">IF(B28&lt;='VALOR POR PL'!$P$5,0,IF($K$17&gt;0,$K$18*P28/$K$17,0))</f>
        <v>213470.476807261</v>
      </c>
      <c r="E28" s="45" t="n">
        <f aca="false">L28+D28/$K$2</f>
        <v>164.240654535485</v>
      </c>
      <c r="F28" s="117" t="n">
        <f aca="false">IF($K$9=0,0,E28/$K$9)</f>
        <v>0.0554</v>
      </c>
      <c r="G28" s="117" t="n">
        <f aca="false">G27+F28</f>
        <v>0.1107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RESUMO'!AA23</f>
        <v>11.07</v>
      </c>
      <c r="N28" s="140" t="n">
        <f aca="false">MAX(0,M28-M27)</f>
        <v>5.54</v>
      </c>
      <c r="O28" s="139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5.54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HISTORICOS'!AB23)</f>
        <v>0</v>
      </c>
      <c r="D29" s="45" t="n">
        <f aca="false">IF(B29&lt;='VALOR POR PL'!$P$5,0,IF($K$17&gt;0,$K$18*P29/$K$17,0))</f>
        <v>145653.141215062</v>
      </c>
      <c r="E29" s="45" t="n">
        <f aca="false">L29+D29/$K$2</f>
        <v>112.063118076559</v>
      </c>
      <c r="F29" s="117" t="n">
        <f aca="false">IF($K$9=0,0,E29/$K$9)</f>
        <v>0.0378</v>
      </c>
      <c r="G29" s="117" t="n">
        <f aca="false">G28+F29</f>
        <v>0.1485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RESUMO'!AB23</f>
        <v>14.85</v>
      </c>
      <c r="N29" s="140" t="n">
        <f aca="false">MAX(0,M29-M28)</f>
        <v>3.78</v>
      </c>
      <c r="O29" s="139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3.78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224644.924149157</v>
      </c>
      <c r="E30" s="45" t="n">
        <f aca="false">L30+D30/$K$2</f>
        <v>172.838089520195</v>
      </c>
      <c r="F30" s="117" t="n">
        <f aca="false">IF($K$9=0,0,E30/$K$9)</f>
        <v>0.0583</v>
      </c>
      <c r="G30" s="117" t="n">
        <f aca="false">G29+F30</f>
        <v>0.2068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RESUMO'!AC23</f>
        <v>20.68</v>
      </c>
      <c r="N30" s="140" t="n">
        <f aca="false">MAX(0,M30-M29)</f>
        <v>5.83</v>
      </c>
      <c r="O30" s="139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5.83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299012.797838329</v>
      </c>
      <c r="E31" s="45" t="n">
        <f aca="false">L31+D31/$K$2</f>
        <v>230.055501659813</v>
      </c>
      <c r="F31" s="117" t="n">
        <f aca="false">IF($K$9=0,0,E31/$K$9)</f>
        <v>0.0776</v>
      </c>
      <c r="G31" s="117" t="n">
        <f aca="false">G30+F31</f>
        <v>0.2844</v>
      </c>
      <c r="H31" s="138" t="n">
        <v>18782.2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RESUMO'!AD23</f>
        <v>28.44</v>
      </c>
      <c r="N31" s="140" t="n">
        <f aca="false">MAX(0,M31-M30)</f>
        <v>7.76</v>
      </c>
      <c r="O31" s="139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7.76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HISTORICOS'!AE23)</f>
        <v>0</v>
      </c>
      <c r="D32" s="45" t="n">
        <f aca="false">IF(B32&lt;='VALOR POR PL'!$P$5,0,IF($K$17&gt;0,$K$18*P32/$K$17,0))</f>
        <v>399197.498144986</v>
      </c>
      <c r="E32" s="45" t="n">
        <f aca="false">L32+D32/$K$2</f>
        <v>307.135953246864</v>
      </c>
      <c r="F32" s="117" t="n">
        <f aca="false">IF($K$9=0,0,E32/$K$9)</f>
        <v>0.1036</v>
      </c>
      <c r="G32" s="117" t="n">
        <f aca="false">G31+F32</f>
        <v>0.388</v>
      </c>
      <c r="H32" s="138" t="n">
        <v>139363.95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RESUMO'!AE23</f>
        <v>38.8</v>
      </c>
      <c r="N32" s="140" t="n">
        <f aca="false">MAX(0,M32-M31)</f>
        <v>10.36</v>
      </c>
      <c r="O32" s="139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10.36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347178.519139607</v>
      </c>
      <c r="E33" s="45" t="n">
        <f aca="false">L33+D33/$K$2</f>
        <v>267.113411076665</v>
      </c>
      <c r="F33" s="117" t="n">
        <f aca="false">IF($K$9=0,0,E33/$K$9)</f>
        <v>0.0901</v>
      </c>
      <c r="G33" s="117" t="n">
        <f aca="false">G32+F33</f>
        <v>0.4781</v>
      </c>
      <c r="H33" s="138" t="n">
        <v>154389.71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RESUMO'!AF23</f>
        <v>47.81</v>
      </c>
      <c r="N33" s="140" t="n">
        <f aca="false">MAX(0,M33-M32)</f>
        <v>9.01000000000001</v>
      </c>
      <c r="O33" s="139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9.01000000000001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298242.146297509</v>
      </c>
      <c r="E34" s="45" t="n">
        <f aca="false">L34+D34/$K$2</f>
        <v>229.462575109144</v>
      </c>
      <c r="F34" s="117" t="n">
        <f aca="false">IF($K$9=0,0,E34/$K$9)</f>
        <v>0.0774</v>
      </c>
      <c r="G34" s="117" t="n">
        <f aca="false">G33+F34</f>
        <v>0.5555</v>
      </c>
      <c r="H34" s="138" t="n">
        <v>271590.66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RESUMO'!AG23</f>
        <v>55.55</v>
      </c>
      <c r="N34" s="140" t="n">
        <f aca="false">MAX(0,M34-M33)</f>
        <v>7.74</v>
      </c>
      <c r="O34" s="139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7.74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212314.49949603</v>
      </c>
      <c r="E35" s="45" t="n">
        <f aca="false">L35+D35/$K$2</f>
        <v>163.351264709481</v>
      </c>
      <c r="F35" s="117" t="n">
        <f aca="false">IF($K$9=0,0,E35/$K$9)</f>
        <v>0.0551000000000001</v>
      </c>
      <c r="G35" s="117" t="n">
        <f aca="false">G34+F35</f>
        <v>0.6106</v>
      </c>
      <c r="H35" s="138" t="n">
        <v>295256.24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RESUMO'!AH23</f>
        <v>61.06</v>
      </c>
      <c r="N35" s="140" t="n">
        <f aca="false">MAX(0,M35-M34)</f>
        <v>5.51000000000001</v>
      </c>
      <c r="O35" s="139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5.51000000000001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204222.658317415</v>
      </c>
      <c r="E36" s="45" t="n">
        <f aca="false">L36+D36/$K$2</f>
        <v>157.12553592745</v>
      </c>
      <c r="F36" s="117" t="n">
        <f aca="false">IF($K$9=0,0,E36/$K$9)</f>
        <v>0.053</v>
      </c>
      <c r="G36" s="117" t="n">
        <f aca="false">G35+F36</f>
        <v>0.6636</v>
      </c>
      <c r="H36" s="138" t="n">
        <v>283986.91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RESUMO'!AI23</f>
        <v>66.36</v>
      </c>
      <c r="N36" s="140" t="n">
        <f aca="false">MAX(0,M36-M35)</f>
        <v>5.3</v>
      </c>
      <c r="O36" s="139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5.3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98258.0714546055</v>
      </c>
      <c r="E37" s="45" t="n">
        <f aca="false">L37+D37/$K$2</f>
        <v>75.5981352103767</v>
      </c>
      <c r="F37" s="117" t="n">
        <f aca="false">IF($K$9=0,0,E37/$K$9)</f>
        <v>0.0255</v>
      </c>
      <c r="G37" s="117" t="n">
        <f aca="false">G36+F37</f>
        <v>0.6891</v>
      </c>
      <c r="H37" s="138" t="n">
        <v>180684.8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RESUMO'!AJ23</f>
        <v>68.91</v>
      </c>
      <c r="N37" s="140" t="n">
        <f aca="false">MAX(0,M37-M36)</f>
        <v>2.55</v>
      </c>
      <c r="O37" s="139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2.55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87468.9498831199</v>
      </c>
      <c r="E38" s="45" t="n">
        <f aca="false">L38+D38/$K$2</f>
        <v>67.2971635010024</v>
      </c>
      <c r="F38" s="117" t="n">
        <f aca="false">IF($K$9=0,0,E38/$K$9)</f>
        <v>0.0227000000000001</v>
      </c>
      <c r="G38" s="117" t="n">
        <f aca="false">G37+F38</f>
        <v>0.7118</v>
      </c>
      <c r="H38" s="138" t="n">
        <v>164907.74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RESUMO'!AK23</f>
        <v>71.18</v>
      </c>
      <c r="N38" s="140" t="n">
        <f aca="false">MAX(0,M38-M37)</f>
        <v>2.27000000000001</v>
      </c>
      <c r="O38" s="139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2.27000000000001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80918.4117861456</v>
      </c>
      <c r="E39" s="45" t="n">
        <f aca="false">L39+D39/$K$2</f>
        <v>62.2572878203102</v>
      </c>
      <c r="F39" s="117" t="n">
        <f aca="false">IF($K$9=0,0,E39/$K$9)</f>
        <v>0.0209999999999999</v>
      </c>
      <c r="G39" s="117" t="n">
        <f aca="false">G38+F39</f>
        <v>0.7328</v>
      </c>
      <c r="H39" s="138" t="n">
        <v>199467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RESUMO'!AL23</f>
        <v>73.28</v>
      </c>
      <c r="N39" s="140" t="n">
        <f aca="false">MAX(0,M39-M38)</f>
        <v>2.09999999999999</v>
      </c>
      <c r="O39" s="139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2.09999999999999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110973.821878143</v>
      </c>
      <c r="E40" s="45" t="n">
        <f aca="false">L40+D40/$K$2</f>
        <v>85.3814232964254</v>
      </c>
      <c r="F40" s="117" t="n">
        <f aca="false">IF($K$9=0,0,E40/$K$9)</f>
        <v>0.0288</v>
      </c>
      <c r="G40" s="117" t="n">
        <f aca="false">G39+F40</f>
        <v>0.7616</v>
      </c>
      <c r="H40" s="138" t="n">
        <v>182563.02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RESUMO'!AM23</f>
        <v>76.16</v>
      </c>
      <c r="N40" s="140" t="n">
        <f aca="false">MAX(0,M40-M39)</f>
        <v>2.88</v>
      </c>
      <c r="O40" s="139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2.88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146809.118526293</v>
      </c>
      <c r="E41" s="45" t="n">
        <f aca="false">L41+D41/$K$2</f>
        <v>112.952507902563</v>
      </c>
      <c r="F41" s="117" t="n">
        <f aca="false">IF($K$9=0,0,E41/$K$9)</f>
        <v>0.0381</v>
      </c>
      <c r="G41" s="117" t="n">
        <f aca="false">G40+F41</f>
        <v>0.7997</v>
      </c>
      <c r="H41" s="138" t="n">
        <v>241163.49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RESUMO'!AN23</f>
        <v>79.97</v>
      </c>
      <c r="N41" s="140" t="n">
        <f aca="false">MAX(0,M41-M40)</f>
        <v>3.81</v>
      </c>
      <c r="O41" s="139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3.81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209231.893332749</v>
      </c>
      <c r="E42" s="45" t="n">
        <f aca="false">L42+D42/$K$2</f>
        <v>160.979558506803</v>
      </c>
      <c r="F42" s="117" t="n">
        <f aca="false">IF($K$9=0,0,E42/$K$9)</f>
        <v>0.0543000000000001</v>
      </c>
      <c r="G42" s="117" t="n">
        <f aca="false">G41+F42</f>
        <v>0.854</v>
      </c>
      <c r="H42" s="138" t="n">
        <v>364750.39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RESUMO'!AO23</f>
        <v>85.4</v>
      </c>
      <c r="N42" s="140" t="n">
        <f aca="false">MAX(0,M42-M41)</f>
        <v>5.43000000000001</v>
      </c>
      <c r="O42" s="139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5.43000000000001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137946.625806858</v>
      </c>
      <c r="E43" s="45" t="n">
        <f aca="false">L43+D43/$K$2</f>
        <v>106.133852569862</v>
      </c>
      <c r="F43" s="117" t="n">
        <f aca="false">IF($K$9=0,0,E43/$K$9)</f>
        <v>0.0358</v>
      </c>
      <c r="G43" s="117" t="n">
        <f aca="false">G42+F43</f>
        <v>0.8898</v>
      </c>
      <c r="H43" s="138" t="n">
        <v>280606.12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RESUMO'!AP23</f>
        <v>88.98</v>
      </c>
      <c r="N43" s="140" t="n">
        <f aca="false">MAX(0,M43-M42)</f>
        <v>3.58</v>
      </c>
      <c r="O43" s="139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3.58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213855.802577671</v>
      </c>
      <c r="E44" s="45" t="n">
        <f aca="false">L44+D44/$K$2</f>
        <v>164.53711781082</v>
      </c>
      <c r="F44" s="117" t="n">
        <f aca="false">IF($K$9=0,0,E44/$K$9)</f>
        <v>0.0555</v>
      </c>
      <c r="G44" s="117" t="n">
        <f aca="false">G43+F44</f>
        <v>0.9453</v>
      </c>
      <c r="H44" s="138" t="n">
        <v>391421.12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RESUMO'!AQ23</f>
        <v>94.53</v>
      </c>
      <c r="N44" s="140" t="n">
        <f aca="false">MAX(0,M44-M43)</f>
        <v>5.55</v>
      </c>
      <c r="O44" s="139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5.55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144497.163903832</v>
      </c>
      <c r="E45" s="45" t="n">
        <f aca="false">L45+D45/$K$2</f>
        <v>111.173728250554</v>
      </c>
      <c r="F45" s="117" t="n">
        <f aca="false">IF($K$9=0,0,E45/$K$9)</f>
        <v>0.0375</v>
      </c>
      <c r="G45" s="117" t="n">
        <f aca="false">G44+F45</f>
        <v>0.9828</v>
      </c>
      <c r="H45" s="138" t="n">
        <v>282108.69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RESUMO'!AR23</f>
        <v>98.28</v>
      </c>
      <c r="N45" s="140" t="n">
        <f aca="false">MAX(0,M45-M44)</f>
        <v>3.75</v>
      </c>
      <c r="O45" s="139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3.75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53560.2820870203</v>
      </c>
      <c r="E46" s="45" t="n">
        <f aca="false">L46+D46/$K$2</f>
        <v>41.2083952715388</v>
      </c>
      <c r="F46" s="117" t="n">
        <f aca="false">IF($K$9=0,0,E46/$K$9)</f>
        <v>0.0139</v>
      </c>
      <c r="G46" s="117" t="n">
        <f aca="false">G45+F46</f>
        <v>0.9967</v>
      </c>
      <c r="H46" s="138" t="n">
        <v>214117.12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RESUMO'!AS23</f>
        <v>99.67</v>
      </c>
      <c r="N46" s="140" t="n">
        <f aca="false">MAX(0,M46-M45)</f>
        <v>1.39</v>
      </c>
      <c r="O46" s="139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1.39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12715.7504235371</v>
      </c>
      <c r="E47" s="45" t="n">
        <f aca="false">L47+D47/$K$2</f>
        <v>9.78328808604871</v>
      </c>
      <c r="F47" s="117" t="n">
        <f aca="false">IF($K$9=0,0,E47/$K$9)</f>
        <v>0.00329999999999998</v>
      </c>
      <c r="G47" s="117" t="n">
        <f aca="false">G46+F47</f>
        <v>1</v>
      </c>
      <c r="H47" s="138" t="n">
        <v>91281.51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RESUMO'!AT23</f>
        <v>100</v>
      </c>
      <c r="N47" s="140" t="n">
        <f aca="false">MAX(0,M47-M46)</f>
        <v>0.329999999999998</v>
      </c>
      <c r="O47" s="139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0.329999999999998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RESUMO'!AU23</f>
        <v>100</v>
      </c>
      <c r="N48" s="140" t="n">
        <f aca="false">MAX(0,M48-M47)</f>
        <v>0</v>
      </c>
      <c r="O48" s="139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RESUMO'!AV23</f>
        <v>100</v>
      </c>
      <c r="N49" s="140" t="n">
        <f aca="false">MAX(0,M49-M48)</f>
        <v>0</v>
      </c>
      <c r="O49" s="139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RESUMO'!AW23</f>
        <v>100</v>
      </c>
      <c r="N50" s="140" t="n">
        <f aca="false">MAX(0,M50-M49)</f>
        <v>0</v>
      </c>
      <c r="O50" s="139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RESUMO'!AX23</f>
        <v>100</v>
      </c>
      <c r="N51" s="140" t="n">
        <f aca="false">MAX(0,M51-M50)</f>
        <v>0</v>
      </c>
      <c r="O51" s="139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RESUMO'!AY23</f>
        <v>100</v>
      </c>
      <c r="N52" s="140" t="n">
        <f aca="false">MAX(0,M52-M51)</f>
        <v>0</v>
      </c>
      <c r="O52" s="139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RESUMO'!AZ23</f>
        <v>100</v>
      </c>
      <c r="N53" s="140" t="n">
        <f aca="false">MAX(0,M53-M52)</f>
        <v>0</v>
      </c>
      <c r="O53" s="139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RESUMO'!BA23</f>
        <v>100</v>
      </c>
      <c r="N54" s="140" t="n">
        <f aca="false">MAX(0,M54-M53)</f>
        <v>0</v>
      </c>
      <c r="O54" s="139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RESUMO'!BB23</f>
        <v>100</v>
      </c>
      <c r="N55" s="140" t="n">
        <f aca="false">MAX(0,M55-M54)</f>
        <v>0</v>
      </c>
      <c r="O55" s="139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RESUMO'!BC23</f>
        <v>100</v>
      </c>
      <c r="N56" s="140" t="n">
        <f aca="false">MAX(0,M56-M55)</f>
        <v>0</v>
      </c>
      <c r="O56" s="139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RESUMO'!BD23</f>
        <v>100</v>
      </c>
      <c r="N57" s="140" t="n">
        <f aca="false">MAX(0,M57-M56)</f>
        <v>0</v>
      </c>
      <c r="O57" s="139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RESUMO'!BE23</f>
        <v>100</v>
      </c>
      <c r="N58" s="140" t="n">
        <f aca="false">MAX(0,M58-M57)</f>
        <v>0</v>
      </c>
      <c r="O58" s="139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RESUMO'!BF23</f>
        <v>100</v>
      </c>
      <c r="N59" s="140" t="n">
        <f aca="false">MAX(0,M59-M58)</f>
        <v>0</v>
      </c>
      <c r="O59" s="139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RESUMO'!BG23</f>
        <v>100</v>
      </c>
      <c r="N60" s="140" t="n">
        <f aca="false">MAX(0,M60-M59)</f>
        <v>0</v>
      </c>
      <c r="O60" s="139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RESUMO'!BH23</f>
        <v>100</v>
      </c>
      <c r="N61" s="140" t="n">
        <f aca="false">MAX(0,M61-M60)</f>
        <v>0</v>
      </c>
      <c r="O61" s="139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RESUMO'!BI23</f>
        <v>100</v>
      </c>
      <c r="N62" s="140" t="n">
        <f aca="false">MAX(0,M62-M61)</f>
        <v>0</v>
      </c>
      <c r="O62" s="139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RESUMO'!BJ23</f>
        <v>100</v>
      </c>
      <c r="N63" s="140" t="n">
        <f aca="false">MAX(0,M63-M62)</f>
        <v>0</v>
      </c>
      <c r="O63" s="139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RESUMO'!BK23</f>
        <v>100</v>
      </c>
      <c r="N64" s="140" t="n">
        <f aca="false">MAX(0,M64-M63)</f>
        <v>0</v>
      </c>
      <c r="O64" s="139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RESUMO'!BL23</f>
        <v>100</v>
      </c>
      <c r="N65" s="140" t="n">
        <f aca="false">MAX(0,M65-M64)</f>
        <v>0</v>
      </c>
      <c r="O65" s="139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RESUMO'!BM23</f>
        <v>100</v>
      </c>
      <c r="N66" s="140" t="n">
        <f aca="false">MAX(0,M66-M65)</f>
        <v>0</v>
      </c>
      <c r="O66" s="139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RESUMO'!BN23</f>
        <v>100</v>
      </c>
      <c r="N67" s="140" t="n">
        <f aca="false">MAX(0,M67-M66)</f>
        <v>0</v>
      </c>
      <c r="O67" s="139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RESUMO'!BO23</f>
        <v>100</v>
      </c>
      <c r="N68" s="140" t="n">
        <f aca="false">MAX(0,M68-M67)</f>
        <v>0</v>
      </c>
      <c r="O68" s="139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RESUMO'!BP23</f>
        <v>100</v>
      </c>
      <c r="N69" s="140" t="n">
        <f aca="false">MAX(0,M69-M68)</f>
        <v>0</v>
      </c>
      <c r="O69" s="139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RESUMO'!BQ23</f>
        <v>100</v>
      </c>
      <c r="N70" s="140" t="n">
        <f aca="false">MAX(0,M70-M69)</f>
        <v>0</v>
      </c>
      <c r="O70" s="139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RESUMO'!BR23</f>
        <v>100</v>
      </c>
      <c r="N71" s="140" t="n">
        <f aca="false">MAX(0,M71-M70)</f>
        <v>0</v>
      </c>
      <c r="O71" s="139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RESUMO'!BS23</f>
        <v>100</v>
      </c>
      <c r="N72" s="140" t="n">
        <f aca="false">MAX(0,M72-M71)</f>
        <v>0</v>
      </c>
      <c r="O72" s="139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RESUMO'!BT23</f>
        <v>100</v>
      </c>
      <c r="N73" s="140" t="n">
        <f aca="false">MAX(0,M73-M72)</f>
        <v>0</v>
      </c>
      <c r="O73" s="139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RESUMO'!BU23</f>
        <v>100</v>
      </c>
      <c r="N74" s="140" t="n">
        <f aca="false">MAX(0,M74-M73)</f>
        <v>0</v>
      </c>
      <c r="O74" s="139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RESUMO'!BV23</f>
        <v>100</v>
      </c>
      <c r="N75" s="140" t="n">
        <f aca="false">MAX(0,M75-M74)</f>
        <v>0</v>
      </c>
      <c r="O75" s="139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RESUMO'!BW23</f>
        <v>100</v>
      </c>
      <c r="N76" s="140" t="n">
        <f aca="false">MAX(0,M76-M75)</f>
        <v>0</v>
      </c>
      <c r="O76" s="139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3853257.70410218</v>
      </c>
      <c r="E78" s="61" t="n">
        <f aca="false">SUM(E5:E76)</f>
        <v>2964.63275334811</v>
      </c>
      <c r="F78" s="145" t="n">
        <f aca="false">SUM(F5:F76)</f>
        <v>1</v>
      </c>
      <c r="H78" s="61" t="n">
        <f aca="false">SUM(H5:H76)</f>
        <v>3756440.67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HISTORICOS'!D24)</f>
        <v>869.6</v>
      </c>
      <c r="D5" s="45" t="n">
        <f aca="false">IF(B5&lt;='VALOR POR PL'!$P$5,0,IF($K$17&gt;0,$K$18*P5/$K$17,0))</f>
        <v>0</v>
      </c>
      <c r="E5" s="45" t="n">
        <f aca="false">L5+D5/$K$2</f>
        <v>0.766319314401533</v>
      </c>
      <c r="F5" s="117" t="n">
        <f aca="false">IF($K$9=0,0,E5/$K$9)</f>
        <v>8.68535826184775E-005</v>
      </c>
      <c r="G5" s="117" t="n">
        <f aca="false">F5</f>
        <v>8.68535826184775E-005</v>
      </c>
      <c r="H5" s="138"/>
      <c r="I5" s="42" t="s">
        <v>3894</v>
      </c>
      <c r="J5" s="56" t="n">
        <f aca="false">'VALOR POR PL'!F30</f>
        <v>11082113.91</v>
      </c>
      <c r="K5" s="56" t="n">
        <f aca="false">'VALOR POR PL'!G30</f>
        <v>9487.658083</v>
      </c>
      <c r="L5" s="56" t="n">
        <f aca="false">'DADOS HISTORICOS'!$BZ$24</f>
        <v>0.766319314401533</v>
      </c>
      <c r="M5" s="139" t="n">
        <f aca="false">'CP RESUMO'!D24</f>
        <v>0</v>
      </c>
      <c r="N5" s="140" t="n">
        <v>0</v>
      </c>
      <c r="O5" s="139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8.68535826184775E-005</v>
      </c>
      <c r="H6" s="138"/>
      <c r="I6" s="42" t="s">
        <v>3895</v>
      </c>
      <c r="K6" s="52" t="n">
        <f aca="false">'VALOR POR PL'!H30</f>
        <v>8830.80834884458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RESUMO'!E24</f>
        <v>0</v>
      </c>
      <c r="N6" s="140" t="n">
        <f aca="false">MAX(0,M6-M5)</f>
        <v>0</v>
      </c>
      <c r="O6" s="139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8.68535826184775E-005</v>
      </c>
      <c r="H7" s="138"/>
      <c r="I7" s="42" t="s">
        <v>3896</v>
      </c>
      <c r="J7" s="45" t="n">
        <f aca="false">C78+D78</f>
        <v>11446748.7465947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RESUMO'!F24</f>
        <v>0</v>
      </c>
      <c r="N7" s="140" t="n">
        <f aca="false">MAX(0,M7-M6)</f>
        <v>0</v>
      </c>
      <c r="O7" s="139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8.68535826184775E-005</v>
      </c>
      <c r="H8" s="138"/>
      <c r="I8" s="42" t="s">
        <v>3897</v>
      </c>
      <c r="K8" s="66" t="n">
        <f aca="false">SUM(L5:L76)</f>
        <v>486.256561537642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RESUMO'!G24</f>
        <v>0</v>
      </c>
      <c r="N8" s="140" t="n">
        <f aca="false">MAX(0,M8-M7)</f>
        <v>0</v>
      </c>
      <c r="O8" s="139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8.68535826184775E-005</v>
      </c>
      <c r="H9" s="138"/>
      <c r="I9" s="42" t="s">
        <v>3898</v>
      </c>
      <c r="J9" s="45" t="n">
        <f aca="false">C78+D78</f>
        <v>11446748.7465947</v>
      </c>
      <c r="K9" s="45" t="n">
        <f aca="false">E78</f>
        <v>8823.11692043553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RESUMO'!H24</f>
        <v>0</v>
      </c>
      <c r="N9" s="140" t="n">
        <f aca="false">MAX(0,M9-M8)</f>
        <v>0</v>
      </c>
      <c r="O9" s="139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8.68535826184775E-005</v>
      </c>
      <c r="H10" s="138"/>
      <c r="I10" s="42" t="s">
        <v>3899</v>
      </c>
      <c r="K10" s="52" t="n">
        <f aca="false">IF(K6-K8&gt;0,(K6-K8)*'VALOR POR PL'!$G$65,K6-K8)</f>
        <v>8336.86035889788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RESUMO'!I24</f>
        <v>0</v>
      </c>
      <c r="N10" s="140" t="n">
        <f aca="false">MAX(0,M10-M9)</f>
        <v>0</v>
      </c>
      <c r="O10" s="139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HISTORICOS'!J24)</f>
        <v>182.9</v>
      </c>
      <c r="D11" s="45" t="n">
        <f aca="false">IF(B11&lt;='VALOR POR PL'!$P$5,0,IF($K$17&gt;0,$K$18*P11/$K$17,0))</f>
        <v>0</v>
      </c>
      <c r="E11" s="45" t="n">
        <f aca="false">L11+D11/$K$2</f>
        <v>0.152479056013752</v>
      </c>
      <c r="F11" s="117" t="n">
        <f aca="false">IF($K$9=0,0,E11/$K$9)</f>
        <v>1.72817675872106E-005</v>
      </c>
      <c r="G11" s="117" t="n">
        <f aca="false">G10+F11</f>
        <v>0.000104135350205688</v>
      </c>
      <c r="H11" s="138"/>
      <c r="I11" s="42" t="s">
        <v>3900</v>
      </c>
      <c r="K11" s="56" t="n">
        <f aca="false">SUMPRODUCT((B5:B76&gt;'VALOR POR PL'!$P$5)*H5:H76)</f>
        <v>10655852.44</v>
      </c>
      <c r="L11" s="45" t="n">
        <f aca="false">C11/IF(B11&lt;='VALOR POR PL'!$P$5,IFERROR(INDEX('"INCC-FGV"'!$B$2:$B$800,MATCH(B11,'"INCC-FGV"'!$A$2:$A$800,0)),$K$2),$K$2)</f>
        <v>0.152479056013752</v>
      </c>
      <c r="M11" s="139" t="n">
        <f aca="false">'CP RESUMO'!J24</f>
        <v>0</v>
      </c>
      <c r="N11" s="140" t="n">
        <f aca="false">MAX(0,M11-M10)</f>
        <v>0</v>
      </c>
      <c r="O11" s="139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0.000104135350205688</v>
      </c>
      <c r="H12" s="138"/>
      <c r="I12" s="42" t="s">
        <v>3901</v>
      </c>
      <c r="K12" s="139" t="n">
        <f aca="false">SUMPRODUCT((B5:B76&gt;'VALOR POR PL'!$P$5)*N5:N76)</f>
        <v>99.82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RESUMO'!K24</f>
        <v>0</v>
      </c>
      <c r="N12" s="140" t="n">
        <f aca="false">MAX(0,M12-M11)</f>
        <v>0</v>
      </c>
      <c r="O12" s="139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0.000104135350205688</v>
      </c>
      <c r="H13" s="138"/>
      <c r="I13" s="42" t="s">
        <v>3902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RESUMO'!L24</f>
        <v>0</v>
      </c>
      <c r="N13" s="140" t="n">
        <f aca="false">MAX(0,M13-M12)</f>
        <v>0</v>
      </c>
      <c r="O13" s="139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0.000104135350205688</v>
      </c>
      <c r="H14" s="138"/>
      <c r="I14" s="42" t="s">
        <v>3903</v>
      </c>
      <c r="K14" s="58" t="n">
        <f aca="false">IFERROR(INDEX('CP RESUMO'!$D$66:$BW$66,MATCH('VALOR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RESUMO'!M24</f>
        <v>0</v>
      </c>
      <c r="N14" s="140" t="n">
        <f aca="false">MAX(0,M14-M13)</f>
        <v>0</v>
      </c>
      <c r="O14" s="139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HISTORICOS'!N24)</f>
        <v>272179.12</v>
      </c>
      <c r="D15" s="45" t="n">
        <f aca="false">IF(B15&lt;='VALOR POR PL'!$P$5,0,IF($K$17&gt;0,$K$18*P15/$K$17,0))</f>
        <v>0</v>
      </c>
      <c r="E15" s="45" t="n">
        <f aca="false">L15+D15/$K$2</f>
        <v>222.667635287919</v>
      </c>
      <c r="F15" s="117" t="n">
        <f aca="false">IF($K$9=0,0,E15/$K$9)</f>
        <v>0.0252368451303406</v>
      </c>
      <c r="G15" s="117" t="n">
        <f aca="false">G14+F15</f>
        <v>0.0253409804805463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222.667635287919</v>
      </c>
      <c r="M15" s="139" t="n">
        <f aca="false">'CP RESUMO'!N24</f>
        <v>0</v>
      </c>
      <c r="N15" s="140" t="n">
        <f aca="false">MAX(0,M15-M14)</f>
        <v>0</v>
      </c>
      <c r="O15" s="139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HISTORICOS'!O24)</f>
        <v>26283.33</v>
      </c>
      <c r="D16" s="45" t="n">
        <f aca="false">IF(B16&lt;='VALOR POR PL'!$P$5,0,IF($K$17&gt;0,$K$18*P16/$K$17,0))</f>
        <v>0</v>
      </c>
      <c r="E16" s="45" t="n">
        <f aca="false">L16+D16/$K$2</f>
        <v>21.4446983721881</v>
      </c>
      <c r="F16" s="117" t="n">
        <f aca="false">IF($K$9=0,0,E16/$K$9)</f>
        <v>0.00243051277293167</v>
      </c>
      <c r="G16" s="117" t="n">
        <f aca="false">G15+F16</f>
        <v>0.027771493253478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21.4446983721881</v>
      </c>
      <c r="M16" s="139" t="n">
        <f aca="false">'CP RESUMO'!O24</f>
        <v>0</v>
      </c>
      <c r="N16" s="140" t="n">
        <f aca="false">MAX(0,M16-M15)</f>
        <v>0</v>
      </c>
      <c r="O16" s="139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HISTORICOS'!P24)</f>
        <v>5272.91</v>
      </c>
      <c r="D17" s="45" t="n">
        <f aca="false">IF(B17&lt;='VALOR POR PL'!$P$5,0,IF($K$17&gt;0,$K$18*P17/$K$17,0))</f>
        <v>0</v>
      </c>
      <c r="E17" s="45" t="n">
        <f aca="false">L17+D17/$K$2</f>
        <v>4.29333776272003</v>
      </c>
      <c r="F17" s="117" t="n">
        <f aca="false">IF($K$9=0,0,E17/$K$9)</f>
        <v>0.000486601027894812</v>
      </c>
      <c r="G17" s="117" t="n">
        <f aca="false">G16+F17</f>
        <v>0.0282580942813728</v>
      </c>
      <c r="H17" s="138"/>
      <c r="I17" s="42" t="s">
        <v>3907</v>
      </c>
      <c r="K17" s="45" t="n">
        <f aca="false">SUM(P5:P76)</f>
        <v>99.82</v>
      </c>
      <c r="L17" s="45" t="n">
        <f aca="false">C17/IF(B17&lt;='VALOR POR PL'!$P$5,IFERROR(INDEX('"INCC-FGV"'!$B$2:$B$800,MATCH(B17,'"INCC-FGV"'!$A$2:$A$800,0)),$K$2),$K$2)</f>
        <v>4.29333776272003</v>
      </c>
      <c r="M17" s="139" t="n">
        <f aca="false">'CP RESUMO'!P24</f>
        <v>0</v>
      </c>
      <c r="N17" s="140" t="n">
        <f aca="false">MAX(0,M17-M16)</f>
        <v>0</v>
      </c>
      <c r="O17" s="139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HISTORICOS'!Q24)</f>
        <v>2574.8</v>
      </c>
      <c r="D18" s="45" t="n">
        <f aca="false">IF(B18&lt;='VALOR POR PL'!$P$5,0,IF($K$17&gt;0,$K$18*P18/$K$17,0))</f>
        <v>0</v>
      </c>
      <c r="E18" s="45" t="n">
        <f aca="false">L18+D18/$K$2</f>
        <v>2.08142689460937</v>
      </c>
      <c r="F18" s="117" t="n">
        <f aca="false">IF($K$9=0,0,E18/$K$9)</f>
        <v>0.000235906076432979</v>
      </c>
      <c r="G18" s="117" t="n">
        <f aca="false">G17+F18</f>
        <v>0.0284940003578058</v>
      </c>
      <c r="H18" s="138"/>
      <c r="I18" s="42" t="s">
        <v>3908</v>
      </c>
      <c r="K18" s="45" t="n">
        <f aca="false">MAX(0,K10)*$K$2</f>
        <v>10835767.5565947</v>
      </c>
      <c r="L18" s="45" t="n">
        <f aca="false">C18/IF(B18&lt;='VALOR POR PL'!$P$5,IFERROR(INDEX('"INCC-FGV"'!$B$2:$B$800,MATCH(B18,'"INCC-FGV"'!$A$2:$A$800,0)),$K$2),$K$2)</f>
        <v>2.08142689460937</v>
      </c>
      <c r="M18" s="139" t="n">
        <f aca="false">'CP RESUMO'!Q24</f>
        <v>0</v>
      </c>
      <c r="N18" s="140" t="n">
        <f aca="false">MAX(0,M18-M17)</f>
        <v>0</v>
      </c>
      <c r="O18" s="139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HISTORICOS'!R24)</f>
        <v>2699.76</v>
      </c>
      <c r="D19" s="45" t="n">
        <f aca="false">IF(B19&lt;='VALOR POR PL'!$P$5,0,IF($K$17&gt;0,$K$18*P19/$K$17,0))</f>
        <v>0</v>
      </c>
      <c r="E19" s="45" t="n">
        <f aca="false">L19+D19/$K$2</f>
        <v>2.17638158101575</v>
      </c>
      <c r="F19" s="117" t="n">
        <f aca="false">IF($K$9=0,0,E19/$K$9)</f>
        <v>0.00024666811067356</v>
      </c>
      <c r="G19" s="117" t="n">
        <f aca="false">G18+F19</f>
        <v>0.0287406684684793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2.17638158101575</v>
      </c>
      <c r="M19" s="139" t="n">
        <f aca="false">'CP RESUMO'!R24</f>
        <v>0</v>
      </c>
      <c r="N19" s="140" t="n">
        <f aca="false">MAX(0,M19-M18)</f>
        <v>0</v>
      </c>
      <c r="O19" s="139" t="n">
        <f aca="false">IF(B19&lt;='VALOR POR PL'!$P$5,'CP RESUMO'!R66,"")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HISTORICOS'!S24)</f>
        <v>6812.89</v>
      </c>
      <c r="D20" s="45" t="n">
        <f aca="false">IF(B20&lt;='VALOR POR PL'!$P$5,0,IF($K$17&gt;0,$K$18*P20/$K$17,0))</f>
        <v>0</v>
      </c>
      <c r="E20" s="45" t="n">
        <f aca="false">L20+D20/$K$2</f>
        <v>5.46263132616677</v>
      </c>
      <c r="F20" s="117" t="n">
        <f aca="false">IF($K$9=0,0,E20/$K$9)</f>
        <v>0.000619127160551911</v>
      </c>
      <c r="G20" s="117" t="n">
        <f aca="false">G19+F20</f>
        <v>0.0293597956290313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5.46263132616677</v>
      </c>
      <c r="M20" s="139" t="n">
        <f aca="false">'CP RESUMO'!S24</f>
        <v>0</v>
      </c>
      <c r="N20" s="140" t="n">
        <f aca="false">MAX(0,M20-M19)</f>
        <v>0</v>
      </c>
      <c r="O20" s="139" t="n">
        <f aca="false">IF(B20&lt;='VALOR POR PL'!$P$5,'CP RESUMO'!S66,"")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HISTORICOS'!T24)</f>
        <v>7848.83</v>
      </c>
      <c r="D21" s="45" t="n">
        <f aca="false">IF(B21&lt;='VALOR POR PL'!$P$5,0,IF($K$17&gt;0,$K$18*P21/$K$17,0))</f>
        <v>0</v>
      </c>
      <c r="E21" s="45" t="n">
        <f aca="false">L21+D21/$K$2</f>
        <v>6.23095108807829</v>
      </c>
      <c r="F21" s="117" t="n">
        <f aca="false">IF($K$9=0,0,E21/$K$9)</f>
        <v>0.000706207471154165</v>
      </c>
      <c r="G21" s="117" t="n">
        <f aca="false">G20+F21</f>
        <v>0.0300660031001854</v>
      </c>
      <c r="H21" s="138"/>
      <c r="K21" s="143"/>
      <c r="L21" s="45" t="n">
        <f aca="false">C21/IF(B21&lt;='VALOR POR PL'!$P$5,IFERROR(INDEX('"INCC-FGV"'!$B$2:$B$800,MATCH(B21,'"INCC-FGV"'!$A$2:$A$800,0)),$K$2),$K$2)</f>
        <v>6.23095108807829</v>
      </c>
      <c r="M21" s="139" t="n">
        <f aca="false">'CP RESUMO'!T24</f>
        <v>0</v>
      </c>
      <c r="N21" s="140" t="n">
        <f aca="false">MAX(0,M21-M20)</f>
        <v>0</v>
      </c>
      <c r="O21" s="139" t="n">
        <f aca="false">IF(B21&lt;='VALOR POR PL'!$P$5,'CP RESUMO'!T66,"")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HISTORICOS'!U24)</f>
        <v>14051.66</v>
      </c>
      <c r="D22" s="45" t="n">
        <f aca="false">IF(B22&lt;='VALOR POR PL'!$P$5,0,IF($K$17&gt;0,$K$18*P22/$K$17,0))</f>
        <v>0</v>
      </c>
      <c r="E22" s="45" t="n">
        <f aca="false">L22+D22/$K$2</f>
        <v>11.0582476518755</v>
      </c>
      <c r="F22" s="117" t="n">
        <f aca="false">IF($K$9=0,0,E22/$K$9)</f>
        <v>0.00125332665900224</v>
      </c>
      <c r="G22" s="117" t="n">
        <f aca="false">G21+F22</f>
        <v>0.0313193297591877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11.0582476518755</v>
      </c>
      <c r="M22" s="139" t="n">
        <f aca="false">'CP RESUMO'!U24</f>
        <v>0</v>
      </c>
      <c r="N22" s="140" t="n">
        <f aca="false">MAX(0,M22-M21)</f>
        <v>0</v>
      </c>
      <c r="O22" s="139" t="n">
        <f aca="false">IF(B22&lt;='VALOR POR PL'!$P$5,'CP RESUMO'!U66,"")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HISTORICOS'!V24)</f>
        <v>21204.58</v>
      </c>
      <c r="D23" s="45" t="n">
        <f aca="false">IF(B23&lt;='VALOR POR PL'!$P$5,0,IF($K$17&gt;0,$K$18*P23/$K$17,0))</f>
        <v>0</v>
      </c>
      <c r="E23" s="45" t="n">
        <f aca="false">L23+D23/$K$2</f>
        <v>16.5577862960814</v>
      </c>
      <c r="F23" s="117" t="n">
        <f aca="false">IF($K$9=0,0,E23/$K$9)</f>
        <v>0.00187663684448422</v>
      </c>
      <c r="G23" s="117" t="n">
        <f aca="false">G22+F23</f>
        <v>0.0331959666036719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16.5577862960814</v>
      </c>
      <c r="M23" s="139" t="n">
        <f aca="false">'CP RESUMO'!V24</f>
        <v>0</v>
      </c>
      <c r="N23" s="140" t="n">
        <f aca="false">MAX(0,M23-M22)</f>
        <v>0</v>
      </c>
      <c r="O23" s="139" t="n">
        <f aca="false">IF(B23&lt;='VALOR POR PL'!$P$5,'CP RESUMO'!V66,"")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HISTORICOS'!W24)</f>
        <v>27958.4</v>
      </c>
      <c r="D24" s="45" t="n">
        <f aca="false">IF(B24&lt;='VALOR POR PL'!$P$5,0,IF($K$17&gt;0,$K$18*P24/$K$17,0))</f>
        <v>0</v>
      </c>
      <c r="E24" s="45" t="n">
        <f aca="false">L24+D24/$K$2</f>
        <v>21.6995710286387</v>
      </c>
      <c r="F24" s="117" t="n">
        <f aca="false">IF($K$9=0,0,E24/$K$9)</f>
        <v>0.00245939969109778</v>
      </c>
      <c r="G24" s="117" t="n">
        <f aca="false">G23+F24</f>
        <v>0.0356553662947697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21.6995710286387</v>
      </c>
      <c r="M24" s="139" t="n">
        <f aca="false">'CP RESUMO'!W24</f>
        <v>0</v>
      </c>
      <c r="N24" s="140" t="n">
        <f aca="false">MAX(0,M24-M23)</f>
        <v>0</v>
      </c>
      <c r="O24" s="139" t="n">
        <f aca="false">IF(B24&lt;='VALOR POR PL'!$P$5,'CP RESUMO'!W66,"")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HISTORICOS'!X24)</f>
        <v>35422.41</v>
      </c>
      <c r="D25" s="45" t="n">
        <f aca="false">IF(B25&lt;='VALOR POR PL'!$P$5,0,IF($K$17&gt;0,$K$18*P25/$K$17,0))</f>
        <v>0</v>
      </c>
      <c r="E25" s="45" t="n">
        <f aca="false">L25+D25/$K$2</f>
        <v>27.3133706893959</v>
      </c>
      <c r="F25" s="117" t="n">
        <f aca="false">IF($K$9=0,0,E25/$K$9)</f>
        <v>0.00309566006386411</v>
      </c>
      <c r="G25" s="117" t="n">
        <f aca="false">G24+F25</f>
        <v>0.0387510263586338</v>
      </c>
      <c r="H25" s="138"/>
      <c r="L25" s="45" t="n">
        <f aca="false">C25/IF(B25&lt;='VALOR POR PL'!$P$5,IFERROR(INDEX('"INCC-FGV"'!$B$2:$B$800,MATCH(B25,'"INCC-FGV"'!$A$2:$A$800,0)),$K$2),$K$2)</f>
        <v>27.3133706893959</v>
      </c>
      <c r="M25" s="139" t="n">
        <f aca="false">'CP RESUMO'!X24</f>
        <v>0</v>
      </c>
      <c r="N25" s="140" t="n">
        <f aca="false">MAX(0,M25-M24)</f>
        <v>0</v>
      </c>
      <c r="O25" s="139" t="n">
        <f aca="false">IF(B25&lt;='VALOR POR PL'!$P$5,'CP RESUMO'!X66,"")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HISTORICOS'!Y24)</f>
        <v>85098.16</v>
      </c>
      <c r="D26" s="45" t="n">
        <f aca="false">IF(B26&lt;='VALOR POR PL'!$P$5,0,IF($K$17&gt;0,$K$18*P26/$K$17,0))</f>
        <v>0</v>
      </c>
      <c r="E26" s="45" t="n">
        <f aca="false">L26+D26/$K$2</f>
        <v>65.4731169724453</v>
      </c>
      <c r="F26" s="117" t="n">
        <f aca="false">IF($K$9=0,0,E26/$K$9)</f>
        <v>0.00742063349753427</v>
      </c>
      <c r="G26" s="117" t="n">
        <f aca="false">G25+F26</f>
        <v>0.046171659856168</v>
      </c>
      <c r="H26" s="138" t="n">
        <v>88000</v>
      </c>
      <c r="L26" s="45" t="n">
        <f aca="false">C26/IF(B26&lt;='VALOR POR PL'!$P$5,IFERROR(INDEX('"INCC-FGV"'!$B$2:$B$800,MATCH(B26,'"INCC-FGV"'!$A$2:$A$800,0)),$K$2),$K$2)</f>
        <v>65.4731169724453</v>
      </c>
      <c r="M26" s="139" t="n">
        <f aca="false">'CP RESUMO'!Y24</f>
        <v>0.18</v>
      </c>
      <c r="N26" s="140" t="n">
        <f aca="false">MAX(0,M26-M25)</f>
        <v>0.18</v>
      </c>
      <c r="O26" s="139" t="n">
        <f aca="false">IF(B26&lt;='VALOR POR PL'!$P$5,'CP RESUMO'!Y66,"")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HISTORICOS'!Z24)</f>
        <v>79167.5</v>
      </c>
      <c r="D27" s="45" t="n">
        <f aca="false">IF(B27&lt;='VALOR POR PL'!$P$5,0,IF($K$17&gt;0,$K$18*P27/$K$17,0))</f>
        <v>84671.3954532542</v>
      </c>
      <c r="E27" s="45" t="n">
        <f aca="false">L27+D27/$K$2</f>
        <v>126.054936636082</v>
      </c>
      <c r="F27" s="117" t="n">
        <f aca="false">IF($K$9=0,0,E27/$K$9)</f>
        <v>0.0142868940503465</v>
      </c>
      <c r="G27" s="117" t="n">
        <f aca="false">G26+F27</f>
        <v>0.0604585539065145</v>
      </c>
      <c r="H27" s="138" t="n">
        <v>75017.81</v>
      </c>
      <c r="L27" s="45" t="n">
        <f aca="false">C27/IF(B27&lt;='VALOR POR PL'!$P$5,IFERROR(INDEX('"INCC-FGV"'!$B$2:$B$800,MATCH(B27,'"INCC-FGV"'!$A$2:$A$800,0)),$K$2),$K$2)</f>
        <v>60.91016524818</v>
      </c>
      <c r="M27" s="139" t="n">
        <f aca="false">'CP RESUMO'!Z24</f>
        <v>0.96</v>
      </c>
      <c r="N27" s="140" t="n">
        <f aca="false">MAX(0,M27-M26)</f>
        <v>0.78</v>
      </c>
      <c r="O27" s="139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0.78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HISTORICOS'!AA24)</f>
        <v>20138.18</v>
      </c>
      <c r="D28" s="45" t="n">
        <f aca="false">IF(B28&lt;='VALOR POR PL'!$P$5,0,IF($K$17&gt;0,$K$18*P28/$K$17,0))</f>
        <v>124836.031758003</v>
      </c>
      <c r="E28" s="45" t="n">
        <f aca="false">L28+D28/$K$2</f>
        <v>111.540760980258</v>
      </c>
      <c r="F28" s="117" t="n">
        <f aca="false">IF($K$9=0,0,E28/$K$9)</f>
        <v>0.0126418772397672</v>
      </c>
      <c r="G28" s="117" t="n">
        <f aca="false">G27+F28</f>
        <v>0.0731004311462817</v>
      </c>
      <c r="H28" s="138" t="n">
        <v>85017.81</v>
      </c>
      <c r="L28" s="45" t="n">
        <f aca="false">C28/IF(B28&lt;='VALOR POR PL'!$P$5,IFERROR(INDEX('"INCC-FGV"'!$B$2:$B$800,MATCH(B28,'"INCC-FGV"'!$A$2:$A$800,0)),$K$2),$K$2)</f>
        <v>15.4939826519417</v>
      </c>
      <c r="M28" s="139" t="n">
        <f aca="false">'CP RESUMO'!AA24</f>
        <v>2.11</v>
      </c>
      <c r="N28" s="140" t="n">
        <f aca="false">MAX(0,M28-M27)</f>
        <v>1.15</v>
      </c>
      <c r="O28" s="139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1.15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HISTORICOS'!AB24)</f>
        <v>3216.16</v>
      </c>
      <c r="D29" s="45" t="n">
        <f aca="false">IF(B29&lt;='VALOR POR PL'!$P$5,0,IF($K$17&gt;0,$K$18*P29/$K$17,0))</f>
        <v>82500.3340313759</v>
      </c>
      <c r="E29" s="45" t="n">
        <f aca="false">L29+D29/$K$2</f>
        <v>65.9488529503362</v>
      </c>
      <c r="F29" s="117" t="n">
        <f aca="false">IF($K$9=0,0,E29/$K$9)</f>
        <v>0.00747455276236789</v>
      </c>
      <c r="G29" s="117" t="n">
        <f aca="false">G28+F29</f>
        <v>0.0805749839086496</v>
      </c>
      <c r="H29" s="138" t="n">
        <v>95017.81</v>
      </c>
      <c r="L29" s="45" t="n">
        <f aca="false">C29/IF(B29&lt;='VALOR POR PL'!$P$5,IFERROR(INDEX('"INCC-FGV"'!$B$2:$B$800,MATCH(B29,'"INCC-FGV"'!$A$2:$A$800,0)),$K$2),$K$2)</f>
        <v>2.4744603159704</v>
      </c>
      <c r="M29" s="139" t="n">
        <f aca="false">'CP RESUMO'!AB24</f>
        <v>2.87</v>
      </c>
      <c r="N29" s="140" t="n">
        <f aca="false">MAX(0,M29-M28)</f>
        <v>0.76</v>
      </c>
      <c r="O29" s="139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0.76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HISTORICOS'!AC24)</f>
        <v>0</v>
      </c>
      <c r="D30" s="45" t="n">
        <f aca="false">IF(B30&lt;='VALOR POR PL'!$P$5,0,IF($K$17&gt;0,$K$18*P30/$K$17,0))</f>
        <v>309376.252617659</v>
      </c>
      <c r="E30" s="45" t="n">
        <f aca="false">L30+D30/$K$2</f>
        <v>238.028972378872</v>
      </c>
      <c r="F30" s="117" t="n">
        <f aca="false">IF($K$9=0,0,E30/$K$9)</f>
        <v>0.0269778780588937</v>
      </c>
      <c r="G30" s="117" t="n">
        <f aca="false">G29+F30</f>
        <v>0.107552861967543</v>
      </c>
      <c r="H30" s="138" t="n">
        <v>257807.58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RESUMO'!AC24</f>
        <v>5.72</v>
      </c>
      <c r="N30" s="140" t="n">
        <f aca="false">MAX(0,M30-M29)</f>
        <v>2.85</v>
      </c>
      <c r="O30" s="139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2.85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493916.473477316</v>
      </c>
      <c r="E31" s="45" t="n">
        <f aca="false">L31+D31/$K$2</f>
        <v>380.011166429427</v>
      </c>
      <c r="F31" s="117" t="n">
        <f aca="false">IF($K$9=0,0,E31/$K$9)</f>
        <v>0.0430699456729707</v>
      </c>
      <c r="G31" s="117" t="n">
        <f aca="false">G30+F31</f>
        <v>0.150622807640514</v>
      </c>
      <c r="H31" s="138" t="n">
        <v>350492.51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RESUMO'!AD24</f>
        <v>10.27</v>
      </c>
      <c r="N31" s="140" t="n">
        <f aca="false">MAX(0,M31-M30)</f>
        <v>4.55</v>
      </c>
      <c r="O31" s="139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4.55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554706.193289909</v>
      </c>
      <c r="E32" s="45" t="n">
        <f aca="false">L32+D32/$K$2</f>
        <v>426.781771528433</v>
      </c>
      <c r="F32" s="117" t="n">
        <f aca="false">IF($K$9=0,0,E32/$K$9)</f>
        <v>0.0483708620634902</v>
      </c>
      <c r="G32" s="117" t="n">
        <f aca="false">G31+F32</f>
        <v>0.198993669704004</v>
      </c>
      <c r="H32" s="138" t="n">
        <v>366032.12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RESUMO'!AE24</f>
        <v>15.38</v>
      </c>
      <c r="N32" s="140" t="n">
        <f aca="false">MAX(0,M32-M31)</f>
        <v>5.11</v>
      </c>
      <c r="O32" s="139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5.11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547107.478313335</v>
      </c>
      <c r="E33" s="45" t="n">
        <f aca="false">L33+D33/$K$2</f>
        <v>420.935445891057</v>
      </c>
      <c r="F33" s="117" t="n">
        <f aca="false">IF($K$9=0,0,E33/$K$9)</f>
        <v>0.0477082475146753</v>
      </c>
      <c r="G33" s="117" t="n">
        <f aca="false">G32+F33</f>
        <v>0.246701917218679</v>
      </c>
      <c r="H33" s="138" t="n">
        <v>404256.44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RESUMO'!AF24</f>
        <v>20.42</v>
      </c>
      <c r="N33" s="140" t="n">
        <f aca="false">MAX(0,M33-M32)</f>
        <v>5.04</v>
      </c>
      <c r="O33" s="139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5.04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778325.519743375</v>
      </c>
      <c r="E34" s="45" t="n">
        <f aca="false">L34+D34/$K$2</f>
        <v>598.830783142635</v>
      </c>
      <c r="F34" s="117" t="n">
        <f aca="false">IF($K$9=0,0,E34/$K$9)</f>
        <v>0.0678706616429011</v>
      </c>
      <c r="G34" s="117" t="n">
        <f aca="false">G33+F34</f>
        <v>0.314572578861581</v>
      </c>
      <c r="H34" s="138" t="n">
        <v>421763.01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RESUMO'!AG24</f>
        <v>27.59</v>
      </c>
      <c r="N34" s="140" t="n">
        <f aca="false">MAX(0,M34-M33)</f>
        <v>7.17</v>
      </c>
      <c r="O34" s="139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7.17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949839.372071762</v>
      </c>
      <c r="E35" s="45" t="n">
        <f aca="false">L35+D35/$K$2</f>
        <v>730.790704671975</v>
      </c>
      <c r="F35" s="117" t="n">
        <f aca="false">IF($K$9=0,0,E35/$K$9)</f>
        <v>0.0828268186018668</v>
      </c>
      <c r="G35" s="117" t="n">
        <f aca="false">G34+F35</f>
        <v>0.397399397463447</v>
      </c>
      <c r="H35" s="138" t="n">
        <v>435852.15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RESUMO'!AH24</f>
        <v>36.34</v>
      </c>
      <c r="N35" s="140" t="n">
        <f aca="false">MAX(0,M35-M34)</f>
        <v>8.75</v>
      </c>
      <c r="O35" s="139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8.75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725134.514907356</v>
      </c>
      <c r="E36" s="45" t="n">
        <f aca="false">L36+D36/$K$2</f>
        <v>557.906503681004</v>
      </c>
      <c r="F36" s="117" t="n">
        <f aca="false">IF($K$9=0,0,E36/$K$9)</f>
        <v>0.0632323598011965</v>
      </c>
      <c r="G36" s="117" t="n">
        <f aca="false">G35+F36</f>
        <v>0.460631757264644</v>
      </c>
      <c r="H36" s="138" t="n">
        <v>513511.2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RESUMO'!AI24</f>
        <v>43.02</v>
      </c>
      <c r="N36" s="140" t="n">
        <f aca="false">MAX(0,M36-M35)</f>
        <v>6.68</v>
      </c>
      <c r="O36" s="139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6.68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656746.080118189</v>
      </c>
      <c r="E37" s="45" t="n">
        <f aca="false">L37+D37/$K$2</f>
        <v>505.289572944622</v>
      </c>
      <c r="F37" s="117" t="n">
        <f aca="false">IF($K$9=0,0,E37/$K$9)</f>
        <v>0.0572688288618621</v>
      </c>
      <c r="G37" s="117" t="n">
        <f aca="false">G36+F37</f>
        <v>0.517900586126506</v>
      </c>
      <c r="H37" s="138" t="n">
        <v>586827.24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RESUMO'!AJ24</f>
        <v>49.07</v>
      </c>
      <c r="N37" s="140" t="n">
        <f aca="false">MAX(0,M37-M36)</f>
        <v>6.05</v>
      </c>
      <c r="O37" s="139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6.05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607897.198125927</v>
      </c>
      <c r="E38" s="45" t="n">
        <f aca="false">L38+D38/$K$2</f>
        <v>467.706050990064</v>
      </c>
      <c r="F38" s="117" t="n">
        <f aca="false">IF($K$9=0,0,E38/$K$9)</f>
        <v>0.0530091639051947</v>
      </c>
      <c r="G38" s="117" t="n">
        <f aca="false">G37+F38</f>
        <v>0.570909750031701</v>
      </c>
      <c r="H38" s="138" t="n">
        <v>689322.05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RESUMO'!AK24</f>
        <v>54.67</v>
      </c>
      <c r="N38" s="140" t="n">
        <f aca="false">MAX(0,M38-M37)</f>
        <v>5.6</v>
      </c>
      <c r="O38" s="139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5.6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523225.802672673</v>
      </c>
      <c r="E39" s="45" t="n">
        <f aca="false">L39+D39/$K$2</f>
        <v>402.561279602162</v>
      </c>
      <c r="F39" s="117" t="n">
        <f aca="false">IF($K$9=0,0,E39/$K$9)</f>
        <v>0.0456257446469712</v>
      </c>
      <c r="G39" s="117" t="n">
        <f aca="false">G38+F39</f>
        <v>0.616535494678672</v>
      </c>
      <c r="H39" s="138" t="n">
        <v>524561.11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RESUMO'!AL24</f>
        <v>59.49</v>
      </c>
      <c r="N39" s="140" t="n">
        <f aca="false">MAX(0,M39-M38)</f>
        <v>4.82</v>
      </c>
      <c r="O39" s="139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4.82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HISTORICOS'!AM24)</f>
        <v>0</v>
      </c>
      <c r="D40" s="45" t="n">
        <f aca="false">IF(B40&lt;='VALOR POR PL'!$P$5,0,IF($K$17&gt;0,$K$18*P40/$K$17,0))</f>
        <v>682798.817180729</v>
      </c>
      <c r="E40" s="45" t="n">
        <f aca="false">L40+D40/$K$2</f>
        <v>525.334117987054</v>
      </c>
      <c r="F40" s="117" t="n">
        <f aca="false">IF($K$9=0,0,E40/$K$9)</f>
        <v>0.0595406501720848</v>
      </c>
      <c r="G40" s="117" t="n">
        <f aca="false">G39+F40</f>
        <v>0.676076144850757</v>
      </c>
      <c r="H40" s="138" t="n">
        <v>647731.32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RESUMO'!AM24</f>
        <v>65.78</v>
      </c>
      <c r="N40" s="140" t="n">
        <f aca="false">MAX(0,M40-M39)</f>
        <v>6.29</v>
      </c>
      <c r="O40" s="139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6.29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72730.5576329236</v>
      </c>
      <c r="E41" s="45" t="n">
        <f aca="false">L41+D41/$K$2</f>
        <v>55.9576882434542</v>
      </c>
      <c r="F41" s="117" t="n">
        <f aca="false">IF($K$9=0,0,E41/$K$9)</f>
        <v>0.00634216782437153</v>
      </c>
      <c r="G41" s="117" t="n">
        <f aca="false">G40+F41</f>
        <v>0.682418312675128</v>
      </c>
      <c r="H41" s="138" t="n">
        <v>486037.17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RESUMO'!AN24</f>
        <v>66.45</v>
      </c>
      <c r="N41" s="140" t="n">
        <f aca="false">MAX(0,M41-M40)</f>
        <v>0.670000000000002</v>
      </c>
      <c r="O41" s="139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0.670000000000002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318060.498305172</v>
      </c>
      <c r="E42" s="45" t="n">
        <f aca="false">L42+D42/$K$2</f>
        <v>244.710487393015</v>
      </c>
      <c r="F42" s="117" t="n">
        <f aca="false">IF($K$9=0,0,E42/$K$9)</f>
        <v>0.0277351518289679</v>
      </c>
      <c r="G42" s="117" t="n">
        <f aca="false">G41+F42</f>
        <v>0.710153464504096</v>
      </c>
      <c r="H42" s="138" t="n">
        <v>507891.8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RESUMO'!AO24</f>
        <v>69.38</v>
      </c>
      <c r="N42" s="140" t="n">
        <f aca="false">MAX(0,M42-M41)</f>
        <v>2.92999999999999</v>
      </c>
      <c r="O42" s="139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2.92999999999999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202994.242945623</v>
      </c>
      <c r="E43" s="45" t="n">
        <f aca="false">L43+D43/$K$2</f>
        <v>156.180413455611</v>
      </c>
      <c r="F43" s="117" t="n">
        <f aca="false">IF($K$9=0,0,E43/$K$9)</f>
        <v>0.0177012743754847</v>
      </c>
      <c r="G43" s="117" t="n">
        <f aca="false">G42+F43</f>
        <v>0.727854738879581</v>
      </c>
      <c r="H43" s="138" t="n">
        <v>644070.82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RESUMO'!AP24</f>
        <v>71.25</v>
      </c>
      <c r="N43" s="140" t="n">
        <f aca="false">MAX(0,M43-M42)</f>
        <v>1.87</v>
      </c>
      <c r="O43" s="139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1.87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422271.446555332</v>
      </c>
      <c r="E44" s="45" t="n">
        <f aca="false">L44+D44/$K$2</f>
        <v>324.888667562741</v>
      </c>
      <c r="F44" s="117" t="n">
        <f aca="false">IF($K$9=0,0,E44/$K$9)</f>
        <v>0.0368224370698585</v>
      </c>
      <c r="G44" s="117" t="n">
        <f aca="false">G43+F44</f>
        <v>0.764677175949439</v>
      </c>
      <c r="H44" s="138" t="n">
        <v>676446.54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RESUMO'!AQ24</f>
        <v>75.14</v>
      </c>
      <c r="N44" s="140" t="n">
        <f aca="false">MAX(0,M44-M43)</f>
        <v>3.89</v>
      </c>
      <c r="O44" s="139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3.89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284409.046266059</v>
      </c>
      <c r="E45" s="45" t="n">
        <f aca="false">L45+D45/$K$2</f>
        <v>218.819616713209</v>
      </c>
      <c r="F45" s="117" t="n">
        <f aca="false">IF($K$9=0,0,E45/$K$9)</f>
        <v>0.0248007159699304</v>
      </c>
      <c r="G45" s="117" t="n">
        <f aca="false">G44+F45</f>
        <v>0.78947789191937</v>
      </c>
      <c r="H45" s="138" t="n">
        <v>391753.61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RESUMO'!AR24</f>
        <v>77.76</v>
      </c>
      <c r="N45" s="140" t="n">
        <f aca="false">MAX(0,M45-M44)</f>
        <v>2.62</v>
      </c>
      <c r="O45" s="139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2.62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528653.456227368</v>
      </c>
      <c r="E46" s="45" t="n">
        <f aca="false">L46+D46/$K$2</f>
        <v>406.737226486001</v>
      </c>
      <c r="F46" s="117" t="n">
        <f aca="false">IF($K$9=0,0,E46/$K$9)</f>
        <v>0.0460990407532675</v>
      </c>
      <c r="G46" s="117" t="n">
        <f aca="false">G45+F46</f>
        <v>0.835576932672637</v>
      </c>
      <c r="H46" s="138" t="n">
        <v>386065.23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RESUMO'!AS24</f>
        <v>82.63</v>
      </c>
      <c r="N46" s="140" t="n">
        <f aca="false">MAX(0,M46-M45)</f>
        <v>4.86999999999999</v>
      </c>
      <c r="O46" s="139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4.86999999999999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120493.908914246</v>
      </c>
      <c r="E47" s="45" t="n">
        <f aca="false">L47+D47/$K$2</f>
        <v>92.7060208212447</v>
      </c>
      <c r="F47" s="117" t="n">
        <f aca="false">IF($K$9=0,0,E47/$K$9)</f>
        <v>0.0105071735597797</v>
      </c>
      <c r="G47" s="117" t="n">
        <f aca="false">G46+F47</f>
        <v>0.846084106232417</v>
      </c>
      <c r="H47" s="138" t="n">
        <v>276828.97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RESUMO'!AT24</f>
        <v>83.74</v>
      </c>
      <c r="N47" s="140" t="n">
        <f aca="false">MAX(0,M47-M46)</f>
        <v>1.11</v>
      </c>
      <c r="O47" s="139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1.11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641548.650165042</v>
      </c>
      <c r="E48" s="45" t="n">
        <f aca="false">L48+D48/$K$2</f>
        <v>493.596921669872</v>
      </c>
      <c r="F48" s="117" t="n">
        <f aca="false">IF($K$9=0,0,E48/$K$9)</f>
        <v>0.0559435997642324</v>
      </c>
      <c r="G48" s="117" t="n">
        <f aca="false">G47+F48</f>
        <v>0.902027705996649</v>
      </c>
      <c r="H48" s="138" t="n">
        <v>233218.74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RESUMO'!AU24</f>
        <v>89.65</v>
      </c>
      <c r="N48" s="140" t="n">
        <f aca="false">MAX(0,M48-M47)</f>
        <v>5.91000000000001</v>
      </c>
      <c r="O48" s="139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5.91000000000001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719706.86135266</v>
      </c>
      <c r="E49" s="45" t="n">
        <f aca="false">L49+D49/$K$2</f>
        <v>553.730556797164</v>
      </c>
      <c r="F49" s="117" t="n">
        <f aca="false">IF($K$9=0,0,E49/$K$9)</f>
        <v>0.0627590636949001</v>
      </c>
      <c r="G49" s="117" t="n">
        <f aca="false">G48+F49</f>
        <v>0.964786769691549</v>
      </c>
      <c r="H49" s="138" t="n">
        <v>254494.18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RESUMO'!AV24</f>
        <v>96.28</v>
      </c>
      <c r="N49" s="140" t="n">
        <f aca="false">MAX(0,M49-M48)</f>
        <v>6.63</v>
      </c>
      <c r="O49" s="139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6.63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230132.510719102</v>
      </c>
      <c r="E50" s="45" t="n">
        <f aca="false">L50+D50/$K$2</f>
        <v>177.06014787481</v>
      </c>
      <c r="F50" s="117" t="n">
        <f aca="false">IF($K$9=0,0,E50/$K$9)</f>
        <v>0.0200677549069666</v>
      </c>
      <c r="G50" s="117" t="n">
        <f aca="false">G49+F50</f>
        <v>0.984854524598516</v>
      </c>
      <c r="H50" s="138" t="n">
        <v>280246.47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RESUMO'!AW24</f>
        <v>98.4</v>
      </c>
      <c r="N50" s="140" t="n">
        <f aca="false">MAX(0,M50-M49)</f>
        <v>2.12</v>
      </c>
      <c r="O50" s="139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2.12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92270.1104298276</v>
      </c>
      <c r="E51" s="45" t="n">
        <f aca="false">L51+D51/$K$2</f>
        <v>70.991097025277</v>
      </c>
      <c r="F51" s="117" t="n">
        <f aca="false">IF($K$9=0,0,E51/$K$9)</f>
        <v>0.00804603380703843</v>
      </c>
      <c r="G51" s="117" t="n">
        <f aca="false">G50+F51</f>
        <v>0.992900558405554</v>
      </c>
      <c r="H51" s="138" t="n">
        <v>139803.35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RESUMO'!AX24</f>
        <v>99.25</v>
      </c>
      <c r="N51" s="140" t="n">
        <f aca="false">MAX(0,M51-M50)</f>
        <v>0.849999999999994</v>
      </c>
      <c r="O51" s="139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0.849999999999994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81414.8033204367</v>
      </c>
      <c r="E52" s="45" t="n">
        <f aca="false">L52+D52/$K$2</f>
        <v>62.6392032575978</v>
      </c>
      <c r="F52" s="117" t="n">
        <f aca="false">IF($K$9=0,0,E52/$K$9)</f>
        <v>0.00709944159444572</v>
      </c>
      <c r="G52" s="117" t="n">
        <f aca="false">G51+F52</f>
        <v>1</v>
      </c>
      <c r="H52" s="138" t="n">
        <v>137404.52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RESUMO'!AY24</f>
        <v>100</v>
      </c>
      <c r="N52" s="140" t="n">
        <f aca="false">MAX(0,M52-M51)</f>
        <v>0.75</v>
      </c>
      <c r="O52" s="139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0.75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 t="n">
        <v>110371.85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RESUMO'!AZ24</f>
        <v>100</v>
      </c>
      <c r="N53" s="140" t="n">
        <f aca="false">MAX(0,M53-M52)</f>
        <v>0</v>
      </c>
      <c r="O53" s="139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58664.07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RESUMO'!BA24</f>
        <v>100</v>
      </c>
      <c r="N54" s="140" t="n">
        <f aca="false">MAX(0,M54-M53)</f>
        <v>0</v>
      </c>
      <c r="O54" s="139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619344.96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RESUMO'!BB24</f>
        <v>100</v>
      </c>
      <c r="N55" s="140" t="n">
        <f aca="false">MAX(0,M55-M54)</f>
        <v>0</v>
      </c>
      <c r="O55" s="139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RESUMO'!BC24</f>
        <v>100</v>
      </c>
      <c r="N56" s="140" t="n">
        <f aca="false">MAX(0,M56-M55)</f>
        <v>0</v>
      </c>
      <c r="O56" s="139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RESUMO'!BD24</f>
        <v>100</v>
      </c>
      <c r="N57" s="140" t="n">
        <f aca="false">MAX(0,M57-M56)</f>
        <v>0</v>
      </c>
      <c r="O57" s="139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RESUMO'!BE24</f>
        <v>100</v>
      </c>
      <c r="N58" s="140" t="n">
        <f aca="false">MAX(0,M58-M57)</f>
        <v>0</v>
      </c>
      <c r="O58" s="139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RESUMO'!BF24</f>
        <v>100</v>
      </c>
      <c r="N59" s="140" t="n">
        <f aca="false">MAX(0,M59-M58)</f>
        <v>0</v>
      </c>
      <c r="O59" s="139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RESUMO'!BG24</f>
        <v>100</v>
      </c>
      <c r="N60" s="140" t="n">
        <f aca="false">MAX(0,M60-M59)</f>
        <v>0</v>
      </c>
      <c r="O60" s="139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RESUMO'!BH24</f>
        <v>100</v>
      </c>
      <c r="N61" s="140" t="n">
        <f aca="false">MAX(0,M61-M60)</f>
        <v>0</v>
      </c>
      <c r="O61" s="139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RESUMO'!BI24</f>
        <v>100</v>
      </c>
      <c r="N62" s="140" t="n">
        <f aca="false">MAX(0,M62-M61)</f>
        <v>0</v>
      </c>
      <c r="O62" s="139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RESUMO'!BJ24</f>
        <v>100</v>
      </c>
      <c r="N63" s="140" t="n">
        <f aca="false">MAX(0,M63-M62)</f>
        <v>0</v>
      </c>
      <c r="O63" s="139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RESUMO'!BK24</f>
        <v>100</v>
      </c>
      <c r="N64" s="140" t="n">
        <f aca="false">MAX(0,M64-M63)</f>
        <v>0</v>
      </c>
      <c r="O64" s="139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RESUMO'!BL24</f>
        <v>100</v>
      </c>
      <c r="N65" s="140" t="n">
        <f aca="false">MAX(0,M65-M64)</f>
        <v>0</v>
      </c>
      <c r="O65" s="139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RESUMO'!BM24</f>
        <v>100</v>
      </c>
      <c r="N66" s="140" t="n">
        <f aca="false">MAX(0,M66-M65)</f>
        <v>0</v>
      </c>
      <c r="O66" s="139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RESUMO'!BN24</f>
        <v>100</v>
      </c>
      <c r="N67" s="140" t="n">
        <f aca="false">MAX(0,M67-M66)</f>
        <v>0</v>
      </c>
      <c r="O67" s="139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RESUMO'!BO24</f>
        <v>100</v>
      </c>
      <c r="N68" s="140" t="n">
        <f aca="false">MAX(0,M68-M67)</f>
        <v>0</v>
      </c>
      <c r="O68" s="139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RESUMO'!BP24</f>
        <v>100</v>
      </c>
      <c r="N69" s="140" t="n">
        <f aca="false">MAX(0,M69-M68)</f>
        <v>0</v>
      </c>
      <c r="O69" s="139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RESUMO'!BQ24</f>
        <v>100</v>
      </c>
      <c r="N70" s="140" t="n">
        <f aca="false">MAX(0,M70-M69)</f>
        <v>0</v>
      </c>
      <c r="O70" s="139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RESUMO'!BR24</f>
        <v>100</v>
      </c>
      <c r="N71" s="140" t="n">
        <f aca="false">MAX(0,M71-M70)</f>
        <v>0</v>
      </c>
      <c r="O71" s="139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RESUMO'!BS24</f>
        <v>100</v>
      </c>
      <c r="N72" s="140" t="n">
        <f aca="false">MAX(0,M72-M71)</f>
        <v>0</v>
      </c>
      <c r="O72" s="139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RESUMO'!BT24</f>
        <v>100</v>
      </c>
      <c r="N73" s="140" t="n">
        <f aca="false">MAX(0,M73-M72)</f>
        <v>0</v>
      </c>
      <c r="O73" s="139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RESUMO'!BU24</f>
        <v>100</v>
      </c>
      <c r="N74" s="140" t="n">
        <f aca="false">MAX(0,M74-M73)</f>
        <v>0</v>
      </c>
      <c r="O74" s="139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RESUMO'!BV24</f>
        <v>100</v>
      </c>
      <c r="N75" s="140" t="n">
        <f aca="false">MAX(0,M75-M74)</f>
        <v>0</v>
      </c>
      <c r="O75" s="139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RESUMO'!BW24</f>
        <v>100</v>
      </c>
      <c r="N76" s="140" t="n">
        <f aca="false">MAX(0,M76-M75)</f>
        <v>0</v>
      </c>
      <c r="O76" s="139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610981.19</v>
      </c>
      <c r="D78" s="61" t="n">
        <f aca="false">SUM(D5:D76)</f>
        <v>10835767.5565947</v>
      </c>
      <c r="E78" s="61" t="n">
        <f aca="false">SUM(E5:E76)</f>
        <v>8823.11692043553</v>
      </c>
      <c r="F78" s="145" t="n">
        <f aca="false">SUM(F5:F76)</f>
        <v>1</v>
      </c>
      <c r="H78" s="61" t="n">
        <f aca="false">SUM(H5:H76)</f>
        <v>10743852.44</v>
      </c>
      <c r="L78" s="61" t="n">
        <f aca="false">SUM(L5:L76)</f>
        <v>486.256561537642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PL'!F31</f>
        <v>6821837.46</v>
      </c>
      <c r="K5" s="56" t="n">
        <f aca="false">'VALOR POR PL'!G31</f>
        <v>5840.335322</v>
      </c>
      <c r="L5" s="56" t="n">
        <f aca="false">'DADOS HISTORICOS'!$BZ$25</f>
        <v>0</v>
      </c>
      <c r="M5" s="139" t="n">
        <f aca="false">'CP RESUMO'!D25</f>
        <v>0</v>
      </c>
      <c r="N5" s="140" t="n">
        <v>0</v>
      </c>
      <c r="O5" s="139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PL'!H31</f>
        <v>6203.30106562519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RESUMO'!E25</f>
        <v>0</v>
      </c>
      <c r="N6" s="140" t="n">
        <f aca="false">MAX(0,M6-M5)</f>
        <v>0</v>
      </c>
      <c r="O6" s="139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8053689.0934646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RESUMO'!F25</f>
        <v>0</v>
      </c>
      <c r="N7" s="140" t="n">
        <f aca="false">MAX(0,M7-M6)</f>
        <v>0</v>
      </c>
      <c r="O7" s="139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363.143964207165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RESUMO'!G25</f>
        <v>0</v>
      </c>
      <c r="N8" s="140" t="n">
        <f aca="false">MAX(0,M8-M7)</f>
        <v>0</v>
      </c>
      <c r="O8" s="139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8053689.0934646</v>
      </c>
      <c r="K9" s="45" t="n">
        <f aca="false">E78</f>
        <v>6197.91801433758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RESUMO'!H25</f>
        <v>0</v>
      </c>
      <c r="N9" s="140" t="n">
        <f aca="false">MAX(0,M9-M8)</f>
        <v>0</v>
      </c>
      <c r="O9" s="139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5834.77405013041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RESUMO'!I25</f>
        <v>0</v>
      </c>
      <c r="N10" s="140" t="n">
        <f aca="false">MAX(0,M10-M9)</f>
        <v>0</v>
      </c>
      <c r="O10" s="139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7497777.35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RESUMO'!J25</f>
        <v>0</v>
      </c>
      <c r="N11" s="140" t="n">
        <f aca="false">MAX(0,M11-M10)</f>
        <v>0</v>
      </c>
      <c r="O11" s="139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98.99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RESUMO'!K25</f>
        <v>0</v>
      </c>
      <c r="N12" s="140" t="n">
        <f aca="false">MAX(0,M12-M11)</f>
        <v>0</v>
      </c>
      <c r="O12" s="139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RESUMO'!L25</f>
        <v>0</v>
      </c>
      <c r="N13" s="140" t="n">
        <f aca="false">MAX(0,M13-M12)</f>
        <v>0</v>
      </c>
      <c r="O13" s="139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RESUMO'!$D$67:$BW$67,MATCH('VALOR POR PL'!$P$5,'CP RESUMO'!$D$4:$BW$4,0))/100,0)</f>
        <v>0.004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RESUMO'!M25</f>
        <v>0</v>
      </c>
      <c r="N14" s="140" t="n">
        <f aca="false">MAX(0,M14-M13)</f>
        <v>0</v>
      </c>
      <c r="O14" s="139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RESUMO'!N25</f>
        <v>0</v>
      </c>
      <c r="N15" s="140" t="n">
        <f aca="false">MAX(0,M15-M14)</f>
        <v>0</v>
      </c>
      <c r="O15" s="139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RESUMO'!O25</f>
        <v>0</v>
      </c>
      <c r="N16" s="140" t="n">
        <f aca="false">MAX(0,M16-M15)</f>
        <v>0</v>
      </c>
      <c r="O16" s="139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98.99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RESUMO'!P25</f>
        <v>0</v>
      </c>
      <c r="N17" s="140" t="n">
        <f aca="false">MAX(0,M17-M16)</f>
        <v>0</v>
      </c>
      <c r="O17" s="139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7583700.8934646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RESUMO'!Q25</f>
        <v>0</v>
      </c>
      <c r="N18" s="140" t="n">
        <f aca="false">MAX(0,M18-M17)</f>
        <v>0</v>
      </c>
      <c r="O18" s="139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RESUMO'!R25</f>
        <v>0</v>
      </c>
      <c r="N19" s="140" t="n">
        <f aca="false">MAX(0,M19-M18)</f>
        <v>0</v>
      </c>
      <c r="O19" s="139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RESUMO'!S25</f>
        <v>0</v>
      </c>
      <c r="N20" s="140" t="n">
        <f aca="false">MAX(0,M20-M19)</f>
        <v>0</v>
      </c>
      <c r="O20" s="139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RESUMO'!T25</f>
        <v>0</v>
      </c>
      <c r="N21" s="140" t="n">
        <f aca="false">MAX(0,M21-M20)</f>
        <v>0</v>
      </c>
      <c r="O21" s="139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HISTORICOS'!U25)</f>
        <v>47066.31</v>
      </c>
      <c r="D22" s="45" t="n">
        <f aca="false">IF(B22&lt;='VALOR POR PL'!$P$5,0,IF($K$17&gt;0,$K$18*P22/$K$17,0))</f>
        <v>0</v>
      </c>
      <c r="E22" s="45" t="n">
        <f aca="false">L22+D22/$K$2</f>
        <v>37.0398167931722</v>
      </c>
      <c r="F22" s="117" t="n">
        <f aca="false">IF($K$9=0,0,E22/$K$9)</f>
        <v>0.00597617082179668</v>
      </c>
      <c r="G22" s="117" t="n">
        <f aca="false">G21+F22</f>
        <v>0.00597617082179668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37.0398167931722</v>
      </c>
      <c r="M22" s="139" t="n">
        <f aca="false">'CP RESUMO'!U25</f>
        <v>0</v>
      </c>
      <c r="N22" s="140" t="n">
        <f aca="false">MAX(0,M22-M21)</f>
        <v>0</v>
      </c>
      <c r="O22" s="139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HISTORICOS'!V25)</f>
        <v>25524.41</v>
      </c>
      <c r="D23" s="45" t="n">
        <f aca="false">IF(B23&lt;='VALOR POR PL'!$P$5,0,IF($K$17&gt;0,$K$18*P23/$K$17,0))</f>
        <v>0</v>
      </c>
      <c r="E23" s="45" t="n">
        <f aca="false">L23+D23/$K$2</f>
        <v>19.9309642593045</v>
      </c>
      <c r="F23" s="117" t="n">
        <f aca="false">IF($K$9=0,0,E23/$K$9)</f>
        <v>0.0032157515173964</v>
      </c>
      <c r="G23" s="117" t="n">
        <f aca="false">G22+F23</f>
        <v>0.00919192233919308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19.9309642593045</v>
      </c>
      <c r="M23" s="139" t="n">
        <f aca="false">'CP RESUMO'!V25</f>
        <v>0</v>
      </c>
      <c r="N23" s="140" t="n">
        <f aca="false">MAX(0,M23-M22)</f>
        <v>0</v>
      </c>
      <c r="O23" s="139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HISTORICOS'!W25)</f>
        <v>47726.67</v>
      </c>
      <c r="D24" s="45" t="n">
        <f aca="false">IF(B24&lt;='VALOR POR PL'!$P$5,0,IF($K$17&gt;0,$K$18*P24/$K$17,0))</f>
        <v>0</v>
      </c>
      <c r="E24" s="45" t="n">
        <f aca="false">L24+D24/$K$2</f>
        <v>37.0424725887533</v>
      </c>
      <c r="F24" s="117" t="n">
        <f aca="false">IF($K$9=0,0,E24/$K$9)</f>
        <v>0.00597659931981406</v>
      </c>
      <c r="G24" s="117" t="n">
        <f aca="false">G23+F24</f>
        <v>0.0151685216590071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37.0424725887533</v>
      </c>
      <c r="M24" s="139" t="n">
        <f aca="false">'CP RESUMO'!W25</f>
        <v>0</v>
      </c>
      <c r="N24" s="140" t="n">
        <f aca="false">MAX(0,M24-M23)</f>
        <v>0</v>
      </c>
      <c r="O24" s="139" t="n">
        <f aca="false">IF(B24&lt;='VALOR POR PL'!$P$5,'CP RESUMO'!W67,"")</f>
        <v>0.4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HISTORICOS'!X25)</f>
        <v>58947.77</v>
      </c>
      <c r="D25" s="45" t="n">
        <f aca="false">IF(B25&lt;='VALOR POR PL'!$P$5,0,IF($K$17&gt;0,$K$18*P25/$K$17,0))</f>
        <v>0</v>
      </c>
      <c r="E25" s="45" t="n">
        <f aca="false">L25+D25/$K$2</f>
        <v>45.4532114930422</v>
      </c>
      <c r="F25" s="117" t="n">
        <f aca="false">IF($K$9=0,0,E25/$K$9)</f>
        <v>0.00733362580593931</v>
      </c>
      <c r="G25" s="117" t="n">
        <f aca="false">G24+F25</f>
        <v>0.0225021474649465</v>
      </c>
      <c r="H25" s="138"/>
      <c r="L25" s="45" t="n">
        <f aca="false">C25/IF(B25&lt;='VALOR POR PL'!$P$5,IFERROR(INDEX('"INCC-FGV"'!$B$2:$B$800,MATCH(B25,'"INCC-FGV"'!$A$2:$A$800,0)),$K$2),$K$2)</f>
        <v>45.4532114930422</v>
      </c>
      <c r="M25" s="139" t="n">
        <f aca="false">'CP RESUMO'!X25</f>
        <v>0.4</v>
      </c>
      <c r="N25" s="140" t="n">
        <f aca="false">MAX(0,M25-M24)</f>
        <v>0.4</v>
      </c>
      <c r="O25" s="139" t="n">
        <f aca="false">IF(B25&lt;='VALOR POR PL'!$P$5,'CP RESUMO'!X67,"")</f>
        <v>0.4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HISTORICOS'!Y25)</f>
        <v>142222.77</v>
      </c>
      <c r="D26" s="45" t="n">
        <f aca="false">IF(B26&lt;='VALOR POR PL'!$P$5,0,IF($K$17&gt;0,$K$18*P26/$K$17,0))</f>
        <v>0</v>
      </c>
      <c r="E26" s="45" t="n">
        <f aca="false">L26+D26/$K$2</f>
        <v>109.423847194289</v>
      </c>
      <c r="F26" s="117" t="n">
        <f aca="false">IF($K$9=0,0,E26/$K$9)</f>
        <v>0.0176549362126379</v>
      </c>
      <c r="G26" s="117" t="n">
        <f aca="false">G25+F26</f>
        <v>0.0401570836775844</v>
      </c>
      <c r="H26" s="138" t="n">
        <v>141360.45</v>
      </c>
      <c r="L26" s="45" t="n">
        <f aca="false">C26/IF(B26&lt;='VALOR POR PL'!$P$5,IFERROR(INDEX('"INCC-FGV"'!$B$2:$B$800,MATCH(B26,'"INCC-FGV"'!$A$2:$A$800,0)),$K$2),$K$2)</f>
        <v>109.423847194289</v>
      </c>
      <c r="M26" s="139" t="n">
        <f aca="false">'CP RESUMO'!Y25</f>
        <v>1.01</v>
      </c>
      <c r="N26" s="140" t="n">
        <f aca="false">MAX(0,M26-M25)</f>
        <v>0.61</v>
      </c>
      <c r="O26" s="139" t="n">
        <f aca="false">IF(B26&lt;='VALOR POR PL'!$P$5,'CP RESUMO'!Y67,"")</f>
        <v>0.4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HISTORICOS'!Z25)</f>
        <v>72436.16</v>
      </c>
      <c r="D27" s="45" t="n">
        <f aca="false">IF(B27&lt;='VALOR POR PL'!$P$5,0,IF($K$17&gt;0,$K$18*P27/$K$17,0))</f>
        <v>171608.142250335</v>
      </c>
      <c r="E27" s="45" t="n">
        <f aca="false">L27+D27/$K$2</f>
        <v>187.7636502093</v>
      </c>
      <c r="F27" s="117" t="n">
        <f aca="false">IF($K$9=0,0,E27/$K$9)</f>
        <v>0.0302946327742555</v>
      </c>
      <c r="G27" s="117" t="n">
        <f aca="false">G26+F27</f>
        <v>0.0704517164518398</v>
      </c>
      <c r="H27" s="138" t="n">
        <v>160790.01</v>
      </c>
      <c r="L27" s="45" t="n">
        <f aca="false">C27/IF(B27&lt;='VALOR POR PL'!$P$5,IFERROR(INDEX('"INCC-FGV"'!$B$2:$B$800,MATCH(B27,'"INCC-FGV"'!$A$2:$A$800,0)),$K$2),$K$2)</f>
        <v>55.7311835733553</v>
      </c>
      <c r="M27" s="139" t="n">
        <f aca="false">'CP RESUMO'!Z25</f>
        <v>3.25</v>
      </c>
      <c r="N27" s="140" t="n">
        <f aca="false">MAX(0,M27-M26)</f>
        <v>2.24</v>
      </c>
      <c r="O27" s="139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2.24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HISTORICOS'!AA25)</f>
        <v>57986.98</v>
      </c>
      <c r="D28" s="45" t="n">
        <f aca="false">IF(B28&lt;='VALOR POR PL'!$P$5,0,IF($K$17&gt;0,$K$18*P28/$K$17,0))</f>
        <v>170075.926694529</v>
      </c>
      <c r="E28" s="45" t="n">
        <f aca="false">L28+D28/$K$2</f>
        <v>175.467828764885</v>
      </c>
      <c r="F28" s="117" t="n">
        <f aca="false">IF($K$9=0,0,E28/$K$9)</f>
        <v>0.028310769577619</v>
      </c>
      <c r="G28" s="117" t="n">
        <f aca="false">G27+F28</f>
        <v>0.0987624860294588</v>
      </c>
      <c r="H28" s="138" t="n">
        <v>207044.82</v>
      </c>
      <c r="L28" s="45" t="n">
        <f aca="false">C28/IF(B28&lt;='VALOR POR PL'!$P$5,IFERROR(INDEX('"INCC-FGV"'!$B$2:$B$800,MATCH(B28,'"INCC-FGV"'!$A$2:$A$800,0)),$K$2),$K$2)</f>
        <v>44.61422343819</v>
      </c>
      <c r="M28" s="139" t="n">
        <f aca="false">'CP RESUMO'!AA25</f>
        <v>5.47</v>
      </c>
      <c r="N28" s="140" t="n">
        <f aca="false">MAX(0,M28-M27)</f>
        <v>2.22</v>
      </c>
      <c r="O28" s="139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2.22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HISTORICOS'!AB25)</f>
        <v>15439.08</v>
      </c>
      <c r="D29" s="45" t="n">
        <f aca="false">IF(B29&lt;='VALOR POR PL'!$P$5,0,IF($K$17&gt;0,$K$18*P29/$K$17,0))</f>
        <v>129472.214465655</v>
      </c>
      <c r="E29" s="45" t="n">
        <f aca="false">L29+D29/$K$2</f>
        <v>111.492353456036</v>
      </c>
      <c r="F29" s="117" t="n">
        <f aca="false">IF($K$9=0,0,E29/$K$9)</f>
        <v>0.0179886783268384</v>
      </c>
      <c r="G29" s="117" t="n">
        <f aca="false">G28+F29</f>
        <v>0.116751164356297</v>
      </c>
      <c r="H29" s="138" t="n">
        <v>178783.64</v>
      </c>
      <c r="L29" s="45" t="n">
        <f aca="false">C29/IF(B29&lt;='VALOR POR PL'!$P$5,IFERROR(INDEX('"INCC-FGV"'!$B$2:$B$800,MATCH(B29,'"INCC-FGV"'!$A$2:$A$800,0)),$K$2),$K$2)</f>
        <v>11.8785728244529</v>
      </c>
      <c r="M29" s="139" t="n">
        <f aca="false">'CP RESUMO'!AB25</f>
        <v>7.16</v>
      </c>
      <c r="N29" s="140" t="n">
        <f aca="false">MAX(0,M29-M28)</f>
        <v>1.69</v>
      </c>
      <c r="O29" s="139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1.69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HISTORICOS'!AC25)</f>
        <v>0</v>
      </c>
      <c r="D30" s="45" t="n">
        <f aca="false">IF(B30&lt;='VALOR POR PL'!$P$5,0,IF($K$17&gt;0,$K$18*P30/$K$17,0))</f>
        <v>426722.032292129</v>
      </c>
      <c r="E30" s="45" t="n">
        <f aca="false">L30+D30/$K$2</f>
        <v>328.312874625986</v>
      </c>
      <c r="F30" s="117" t="n">
        <f aca="false">IF($K$9=0,0,E30/$K$9)</f>
        <v>0.0529714774972021</v>
      </c>
      <c r="G30" s="117" t="n">
        <f aca="false">G29+F30</f>
        <v>0.169722641853499</v>
      </c>
      <c r="H30" s="138" t="n">
        <v>230527.36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RESUMO'!AC25</f>
        <v>12.73</v>
      </c>
      <c r="N30" s="140" t="n">
        <f aca="false">MAX(0,M30-M29)</f>
        <v>5.57</v>
      </c>
      <c r="O30" s="139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5.57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636635.563437628</v>
      </c>
      <c r="E31" s="45" t="n">
        <f aca="false">L31+D31/$K$2</f>
        <v>489.816873993168</v>
      </c>
      <c r="F31" s="117" t="n">
        <f aca="false">IF($K$9=0,0,E31/$K$9)</f>
        <v>0.0790292599644074</v>
      </c>
      <c r="G31" s="117" t="n">
        <f aca="false">G30+F31</f>
        <v>0.248751901817907</v>
      </c>
      <c r="H31" s="138" t="n">
        <v>360175.5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RESUMO'!AD25</f>
        <v>21.04</v>
      </c>
      <c r="N31" s="140" t="n">
        <f aca="false">MAX(0,M31-M30)</f>
        <v>8.31</v>
      </c>
      <c r="O31" s="139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8.31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HISTORICOS'!AE25)</f>
        <v>0</v>
      </c>
      <c r="D32" s="45" t="n">
        <f aca="false">IF(B32&lt;='VALOR POR PL'!$P$5,0,IF($K$17&gt;0,$K$18*P32/$K$17,0))</f>
        <v>560790.893425203</v>
      </c>
      <c r="E32" s="45" t="n">
        <f aca="false">L32+D32/$K$2</f>
        <v>431.463239185318</v>
      </c>
      <c r="F32" s="117" t="n">
        <f aca="false">IF($K$9=0,0,E32/$K$9)</f>
        <v>0.0696142217737019</v>
      </c>
      <c r="G32" s="117" t="n">
        <f aca="false">G31+F32</f>
        <v>0.318366123591609</v>
      </c>
      <c r="H32" s="138" t="n">
        <v>365121.2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RESUMO'!AE25</f>
        <v>28.36</v>
      </c>
      <c r="N32" s="140" t="n">
        <f aca="false">MAX(0,M32-M31)</f>
        <v>7.32</v>
      </c>
      <c r="O32" s="139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7.32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603692.928987788</v>
      </c>
      <c r="E33" s="45" t="n">
        <f aca="false">L33+D33/$K$2</f>
        <v>464.471355844304</v>
      </c>
      <c r="F33" s="117" t="n">
        <f aca="false">IF($K$9=0,0,E33/$K$9)</f>
        <v>0.0749398999421818</v>
      </c>
      <c r="G33" s="117" t="n">
        <f aca="false">G32+F33</f>
        <v>0.39330602353379</v>
      </c>
      <c r="H33" s="138" t="n">
        <v>361941.82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RESUMO'!AF25</f>
        <v>36.24</v>
      </c>
      <c r="N33" s="140" t="n">
        <f aca="false">MAX(0,M33-M32)</f>
        <v>7.88</v>
      </c>
      <c r="O33" s="139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7.88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HISTORICOS'!AG25)</f>
        <v>0</v>
      </c>
      <c r="D34" s="45" t="n">
        <f aca="false">IF(B34&lt;='VALOR POR PL'!$P$5,0,IF($K$17&gt;0,$K$18*P34/$K$17,0))</f>
        <v>592201.312319238</v>
      </c>
      <c r="E34" s="45" t="n">
        <f aca="false">L34+D34/$K$2</f>
        <v>455.629896024932</v>
      </c>
      <c r="F34" s="117" t="n">
        <f aca="false">IF($K$9=0,0,E34/$K$9)</f>
        <v>0.0735133790041961</v>
      </c>
      <c r="G34" s="117" t="n">
        <f aca="false">G33+F34</f>
        <v>0.466819402537987</v>
      </c>
      <c r="H34" s="138" t="n">
        <v>363354.88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RESUMO'!AG25</f>
        <v>43.97</v>
      </c>
      <c r="N34" s="140" t="n">
        <f aca="false">MAX(0,M34-M33)</f>
        <v>7.73</v>
      </c>
      <c r="O34" s="139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7.73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628208.377880693</v>
      </c>
      <c r="E35" s="45" t="n">
        <f aca="false">L35+D35/$K$2</f>
        <v>483.333136792296</v>
      </c>
      <c r="F35" s="117" t="n">
        <f aca="false">IF($K$9=0,0,E35/$K$9)</f>
        <v>0.0779831446098846</v>
      </c>
      <c r="G35" s="117" t="n">
        <f aca="false">G34+F35</f>
        <v>0.544802547147871</v>
      </c>
      <c r="H35" s="138" t="n">
        <v>390556.26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RESUMO'!AH25</f>
        <v>52.17</v>
      </c>
      <c r="N35" s="140" t="n">
        <f aca="false">MAX(0,M35-M34)</f>
        <v>8.2</v>
      </c>
      <c r="O35" s="139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8.2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667279.87455376</v>
      </c>
      <c r="E36" s="45" t="n">
        <f aca="false">L36+D36/$K$2</f>
        <v>513.394100178158</v>
      </c>
      <c r="F36" s="117" t="n">
        <f aca="false">IF($K$9=0,0,E36/$K$9)</f>
        <v>0.0828333157990359</v>
      </c>
      <c r="G36" s="117" t="n">
        <f aca="false">G35+F36</f>
        <v>0.627635862946907</v>
      </c>
      <c r="H36" s="138" t="n">
        <v>429062.11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RESUMO'!AI25</f>
        <v>60.88</v>
      </c>
      <c r="N36" s="140" t="n">
        <f aca="false">MAX(0,M36-M35)</f>
        <v>8.71</v>
      </c>
      <c r="O36" s="139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8.71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609821.791211014</v>
      </c>
      <c r="E37" s="45" t="n">
        <f aca="false">L37+D37/$K$2</f>
        <v>469.186801081302</v>
      </c>
      <c r="F37" s="117" t="n">
        <f aca="false">IF($K$9=0,0,E37/$K$9)</f>
        <v>0.0757007111091075</v>
      </c>
      <c r="G37" s="117" t="n">
        <f aca="false">G36+F37</f>
        <v>0.703336574056015</v>
      </c>
      <c r="H37" s="138" t="n">
        <v>440366.58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RESUMO'!AJ25</f>
        <v>68.84</v>
      </c>
      <c r="N37" s="140" t="n">
        <f aca="false">MAX(0,M37-M36)</f>
        <v>7.96</v>
      </c>
      <c r="O37" s="139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7.96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480349.576745358</v>
      </c>
      <c r="E38" s="45" t="n">
        <f aca="false">L38+D38/$K$2</f>
        <v>369.573020449719</v>
      </c>
      <c r="F38" s="117" t="n">
        <f aca="false">IF($K$9=0,0,E38/$K$9)</f>
        <v>0.059628575207802</v>
      </c>
      <c r="G38" s="117" t="n">
        <f aca="false">G37+F38</f>
        <v>0.762965149263817</v>
      </c>
      <c r="H38" s="138" t="n">
        <v>378898.52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RESUMO'!AK25</f>
        <v>75.11</v>
      </c>
      <c r="N38" s="140" t="n">
        <f aca="false">MAX(0,M38-M37)</f>
        <v>6.27</v>
      </c>
      <c r="O38" s="139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6.27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448939.157851324</v>
      </c>
      <c r="E39" s="45" t="n">
        <f aca="false">L39+D39/$K$2</f>
        <v>345.406363610104</v>
      </c>
      <c r="F39" s="117" t="n">
        <f aca="false">IF($K$9=0,0,E39/$K$9)</f>
        <v>0.0557294179773078</v>
      </c>
      <c r="G39" s="117" t="n">
        <f aca="false">G38+F39</f>
        <v>0.818694567241124</v>
      </c>
      <c r="H39" s="138" t="n">
        <v>322022.91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RESUMO'!AL25</f>
        <v>80.97</v>
      </c>
      <c r="N39" s="140" t="n">
        <f aca="false">MAX(0,M39-M38)</f>
        <v>5.86</v>
      </c>
      <c r="O39" s="139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5.86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728568.496786023</v>
      </c>
      <c r="E40" s="45" t="n">
        <f aca="false">L40+D40/$K$2</f>
        <v>560.548552548139</v>
      </c>
      <c r="F40" s="117" t="n">
        <f aca="false">IF($K$9=0,0,E40/$K$9)</f>
        <v>0.090441427468293</v>
      </c>
      <c r="G40" s="117" t="n">
        <f aca="false">G39+F40</f>
        <v>0.909135994709417</v>
      </c>
      <c r="H40" s="138" t="n">
        <v>513572.96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RESUMO'!AM25</f>
        <v>90.48</v>
      </c>
      <c r="N40" s="140" t="n">
        <f aca="false">MAX(0,M40-M39)</f>
        <v>9.51000000000001</v>
      </c>
      <c r="O40" s="139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9.51000000000001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HISTORICOS'!AN25)</f>
        <v>2638.05</v>
      </c>
      <c r="D41" s="45" t="n">
        <f aca="false">IF(B41&lt;='VALOR POR PL'!$P$5,0,IF($K$17&gt;0,$K$18*P41/$K$17,0))</f>
        <v>62054.7300101661</v>
      </c>
      <c r="E41" s="45" t="n">
        <f aca="false">L41+D41/$K$2</f>
        <v>49.7735550672104</v>
      </c>
      <c r="F41" s="117" t="n">
        <f aca="false">IF($K$9=0,0,E41/$K$9)</f>
        <v>0.00803068949154696</v>
      </c>
      <c r="G41" s="117" t="n">
        <f aca="false">G40+F41</f>
        <v>0.917166684200964</v>
      </c>
      <c r="H41" s="138" t="n">
        <v>283244.39</v>
      </c>
      <c r="L41" s="45" t="n">
        <f aca="false">C41/IF(B41&lt;='VALOR POR PL'!$P$5,IFERROR(INDEX('"INCC-FGV"'!$B$2:$B$800,MATCH(B41,'"INCC-FGV"'!$A$2:$A$800,0)),$K$2),$K$2)</f>
        <v>2.02967204260538</v>
      </c>
      <c r="M41" s="139" t="n">
        <f aca="false">'CP RESUMO'!AN25</f>
        <v>91.29</v>
      </c>
      <c r="N41" s="140" t="n">
        <f aca="false">MAX(0,M41-M40)</f>
        <v>0.810000000000002</v>
      </c>
      <c r="O41" s="139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0.810000000000002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104956.765572749</v>
      </c>
      <c r="E42" s="45" t="n">
        <f aca="false">L42+D42/$K$2</f>
        <v>80.7519996835903</v>
      </c>
      <c r="F42" s="117" t="n">
        <f aca="false">IF($K$9=0,0,E42/$K$9)</f>
        <v>0.0130288912336026</v>
      </c>
      <c r="G42" s="117" t="n">
        <f aca="false">G41+F42</f>
        <v>0.930195575434567</v>
      </c>
      <c r="H42" s="138" t="n">
        <v>344712.44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RESUMO'!AO25</f>
        <v>92.66</v>
      </c>
      <c r="N42" s="140" t="n">
        <f aca="false">MAX(0,M42-M41)</f>
        <v>1.36999999999999</v>
      </c>
      <c r="O42" s="139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1.36999999999999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103424.550016944</v>
      </c>
      <c r="E43" s="45" t="n">
        <f aca="false">L43+D43/$K$2</f>
        <v>79.5731383743419</v>
      </c>
      <c r="F43" s="117" t="n">
        <f aca="false">IF($K$9=0,0,E43/$K$9)</f>
        <v>0.0128386884418713</v>
      </c>
      <c r="G43" s="117" t="n">
        <f aca="false">G42+F43</f>
        <v>0.943034263876438</v>
      </c>
      <c r="H43" s="138" t="n">
        <v>299847.83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RESUMO'!AP25</f>
        <v>94.01</v>
      </c>
      <c r="N43" s="140" t="n">
        <f aca="false">MAX(0,M43-M42)</f>
        <v>1.35000000000001</v>
      </c>
      <c r="O43" s="139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1.35000000000001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153221.555580657</v>
      </c>
      <c r="E44" s="45" t="n">
        <f aca="false">L44+D44/$K$2</f>
        <v>117.88613092495</v>
      </c>
      <c r="F44" s="117" t="n">
        <f aca="false">IF($K$9=0,0,E44/$K$9)</f>
        <v>0.0190202791731426</v>
      </c>
      <c r="G44" s="117" t="n">
        <f aca="false">G43+F44</f>
        <v>0.962054543049581</v>
      </c>
      <c r="H44" s="138" t="n">
        <v>281478.06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RESUMO'!AQ25</f>
        <v>96.01</v>
      </c>
      <c r="N44" s="140" t="n">
        <f aca="false">MAX(0,M44-M43)</f>
        <v>2</v>
      </c>
      <c r="O44" s="139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2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37539.2811172605</v>
      </c>
      <c r="E45" s="45" t="n">
        <f aca="false">L45+D45/$K$2</f>
        <v>28.8821020766125</v>
      </c>
      <c r="F45" s="117" t="n">
        <f aca="false">IF($K$9=0,0,E45/$K$9)</f>
        <v>0.00465996839741988</v>
      </c>
      <c r="G45" s="117" t="n">
        <f aca="false">G44+F45</f>
        <v>0.966714511447001</v>
      </c>
      <c r="H45" s="138" t="n">
        <v>258869.12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RESUMO'!AR25</f>
        <v>96.5</v>
      </c>
      <c r="N45" s="140" t="n">
        <f aca="false">MAX(0,M45-M44)</f>
        <v>0.489999999999995</v>
      </c>
      <c r="O45" s="139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0.489999999999995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35240.9577835506</v>
      </c>
      <c r="E46" s="45" t="n">
        <f aca="false">L46+D46/$K$2</f>
        <v>27.1138101127382</v>
      </c>
      <c r="F46" s="117" t="n">
        <f aca="false">IF($K$9=0,0,E46/$K$9)</f>
        <v>0.00437466420982273</v>
      </c>
      <c r="G46" s="117" t="n">
        <f aca="false">G45+F46</f>
        <v>0.971089175656823</v>
      </c>
      <c r="H46" s="138" t="n">
        <v>236260.18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RESUMO'!AS25</f>
        <v>96.96</v>
      </c>
      <c r="N46" s="140" t="n">
        <f aca="false">MAX(0,M46-M45)</f>
        <v>0.459999999999994</v>
      </c>
      <c r="O46" s="139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0.459999999999994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0.971089175656823</v>
      </c>
      <c r="H47" s="138" t="n">
        <v>168433.36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RESUMO'!AT25</f>
        <v>96.96</v>
      </c>
      <c r="N47" s="140" t="n">
        <f aca="false">MAX(0,M47-M46)</f>
        <v>0</v>
      </c>
      <c r="O47" s="139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9959.40111274342</v>
      </c>
      <c r="E48" s="45" t="n">
        <f aca="false">L48+D48/$K$2</f>
        <v>7.66259851012233</v>
      </c>
      <c r="F48" s="117" t="n">
        <f aca="false">IF($K$9=0,0,E48/$K$9)</f>
        <v>0.00123631814625436</v>
      </c>
      <c r="G48" s="117" t="n">
        <f aca="false">G47+F48</f>
        <v>0.972325493803078</v>
      </c>
      <c r="H48" s="138" t="n">
        <v>164900.72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RESUMO'!AU25</f>
        <v>97.09</v>
      </c>
      <c r="N48" s="140" t="n">
        <f aca="false">MAX(0,M48-M47)</f>
        <v>0.13000000000001</v>
      </c>
      <c r="O48" s="139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0.13000000000001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HISTORICOS'!AV25)</f>
        <v>0</v>
      </c>
      <c r="D49" s="45" t="n">
        <f aca="false">IF(B49&lt;='VALOR POR PL'!$P$5,0,IF($K$17&gt;0,$K$18*P49/$K$17,0))</f>
        <v>222937.363369855</v>
      </c>
      <c r="E49" s="45" t="n">
        <f aca="false">L49+D49/$K$2</f>
        <v>171.524320495802</v>
      </c>
      <c r="F49" s="117" t="n">
        <f aca="false">IF($K$9=0,0,E49/$K$9)</f>
        <v>0.0276745061969224</v>
      </c>
      <c r="G49" s="117" t="n">
        <f aca="false">G48+F49</f>
        <v>1</v>
      </c>
      <c r="H49" s="138" t="n">
        <v>121469.61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RESUMO'!AV25</f>
        <v>100</v>
      </c>
      <c r="N49" s="140" t="n">
        <f aca="false">MAX(0,M49-M48)</f>
        <v>2.91</v>
      </c>
      <c r="O49" s="139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2.91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 t="n">
        <v>200600.9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RESUMO'!AW25</f>
        <v>100</v>
      </c>
      <c r="N50" s="140" t="n">
        <f aca="false">MAX(0,M50-M49)</f>
        <v>0</v>
      </c>
      <c r="O50" s="139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 t="n">
        <v>137013.25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RESUMO'!AX25</f>
        <v>100</v>
      </c>
      <c r="N51" s="140" t="n">
        <f aca="false">MAX(0,M51-M50)</f>
        <v>0</v>
      </c>
      <c r="O51" s="139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 t="n">
        <v>89722.75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RESUMO'!AY25</f>
        <v>100</v>
      </c>
      <c r="N52" s="140" t="n">
        <f aca="false">MAX(0,M52-M51)</f>
        <v>0</v>
      </c>
      <c r="O52" s="139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 t="n">
        <v>89722.75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RESUMO'!AZ25</f>
        <v>100</v>
      </c>
      <c r="N53" s="140" t="n">
        <f aca="false">MAX(0,M53-M52)</f>
        <v>0</v>
      </c>
      <c r="O53" s="139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49522.5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RESUMO'!BA25</f>
        <v>100</v>
      </c>
      <c r="N54" s="140" t="n">
        <f aca="false">MAX(0,M54-M53)</f>
        <v>0</v>
      </c>
      <c r="O54" s="139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26538.16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RESUMO'!BB25</f>
        <v>100</v>
      </c>
      <c r="N55" s="140" t="n">
        <f aca="false">MAX(0,M55-M54)</f>
        <v>0</v>
      </c>
      <c r="O55" s="139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16684.6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RESUMO'!BC25</f>
        <v>100</v>
      </c>
      <c r="N56" s="140" t="n">
        <f aca="false">MAX(0,M56-M55)</f>
        <v>0</v>
      </c>
      <c r="O56" s="139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 t="n">
        <v>16684.6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RESUMO'!BD25</f>
        <v>100</v>
      </c>
      <c r="N57" s="140" t="n">
        <f aca="false">MAX(0,M57-M56)</f>
        <v>0</v>
      </c>
      <c r="O57" s="139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RESUMO'!BE25</f>
        <v>100</v>
      </c>
      <c r="N58" s="140" t="n">
        <f aca="false">MAX(0,M58-M57)</f>
        <v>0</v>
      </c>
      <c r="O58" s="139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 t="n">
        <v>9853.56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RESUMO'!BF25</f>
        <v>100</v>
      </c>
      <c r="N59" s="140" t="n">
        <f aca="false">MAX(0,M59-M58)</f>
        <v>0</v>
      </c>
      <c r="O59" s="139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RESUMO'!BG25</f>
        <v>100</v>
      </c>
      <c r="N60" s="140" t="n">
        <f aca="false">MAX(0,M60-M59)</f>
        <v>0</v>
      </c>
      <c r="O60" s="139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RESUMO'!BH25</f>
        <v>100</v>
      </c>
      <c r="N61" s="140" t="n">
        <f aca="false">MAX(0,M61-M60)</f>
        <v>0</v>
      </c>
      <c r="O61" s="139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RESUMO'!BI25</f>
        <v>100</v>
      </c>
      <c r="N62" s="140" t="n">
        <f aca="false">MAX(0,M62-M61)</f>
        <v>0</v>
      </c>
      <c r="O62" s="139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RESUMO'!BJ25</f>
        <v>100</v>
      </c>
      <c r="N63" s="140" t="n">
        <f aca="false">MAX(0,M63-M62)</f>
        <v>0</v>
      </c>
      <c r="O63" s="139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RESUMO'!BK25</f>
        <v>100</v>
      </c>
      <c r="N64" s="140" t="n">
        <f aca="false">MAX(0,M64-M63)</f>
        <v>0</v>
      </c>
      <c r="O64" s="139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RESUMO'!BL25</f>
        <v>100</v>
      </c>
      <c r="N65" s="140" t="n">
        <f aca="false">MAX(0,M65-M64)</f>
        <v>0</v>
      </c>
      <c r="O65" s="139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RESUMO'!BM25</f>
        <v>100</v>
      </c>
      <c r="N66" s="140" t="n">
        <f aca="false">MAX(0,M66-M65)</f>
        <v>0</v>
      </c>
      <c r="O66" s="139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RESUMO'!BN25</f>
        <v>100</v>
      </c>
      <c r="N67" s="140" t="n">
        <f aca="false">MAX(0,M67-M66)</f>
        <v>0</v>
      </c>
      <c r="O67" s="139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RESUMO'!BO25</f>
        <v>100</v>
      </c>
      <c r="N68" s="140" t="n">
        <f aca="false">MAX(0,M68-M67)</f>
        <v>0</v>
      </c>
      <c r="O68" s="139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RESUMO'!BP25</f>
        <v>100</v>
      </c>
      <c r="N69" s="140" t="n">
        <f aca="false">MAX(0,M69-M68)</f>
        <v>0</v>
      </c>
      <c r="O69" s="139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RESUMO'!BQ25</f>
        <v>100</v>
      </c>
      <c r="N70" s="140" t="n">
        <f aca="false">MAX(0,M70-M69)</f>
        <v>0</v>
      </c>
      <c r="O70" s="139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RESUMO'!BR25</f>
        <v>100</v>
      </c>
      <c r="N71" s="140" t="n">
        <f aca="false">MAX(0,M71-M70)</f>
        <v>0</v>
      </c>
      <c r="O71" s="139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RESUMO'!BS25</f>
        <v>100</v>
      </c>
      <c r="N72" s="140" t="n">
        <f aca="false">MAX(0,M72-M71)</f>
        <v>0</v>
      </c>
      <c r="O72" s="139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RESUMO'!BT25</f>
        <v>100</v>
      </c>
      <c r="N73" s="140" t="n">
        <f aca="false">MAX(0,M73-M72)</f>
        <v>0</v>
      </c>
      <c r="O73" s="139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RESUMO'!BU25</f>
        <v>100</v>
      </c>
      <c r="N74" s="140" t="n">
        <f aca="false">MAX(0,M74-M73)</f>
        <v>0</v>
      </c>
      <c r="O74" s="139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RESUMO'!BV25</f>
        <v>100</v>
      </c>
      <c r="N75" s="140" t="n">
        <f aca="false">MAX(0,M75-M74)</f>
        <v>0</v>
      </c>
      <c r="O75" s="139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RESUMO'!BW25</f>
        <v>100</v>
      </c>
      <c r="N76" s="140" t="n">
        <f aca="false">MAX(0,M76-M75)</f>
        <v>0</v>
      </c>
      <c r="O76" s="139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469988.2</v>
      </c>
      <c r="D78" s="61" t="n">
        <f aca="false">SUM(D5:D76)</f>
        <v>7583700.8934646</v>
      </c>
      <c r="E78" s="61" t="n">
        <f aca="false">SUM(E5:E76)</f>
        <v>6197.91801433758</v>
      </c>
      <c r="F78" s="145" t="n">
        <f aca="false">SUM(F5:F76)</f>
        <v>1</v>
      </c>
      <c r="H78" s="61" t="n">
        <f aca="false">SUM(H5:H76)</f>
        <v>7639137.8</v>
      </c>
      <c r="L78" s="61" t="n">
        <f aca="false">SUM(L5:L76)</f>
        <v>363.143964207165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PL'!F32</f>
        <v>1203853.67</v>
      </c>
      <c r="K5" s="56" t="n">
        <f aca="false">'VALOR POR PL'!G32</f>
        <v>1030.64741</v>
      </c>
      <c r="L5" s="56" t="n">
        <f aca="false">'DADOS HISTORICOS'!$BZ$26</f>
        <v>0</v>
      </c>
      <c r="M5" s="139" t="n">
        <f aca="false">'CP RESUMO'!D26</f>
        <v>0</v>
      </c>
      <c r="N5" s="140" t="n">
        <v>0</v>
      </c>
      <c r="O5" s="139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PL'!H32</f>
        <v>687.883094158592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RESUMO'!E26</f>
        <v>0</v>
      </c>
      <c r="N6" s="140" t="n">
        <f aca="false">MAX(0,M6-M5)</f>
        <v>0</v>
      </c>
      <c r="O6" s="139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892813.098203293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RESUMO'!F26</f>
        <v>0</v>
      </c>
      <c r="N7" s="140" t="n">
        <f aca="false">MAX(0,M7-M6)</f>
        <v>0</v>
      </c>
      <c r="O7" s="139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15.5610040174865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RESUMO'!G26</f>
        <v>0</v>
      </c>
      <c r="N8" s="140" t="n">
        <f aca="false">MAX(0,M8-M7)</f>
        <v>0</v>
      </c>
      <c r="O8" s="139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892813.098203293</v>
      </c>
      <c r="K9" s="45" t="n">
        <f aca="false">E78</f>
        <v>687.26339434056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RESUMO'!H26</f>
        <v>0</v>
      </c>
      <c r="N9" s="140" t="n">
        <f aca="false">MAX(0,M9-M8)</f>
        <v>0</v>
      </c>
      <c r="O9" s="139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671.702390323074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RESUMO'!I26</f>
        <v>0</v>
      </c>
      <c r="N10" s="140" t="n">
        <f aca="false">MAX(0,M10-M9)</f>
        <v>0</v>
      </c>
      <c r="O10" s="139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822603.51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RESUMO'!J26</f>
        <v>0</v>
      </c>
      <c r="N11" s="140" t="n">
        <f aca="false">MAX(0,M11-M10)</f>
        <v>0</v>
      </c>
      <c r="O11" s="139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RESUMO'!K26</f>
        <v>0</v>
      </c>
      <c r="N12" s="140" t="n">
        <f aca="false">MAX(0,M12-M11)</f>
        <v>0</v>
      </c>
      <c r="O12" s="139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RESUMO'!L26</f>
        <v>0</v>
      </c>
      <c r="N13" s="140" t="n">
        <f aca="false">MAX(0,M13-M12)</f>
        <v>0</v>
      </c>
      <c r="O13" s="139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RESUMO'!M26</f>
        <v>0</v>
      </c>
      <c r="N14" s="140" t="n">
        <f aca="false">MAX(0,M14-M13)</f>
        <v>0</v>
      </c>
      <c r="O14" s="139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RESUMO'!N26</f>
        <v>0</v>
      </c>
      <c r="N15" s="140" t="n">
        <f aca="false">MAX(0,M15-M14)</f>
        <v>0</v>
      </c>
      <c r="O15" s="139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RESUMO'!O26</f>
        <v>0</v>
      </c>
      <c r="N16" s="140" t="n">
        <f aca="false">MAX(0,M16-M15)</f>
        <v>0</v>
      </c>
      <c r="O16" s="139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RESUMO'!P26</f>
        <v>0</v>
      </c>
      <c r="N17" s="140" t="n">
        <f aca="false">MAX(0,M17-M16)</f>
        <v>0</v>
      </c>
      <c r="O17" s="139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873039.808203292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RESUMO'!Q26</f>
        <v>0</v>
      </c>
      <c r="N18" s="140" t="n">
        <f aca="false">MAX(0,M18-M17)</f>
        <v>0</v>
      </c>
      <c r="O18" s="139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RESUMO'!R26</f>
        <v>0</v>
      </c>
      <c r="N19" s="140" t="n">
        <f aca="false">MAX(0,M19-M18)</f>
        <v>0</v>
      </c>
      <c r="O19" s="139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RESUMO'!S26</f>
        <v>0</v>
      </c>
      <c r="N20" s="140" t="n">
        <f aca="false">MAX(0,M20-M19)</f>
        <v>0</v>
      </c>
      <c r="O20" s="139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RESUMO'!T26</f>
        <v>0</v>
      </c>
      <c r="N21" s="140" t="n">
        <f aca="false">MAX(0,M21-M20)</f>
        <v>0</v>
      </c>
      <c r="O21" s="139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HISTORICOS'!U26)</f>
        <v>19773.29</v>
      </c>
      <c r="D22" s="45" t="n">
        <f aca="false">IF(B22&lt;='VALOR POR PL'!$P$5,0,IF($K$17&gt;0,$K$18*P22/$K$17,0))</f>
        <v>0</v>
      </c>
      <c r="E22" s="45" t="n">
        <f aca="false">L22+D22/$K$2</f>
        <v>15.5610040174865</v>
      </c>
      <c r="F22" s="117" t="n">
        <f aca="false">IF($K$9=0,0,E22/$K$9)</f>
        <v>0.0226419799826783</v>
      </c>
      <c r="G22" s="117" t="n">
        <f aca="false">G21+F22</f>
        <v>0.0226419799826783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15.5610040174865</v>
      </c>
      <c r="M22" s="139" t="n">
        <f aca="false">'CP RESUMO'!U26</f>
        <v>0</v>
      </c>
      <c r="N22" s="140" t="n">
        <f aca="false">MAX(0,M22-M21)</f>
        <v>0</v>
      </c>
      <c r="O22" s="139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0.0226419799826783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RESUMO'!V26</f>
        <v>0</v>
      </c>
      <c r="N23" s="140" t="n">
        <f aca="false">MAX(0,M23-M22)</f>
        <v>0</v>
      </c>
      <c r="O23" s="139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0.0226419799826783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RESUMO'!W26</f>
        <v>0</v>
      </c>
      <c r="N24" s="140" t="n">
        <f aca="false">MAX(0,M24-M23)</f>
        <v>0</v>
      </c>
      <c r="O24" s="139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0.0226419799826783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RESUMO'!X26</f>
        <v>0</v>
      </c>
      <c r="N25" s="140" t="n">
        <f aca="false">MAX(0,M25-M24)</f>
        <v>0</v>
      </c>
      <c r="O25" s="139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0.0226419799826783</v>
      </c>
      <c r="H26" s="138" t="n">
        <v>45498.58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RESUMO'!Y26</f>
        <v>0</v>
      </c>
      <c r="N26" s="140" t="n">
        <f aca="false">MAX(0,M26-M25)</f>
        <v>0</v>
      </c>
      <c r="O26" s="139" t="n">
        <f aca="false">IF(B26&lt;='VALOR POR PL'!$P$5,'CP RESUMO'!Y68,"")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HISTORICOS'!Z26)</f>
        <v>0</v>
      </c>
      <c r="D27" s="45" t="n">
        <f aca="false">IF(B27&lt;='VALOR POR PL'!$P$5,0,IF($K$17&gt;0,$K$18*P27/$K$17,0))</f>
        <v>45310.7660457509</v>
      </c>
      <c r="E27" s="45" t="n">
        <f aca="false">L27+D27/$K$2</f>
        <v>34.8613540577675</v>
      </c>
      <c r="F27" s="117" t="n">
        <f aca="false">IF($K$9=0,0,E27/$K$9)</f>
        <v>0.050724881238899</v>
      </c>
      <c r="G27" s="117" t="n">
        <f aca="false">G26+F27</f>
        <v>0.0733668612215773</v>
      </c>
      <c r="H27" s="138" t="n">
        <v>41274.34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RESUMO'!Z26</f>
        <v>5.19</v>
      </c>
      <c r="N27" s="140" t="n">
        <f aca="false">MAX(0,M27-M26)</f>
        <v>5.19</v>
      </c>
      <c r="O27" s="139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5.19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HISTORICOS'!AA26)</f>
        <v>0</v>
      </c>
      <c r="D28" s="45" t="n">
        <f aca="false">IF(B28&lt;='VALOR POR PL'!$P$5,0,IF($K$17&gt;0,$K$18*P28/$K$17,0))</f>
        <v>41643.9988512971</v>
      </c>
      <c r="E28" s="45" t="n">
        <f aca="false">L28+D28/$K$2</f>
        <v>32.0402040184106</v>
      </c>
      <c r="F28" s="117" t="n">
        <f aca="false">IF($K$9=0,0,E28/$K$9)</f>
        <v>0.0466199775548263</v>
      </c>
      <c r="G28" s="117" t="n">
        <f aca="false">G27+F28</f>
        <v>0.119986838776404</v>
      </c>
      <c r="H28" s="138" t="n">
        <v>28425.61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RESUMO'!AA26</f>
        <v>9.96</v>
      </c>
      <c r="N28" s="140" t="n">
        <f aca="false">MAX(0,M28-M27)</f>
        <v>4.77</v>
      </c>
      <c r="O28" s="139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4.77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HISTORICOS'!AB26)</f>
        <v>0</v>
      </c>
      <c r="D29" s="45" t="n">
        <f aca="false">IF(B29&lt;='VALOR POR PL'!$P$5,0,IF($K$17&gt;0,$K$18*P29/$K$17,0))</f>
        <v>33786.6405774674</v>
      </c>
      <c r="E29" s="45" t="n">
        <f aca="false">L29+D29/$K$2</f>
        <v>25.994882505503</v>
      </c>
      <c r="F29" s="117" t="n">
        <f aca="false">IF($K$9=0,0,E29/$K$9)</f>
        <v>0.0378237553746703</v>
      </c>
      <c r="G29" s="117" t="n">
        <f aca="false">G28+F29</f>
        <v>0.157810594151074</v>
      </c>
      <c r="H29" s="138" t="n">
        <v>44266.51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RESUMO'!AB26</f>
        <v>13.83</v>
      </c>
      <c r="N29" s="140" t="n">
        <f aca="false">MAX(0,M29-M28)</f>
        <v>3.87</v>
      </c>
      <c r="O29" s="139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3.87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53779.2521853228</v>
      </c>
      <c r="E30" s="45" t="n">
        <f aca="false">L30+D30/$K$2</f>
        <v>41.3768672439013</v>
      </c>
      <c r="F30" s="117" t="n">
        <f aca="false">IF($K$9=0,0,E30/$K$9)</f>
        <v>0.060205254033067</v>
      </c>
      <c r="G30" s="117" t="n">
        <f aca="false">G29+F30</f>
        <v>0.218015848184141</v>
      </c>
      <c r="H30" s="138" t="n">
        <v>64421.55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RESUMO'!AC26</f>
        <v>19.99</v>
      </c>
      <c r="N30" s="140" t="n">
        <f aca="false">MAX(0,M30-M29)</f>
        <v>6.16</v>
      </c>
      <c r="O30" s="139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6.16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53080.8203387602</v>
      </c>
      <c r="E31" s="45" t="n">
        <f aca="false">L31+D31/$K$2</f>
        <v>40.8395053316429</v>
      </c>
      <c r="F31" s="117" t="n">
        <f aca="false">IF($K$9=0,0,E31/$K$9)</f>
        <v>0.0594233676170532</v>
      </c>
      <c r="G31" s="117" t="n">
        <f aca="false">G30+F31</f>
        <v>0.277439215801194</v>
      </c>
      <c r="H31" s="138" t="n">
        <v>64421.55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RESUMO'!AD26</f>
        <v>26.07</v>
      </c>
      <c r="N31" s="140" t="n">
        <f aca="false">MAX(0,M31-M30)</f>
        <v>6.08</v>
      </c>
      <c r="O31" s="139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6.08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53430.0362620415</v>
      </c>
      <c r="E32" s="45" t="n">
        <f aca="false">L32+D32/$K$2</f>
        <v>41.1081862877721</v>
      </c>
      <c r="F32" s="117" t="n">
        <f aca="false">IF($K$9=0,0,E32/$K$9)</f>
        <v>0.0598143108250601</v>
      </c>
      <c r="G32" s="117" t="n">
        <f aca="false">G31+F32</f>
        <v>0.337253526626254</v>
      </c>
      <c r="H32" s="138" t="n">
        <v>64421.55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RESUMO'!AE26</f>
        <v>32.19</v>
      </c>
      <c r="N32" s="140" t="n">
        <f aca="false">MAX(0,M32-M31)</f>
        <v>6.12</v>
      </c>
      <c r="O32" s="139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6.12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51072.8287798926</v>
      </c>
      <c r="E33" s="45" t="n">
        <f aca="false">L33+D33/$K$2</f>
        <v>39.2945898338998</v>
      </c>
      <c r="F33" s="117" t="n">
        <f aca="false">IF($K$9=0,0,E33/$K$9)</f>
        <v>0.0571754441710133</v>
      </c>
      <c r="G33" s="117" t="n">
        <f aca="false">G32+F33</f>
        <v>0.394428970797267</v>
      </c>
      <c r="H33" s="138" t="n">
        <v>64421.55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RESUMO'!AF26</f>
        <v>38.04</v>
      </c>
      <c r="N33" s="140" t="n">
        <f aca="false">MAX(0,M33-M32)</f>
        <v>5.85</v>
      </c>
      <c r="O33" s="139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5.85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45398.0700265712</v>
      </c>
      <c r="E34" s="45" t="n">
        <f aca="false">L34+D34/$K$2</f>
        <v>34.9285242967999</v>
      </c>
      <c r="F34" s="117" t="n">
        <f aca="false">IF($K$9=0,0,E34/$K$9)</f>
        <v>0.0508226170409008</v>
      </c>
      <c r="G34" s="117" t="n">
        <f aca="false">G33+F34</f>
        <v>0.445251587838168</v>
      </c>
      <c r="H34" s="138" t="n">
        <v>64421.55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RESUMO'!AG26</f>
        <v>43.24</v>
      </c>
      <c r="N34" s="140" t="n">
        <f aca="false">MAX(0,M34-M33)</f>
        <v>5.2</v>
      </c>
      <c r="O34" s="139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5.2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52207.7805305569</v>
      </c>
      <c r="E35" s="45" t="n">
        <f aca="false">L35+D35/$K$2</f>
        <v>40.1678029413198</v>
      </c>
      <c r="F35" s="117" t="n">
        <f aca="false">IF($K$9=0,0,E35/$K$9)</f>
        <v>0.0584460095970358</v>
      </c>
      <c r="G35" s="117" t="n">
        <f aca="false">G34+F35</f>
        <v>0.503697597435204</v>
      </c>
      <c r="H35" s="138" t="n">
        <v>64421.55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RESUMO'!AH26</f>
        <v>49.22</v>
      </c>
      <c r="N35" s="140" t="n">
        <f aca="false">MAX(0,M35-M34)</f>
        <v>5.98</v>
      </c>
      <c r="O35" s="139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5.98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60763.5706509492</v>
      </c>
      <c r="E36" s="45" t="n">
        <f aca="false">L36+D36/$K$2</f>
        <v>46.7504863664859</v>
      </c>
      <c r="F36" s="117" t="n">
        <f aca="false">IF($K$9=0,0,E36/$K$9)</f>
        <v>0.0680241181932056</v>
      </c>
      <c r="G36" s="117" t="n">
        <f aca="false">G35+F36</f>
        <v>0.57172171562841</v>
      </c>
      <c r="H36" s="138" t="n">
        <v>64421.55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RESUMO'!AI26</f>
        <v>56.18</v>
      </c>
      <c r="N36" s="140" t="n">
        <f aca="false">MAX(0,M36-M35)</f>
        <v>6.96</v>
      </c>
      <c r="O36" s="139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6.96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60588.9626893085</v>
      </c>
      <c r="E37" s="45" t="n">
        <f aca="false">L37+D37/$K$2</f>
        <v>46.6161458884213</v>
      </c>
      <c r="F37" s="117" t="n">
        <f aca="false">IF($K$9=0,0,E37/$K$9)</f>
        <v>0.0678286465892021</v>
      </c>
      <c r="G37" s="117" t="n">
        <f aca="false">G36+F37</f>
        <v>0.639550362217612</v>
      </c>
      <c r="H37" s="138" t="n">
        <v>64421.55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RESUMO'!AJ26</f>
        <v>63.12</v>
      </c>
      <c r="N37" s="140" t="n">
        <f aca="false">MAX(0,M37-M36)</f>
        <v>6.94</v>
      </c>
      <c r="O37" s="139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6.94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14317.8528545341</v>
      </c>
      <c r="E38" s="45" t="n">
        <f aca="false">L38+D38/$K$2</f>
        <v>11.0159192012985</v>
      </c>
      <c r="F38" s="117" t="n">
        <f aca="false">IF($K$9=0,0,E38/$K$9)</f>
        <v>0.0160286715282842</v>
      </c>
      <c r="G38" s="117" t="n">
        <f aca="false">G37+F38</f>
        <v>0.655579033745896</v>
      </c>
      <c r="H38" s="138" t="n">
        <v>64421.55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RESUMO'!AK26</f>
        <v>64.76</v>
      </c>
      <c r="N38" s="140" t="n">
        <f aca="false">MAX(0,M38-M37)</f>
        <v>1.64000000000001</v>
      </c>
      <c r="O38" s="139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1.64000000000001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27588.057939224</v>
      </c>
      <c r="E39" s="45" t="n">
        <f aca="false">L39+D39/$K$2</f>
        <v>21.2257955342091</v>
      </c>
      <c r="F39" s="117" t="n">
        <f aca="false">IF($K$9=0,0,E39/$K$9)</f>
        <v>0.0308845134325473</v>
      </c>
      <c r="G39" s="117" t="n">
        <f aca="false">G38+F39</f>
        <v>0.686463547178443</v>
      </c>
      <c r="H39" s="138" t="n">
        <v>64421.55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RESUMO'!AL26</f>
        <v>67.92</v>
      </c>
      <c r="N39" s="140" t="n">
        <f aca="false">MAX(0,M39-M38)</f>
        <v>3.16</v>
      </c>
      <c r="O39" s="139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3.16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22611.7310324653</v>
      </c>
      <c r="E40" s="45" t="n">
        <f aca="false">L40+D40/$K$2</f>
        <v>17.3970919093676</v>
      </c>
      <c r="F40" s="117" t="n">
        <f aca="false">IF($K$9=0,0,E40/$K$9)</f>
        <v>0.0253135727184487</v>
      </c>
      <c r="G40" s="117" t="n">
        <f aca="false">G39+F40</f>
        <v>0.711777119896892</v>
      </c>
      <c r="H40" s="138" t="n">
        <v>64421.55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RESUMO'!AM26</f>
        <v>70.51</v>
      </c>
      <c r="N40" s="140" t="n">
        <f aca="false">MAX(0,M40-M39)</f>
        <v>2.59</v>
      </c>
      <c r="O40" s="139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2.59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698.431846562619</v>
      </c>
      <c r="E41" s="45" t="n">
        <f aca="false">L41+D41/$K$2</f>
        <v>0.537361912258448</v>
      </c>
      <c r="F41" s="117" t="n">
        <f aca="false">IF($K$9=0,0,E41/$K$9)</f>
        <v>0.000781886416013841</v>
      </c>
      <c r="G41" s="117" t="n">
        <f aca="false">G40+F41</f>
        <v>0.712559006312906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RESUMO'!AN26</f>
        <v>70.59</v>
      </c>
      <c r="N41" s="140" t="n">
        <f aca="false">MAX(0,M41-M40)</f>
        <v>0.0799999999999983</v>
      </c>
      <c r="O41" s="139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0.0799999999999983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3666.76719445384</v>
      </c>
      <c r="E42" s="45" t="n">
        <f aca="false">L42+D42/$K$2</f>
        <v>2.82115003935692</v>
      </c>
      <c r="F42" s="117" t="n">
        <f aca="false">IF($K$9=0,0,E42/$K$9)</f>
        <v>0.00410490368407277</v>
      </c>
      <c r="G42" s="117" t="n">
        <f aca="false">G41+F42</f>
        <v>0.716663909996979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RESUMO'!AO26</f>
        <v>71.01</v>
      </c>
      <c r="N42" s="140" t="n">
        <f aca="false">MAX(0,M42-M41)</f>
        <v>0.420000000000002</v>
      </c>
      <c r="O42" s="139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0.420000000000002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15278.1966435576</v>
      </c>
      <c r="E43" s="45" t="n">
        <f aca="false">L43+D43/$K$2</f>
        <v>11.7547918306538</v>
      </c>
      <c r="F43" s="117" t="n">
        <f aca="false">IF($K$9=0,0,E43/$K$9)</f>
        <v>0.0171037653503031</v>
      </c>
      <c r="G43" s="117" t="n">
        <f aca="false">G42+F43</f>
        <v>0.733767675347282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RESUMO'!AP26</f>
        <v>72.76</v>
      </c>
      <c r="N43" s="140" t="n">
        <f aca="false">MAX(0,M43-M42)</f>
        <v>1.75</v>
      </c>
      <c r="O43" s="139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1.75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19730.6996653943</v>
      </c>
      <c r="E44" s="45" t="n">
        <f aca="false">L44+D44/$K$2</f>
        <v>15.1804740213014</v>
      </c>
      <c r="F44" s="117" t="n">
        <f aca="false">IF($K$9=0,0,E44/$K$9)</f>
        <v>0.0220882912523914</v>
      </c>
      <c r="G44" s="117" t="n">
        <f aca="false">G43+F44</f>
        <v>0.755855966599673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RESUMO'!AQ26</f>
        <v>75.02</v>
      </c>
      <c r="N44" s="140" t="n">
        <f aca="false">MAX(0,M44-M43)</f>
        <v>2.25999999999999</v>
      </c>
      <c r="O44" s="139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2.25999999999999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24881.6345337939</v>
      </c>
      <c r="E45" s="45" t="n">
        <f aca="false">L45+D45/$K$2</f>
        <v>19.1435181242077</v>
      </c>
      <c r="F45" s="117" t="n">
        <f aca="false">IF($K$9=0,0,E45/$K$9)</f>
        <v>0.0278547035704938</v>
      </c>
      <c r="G45" s="117" t="n">
        <f aca="false">G44+F45</f>
        <v>0.783710670170167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RESUMO'!AR26</f>
        <v>77.87</v>
      </c>
      <c r="N45" s="140" t="n">
        <f aca="false">MAX(0,M45-M44)</f>
        <v>2.85000000000001</v>
      </c>
      <c r="O45" s="139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2.85000000000001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41032.8709855546</v>
      </c>
      <c r="E46" s="45" t="n">
        <f aca="false">L46+D46/$K$2</f>
        <v>31.5700123451844</v>
      </c>
      <c r="F46" s="117" t="n">
        <f aca="false">IF($K$9=0,0,E46/$K$9)</f>
        <v>0.045935826940814</v>
      </c>
      <c r="G46" s="117" t="n">
        <f aca="false">G45+F46</f>
        <v>0.829646497110981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RESUMO'!AS26</f>
        <v>82.57</v>
      </c>
      <c r="N46" s="140" t="n">
        <f aca="false">MAX(0,M46-M45)</f>
        <v>4.69999999999999</v>
      </c>
      <c r="O46" s="139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4.69999999999999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33786.6405774675</v>
      </c>
      <c r="E47" s="45" t="n">
        <f aca="false">L47+D47/$K$2</f>
        <v>25.994882505503</v>
      </c>
      <c r="F47" s="117" t="n">
        <f aca="false">IF($K$9=0,0,E47/$K$9)</f>
        <v>0.0378237553746704</v>
      </c>
      <c r="G47" s="117" t="n">
        <f aca="false">G46+F47</f>
        <v>0.867470252485651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RESUMO'!AT26</f>
        <v>86.44</v>
      </c>
      <c r="N47" s="140" t="n">
        <f aca="false">MAX(0,M47-M46)</f>
        <v>3.87</v>
      </c>
      <c r="O47" s="139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3.87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43040.8625444224</v>
      </c>
      <c r="E48" s="45" t="n">
        <f aca="false">L48+D48/$K$2</f>
        <v>33.1149278429276</v>
      </c>
      <c r="F48" s="117" t="n">
        <f aca="false">IF($K$9=0,0,E48/$K$9)</f>
        <v>0.048183750386854</v>
      </c>
      <c r="G48" s="117" t="n">
        <f aca="false">G47+F48</f>
        <v>0.915654002872505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RESUMO'!AU26</f>
        <v>91.37</v>
      </c>
      <c r="N48" s="140" t="n">
        <f aca="false">MAX(0,M48-M47)</f>
        <v>4.93000000000001</v>
      </c>
      <c r="O48" s="139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4.93000000000001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26016.586284458</v>
      </c>
      <c r="E49" s="45" t="n">
        <f aca="false">L49+D49/$K$2</f>
        <v>20.0167312316275</v>
      </c>
      <c r="F49" s="117" t="n">
        <f aca="false">IF($K$9=0,0,E49/$K$9)</f>
        <v>0.0291252689965161</v>
      </c>
      <c r="G49" s="117" t="n">
        <f aca="false">G48+F49</f>
        <v>0.944779271869021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RESUMO'!AV26</f>
        <v>94.35</v>
      </c>
      <c r="N49" s="140" t="n">
        <f aca="false">MAX(0,M49-M48)</f>
        <v>2.97999999999999</v>
      </c>
      <c r="O49" s="139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2.97999999999999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21040.2593776994</v>
      </c>
      <c r="E50" s="45" t="n">
        <f aca="false">L50+D50/$K$2</f>
        <v>16.1880276067862</v>
      </c>
      <c r="F50" s="117" t="n">
        <f aca="false">IF($K$9=0,0,E50/$K$9)</f>
        <v>0.0235543282824176</v>
      </c>
      <c r="G50" s="117" t="n">
        <f aca="false">G49+F50</f>
        <v>0.968333600151439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RESUMO'!AW26</f>
        <v>96.76</v>
      </c>
      <c r="N50" s="140" t="n">
        <f aca="false">MAX(0,M50-M49)</f>
        <v>2.41000000000001</v>
      </c>
      <c r="O50" s="139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2.41000000000001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23921.2907447702</v>
      </c>
      <c r="E51" s="45" t="n">
        <f aca="false">L51+D51/$K$2</f>
        <v>18.4046454948522</v>
      </c>
      <c r="F51" s="117" t="n">
        <f aca="false">IF($K$9=0,0,E51/$K$9)</f>
        <v>0.0267796097484746</v>
      </c>
      <c r="G51" s="117" t="n">
        <f aca="false">G50+F51</f>
        <v>0.995113209899914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RESUMO'!AX26</f>
        <v>99.5</v>
      </c>
      <c r="N51" s="140" t="n">
        <f aca="false">MAX(0,M51-M50)</f>
        <v>2.74</v>
      </c>
      <c r="O51" s="139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2.74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4365.19904101646</v>
      </c>
      <c r="E52" s="45" t="n">
        <f aca="false">L52+D52/$K$2</f>
        <v>3.35851195161537</v>
      </c>
      <c r="F52" s="117" t="n">
        <f aca="false">IF($K$9=0,0,E52/$K$9)</f>
        <v>0.00488679010008661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RESUMO'!AY26</f>
        <v>100</v>
      </c>
      <c r="N52" s="140" t="n">
        <f aca="false">MAX(0,M52-M51)</f>
        <v>0.5</v>
      </c>
      <c r="O52" s="139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0.5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RESUMO'!AZ26</f>
        <v>100</v>
      </c>
      <c r="N53" s="140" t="n">
        <f aca="false">MAX(0,M53-M52)</f>
        <v>0</v>
      </c>
      <c r="O53" s="139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RESUMO'!BA26</f>
        <v>100</v>
      </c>
      <c r="N54" s="140" t="n">
        <f aca="false">MAX(0,M54-M53)</f>
        <v>0</v>
      </c>
      <c r="O54" s="139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RESUMO'!BB26</f>
        <v>100</v>
      </c>
      <c r="N55" s="140" t="n">
        <f aca="false">MAX(0,M55-M54)</f>
        <v>0</v>
      </c>
      <c r="O55" s="139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RESUMO'!BC26</f>
        <v>100</v>
      </c>
      <c r="N56" s="140" t="n">
        <f aca="false">MAX(0,M56-M55)</f>
        <v>0</v>
      </c>
      <c r="O56" s="139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RESUMO'!BD26</f>
        <v>100</v>
      </c>
      <c r="N57" s="140" t="n">
        <f aca="false">MAX(0,M57-M56)</f>
        <v>0</v>
      </c>
      <c r="O57" s="139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RESUMO'!BE26</f>
        <v>100</v>
      </c>
      <c r="N58" s="140" t="n">
        <f aca="false">MAX(0,M58-M57)</f>
        <v>0</v>
      </c>
      <c r="O58" s="139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RESUMO'!BF26</f>
        <v>100</v>
      </c>
      <c r="N59" s="140" t="n">
        <f aca="false">MAX(0,M59-M58)</f>
        <v>0</v>
      </c>
      <c r="O59" s="139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RESUMO'!BG26</f>
        <v>100</v>
      </c>
      <c r="N60" s="140" t="n">
        <f aca="false">MAX(0,M60-M59)</f>
        <v>0</v>
      </c>
      <c r="O60" s="139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RESUMO'!BH26</f>
        <v>100</v>
      </c>
      <c r="N61" s="140" t="n">
        <f aca="false">MAX(0,M61-M60)</f>
        <v>0</v>
      </c>
      <c r="O61" s="139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RESUMO'!BI26</f>
        <v>100</v>
      </c>
      <c r="N62" s="140" t="n">
        <f aca="false">MAX(0,M62-M61)</f>
        <v>0</v>
      </c>
      <c r="O62" s="139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RESUMO'!BJ26</f>
        <v>100</v>
      </c>
      <c r="N63" s="140" t="n">
        <f aca="false">MAX(0,M63-M62)</f>
        <v>0</v>
      </c>
      <c r="O63" s="139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RESUMO'!BK26</f>
        <v>100</v>
      </c>
      <c r="N64" s="140" t="n">
        <f aca="false">MAX(0,M64-M63)</f>
        <v>0</v>
      </c>
      <c r="O64" s="139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RESUMO'!BL26</f>
        <v>100</v>
      </c>
      <c r="N65" s="140" t="n">
        <f aca="false">MAX(0,M65-M64)</f>
        <v>0</v>
      </c>
      <c r="O65" s="139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RESUMO'!BM26</f>
        <v>100</v>
      </c>
      <c r="N66" s="140" t="n">
        <f aca="false">MAX(0,M66-M65)</f>
        <v>0</v>
      </c>
      <c r="O66" s="139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RESUMO'!BN26</f>
        <v>100</v>
      </c>
      <c r="N67" s="140" t="n">
        <f aca="false">MAX(0,M67-M66)</f>
        <v>0</v>
      </c>
      <c r="O67" s="139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RESUMO'!BO26</f>
        <v>100</v>
      </c>
      <c r="N68" s="140" t="n">
        <f aca="false">MAX(0,M68-M67)</f>
        <v>0</v>
      </c>
      <c r="O68" s="139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RESUMO'!BP26</f>
        <v>100</v>
      </c>
      <c r="N69" s="140" t="n">
        <f aca="false">MAX(0,M69-M68)</f>
        <v>0</v>
      </c>
      <c r="O69" s="139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RESUMO'!BQ26</f>
        <v>100</v>
      </c>
      <c r="N70" s="140" t="n">
        <f aca="false">MAX(0,M70-M69)</f>
        <v>0</v>
      </c>
      <c r="O70" s="139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RESUMO'!BR26</f>
        <v>100</v>
      </c>
      <c r="N71" s="140" t="n">
        <f aca="false">MAX(0,M71-M70)</f>
        <v>0</v>
      </c>
      <c r="O71" s="139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RESUMO'!BS26</f>
        <v>100</v>
      </c>
      <c r="N72" s="140" t="n">
        <f aca="false">MAX(0,M72-M71)</f>
        <v>0</v>
      </c>
      <c r="O72" s="139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RESUMO'!BT26</f>
        <v>100</v>
      </c>
      <c r="N73" s="140" t="n">
        <f aca="false">MAX(0,M73-M72)</f>
        <v>0</v>
      </c>
      <c r="O73" s="139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RESUMO'!BU26</f>
        <v>100</v>
      </c>
      <c r="N74" s="140" t="n">
        <f aca="false">MAX(0,M74-M73)</f>
        <v>0</v>
      </c>
      <c r="O74" s="139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RESUMO'!BV26</f>
        <v>100</v>
      </c>
      <c r="N75" s="140" t="n">
        <f aca="false">MAX(0,M75-M74)</f>
        <v>0</v>
      </c>
      <c r="O75" s="139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RESUMO'!BW26</f>
        <v>100</v>
      </c>
      <c r="N76" s="140" t="n">
        <f aca="false">MAX(0,M76-M75)</f>
        <v>0</v>
      </c>
      <c r="O76" s="139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19773.29</v>
      </c>
      <c r="D78" s="61" t="n">
        <f aca="false">SUM(D5:D76)</f>
        <v>873039.808203293</v>
      </c>
      <c r="E78" s="61" t="n">
        <f aca="false">SUM(E5:E76)</f>
        <v>687.26339434056</v>
      </c>
      <c r="F78" s="145" t="n">
        <f aca="false">SUM(F5:F76)</f>
        <v>1</v>
      </c>
      <c r="H78" s="61" t="n">
        <f aca="false">SUM(H5:H76)</f>
        <v>868102.09</v>
      </c>
      <c r="L78" s="61" t="n">
        <f aca="false">SUM(L5:L76)</f>
        <v>15.5610040174865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PL'!F33</f>
        <v>3502731.95</v>
      </c>
      <c r="K5" s="56" t="n">
        <f aca="false">'VALOR POR PL'!G33</f>
        <v>2998.771118</v>
      </c>
      <c r="L5" s="56" t="n">
        <f aca="false">'DADOS HISTORICOS'!$BZ$27</f>
        <v>0</v>
      </c>
      <c r="M5" s="139" t="n">
        <f aca="false">'CP RESUMO'!D27</f>
        <v>0</v>
      </c>
      <c r="N5" s="140" t="n">
        <v>0</v>
      </c>
      <c r="O5" s="139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PL'!H33</f>
        <v>2998.771118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RESUMO'!E27</f>
        <v>0</v>
      </c>
      <c r="N6" s="140" t="n">
        <f aca="false">MAX(0,M6-M5)</f>
        <v>0</v>
      </c>
      <c r="O6" s="139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3894036.20689427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RESUMO'!F27</f>
        <v>0</v>
      </c>
      <c r="N7" s="140" t="n">
        <f aca="false">MAX(0,M7-M6)</f>
        <v>0</v>
      </c>
      <c r="O7" s="139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RESUMO'!G27</f>
        <v>0</v>
      </c>
      <c r="N8" s="140" t="n">
        <f aca="false">MAX(0,M8-M7)</f>
        <v>0</v>
      </c>
      <c r="O8" s="139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3894036.20689427</v>
      </c>
      <c r="K9" s="45" t="n">
        <f aca="false">E78</f>
        <v>2996.00705901192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RESUMO'!H27</f>
        <v>0</v>
      </c>
      <c r="N9" s="140" t="n">
        <f aca="false">MAX(0,M9-M8)</f>
        <v>0</v>
      </c>
      <c r="O9" s="139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2996.00705901192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RESUMO'!I27</f>
        <v>0</v>
      </c>
      <c r="N10" s="140" t="n">
        <f aca="false">MAX(0,M10-M9)</f>
        <v>0</v>
      </c>
      <c r="O10" s="139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3475480.59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RESUMO'!J27</f>
        <v>0</v>
      </c>
      <c r="N11" s="140" t="n">
        <f aca="false">MAX(0,M11-M10)</f>
        <v>0</v>
      </c>
      <c r="O11" s="139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98.85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RESUMO'!K27</f>
        <v>0</v>
      </c>
      <c r="N12" s="140" t="n">
        <f aca="false">MAX(0,M12-M11)</f>
        <v>0</v>
      </c>
      <c r="O12" s="139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RESUMO'!L27</f>
        <v>0</v>
      </c>
      <c r="N13" s="140" t="n">
        <f aca="false">MAX(0,M13-M12)</f>
        <v>0</v>
      </c>
      <c r="O13" s="139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RESUMO'!M27</f>
        <v>0</v>
      </c>
      <c r="N14" s="140" t="n">
        <f aca="false">MAX(0,M14-M13)</f>
        <v>0</v>
      </c>
      <c r="O14" s="139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RESUMO'!N27</f>
        <v>0</v>
      </c>
      <c r="N15" s="140" t="n">
        <f aca="false">MAX(0,M15-M14)</f>
        <v>0</v>
      </c>
      <c r="O15" s="139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RESUMO'!O27</f>
        <v>0</v>
      </c>
      <c r="N16" s="140" t="n">
        <f aca="false">MAX(0,M16-M15)</f>
        <v>0</v>
      </c>
      <c r="O16" s="139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98.85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RESUMO'!P27</f>
        <v>0</v>
      </c>
      <c r="N17" s="140" t="n">
        <f aca="false">MAX(0,M17-M16)</f>
        <v>0</v>
      </c>
      <c r="O17" s="139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3894036.20689427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RESUMO'!Q27</f>
        <v>0</v>
      </c>
      <c r="N18" s="140" t="n">
        <f aca="false">MAX(0,M18-M17)</f>
        <v>0</v>
      </c>
      <c r="O18" s="139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RESUMO'!R27</f>
        <v>0</v>
      </c>
      <c r="N19" s="140" t="n">
        <f aca="false">MAX(0,M19-M18)</f>
        <v>0</v>
      </c>
      <c r="O19" s="139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RESUMO'!S27</f>
        <v>0</v>
      </c>
      <c r="N20" s="140" t="n">
        <f aca="false">MAX(0,M20-M19)</f>
        <v>0</v>
      </c>
      <c r="O20" s="139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RESUMO'!T27</f>
        <v>0</v>
      </c>
      <c r="N21" s="140" t="n">
        <f aca="false">MAX(0,M21-M20)</f>
        <v>0</v>
      </c>
      <c r="O21" s="139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RESUMO'!U27</f>
        <v>0</v>
      </c>
      <c r="N22" s="140" t="n">
        <f aca="false">MAX(0,M22-M21)</f>
        <v>0</v>
      </c>
      <c r="O22" s="139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RESUMO'!V27</f>
        <v>0</v>
      </c>
      <c r="N23" s="140" t="n">
        <f aca="false">MAX(0,M23-M22)</f>
        <v>0</v>
      </c>
      <c r="O23" s="139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RESUMO'!W27</f>
        <v>0</v>
      </c>
      <c r="N24" s="140" t="n">
        <f aca="false">MAX(0,M24-M23)</f>
        <v>0</v>
      </c>
      <c r="O24" s="139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RESUMO'!X27</f>
        <v>0</v>
      </c>
      <c r="N25" s="140" t="n">
        <f aca="false">MAX(0,M25-M24)</f>
        <v>0</v>
      </c>
      <c r="O25" s="139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 t="n">
        <v>9083.79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RESUMO'!Y27</f>
        <v>1.15</v>
      </c>
      <c r="N26" s="140" t="n">
        <f aca="false">MAX(0,M26-M25)</f>
        <v>1.15</v>
      </c>
      <c r="O26" s="139" t="n">
        <f aca="false">IF(B26&lt;='VALOR POR PL'!$P$5,'CP RESUMO'!Y69,"")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47665.9970697224</v>
      </c>
      <c r="E27" s="45" t="n">
        <f aca="false">L27+D27/$K$2</f>
        <v>36.6734298574043</v>
      </c>
      <c r="F27" s="117" t="n">
        <f aca="false">IF($K$9=0,0,E27/$K$9)</f>
        <v>0.0122407688416793</v>
      </c>
      <c r="G27" s="117" t="n">
        <f aca="false">G26+F27</f>
        <v>0.0122407688416793</v>
      </c>
      <c r="H27" s="138" t="n">
        <v>14534.07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RESUMO'!Z27</f>
        <v>2.36</v>
      </c>
      <c r="N27" s="140" t="n">
        <f aca="false">MAX(0,M27-M26)</f>
        <v>1.21</v>
      </c>
      <c r="O27" s="139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1.21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52787.137250767</v>
      </c>
      <c r="E28" s="45" t="n">
        <f aca="false">L28+D28/$K$2</f>
        <v>40.6135504205965</v>
      </c>
      <c r="F28" s="117" t="n">
        <f aca="false">IF($K$9=0,0,E28/$K$9)</f>
        <v>0.0135558927668184</v>
      </c>
      <c r="G28" s="117" t="n">
        <f aca="false">G27+F28</f>
        <v>0.0257966616084977</v>
      </c>
      <c r="H28" s="138" t="n">
        <v>13257.96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RESUMO'!AA27</f>
        <v>3.7</v>
      </c>
      <c r="N28" s="140" t="n">
        <f aca="false">MAX(0,M28-M27)</f>
        <v>1.34</v>
      </c>
      <c r="O28" s="139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1.34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49635.6663701242</v>
      </c>
      <c r="E29" s="45" t="n">
        <f aca="false">L29+D29/$K$2</f>
        <v>38.1888608432475</v>
      </c>
      <c r="F29" s="117" t="n">
        <f aca="false">IF($K$9=0,0,E29/$K$9)</f>
        <v>0.0127465857359636</v>
      </c>
      <c r="G29" s="117" t="n">
        <f aca="false">G28+F29</f>
        <v>0.0385432473444613</v>
      </c>
      <c r="H29" s="138" t="n">
        <v>17253.51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RESUMO'!AB27</f>
        <v>4.96</v>
      </c>
      <c r="N29" s="140" t="n">
        <f aca="false">MAX(0,M29-M28)</f>
        <v>1.26</v>
      </c>
      <c r="O29" s="139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1.26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147331.263670051</v>
      </c>
      <c r="E30" s="45" t="n">
        <f aca="false">L30+D30/$K$2</f>
        <v>113.354237741068</v>
      </c>
      <c r="F30" s="117" t="n">
        <f aca="false">IF($K$9=0,0,E30/$K$9)</f>
        <v>0.0378351036924633</v>
      </c>
      <c r="G30" s="117" t="n">
        <f aca="false">G29+F30</f>
        <v>0.0763783510369246</v>
      </c>
      <c r="H30" s="138" t="n">
        <v>27787.23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RESUMO'!AC27</f>
        <v>8.7</v>
      </c>
      <c r="N30" s="140" t="n">
        <f aca="false">MAX(0,M30-M29)</f>
        <v>3.74</v>
      </c>
      <c r="O30" s="139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3.74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218633.292344595</v>
      </c>
      <c r="E31" s="45" t="n">
        <f aca="false">L31+D31/$K$2</f>
        <v>168.21283942859</v>
      </c>
      <c r="F31" s="117" t="n">
        <f aca="false">IF($K$9=0,0,E31/$K$9)</f>
        <v>0.0561456752655539</v>
      </c>
      <c r="G31" s="117" t="n">
        <f aca="false">G30+F31</f>
        <v>0.132524026302478</v>
      </c>
      <c r="H31" s="138" t="n">
        <v>78639.68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RESUMO'!AD27</f>
        <v>14.25</v>
      </c>
      <c r="N31" s="140" t="n">
        <f aca="false">MAX(0,M31-M30)</f>
        <v>5.55</v>
      </c>
      <c r="O31" s="139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5.55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226511.969546202</v>
      </c>
      <c r="E32" s="45" t="n">
        <f aca="false">L32+D32/$K$2</f>
        <v>174.274563371963</v>
      </c>
      <c r="F32" s="117" t="n">
        <f aca="false">IF($K$9=0,0,E32/$K$9)</f>
        <v>0.0581689428426909</v>
      </c>
      <c r="G32" s="117" t="n">
        <f aca="false">G31+F32</f>
        <v>0.190692969145169</v>
      </c>
      <c r="H32" s="138" t="n">
        <v>98799.04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RESUMO'!AE27</f>
        <v>20</v>
      </c>
      <c r="N32" s="140" t="n">
        <f aca="false">MAX(0,M32-M31)</f>
        <v>5.75</v>
      </c>
      <c r="O32" s="139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5.75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271420.429595362</v>
      </c>
      <c r="E33" s="45" t="n">
        <f aca="false">L33+D33/$K$2</f>
        <v>208.826389849187</v>
      </c>
      <c r="F33" s="117" t="n">
        <f aca="false">IF($K$9=0,0,E33/$K$9)</f>
        <v>0.0697015680323723</v>
      </c>
      <c r="G33" s="117" t="n">
        <f aca="false">G32+F33</f>
        <v>0.260394537177542</v>
      </c>
      <c r="H33" s="138" t="n">
        <v>102068.12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RESUMO'!AF27</f>
        <v>26.89</v>
      </c>
      <c r="N33" s="140" t="n">
        <f aca="false">MAX(0,M33-M32)</f>
        <v>6.89</v>
      </c>
      <c r="O33" s="139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6.89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278905.172936888</v>
      </c>
      <c r="E34" s="45" t="n">
        <f aca="false">L34+D34/$K$2</f>
        <v>214.585027595391</v>
      </c>
      <c r="F34" s="117" t="n">
        <f aca="false">IF($K$9=0,0,E34/$K$9)</f>
        <v>0.0716236722306525</v>
      </c>
      <c r="G34" s="117" t="n">
        <f aca="false">G33+F34</f>
        <v>0.332018209408194</v>
      </c>
      <c r="H34" s="138" t="n">
        <v>116415.78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RESUMO'!AG27</f>
        <v>33.97</v>
      </c>
      <c r="N34" s="140" t="n">
        <f aca="false">MAX(0,M34-M33)</f>
        <v>7.08</v>
      </c>
      <c r="O34" s="139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7.08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326571.170006611</v>
      </c>
      <c r="E35" s="45" t="n">
        <f aca="false">L35+D35/$K$2</f>
        <v>251.258457452795</v>
      </c>
      <c r="F35" s="117" t="n">
        <f aca="false">IF($K$9=0,0,E35/$K$9)</f>
        <v>0.0838644410723318</v>
      </c>
      <c r="G35" s="117" t="n">
        <f aca="false">G34+F35</f>
        <v>0.415882650480526</v>
      </c>
      <c r="H35" s="138" t="n">
        <v>114236.39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RESUMO'!AH27</f>
        <v>42.26</v>
      </c>
      <c r="N35" s="140" t="n">
        <f aca="false">MAX(0,M35-M34)</f>
        <v>8.29</v>
      </c>
      <c r="O35" s="139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8.29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303329.07226187</v>
      </c>
      <c r="E36" s="45" t="n">
        <f aca="false">L36+D36/$K$2</f>
        <v>233.376371819846</v>
      </c>
      <c r="F36" s="117" t="n">
        <f aca="false">IF($K$9=0,0,E36/$K$9)</f>
        <v>0.0778958017197775</v>
      </c>
      <c r="G36" s="117" t="n">
        <f aca="false">G35+F36</f>
        <v>0.493778452200303</v>
      </c>
      <c r="H36" s="138" t="n">
        <v>124770.11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RESUMO'!AI27</f>
        <v>49.96</v>
      </c>
      <c r="N36" s="140" t="n">
        <f aca="false">MAX(0,M36-M35)</f>
        <v>7.7</v>
      </c>
      <c r="O36" s="139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7.7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228087.704986523</v>
      </c>
      <c r="E37" s="45" t="n">
        <f aca="false">L37+D37/$K$2</f>
        <v>175.486908160637</v>
      </c>
      <c r="F37" s="117" t="n">
        <f aca="false">IF($K$9=0,0,E37/$K$9)</f>
        <v>0.0585735963581184</v>
      </c>
      <c r="G37" s="117" t="n">
        <f aca="false">G36+F37</f>
        <v>0.552352048558422</v>
      </c>
      <c r="H37" s="138" t="n">
        <v>126949.5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RESUMO'!AJ27</f>
        <v>55.75</v>
      </c>
      <c r="N37" s="140" t="n">
        <f aca="false">MAX(0,M37-M36)</f>
        <v>5.79</v>
      </c>
      <c r="O37" s="139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5.79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243451.125529657</v>
      </c>
      <c r="E38" s="45" t="n">
        <f aca="false">L38+D38/$K$2</f>
        <v>187.307269850214</v>
      </c>
      <c r="F38" s="117" t="n">
        <f aca="false">IF($K$9=0,0,E38/$K$9)</f>
        <v>0.0625189681335357</v>
      </c>
      <c r="G38" s="117" t="n">
        <f aca="false">G37+F38</f>
        <v>0.614871016691957</v>
      </c>
      <c r="H38" s="138" t="n">
        <v>137119.99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RESUMO'!AK27</f>
        <v>61.93</v>
      </c>
      <c r="N38" s="140" t="n">
        <f aca="false">MAX(0,M38-M37)</f>
        <v>6.18</v>
      </c>
      <c r="O38" s="139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6.18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196179.062320015</v>
      </c>
      <c r="E39" s="45" t="n">
        <f aca="false">L39+D39/$K$2</f>
        <v>150.936926189978</v>
      </c>
      <c r="F39" s="117" t="n">
        <f aca="false">IF($K$9=0,0,E39/$K$9)</f>
        <v>0.0503793626707132</v>
      </c>
      <c r="G39" s="117" t="n">
        <f aca="false">G38+F39</f>
        <v>0.665250379362671</v>
      </c>
      <c r="H39" s="138" t="n">
        <v>164538.6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RESUMO'!AL27</f>
        <v>66.91</v>
      </c>
      <c r="N39" s="140" t="n">
        <f aca="false">MAX(0,M39-M38)</f>
        <v>4.98</v>
      </c>
      <c r="O39" s="139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4.98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245420.794830059</v>
      </c>
      <c r="E40" s="45" t="n">
        <f aca="false">L40+D40/$K$2</f>
        <v>188.822700836057</v>
      </c>
      <c r="F40" s="117" t="n">
        <f aca="false">IF($K$9=0,0,E40/$K$9)</f>
        <v>0.06302478502782</v>
      </c>
      <c r="G40" s="117" t="n">
        <f aca="false">G39+F40</f>
        <v>0.728275164390491</v>
      </c>
      <c r="H40" s="138" t="n">
        <v>132210.98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RESUMO'!AM27</f>
        <v>73.14</v>
      </c>
      <c r="N40" s="140" t="n">
        <f aca="false">MAX(0,M40-M39)</f>
        <v>6.23</v>
      </c>
      <c r="O40" s="139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6.23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47665.9970697222</v>
      </c>
      <c r="E41" s="45" t="n">
        <f aca="false">L41+D41/$K$2</f>
        <v>36.6734298574041</v>
      </c>
      <c r="F41" s="117" t="n">
        <f aca="false">IF($K$9=0,0,E41/$K$9)</f>
        <v>0.0122407688416792</v>
      </c>
      <c r="G41" s="117" t="n">
        <f aca="false">G40+F41</f>
        <v>0.74051593323217</v>
      </c>
      <c r="H41" s="138" t="n">
        <v>112757.39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RESUMO'!AN27</f>
        <v>74.35</v>
      </c>
      <c r="N41" s="140" t="n">
        <f aca="false">MAX(0,M41-M40)</f>
        <v>1.20999999999999</v>
      </c>
      <c r="O41" s="139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1.20999999999999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105180.340641454</v>
      </c>
      <c r="E42" s="45" t="n">
        <f aca="false">L42+D42/$K$2</f>
        <v>80.9240146440245</v>
      </c>
      <c r="F42" s="117" t="n">
        <f aca="false">IF($K$9=0,0,E42/$K$9)</f>
        <v>0.02701062215478</v>
      </c>
      <c r="G42" s="117" t="n">
        <f aca="false">G41+F42</f>
        <v>0.76752655538695</v>
      </c>
      <c r="H42" s="138" t="n">
        <v>83335.62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RESUMO'!AO27</f>
        <v>77.02</v>
      </c>
      <c r="N42" s="140" t="n">
        <f aca="false">MAX(0,M42-M41)</f>
        <v>2.67</v>
      </c>
      <c r="O42" s="139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2.67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85483.6476374361</v>
      </c>
      <c r="E43" s="45" t="n">
        <f aca="false">L43+D43/$K$2</f>
        <v>65.7697047855929</v>
      </c>
      <c r="F43" s="117" t="n">
        <f aca="false">IF($K$9=0,0,E43/$K$9)</f>
        <v>0.0219524532119373</v>
      </c>
      <c r="G43" s="117" t="n">
        <f aca="false">G42+F43</f>
        <v>0.789479008598887</v>
      </c>
      <c r="H43" s="138" t="n">
        <v>82427.54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RESUMO'!AP27</f>
        <v>79.19</v>
      </c>
      <c r="N43" s="140" t="n">
        <f aca="false">MAX(0,M43-M42)</f>
        <v>2.17</v>
      </c>
      <c r="O43" s="139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2.17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102816.737480971</v>
      </c>
      <c r="E44" s="45" t="n">
        <f aca="false">L44+D44/$K$2</f>
        <v>79.1054974610126</v>
      </c>
      <c r="F44" s="117" t="n">
        <f aca="false">IF($K$9=0,0,E44/$K$9)</f>
        <v>0.0264036418816388</v>
      </c>
      <c r="G44" s="117" t="n">
        <f aca="false">G43+F44</f>
        <v>0.815882650480526</v>
      </c>
      <c r="H44" s="138" t="n">
        <v>69169.58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RESUMO'!AQ27</f>
        <v>81.8</v>
      </c>
      <c r="N44" s="140" t="n">
        <f aca="false">MAX(0,M44-M43)</f>
        <v>2.61</v>
      </c>
      <c r="O44" s="139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2.61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42150.9230285978</v>
      </c>
      <c r="E45" s="45" t="n">
        <f aca="false">L45+D45/$K$2</f>
        <v>32.4302230970437</v>
      </c>
      <c r="F45" s="117" t="n">
        <f aca="false">IF($K$9=0,0,E45/$K$9)</f>
        <v>0.0108244815376834</v>
      </c>
      <c r="G45" s="117" t="n">
        <f aca="false">G44+F45</f>
        <v>0.826707132018209</v>
      </c>
      <c r="H45" s="138" t="n">
        <v>69714.43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RESUMO'!AR27</f>
        <v>82.87</v>
      </c>
      <c r="N45" s="140" t="n">
        <f aca="false">MAX(0,M45-M44)</f>
        <v>1.07000000000001</v>
      </c>
      <c r="O45" s="139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1.07000000000001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48847.7986499633</v>
      </c>
      <c r="E46" s="45" t="n">
        <f aca="false">L46+D46/$K$2</f>
        <v>37.5826884489101</v>
      </c>
      <c r="F46" s="117" t="n">
        <f aca="false">IF($K$9=0,0,E46/$K$9)</f>
        <v>0.0125442589782498</v>
      </c>
      <c r="G46" s="117" t="n">
        <f aca="false">G45+F46</f>
        <v>0.839251390996459</v>
      </c>
      <c r="H46" s="138" t="n">
        <v>75889.37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RESUMO'!AS27</f>
        <v>84.11</v>
      </c>
      <c r="N46" s="140" t="n">
        <f aca="false">MAX(0,M46-M45)</f>
        <v>1.23999999999999</v>
      </c>
      <c r="O46" s="139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1.23999999999999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47272.0632096422</v>
      </c>
      <c r="E47" s="45" t="n">
        <f aca="false">L47+D47/$K$2</f>
        <v>36.3703436602358</v>
      </c>
      <c r="F47" s="117" t="n">
        <f aca="false">IF($K$9=0,0,E47/$K$9)</f>
        <v>0.0121396054628225</v>
      </c>
      <c r="G47" s="117" t="n">
        <f aca="false">G46+F47</f>
        <v>0.851390996459282</v>
      </c>
      <c r="H47" s="138" t="n">
        <v>130514.38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RESUMO'!AT27</f>
        <v>85.31</v>
      </c>
      <c r="N47" s="140" t="n">
        <f aca="false">MAX(0,M47-M46)</f>
        <v>1.2</v>
      </c>
      <c r="O47" s="139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1.2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12999.8173826515</v>
      </c>
      <c r="E48" s="45" t="n">
        <f aca="false">L48+D48/$K$2</f>
        <v>10.0018445065648</v>
      </c>
      <c r="F48" s="117" t="n">
        <f aca="false">IF($K$9=0,0,E48/$K$9)</f>
        <v>0.00333839150227616</v>
      </c>
      <c r="G48" s="117" t="n">
        <f aca="false">G47+F48</f>
        <v>0.854729387961558</v>
      </c>
      <c r="H48" s="138" t="n">
        <v>334424.07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RESUMO'!AU27</f>
        <v>85.64</v>
      </c>
      <c r="N48" s="140" t="n">
        <f aca="false">MAX(0,M48-M47)</f>
        <v>0.329999999999998</v>
      </c>
      <c r="O48" s="139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0.329999999999998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191845.789859131</v>
      </c>
      <c r="E49" s="45" t="n">
        <f aca="false">L49+D49/$K$2</f>
        <v>147.602978021123</v>
      </c>
      <c r="F49" s="117" t="n">
        <f aca="false">IF($K$9=0,0,E49/$K$9)</f>
        <v>0.0492665655032879</v>
      </c>
      <c r="G49" s="117" t="n">
        <f aca="false">G48+F49</f>
        <v>0.903995953464846</v>
      </c>
      <c r="H49" s="138" t="n">
        <v>313719.86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RESUMO'!AV27</f>
        <v>90.51</v>
      </c>
      <c r="N49" s="140" t="n">
        <f aca="false">MAX(0,M49-M48)</f>
        <v>4.87</v>
      </c>
      <c r="O49" s="139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4.87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197754.797760336</v>
      </c>
      <c r="E50" s="45" t="n">
        <f aca="false">L50+D50/$K$2</f>
        <v>152.149270978653</v>
      </c>
      <c r="F50" s="117" t="n">
        <f aca="false">IF($K$9=0,0,E50/$K$9)</f>
        <v>0.0507840161861406</v>
      </c>
      <c r="G50" s="117" t="n">
        <f aca="false">G49+F50</f>
        <v>0.954779969650986</v>
      </c>
      <c r="H50" s="138" t="n">
        <v>333809.03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RESUMO'!AW27</f>
        <v>95.53</v>
      </c>
      <c r="N50" s="140" t="n">
        <f aca="false">MAX(0,M50-M49)</f>
        <v>5.02</v>
      </c>
      <c r="O50" s="139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5.02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168603.69211439</v>
      </c>
      <c r="E51" s="45" t="n">
        <f aca="false">L51+D51/$K$2</f>
        <v>129.720892388174</v>
      </c>
      <c r="F51" s="117" t="n">
        <f aca="false">IF($K$9=0,0,E51/$K$9)</f>
        <v>0.0432979261507335</v>
      </c>
      <c r="G51" s="117" t="n">
        <f aca="false">G50+F51</f>
        <v>0.99807789580172</v>
      </c>
      <c r="H51" s="138" t="n">
        <v>122276.86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RESUMO'!AX27</f>
        <v>99.81</v>
      </c>
      <c r="N51" s="140" t="n">
        <f aca="false">MAX(0,M51-M50)</f>
        <v>4.28</v>
      </c>
      <c r="O51" s="139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4.28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7484.74334152657</v>
      </c>
      <c r="E52" s="45" t="n">
        <f aca="false">L52+D52/$K$2</f>
        <v>5.75863774620392</v>
      </c>
      <c r="F52" s="117" t="n">
        <f aca="false">IF($K$9=0,0,E52/$K$9)</f>
        <v>0.0019221041982802</v>
      </c>
      <c r="G52" s="117" t="n">
        <f aca="false">G51+F52</f>
        <v>1</v>
      </c>
      <c r="H52" s="138" t="n">
        <v>126113.94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RESUMO'!AY27</f>
        <v>100</v>
      </c>
      <c r="N52" s="140" t="n">
        <f aca="false">MAX(0,M52-M51)</f>
        <v>0.189999999999998</v>
      </c>
      <c r="O52" s="139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0.189999999999998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 t="n">
        <v>117582.52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RESUMO'!AZ27</f>
        <v>100</v>
      </c>
      <c r="N53" s="140" t="n">
        <f aca="false">MAX(0,M53-M52)</f>
        <v>0</v>
      </c>
      <c r="O53" s="139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117582.52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RESUMO'!BA27</f>
        <v>100</v>
      </c>
      <c r="N54" s="140" t="n">
        <f aca="false">MAX(0,M54-M53)</f>
        <v>0</v>
      </c>
      <c r="O54" s="139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117582.52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RESUMO'!BB27</f>
        <v>100</v>
      </c>
      <c r="N55" s="140" t="n">
        <f aca="false">MAX(0,M55-M54)</f>
        <v>0</v>
      </c>
      <c r="O55" s="139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RESUMO'!BC27</f>
        <v>100</v>
      </c>
      <c r="N56" s="140" t="n">
        <f aca="false">MAX(0,M56-M55)</f>
        <v>0</v>
      </c>
      <c r="O56" s="139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RESUMO'!BD27</f>
        <v>100</v>
      </c>
      <c r="N57" s="140" t="n">
        <f aca="false">MAX(0,M57-M56)</f>
        <v>0</v>
      </c>
      <c r="O57" s="139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RESUMO'!BE27</f>
        <v>100</v>
      </c>
      <c r="N58" s="140" t="n">
        <f aca="false">MAX(0,M58-M57)</f>
        <v>0</v>
      </c>
      <c r="O58" s="139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RESUMO'!BF27</f>
        <v>100</v>
      </c>
      <c r="N59" s="140" t="n">
        <f aca="false">MAX(0,M59-M58)</f>
        <v>0</v>
      </c>
      <c r="O59" s="139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RESUMO'!BG27</f>
        <v>100</v>
      </c>
      <c r="N60" s="140" t="n">
        <f aca="false">MAX(0,M60-M59)</f>
        <v>0</v>
      </c>
      <c r="O60" s="139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RESUMO'!BH27</f>
        <v>100</v>
      </c>
      <c r="N61" s="140" t="n">
        <f aca="false">MAX(0,M61-M60)</f>
        <v>0</v>
      </c>
      <c r="O61" s="139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RESUMO'!BI27</f>
        <v>100</v>
      </c>
      <c r="N62" s="140" t="n">
        <f aca="false">MAX(0,M62-M61)</f>
        <v>0</v>
      </c>
      <c r="O62" s="139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RESUMO'!BJ27</f>
        <v>100</v>
      </c>
      <c r="N63" s="140" t="n">
        <f aca="false">MAX(0,M63-M62)</f>
        <v>0</v>
      </c>
      <c r="O63" s="139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RESUMO'!BK27</f>
        <v>100</v>
      </c>
      <c r="N64" s="140" t="n">
        <f aca="false">MAX(0,M64-M63)</f>
        <v>0</v>
      </c>
      <c r="O64" s="139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RESUMO'!BL27</f>
        <v>100</v>
      </c>
      <c r="N65" s="140" t="n">
        <f aca="false">MAX(0,M65-M64)</f>
        <v>0</v>
      </c>
      <c r="O65" s="139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RESUMO'!BM27</f>
        <v>100</v>
      </c>
      <c r="N66" s="140" t="n">
        <f aca="false">MAX(0,M66-M65)</f>
        <v>0</v>
      </c>
      <c r="O66" s="139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RESUMO'!BN27</f>
        <v>100</v>
      </c>
      <c r="N67" s="140" t="n">
        <f aca="false">MAX(0,M67-M66)</f>
        <v>0</v>
      </c>
      <c r="O67" s="139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RESUMO'!BO27</f>
        <v>100</v>
      </c>
      <c r="N68" s="140" t="n">
        <f aca="false">MAX(0,M68-M67)</f>
        <v>0</v>
      </c>
      <c r="O68" s="139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RESUMO'!BP27</f>
        <v>100</v>
      </c>
      <c r="N69" s="140" t="n">
        <f aca="false">MAX(0,M69-M68)</f>
        <v>0</v>
      </c>
      <c r="O69" s="139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RESUMO'!BQ27</f>
        <v>100</v>
      </c>
      <c r="N70" s="140" t="n">
        <f aca="false">MAX(0,M70-M69)</f>
        <v>0</v>
      </c>
      <c r="O70" s="139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RESUMO'!BR27</f>
        <v>100</v>
      </c>
      <c r="N71" s="140" t="n">
        <f aca="false">MAX(0,M71-M70)</f>
        <v>0</v>
      </c>
      <c r="O71" s="139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RESUMO'!BS27</f>
        <v>100</v>
      </c>
      <c r="N72" s="140" t="n">
        <f aca="false">MAX(0,M72-M71)</f>
        <v>0</v>
      </c>
      <c r="O72" s="139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RESUMO'!BT27</f>
        <v>100</v>
      </c>
      <c r="N73" s="140" t="n">
        <f aca="false">MAX(0,M73-M72)</f>
        <v>0</v>
      </c>
      <c r="O73" s="139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RESUMO'!BU27</f>
        <v>100</v>
      </c>
      <c r="N74" s="140" t="n">
        <f aca="false">MAX(0,M74-M73)</f>
        <v>0</v>
      </c>
      <c r="O74" s="139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RESUMO'!BV27</f>
        <v>100</v>
      </c>
      <c r="N75" s="140" t="n">
        <f aca="false">MAX(0,M75-M74)</f>
        <v>0</v>
      </c>
      <c r="O75" s="139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RESUMO'!BW27</f>
        <v>100</v>
      </c>
      <c r="N76" s="140" t="n">
        <f aca="false">MAX(0,M76-M75)</f>
        <v>0</v>
      </c>
      <c r="O76" s="139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3894036.20689427</v>
      </c>
      <c r="E78" s="61" t="n">
        <f aca="false">SUM(E5:E76)</f>
        <v>2996.00705901192</v>
      </c>
      <c r="F78" s="145" t="n">
        <f aca="false">SUM(F5:F76)</f>
        <v>1</v>
      </c>
      <c r="H78" s="61" t="n">
        <f aca="false">SUM(H5:H76)</f>
        <v>3484564.38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PL'!F34</f>
        <v>5284594.96</v>
      </c>
      <c r="K5" s="56" t="n">
        <f aca="false">'VALOR POR PL'!G34</f>
        <v>4524.265905</v>
      </c>
      <c r="L5" s="56" t="n">
        <f aca="false">'DADOS HISTORICOS'!$BZ$28</f>
        <v>0</v>
      </c>
      <c r="M5" s="139" t="n">
        <f aca="false">'CP RESUMO'!D28</f>
        <v>0</v>
      </c>
      <c r="N5" s="140" t="n">
        <v>0</v>
      </c>
      <c r="O5" s="139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PL'!H34</f>
        <v>4307.67916177202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RESUMO'!E28</f>
        <v>0</v>
      </c>
      <c r="N6" s="140" t="n">
        <f aca="false">MAX(0,M6-M5)</f>
        <v>0</v>
      </c>
      <c r="O6" s="139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5593711.80101652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RESUMO'!F28</f>
        <v>0</v>
      </c>
      <c r="N7" s="140" t="n">
        <f aca="false">MAX(0,M7-M6)</f>
        <v>0</v>
      </c>
      <c r="O7" s="139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0.770391354591911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RESUMO'!G28</f>
        <v>0</v>
      </c>
      <c r="N8" s="140" t="n">
        <f aca="false">MAX(0,M8-M7)</f>
        <v>0</v>
      </c>
      <c r="O8" s="139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5593711.80101652</v>
      </c>
      <c r="K9" s="45" t="n">
        <f aca="false">E78</f>
        <v>4303.70935233032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RESUMO'!H28</f>
        <v>0</v>
      </c>
      <c r="N9" s="140" t="n">
        <f aca="false">MAX(0,M9-M8)</f>
        <v>0</v>
      </c>
      <c r="O9" s="139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4302.93896097573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RESUMO'!I28</f>
        <v>0</v>
      </c>
      <c r="N10" s="140" t="n">
        <f aca="false">MAX(0,M10-M9)</f>
        <v>0</v>
      </c>
      <c r="O10" s="139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4174952.9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RESUMO'!J28</f>
        <v>0</v>
      </c>
      <c r="N11" s="140" t="n">
        <f aca="false">MAX(0,M11-M10)</f>
        <v>0</v>
      </c>
      <c r="O11" s="139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RESUMO'!K28</f>
        <v>0</v>
      </c>
      <c r="N12" s="140" t="n">
        <f aca="false">MAX(0,M12-M11)</f>
        <v>0</v>
      </c>
      <c r="O12" s="139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RESUMO'!L28</f>
        <v>0</v>
      </c>
      <c r="N13" s="140" t="n">
        <f aca="false">MAX(0,M13-M12)</f>
        <v>0</v>
      </c>
      <c r="O13" s="139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RESUMO'!M28</f>
        <v>0</v>
      </c>
      <c r="N14" s="140" t="n">
        <f aca="false">MAX(0,M14-M13)</f>
        <v>0</v>
      </c>
      <c r="O14" s="139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3917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RESUMO'!N28</f>
        <v>0</v>
      </c>
      <c r="N15" s="140" t="n">
        <f aca="false">MAX(0,M15-M14)</f>
        <v>0</v>
      </c>
      <c r="O15" s="139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RESUMO'!O28</f>
        <v>0</v>
      </c>
      <c r="N16" s="140" t="n">
        <f aca="false">MAX(0,M16-M15)</f>
        <v>0</v>
      </c>
      <c r="O16" s="139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4174952.9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RESUMO'!P28</f>
        <v>0</v>
      </c>
      <c r="N17" s="140" t="n">
        <f aca="false">MAX(0,M17-M16)</f>
        <v>0</v>
      </c>
      <c r="O17" s="139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5592710.49101652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RESUMO'!Q28</f>
        <v>0</v>
      </c>
      <c r="N18" s="140" t="n">
        <f aca="false">MAX(0,M18-M17)</f>
        <v>0</v>
      </c>
      <c r="O18" s="139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0.339586487554511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RESUMO'!R28</f>
        <v>0</v>
      </c>
      <c r="N19" s="140" t="n">
        <f aca="false">MAX(0,M19-M18)</f>
        <v>0</v>
      </c>
      <c r="O19" s="139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RESUMO'!S28</f>
        <v>0</v>
      </c>
      <c r="N20" s="140" t="n">
        <f aca="false">MAX(0,M20-M19)</f>
        <v>0</v>
      </c>
      <c r="O20" s="139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RESUMO'!T28</f>
        <v>0</v>
      </c>
      <c r="N21" s="140" t="n">
        <f aca="false">MAX(0,M21-M20)</f>
        <v>0</v>
      </c>
      <c r="O21" s="139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RESUMO'!U28</f>
        <v>0</v>
      </c>
      <c r="N22" s="140" t="n">
        <f aca="false">MAX(0,M22-M21)</f>
        <v>0</v>
      </c>
      <c r="O22" s="139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HISTORICOS'!V28)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RESUMO'!V28</f>
        <v>0</v>
      </c>
      <c r="N23" s="140" t="n">
        <f aca="false">MAX(0,M23-M22)</f>
        <v>0</v>
      </c>
      <c r="O23" s="139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3919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RESUMO'!W28</f>
        <v>0</v>
      </c>
      <c r="N24" s="140" t="n">
        <f aca="false">MAX(0,M24-M23)</f>
        <v>0</v>
      </c>
      <c r="O24" s="139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RESUMO'!X28</f>
        <v>0</v>
      </c>
      <c r="N25" s="140" t="n">
        <f aca="false">MAX(0,M25-M24)</f>
        <v>0</v>
      </c>
      <c r="O25" s="139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RESUMO'!Y28</f>
        <v>0</v>
      </c>
      <c r="N26" s="140" t="n">
        <f aca="false">MAX(0,M26-M25)</f>
        <v>0</v>
      </c>
      <c r="O26" s="139" t="n">
        <f aca="false">IF(B26&lt;='VALOR POR PL'!$P$5,'CP RESUMO'!Y70,"")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HISTORICOS'!Z28)</f>
        <v>931.22</v>
      </c>
      <c r="D27" s="45" t="n">
        <f aca="false">IF(B27&lt;='VALOR POR PL'!$P$5,0,IF($K$17&gt;0,$K$18*P27/$K$17,0))</f>
        <v>232971.558393527</v>
      </c>
      <c r="E27" s="45" t="n">
        <f aca="false">L27+D27/$K$2</f>
        <v>179.960929471793</v>
      </c>
      <c r="F27" s="117" t="n">
        <f aca="false">IF($K$9=0,0,E27/$K$9)</f>
        <v>0.0418153073869521</v>
      </c>
      <c r="G27" s="117" t="n">
        <f aca="false">G26+F27</f>
        <v>0.0418153073869521</v>
      </c>
      <c r="H27" s="138" t="n">
        <v>173913.04</v>
      </c>
      <c r="L27" s="45" t="n">
        <f aca="false">C27/IF(B27&lt;='VALOR POR PL'!$P$5,IFERROR(INDEX('"INCC-FGV"'!$B$2:$B$800,MATCH(B27,'"INCC-FGV"'!$A$2:$A$800,0)),$K$2),$K$2)</f>
        <v>0.716465267722363</v>
      </c>
      <c r="M27" s="139" t="n">
        <f aca="false">'CP RESUMO'!Z28</f>
        <v>0</v>
      </c>
      <c r="N27" s="140" t="n">
        <f aca="false">MAX(0,M27-M26)</f>
        <v>0</v>
      </c>
      <c r="O27" s="139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173913.04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232971.558393527</v>
      </c>
      <c r="E28" s="45" t="n">
        <f aca="false">L28+D28/$K$2</f>
        <v>179.244464204071</v>
      </c>
      <c r="F28" s="117" t="n">
        <f aca="false">IF($K$9=0,0,E28/$K$9)</f>
        <v>0.041648831166309</v>
      </c>
      <c r="G28" s="117" t="n">
        <f aca="false">G27+F28</f>
        <v>0.0834641385532611</v>
      </c>
      <c r="H28" s="138" t="n">
        <v>173913.04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RESUMO'!AA28</f>
        <v>0</v>
      </c>
      <c r="N28" s="140" t="n">
        <f aca="false">MAX(0,M28-M27)</f>
        <v>0</v>
      </c>
      <c r="O28" s="139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173913.04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232971.558393527</v>
      </c>
      <c r="E29" s="45" t="n">
        <f aca="false">L29+D29/$K$2</f>
        <v>179.244464204071</v>
      </c>
      <c r="F29" s="117" t="n">
        <f aca="false">IF($K$9=0,0,E29/$K$9)</f>
        <v>0.041648831166309</v>
      </c>
      <c r="G29" s="117" t="n">
        <f aca="false">G28+F29</f>
        <v>0.12511296971957</v>
      </c>
      <c r="H29" s="138" t="n">
        <v>173913.04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RESUMO'!AB28</f>
        <v>0</v>
      </c>
      <c r="N29" s="140" t="n">
        <f aca="false">MAX(0,M29-M28)</f>
        <v>0</v>
      </c>
      <c r="O29" s="139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173913.04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232971.558393527</v>
      </c>
      <c r="E30" s="45" t="n">
        <f aca="false">L30+D30/$K$2</f>
        <v>179.244464204071</v>
      </c>
      <c r="F30" s="117" t="n">
        <f aca="false">IF($K$9=0,0,E30/$K$9)</f>
        <v>0.041648831166309</v>
      </c>
      <c r="G30" s="117" t="n">
        <f aca="false">G29+F30</f>
        <v>0.166761800885879</v>
      </c>
      <c r="H30" s="138" t="n">
        <v>173913.04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RESUMO'!AC28</f>
        <v>0</v>
      </c>
      <c r="N30" s="140" t="n">
        <f aca="false">MAX(0,M30-M29)</f>
        <v>0</v>
      </c>
      <c r="O30" s="139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173913.04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232971.558393527</v>
      </c>
      <c r="E31" s="45" t="n">
        <f aca="false">L31+D31/$K$2</f>
        <v>179.244464204071</v>
      </c>
      <c r="F31" s="117" t="n">
        <f aca="false">IF($K$9=0,0,E31/$K$9)</f>
        <v>0.041648831166309</v>
      </c>
      <c r="G31" s="117" t="n">
        <f aca="false">G30+F31</f>
        <v>0.208410632052188</v>
      </c>
      <c r="H31" s="138" t="n">
        <v>173913.04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RESUMO'!AD28</f>
        <v>0</v>
      </c>
      <c r="N31" s="140" t="n">
        <f aca="false">MAX(0,M31-M30)</f>
        <v>0</v>
      </c>
      <c r="O31" s="139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173913.04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232971.558393527</v>
      </c>
      <c r="E32" s="45" t="n">
        <f aca="false">L32+D32/$K$2</f>
        <v>179.244464204071</v>
      </c>
      <c r="F32" s="117" t="n">
        <f aca="false">IF($K$9=0,0,E32/$K$9)</f>
        <v>0.041648831166309</v>
      </c>
      <c r="G32" s="117" t="n">
        <f aca="false">G31+F32</f>
        <v>0.250059463218497</v>
      </c>
      <c r="H32" s="138" t="n">
        <v>173913.04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RESUMO'!AE28</f>
        <v>0</v>
      </c>
      <c r="N32" s="140" t="n">
        <f aca="false">MAX(0,M32-M31)</f>
        <v>0</v>
      </c>
      <c r="O32" s="139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173913.04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232971.558393527</v>
      </c>
      <c r="E33" s="45" t="n">
        <f aca="false">L33+D33/$K$2</f>
        <v>179.244464204071</v>
      </c>
      <c r="F33" s="117" t="n">
        <f aca="false">IF($K$9=0,0,E33/$K$9)</f>
        <v>0.041648831166309</v>
      </c>
      <c r="G33" s="117" t="n">
        <f aca="false">G32+F33</f>
        <v>0.291708294384806</v>
      </c>
      <c r="H33" s="138" t="n">
        <v>173913.04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RESUMO'!AF28</f>
        <v>0</v>
      </c>
      <c r="N33" s="140" t="n">
        <f aca="false">MAX(0,M33-M32)</f>
        <v>0</v>
      </c>
      <c r="O33" s="139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173913.04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232971.558393527</v>
      </c>
      <c r="E34" s="45" t="n">
        <f aca="false">L34+D34/$K$2</f>
        <v>179.244464204071</v>
      </c>
      <c r="F34" s="117" t="n">
        <f aca="false">IF($K$9=0,0,E34/$K$9)</f>
        <v>0.041648831166309</v>
      </c>
      <c r="G34" s="117" t="n">
        <f aca="false">G33+F34</f>
        <v>0.333357125551115</v>
      </c>
      <c r="H34" s="138" t="n">
        <v>173913.04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RESUMO'!AG28</f>
        <v>0</v>
      </c>
      <c r="N34" s="140" t="n">
        <f aca="false">MAX(0,M34-M33)</f>
        <v>0</v>
      </c>
      <c r="O34" s="139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173913.04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232971.558393527</v>
      </c>
      <c r="E35" s="45" t="n">
        <f aca="false">L35+D35/$K$2</f>
        <v>179.244464204071</v>
      </c>
      <c r="F35" s="117" t="n">
        <f aca="false">IF($K$9=0,0,E35/$K$9)</f>
        <v>0.041648831166309</v>
      </c>
      <c r="G35" s="117" t="n">
        <f aca="false">G34+F35</f>
        <v>0.375005956717424</v>
      </c>
      <c r="H35" s="138" t="n">
        <v>173913.04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RESUMO'!AH28</f>
        <v>0</v>
      </c>
      <c r="N35" s="140" t="n">
        <f aca="false">MAX(0,M35-M34)</f>
        <v>0</v>
      </c>
      <c r="O35" s="139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173913.04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232971.558393527</v>
      </c>
      <c r="E36" s="45" t="n">
        <f aca="false">L36+D36/$K$2</f>
        <v>179.244464204071</v>
      </c>
      <c r="F36" s="117" t="n">
        <f aca="false">IF($K$9=0,0,E36/$K$9)</f>
        <v>0.041648831166309</v>
      </c>
      <c r="G36" s="117" t="n">
        <f aca="false">G35+F36</f>
        <v>0.416654787883733</v>
      </c>
      <c r="H36" s="138" t="n">
        <v>173913.04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RESUMO'!AI28</f>
        <v>0</v>
      </c>
      <c r="N36" s="140" t="n">
        <f aca="false">MAX(0,M36-M35)</f>
        <v>0</v>
      </c>
      <c r="O36" s="139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173913.04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282885.542213809</v>
      </c>
      <c r="E37" s="45" t="n">
        <f aca="false">L37+D37/$K$2</f>
        <v>217.647457890727</v>
      </c>
      <c r="F37" s="117" t="n">
        <f aca="false">IF($K$9=0,0,E37/$K$9)</f>
        <v>0.0505720623937761</v>
      </c>
      <c r="G37" s="117" t="n">
        <f aca="false">G36+F37</f>
        <v>0.467226850277509</v>
      </c>
      <c r="H37" s="138" t="n">
        <v>211173.78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RESUMO'!AJ28</f>
        <v>0</v>
      </c>
      <c r="N37" s="140" t="n">
        <f aca="false">MAX(0,M37-M36)</f>
        <v>0</v>
      </c>
      <c r="O37" s="139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211173.78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282885.542213809</v>
      </c>
      <c r="E38" s="45" t="n">
        <f aca="false">L38+D38/$K$2</f>
        <v>217.647457890727</v>
      </c>
      <c r="F38" s="117" t="n">
        <f aca="false">IF($K$9=0,0,E38/$K$9)</f>
        <v>0.0505720623937761</v>
      </c>
      <c r="G38" s="117" t="n">
        <f aca="false">G37+F38</f>
        <v>0.517798912671285</v>
      </c>
      <c r="H38" s="138" t="n">
        <v>211173.78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RESUMO'!AK28</f>
        <v>28.64</v>
      </c>
      <c r="N38" s="140" t="n">
        <f aca="false">MAX(0,M38-M37)</f>
        <v>28.64</v>
      </c>
      <c r="O38" s="139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211173.78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249609.557465576</v>
      </c>
      <c r="E39" s="45" t="n">
        <f aca="false">L39+D39/$K$2</f>
        <v>192.045465535142</v>
      </c>
      <c r="F39" s="117" t="n">
        <f aca="false">IF($K$9=0,0,E39/$K$9)</f>
        <v>0.044623242373734</v>
      </c>
      <c r="G39" s="117" t="n">
        <f aca="false">G38+F39</f>
        <v>0.562422155045019</v>
      </c>
      <c r="H39" s="138" t="n">
        <v>186333.29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RESUMO'!AL28</f>
        <v>45</v>
      </c>
      <c r="N39" s="140" t="n">
        <f aca="false">MAX(0,M39-M38)</f>
        <v>16.36</v>
      </c>
      <c r="O39" s="139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186333.29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249609.557465576</v>
      </c>
      <c r="E40" s="45" t="n">
        <f aca="false">L40+D40/$K$2</f>
        <v>192.045465535142</v>
      </c>
      <c r="F40" s="117" t="n">
        <f aca="false">IF($K$9=0,0,E40/$K$9)</f>
        <v>0.044623242373734</v>
      </c>
      <c r="G40" s="117" t="n">
        <f aca="false">G39+F40</f>
        <v>0.607045397418753</v>
      </c>
      <c r="H40" s="138" t="n">
        <v>186333.29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RESUMO'!AM28</f>
        <v>45</v>
      </c>
      <c r="N40" s="140" t="n">
        <f aca="false">MAX(0,M40-M39)</f>
        <v>0</v>
      </c>
      <c r="O40" s="139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186333.29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249609.557465576</v>
      </c>
      <c r="E41" s="45" t="n">
        <f aca="false">L41+D41/$K$2</f>
        <v>192.045465535142</v>
      </c>
      <c r="F41" s="117" t="n">
        <f aca="false">IF($K$9=0,0,E41/$K$9)</f>
        <v>0.044623242373734</v>
      </c>
      <c r="G41" s="117" t="n">
        <f aca="false">G40+F41</f>
        <v>0.651668639792487</v>
      </c>
      <c r="H41" s="138" t="n">
        <v>186333.29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RESUMO'!AN28</f>
        <v>45</v>
      </c>
      <c r="N41" s="140" t="n">
        <f aca="false">MAX(0,M41-M40)</f>
        <v>0</v>
      </c>
      <c r="O41" s="139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186333.29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257758.931862614</v>
      </c>
      <c r="E42" s="45" t="n">
        <f aca="false">L42+D42/$K$2</f>
        <v>198.315459423958</v>
      </c>
      <c r="F42" s="117" t="n">
        <f aca="false">IF($K$9=0,0,E42/$K$9)</f>
        <v>0.046080123723173</v>
      </c>
      <c r="G42" s="117" t="n">
        <f aca="false">G41+F42</f>
        <v>0.69774876351566</v>
      </c>
      <c r="H42" s="138" t="n">
        <v>192416.79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RESUMO'!AO28</f>
        <v>45</v>
      </c>
      <c r="N42" s="140" t="n">
        <f aca="false">MAX(0,M42-M41)</f>
        <v>0</v>
      </c>
      <c r="O42" s="139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192416.79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232971.558393527</v>
      </c>
      <c r="E43" s="45" t="n">
        <f aca="false">L43+D43/$K$2</f>
        <v>179.244464204071</v>
      </c>
      <c r="F43" s="117" t="n">
        <f aca="false">IF($K$9=0,0,E43/$K$9)</f>
        <v>0.041648831166309</v>
      </c>
      <c r="G43" s="117" t="n">
        <f aca="false">G42+F43</f>
        <v>0.739397594681969</v>
      </c>
      <c r="H43" s="138" t="n">
        <v>173913.04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RESUMO'!AP28</f>
        <v>45</v>
      </c>
      <c r="N43" s="140" t="n">
        <f aca="false">MAX(0,M43-M42)</f>
        <v>0</v>
      </c>
      <c r="O43" s="139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173913.04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232971.558393527</v>
      </c>
      <c r="E44" s="45" t="n">
        <f aca="false">L44+D44/$K$2</f>
        <v>179.244464204071</v>
      </c>
      <c r="F44" s="117" t="n">
        <f aca="false">IF($K$9=0,0,E44/$K$9)</f>
        <v>0.041648831166309</v>
      </c>
      <c r="G44" s="117" t="n">
        <f aca="false">G43+F44</f>
        <v>0.781046425848278</v>
      </c>
      <c r="H44" s="138" t="n">
        <v>173913.04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RESUMO'!AQ28</f>
        <v>45</v>
      </c>
      <c r="N44" s="140" t="n">
        <f aca="false">MAX(0,M44-M43)</f>
        <v>0</v>
      </c>
      <c r="O44" s="139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173913.04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241120.932790565</v>
      </c>
      <c r="E45" s="45" t="n">
        <f aca="false">L45+D45/$K$2</f>
        <v>185.514458092887</v>
      </c>
      <c r="F45" s="117" t="n">
        <f aca="false">IF($K$9=0,0,E45/$K$9)</f>
        <v>0.043105712515748</v>
      </c>
      <c r="G45" s="117" t="n">
        <f aca="false">G44+F45</f>
        <v>0.824152138364026</v>
      </c>
      <c r="H45" s="138" t="n">
        <v>179996.54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RESUMO'!AR28</f>
        <v>45</v>
      </c>
      <c r="N45" s="140" t="n">
        <f aca="false">MAX(0,M45-M44)</f>
        <v>0</v>
      </c>
      <c r="O45" s="139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179996.54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HISTORICOS'!AS28)</f>
        <v>70.09</v>
      </c>
      <c r="D46" s="45" t="n">
        <f aca="false">IF(B46&lt;='VALOR POR PL'!$P$5,0,IF($K$17&gt;0,$K$18*P46/$K$17,0))</f>
        <v>232971.558393527</v>
      </c>
      <c r="E46" s="45" t="n">
        <f aca="false">L46+D46/$K$2</f>
        <v>179.29839029094</v>
      </c>
      <c r="F46" s="117" t="n">
        <f aca="false">IF($K$9=0,0,E46/$K$9)</f>
        <v>0.0416613613077416</v>
      </c>
      <c r="G46" s="117" t="n">
        <f aca="false">G45+F46</f>
        <v>0.865813499671768</v>
      </c>
      <c r="H46" s="138" t="n">
        <v>173913.04</v>
      </c>
      <c r="L46" s="45" t="n">
        <f aca="false">C46/IF(B46&lt;='VALOR POR PL'!$P$5,IFERROR(INDEX('"INCC-FGV"'!$B$2:$B$800,MATCH(B46,'"INCC-FGV"'!$A$2:$A$800,0)),$K$2),$K$2)</f>
        <v>0.053926086869548</v>
      </c>
      <c r="M46" s="139" t="n">
        <f aca="false">'CP RESUMO'!AS28</f>
        <v>48.18</v>
      </c>
      <c r="N46" s="140" t="n">
        <f aca="false">MAX(0,M46-M45)</f>
        <v>3.18</v>
      </c>
      <c r="O46" s="139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173913.04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232971.558393527</v>
      </c>
      <c r="E47" s="45" t="n">
        <f aca="false">L47+D47/$K$2</f>
        <v>179.244464204071</v>
      </c>
      <c r="F47" s="117" t="n">
        <f aca="false">IF($K$9=0,0,E47/$K$9)</f>
        <v>0.041648831166309</v>
      </c>
      <c r="G47" s="117" t="n">
        <f aca="false">G46+F47</f>
        <v>0.907462330838077</v>
      </c>
      <c r="H47" s="138" t="n">
        <v>173913.04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RESUMO'!AT28</f>
        <v>55</v>
      </c>
      <c r="N47" s="140" t="n">
        <f aca="false">MAX(0,M47-M46)</f>
        <v>6.82</v>
      </c>
      <c r="O47" s="139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173913.04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232971.558393527</v>
      </c>
      <c r="E48" s="45" t="n">
        <f aca="false">L48+D48/$K$2</f>
        <v>179.244464204071</v>
      </c>
      <c r="F48" s="117" t="n">
        <f aca="false">IF($K$9=0,0,E48/$K$9)</f>
        <v>0.041648831166309</v>
      </c>
      <c r="G48" s="117" t="n">
        <f aca="false">G47+F48</f>
        <v>0.949111162004386</v>
      </c>
      <c r="H48" s="138" t="n">
        <v>173913.04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RESUMO'!AU28</f>
        <v>55</v>
      </c>
      <c r="N48" s="140" t="n">
        <f aca="false">MAX(0,M48-M47)</f>
        <v>0</v>
      </c>
      <c r="O48" s="139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173913.04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284657.493636087</v>
      </c>
      <c r="E49" s="45" t="n">
        <f aca="false">L49+D49/$K$2</f>
        <v>219.010768010949</v>
      </c>
      <c r="F49" s="117" t="n">
        <f aca="false">IF($K$9=0,0,E49/$K$9)</f>
        <v>0.0508888379956145</v>
      </c>
      <c r="G49" s="117" t="n">
        <f aca="false">G48+F49</f>
        <v>1</v>
      </c>
      <c r="H49" s="138" t="n">
        <v>212496.54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RESUMO'!AV28</f>
        <v>55</v>
      </c>
      <c r="N49" s="140" t="n">
        <f aca="false">MAX(0,M49-M48)</f>
        <v>0</v>
      </c>
      <c r="O49" s="139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212496.54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RESUMO'!AW28</f>
        <v>55</v>
      </c>
      <c r="N50" s="140" t="n">
        <f aca="false">MAX(0,M50-M49)</f>
        <v>0</v>
      </c>
      <c r="O50" s="139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RESUMO'!AX28</f>
        <v>81.59</v>
      </c>
      <c r="N51" s="140" t="n">
        <f aca="false">MAX(0,M51-M50)</f>
        <v>26.59</v>
      </c>
      <c r="O51" s="139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RESUMO'!AY28</f>
        <v>100</v>
      </c>
      <c r="N52" s="140" t="n">
        <f aca="false">MAX(0,M52-M51)</f>
        <v>18.41</v>
      </c>
      <c r="O52" s="139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RESUMO'!AZ28</f>
        <v>100</v>
      </c>
      <c r="N53" s="140" t="n">
        <f aca="false">MAX(0,M53-M52)</f>
        <v>0</v>
      </c>
      <c r="O53" s="139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RESUMO'!BA28</f>
        <v>100</v>
      </c>
      <c r="N54" s="140" t="n">
        <f aca="false">MAX(0,M54-M53)</f>
        <v>0</v>
      </c>
      <c r="O54" s="139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RESUMO'!BB28</f>
        <v>100</v>
      </c>
      <c r="N55" s="140" t="n">
        <f aca="false">MAX(0,M55-M54)</f>
        <v>0</v>
      </c>
      <c r="O55" s="139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RESUMO'!BC28</f>
        <v>100</v>
      </c>
      <c r="N56" s="140" t="n">
        <f aca="false">MAX(0,M56-M55)</f>
        <v>0</v>
      </c>
      <c r="O56" s="139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RESUMO'!BD28</f>
        <v>100</v>
      </c>
      <c r="N57" s="140" t="n">
        <f aca="false">MAX(0,M57-M56)</f>
        <v>0</v>
      </c>
      <c r="O57" s="139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RESUMO'!BE28</f>
        <v>100</v>
      </c>
      <c r="N58" s="140" t="n">
        <f aca="false">MAX(0,M58-M57)</f>
        <v>0</v>
      </c>
      <c r="O58" s="139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RESUMO'!BF28</f>
        <v>100</v>
      </c>
      <c r="N59" s="140" t="n">
        <f aca="false">MAX(0,M59-M58)</f>
        <v>0</v>
      </c>
      <c r="O59" s="139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RESUMO'!BG28</f>
        <v>100</v>
      </c>
      <c r="N60" s="140" t="n">
        <f aca="false">MAX(0,M60-M59)</f>
        <v>0</v>
      </c>
      <c r="O60" s="139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RESUMO'!BH28</f>
        <v>100</v>
      </c>
      <c r="N61" s="140" t="n">
        <f aca="false">MAX(0,M61-M60)</f>
        <v>0</v>
      </c>
      <c r="O61" s="139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RESUMO'!BI28</f>
        <v>100</v>
      </c>
      <c r="N62" s="140" t="n">
        <f aca="false">MAX(0,M62-M61)</f>
        <v>0</v>
      </c>
      <c r="O62" s="139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RESUMO'!BJ28</f>
        <v>100</v>
      </c>
      <c r="N63" s="140" t="n">
        <f aca="false">MAX(0,M63-M62)</f>
        <v>0</v>
      </c>
      <c r="O63" s="139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RESUMO'!BK28</f>
        <v>100</v>
      </c>
      <c r="N64" s="140" t="n">
        <f aca="false">MAX(0,M64-M63)</f>
        <v>0</v>
      </c>
      <c r="O64" s="139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RESUMO'!BL28</f>
        <v>100</v>
      </c>
      <c r="N65" s="140" t="n">
        <f aca="false">MAX(0,M65-M64)</f>
        <v>0</v>
      </c>
      <c r="O65" s="139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RESUMO'!BM28</f>
        <v>100</v>
      </c>
      <c r="N66" s="140" t="n">
        <f aca="false">MAX(0,M66-M65)</f>
        <v>0</v>
      </c>
      <c r="O66" s="139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RESUMO'!BN28</f>
        <v>100</v>
      </c>
      <c r="N67" s="140" t="n">
        <f aca="false">MAX(0,M67-M66)</f>
        <v>0</v>
      </c>
      <c r="O67" s="139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RESUMO'!BO28</f>
        <v>100</v>
      </c>
      <c r="N68" s="140" t="n">
        <f aca="false">MAX(0,M68-M67)</f>
        <v>0</v>
      </c>
      <c r="O68" s="139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RESUMO'!BP28</f>
        <v>100</v>
      </c>
      <c r="N69" s="140" t="n">
        <f aca="false">MAX(0,M69-M68)</f>
        <v>0</v>
      </c>
      <c r="O69" s="139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RESUMO'!BQ28</f>
        <v>100</v>
      </c>
      <c r="N70" s="140" t="n">
        <f aca="false">MAX(0,M70-M69)</f>
        <v>0</v>
      </c>
      <c r="O70" s="139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RESUMO'!BR28</f>
        <v>100</v>
      </c>
      <c r="N71" s="140" t="n">
        <f aca="false">MAX(0,M71-M70)</f>
        <v>0</v>
      </c>
      <c r="O71" s="139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RESUMO'!BS28</f>
        <v>100</v>
      </c>
      <c r="N72" s="140" t="n">
        <f aca="false">MAX(0,M72-M71)</f>
        <v>0</v>
      </c>
      <c r="O72" s="139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RESUMO'!BT28</f>
        <v>100</v>
      </c>
      <c r="N73" s="140" t="n">
        <f aca="false">MAX(0,M73-M72)</f>
        <v>0</v>
      </c>
      <c r="O73" s="139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RESUMO'!BU28</f>
        <v>100</v>
      </c>
      <c r="N74" s="140" t="n">
        <f aca="false">MAX(0,M74-M73)</f>
        <v>0</v>
      </c>
      <c r="O74" s="139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RESUMO'!BV28</f>
        <v>100</v>
      </c>
      <c r="N75" s="140" t="n">
        <f aca="false">MAX(0,M75-M74)</f>
        <v>0</v>
      </c>
      <c r="O75" s="139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RESUMO'!BW28</f>
        <v>100</v>
      </c>
      <c r="N76" s="140" t="n">
        <f aca="false">MAX(0,M76-M75)</f>
        <v>0</v>
      </c>
      <c r="O76" s="139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1001.31</v>
      </c>
      <c r="D78" s="61" t="n">
        <f aca="false">SUM(D5:D76)</f>
        <v>5592710.49101652</v>
      </c>
      <c r="E78" s="61" t="n">
        <f aca="false">SUM(E5:E76)</f>
        <v>4303.70935233032</v>
      </c>
      <c r="F78" s="145" t="n">
        <f aca="false">SUM(F5:F76)</f>
        <v>1</v>
      </c>
      <c r="H78" s="61" t="n">
        <f aca="false">SUM(H5:H76)</f>
        <v>4174952.9</v>
      </c>
      <c r="L78" s="61" t="n">
        <f aca="false">SUM(L5:L76)</f>
        <v>0.770391354591911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PL'!F35</f>
        <v>10673815.75</v>
      </c>
      <c r="K5" s="56" t="n">
        <f aca="false">'VALOR POR PL'!G35</f>
        <v>9138.104437</v>
      </c>
      <c r="L5" s="56" t="n">
        <f aca="false">'DADOS HISTORICOS'!$BZ$29</f>
        <v>0</v>
      </c>
      <c r="M5" s="139" t="n">
        <f aca="false">'CP RESUMO'!D29</f>
        <v>0</v>
      </c>
      <c r="N5" s="140" t="n">
        <v>0</v>
      </c>
      <c r="O5" s="139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PL'!H35</f>
        <v>9239.97035963892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RESUMO'!E29</f>
        <v>0</v>
      </c>
      <c r="N6" s="140" t="n">
        <f aca="false">MAX(0,M6-M5)</f>
        <v>0</v>
      </c>
      <c r="O6" s="139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11998504.9999056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RESUMO'!F29</f>
        <v>0</v>
      </c>
      <c r="N7" s="140" t="n">
        <f aca="false">MAX(0,M7-M6)</f>
        <v>0</v>
      </c>
      <c r="O7" s="139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1.7888963511912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RESUMO'!G29</f>
        <v>0</v>
      </c>
      <c r="N8" s="140" t="n">
        <f aca="false">MAX(0,M8-M7)</f>
        <v>0</v>
      </c>
      <c r="O8" s="139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11998504.9999056</v>
      </c>
      <c r="K9" s="45" t="n">
        <f aca="false">E78</f>
        <v>9231.45524544635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RESUMO'!H29</f>
        <v>0</v>
      </c>
      <c r="N9" s="140" t="n">
        <f aca="false">MAX(0,M9-M8)</f>
        <v>0</v>
      </c>
      <c r="O9" s="139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9229.66634909516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RESUMO'!I29</f>
        <v>0</v>
      </c>
      <c r="N10" s="140" t="n">
        <f aca="false">MAX(0,M10-M9)</f>
        <v>0</v>
      </c>
      <c r="O10" s="139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10673815.74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RESUMO'!J29</f>
        <v>0</v>
      </c>
      <c r="N11" s="140" t="n">
        <f aca="false">MAX(0,M11-M10)</f>
        <v>0</v>
      </c>
      <c r="O11" s="139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RESUMO'!K29</f>
        <v>0</v>
      </c>
      <c r="N12" s="140" t="n">
        <f aca="false">MAX(0,M12-M11)</f>
        <v>0</v>
      </c>
      <c r="O12" s="139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RESUMO'!L29</f>
        <v>0</v>
      </c>
      <c r="N13" s="140" t="n">
        <f aca="false">MAX(0,M13-M12)</f>
        <v>0</v>
      </c>
      <c r="O13" s="139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RESUMO'!M29</f>
        <v>0</v>
      </c>
      <c r="N14" s="140" t="n">
        <f aca="false">MAX(0,M14-M13)</f>
        <v>0</v>
      </c>
      <c r="O14" s="139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3917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RESUMO'!N29</f>
        <v>0</v>
      </c>
      <c r="N15" s="140" t="n">
        <f aca="false">MAX(0,M15-M14)</f>
        <v>0</v>
      </c>
      <c r="O15" s="139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RESUMO'!O29</f>
        <v>0</v>
      </c>
      <c r="N16" s="140" t="n">
        <f aca="false">MAX(0,M16-M15)</f>
        <v>0</v>
      </c>
      <c r="O16" s="139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10673815.74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RESUMO'!P29</f>
        <v>0</v>
      </c>
      <c r="N17" s="140" t="n">
        <f aca="false">MAX(0,M17-M16)</f>
        <v>0</v>
      </c>
      <c r="O17" s="139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11996184.9999056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RESUMO'!Q29</f>
        <v>0</v>
      </c>
      <c r="N18" s="140" t="n">
        <f aca="false">MAX(0,M18-M17)</f>
        <v>0</v>
      </c>
      <c r="O18" s="139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n">
        <f aca="false">IF(AND(K16="PREVISÃO INFORMADA",K11&gt;0),K18/K11-1,"")</f>
        <v>0.12388908447708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RESUMO'!R29</f>
        <v>0</v>
      </c>
      <c r="N19" s="140" t="n">
        <f aca="false">MAX(0,M19-M18)</f>
        <v>0</v>
      </c>
      <c r="O19" s="139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RESUMO'!S29</f>
        <v>0</v>
      </c>
      <c r="N20" s="140" t="n">
        <f aca="false">MAX(0,M20-M19)</f>
        <v>0</v>
      </c>
      <c r="O20" s="139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RESUMO'!T29</f>
        <v>0</v>
      </c>
      <c r="N21" s="140" t="n">
        <f aca="false">MAX(0,M21-M20)</f>
        <v>0</v>
      </c>
      <c r="O21" s="139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RESUMO'!U29</f>
        <v>0</v>
      </c>
      <c r="N22" s="140" t="n">
        <f aca="false">MAX(0,M22-M21)</f>
        <v>0</v>
      </c>
      <c r="O22" s="139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RESUMO'!V29</f>
        <v>0</v>
      </c>
      <c r="N23" s="140" t="n">
        <f aca="false">MAX(0,M23-M22)</f>
        <v>0</v>
      </c>
      <c r="O23" s="139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3920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RESUMO'!W29</f>
        <v>0</v>
      </c>
      <c r="N24" s="140" t="n">
        <f aca="false">MAX(0,M24-M23)</f>
        <v>0</v>
      </c>
      <c r="O24" s="139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HISTORICOS'!X29)</f>
        <v>2320</v>
      </c>
      <c r="D25" s="45" t="n">
        <f aca="false">IF(B25&lt;='VALOR POR PL'!$P$5,0,IF($K$17&gt;0,$K$18*P25/$K$17,0))</f>
        <v>0</v>
      </c>
      <c r="E25" s="45" t="n">
        <f aca="false">L25+D25/$K$2</f>
        <v>1.7888963511912</v>
      </c>
      <c r="F25" s="117" t="n">
        <f aca="false">IF($K$9=0,0,E25/$K$9)</f>
        <v>0.000193782703119707</v>
      </c>
      <c r="G25" s="117" t="n">
        <f aca="false">G24+F25</f>
        <v>0.000193782703119707</v>
      </c>
      <c r="H25" s="138"/>
      <c r="L25" s="45" t="n">
        <f aca="false">C25/IF(B25&lt;='VALOR POR PL'!$P$5,IFERROR(INDEX('"INCC-FGV"'!$B$2:$B$800,MATCH(B25,'"INCC-FGV"'!$A$2:$A$800,0)),$K$2),$K$2)</f>
        <v>1.7888963511912</v>
      </c>
      <c r="M25" s="139" t="n">
        <f aca="false">'CP RESUMO'!X29</f>
        <v>0</v>
      </c>
      <c r="N25" s="140" t="n">
        <f aca="false">MAX(0,M25-M24)</f>
        <v>0</v>
      </c>
      <c r="O25" s="139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0.000193782703119707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RESUMO'!Y29</f>
        <v>0</v>
      </c>
      <c r="N26" s="140" t="n">
        <f aca="false">MAX(0,M26-M25)</f>
        <v>0</v>
      </c>
      <c r="O26" s="139" t="n">
        <f aca="false">IF(B26&lt;='VALOR POR PL'!$P$5,'CP RESUMO'!Y71,"")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45454.9522548797</v>
      </c>
      <c r="E27" s="45" t="n">
        <f aca="false">L27+D27/$K$2</f>
        <v>34.9722885425567</v>
      </c>
      <c r="F27" s="117" t="n">
        <f aca="false">IF($K$9=0,0,E27/$K$9)</f>
        <v>0.00378838304608666</v>
      </c>
      <c r="G27" s="117" t="n">
        <f aca="false">G26+F27</f>
        <v>0.00398216574920636</v>
      </c>
      <c r="H27" s="138" t="n">
        <v>40444.34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RESUMO'!Z29</f>
        <v>0.07</v>
      </c>
      <c r="N27" s="140" t="n">
        <f aca="false">MAX(0,M27-M26)</f>
        <v>0.07</v>
      </c>
      <c r="O27" s="139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40444.34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45454.9522548797</v>
      </c>
      <c r="E28" s="45" t="n">
        <f aca="false">L28+D28/$K$2</f>
        <v>34.9722885425567</v>
      </c>
      <c r="F28" s="117" t="n">
        <f aca="false">IF($K$9=0,0,E28/$K$9)</f>
        <v>0.00378838304608666</v>
      </c>
      <c r="G28" s="117" t="n">
        <f aca="false">G27+F28</f>
        <v>0.00777054879529302</v>
      </c>
      <c r="H28" s="138" t="n">
        <v>40444.34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RESUMO'!AA29</f>
        <v>0.74</v>
      </c>
      <c r="N28" s="140" t="n">
        <f aca="false">MAX(0,M28-M27)</f>
        <v>0.67</v>
      </c>
      <c r="O28" s="139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40444.34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45454.9522548797</v>
      </c>
      <c r="E29" s="45" t="n">
        <f aca="false">L29+D29/$K$2</f>
        <v>34.9722885425567</v>
      </c>
      <c r="F29" s="117" t="n">
        <f aca="false">IF($K$9=0,0,E29/$K$9)</f>
        <v>0.00378838304608666</v>
      </c>
      <c r="G29" s="117" t="n">
        <f aca="false">G28+F29</f>
        <v>0.0115589318413797</v>
      </c>
      <c r="H29" s="138" t="n">
        <v>40444.34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RESUMO'!AB29</f>
        <v>1.18</v>
      </c>
      <c r="N29" s="140" t="n">
        <f aca="false">MAX(0,M29-M28)</f>
        <v>0.44</v>
      </c>
      <c r="O29" s="139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40444.34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45454.9522548797</v>
      </c>
      <c r="E30" s="45" t="n">
        <f aca="false">L30+D30/$K$2</f>
        <v>34.9722885425567</v>
      </c>
      <c r="F30" s="117" t="n">
        <f aca="false">IF($K$9=0,0,E30/$K$9)</f>
        <v>0.00378838304608666</v>
      </c>
      <c r="G30" s="117" t="n">
        <f aca="false">G29+F30</f>
        <v>0.0153473148874663</v>
      </c>
      <c r="H30" s="138" t="n">
        <v>40444.34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RESUMO'!AC29</f>
        <v>1.84</v>
      </c>
      <c r="N30" s="140" t="n">
        <f aca="false">MAX(0,M30-M29)</f>
        <v>0.66</v>
      </c>
      <c r="O30" s="139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40444.34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90909.9045097595</v>
      </c>
      <c r="E31" s="45" t="n">
        <f aca="false">L31+D31/$K$2</f>
        <v>69.9445770851134</v>
      </c>
      <c r="F31" s="117" t="n">
        <f aca="false">IF($K$9=0,0,E31/$K$9)</f>
        <v>0.00757676609217331</v>
      </c>
      <c r="G31" s="117" t="n">
        <f aca="false">G30+F31</f>
        <v>0.0229240809796396</v>
      </c>
      <c r="H31" s="138" t="n">
        <v>80888.68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RESUMO'!AD29</f>
        <v>3.12</v>
      </c>
      <c r="N31" s="140" t="n">
        <f aca="false">MAX(0,M31-M30)</f>
        <v>1.28</v>
      </c>
      <c r="O31" s="139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80888.68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90909.9045097595</v>
      </c>
      <c r="E32" s="45" t="n">
        <f aca="false">L32+D32/$K$2</f>
        <v>69.9445770851134</v>
      </c>
      <c r="F32" s="117" t="n">
        <f aca="false">IF($K$9=0,0,E32/$K$9)</f>
        <v>0.00757676609217331</v>
      </c>
      <c r="G32" s="117" t="n">
        <f aca="false">G31+F32</f>
        <v>0.030500847071813</v>
      </c>
      <c r="H32" s="138" t="n">
        <v>80888.68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RESUMO'!AE29</f>
        <v>4.07</v>
      </c>
      <c r="N32" s="140" t="n">
        <f aca="false">MAX(0,M32-M31)</f>
        <v>0.95</v>
      </c>
      <c r="O32" s="139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80888.68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90909.9045097595</v>
      </c>
      <c r="E33" s="45" t="n">
        <f aca="false">L33+D33/$K$2</f>
        <v>69.9445770851134</v>
      </c>
      <c r="F33" s="117" t="n">
        <f aca="false">IF($K$9=0,0,E33/$K$9)</f>
        <v>0.00757676609217331</v>
      </c>
      <c r="G33" s="117" t="n">
        <f aca="false">G32+F33</f>
        <v>0.0380776131639863</v>
      </c>
      <c r="H33" s="138" t="n">
        <v>80888.68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RESUMO'!AF29</f>
        <v>4.81</v>
      </c>
      <c r="N33" s="140" t="n">
        <f aca="false">MAX(0,M33-M32)</f>
        <v>0.739999999999999</v>
      </c>
      <c r="O33" s="139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80888.68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90909.9045097595</v>
      </c>
      <c r="E34" s="45" t="n">
        <f aca="false">L34+D34/$K$2</f>
        <v>69.9445770851134</v>
      </c>
      <c r="F34" s="117" t="n">
        <f aca="false">IF($K$9=0,0,E34/$K$9)</f>
        <v>0.00757676609217331</v>
      </c>
      <c r="G34" s="117" t="n">
        <f aca="false">G33+F34</f>
        <v>0.0456543792561596</v>
      </c>
      <c r="H34" s="138" t="n">
        <v>80888.68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RESUMO'!AG29</f>
        <v>6.13</v>
      </c>
      <c r="N34" s="140" t="n">
        <f aca="false">MAX(0,M34-M33)</f>
        <v>1.32</v>
      </c>
      <c r="O34" s="139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80888.68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90909.9045097595</v>
      </c>
      <c r="E35" s="45" t="n">
        <f aca="false">L35+D35/$K$2</f>
        <v>69.9445770851134</v>
      </c>
      <c r="F35" s="117" t="n">
        <f aca="false">IF($K$9=0,0,E35/$K$9)</f>
        <v>0.00757676609217331</v>
      </c>
      <c r="G35" s="117" t="n">
        <f aca="false">G34+F35</f>
        <v>0.0532311453483329</v>
      </c>
      <c r="H35" s="138" t="n">
        <v>80888.68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RESUMO'!AH29</f>
        <v>7.48</v>
      </c>
      <c r="N35" s="140" t="n">
        <f aca="false">MAX(0,M35-M34)</f>
        <v>1.35</v>
      </c>
      <c r="O35" s="139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80888.68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378036.210133337</v>
      </c>
      <c r="E36" s="45" t="n">
        <f aca="false">L36+D36/$K$2</f>
        <v>290.854808210658</v>
      </c>
      <c r="F36" s="117" t="n">
        <f aca="false">IF($K$9=0,0,E36/$K$9)</f>
        <v>0.0315069293494251</v>
      </c>
      <c r="G36" s="117" t="n">
        <f aca="false">G35+F36</f>
        <v>0.084738074697758</v>
      </c>
      <c r="H36" s="138" t="n">
        <v>336364.34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RESUMO'!AI29</f>
        <v>8.92</v>
      </c>
      <c r="N36" s="140" t="n">
        <f aca="false">MAX(0,M36-M35)</f>
        <v>1.44</v>
      </c>
      <c r="O36" s="139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336364.34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378036.210133337</v>
      </c>
      <c r="E37" s="45" t="n">
        <f aca="false">L37+D37/$K$2</f>
        <v>290.854808210658</v>
      </c>
      <c r="F37" s="117" t="n">
        <f aca="false">IF($K$9=0,0,E37/$K$9)</f>
        <v>0.0315069293494251</v>
      </c>
      <c r="G37" s="117" t="n">
        <f aca="false">G36+F37</f>
        <v>0.116245004047183</v>
      </c>
      <c r="H37" s="138" t="n">
        <v>336364.34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RESUMO'!AJ29</f>
        <v>10.49</v>
      </c>
      <c r="N37" s="140" t="n">
        <f aca="false">MAX(0,M37-M36)</f>
        <v>1.57</v>
      </c>
      <c r="O37" s="139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336364.34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706280.627290396</v>
      </c>
      <c r="E38" s="45" t="n">
        <f aca="false">L38+D38/$K$2</f>
        <v>543.400634349276</v>
      </c>
      <c r="F38" s="117" t="n">
        <f aca="false">IF($K$9=0,0,E38/$K$9)</f>
        <v>0.0588640273826081</v>
      </c>
      <c r="G38" s="117" t="n">
        <f aca="false">G37+F38</f>
        <v>0.175109031429791</v>
      </c>
      <c r="H38" s="138" t="n">
        <v>628425.56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RESUMO'!AK29</f>
        <v>10.85</v>
      </c>
      <c r="N38" s="140" t="n">
        <f aca="false">MAX(0,M38-M37)</f>
        <v>0.359999999999999</v>
      </c>
      <c r="O38" s="139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628425.56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706280.627290396</v>
      </c>
      <c r="E39" s="45" t="n">
        <f aca="false">L39+D39/$K$2</f>
        <v>543.400634349276</v>
      </c>
      <c r="F39" s="117" t="n">
        <f aca="false">IF($K$9=0,0,E39/$K$9)</f>
        <v>0.0588640273826081</v>
      </c>
      <c r="G39" s="117" t="n">
        <f aca="false">G38+F39</f>
        <v>0.233973058812399</v>
      </c>
      <c r="H39" s="138" t="n">
        <v>628425.56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RESUMO'!AL29</f>
        <v>10.92</v>
      </c>
      <c r="N39" s="140" t="n">
        <f aca="false">MAX(0,M39-M38)</f>
        <v>0.0700000000000003</v>
      </c>
      <c r="O39" s="139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628425.56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706280.627290396</v>
      </c>
      <c r="E40" s="45" t="n">
        <f aca="false">L40+D40/$K$2</f>
        <v>543.400634349276</v>
      </c>
      <c r="F40" s="117" t="n">
        <f aca="false">IF($K$9=0,0,E40/$K$9)</f>
        <v>0.0588640273826081</v>
      </c>
      <c r="G40" s="117" t="n">
        <f aca="false">G39+F40</f>
        <v>0.292837086195008</v>
      </c>
      <c r="H40" s="138" t="n">
        <v>628425.56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RESUMO'!AM29</f>
        <v>11.74</v>
      </c>
      <c r="N40" s="140" t="n">
        <f aca="false">MAX(0,M40-M39)</f>
        <v>0.82</v>
      </c>
      <c r="O40" s="139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628425.56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1007313.03733403</v>
      </c>
      <c r="E41" s="45" t="n">
        <f aca="false">L41+D41/$K$2</f>
        <v>775.009992240018</v>
      </c>
      <c r="F41" s="117" t="n">
        <f aca="false">IF($K$9=0,0,E41/$K$9)</f>
        <v>0.0839531765722757</v>
      </c>
      <c r="G41" s="117" t="n">
        <f aca="false">G40+F41</f>
        <v>0.376790262767283</v>
      </c>
      <c r="H41" s="138" t="n">
        <v>896274.42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RESUMO'!AN29</f>
        <v>17.92</v>
      </c>
      <c r="N41" s="140" t="n">
        <f aca="false">MAX(0,M41-M40)</f>
        <v>6.18</v>
      </c>
      <c r="O41" s="139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896274.42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1061326.07903936</v>
      </c>
      <c r="E42" s="45" t="n">
        <f aca="false">L42+D42/$K$2</f>
        <v>816.566733274268</v>
      </c>
      <c r="F42" s="117" t="n">
        <f aca="false">IF($K$9=0,0,E42/$K$9)</f>
        <v>0.0884548222965236</v>
      </c>
      <c r="G42" s="117" t="n">
        <f aca="false">G41+F42</f>
        <v>0.465245085063807</v>
      </c>
      <c r="H42" s="138" t="n">
        <v>944333.47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RESUMO'!AO29</f>
        <v>28.77</v>
      </c>
      <c r="N42" s="140" t="n">
        <f aca="false">MAX(0,M42-M41)</f>
        <v>10.85</v>
      </c>
      <c r="O42" s="139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944333.47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1067991.96634942</v>
      </c>
      <c r="E43" s="45" t="n">
        <f aca="false">L43+D43/$K$2</f>
        <v>821.695356731886</v>
      </c>
      <c r="F43" s="117" t="n">
        <f aca="false">IF($K$9=0,0,E43/$K$9)</f>
        <v>0.089010381882879</v>
      </c>
      <c r="G43" s="117" t="n">
        <f aca="false">G42+F43</f>
        <v>0.554255466946686</v>
      </c>
      <c r="H43" s="138" t="n">
        <v>950264.56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RESUMO'!AP29</f>
        <v>36.17</v>
      </c>
      <c r="N43" s="140" t="n">
        <f aca="false">MAX(0,M43-M42)</f>
        <v>7.4</v>
      </c>
      <c r="O43" s="139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950264.56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1067991.96634942</v>
      </c>
      <c r="E44" s="45" t="n">
        <f aca="false">L44+D44/$K$2</f>
        <v>821.695356731886</v>
      </c>
      <c r="F44" s="117" t="n">
        <f aca="false">IF($K$9=0,0,E44/$K$9)</f>
        <v>0.089010381882879</v>
      </c>
      <c r="G44" s="117" t="n">
        <f aca="false">G43+F44</f>
        <v>0.643265848829565</v>
      </c>
      <c r="H44" s="138" t="n">
        <v>950264.56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RESUMO'!AQ29</f>
        <v>48.28</v>
      </c>
      <c r="N44" s="140" t="n">
        <f aca="false">MAX(0,M44-M43)</f>
        <v>12.11</v>
      </c>
      <c r="O44" s="139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950264.56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1067991.96634942</v>
      </c>
      <c r="E45" s="45" t="n">
        <f aca="false">L45+D45/$K$2</f>
        <v>821.695356731886</v>
      </c>
      <c r="F45" s="117" t="n">
        <f aca="false">IF($K$9=0,0,E45/$K$9)</f>
        <v>0.089010381882879</v>
      </c>
      <c r="G45" s="117" t="n">
        <f aca="false">G44+F45</f>
        <v>0.732276230712444</v>
      </c>
      <c r="H45" s="138" t="n">
        <v>950264.56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RESUMO'!AR29</f>
        <v>55.53</v>
      </c>
      <c r="N45" s="140" t="n">
        <f aca="false">MAX(0,M45-M44)</f>
        <v>7.25</v>
      </c>
      <c r="O45" s="139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950264.56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735410.708470958</v>
      </c>
      <c r="E46" s="45" t="n">
        <f aca="false">L46+D46/$K$2</f>
        <v>565.812837063785</v>
      </c>
      <c r="F46" s="117" t="n">
        <f aca="false">IF($K$9=0,0,E46/$K$9)</f>
        <v>0.0612918355795405</v>
      </c>
      <c r="G46" s="117" t="n">
        <f aca="false">G45+F46</f>
        <v>0.793568066291984</v>
      </c>
      <c r="H46" s="138" t="n">
        <v>654344.56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RESUMO'!AS29</f>
        <v>63.19</v>
      </c>
      <c r="N46" s="140" t="n">
        <f aca="false">MAX(0,M46-M45)</f>
        <v>7.66</v>
      </c>
      <c r="O46" s="139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654344.56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735410.708470958</v>
      </c>
      <c r="E47" s="45" t="n">
        <f aca="false">L47+D47/$K$2</f>
        <v>565.812837063785</v>
      </c>
      <c r="F47" s="117" t="n">
        <f aca="false">IF($K$9=0,0,E47/$K$9)</f>
        <v>0.0612918355795405</v>
      </c>
      <c r="G47" s="117" t="n">
        <f aca="false">G46+F47</f>
        <v>0.854859901871525</v>
      </c>
      <c r="H47" s="138" t="n">
        <v>654344.56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RESUMO'!AT29</f>
        <v>73.54</v>
      </c>
      <c r="N47" s="140" t="n">
        <f aca="false">MAX(0,M47-M46)</f>
        <v>10.35</v>
      </c>
      <c r="O47" s="139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654344.56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407166.291313899</v>
      </c>
      <c r="E48" s="45" t="n">
        <f aca="false">L48+D48/$K$2</f>
        <v>313.267010925167</v>
      </c>
      <c r="F48" s="117" t="n">
        <f aca="false">IF($K$9=0,0,E48/$K$9)</f>
        <v>0.0339347375463575</v>
      </c>
      <c r="G48" s="117" t="n">
        <f aca="false">G47+F48</f>
        <v>0.888794639417882</v>
      </c>
      <c r="H48" s="138" t="n">
        <v>362283.34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RESUMO'!AU29</f>
        <v>84.6</v>
      </c>
      <c r="N48" s="140" t="n">
        <f aca="false">MAX(0,M48-M47)</f>
        <v>11.06</v>
      </c>
      <c r="O48" s="139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362283.34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407166.291313899</v>
      </c>
      <c r="E49" s="45" t="n">
        <f aca="false">L49+D49/$K$2</f>
        <v>313.267010925167</v>
      </c>
      <c r="F49" s="117" t="n">
        <f aca="false">IF($K$9=0,0,E49/$K$9)</f>
        <v>0.0339347375463575</v>
      </c>
      <c r="G49" s="117" t="n">
        <f aca="false">G48+F49</f>
        <v>0.92272937696424</v>
      </c>
      <c r="H49" s="138" t="n">
        <v>362283.34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RESUMO'!AV29</f>
        <v>94.11</v>
      </c>
      <c r="N49" s="140" t="n">
        <f aca="false">MAX(0,M49-M48)</f>
        <v>9.51000000000001</v>
      </c>
      <c r="O49" s="139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362283.34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407166.291313899</v>
      </c>
      <c r="E50" s="45" t="n">
        <f aca="false">L50+D50/$K$2</f>
        <v>313.267010925167</v>
      </c>
      <c r="F50" s="117" t="n">
        <f aca="false">IF($K$9=0,0,E50/$K$9)</f>
        <v>0.0339347375463575</v>
      </c>
      <c r="G50" s="117" t="n">
        <f aca="false">G49+F50</f>
        <v>0.956664114510597</v>
      </c>
      <c r="H50" s="138" t="n">
        <v>362283.34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RESUMO'!AW29</f>
        <v>98.23</v>
      </c>
      <c r="N50" s="140" t="n">
        <f aca="false">MAX(0,M50-M49)</f>
        <v>4.12</v>
      </c>
      <c r="O50" s="139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362283.34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156524.988100845</v>
      </c>
      <c r="E51" s="45" t="n">
        <f aca="false">L51+D51/$K$2</f>
        <v>120.427737274663</v>
      </c>
      <c r="F51" s="117" t="n">
        <f aca="false">IF($K$9=0,0,E51/$K$9)</f>
        <v>0.0130453686956958</v>
      </c>
      <c r="G51" s="117" t="n">
        <f aca="false">G50+F51</f>
        <v>0.969709483206293</v>
      </c>
      <c r="H51" s="138" t="n">
        <v>139270.85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RESUMO'!AX29</f>
        <v>99.81</v>
      </c>
      <c r="N51" s="140" t="n">
        <f aca="false">MAX(0,M51-M50)</f>
        <v>1.58</v>
      </c>
      <c r="O51" s="139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139270.85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156524.988100845</v>
      </c>
      <c r="E52" s="45" t="n">
        <f aca="false">L52+D52/$K$2</f>
        <v>120.427737274663</v>
      </c>
      <c r="F52" s="117" t="n">
        <f aca="false">IF($K$9=0,0,E52/$K$9)</f>
        <v>0.0130453686956958</v>
      </c>
      <c r="G52" s="117" t="n">
        <f aca="false">G51+F52</f>
        <v>0.982754851901989</v>
      </c>
      <c r="H52" s="138" t="n">
        <v>139270.85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RESUMO'!AY29</f>
        <v>100</v>
      </c>
      <c r="N52" s="140" t="n">
        <f aca="false">MAX(0,M52-M51)</f>
        <v>0.189999999999998</v>
      </c>
      <c r="O52" s="139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139270.85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156524.988100845</v>
      </c>
      <c r="E53" s="45" t="n">
        <f aca="false">L53+D53/$K$2</f>
        <v>120.427737274663</v>
      </c>
      <c r="F53" s="117" t="n">
        <f aca="false">IF($K$9=0,0,E53/$K$9)</f>
        <v>0.0130453686956958</v>
      </c>
      <c r="G53" s="117" t="n">
        <f aca="false">G52+F53</f>
        <v>0.995800220597685</v>
      </c>
      <c r="H53" s="138" t="n">
        <v>139270.85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RESUMO'!AZ29</f>
        <v>100</v>
      </c>
      <c r="N53" s="140" t="n">
        <f aca="false">MAX(0,M53-M52)</f>
        <v>0</v>
      </c>
      <c r="O53" s="139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139270.85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50391.0955916848</v>
      </c>
      <c r="E54" s="45" t="n">
        <f aca="false">L54+D54/$K$2</f>
        <v>38.7700755932214</v>
      </c>
      <c r="F54" s="117" t="n">
        <f aca="false">IF($K$9=0,0,E54/$K$9)</f>
        <v>0.00419977940231533</v>
      </c>
      <c r="G54" s="117" t="n">
        <f aca="false">G53+F54</f>
        <v>1</v>
      </c>
      <c r="H54" s="138" t="n">
        <v>44836.36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RESUMO'!BA29</f>
        <v>100</v>
      </c>
      <c r="N54" s="140" t="n">
        <f aca="false">MAX(0,M54-M53)</f>
        <v>0</v>
      </c>
      <c r="O54" s="139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44836.36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RESUMO'!BB29</f>
        <v>100</v>
      </c>
      <c r="N55" s="140" t="n">
        <f aca="false">MAX(0,M55-M54)</f>
        <v>0</v>
      </c>
      <c r="O55" s="139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RESUMO'!BC29</f>
        <v>100</v>
      </c>
      <c r="N56" s="140" t="n">
        <f aca="false">MAX(0,M56-M55)</f>
        <v>0</v>
      </c>
      <c r="O56" s="139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RESUMO'!BD29</f>
        <v>100</v>
      </c>
      <c r="N57" s="140" t="n">
        <f aca="false">MAX(0,M57-M56)</f>
        <v>0</v>
      </c>
      <c r="O57" s="139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RESUMO'!BE29</f>
        <v>100</v>
      </c>
      <c r="N58" s="140" t="n">
        <f aca="false">MAX(0,M58-M57)</f>
        <v>0</v>
      </c>
      <c r="O58" s="139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RESUMO'!BF29</f>
        <v>100</v>
      </c>
      <c r="N59" s="140" t="n">
        <f aca="false">MAX(0,M59-M58)</f>
        <v>0</v>
      </c>
      <c r="O59" s="139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RESUMO'!BG29</f>
        <v>100</v>
      </c>
      <c r="N60" s="140" t="n">
        <f aca="false">MAX(0,M60-M59)</f>
        <v>0</v>
      </c>
      <c r="O60" s="139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RESUMO'!BH29</f>
        <v>100</v>
      </c>
      <c r="N61" s="140" t="n">
        <f aca="false">MAX(0,M61-M60)</f>
        <v>0</v>
      </c>
      <c r="O61" s="139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RESUMO'!BI29</f>
        <v>100</v>
      </c>
      <c r="N62" s="140" t="n">
        <f aca="false">MAX(0,M62-M61)</f>
        <v>0</v>
      </c>
      <c r="O62" s="139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RESUMO'!BJ29</f>
        <v>100</v>
      </c>
      <c r="N63" s="140" t="n">
        <f aca="false">MAX(0,M63-M62)</f>
        <v>0</v>
      </c>
      <c r="O63" s="139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RESUMO'!BK29</f>
        <v>100</v>
      </c>
      <c r="N64" s="140" t="n">
        <f aca="false">MAX(0,M64-M63)</f>
        <v>0</v>
      </c>
      <c r="O64" s="139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RESUMO'!BL29</f>
        <v>100</v>
      </c>
      <c r="N65" s="140" t="n">
        <f aca="false">MAX(0,M65-M64)</f>
        <v>0</v>
      </c>
      <c r="O65" s="139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RESUMO'!BM29</f>
        <v>100</v>
      </c>
      <c r="N66" s="140" t="n">
        <f aca="false">MAX(0,M66-M65)</f>
        <v>0</v>
      </c>
      <c r="O66" s="139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RESUMO'!BN29</f>
        <v>100</v>
      </c>
      <c r="N67" s="140" t="n">
        <f aca="false">MAX(0,M67-M66)</f>
        <v>0</v>
      </c>
      <c r="O67" s="139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RESUMO'!BO29</f>
        <v>100</v>
      </c>
      <c r="N68" s="140" t="n">
        <f aca="false">MAX(0,M68-M67)</f>
        <v>0</v>
      </c>
      <c r="O68" s="139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RESUMO'!BP29</f>
        <v>100</v>
      </c>
      <c r="N69" s="140" t="n">
        <f aca="false">MAX(0,M69-M68)</f>
        <v>0</v>
      </c>
      <c r="O69" s="139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RESUMO'!BQ29</f>
        <v>100</v>
      </c>
      <c r="N70" s="140" t="n">
        <f aca="false">MAX(0,M70-M69)</f>
        <v>0</v>
      </c>
      <c r="O70" s="139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RESUMO'!BR29</f>
        <v>100</v>
      </c>
      <c r="N71" s="140" t="n">
        <f aca="false">MAX(0,M71-M70)</f>
        <v>0</v>
      </c>
      <c r="O71" s="139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RESUMO'!BS29</f>
        <v>100</v>
      </c>
      <c r="N72" s="140" t="n">
        <f aca="false">MAX(0,M72-M71)</f>
        <v>0</v>
      </c>
      <c r="O72" s="139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RESUMO'!BT29</f>
        <v>100</v>
      </c>
      <c r="N73" s="140" t="n">
        <f aca="false">MAX(0,M73-M72)</f>
        <v>0</v>
      </c>
      <c r="O73" s="139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RESUMO'!BU29</f>
        <v>100</v>
      </c>
      <c r="N74" s="140" t="n">
        <f aca="false">MAX(0,M74-M73)</f>
        <v>0</v>
      </c>
      <c r="O74" s="139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RESUMO'!BV29</f>
        <v>100</v>
      </c>
      <c r="N75" s="140" t="n">
        <f aca="false">MAX(0,M75-M74)</f>
        <v>0</v>
      </c>
      <c r="O75" s="139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RESUMO'!BW29</f>
        <v>100</v>
      </c>
      <c r="N76" s="140" t="n">
        <f aca="false">MAX(0,M76-M75)</f>
        <v>0</v>
      </c>
      <c r="O76" s="139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2320</v>
      </c>
      <c r="D78" s="61" t="n">
        <f aca="false">SUM(D5:D76)</f>
        <v>11996184.9999056</v>
      </c>
      <c r="E78" s="61" t="n">
        <f aca="false">SUM(E5:E76)</f>
        <v>9231.45524544635</v>
      </c>
      <c r="F78" s="145" t="n">
        <f aca="false">SUM(F5:F76)</f>
        <v>1</v>
      </c>
      <c r="H78" s="61" t="n">
        <f aca="false">SUM(H5:H76)</f>
        <v>10673815.74</v>
      </c>
      <c r="L78" s="61" t="n">
        <f aca="false">SUM(L5:L76)</f>
        <v>1.7888963511912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PL'!F36</f>
        <v>580262.7</v>
      </c>
      <c r="K5" s="56" t="n">
        <f aca="false">'VALOR POR PL'!G36</f>
        <v>496.776532</v>
      </c>
      <c r="L5" s="56" t="n">
        <f aca="false">'DADOS HISTORICOS'!$BZ$30</f>
        <v>0</v>
      </c>
      <c r="M5" s="139" t="n">
        <f aca="false">'CP RESUMO'!D30</f>
        <v>0</v>
      </c>
      <c r="N5" s="140" t="n">
        <v>0</v>
      </c>
      <c r="O5" s="139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PL'!H36</f>
        <v>496.776532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RESUMO'!E30</f>
        <v>0</v>
      </c>
      <c r="N6" s="140" t="n">
        <f aca="false">MAX(0,M6-M5)</f>
        <v>0</v>
      </c>
      <c r="O6" s="139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645086.179045748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RESUMO'!F30</f>
        <v>0</v>
      </c>
      <c r="N7" s="140" t="n">
        <f aca="false">MAX(0,M7-M6)</f>
        <v>0</v>
      </c>
      <c r="O7" s="139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RESUMO'!G30</f>
        <v>0</v>
      </c>
      <c r="N8" s="140" t="n">
        <f aca="false">MAX(0,M8-M7)</f>
        <v>0</v>
      </c>
      <c r="O8" s="139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645086.179045748</v>
      </c>
      <c r="K9" s="45" t="n">
        <f aca="false">E78</f>
        <v>496.318637887941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RESUMO'!H30</f>
        <v>0</v>
      </c>
      <c r="N9" s="140" t="n">
        <f aca="false">MAX(0,M9-M8)</f>
        <v>0</v>
      </c>
      <c r="O9" s="139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496.318637887941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RESUMO'!I30</f>
        <v>0</v>
      </c>
      <c r="N10" s="140" t="n">
        <f aca="false">MAX(0,M10-M9)</f>
        <v>0</v>
      </c>
      <c r="O10" s="139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580262.69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RESUMO'!J30</f>
        <v>0</v>
      </c>
      <c r="N11" s="140" t="n">
        <f aca="false">MAX(0,M11-M10)</f>
        <v>0</v>
      </c>
      <c r="O11" s="139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RESUMO'!K30</f>
        <v>0</v>
      </c>
      <c r="N12" s="140" t="n">
        <f aca="false">MAX(0,M12-M11)</f>
        <v>0</v>
      </c>
      <c r="O12" s="139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RESUMO'!L30</f>
        <v>0</v>
      </c>
      <c r="N13" s="140" t="n">
        <f aca="false">MAX(0,M13-M12)</f>
        <v>0</v>
      </c>
      <c r="O13" s="139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RESUMO'!M30</f>
        <v>0</v>
      </c>
      <c r="N14" s="140" t="n">
        <f aca="false">MAX(0,M14-M13)</f>
        <v>0</v>
      </c>
      <c r="O14" s="139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RESUMO'!N30</f>
        <v>0</v>
      </c>
      <c r="N15" s="140" t="n">
        <f aca="false">MAX(0,M15-M14)</f>
        <v>0</v>
      </c>
      <c r="O15" s="139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RESUMO'!O30</f>
        <v>0</v>
      </c>
      <c r="N16" s="140" t="n">
        <f aca="false">MAX(0,M16-M15)</f>
        <v>0</v>
      </c>
      <c r="O16" s="139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RESUMO'!P30</f>
        <v>0</v>
      </c>
      <c r="N17" s="140" t="n">
        <f aca="false">MAX(0,M17-M16)</f>
        <v>0</v>
      </c>
      <c r="O17" s="139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645086.179045749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RESUMO'!Q30</f>
        <v>0</v>
      </c>
      <c r="N18" s="140" t="n">
        <f aca="false">MAX(0,M18-M17)</f>
        <v>0</v>
      </c>
      <c r="O18" s="139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RESUMO'!R30</f>
        <v>0</v>
      </c>
      <c r="N19" s="140" t="n">
        <f aca="false">MAX(0,M19-M18)</f>
        <v>0</v>
      </c>
      <c r="O19" s="139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RESUMO'!S30</f>
        <v>0</v>
      </c>
      <c r="N20" s="140" t="n">
        <f aca="false">MAX(0,M20-M19)</f>
        <v>0</v>
      </c>
      <c r="O20" s="139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RESUMO'!T30</f>
        <v>0</v>
      </c>
      <c r="N21" s="140" t="n">
        <f aca="false">MAX(0,M21-M20)</f>
        <v>0</v>
      </c>
      <c r="O21" s="139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RESUMO'!U30</f>
        <v>0</v>
      </c>
      <c r="N22" s="140" t="n">
        <f aca="false">MAX(0,M22-M21)</f>
        <v>0</v>
      </c>
      <c r="O22" s="139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RESUMO'!V30</f>
        <v>0</v>
      </c>
      <c r="N23" s="140" t="n">
        <f aca="false">MAX(0,M23-M22)</f>
        <v>0</v>
      </c>
      <c r="O23" s="139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RESUMO'!W30</f>
        <v>0</v>
      </c>
      <c r="N24" s="140" t="n">
        <f aca="false">MAX(0,M24-M23)</f>
        <v>0</v>
      </c>
      <c r="O24" s="139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RESUMO'!X30</f>
        <v>0</v>
      </c>
      <c r="N25" s="140" t="n">
        <f aca="false">MAX(0,M25-M24)</f>
        <v>0</v>
      </c>
      <c r="O25" s="139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RESUMO'!Y30</f>
        <v>0</v>
      </c>
      <c r="N26" s="140" t="n">
        <f aca="false">MAX(0,M26-M25)</f>
        <v>0</v>
      </c>
      <c r="O26" s="139" t="n">
        <f aca="false">IF(B26&lt;='VALOR POR PL'!$P$5,'CP RESUMO'!Y72,"")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RESUMO'!Z30</f>
        <v>0</v>
      </c>
      <c r="N27" s="140" t="n">
        <f aca="false">MAX(0,M27-M26)</f>
        <v>0</v>
      </c>
      <c r="O27" s="139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RESUMO'!AA30</f>
        <v>0</v>
      </c>
      <c r="N28" s="140" t="n">
        <f aca="false">MAX(0,M28-M27)</f>
        <v>0</v>
      </c>
      <c r="O28" s="139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RESUMO'!AB30</f>
        <v>0</v>
      </c>
      <c r="N29" s="140" t="n">
        <f aca="false">MAX(0,M29-M28)</f>
        <v>0</v>
      </c>
      <c r="O29" s="139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RESUMO'!AC30</f>
        <v>0</v>
      </c>
      <c r="N30" s="140" t="n">
        <f aca="false">MAX(0,M30-M29)</f>
        <v>0</v>
      </c>
      <c r="O30" s="139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 t="n">
        <v>61017.02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RESUMO'!AD30</f>
        <v>0</v>
      </c>
      <c r="N31" s="140" t="n">
        <f aca="false">MAX(0,M31-M30)</f>
        <v>0</v>
      </c>
      <c r="O31" s="139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 t="n">
        <v>61017.02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RESUMO'!AE30</f>
        <v>0</v>
      </c>
      <c r="N32" s="140" t="n">
        <f aca="false">MAX(0,M32-M31)</f>
        <v>0</v>
      </c>
      <c r="O32" s="139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 t="n">
        <v>122034.03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RESUMO'!AF30</f>
        <v>0</v>
      </c>
      <c r="N33" s="140" t="n">
        <f aca="false">MAX(0,M33-M32)</f>
        <v>0</v>
      </c>
      <c r="O33" s="139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 t="n">
        <v>57966.17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RESUMO'!AG30</f>
        <v>0</v>
      </c>
      <c r="N34" s="140" t="n">
        <f aca="false">MAX(0,M34-M33)</f>
        <v>0</v>
      </c>
      <c r="O34" s="139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RESUMO'!AH30</f>
        <v>0</v>
      </c>
      <c r="N35" s="140" t="n">
        <f aca="false">MAX(0,M35-M34)</f>
        <v>0</v>
      </c>
      <c r="O35" s="139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RESUMO'!AI30</f>
        <v>0</v>
      </c>
      <c r="N36" s="140" t="n">
        <f aca="false">MAX(0,M36-M35)</f>
        <v>0</v>
      </c>
      <c r="O36" s="139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RESUMO'!AJ30</f>
        <v>0</v>
      </c>
      <c r="N37" s="140" t="n">
        <f aca="false">MAX(0,M37-M36)</f>
        <v>0</v>
      </c>
      <c r="O37" s="139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 t="n">
        <v>144183.21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RESUMO'!AK30</f>
        <v>0</v>
      </c>
      <c r="N38" s="140" t="n">
        <f aca="false">MAX(0,M38-M37)</f>
        <v>0</v>
      </c>
      <c r="O38" s="139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 t="n">
        <v>20562.73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RESUMO'!AL30</f>
        <v>0</v>
      </c>
      <c r="N39" s="140" t="n">
        <f aca="false">MAX(0,M39-M38)</f>
        <v>0</v>
      </c>
      <c r="O39" s="139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87086.6341711761</v>
      </c>
      <c r="E40" s="45" t="n">
        <f aca="false">L40+D40/$K$2</f>
        <v>67.0030161148721</v>
      </c>
      <c r="F40" s="117" t="n">
        <f aca="false">IF($K$9=0,0,E40/$K$9)</f>
        <v>0.135</v>
      </c>
      <c r="G40" s="117" t="n">
        <f aca="false">G39+F40</f>
        <v>0.135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RESUMO'!AM30</f>
        <v>13.5</v>
      </c>
      <c r="N40" s="140" t="n">
        <f aca="false">MAX(0,M40-M39)</f>
        <v>13.5</v>
      </c>
      <c r="O40" s="139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13.5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0.135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RESUMO'!AN30</f>
        <v>13.5</v>
      </c>
      <c r="N41" s="140" t="n">
        <f aca="false">MAX(0,M41-M40)</f>
        <v>0</v>
      </c>
      <c r="O41" s="139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0.135</v>
      </c>
      <c r="H42" s="138" t="n">
        <v>12203.4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RESUMO'!AO30</f>
        <v>13.5</v>
      </c>
      <c r="N42" s="140" t="n">
        <f aca="false">MAX(0,M42-M41)</f>
        <v>0</v>
      </c>
      <c r="O42" s="139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0.135</v>
      </c>
      <c r="H43" s="138" t="n">
        <v>48813.61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RESUMO'!AP30</f>
        <v>13.5</v>
      </c>
      <c r="N43" s="140" t="n">
        <f aca="false">MAX(0,M43-M42)</f>
        <v>0</v>
      </c>
      <c r="O43" s="139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87086.6341711761</v>
      </c>
      <c r="E44" s="45" t="n">
        <f aca="false">L44+D44/$K$2</f>
        <v>67.0030161148721</v>
      </c>
      <c r="F44" s="117" t="n">
        <f aca="false">IF($K$9=0,0,E44/$K$9)</f>
        <v>0.135</v>
      </c>
      <c r="G44" s="117" t="n">
        <f aca="false">G43+F44</f>
        <v>0.27</v>
      </c>
      <c r="H44" s="138" t="n">
        <v>52465.5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RESUMO'!AQ30</f>
        <v>27</v>
      </c>
      <c r="N44" s="140" t="n">
        <f aca="false">MAX(0,M44-M43)</f>
        <v>13.5</v>
      </c>
      <c r="O44" s="139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13.5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87086.6341711761</v>
      </c>
      <c r="E45" s="45" t="n">
        <f aca="false">L45+D45/$K$2</f>
        <v>67.0030161148721</v>
      </c>
      <c r="F45" s="117" t="n">
        <f aca="false">IF($K$9=0,0,E45/$K$9)</f>
        <v>0.135</v>
      </c>
      <c r="G45" s="117" t="n">
        <f aca="false">G44+F45</f>
        <v>0.405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RESUMO'!AR30</f>
        <v>40.5</v>
      </c>
      <c r="N45" s="140" t="n">
        <f aca="false">MAX(0,M45-M44)</f>
        <v>13.5</v>
      </c>
      <c r="O45" s="139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13.5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0.405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RESUMO'!AS30</f>
        <v>40.5</v>
      </c>
      <c r="N46" s="140" t="n">
        <f aca="false">MAX(0,M46-M45)</f>
        <v>0</v>
      </c>
      <c r="O46" s="139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0.405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RESUMO'!AT30</f>
        <v>40.5</v>
      </c>
      <c r="N47" s="140" t="n">
        <f aca="false">MAX(0,M47-M46)</f>
        <v>0</v>
      </c>
      <c r="O47" s="139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12901.723580915</v>
      </c>
      <c r="E48" s="45" t="n">
        <f aca="false">L48+D48/$K$2</f>
        <v>9.92637275775883</v>
      </c>
      <c r="F48" s="117" t="n">
        <f aca="false">IF($K$9=0,0,E48/$K$9)</f>
        <v>0.02</v>
      </c>
      <c r="G48" s="117" t="n">
        <f aca="false">G47+F48</f>
        <v>0.425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RESUMO'!AU30</f>
        <v>42.5</v>
      </c>
      <c r="N48" s="140" t="n">
        <f aca="false">MAX(0,M48-M47)</f>
        <v>2</v>
      </c>
      <c r="O48" s="139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51606.8943236599</v>
      </c>
      <c r="E49" s="45" t="n">
        <f aca="false">L49+D49/$K$2</f>
        <v>39.7054910310353</v>
      </c>
      <c r="F49" s="117" t="n">
        <f aca="false">IF($K$9=0,0,E49/$K$9)</f>
        <v>0.08</v>
      </c>
      <c r="G49" s="117" t="n">
        <f aca="false">G48+F49</f>
        <v>0.505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RESUMO'!AV30</f>
        <v>50.5</v>
      </c>
      <c r="N49" s="140" t="n">
        <f aca="false">MAX(0,M49-M48)</f>
        <v>8</v>
      </c>
      <c r="O49" s="139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232231.02445647</v>
      </c>
      <c r="E50" s="45" t="n">
        <f aca="false">L50+D50/$K$2</f>
        <v>178.674709639659</v>
      </c>
      <c r="F50" s="117" t="n">
        <f aca="false">IF($K$9=0,0,E50/$K$9)</f>
        <v>0.36</v>
      </c>
      <c r="G50" s="117" t="n">
        <f aca="false">G49+F50</f>
        <v>0.865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RESUMO'!AW30</f>
        <v>86.5</v>
      </c>
      <c r="N50" s="140" t="n">
        <f aca="false">MAX(0,M50-M49)</f>
        <v>36</v>
      </c>
      <c r="O50" s="139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36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87086.6341711761</v>
      </c>
      <c r="E51" s="45" t="n">
        <f aca="false">L51+D51/$K$2</f>
        <v>67.0030161148721</v>
      </c>
      <c r="F51" s="117" t="n">
        <f aca="false">IF($K$9=0,0,E51/$K$9)</f>
        <v>0.135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RESUMO'!AX30</f>
        <v>100</v>
      </c>
      <c r="N51" s="140" t="n">
        <f aca="false">MAX(0,M51-M50)</f>
        <v>13.5</v>
      </c>
      <c r="O51" s="139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13.5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RESUMO'!AY30</f>
        <v>100</v>
      </c>
      <c r="N52" s="140" t="n">
        <f aca="false">MAX(0,M52-M51)</f>
        <v>0</v>
      </c>
      <c r="O52" s="139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RESUMO'!AZ30</f>
        <v>100</v>
      </c>
      <c r="N53" s="140" t="n">
        <f aca="false">MAX(0,M53-M52)</f>
        <v>0</v>
      </c>
      <c r="O53" s="139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RESUMO'!BA30</f>
        <v>100</v>
      </c>
      <c r="N54" s="140" t="n">
        <f aca="false">MAX(0,M54-M53)</f>
        <v>0</v>
      </c>
      <c r="O54" s="139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RESUMO'!BB30</f>
        <v>100</v>
      </c>
      <c r="N55" s="140" t="n">
        <f aca="false">MAX(0,M55-M54)</f>
        <v>0</v>
      </c>
      <c r="O55" s="139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RESUMO'!BC30</f>
        <v>100</v>
      </c>
      <c r="N56" s="140" t="n">
        <f aca="false">MAX(0,M56-M55)</f>
        <v>0</v>
      </c>
      <c r="O56" s="139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RESUMO'!BD30</f>
        <v>100</v>
      </c>
      <c r="N57" s="140" t="n">
        <f aca="false">MAX(0,M57-M56)</f>
        <v>0</v>
      </c>
      <c r="O57" s="139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RESUMO'!BE30</f>
        <v>100</v>
      </c>
      <c r="N58" s="140" t="n">
        <f aca="false">MAX(0,M58-M57)</f>
        <v>0</v>
      </c>
      <c r="O58" s="139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RESUMO'!BF30</f>
        <v>100</v>
      </c>
      <c r="N59" s="140" t="n">
        <f aca="false">MAX(0,M59-M58)</f>
        <v>0</v>
      </c>
      <c r="O59" s="139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RESUMO'!BG30</f>
        <v>100</v>
      </c>
      <c r="N60" s="140" t="n">
        <f aca="false">MAX(0,M60-M59)</f>
        <v>0</v>
      </c>
      <c r="O60" s="139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RESUMO'!BH30</f>
        <v>100</v>
      </c>
      <c r="N61" s="140" t="n">
        <f aca="false">MAX(0,M61-M60)</f>
        <v>0</v>
      </c>
      <c r="O61" s="139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RESUMO'!BI30</f>
        <v>100</v>
      </c>
      <c r="N62" s="140" t="n">
        <f aca="false">MAX(0,M62-M61)</f>
        <v>0</v>
      </c>
      <c r="O62" s="139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RESUMO'!BJ30</f>
        <v>100</v>
      </c>
      <c r="N63" s="140" t="n">
        <f aca="false">MAX(0,M63-M62)</f>
        <v>0</v>
      </c>
      <c r="O63" s="139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RESUMO'!BK30</f>
        <v>100</v>
      </c>
      <c r="N64" s="140" t="n">
        <f aca="false">MAX(0,M64-M63)</f>
        <v>0</v>
      </c>
      <c r="O64" s="139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RESUMO'!BL30</f>
        <v>100</v>
      </c>
      <c r="N65" s="140" t="n">
        <f aca="false">MAX(0,M65-M64)</f>
        <v>0</v>
      </c>
      <c r="O65" s="139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RESUMO'!BM30</f>
        <v>100</v>
      </c>
      <c r="N66" s="140" t="n">
        <f aca="false">MAX(0,M66-M65)</f>
        <v>0</v>
      </c>
      <c r="O66" s="139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RESUMO'!BN30</f>
        <v>100</v>
      </c>
      <c r="N67" s="140" t="n">
        <f aca="false">MAX(0,M67-M66)</f>
        <v>0</v>
      </c>
      <c r="O67" s="139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RESUMO'!BO30</f>
        <v>100</v>
      </c>
      <c r="N68" s="140" t="n">
        <f aca="false">MAX(0,M68-M67)</f>
        <v>0</v>
      </c>
      <c r="O68" s="139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RESUMO'!BP30</f>
        <v>100</v>
      </c>
      <c r="N69" s="140" t="n">
        <f aca="false">MAX(0,M69-M68)</f>
        <v>0</v>
      </c>
      <c r="O69" s="139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RESUMO'!BQ30</f>
        <v>100</v>
      </c>
      <c r="N70" s="140" t="n">
        <f aca="false">MAX(0,M70-M69)</f>
        <v>0</v>
      </c>
      <c r="O70" s="139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RESUMO'!BR30</f>
        <v>100</v>
      </c>
      <c r="N71" s="140" t="n">
        <f aca="false">MAX(0,M71-M70)</f>
        <v>0</v>
      </c>
      <c r="O71" s="139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RESUMO'!BS30</f>
        <v>100</v>
      </c>
      <c r="N72" s="140" t="n">
        <f aca="false">MAX(0,M72-M71)</f>
        <v>0</v>
      </c>
      <c r="O72" s="139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RESUMO'!BT30</f>
        <v>100</v>
      </c>
      <c r="N73" s="140" t="n">
        <f aca="false">MAX(0,M73-M72)</f>
        <v>0</v>
      </c>
      <c r="O73" s="139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RESUMO'!BU30</f>
        <v>100</v>
      </c>
      <c r="N74" s="140" t="n">
        <f aca="false">MAX(0,M74-M73)</f>
        <v>0</v>
      </c>
      <c r="O74" s="139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RESUMO'!BV30</f>
        <v>100</v>
      </c>
      <c r="N75" s="140" t="n">
        <f aca="false">MAX(0,M75-M74)</f>
        <v>0</v>
      </c>
      <c r="O75" s="139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RESUMO'!BW30</f>
        <v>100</v>
      </c>
      <c r="N76" s="140" t="n">
        <f aca="false">MAX(0,M76-M75)</f>
        <v>0</v>
      </c>
      <c r="O76" s="139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645086.179045748</v>
      </c>
      <c r="E78" s="61" t="n">
        <f aca="false">SUM(E5:E76)</f>
        <v>496.318637887941</v>
      </c>
      <c r="F78" s="145" t="n">
        <f aca="false">SUM(F5:F76)</f>
        <v>1</v>
      </c>
      <c r="H78" s="61" t="n">
        <f aca="false">SUM(H5:H76)</f>
        <v>580262.69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PL'!F37</f>
        <v>1791174.76</v>
      </c>
      <c r="K5" s="56" t="n">
        <f aca="false">'VALOR POR PL'!G37</f>
        <v>1533.46679</v>
      </c>
      <c r="L5" s="56" t="n">
        <f aca="false">'DADOS HISTORICOS'!$BZ$31</f>
        <v>0</v>
      </c>
      <c r="M5" s="139" t="n">
        <f aca="false">'CP RESUMO'!D31</f>
        <v>0</v>
      </c>
      <c r="N5" s="140" t="n">
        <v>0</v>
      </c>
      <c r="O5" s="139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PL'!H37</f>
        <v>1533.46679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RESUMO'!E31</f>
        <v>0</v>
      </c>
      <c r="N6" s="140" t="n">
        <f aca="false">MAX(0,M6-M5)</f>
        <v>0</v>
      </c>
      <c r="O6" s="139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1991274.08106841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RESUMO'!F31</f>
        <v>0</v>
      </c>
      <c r="N7" s="140" t="n">
        <f aca="false">MAX(0,M7-M6)</f>
        <v>0</v>
      </c>
      <c r="O7" s="139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RESUMO'!G31</f>
        <v>0</v>
      </c>
      <c r="N8" s="140" t="n">
        <f aca="false">MAX(0,M8-M7)</f>
        <v>0</v>
      </c>
      <c r="O8" s="139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1991274.08106841</v>
      </c>
      <c r="K9" s="45" t="n">
        <f aca="false">E78</f>
        <v>1532.05334679375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RESUMO'!H31</f>
        <v>0</v>
      </c>
      <c r="N9" s="140" t="n">
        <f aca="false">MAX(0,M9-M8)</f>
        <v>0</v>
      </c>
      <c r="O9" s="139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1532.05334679375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RESUMO'!I31</f>
        <v>0</v>
      </c>
      <c r="N10" s="140" t="n">
        <f aca="false">MAX(0,M10-M9)</f>
        <v>0</v>
      </c>
      <c r="O10" s="139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1791174.74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RESUMO'!J31</f>
        <v>0</v>
      </c>
      <c r="N11" s="140" t="n">
        <f aca="false">MAX(0,M11-M10)</f>
        <v>0</v>
      </c>
      <c r="O11" s="139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RESUMO'!K31</f>
        <v>0</v>
      </c>
      <c r="N12" s="140" t="n">
        <f aca="false">MAX(0,M12-M11)</f>
        <v>0</v>
      </c>
      <c r="O12" s="139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RESUMO'!L31</f>
        <v>0</v>
      </c>
      <c r="N13" s="140" t="n">
        <f aca="false">MAX(0,M13-M12)</f>
        <v>0</v>
      </c>
      <c r="O13" s="139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RESUMO'!M31</f>
        <v>0</v>
      </c>
      <c r="N14" s="140" t="n">
        <f aca="false">MAX(0,M14-M13)</f>
        <v>0</v>
      </c>
      <c r="O14" s="139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RESUMO'!N31</f>
        <v>0</v>
      </c>
      <c r="N15" s="140" t="n">
        <f aca="false">MAX(0,M15-M14)</f>
        <v>0</v>
      </c>
      <c r="O15" s="139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RESUMO'!O31</f>
        <v>0</v>
      </c>
      <c r="N16" s="140" t="n">
        <f aca="false">MAX(0,M16-M15)</f>
        <v>0</v>
      </c>
      <c r="O16" s="139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RESUMO'!P31</f>
        <v>0</v>
      </c>
      <c r="N17" s="140" t="n">
        <f aca="false">MAX(0,M17-M16)</f>
        <v>0</v>
      </c>
      <c r="O17" s="139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1991274.08106841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RESUMO'!Q31</f>
        <v>0</v>
      </c>
      <c r="N18" s="140" t="n">
        <f aca="false">MAX(0,M18-M17)</f>
        <v>0</v>
      </c>
      <c r="O18" s="139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RESUMO'!R31</f>
        <v>0</v>
      </c>
      <c r="N19" s="140" t="n">
        <f aca="false">MAX(0,M19-M18)</f>
        <v>0</v>
      </c>
      <c r="O19" s="139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RESUMO'!S31</f>
        <v>0</v>
      </c>
      <c r="N20" s="140" t="n">
        <f aca="false">MAX(0,M20-M19)</f>
        <v>0</v>
      </c>
      <c r="O20" s="139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RESUMO'!T31</f>
        <v>0</v>
      </c>
      <c r="N21" s="140" t="n">
        <f aca="false">MAX(0,M21-M20)</f>
        <v>0</v>
      </c>
      <c r="O21" s="139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RESUMO'!U31</f>
        <v>0</v>
      </c>
      <c r="N22" s="140" t="n">
        <f aca="false">MAX(0,M22-M21)</f>
        <v>0</v>
      </c>
      <c r="O22" s="139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RESUMO'!V31</f>
        <v>0</v>
      </c>
      <c r="N23" s="140" t="n">
        <f aca="false">MAX(0,M23-M22)</f>
        <v>0</v>
      </c>
      <c r="O23" s="139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RESUMO'!W31</f>
        <v>0</v>
      </c>
      <c r="N24" s="140" t="n">
        <f aca="false">MAX(0,M24-M23)</f>
        <v>0</v>
      </c>
      <c r="O24" s="139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RESUMO'!X31</f>
        <v>0</v>
      </c>
      <c r="N25" s="140" t="n">
        <f aca="false">MAX(0,M25-M24)</f>
        <v>0</v>
      </c>
      <c r="O25" s="139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RESUMO'!Y31</f>
        <v>0</v>
      </c>
      <c r="N26" s="140" t="n">
        <f aca="false">MAX(0,M26-M25)</f>
        <v>0</v>
      </c>
      <c r="O26" s="139" t="n">
        <f aca="false">IF(B26&lt;='VALOR POR PL'!$P$5,'CP RESUMO'!Y73,"")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RESUMO'!Z31</f>
        <v>0</v>
      </c>
      <c r="N27" s="140" t="n">
        <f aca="false">MAX(0,M27-M26)</f>
        <v>0</v>
      </c>
      <c r="O27" s="139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RESUMO'!AA31</f>
        <v>0</v>
      </c>
      <c r="N28" s="140" t="n">
        <f aca="false">MAX(0,M28-M27)</f>
        <v>0</v>
      </c>
      <c r="O28" s="139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RESUMO'!AB31</f>
        <v>0</v>
      </c>
      <c r="N29" s="140" t="n">
        <f aca="false">MAX(0,M29-M28)</f>
        <v>0</v>
      </c>
      <c r="O29" s="139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RESUMO'!AC31</f>
        <v>0</v>
      </c>
      <c r="N30" s="140" t="n">
        <f aca="false">MAX(0,M30-M29)</f>
        <v>0</v>
      </c>
      <c r="O30" s="139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RESUMO'!AD31</f>
        <v>0</v>
      </c>
      <c r="N31" s="140" t="n">
        <f aca="false">MAX(0,M31-M30)</f>
        <v>0</v>
      </c>
      <c r="O31" s="139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RESUMO'!AE31</f>
        <v>0</v>
      </c>
      <c r="N32" s="140" t="n">
        <f aca="false">MAX(0,M32-M31)</f>
        <v>0</v>
      </c>
      <c r="O32" s="139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RESUMO'!AF31</f>
        <v>0</v>
      </c>
      <c r="N33" s="140" t="n">
        <f aca="false">MAX(0,M33-M32)</f>
        <v>0</v>
      </c>
      <c r="O33" s="139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RESUMO'!AG31</f>
        <v>0</v>
      </c>
      <c r="N34" s="140" t="n">
        <f aca="false">MAX(0,M34-M33)</f>
        <v>0</v>
      </c>
      <c r="O34" s="139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RESUMO'!AH31</f>
        <v>0</v>
      </c>
      <c r="N35" s="140" t="n">
        <f aca="false">MAX(0,M35-M34)</f>
        <v>0</v>
      </c>
      <c r="O35" s="139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155916.760547656</v>
      </c>
      <c r="E36" s="45" t="n">
        <f aca="false">L36+D36/$K$2</f>
        <v>119.959777053951</v>
      </c>
      <c r="F36" s="117" t="n">
        <f aca="false">IF($K$9=0,0,E36/$K$9)</f>
        <v>0.0783</v>
      </c>
      <c r="G36" s="117" t="n">
        <f aca="false">G35+F36</f>
        <v>0.0783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RESUMO'!AI31</f>
        <v>7.83</v>
      </c>
      <c r="N36" s="140" t="n">
        <f aca="false">MAX(0,M36-M35)</f>
        <v>7.83</v>
      </c>
      <c r="O36" s="139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7.83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297297.220303513</v>
      </c>
      <c r="E37" s="45" t="n">
        <f aca="false">L37+D37/$K$2</f>
        <v>228.735564676307</v>
      </c>
      <c r="F37" s="117" t="n">
        <f aca="false">IF($K$9=0,0,E37/$K$9)</f>
        <v>0.1493</v>
      </c>
      <c r="G37" s="117" t="n">
        <f aca="false">G36+F37</f>
        <v>0.2276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RESUMO'!AJ31</f>
        <v>22.76</v>
      </c>
      <c r="N37" s="140" t="n">
        <f aca="false">MAX(0,M37-M36)</f>
        <v>14.93</v>
      </c>
      <c r="O37" s="139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14.93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0.2276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RESUMO'!AK31</f>
        <v>22.76</v>
      </c>
      <c r="N38" s="140" t="n">
        <f aca="false">MAX(0,M38-M37)</f>
        <v>0</v>
      </c>
      <c r="O38" s="139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0.2276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RESUMO'!AL31</f>
        <v>22.76</v>
      </c>
      <c r="N39" s="140" t="n">
        <f aca="false">MAX(0,M39-M38)</f>
        <v>0</v>
      </c>
      <c r="O39" s="139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0.2276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RESUMO'!AM31</f>
        <v>22.76</v>
      </c>
      <c r="N40" s="140" t="n">
        <f aca="false">MAX(0,M40-M39)</f>
        <v>0</v>
      </c>
      <c r="O40" s="139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0.2276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RESUMO'!AN31</f>
        <v>22.76</v>
      </c>
      <c r="N41" s="140" t="n">
        <f aca="false">MAX(0,M41-M40)</f>
        <v>0</v>
      </c>
      <c r="O41" s="139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112307.858172258</v>
      </c>
      <c r="E42" s="45" t="n">
        <f aca="false">L42+D42/$K$2</f>
        <v>86.4078087591676</v>
      </c>
      <c r="F42" s="117" t="n">
        <f aca="false">IF($K$9=0,0,E42/$K$9)</f>
        <v>0.0564</v>
      </c>
      <c r="G42" s="117" t="n">
        <f aca="false">G41+F42</f>
        <v>0.284</v>
      </c>
      <c r="H42" s="138" t="n">
        <v>96577.21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RESUMO'!AO31</f>
        <v>28.4</v>
      </c>
      <c r="N42" s="140" t="n">
        <f aca="false">MAX(0,M42-M41)</f>
        <v>5.64</v>
      </c>
      <c r="O42" s="139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5.64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134411.000472117</v>
      </c>
      <c r="E43" s="45" t="n">
        <f aca="false">L43+D43/$K$2</f>
        <v>103.413600908578</v>
      </c>
      <c r="F43" s="117" t="n">
        <f aca="false">IF($K$9=0,0,E43/$K$9)</f>
        <v>0.0675</v>
      </c>
      <c r="G43" s="117" t="n">
        <f aca="false">G42+F43</f>
        <v>0.3515</v>
      </c>
      <c r="H43" s="138" t="n">
        <v>199752.54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RESUMO'!AP31</f>
        <v>35.15</v>
      </c>
      <c r="N43" s="140" t="n">
        <f aca="false">MAX(0,M43-M42)</f>
        <v>6.75</v>
      </c>
      <c r="O43" s="139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6.75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245723.221603841</v>
      </c>
      <c r="E44" s="45" t="n">
        <f aca="false">L44+D44/$K$2</f>
        <v>189.055382994349</v>
      </c>
      <c r="F44" s="117" t="n">
        <f aca="false">IF($K$9=0,0,E44/$K$9)</f>
        <v>0.1234</v>
      </c>
      <c r="G44" s="117" t="n">
        <f aca="false">G43+F44</f>
        <v>0.4749</v>
      </c>
      <c r="H44" s="138" t="n">
        <v>199752.54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RESUMO'!AQ31</f>
        <v>47.49</v>
      </c>
      <c r="N44" s="140" t="n">
        <f aca="false">MAX(0,M44-M43)</f>
        <v>12.34</v>
      </c>
      <c r="O44" s="139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12.34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129631.942677553</v>
      </c>
      <c r="E45" s="45" t="n">
        <f aca="false">L45+D45/$K$2</f>
        <v>99.7366728762733</v>
      </c>
      <c r="F45" s="117" t="n">
        <f aca="false">IF($K$9=0,0,E45/$K$9)</f>
        <v>0.0651</v>
      </c>
      <c r="G45" s="117" t="n">
        <f aca="false">G44+F45</f>
        <v>0.54</v>
      </c>
      <c r="H45" s="138" t="n">
        <v>199752.54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RESUMO'!AR31</f>
        <v>54</v>
      </c>
      <c r="N45" s="140" t="n">
        <f aca="false">MAX(0,M45-M44)</f>
        <v>6.51</v>
      </c>
      <c r="O45" s="139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6.51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167466.150217853</v>
      </c>
      <c r="E46" s="45" t="n">
        <f aca="false">L46+D46/$K$2</f>
        <v>128.845686465355</v>
      </c>
      <c r="F46" s="117" t="n">
        <f aca="false">IF($K$9=0,0,E46/$K$9)</f>
        <v>0.0841</v>
      </c>
      <c r="G46" s="117" t="n">
        <f aca="false">G45+F46</f>
        <v>0.6241</v>
      </c>
      <c r="H46" s="138" t="n">
        <v>199752.54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RESUMO'!AS31</f>
        <v>62.41</v>
      </c>
      <c r="N46" s="140" t="n">
        <f aca="false">MAX(0,M46-M45)</f>
        <v>8.41</v>
      </c>
      <c r="O46" s="139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8.41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150540.320528772</v>
      </c>
      <c r="E47" s="45" t="n">
        <f aca="false">L47+D47/$K$2</f>
        <v>115.823233017608</v>
      </c>
      <c r="F47" s="117" t="n">
        <f aca="false">IF($K$9=0,0,E47/$K$9)</f>
        <v>0.0756</v>
      </c>
      <c r="G47" s="117" t="n">
        <f aca="false">G46+F47</f>
        <v>0.6997</v>
      </c>
      <c r="H47" s="138" t="n">
        <v>199752.54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RESUMO'!AT31</f>
        <v>69.97</v>
      </c>
      <c r="N47" s="140" t="n">
        <f aca="false">MAX(0,M47-M46)</f>
        <v>7.56</v>
      </c>
      <c r="O47" s="139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7.56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269419.383168555</v>
      </c>
      <c r="E48" s="45" t="n">
        <f aca="false">L48+D48/$K$2</f>
        <v>207.286817821195</v>
      </c>
      <c r="F48" s="117" t="n">
        <f aca="false">IF($K$9=0,0,E48/$K$9)</f>
        <v>0.1353</v>
      </c>
      <c r="G48" s="117" t="n">
        <f aca="false">G47+F48</f>
        <v>0.835</v>
      </c>
      <c r="H48" s="138" t="n">
        <v>199752.54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RESUMO'!AU31</f>
        <v>83.5</v>
      </c>
      <c r="N48" s="140" t="n">
        <f aca="false">MAX(0,M48-M47)</f>
        <v>13.53</v>
      </c>
      <c r="O48" s="139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13.53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203109.956268977</v>
      </c>
      <c r="E49" s="45" t="n">
        <f aca="false">L49+D49/$K$2</f>
        <v>156.269441372963</v>
      </c>
      <c r="F49" s="117" t="n">
        <f aca="false">IF($K$9=0,0,E49/$K$9)</f>
        <v>0.102</v>
      </c>
      <c r="G49" s="117" t="n">
        <f aca="false">G48+F49</f>
        <v>0.937</v>
      </c>
      <c r="H49" s="138" t="n">
        <v>199752.54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RESUMO'!AV31</f>
        <v>93.7</v>
      </c>
      <c r="N49" s="140" t="n">
        <f aca="false">MAX(0,M49-M48)</f>
        <v>10.2</v>
      </c>
      <c r="O49" s="139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10.2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112307.858172258</v>
      </c>
      <c r="E50" s="45" t="n">
        <f aca="false">L50+D50/$K$2</f>
        <v>86.4078087591677</v>
      </c>
      <c r="F50" s="117" t="n">
        <f aca="false">IF($K$9=0,0,E50/$K$9)</f>
        <v>0.0564</v>
      </c>
      <c r="G50" s="117" t="n">
        <f aca="false">G49+F50</f>
        <v>0.9934</v>
      </c>
      <c r="H50" s="138" t="n">
        <v>199752.54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RESUMO'!AW31</f>
        <v>99.34</v>
      </c>
      <c r="N50" s="140" t="n">
        <f aca="false">MAX(0,M50-M49)</f>
        <v>5.64</v>
      </c>
      <c r="O50" s="139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5.64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13142.4089350514</v>
      </c>
      <c r="E51" s="45" t="n">
        <f aca="false">L51+D51/$K$2</f>
        <v>10.1115520888387</v>
      </c>
      <c r="F51" s="117" t="n">
        <f aca="false">IF($K$9=0,0,E51/$K$9)</f>
        <v>0.00659999999999997</v>
      </c>
      <c r="G51" s="117" t="n">
        <f aca="false">G50+F51</f>
        <v>1</v>
      </c>
      <c r="H51" s="138" t="n">
        <v>96577.21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RESUMO'!AX31</f>
        <v>100</v>
      </c>
      <c r="N51" s="140" t="n">
        <f aca="false">MAX(0,M51-M50)</f>
        <v>0.659999999999997</v>
      </c>
      <c r="O51" s="139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0.659999999999997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RESUMO'!AY31</f>
        <v>100</v>
      </c>
      <c r="N52" s="140" t="n">
        <f aca="false">MAX(0,M52-M51)</f>
        <v>0</v>
      </c>
      <c r="O52" s="139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RESUMO'!AZ31</f>
        <v>100</v>
      </c>
      <c r="N53" s="140" t="n">
        <f aca="false">MAX(0,M53-M52)</f>
        <v>0</v>
      </c>
      <c r="O53" s="139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RESUMO'!BA31</f>
        <v>100</v>
      </c>
      <c r="N54" s="140" t="n">
        <f aca="false">MAX(0,M54-M53)</f>
        <v>0</v>
      </c>
      <c r="O54" s="139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RESUMO'!BB31</f>
        <v>100</v>
      </c>
      <c r="N55" s="140" t="n">
        <f aca="false">MAX(0,M55-M54)</f>
        <v>0</v>
      </c>
      <c r="O55" s="139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RESUMO'!BC31</f>
        <v>100</v>
      </c>
      <c r="N56" s="140" t="n">
        <f aca="false">MAX(0,M56-M55)</f>
        <v>0</v>
      </c>
      <c r="O56" s="139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RESUMO'!BD31</f>
        <v>100</v>
      </c>
      <c r="N57" s="140" t="n">
        <f aca="false">MAX(0,M57-M56)</f>
        <v>0</v>
      </c>
      <c r="O57" s="139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RESUMO'!BE31</f>
        <v>100</v>
      </c>
      <c r="N58" s="140" t="n">
        <f aca="false">MAX(0,M58-M57)</f>
        <v>0</v>
      </c>
      <c r="O58" s="139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RESUMO'!BF31</f>
        <v>100</v>
      </c>
      <c r="N59" s="140" t="n">
        <f aca="false">MAX(0,M59-M58)</f>
        <v>0</v>
      </c>
      <c r="O59" s="139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RESUMO'!BG31</f>
        <v>100</v>
      </c>
      <c r="N60" s="140" t="n">
        <f aca="false">MAX(0,M60-M59)</f>
        <v>0</v>
      </c>
      <c r="O60" s="139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RESUMO'!BH31</f>
        <v>100</v>
      </c>
      <c r="N61" s="140" t="n">
        <f aca="false">MAX(0,M61-M60)</f>
        <v>0</v>
      </c>
      <c r="O61" s="139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RESUMO'!BI31</f>
        <v>100</v>
      </c>
      <c r="N62" s="140" t="n">
        <f aca="false">MAX(0,M62-M61)</f>
        <v>0</v>
      </c>
      <c r="O62" s="139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RESUMO'!BJ31</f>
        <v>100</v>
      </c>
      <c r="N63" s="140" t="n">
        <f aca="false">MAX(0,M63-M62)</f>
        <v>0</v>
      </c>
      <c r="O63" s="139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RESUMO'!BK31</f>
        <v>100</v>
      </c>
      <c r="N64" s="140" t="n">
        <f aca="false">MAX(0,M64-M63)</f>
        <v>0</v>
      </c>
      <c r="O64" s="139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RESUMO'!BL31</f>
        <v>100</v>
      </c>
      <c r="N65" s="140" t="n">
        <f aca="false">MAX(0,M65-M64)</f>
        <v>0</v>
      </c>
      <c r="O65" s="139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RESUMO'!BM31</f>
        <v>100</v>
      </c>
      <c r="N66" s="140" t="n">
        <f aca="false">MAX(0,M66-M65)</f>
        <v>0</v>
      </c>
      <c r="O66" s="139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RESUMO'!BN31</f>
        <v>100</v>
      </c>
      <c r="N67" s="140" t="n">
        <f aca="false">MAX(0,M67-M66)</f>
        <v>0</v>
      </c>
      <c r="O67" s="139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RESUMO'!BO31</f>
        <v>100</v>
      </c>
      <c r="N68" s="140" t="n">
        <f aca="false">MAX(0,M68-M67)</f>
        <v>0</v>
      </c>
      <c r="O68" s="139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RESUMO'!BP31</f>
        <v>100</v>
      </c>
      <c r="N69" s="140" t="n">
        <f aca="false">MAX(0,M69-M68)</f>
        <v>0</v>
      </c>
      <c r="O69" s="139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RESUMO'!BQ31</f>
        <v>100</v>
      </c>
      <c r="N70" s="140" t="n">
        <f aca="false">MAX(0,M70-M69)</f>
        <v>0</v>
      </c>
      <c r="O70" s="139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RESUMO'!BR31</f>
        <v>100</v>
      </c>
      <c r="N71" s="140" t="n">
        <f aca="false">MAX(0,M71-M70)</f>
        <v>0</v>
      </c>
      <c r="O71" s="139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RESUMO'!BS31</f>
        <v>100</v>
      </c>
      <c r="N72" s="140" t="n">
        <f aca="false">MAX(0,M72-M71)</f>
        <v>0</v>
      </c>
      <c r="O72" s="139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RESUMO'!BT31</f>
        <v>100</v>
      </c>
      <c r="N73" s="140" t="n">
        <f aca="false">MAX(0,M73-M72)</f>
        <v>0</v>
      </c>
      <c r="O73" s="139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RESUMO'!BU31</f>
        <v>100</v>
      </c>
      <c r="N74" s="140" t="n">
        <f aca="false">MAX(0,M74-M73)</f>
        <v>0</v>
      </c>
      <c r="O74" s="139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RESUMO'!BV31</f>
        <v>100</v>
      </c>
      <c r="N75" s="140" t="n">
        <f aca="false">MAX(0,M75-M74)</f>
        <v>0</v>
      </c>
      <c r="O75" s="139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RESUMO'!BW31</f>
        <v>100</v>
      </c>
      <c r="N76" s="140" t="n">
        <f aca="false">MAX(0,M76-M75)</f>
        <v>0</v>
      </c>
      <c r="O76" s="139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1991274.08106841</v>
      </c>
      <c r="E78" s="61" t="n">
        <f aca="false">SUM(E5:E76)</f>
        <v>1532.05334679375</v>
      </c>
      <c r="F78" s="145" t="n">
        <f aca="false">SUM(F5:F76)</f>
        <v>1</v>
      </c>
      <c r="H78" s="61" t="n">
        <f aca="false">SUM(H5:H76)</f>
        <v>1791174.74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PL'!F38</f>
        <v>938445.7</v>
      </c>
      <c r="K5" s="56" t="n">
        <f aca="false">'VALOR POR PL'!G38</f>
        <v>803.425409</v>
      </c>
      <c r="L5" s="56" t="n">
        <f aca="false">'DADOS HISTORICOS'!$BZ$32</f>
        <v>0</v>
      </c>
      <c r="M5" s="139" t="n">
        <f aca="false">'CP RESUMO'!D32</f>
        <v>0</v>
      </c>
      <c r="N5" s="140" t="n">
        <v>0</v>
      </c>
      <c r="O5" s="139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PL'!H38</f>
        <v>874.090731019865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RESUMO'!E32</f>
        <v>0</v>
      </c>
      <c r="N6" s="140" t="n">
        <f aca="false">MAX(0,M6-M5)</f>
        <v>0</v>
      </c>
      <c r="O6" s="139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1135045.26379863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RESUMO'!F32</f>
        <v>0</v>
      </c>
      <c r="N7" s="140" t="n">
        <f aca="false">MAX(0,M7-M6)</f>
        <v>0</v>
      </c>
      <c r="O7" s="139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RESUMO'!G32</f>
        <v>0</v>
      </c>
      <c r="N8" s="140" t="n">
        <f aca="false">MAX(0,M8-M7)</f>
        <v>0</v>
      </c>
      <c r="O8" s="139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1135045.26379863</v>
      </c>
      <c r="K9" s="45" t="n">
        <f aca="false">E78</f>
        <v>873.285054879071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RESUMO'!H32</f>
        <v>0</v>
      </c>
      <c r="N9" s="140" t="n">
        <f aca="false">MAX(0,M9-M8)</f>
        <v>0</v>
      </c>
      <c r="O9" s="139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873.285054879071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RESUMO'!I32</f>
        <v>0</v>
      </c>
      <c r="N10" s="140" t="n">
        <f aca="false">MAX(0,M10-M9)</f>
        <v>0</v>
      </c>
      <c r="O10" s="139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938445.7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RESUMO'!J32</f>
        <v>0</v>
      </c>
      <c r="N11" s="140" t="n">
        <f aca="false">MAX(0,M11-M10)</f>
        <v>0</v>
      </c>
      <c r="O11" s="139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98.71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RESUMO'!K32</f>
        <v>0</v>
      </c>
      <c r="N12" s="140" t="n">
        <f aca="false">MAX(0,M12-M11)</f>
        <v>0</v>
      </c>
      <c r="O12" s="139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RESUMO'!L32</f>
        <v>0</v>
      </c>
      <c r="N13" s="140" t="n">
        <f aca="false">MAX(0,M13-M12)</f>
        <v>0</v>
      </c>
      <c r="O13" s="139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RESUMO'!$D$74:$BW$74,MATCH('VALOR POR PL'!$P$5,'CP RESUMO'!$D$4:$BW$4,0))/100,0)</f>
        <v>0.0015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RESUMO'!M32</f>
        <v>0</v>
      </c>
      <c r="N14" s="140" t="n">
        <f aca="false">MAX(0,M14-M13)</f>
        <v>0</v>
      </c>
      <c r="O14" s="139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RESUMO'!N32</f>
        <v>0</v>
      </c>
      <c r="N15" s="140" t="n">
        <f aca="false">MAX(0,M15-M14)</f>
        <v>0</v>
      </c>
      <c r="O15" s="139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RESUMO'!O32</f>
        <v>0</v>
      </c>
      <c r="N16" s="140" t="n">
        <f aca="false">MAX(0,M16-M15)</f>
        <v>0</v>
      </c>
      <c r="O16" s="139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98.71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RESUMO'!P32</f>
        <v>0</v>
      </c>
      <c r="N17" s="140" t="n">
        <f aca="false">MAX(0,M17-M16)</f>
        <v>0</v>
      </c>
      <c r="O17" s="139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1135045.26379863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RESUMO'!Q32</f>
        <v>0</v>
      </c>
      <c r="N18" s="140" t="n">
        <f aca="false">MAX(0,M18-M17)</f>
        <v>0</v>
      </c>
      <c r="O18" s="139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RESUMO'!R32</f>
        <v>0</v>
      </c>
      <c r="N19" s="140" t="n">
        <f aca="false">MAX(0,M19-M18)</f>
        <v>0</v>
      </c>
      <c r="O19" s="139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RESUMO'!S32</f>
        <v>0</v>
      </c>
      <c r="N20" s="140" t="n">
        <f aca="false">MAX(0,M20-M19)</f>
        <v>0</v>
      </c>
      <c r="O20" s="139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RESUMO'!T32</f>
        <v>0</v>
      </c>
      <c r="N21" s="140" t="n">
        <f aca="false">MAX(0,M21-M20)</f>
        <v>0</v>
      </c>
      <c r="O21" s="139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RESUMO'!U32</f>
        <v>0</v>
      </c>
      <c r="N22" s="140" t="n">
        <f aca="false">MAX(0,M22-M21)</f>
        <v>0</v>
      </c>
      <c r="O22" s="139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RESUMO'!V32</f>
        <v>0</v>
      </c>
      <c r="N23" s="140" t="n">
        <f aca="false">MAX(0,M23-M22)</f>
        <v>0</v>
      </c>
      <c r="O23" s="139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RESUMO'!W32</f>
        <v>0.15</v>
      </c>
      <c r="N24" s="140" t="n">
        <f aca="false">MAX(0,M24-M23)</f>
        <v>0.15</v>
      </c>
      <c r="O24" s="139" t="n">
        <f aca="false">IF(B24&lt;='VALOR POR PL'!$P$5,'CP RESUMO'!W74,"")</f>
        <v>0.15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RESUMO'!X32</f>
        <v>0.15</v>
      </c>
      <c r="N25" s="140" t="n">
        <f aca="false">MAX(0,M25-M24)</f>
        <v>0</v>
      </c>
      <c r="O25" s="139" t="n">
        <f aca="false">IF(B25&lt;='VALOR POR PL'!$P$5,'CP RESUMO'!X74,"")</f>
        <v>0.15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RESUMO'!Y32</f>
        <v>1.29</v>
      </c>
      <c r="N26" s="140" t="n">
        <f aca="false">MAX(0,M26-M25)</f>
        <v>1.14</v>
      </c>
      <c r="O26" s="139" t="n">
        <f aca="false">IF(B26&lt;='VALOR POR PL'!$P$5,'CP RESUMO'!Y74,"")</f>
        <v>0.15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4369.53905626057</v>
      </c>
      <c r="E27" s="45" t="n">
        <f aca="false">L27+D27/$K$2</f>
        <v>3.36185108757012</v>
      </c>
      <c r="F27" s="117" t="n">
        <f aca="false">IF($K$9=0,0,E27/$K$9)</f>
        <v>0.00384966062202411</v>
      </c>
      <c r="G27" s="117" t="n">
        <f aca="false">G26+F27</f>
        <v>0.00384966062202411</v>
      </c>
      <c r="H27" s="138" t="n">
        <v>12572.79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RESUMO'!Z32</f>
        <v>1.67</v>
      </c>
      <c r="N27" s="140" t="n">
        <f aca="false">MAX(0,M27-M26)</f>
        <v>0.38</v>
      </c>
      <c r="O27" s="139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0.38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9429.0053319307</v>
      </c>
      <c r="E28" s="45" t="n">
        <f aca="false">L28+D28/$K$2</f>
        <v>7.25452076791448</v>
      </c>
      <c r="F28" s="117" t="n">
        <f aca="false">IF($K$9=0,0,E28/$K$9)</f>
        <v>0.00830716239489414</v>
      </c>
      <c r="G28" s="117" t="n">
        <f aca="false">G27+F28</f>
        <v>0.0121568230169182</v>
      </c>
      <c r="H28" s="138" t="n">
        <v>47536.07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RESUMO'!AA32</f>
        <v>2.49</v>
      </c>
      <c r="N28" s="140" t="n">
        <f aca="false">MAX(0,M28-M27)</f>
        <v>0.82</v>
      </c>
      <c r="O28" s="139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0.82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41510.6210344754</v>
      </c>
      <c r="E29" s="45" t="n">
        <f aca="false">L29+D29/$K$2</f>
        <v>31.9375853319162</v>
      </c>
      <c r="F29" s="117" t="n">
        <f aca="false">IF($K$9=0,0,E29/$K$9)</f>
        <v>0.0365717759092291</v>
      </c>
      <c r="G29" s="117" t="n">
        <f aca="false">G28+F29</f>
        <v>0.0487285989261473</v>
      </c>
      <c r="H29" s="138" t="n">
        <v>55393.27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RESUMO'!AB32</f>
        <v>6.1</v>
      </c>
      <c r="N29" s="140" t="n">
        <f aca="false">MAX(0,M29-M28)</f>
        <v>3.61</v>
      </c>
      <c r="O29" s="139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3.61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102799.155692025</v>
      </c>
      <c r="E30" s="45" t="n">
        <f aca="false">L30+D30/$K$2</f>
        <v>79.0919703233603</v>
      </c>
      <c r="F30" s="117" t="n">
        <f aca="false">IF($K$9=0,0,E30/$K$9)</f>
        <v>0.0905683314760409</v>
      </c>
      <c r="G30" s="117" t="n">
        <f aca="false">G29+F30</f>
        <v>0.139296930402188</v>
      </c>
      <c r="H30" s="138" t="n">
        <v>63348.68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RESUMO'!AC32</f>
        <v>15.04</v>
      </c>
      <c r="N30" s="140" t="n">
        <f aca="false">MAX(0,M30-M29)</f>
        <v>8.94</v>
      </c>
      <c r="O30" s="139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8.94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71292.4793389882</v>
      </c>
      <c r="E31" s="45" t="n">
        <f aca="false">L31+D31/$K$2</f>
        <v>54.8512545866704</v>
      </c>
      <c r="F31" s="117" t="n">
        <f aca="false">IF($K$9=0,0,E31/$K$9)</f>
        <v>0.0628102522540776</v>
      </c>
      <c r="G31" s="117" t="n">
        <f aca="false">G30+F31</f>
        <v>0.202107182656266</v>
      </c>
      <c r="H31" s="138" t="n">
        <v>55393.27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RESUMO'!AD32</f>
        <v>21.24</v>
      </c>
      <c r="N31" s="140" t="n">
        <f aca="false">MAX(0,M31-M30)</f>
        <v>6.2</v>
      </c>
      <c r="O31" s="139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6.2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74167.1760865281</v>
      </c>
      <c r="E32" s="45" t="n">
        <f aca="false">L32+D32/$K$2</f>
        <v>57.0629987232297</v>
      </c>
      <c r="F32" s="117" t="n">
        <f aca="false">IF($K$9=0,0,E32/$K$9)</f>
        <v>0.0653429237159356</v>
      </c>
      <c r="G32" s="117" t="n">
        <f aca="false">G31+F32</f>
        <v>0.267450106372201</v>
      </c>
      <c r="H32" s="138" t="n">
        <v>65116.55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RESUMO'!AE32</f>
        <v>27.69</v>
      </c>
      <c r="N32" s="140" t="n">
        <f aca="false">MAX(0,M32-M31)</f>
        <v>6.45</v>
      </c>
      <c r="O32" s="139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6.45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84056.1328980651</v>
      </c>
      <c r="E33" s="45" t="n">
        <f aca="false">L33+D33/$K$2</f>
        <v>64.6713985529937</v>
      </c>
      <c r="F33" s="117" t="n">
        <f aca="false">IF($K$9=0,0,E33/$K$9)</f>
        <v>0.074055313544727</v>
      </c>
      <c r="G33" s="117" t="n">
        <f aca="false">G32+F33</f>
        <v>0.341505419916928</v>
      </c>
      <c r="H33" s="138" t="n">
        <v>73759.47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RESUMO'!AF32</f>
        <v>35</v>
      </c>
      <c r="N33" s="140" t="n">
        <f aca="false">MAX(0,M33-M32)</f>
        <v>7.31</v>
      </c>
      <c r="O33" s="139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7.31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112918.088243365</v>
      </c>
      <c r="E34" s="45" t="n">
        <f aca="false">L34+D34/$K$2</f>
        <v>86.877309684049</v>
      </c>
      <c r="F34" s="117" t="n">
        <f aca="false">IF($K$9=0,0,E34/$K$9)</f>
        <v>0.099483335021781</v>
      </c>
      <c r="G34" s="117" t="n">
        <f aca="false">G33+F34</f>
        <v>0.440988754938709</v>
      </c>
      <c r="H34" s="138" t="n">
        <v>72482.68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RESUMO'!AG32</f>
        <v>44.82</v>
      </c>
      <c r="N34" s="140" t="n">
        <f aca="false">MAX(0,M34-M33)</f>
        <v>9.82</v>
      </c>
      <c r="O34" s="139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9.82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200078.893628773</v>
      </c>
      <c r="E35" s="45" t="n">
        <f aca="false">L35+D35/$K$2</f>
        <v>153.937391904527</v>
      </c>
      <c r="F35" s="117" t="n">
        <f aca="false">IF($K$9=0,0,E35/$K$9)</f>
        <v>0.176273933745315</v>
      </c>
      <c r="G35" s="117" t="n">
        <f aca="false">G34+F35</f>
        <v>0.617262688684024</v>
      </c>
      <c r="H35" s="138" t="n">
        <v>71402.31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RESUMO'!AH32</f>
        <v>62.22</v>
      </c>
      <c r="N35" s="140" t="n">
        <f aca="false">MAX(0,M35-M34)</f>
        <v>17.4</v>
      </c>
      <c r="O35" s="139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17.4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81871.3633699349</v>
      </c>
      <c r="E36" s="45" t="n">
        <f aca="false">L36+D36/$K$2</f>
        <v>62.9904730092087</v>
      </c>
      <c r="F36" s="117" t="n">
        <f aca="false">IF($K$9=0,0,E36/$K$9)</f>
        <v>0.072130483233715</v>
      </c>
      <c r="G36" s="117" t="n">
        <f aca="false">G35+F36</f>
        <v>0.689393171917739</v>
      </c>
      <c r="H36" s="138" t="n">
        <v>67277.28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RESUMO'!AI32</f>
        <v>69.34</v>
      </c>
      <c r="N36" s="140" t="n">
        <f aca="false">MAX(0,M36-M35)</f>
        <v>7.12</v>
      </c>
      <c r="O36" s="139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7.12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74167.1760865281</v>
      </c>
      <c r="E37" s="45" t="n">
        <f aca="false">L37+D37/$K$2</f>
        <v>57.0629987232297</v>
      </c>
      <c r="F37" s="117" t="n">
        <f aca="false">IF($K$9=0,0,E37/$K$9)</f>
        <v>0.0653429237159356</v>
      </c>
      <c r="G37" s="117" t="n">
        <f aca="false">G36+F37</f>
        <v>0.754736095633674</v>
      </c>
      <c r="H37" s="138" t="n">
        <v>110099.03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RESUMO'!AJ32</f>
        <v>75.79</v>
      </c>
      <c r="N37" s="140" t="n">
        <f aca="false">MAX(0,M37-M36)</f>
        <v>6.45</v>
      </c>
      <c r="O37" s="139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6.45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96014.8713678308</v>
      </c>
      <c r="E38" s="45" t="n">
        <f aca="false">L38+D38/$K$2</f>
        <v>73.8722541610803</v>
      </c>
      <c r="F38" s="117" t="n">
        <f aca="false">IF($K$9=0,0,E38/$K$9)</f>
        <v>0.0845912268260561</v>
      </c>
      <c r="G38" s="117" t="n">
        <f aca="false">G37+F38</f>
        <v>0.83932732245973</v>
      </c>
      <c r="H38" s="138" t="n">
        <v>110295.46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RESUMO'!AK32</f>
        <v>84.14</v>
      </c>
      <c r="N38" s="140" t="n">
        <f aca="false">MAX(0,M38-M37)</f>
        <v>8.34999999999999</v>
      </c>
      <c r="O38" s="139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8.34999999999999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71867.4186884962</v>
      </c>
      <c r="E39" s="45" t="n">
        <f aca="false">L39+D39/$K$2</f>
        <v>55.2936034139823</v>
      </c>
      <c r="F39" s="117" t="n">
        <f aca="false">IF($K$9=0,0,E39/$K$9)</f>
        <v>0.0633167865464492</v>
      </c>
      <c r="G39" s="117" t="n">
        <f aca="false">G38+F39</f>
        <v>0.90264410900618</v>
      </c>
      <c r="H39" s="138" t="n">
        <v>62562.96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RESUMO'!AL32</f>
        <v>90.39</v>
      </c>
      <c r="N39" s="140" t="n">
        <f aca="false">MAX(0,M39-M38)</f>
        <v>6.25</v>
      </c>
      <c r="O39" s="139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6.25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21962.6831512044</v>
      </c>
      <c r="E40" s="45" t="n">
        <f aca="false">L40+D40/$K$2</f>
        <v>16.897725203313</v>
      </c>
      <c r="F40" s="117" t="n">
        <f aca="false">IF($K$9=0,0,E40/$K$9)</f>
        <v>0.0193496099685948</v>
      </c>
      <c r="G40" s="117" t="n">
        <f aca="false">G39+F40</f>
        <v>0.921993718974774</v>
      </c>
      <c r="H40" s="138" t="n">
        <v>49795.01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RESUMO'!AM32</f>
        <v>92.3</v>
      </c>
      <c r="N40" s="140" t="n">
        <f aca="false">MAX(0,M40-M39)</f>
        <v>1.91</v>
      </c>
      <c r="O40" s="139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1.91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33921.4216209702</v>
      </c>
      <c r="E41" s="45" t="n">
        <f aca="false">L41+D41/$K$2</f>
        <v>26.0985808113997</v>
      </c>
      <c r="F41" s="117" t="n">
        <f aca="false">IF($K$9=0,0,E41/$K$9)</f>
        <v>0.029885523249924</v>
      </c>
      <c r="G41" s="117" t="n">
        <f aca="false">G40+F41</f>
        <v>0.951879242224698</v>
      </c>
      <c r="H41" s="138" t="n">
        <v>21410.87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RESUMO'!AN32</f>
        <v>95.25</v>
      </c>
      <c r="N41" s="140" t="n">
        <f aca="false">MAX(0,M41-M40)</f>
        <v>2.95</v>
      </c>
      <c r="O41" s="139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2.95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4599.51479606382</v>
      </c>
      <c r="E42" s="45" t="n">
        <f aca="false">L42+D42/$K$2</f>
        <v>3.53879061849492</v>
      </c>
      <c r="F42" s="117" t="n">
        <f aca="false">IF($K$9=0,0,E42/$K$9)</f>
        <v>0.00405227433897281</v>
      </c>
      <c r="G42" s="117" t="n">
        <f aca="false">G41+F42</f>
        <v>0.955931516563671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RESUMO'!AO32</f>
        <v>95.65</v>
      </c>
      <c r="N42" s="140" t="n">
        <f aca="false">MAX(0,M42-M41)</f>
        <v>0.400000000000006</v>
      </c>
      <c r="O42" s="139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0.400000000000006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3104.67248734299</v>
      </c>
      <c r="E43" s="45" t="n">
        <f aca="false">L43+D43/$K$2</f>
        <v>2.388683667484</v>
      </c>
      <c r="F43" s="117" t="n">
        <f aca="false">IF($K$9=0,0,E43/$K$9)</f>
        <v>0.00273528517880656</v>
      </c>
      <c r="G43" s="117" t="n">
        <f aca="false">G42+F43</f>
        <v>0.958666801742478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RESUMO'!AP32</f>
        <v>95.92</v>
      </c>
      <c r="N43" s="140" t="n">
        <f aca="false">MAX(0,M43-M42)</f>
        <v>0.269999999999996</v>
      </c>
      <c r="O43" s="139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0.269999999999996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18743.0227939597</v>
      </c>
      <c r="E44" s="45" t="n">
        <f aca="false">L44+D44/$K$2</f>
        <v>14.4205717703665</v>
      </c>
      <c r="F44" s="117" t="n">
        <f aca="false">IF($K$9=0,0,E44/$K$9)</f>
        <v>0.0165130179313139</v>
      </c>
      <c r="G44" s="117" t="n">
        <f aca="false">G43+F44</f>
        <v>0.975179819673792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RESUMO'!AQ32</f>
        <v>97.55</v>
      </c>
      <c r="N44" s="140" t="n">
        <f aca="false">MAX(0,M44-M43)</f>
        <v>1.63</v>
      </c>
      <c r="O44" s="139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1.63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28172.0281258905</v>
      </c>
      <c r="E45" s="45" t="n">
        <f aca="false">L45+D45/$K$2</f>
        <v>21.6750925382811</v>
      </c>
      <c r="F45" s="117" t="n">
        <f aca="false">IF($K$9=0,0,E45/$K$9)</f>
        <v>0.0248201803262081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RESUMO'!AR32</f>
        <v>100</v>
      </c>
      <c r="N45" s="140" t="n">
        <f aca="false">MAX(0,M45-M44)</f>
        <v>2.45</v>
      </c>
      <c r="O45" s="139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2.45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RESUMO'!AS32</f>
        <v>100</v>
      </c>
      <c r="N46" s="140" t="n">
        <f aca="false">MAX(0,M46-M45)</f>
        <v>0</v>
      </c>
      <c r="O46" s="139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RESUMO'!AT32</f>
        <v>100</v>
      </c>
      <c r="N47" s="140" t="n">
        <f aca="false">MAX(0,M47-M46)</f>
        <v>0</v>
      </c>
      <c r="O47" s="139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RESUMO'!AU32</f>
        <v>100</v>
      </c>
      <c r="N48" s="140" t="n">
        <f aca="false">MAX(0,M48-M47)</f>
        <v>0</v>
      </c>
      <c r="O48" s="139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RESUMO'!AV32</f>
        <v>100</v>
      </c>
      <c r="N49" s="140" t="n">
        <f aca="false">MAX(0,M49-M48)</f>
        <v>0</v>
      </c>
      <c r="O49" s="139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RESUMO'!AW32</f>
        <v>100</v>
      </c>
      <c r="N50" s="140" t="n">
        <f aca="false">MAX(0,M50-M49)</f>
        <v>0</v>
      </c>
      <c r="O50" s="139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RESUMO'!AX32</f>
        <v>100</v>
      </c>
      <c r="N51" s="140" t="n">
        <f aca="false">MAX(0,M51-M50)</f>
        <v>0</v>
      </c>
      <c r="O51" s="139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RESUMO'!AY32</f>
        <v>100</v>
      </c>
      <c r="N52" s="140" t="n">
        <f aca="false">MAX(0,M52-M51)</f>
        <v>0</v>
      </c>
      <c r="O52" s="139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RESUMO'!AZ32</f>
        <v>100</v>
      </c>
      <c r="N53" s="140" t="n">
        <f aca="false">MAX(0,M53-M52)</f>
        <v>0</v>
      </c>
      <c r="O53" s="139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RESUMO'!BA32</f>
        <v>100</v>
      </c>
      <c r="N54" s="140" t="n">
        <f aca="false">MAX(0,M54-M53)</f>
        <v>0</v>
      </c>
      <c r="O54" s="139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RESUMO'!BB32</f>
        <v>100</v>
      </c>
      <c r="N55" s="140" t="n">
        <f aca="false">MAX(0,M55-M54)</f>
        <v>0</v>
      </c>
      <c r="O55" s="139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RESUMO'!BC32</f>
        <v>100</v>
      </c>
      <c r="N56" s="140" t="n">
        <f aca="false">MAX(0,M56-M55)</f>
        <v>0</v>
      </c>
      <c r="O56" s="139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RESUMO'!BD32</f>
        <v>100</v>
      </c>
      <c r="N57" s="140" t="n">
        <f aca="false">MAX(0,M57-M56)</f>
        <v>0</v>
      </c>
      <c r="O57" s="139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RESUMO'!BE32</f>
        <v>100</v>
      </c>
      <c r="N58" s="140" t="n">
        <f aca="false">MAX(0,M58-M57)</f>
        <v>0</v>
      </c>
      <c r="O58" s="139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RESUMO'!BF32</f>
        <v>100</v>
      </c>
      <c r="N59" s="140" t="n">
        <f aca="false">MAX(0,M59-M58)</f>
        <v>0</v>
      </c>
      <c r="O59" s="139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RESUMO'!BG32</f>
        <v>100</v>
      </c>
      <c r="N60" s="140" t="n">
        <f aca="false">MAX(0,M60-M59)</f>
        <v>0</v>
      </c>
      <c r="O60" s="139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RESUMO'!BH32</f>
        <v>100</v>
      </c>
      <c r="N61" s="140" t="n">
        <f aca="false">MAX(0,M61-M60)</f>
        <v>0</v>
      </c>
      <c r="O61" s="139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RESUMO'!BI32</f>
        <v>100</v>
      </c>
      <c r="N62" s="140" t="n">
        <f aca="false">MAX(0,M62-M61)</f>
        <v>0</v>
      </c>
      <c r="O62" s="139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RESUMO'!BJ32</f>
        <v>100</v>
      </c>
      <c r="N63" s="140" t="n">
        <f aca="false">MAX(0,M63-M62)</f>
        <v>0</v>
      </c>
      <c r="O63" s="139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RESUMO'!BK32</f>
        <v>100</v>
      </c>
      <c r="N64" s="140" t="n">
        <f aca="false">MAX(0,M64-M63)</f>
        <v>0</v>
      </c>
      <c r="O64" s="139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RESUMO'!BL32</f>
        <v>100</v>
      </c>
      <c r="N65" s="140" t="n">
        <f aca="false">MAX(0,M65-M64)</f>
        <v>0</v>
      </c>
      <c r="O65" s="139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RESUMO'!BM32</f>
        <v>100</v>
      </c>
      <c r="N66" s="140" t="n">
        <f aca="false">MAX(0,M66-M65)</f>
        <v>0</v>
      </c>
      <c r="O66" s="139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RESUMO'!BN32</f>
        <v>100</v>
      </c>
      <c r="N67" s="140" t="n">
        <f aca="false">MAX(0,M67-M66)</f>
        <v>0</v>
      </c>
      <c r="O67" s="139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RESUMO'!BO32</f>
        <v>100</v>
      </c>
      <c r="N68" s="140" t="n">
        <f aca="false">MAX(0,M68-M67)</f>
        <v>0</v>
      </c>
      <c r="O68" s="139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RESUMO'!BP32</f>
        <v>100</v>
      </c>
      <c r="N69" s="140" t="n">
        <f aca="false">MAX(0,M69-M68)</f>
        <v>0</v>
      </c>
      <c r="O69" s="139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RESUMO'!BQ32</f>
        <v>100</v>
      </c>
      <c r="N70" s="140" t="n">
        <f aca="false">MAX(0,M70-M69)</f>
        <v>0</v>
      </c>
      <c r="O70" s="139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RESUMO'!BR32</f>
        <v>100</v>
      </c>
      <c r="N71" s="140" t="n">
        <f aca="false">MAX(0,M71-M70)</f>
        <v>0</v>
      </c>
      <c r="O71" s="139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RESUMO'!BS32</f>
        <v>100</v>
      </c>
      <c r="N72" s="140" t="n">
        <f aca="false">MAX(0,M72-M71)</f>
        <v>0</v>
      </c>
      <c r="O72" s="139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RESUMO'!BT32</f>
        <v>100</v>
      </c>
      <c r="N73" s="140" t="n">
        <f aca="false">MAX(0,M73-M72)</f>
        <v>0</v>
      </c>
      <c r="O73" s="139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RESUMO'!BU32</f>
        <v>100</v>
      </c>
      <c r="N74" s="140" t="n">
        <f aca="false">MAX(0,M74-M73)</f>
        <v>0</v>
      </c>
      <c r="O74" s="139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RESUMO'!BV32</f>
        <v>100</v>
      </c>
      <c r="N75" s="140" t="n">
        <f aca="false">MAX(0,M75-M74)</f>
        <v>0</v>
      </c>
      <c r="O75" s="139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RESUMO'!BW32</f>
        <v>100</v>
      </c>
      <c r="N76" s="140" t="n">
        <f aca="false">MAX(0,M76-M75)</f>
        <v>0</v>
      </c>
      <c r="O76" s="139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1135045.26379863</v>
      </c>
      <c r="E78" s="61" t="n">
        <f aca="false">SUM(E5:E76)</f>
        <v>873.285054879071</v>
      </c>
      <c r="F78" s="145" t="n">
        <f aca="false">SUM(F5:F76)</f>
        <v>1</v>
      </c>
      <c r="H78" s="61" t="n">
        <f aca="false">SUM(H5:H76)</f>
        <v>938445.7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PL'!F39</f>
        <v>1877224.77</v>
      </c>
      <c r="K5" s="56" t="n">
        <f aca="false">'VALOR POR PL'!G39</f>
        <v>1607.136226</v>
      </c>
      <c r="L5" s="56" t="n">
        <f aca="false">'DADOS HISTORICOS'!$BZ$33</f>
        <v>0</v>
      </c>
      <c r="M5" s="139" t="n">
        <f aca="false">'CP RESUMO'!D33</f>
        <v>0</v>
      </c>
      <c r="N5" s="140" t="n">
        <v>0</v>
      </c>
      <c r="O5" s="139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PL'!H39</f>
        <v>1811.64991966393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RESUMO'!E33</f>
        <v>0</v>
      </c>
      <c r="N6" s="140" t="n">
        <f aca="false">MAX(0,M6-M5)</f>
        <v>0</v>
      </c>
      <c r="O6" s="139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2352504.91006314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RESUMO'!F33</f>
        <v>0</v>
      </c>
      <c r="N7" s="140" t="n">
        <f aca="false">MAX(0,M7-M6)</f>
        <v>0</v>
      </c>
      <c r="O7" s="139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81.9251350677115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RESUMO'!G33</f>
        <v>0</v>
      </c>
      <c r="N8" s="140" t="n">
        <f aca="false">MAX(0,M8-M7)</f>
        <v>0</v>
      </c>
      <c r="O8" s="139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2352504.91006314</v>
      </c>
      <c r="K9" s="45" t="n">
        <f aca="false">E78</f>
        <v>1810.05557946601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RESUMO'!H33</f>
        <v>0</v>
      </c>
      <c r="N9" s="140" t="n">
        <f aca="false">MAX(0,M9-M8)</f>
        <v>0</v>
      </c>
      <c r="O9" s="139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1728.1304443983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RESUMO'!I33</f>
        <v>0</v>
      </c>
      <c r="N10" s="140" t="n">
        <f aca="false">MAX(0,M10-M9)</f>
        <v>0</v>
      </c>
      <c r="O10" s="139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1820053.49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RESUMO'!J33</f>
        <v>0</v>
      </c>
      <c r="N11" s="140" t="n">
        <f aca="false">MAX(0,M11-M10)</f>
        <v>0</v>
      </c>
      <c r="O11" s="139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85.97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RESUMO'!K33</f>
        <v>0</v>
      </c>
      <c r="N12" s="140" t="n">
        <f aca="false">MAX(0,M12-M11)</f>
        <v>0</v>
      </c>
      <c r="O12" s="139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RESUMO'!L33</f>
        <v>0</v>
      </c>
      <c r="N13" s="140" t="n">
        <f aca="false">MAX(0,M13-M12)</f>
        <v>0</v>
      </c>
      <c r="O13" s="139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RESUMO'!$D$75:$BW$75,MATCH('VALOR POR PL'!$P$5,'CP RESUMO'!$D$4:$BW$4,0))/100,0)</f>
        <v>0.0581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RESUMO'!M33</f>
        <v>0</v>
      </c>
      <c r="N14" s="140" t="n">
        <f aca="false">MAX(0,M14-M13)</f>
        <v>0</v>
      </c>
      <c r="O14" s="139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RESUMO'!N33</f>
        <v>0</v>
      </c>
      <c r="N15" s="140" t="n">
        <f aca="false">MAX(0,M15-M14)</f>
        <v>0</v>
      </c>
      <c r="O15" s="139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RESUMO'!O33</f>
        <v>0</v>
      </c>
      <c r="N16" s="140" t="n">
        <f aca="false">MAX(0,M16-M15)</f>
        <v>0</v>
      </c>
      <c r="O16" s="139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85.97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RESUMO'!P33</f>
        <v>0</v>
      </c>
      <c r="N17" s="140" t="n">
        <f aca="false">MAX(0,M17-M16)</f>
        <v>0</v>
      </c>
      <c r="O17" s="139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2246123.72006314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RESUMO'!Q33</f>
        <v>0</v>
      </c>
      <c r="N18" s="140" t="n">
        <f aca="false">MAX(0,M18-M17)</f>
        <v>0</v>
      </c>
      <c r="O18" s="139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RESUMO'!R33</f>
        <v>0</v>
      </c>
      <c r="N19" s="140" t="n">
        <f aca="false">MAX(0,M19-M18)</f>
        <v>0</v>
      </c>
      <c r="O19" s="139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RESUMO'!S33</f>
        <v>0</v>
      </c>
      <c r="N20" s="140" t="n">
        <f aca="false">MAX(0,M20-M19)</f>
        <v>0</v>
      </c>
      <c r="O20" s="139" t="n">
        <f aca="false">IF(B20&lt;='VALOR POR PL'!$P$5,'CP RESUMO'!S75,"")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RESUMO'!T33</f>
        <v>0</v>
      </c>
      <c r="N21" s="140" t="n">
        <f aca="false">MAX(0,M21-M20)</f>
        <v>0</v>
      </c>
      <c r="O21" s="139" t="n">
        <f aca="false">IF(B21&lt;='VALOR POR PL'!$P$5,'CP RESUMO'!T75,"")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RESUMO'!U33</f>
        <v>0</v>
      </c>
      <c r="N22" s="140" t="n">
        <f aca="false">MAX(0,M22-M21)</f>
        <v>0</v>
      </c>
      <c r="O22" s="139" t="n">
        <f aca="false">IF(B22&lt;='VALOR POR PL'!$P$5,'CP RESUMO'!U75,"")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RESUMO'!V33</f>
        <v>0</v>
      </c>
      <c r="N23" s="140" t="n">
        <f aca="false">MAX(0,M23-M22)</f>
        <v>0</v>
      </c>
      <c r="O23" s="139" t="n">
        <f aca="false">IF(B23&lt;='VALOR POR PL'!$P$5,'CP RESUMO'!V75,"")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HISTORICOS'!W33)</f>
        <v>3934.89</v>
      </c>
      <c r="D24" s="45" t="n">
        <f aca="false">IF(B24&lt;='VALOR POR PL'!$P$5,0,IF($K$17&gt;0,$K$18*P24/$K$17,0))</f>
        <v>0</v>
      </c>
      <c r="E24" s="45" t="n">
        <f aca="false">L24+D24/$K$2</f>
        <v>3.05401686236981</v>
      </c>
      <c r="F24" s="117" t="n">
        <f aca="false">IF($K$9=0,0,E24/$K$9)</f>
        <v>0.00168725032370044</v>
      </c>
      <c r="G24" s="117" t="n">
        <f aca="false">G23+F24</f>
        <v>0.00168725032370044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3.05401686236981</v>
      </c>
      <c r="M24" s="139" t="n">
        <f aca="false">'CP RESUMO'!W33</f>
        <v>0.01</v>
      </c>
      <c r="N24" s="140" t="n">
        <f aca="false">MAX(0,M24-M23)</f>
        <v>0.01</v>
      </c>
      <c r="O24" s="139" t="n">
        <f aca="false">IF(B24&lt;='VALOR POR PL'!$P$5,'CP RESUMO'!W75,"")</f>
        <v>5.8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HISTORICOS'!X33)</f>
        <v>29912.96</v>
      </c>
      <c r="D25" s="45" t="n">
        <f aca="false">IF(B25&lt;='VALOR POR PL'!$P$5,0,IF($K$17&gt;0,$K$18*P25/$K$17,0))</f>
        <v>0</v>
      </c>
      <c r="E25" s="45" t="n">
        <f aca="false">L25+D25/$K$2</f>
        <v>23.0651659471242</v>
      </c>
      <c r="F25" s="117" t="n">
        <f aca="false">IF($K$9=0,0,E25/$K$9)</f>
        <v>0.0127427943145971</v>
      </c>
      <c r="G25" s="117" t="n">
        <f aca="false">G24+F25</f>
        <v>0.0144300446382975</v>
      </c>
      <c r="H25" s="138"/>
      <c r="L25" s="45" t="n">
        <f aca="false">C25/IF(B25&lt;='VALOR POR PL'!$P$5,IFERROR(INDEX('"INCC-FGV"'!$B$2:$B$800,MATCH(B25,'"INCC-FGV"'!$A$2:$A$800,0)),$K$2),$K$2)</f>
        <v>23.0651659471242</v>
      </c>
      <c r="M25" s="139" t="n">
        <f aca="false">'CP RESUMO'!X33</f>
        <v>2.64</v>
      </c>
      <c r="N25" s="140" t="n">
        <f aca="false">MAX(0,M25-M24)</f>
        <v>2.63</v>
      </c>
      <c r="O25" s="139" t="n">
        <f aca="false">IF(B25&lt;='VALOR POR PL'!$P$5,'CP RESUMO'!X75,"")</f>
        <v>5.81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HISTORICOS'!Y33)</f>
        <v>19676.88</v>
      </c>
      <c r="D26" s="45" t="n">
        <f aca="false">IF(B26&lt;='VALOR POR PL'!$P$5,0,IF($K$17&gt;0,$K$18*P26/$K$17,0))</f>
        <v>0</v>
      </c>
      <c r="E26" s="45" t="n">
        <f aca="false">L26+D26/$K$2</f>
        <v>15.1390660608028</v>
      </c>
      <c r="F26" s="117" t="n">
        <f aca="false">IF($K$9=0,0,E26/$K$9)</f>
        <v>0.00836386806711705</v>
      </c>
      <c r="G26" s="117" t="n">
        <f aca="false">G25+F26</f>
        <v>0.0227939127054146</v>
      </c>
      <c r="H26" s="138" t="n">
        <v>41061.17</v>
      </c>
      <c r="L26" s="45" t="n">
        <f aca="false">C26/IF(B26&lt;='VALOR POR PL'!$P$5,IFERROR(INDEX('"INCC-FGV"'!$B$2:$B$800,MATCH(B26,'"INCC-FGV"'!$A$2:$A$800,0)),$K$2),$K$2)</f>
        <v>15.1390660608028</v>
      </c>
      <c r="M26" s="139" t="n">
        <f aca="false">'CP RESUMO'!Y33</f>
        <v>14.03</v>
      </c>
      <c r="N26" s="140" t="n">
        <f aca="false">MAX(0,M26-M25)</f>
        <v>11.39</v>
      </c>
      <c r="O26" s="139" t="n">
        <f aca="false">IF(B26&lt;='VALOR POR PL'!$P$5,'CP RESUMO'!Y75,"")</f>
        <v>5.81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HISTORICOS'!Z33)</f>
        <v>51248.3</v>
      </c>
      <c r="D27" s="45" t="n">
        <f aca="false">IF(B27&lt;='VALOR POR PL'!$P$5,0,IF($K$17&gt;0,$K$18*P27/$K$17,0))</f>
        <v>89353.7643668248</v>
      </c>
      <c r="E27" s="45" t="n">
        <f aca="false">L27+D27/$K$2</f>
        <v>108.176903082939</v>
      </c>
      <c r="F27" s="117" t="n">
        <f aca="false">IF($K$9=0,0,E27/$K$9)</f>
        <v>0.059764409618213</v>
      </c>
      <c r="G27" s="117" t="n">
        <f aca="false">G26+F27</f>
        <v>0.0825583223236275</v>
      </c>
      <c r="H27" s="138" t="n">
        <v>52849.06</v>
      </c>
      <c r="L27" s="45" t="n">
        <f aca="false">C27/IF(B27&lt;='VALOR POR PL'!$P$5,IFERROR(INDEX('"INCC-FGV"'!$B$2:$B$800,MATCH(B27,'"INCC-FGV"'!$A$2:$A$800,0)),$K$2),$K$2)</f>
        <v>39.4295944887524</v>
      </c>
      <c r="M27" s="139" t="n">
        <f aca="false">'CP RESUMO'!Z33</f>
        <v>17.45</v>
      </c>
      <c r="N27" s="140" t="n">
        <f aca="false">MAX(0,M27-M26)</f>
        <v>3.42</v>
      </c>
      <c r="O27" s="139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3.42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HISTORICOS'!AA33)</f>
        <v>0</v>
      </c>
      <c r="D28" s="45" t="n">
        <f aca="false">IF(B28&lt;='VALOR POR PL'!$P$5,0,IF($K$17&gt;0,$K$18*P28/$K$17,0))</f>
        <v>52776.2000061363</v>
      </c>
      <c r="E28" s="45" t="n">
        <f aca="false">L28+D28/$K$2</f>
        <v>40.605135485455</v>
      </c>
      <c r="F28" s="117" t="n">
        <f aca="false">IF($K$9=0,0,E28/$K$9)</f>
        <v>0.0224330876610065</v>
      </c>
      <c r="G28" s="117" t="n">
        <f aca="false">G27+F28</f>
        <v>0.104991409984634</v>
      </c>
      <c r="H28" s="138" t="n">
        <v>38310.66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RESUMO'!AA33</f>
        <v>19.47</v>
      </c>
      <c r="N28" s="140" t="n">
        <f aca="false">MAX(0,M28-M27)</f>
        <v>2.02</v>
      </c>
      <c r="O28" s="139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2.02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53037.4683229984</v>
      </c>
      <c r="E29" s="45" t="n">
        <f aca="false">L29+D29/$K$2</f>
        <v>40.8061510076603</v>
      </c>
      <c r="F29" s="117" t="n">
        <f aca="false">IF($K$9=0,0,E29/$K$9)</f>
        <v>0.0225441425504175</v>
      </c>
      <c r="G29" s="117" t="n">
        <f aca="false">G28+F29</f>
        <v>0.127535552535052</v>
      </c>
      <c r="H29" s="138" t="n">
        <v>44597.53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RESUMO'!AB33</f>
        <v>21.5</v>
      </c>
      <c r="N29" s="140" t="n">
        <f aca="false">MAX(0,M29-M28)</f>
        <v>2.03</v>
      </c>
      <c r="O29" s="139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2.03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114435.522785583</v>
      </c>
      <c r="E30" s="45" t="n">
        <f aca="false">L30+D30/$K$2</f>
        <v>88.0447987258876</v>
      </c>
      <c r="F30" s="117" t="n">
        <f aca="false">IF($K$9=0,0,E30/$K$9)</f>
        <v>0.0486420415619844</v>
      </c>
      <c r="G30" s="117" t="n">
        <f aca="false">G29+F30</f>
        <v>0.176177594097036</v>
      </c>
      <c r="H30" s="138" t="n">
        <v>56385.43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RESUMO'!AC33</f>
        <v>25.88</v>
      </c>
      <c r="N30" s="140" t="n">
        <f aca="false">MAX(0,M30-M29)</f>
        <v>4.38</v>
      </c>
      <c r="O30" s="139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4.38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162508.893088202</v>
      </c>
      <c r="E31" s="45" t="n">
        <f aca="false">L31+D31/$K$2</f>
        <v>125.031654811649</v>
      </c>
      <c r="F31" s="117" t="n">
        <f aca="false">IF($K$9=0,0,E31/$K$9)</f>
        <v>0.0690761412135944</v>
      </c>
      <c r="G31" s="117" t="n">
        <f aca="false">G30+F31</f>
        <v>0.24525373531063</v>
      </c>
      <c r="H31" s="138" t="n">
        <v>103929.94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RESUMO'!AD33</f>
        <v>32.1</v>
      </c>
      <c r="N31" s="140" t="n">
        <f aca="false">MAX(0,M31-M30)</f>
        <v>6.22</v>
      </c>
      <c r="O31" s="139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6.22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HISTORICOS'!AE33)</f>
        <v>0</v>
      </c>
      <c r="D32" s="45" t="n">
        <f aca="false">IF(B32&lt;='VALOR POR PL'!$P$5,0,IF($K$17&gt;0,$K$18*P32/$K$17,0))</f>
        <v>208230.848539062</v>
      </c>
      <c r="E32" s="45" t="n">
        <f aca="false">L32+D32/$K$2</f>
        <v>160.209371197563</v>
      </c>
      <c r="F32" s="117" t="n">
        <f aca="false">IF($K$9=0,0,E32/$K$9)</f>
        <v>0.0885107468605059</v>
      </c>
      <c r="G32" s="117" t="n">
        <f aca="false">G31+F32</f>
        <v>0.333764482171136</v>
      </c>
      <c r="H32" s="138" t="n">
        <v>127309.26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RESUMO'!AE33</f>
        <v>40.07</v>
      </c>
      <c r="N32" s="140" t="n">
        <f aca="false">MAX(0,M32-M31)</f>
        <v>7.97</v>
      </c>
      <c r="O32" s="139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7.97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207708.311905338</v>
      </c>
      <c r="E33" s="45" t="n">
        <f aca="false">L33+D33/$K$2</f>
        <v>159.807340153152</v>
      </c>
      <c r="F33" s="117" t="n">
        <f aca="false">IF($K$9=0,0,E33/$K$9)</f>
        <v>0.0882886370816841</v>
      </c>
      <c r="G33" s="117" t="n">
        <f aca="false">G32+F33</f>
        <v>0.42205311925282</v>
      </c>
      <c r="H33" s="138" t="n">
        <v>161887.09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RESUMO'!AF33</f>
        <v>48.02</v>
      </c>
      <c r="N33" s="140" t="n">
        <f aca="false">MAX(0,M33-M32)</f>
        <v>7.95</v>
      </c>
      <c r="O33" s="139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7.95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247682.364385234</v>
      </c>
      <c r="E34" s="45" t="n">
        <f aca="false">L34+D34/$K$2</f>
        <v>190.562715050551</v>
      </c>
      <c r="F34" s="117" t="n">
        <f aca="false">IF($K$9=0,0,E34/$K$9)</f>
        <v>0.105280035161555</v>
      </c>
      <c r="G34" s="117" t="n">
        <f aca="false">G33+F34</f>
        <v>0.527333154414376</v>
      </c>
      <c r="H34" s="138" t="n">
        <v>166405.78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RESUMO'!AG33</f>
        <v>57.5</v>
      </c>
      <c r="N34" s="140" t="n">
        <f aca="false">MAX(0,M34-M33)</f>
        <v>9.48</v>
      </c>
      <c r="O34" s="139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9.48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176094.845565029</v>
      </c>
      <c r="E35" s="45" t="n">
        <f aca="false">L35+D35/$K$2</f>
        <v>135.48446196632</v>
      </c>
      <c r="F35" s="117" t="n">
        <f aca="false">IF($K$9=0,0,E35/$K$9)</f>
        <v>0.0748509954629623</v>
      </c>
      <c r="G35" s="117" t="n">
        <f aca="false">G34+F35</f>
        <v>0.602184149877338</v>
      </c>
      <c r="H35" s="138" t="n">
        <v>166012.85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RESUMO'!AH33</f>
        <v>64.24</v>
      </c>
      <c r="N35" s="140" t="n">
        <f aca="false">MAX(0,M35-M34)</f>
        <v>6.74</v>
      </c>
      <c r="O35" s="139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6.74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217897.776262959</v>
      </c>
      <c r="E36" s="45" t="n">
        <f aca="false">L36+D36/$K$2</f>
        <v>167.646945519156</v>
      </c>
      <c r="F36" s="117" t="n">
        <f aca="false">IF($K$9=0,0,E36/$K$9)</f>
        <v>0.0926197777687101</v>
      </c>
      <c r="G36" s="117" t="n">
        <f aca="false">G35+F36</f>
        <v>0.694803927646048</v>
      </c>
      <c r="H36" s="138" t="n">
        <v>151867.38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RESUMO'!AI33</f>
        <v>72.58</v>
      </c>
      <c r="N36" s="140" t="n">
        <f aca="false">MAX(0,M36-M35)</f>
        <v>8.34</v>
      </c>
      <c r="O36" s="139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8.34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254736.608940509</v>
      </c>
      <c r="E37" s="45" t="n">
        <f aca="false">L37+D37/$K$2</f>
        <v>195.990134150092</v>
      </c>
      <c r="F37" s="117" t="n">
        <f aca="false">IF($K$9=0,0,E37/$K$9)</f>
        <v>0.10827851717565</v>
      </c>
      <c r="G37" s="117" t="n">
        <f aca="false">G36+F37</f>
        <v>0.803082444821698</v>
      </c>
      <c r="H37" s="138" t="n">
        <v>110020.35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RESUMO'!AJ33</f>
        <v>82.33</v>
      </c>
      <c r="N37" s="140" t="n">
        <f aca="false">MAX(0,M37-M36)</f>
        <v>9.75</v>
      </c>
      <c r="O37" s="139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9.75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229132.313888027</v>
      </c>
      <c r="E38" s="45" t="n">
        <f aca="false">L38+D38/$K$2</f>
        <v>176.29061297398</v>
      </c>
      <c r="F38" s="117" t="n">
        <f aca="false">IF($K$9=0,0,E38/$K$9)</f>
        <v>0.0973951380133798</v>
      </c>
      <c r="G38" s="117" t="n">
        <f aca="false">G37+F38</f>
        <v>0.900477582835078</v>
      </c>
      <c r="H38" s="138" t="n">
        <v>110609.75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RESUMO'!AK33</f>
        <v>91.1</v>
      </c>
      <c r="N38" s="140" t="n">
        <f aca="false">MAX(0,M38-M37)</f>
        <v>8.77</v>
      </c>
      <c r="O38" s="139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8.77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58262.8346602397</v>
      </c>
      <c r="E39" s="45" t="n">
        <f aca="false">L39+D39/$K$2</f>
        <v>44.8264614517648</v>
      </c>
      <c r="F39" s="117" t="n">
        <f aca="false">IF($K$9=0,0,E39/$K$9)</f>
        <v>0.024765240338636</v>
      </c>
      <c r="G39" s="117" t="n">
        <f aca="false">G38+F39</f>
        <v>0.925242823173714</v>
      </c>
      <c r="H39" s="138" t="n">
        <v>94696.09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RESUMO'!AL33</f>
        <v>93.33</v>
      </c>
      <c r="N39" s="140" t="n">
        <f aca="false">MAX(0,M39-M38)</f>
        <v>2.23</v>
      </c>
      <c r="O39" s="139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2.23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HISTORICOS'!AM33)</f>
        <v>0</v>
      </c>
      <c r="D40" s="45" t="n">
        <f aca="false">IF(B40&lt;='VALOR POR PL'!$P$5,0,IF($K$17&gt;0,$K$18*P40/$K$17,0))</f>
        <v>87524.8861487906</v>
      </c>
      <c r="E40" s="45" t="n">
        <f aca="false">L40+D40/$K$2</f>
        <v>67.3401999387499</v>
      </c>
      <c r="F40" s="117" t="n">
        <f aca="false">IF($K$9=0,0,E40/$K$9)</f>
        <v>0.0372033879526594</v>
      </c>
      <c r="G40" s="117" t="n">
        <f aca="false">G39+F40</f>
        <v>0.962446211126373</v>
      </c>
      <c r="H40" s="138" t="n">
        <v>96464.27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RESUMO'!AM33</f>
        <v>96.68</v>
      </c>
      <c r="N40" s="140" t="n">
        <f aca="false">MAX(0,M40-M39)</f>
        <v>3.35000000000001</v>
      </c>
      <c r="O40" s="139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3.35000000000001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HISTORICOS'!AN33)</f>
        <v>0</v>
      </c>
      <c r="D41" s="45" t="n">
        <f aca="false">IF(B41&lt;='VALOR POR PL'!$P$5,0,IF($K$17&gt;0,$K$18*P41/$K$17,0))</f>
        <v>69236.1039684459</v>
      </c>
      <c r="E41" s="45" t="n">
        <f aca="false">L41+D41/$K$2</f>
        <v>53.2691133843839</v>
      </c>
      <c r="F41" s="117" t="n">
        <f aca="false">IF($K$9=0,0,E41/$K$9)</f>
        <v>0.0294295456938946</v>
      </c>
      <c r="G41" s="117" t="n">
        <f aca="false">G40+F41</f>
        <v>0.991875756820268</v>
      </c>
      <c r="H41" s="138" t="n">
        <v>119450.67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RESUMO'!AN33</f>
        <v>99.33</v>
      </c>
      <c r="N41" s="140" t="n">
        <f aca="false">MAX(0,M41-M40)</f>
        <v>2.64999999999999</v>
      </c>
      <c r="O41" s="139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2.64999999999999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7315.51287213773</v>
      </c>
      <c r="E42" s="45" t="n">
        <f aca="false">L42+D42/$K$2</f>
        <v>5.62843462174627</v>
      </c>
      <c r="F42" s="117" t="n">
        <f aca="false">IF($K$9=0,0,E42/$K$9)</f>
        <v>0.00310953690350587</v>
      </c>
      <c r="G42" s="117" t="n">
        <f aca="false">G41+F42</f>
        <v>0.994985293723774</v>
      </c>
      <c r="H42" s="138" t="n">
        <v>117093.09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RESUMO'!AO33</f>
        <v>99.61</v>
      </c>
      <c r="N42" s="140" t="n">
        <f aca="false">MAX(0,M42-M41)</f>
        <v>0.280000000000001</v>
      </c>
      <c r="O42" s="139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0.280000000000001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6270.43960468933</v>
      </c>
      <c r="E43" s="45" t="n">
        <f aca="false">L43+D43/$K$2</f>
        <v>4.82437253292525</v>
      </c>
      <c r="F43" s="117" t="n">
        <f aca="false">IF($K$9=0,0,E43/$K$9)</f>
        <v>0.00266531734586211</v>
      </c>
      <c r="G43" s="117" t="n">
        <f aca="false">G42+F43</f>
        <v>0.997650611069636</v>
      </c>
      <c r="H43" s="138" t="n">
        <v>33006.11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RESUMO'!AP33</f>
        <v>99.85</v>
      </c>
      <c r="N43" s="140" t="n">
        <f aca="false">MAX(0,M43-M42)</f>
        <v>0.239999999999995</v>
      </c>
      <c r="O43" s="139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0.239999999999995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3919.02475293106</v>
      </c>
      <c r="E44" s="45" t="n">
        <f aca="false">L44+D44/$K$2</f>
        <v>3.01523283307846</v>
      </c>
      <c r="F44" s="117" t="n">
        <f aca="false">IF($K$9=0,0,E44/$K$9)</f>
        <v>0.00166582334116391</v>
      </c>
      <c r="G44" s="117" t="n">
        <f aca="false">G43+F44</f>
        <v>0.9993164344108</v>
      </c>
      <c r="H44" s="138" t="n">
        <v>47544.51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RESUMO'!AQ33</f>
        <v>100</v>
      </c>
      <c r="N44" s="140" t="n">
        <f aca="false">MAX(0,M44-M43)</f>
        <v>0.150000000000006</v>
      </c>
      <c r="O44" s="139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0.150000000000006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0.9993164344108</v>
      </c>
      <c r="H45" s="138" t="n">
        <v>21613.67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RESUMO'!AR33</f>
        <v>100</v>
      </c>
      <c r="N45" s="140" t="n">
        <f aca="false">MAX(0,M45-M44)</f>
        <v>0</v>
      </c>
      <c r="O45" s="139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0.9993164344108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RESUMO'!AS33</f>
        <v>100</v>
      </c>
      <c r="N46" s="140" t="n">
        <f aca="false">MAX(0,M46-M45)</f>
        <v>0</v>
      </c>
      <c r="O46" s="139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0.9993164344108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RESUMO'!AT33</f>
        <v>100</v>
      </c>
      <c r="N47" s="140" t="n">
        <f aca="false">MAX(0,M47-M46)</f>
        <v>0</v>
      </c>
      <c r="O47" s="139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HISTORICOS'!AU33)</f>
        <v>1608.16</v>
      </c>
      <c r="D48" s="45" t="n">
        <f aca="false">IF(B48&lt;='VALOR POR PL'!$P$5,0,IF($K$17&gt;0,$K$18*P48/$K$17,0))</f>
        <v>0</v>
      </c>
      <c r="E48" s="45" t="n">
        <f aca="false">L48+D48/$K$2</f>
        <v>1.23729170866218</v>
      </c>
      <c r="F48" s="117" t="n">
        <f aca="false">IF($K$9=0,0,E48/$K$9)</f>
        <v>0.000683565589199861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1.23729170866218</v>
      </c>
      <c r="M48" s="139" t="n">
        <f aca="false">'CP RESUMO'!AU33</f>
        <v>100</v>
      </c>
      <c r="N48" s="140" t="n">
        <f aca="false">MAX(0,M48-M47)</f>
        <v>0</v>
      </c>
      <c r="O48" s="139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RESUMO'!AV33</f>
        <v>100</v>
      </c>
      <c r="N49" s="140" t="n">
        <f aca="false">MAX(0,M49-M48)</f>
        <v>0</v>
      </c>
      <c r="O49" s="139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RESUMO'!AW33</f>
        <v>100</v>
      </c>
      <c r="N50" s="140" t="n">
        <f aca="false">MAX(0,M50-M49)</f>
        <v>0</v>
      </c>
      <c r="O50" s="139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RESUMO'!AX33</f>
        <v>100</v>
      </c>
      <c r="N51" s="140" t="n">
        <f aca="false">MAX(0,M51-M50)</f>
        <v>0</v>
      </c>
      <c r="O51" s="139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RESUMO'!AY33</f>
        <v>100</v>
      </c>
      <c r="N52" s="140" t="n">
        <f aca="false">MAX(0,M52-M51)</f>
        <v>0</v>
      </c>
      <c r="O52" s="139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RESUMO'!AZ33</f>
        <v>100</v>
      </c>
      <c r="N53" s="140" t="n">
        <f aca="false">MAX(0,M53-M52)</f>
        <v>0</v>
      </c>
      <c r="O53" s="139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RESUMO'!BA33</f>
        <v>100</v>
      </c>
      <c r="N54" s="140" t="n">
        <f aca="false">MAX(0,M54-M53)</f>
        <v>0</v>
      </c>
      <c r="O54" s="139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RESUMO'!BB33</f>
        <v>100</v>
      </c>
      <c r="N55" s="140" t="n">
        <f aca="false">MAX(0,M55-M54)</f>
        <v>0</v>
      </c>
      <c r="O55" s="139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RESUMO'!BC33</f>
        <v>100</v>
      </c>
      <c r="N56" s="140" t="n">
        <f aca="false">MAX(0,M56-M55)</f>
        <v>0</v>
      </c>
      <c r="O56" s="139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RESUMO'!BD33</f>
        <v>100</v>
      </c>
      <c r="N57" s="140" t="n">
        <f aca="false">MAX(0,M57-M56)</f>
        <v>0</v>
      </c>
      <c r="O57" s="139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RESUMO'!BE33</f>
        <v>100</v>
      </c>
      <c r="N58" s="140" t="n">
        <f aca="false">MAX(0,M58-M57)</f>
        <v>0</v>
      </c>
      <c r="O58" s="139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RESUMO'!BF33</f>
        <v>100</v>
      </c>
      <c r="N59" s="140" t="n">
        <f aca="false">MAX(0,M59-M58)</f>
        <v>0</v>
      </c>
      <c r="O59" s="139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RESUMO'!BG33</f>
        <v>100</v>
      </c>
      <c r="N60" s="140" t="n">
        <f aca="false">MAX(0,M60-M59)</f>
        <v>0</v>
      </c>
      <c r="O60" s="139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RESUMO'!BH33</f>
        <v>100</v>
      </c>
      <c r="N61" s="140" t="n">
        <f aca="false">MAX(0,M61-M60)</f>
        <v>0</v>
      </c>
      <c r="O61" s="139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RESUMO'!BI33</f>
        <v>100</v>
      </c>
      <c r="N62" s="140" t="n">
        <f aca="false">MAX(0,M62-M61)</f>
        <v>0</v>
      </c>
      <c r="O62" s="139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RESUMO'!BJ33</f>
        <v>100</v>
      </c>
      <c r="N63" s="140" t="n">
        <f aca="false">MAX(0,M63-M62)</f>
        <v>0</v>
      </c>
      <c r="O63" s="139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RESUMO'!BK33</f>
        <v>100</v>
      </c>
      <c r="N64" s="140" t="n">
        <f aca="false">MAX(0,M64-M63)</f>
        <v>0</v>
      </c>
      <c r="O64" s="139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RESUMO'!BL33</f>
        <v>100</v>
      </c>
      <c r="N65" s="140" t="n">
        <f aca="false">MAX(0,M65-M64)</f>
        <v>0</v>
      </c>
      <c r="O65" s="139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RESUMO'!BM33</f>
        <v>100</v>
      </c>
      <c r="N66" s="140" t="n">
        <f aca="false">MAX(0,M66-M65)</f>
        <v>0</v>
      </c>
      <c r="O66" s="139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RESUMO'!BN33</f>
        <v>100</v>
      </c>
      <c r="N67" s="140" t="n">
        <f aca="false">MAX(0,M67-M66)</f>
        <v>0</v>
      </c>
      <c r="O67" s="139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RESUMO'!BO33</f>
        <v>100</v>
      </c>
      <c r="N68" s="140" t="n">
        <f aca="false">MAX(0,M68-M67)</f>
        <v>0</v>
      </c>
      <c r="O68" s="139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RESUMO'!BP33</f>
        <v>100</v>
      </c>
      <c r="N69" s="140" t="n">
        <f aca="false">MAX(0,M69-M68)</f>
        <v>0</v>
      </c>
      <c r="O69" s="139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RESUMO'!BQ33</f>
        <v>100</v>
      </c>
      <c r="N70" s="140" t="n">
        <f aca="false">MAX(0,M70-M69)</f>
        <v>0</v>
      </c>
      <c r="O70" s="139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RESUMO'!BR33</f>
        <v>100</v>
      </c>
      <c r="N71" s="140" t="n">
        <f aca="false">MAX(0,M71-M70)</f>
        <v>0</v>
      </c>
      <c r="O71" s="139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RESUMO'!BS33</f>
        <v>100</v>
      </c>
      <c r="N72" s="140" t="n">
        <f aca="false">MAX(0,M72-M71)</f>
        <v>0</v>
      </c>
      <c r="O72" s="139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RESUMO'!BT33</f>
        <v>100</v>
      </c>
      <c r="N73" s="140" t="n">
        <f aca="false">MAX(0,M73-M72)</f>
        <v>0</v>
      </c>
      <c r="O73" s="139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RESUMO'!BU33</f>
        <v>100</v>
      </c>
      <c r="N74" s="140" t="n">
        <f aca="false">MAX(0,M74-M73)</f>
        <v>0</v>
      </c>
      <c r="O74" s="139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RESUMO'!BV33</f>
        <v>100</v>
      </c>
      <c r="N75" s="140" t="n">
        <f aca="false">MAX(0,M75-M74)</f>
        <v>0</v>
      </c>
      <c r="O75" s="139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RESUMO'!BW33</f>
        <v>100</v>
      </c>
      <c r="N76" s="140" t="n">
        <f aca="false">MAX(0,M76-M75)</f>
        <v>0</v>
      </c>
      <c r="O76" s="139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106381.19</v>
      </c>
      <c r="D78" s="61" t="n">
        <f aca="false">SUM(D5:D76)</f>
        <v>2246123.72006314</v>
      </c>
      <c r="E78" s="61" t="n">
        <f aca="false">SUM(E5:E76)</f>
        <v>1810.05557946601</v>
      </c>
      <c r="F78" s="145" t="n">
        <f aca="false">SUM(F5:F76)</f>
        <v>1</v>
      </c>
      <c r="H78" s="61" t="n">
        <f aca="false">SUM(H5:H76)</f>
        <v>1861114.66</v>
      </c>
      <c r="L78" s="61" t="n">
        <f aca="false">SUM(L5:L76)</f>
        <v>81.9251350677115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PL'!F40</f>
        <v>8066947.67</v>
      </c>
      <c r="K5" s="56" t="n">
        <f aca="false">'VALOR POR PL'!G40</f>
        <v>6906.303424</v>
      </c>
      <c r="L5" s="56" t="n">
        <f aca="false">'DADOS HISTORICOS'!$BZ$34</f>
        <v>0</v>
      </c>
      <c r="M5" s="139" t="n">
        <f aca="false">'CP RESUMO'!D34</f>
        <v>0</v>
      </c>
      <c r="N5" s="140" t="n">
        <v>0</v>
      </c>
      <c r="O5" s="139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PL'!H40</f>
        <v>6906.303424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RESUMO'!E34</f>
        <v>0</v>
      </c>
      <c r="N6" s="140" t="n">
        <f aca="false">MAX(0,M6-M5)</f>
        <v>0</v>
      </c>
      <c r="O6" s="139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8967804.01956104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RESUMO'!F34</f>
        <v>0</v>
      </c>
      <c r="N7" s="140" t="n">
        <f aca="false">MAX(0,M7-M6)</f>
        <v>0</v>
      </c>
      <c r="O7" s="139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34.9680657093552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RESUMO'!G34</f>
        <v>0</v>
      </c>
      <c r="N8" s="140" t="n">
        <f aca="false">MAX(0,M8-M7)</f>
        <v>0</v>
      </c>
      <c r="O8" s="139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8967804.01956104</v>
      </c>
      <c r="K9" s="45" t="n">
        <f aca="false">E78</f>
        <v>6899.9699041981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RESUMO'!H34</f>
        <v>0</v>
      </c>
      <c r="N9" s="140" t="n">
        <f aca="false">MAX(0,M9-M8)</f>
        <v>0</v>
      </c>
      <c r="O9" s="139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6865.00183848874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RESUMO'!I34</f>
        <v>0</v>
      </c>
      <c r="N10" s="140" t="n">
        <f aca="false">MAX(0,M10-M9)</f>
        <v>0</v>
      </c>
      <c r="O10" s="139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8066947.7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RESUMO'!J34</f>
        <v>0</v>
      </c>
      <c r="N11" s="140" t="n">
        <f aca="false">MAX(0,M11-M10)</f>
        <v>0</v>
      </c>
      <c r="O11" s="139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RESUMO'!K34</f>
        <v>0</v>
      </c>
      <c r="N12" s="140" t="n">
        <f aca="false">MAX(0,M12-M11)</f>
        <v>0</v>
      </c>
      <c r="O12" s="139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RESUMO'!L34</f>
        <v>0</v>
      </c>
      <c r="N13" s="140" t="n">
        <f aca="false">MAX(0,M13-M12)</f>
        <v>0</v>
      </c>
      <c r="O13" s="139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RESUMO'!$D$76:$BW$76,MATCH('VALOR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RESUMO'!M34</f>
        <v>0</v>
      </c>
      <c r="N14" s="140" t="n">
        <f aca="false">MAX(0,M14-M13)</f>
        <v>0</v>
      </c>
      <c r="O14" s="139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RESUMO'!N34</f>
        <v>0</v>
      </c>
      <c r="N15" s="140" t="n">
        <f aca="false">MAX(0,M15-M14)</f>
        <v>0</v>
      </c>
      <c r="O15" s="139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RESUMO'!O34</f>
        <v>0</v>
      </c>
      <c r="N16" s="140" t="n">
        <f aca="false">MAX(0,M16-M15)</f>
        <v>0</v>
      </c>
      <c r="O16" s="139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RESUMO'!P34</f>
        <v>0</v>
      </c>
      <c r="N17" s="140" t="n">
        <f aca="false">MAX(0,M17-M16)</f>
        <v>0</v>
      </c>
      <c r="O17" s="139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8922731.21956104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RESUMO'!Q34</f>
        <v>0</v>
      </c>
      <c r="N18" s="140" t="n">
        <f aca="false">MAX(0,M18-M17)</f>
        <v>0</v>
      </c>
      <c r="O18" s="139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RESUMO'!R34</f>
        <v>0</v>
      </c>
      <c r="N19" s="140" t="n">
        <f aca="false">MAX(0,M19-M18)</f>
        <v>0</v>
      </c>
      <c r="O19" s="139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RESUMO'!S34</f>
        <v>0</v>
      </c>
      <c r="N20" s="140" t="n">
        <f aca="false">MAX(0,M20-M19)</f>
        <v>0</v>
      </c>
      <c r="O20" s="139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RESUMO'!T34</f>
        <v>0</v>
      </c>
      <c r="N21" s="140" t="n">
        <f aca="false">MAX(0,M21-M20)</f>
        <v>0</v>
      </c>
      <c r="O21" s="139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RESUMO'!U34</f>
        <v>0</v>
      </c>
      <c r="N22" s="140" t="n">
        <f aca="false">MAX(0,M22-M21)</f>
        <v>0</v>
      </c>
      <c r="O22" s="139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HISTORICOS'!V34)</f>
        <v>1883.62</v>
      </c>
      <c r="D23" s="45" t="n">
        <f aca="false">IF(B23&lt;='VALOR POR PL'!$P$5,0,IF($K$17&gt;0,$K$18*P23/$K$17,0))</f>
        <v>0</v>
      </c>
      <c r="E23" s="45" t="n">
        <f aca="false">L23+D23/$K$2</f>
        <v>1.47084155512747</v>
      </c>
      <c r="F23" s="117" t="n">
        <f aca="false">IF($K$9=0,0,E23/$K$9)</f>
        <v>0.000213166372542086</v>
      </c>
      <c r="G23" s="117" t="n">
        <f aca="false">G22+F23</f>
        <v>0.000213166372542086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1.47084155512747</v>
      </c>
      <c r="M23" s="139" t="n">
        <f aca="false">'CP RESUMO'!V34</f>
        <v>0</v>
      </c>
      <c r="N23" s="140" t="n">
        <f aca="false">MAX(0,M23-M22)</f>
        <v>0</v>
      </c>
      <c r="O23" s="139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HISTORICOS'!W34)</f>
        <v>39357.13</v>
      </c>
      <c r="D24" s="45" t="n">
        <f aca="false">IF(B24&lt;='VALOR POR PL'!$P$5,0,IF($K$17&gt;0,$K$18*P24/$K$17,0))</f>
        <v>0</v>
      </c>
      <c r="E24" s="45" t="n">
        <f aca="false">L24+D24/$K$2</f>
        <v>30.5465562377807</v>
      </c>
      <c r="F24" s="117" t="n">
        <f aca="false">IF($K$9=0,0,E24/$K$9)</f>
        <v>0.00442705644544847</v>
      </c>
      <c r="G24" s="117" t="n">
        <f aca="false">G23+F24</f>
        <v>0.00464022281799056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30.5465562377807</v>
      </c>
      <c r="M24" s="139" t="n">
        <f aca="false">'CP RESUMO'!W34</f>
        <v>0</v>
      </c>
      <c r="N24" s="140" t="n">
        <f aca="false">MAX(0,M24-M23)</f>
        <v>0</v>
      </c>
      <c r="O24" s="139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HISTORICOS'!X34)</f>
        <v>1389.63</v>
      </c>
      <c r="D25" s="45" t="n">
        <f aca="false">IF(B25&lt;='VALOR POR PL'!$P$5,0,IF($K$17&gt;0,$K$18*P25/$K$17,0))</f>
        <v>0</v>
      </c>
      <c r="E25" s="45" t="n">
        <f aca="false">L25+D25/$K$2</f>
        <v>1.07151036056285</v>
      </c>
      <c r="F25" s="117" t="n">
        <f aca="false">IF($K$9=0,0,E25/$K$9)</f>
        <v>0.000155292033942195</v>
      </c>
      <c r="G25" s="117" t="n">
        <f aca="false">G24+F25</f>
        <v>0.00479551485193275</v>
      </c>
      <c r="H25" s="138"/>
      <c r="L25" s="45" t="n">
        <f aca="false">C25/IF(B25&lt;='VALOR POR PL'!$P$5,IFERROR(INDEX('"INCC-FGV"'!$B$2:$B$800,MATCH(B25,'"INCC-FGV"'!$A$2:$A$800,0)),$K$2),$K$2)</f>
        <v>1.07151036056285</v>
      </c>
      <c r="M25" s="139" t="n">
        <f aca="false">'CP RESUMO'!X34</f>
        <v>0</v>
      </c>
      <c r="N25" s="140" t="n">
        <f aca="false">MAX(0,M25-M24)</f>
        <v>0</v>
      </c>
      <c r="O25" s="139" t="n">
        <f aca="false">IF(B25&lt;='VALOR POR PL'!$P$5,'CP RESUMO'!X76,"")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HISTORICOS'!Y34)</f>
        <v>1389.62</v>
      </c>
      <c r="D26" s="45" t="n">
        <f aca="false">IF(B26&lt;='VALOR POR PL'!$P$5,0,IF($K$17&gt;0,$K$18*P26/$K$17,0))</f>
        <v>0</v>
      </c>
      <c r="E26" s="45" t="n">
        <f aca="false">L26+D26/$K$2</f>
        <v>1.06915064682068</v>
      </c>
      <c r="F26" s="117" t="n">
        <f aca="false">IF($K$9=0,0,E26/$K$9)</f>
        <v>0.000154950044951672</v>
      </c>
      <c r="G26" s="117" t="n">
        <f aca="false">G25+F26</f>
        <v>0.00495046489688443</v>
      </c>
      <c r="H26" s="138"/>
      <c r="L26" s="45" t="n">
        <f aca="false">C26/IF(B26&lt;='VALOR POR PL'!$P$5,IFERROR(INDEX('"INCC-FGV"'!$B$2:$B$800,MATCH(B26,'"INCC-FGV"'!$A$2:$A$800,0)),$K$2),$K$2)</f>
        <v>1.06915064682068</v>
      </c>
      <c r="M26" s="139" t="n">
        <f aca="false">'CP RESUMO'!Y34</f>
        <v>0</v>
      </c>
      <c r="N26" s="140" t="n">
        <f aca="false">MAX(0,M26-M25)</f>
        <v>0</v>
      </c>
      <c r="O26" s="139" t="n">
        <f aca="false">IF(B26&lt;='VALOR POR PL'!$P$5,'CP RESUMO'!Y76,"")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0.00495046489688443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RESUMO'!Z34</f>
        <v>0</v>
      </c>
      <c r="N27" s="140" t="n">
        <f aca="false">MAX(0,M27-M26)</f>
        <v>0</v>
      </c>
      <c r="O27" s="139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HISTORICOS'!AA34)</f>
        <v>1052.8</v>
      </c>
      <c r="D28" s="45" t="n">
        <f aca="false">IF(B28&lt;='VALOR POR PL'!$P$5,0,IF($K$17&gt;0,$K$18*P28/$K$17,0))</f>
        <v>0</v>
      </c>
      <c r="E28" s="45" t="n">
        <f aca="false">L28+D28/$K$2</f>
        <v>0.810006909063491</v>
      </c>
      <c r="F28" s="117" t="n">
        <f aca="false">IF($K$9=0,0,E28/$K$9)</f>
        <v>0.000117392817694852</v>
      </c>
      <c r="G28" s="117" t="n">
        <f aca="false">G27+F28</f>
        <v>0.00506785771457928</v>
      </c>
      <c r="H28" s="138"/>
      <c r="L28" s="45" t="n">
        <f aca="false">C28/IF(B28&lt;='VALOR POR PL'!$P$5,IFERROR(INDEX('"INCC-FGV"'!$B$2:$B$800,MATCH(B28,'"INCC-FGV"'!$A$2:$A$800,0)),$K$2),$K$2)</f>
        <v>0.810006909063491</v>
      </c>
      <c r="M28" s="139" t="n">
        <f aca="false">'CP RESUMO'!AA34</f>
        <v>0</v>
      </c>
      <c r="N28" s="140" t="n">
        <f aca="false">MAX(0,M28-M27)</f>
        <v>0</v>
      </c>
      <c r="O28" s="139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0.00506785771457928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RESUMO'!AB34</f>
        <v>0</v>
      </c>
      <c r="N29" s="140" t="n">
        <f aca="false">MAX(0,M29-M28)</f>
        <v>0</v>
      </c>
      <c r="O29" s="139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32121.8323904197</v>
      </c>
      <c r="E30" s="45" t="n">
        <f aca="false">L30+D30/$K$2</f>
        <v>24.7140066185595</v>
      </c>
      <c r="F30" s="117" t="n">
        <f aca="false">IF($K$9=0,0,E30/$K$9)</f>
        <v>0.00358175571222751</v>
      </c>
      <c r="G30" s="117" t="n">
        <f aca="false">G29+F30</f>
        <v>0.00864961342680679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RESUMO'!AC34</f>
        <v>0.36</v>
      </c>
      <c r="N30" s="140" t="n">
        <f aca="false">MAX(0,M30-M29)</f>
        <v>0.36</v>
      </c>
      <c r="O30" s="139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0.36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109749.594000601</v>
      </c>
      <c r="E31" s="45" t="n">
        <f aca="false">L31+D31/$K$2</f>
        <v>84.4395226134115</v>
      </c>
      <c r="F31" s="117" t="n">
        <f aca="false">IF($K$9=0,0,E31/$K$9)</f>
        <v>0.0122376653501107</v>
      </c>
      <c r="G31" s="117" t="n">
        <f aca="false">G30+F31</f>
        <v>0.0208872787769175</v>
      </c>
      <c r="H31" s="138" t="n">
        <v>423436.53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RESUMO'!AD34</f>
        <v>1.59</v>
      </c>
      <c r="N31" s="140" t="n">
        <f aca="false">MAX(0,M31-M30)</f>
        <v>1.23</v>
      </c>
      <c r="O31" s="139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1.23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371185.618733739</v>
      </c>
      <c r="E32" s="45" t="n">
        <f aca="false">L32+D32/$K$2</f>
        <v>285.584076481132</v>
      </c>
      <c r="F32" s="117" t="n">
        <f aca="false">IF($K$9=0,0,E32/$K$9)</f>
        <v>0.0413891771190735</v>
      </c>
      <c r="G32" s="117" t="n">
        <f aca="false">G31+F32</f>
        <v>0.062276455895991</v>
      </c>
      <c r="H32" s="138" t="n">
        <v>544962.7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RESUMO'!AE34</f>
        <v>5.75</v>
      </c>
      <c r="N32" s="140" t="n">
        <f aca="false">MAX(0,M32-M31)</f>
        <v>4.16</v>
      </c>
      <c r="O32" s="139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4.16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509487.952636935</v>
      </c>
      <c r="E33" s="45" t="n">
        <f aca="false">L33+D33/$K$2</f>
        <v>391.991604977707</v>
      </c>
      <c r="F33" s="117" t="n">
        <f aca="false">IF($K$9=0,0,E33/$K$9)</f>
        <v>0.0568106253244975</v>
      </c>
      <c r="G33" s="117" t="n">
        <f aca="false">G32+F33</f>
        <v>0.119087081220489</v>
      </c>
      <c r="H33" s="138" t="n">
        <v>544962.7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RESUMO'!AF34</f>
        <v>11.46</v>
      </c>
      <c r="N33" s="140" t="n">
        <f aca="false">MAX(0,M33-M32)</f>
        <v>5.71</v>
      </c>
      <c r="O33" s="139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5.71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630837.097222965</v>
      </c>
      <c r="E34" s="45" t="n">
        <f aca="false">L34+D34/$K$2</f>
        <v>485.355629981154</v>
      </c>
      <c r="F34" s="117" t="n">
        <f aca="false">IF($K$9=0,0,E34/$K$9)</f>
        <v>0.0703417024595793</v>
      </c>
      <c r="G34" s="117" t="n">
        <f aca="false">G33+F34</f>
        <v>0.189428783680068</v>
      </c>
      <c r="H34" s="138" t="n">
        <v>544962.7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RESUMO'!AG34</f>
        <v>18.53</v>
      </c>
      <c r="N34" s="140" t="n">
        <f aca="false">MAX(0,M34-M33)</f>
        <v>7.07</v>
      </c>
      <c r="O34" s="139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7.07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810183.994736142</v>
      </c>
      <c r="E35" s="45" t="n">
        <f aca="false">L35+D35/$K$2</f>
        <v>623.342166934778</v>
      </c>
      <c r="F35" s="117" t="n">
        <f aca="false">IF($K$9=0,0,E35/$K$9)</f>
        <v>0.0903398385195162</v>
      </c>
      <c r="G35" s="117" t="n">
        <f aca="false">G34+F35</f>
        <v>0.279768622199584</v>
      </c>
      <c r="H35" s="138" t="n">
        <v>544962.7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RESUMO'!AH34</f>
        <v>27.61</v>
      </c>
      <c r="N35" s="140" t="n">
        <f aca="false">MAX(0,M35-M34)</f>
        <v>9.08</v>
      </c>
      <c r="O35" s="139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9.08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430075.644782842</v>
      </c>
      <c r="E36" s="45" t="n">
        <f aca="false">L36+D36/$K$2</f>
        <v>330.893088615157</v>
      </c>
      <c r="F36" s="117" t="n">
        <f aca="false">IF($K$9=0,0,E36/$K$9)</f>
        <v>0.0479557292581573</v>
      </c>
      <c r="G36" s="117" t="n">
        <f aca="false">G35+F36</f>
        <v>0.327724351457741</v>
      </c>
      <c r="H36" s="138" t="n">
        <v>544962.7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RESUMO'!AI34</f>
        <v>32.43</v>
      </c>
      <c r="N36" s="140" t="n">
        <f aca="false">MAX(0,M36-M35)</f>
        <v>4.82</v>
      </c>
      <c r="O36" s="139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4.82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450597.926587832</v>
      </c>
      <c r="E37" s="45" t="n">
        <f aca="false">L37+D37/$K$2</f>
        <v>346.682592843681</v>
      </c>
      <c r="F37" s="117" t="n">
        <f aca="false">IF($K$9=0,0,E37/$K$9)</f>
        <v>0.0502440731854137</v>
      </c>
      <c r="G37" s="117" t="n">
        <f aca="false">G36+F37</f>
        <v>0.377968424643155</v>
      </c>
      <c r="H37" s="138" t="n">
        <v>544962.7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RESUMO'!AJ34</f>
        <v>37.48</v>
      </c>
      <c r="N37" s="140" t="n">
        <f aca="false">MAX(0,M37-M36)</f>
        <v>5.05</v>
      </c>
      <c r="O37" s="139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5.05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531794.780685838</v>
      </c>
      <c r="E38" s="45" t="n">
        <f aca="false">L38+D38/$K$2</f>
        <v>409.154109573929</v>
      </c>
      <c r="F38" s="117" t="n">
        <f aca="false">IF($K$9=0,0,E38/$K$9)</f>
        <v>0.0592979556802111</v>
      </c>
      <c r="G38" s="117" t="n">
        <f aca="false">G37+F38</f>
        <v>0.437266380323366</v>
      </c>
      <c r="H38" s="138" t="n">
        <v>544962.7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RESUMO'!AK34</f>
        <v>43.44</v>
      </c>
      <c r="N38" s="140" t="n">
        <f aca="false">MAX(0,M38-M37)</f>
        <v>5.96</v>
      </c>
      <c r="O38" s="139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5.96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662958.929613385</v>
      </c>
      <c r="E39" s="45" t="n">
        <f aca="false">L39+D39/$K$2</f>
        <v>510.069636599714</v>
      </c>
      <c r="F39" s="117" t="n">
        <f aca="false">IF($K$9=0,0,E39/$K$9)</f>
        <v>0.0739234581718068</v>
      </c>
      <c r="G39" s="117" t="n">
        <f aca="false">G38+F39</f>
        <v>0.511189838495173</v>
      </c>
      <c r="H39" s="138" t="n">
        <v>544962.7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RESUMO'!AL34</f>
        <v>50.87</v>
      </c>
      <c r="N39" s="140" t="n">
        <f aca="false">MAX(0,M39-M38)</f>
        <v>7.43</v>
      </c>
      <c r="O39" s="139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7.43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695973.035125761</v>
      </c>
      <c r="E40" s="45" t="n">
        <f aca="false">L40+D40/$K$2</f>
        <v>535.470143402122</v>
      </c>
      <c r="F40" s="117" t="n">
        <f aca="false">IF($K$9=0,0,E40/$K$9)</f>
        <v>0.0776047070982629</v>
      </c>
      <c r="G40" s="117" t="n">
        <f aca="false">G39+F40</f>
        <v>0.588794545593436</v>
      </c>
      <c r="H40" s="138" t="n">
        <v>544962.7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RESUMO'!AM34</f>
        <v>58.67</v>
      </c>
      <c r="N40" s="140" t="n">
        <f aca="false">MAX(0,M40-M39)</f>
        <v>7.8</v>
      </c>
      <c r="O40" s="139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7.8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643328.92093035</v>
      </c>
      <c r="E41" s="45" t="n">
        <f aca="false">L41+D41/$K$2</f>
        <v>494.966632555038</v>
      </c>
      <c r="F41" s="117" t="n">
        <f aca="false">IF($K$9=0,0,E41/$K$9)</f>
        <v>0.0717346074587788</v>
      </c>
      <c r="G41" s="117" t="n">
        <f aca="false">G40+F41</f>
        <v>0.660529153052214</v>
      </c>
      <c r="H41" s="138" t="n">
        <v>349032.88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RESUMO'!AN34</f>
        <v>65.88</v>
      </c>
      <c r="N41" s="140" t="n">
        <f aca="false">MAX(0,M41-M40)</f>
        <v>7.20999999999999</v>
      </c>
      <c r="O41" s="139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7.20999999999999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603176.630442326</v>
      </c>
      <c r="E42" s="45" t="n">
        <f aca="false">L42+D42/$K$2</f>
        <v>464.074124281839</v>
      </c>
      <c r="F42" s="117" t="n">
        <f aca="false">IF($K$9=0,0,E42/$K$9)</f>
        <v>0.0672574128184945</v>
      </c>
      <c r="G42" s="117" t="n">
        <f aca="false">G41+F42</f>
        <v>0.727786565870709</v>
      </c>
      <c r="H42" s="138" t="n">
        <v>333835.26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RESUMO'!AO34</f>
        <v>72.64</v>
      </c>
      <c r="N42" s="140" t="n">
        <f aca="false">MAX(0,M42-M41)</f>
        <v>6.76000000000001</v>
      </c>
      <c r="O42" s="139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6.76000000000001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581762.075515379</v>
      </c>
      <c r="E43" s="45" t="n">
        <f aca="false">L43+D43/$K$2</f>
        <v>447.598119869466</v>
      </c>
      <c r="F43" s="117" t="n">
        <f aca="false">IF($K$9=0,0,E43/$K$9)</f>
        <v>0.0648695756770094</v>
      </c>
      <c r="G43" s="117" t="n">
        <f aca="false">G42+F43</f>
        <v>0.792656141547718</v>
      </c>
      <c r="H43" s="138" t="n">
        <v>409141.69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RESUMO'!AP34</f>
        <v>79.16</v>
      </c>
      <c r="N43" s="140" t="n">
        <f aca="false">MAX(0,M43-M42)</f>
        <v>6.52</v>
      </c>
      <c r="O43" s="139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6.52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422045.186685237</v>
      </c>
      <c r="E44" s="45" t="n">
        <f aca="false">L44+D44/$K$2</f>
        <v>324.714586960518</v>
      </c>
      <c r="F44" s="117" t="n">
        <f aca="false">IF($K$9=0,0,E44/$K$9)</f>
        <v>0.0470602903301004</v>
      </c>
      <c r="G44" s="117" t="n">
        <f aca="false">G43+F44</f>
        <v>0.839716431877819</v>
      </c>
      <c r="H44" s="138" t="n">
        <v>287167.14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RESUMO'!AQ34</f>
        <v>83.89</v>
      </c>
      <c r="N44" s="140" t="n">
        <f aca="false">MAX(0,M44-M43)</f>
        <v>4.73</v>
      </c>
      <c r="O44" s="139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4.73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135625.514537327</v>
      </c>
      <c r="E45" s="45" t="n">
        <f aca="false">L45+D45/$K$2</f>
        <v>104.348027945029</v>
      </c>
      <c r="F45" s="117" t="n">
        <f aca="false">IF($K$9=0,0,E45/$K$9)</f>
        <v>0.0151229685627384</v>
      </c>
      <c r="G45" s="117" t="n">
        <f aca="false">G44+F45</f>
        <v>0.854839400440557</v>
      </c>
      <c r="H45" s="138" t="n">
        <v>287167.14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RESUMO'!AR34</f>
        <v>85.41</v>
      </c>
      <c r="N45" s="140" t="n">
        <f aca="false">MAX(0,M45-M44)</f>
        <v>1.52</v>
      </c>
      <c r="O45" s="139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1.52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551424.789368873</v>
      </c>
      <c r="E46" s="45" t="n">
        <f aca="false">L46+D46/$K$2</f>
        <v>424.257113618605</v>
      </c>
      <c r="F46" s="117" t="n">
        <f aca="false">IF($K$9=0,0,E46/$K$9)</f>
        <v>0.0614868063932391</v>
      </c>
      <c r="G46" s="117" t="n">
        <f aca="false">G45+F46</f>
        <v>0.916326206833796</v>
      </c>
      <c r="H46" s="138" t="n">
        <v>287167.14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RESUMO'!AS34</f>
        <v>91.59</v>
      </c>
      <c r="N46" s="140" t="n">
        <f aca="false">MAX(0,M46-M45)</f>
        <v>6.18000000000001</v>
      </c>
      <c r="O46" s="139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6.18000000000001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189161.901854693</v>
      </c>
      <c r="E47" s="45" t="n">
        <f aca="false">L47+D47/$K$2</f>
        <v>145.538038975961</v>
      </c>
      <c r="F47" s="117" t="n">
        <f aca="false">IF($K$9=0,0,E47/$K$9)</f>
        <v>0.0210925614164508</v>
      </c>
      <c r="G47" s="117" t="n">
        <f aca="false">G46+F47</f>
        <v>0.937418768250247</v>
      </c>
      <c r="H47" s="138" t="n">
        <v>287167.14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RESUMO'!AT34</f>
        <v>93.71</v>
      </c>
      <c r="N47" s="140" t="n">
        <f aca="false">MAX(0,M47-M46)</f>
        <v>2.11999999999999</v>
      </c>
      <c r="O47" s="139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2.11999999999999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256082.386001402</v>
      </c>
      <c r="E48" s="45" t="n">
        <f aca="false">L48+D48/$K$2</f>
        <v>197.025552764627</v>
      </c>
      <c r="F48" s="117" t="n">
        <f aca="false">IF($K$9=0,0,E48/$K$9)</f>
        <v>0.0285545524835916</v>
      </c>
      <c r="G48" s="117" t="n">
        <f aca="false">G47+F48</f>
        <v>0.965973320733839</v>
      </c>
      <c r="H48" s="138" t="n">
        <v>287167.14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RESUMO'!AU34</f>
        <v>96.58</v>
      </c>
      <c r="N48" s="140" t="n">
        <f aca="false">MAX(0,M48-M47)</f>
        <v>2.87</v>
      </c>
      <c r="O48" s="139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2.87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129379.602683635</v>
      </c>
      <c r="E49" s="45" t="n">
        <f aca="false">L49+D49/$K$2</f>
        <v>99.542526658087</v>
      </c>
      <c r="F49" s="117" t="n">
        <f aca="false">IF($K$9=0,0,E49/$K$9)</f>
        <v>0.0144265160631386</v>
      </c>
      <c r="G49" s="117" t="n">
        <f aca="false">G48+F49</f>
        <v>0.980399836796977</v>
      </c>
      <c r="H49" s="138" t="n">
        <v>30143.05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RESUMO'!AV34</f>
        <v>98.03</v>
      </c>
      <c r="N49" s="140" t="n">
        <f aca="false">MAX(0,M49-M48)</f>
        <v>1.45</v>
      </c>
      <c r="O49" s="139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1.45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74950.942244313</v>
      </c>
      <c r="E50" s="45" t="n">
        <f aca="false">L50+D50/$K$2</f>
        <v>57.6660154433057</v>
      </c>
      <c r="F50" s="117" t="n">
        <f aca="false">IF($K$9=0,0,E50/$K$9)</f>
        <v>0.00835742999519757</v>
      </c>
      <c r="G50" s="117" t="n">
        <f aca="false">G49+F50</f>
        <v>0.988757266792175</v>
      </c>
      <c r="H50" s="138" t="n">
        <v>30143.05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RESUMO'!AW34</f>
        <v>98.87</v>
      </c>
      <c r="N50" s="140" t="n">
        <f aca="false">MAX(0,M50-M49)</f>
        <v>0.840000000000003</v>
      </c>
      <c r="O50" s="139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0.840000000000003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11599.5505854289</v>
      </c>
      <c r="E51" s="45" t="n">
        <f aca="false">L51+D51/$K$2</f>
        <v>8.92450239003505</v>
      </c>
      <c r="F51" s="117" t="n">
        <f aca="false">IF($K$9=0,0,E51/$K$9)</f>
        <v>0.001293411784971</v>
      </c>
      <c r="G51" s="117" t="n">
        <f aca="false">G50+F51</f>
        <v>0.990050678577146</v>
      </c>
      <c r="H51" s="138" t="n">
        <v>30143.05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RESUMO'!AX34</f>
        <v>99</v>
      </c>
      <c r="N51" s="140" t="n">
        <f aca="false">MAX(0,M51-M50)</f>
        <v>0.129999999999995</v>
      </c>
      <c r="O51" s="139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0.129999999999995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89227.3121956103</v>
      </c>
      <c r="E52" s="45" t="n">
        <f aca="false">L52+D52/$K$2</f>
        <v>68.6500183848874</v>
      </c>
      <c r="F52" s="117" t="n">
        <f aca="false">IF($K$9=0,0,E52/$K$9)</f>
        <v>0.00994932142285421</v>
      </c>
      <c r="G52" s="117" t="n">
        <f aca="false">G51+F52</f>
        <v>1</v>
      </c>
      <c r="H52" s="138" t="n">
        <v>30143.05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RESUMO'!AY34</f>
        <v>100</v>
      </c>
      <c r="N52" s="140" t="n">
        <f aca="false">MAX(0,M52-M51)</f>
        <v>1</v>
      </c>
      <c r="O52" s="139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 t="n">
        <v>30143.05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RESUMO'!AZ34</f>
        <v>100</v>
      </c>
      <c r="N53" s="140" t="n">
        <f aca="false">MAX(0,M53-M52)</f>
        <v>0</v>
      </c>
      <c r="O53" s="139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30143.05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RESUMO'!BA34</f>
        <v>100</v>
      </c>
      <c r="N54" s="140" t="n">
        <f aca="false">MAX(0,M54-M53)</f>
        <v>0</v>
      </c>
      <c r="O54" s="139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15071.52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RESUMO'!BB34</f>
        <v>100</v>
      </c>
      <c r="N55" s="140" t="n">
        <f aca="false">MAX(0,M55-M54)</f>
        <v>0</v>
      </c>
      <c r="O55" s="139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15071.52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RESUMO'!BC34</f>
        <v>100</v>
      </c>
      <c r="N56" s="140" t="n">
        <f aca="false">MAX(0,M56-M55)</f>
        <v>0</v>
      </c>
      <c r="O56" s="139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RESUMO'!BD34</f>
        <v>100</v>
      </c>
      <c r="N57" s="140" t="n">
        <f aca="false">MAX(0,M57-M56)</f>
        <v>0</v>
      </c>
      <c r="O57" s="139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RESUMO'!BE34</f>
        <v>100</v>
      </c>
      <c r="N58" s="140" t="n">
        <f aca="false">MAX(0,M58-M57)</f>
        <v>0</v>
      </c>
      <c r="O58" s="139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RESUMO'!BF34</f>
        <v>100</v>
      </c>
      <c r="N59" s="140" t="n">
        <f aca="false">MAX(0,M59-M58)</f>
        <v>0</v>
      </c>
      <c r="O59" s="139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RESUMO'!BG34</f>
        <v>100</v>
      </c>
      <c r="N60" s="140" t="n">
        <f aca="false">MAX(0,M60-M59)</f>
        <v>0</v>
      </c>
      <c r="O60" s="139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RESUMO'!BH34</f>
        <v>100</v>
      </c>
      <c r="N61" s="140" t="n">
        <f aca="false">MAX(0,M61-M60)</f>
        <v>0</v>
      </c>
      <c r="O61" s="139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RESUMO'!BI34</f>
        <v>100</v>
      </c>
      <c r="N62" s="140" t="n">
        <f aca="false">MAX(0,M62-M61)</f>
        <v>0</v>
      </c>
      <c r="O62" s="139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RESUMO'!BJ34</f>
        <v>100</v>
      </c>
      <c r="N63" s="140" t="n">
        <f aca="false">MAX(0,M63-M62)</f>
        <v>0</v>
      </c>
      <c r="O63" s="139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RESUMO'!BK34</f>
        <v>100</v>
      </c>
      <c r="N64" s="140" t="n">
        <f aca="false">MAX(0,M64-M63)</f>
        <v>0</v>
      </c>
      <c r="O64" s="139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RESUMO'!BL34</f>
        <v>100</v>
      </c>
      <c r="N65" s="140" t="n">
        <f aca="false">MAX(0,M65-M64)</f>
        <v>0</v>
      </c>
      <c r="O65" s="139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RESUMO'!BM34</f>
        <v>100</v>
      </c>
      <c r="N66" s="140" t="n">
        <f aca="false">MAX(0,M66-M65)</f>
        <v>0</v>
      </c>
      <c r="O66" s="139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RESUMO'!BN34</f>
        <v>100</v>
      </c>
      <c r="N67" s="140" t="n">
        <f aca="false">MAX(0,M67-M66)</f>
        <v>0</v>
      </c>
      <c r="O67" s="139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RESUMO'!BO34</f>
        <v>100</v>
      </c>
      <c r="N68" s="140" t="n">
        <f aca="false">MAX(0,M68-M67)</f>
        <v>0</v>
      </c>
      <c r="O68" s="139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RESUMO'!BP34</f>
        <v>100</v>
      </c>
      <c r="N69" s="140" t="n">
        <f aca="false">MAX(0,M69-M68)</f>
        <v>0</v>
      </c>
      <c r="O69" s="139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RESUMO'!BQ34</f>
        <v>100</v>
      </c>
      <c r="N70" s="140" t="n">
        <f aca="false">MAX(0,M70-M69)</f>
        <v>0</v>
      </c>
      <c r="O70" s="139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RESUMO'!BR34</f>
        <v>100</v>
      </c>
      <c r="N71" s="140" t="n">
        <f aca="false">MAX(0,M71-M70)</f>
        <v>0</v>
      </c>
      <c r="O71" s="139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RESUMO'!BS34</f>
        <v>100</v>
      </c>
      <c r="N72" s="140" t="n">
        <f aca="false">MAX(0,M72-M71)</f>
        <v>0</v>
      </c>
      <c r="O72" s="139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RESUMO'!BT34</f>
        <v>100</v>
      </c>
      <c r="N73" s="140" t="n">
        <f aca="false">MAX(0,M73-M72)</f>
        <v>0</v>
      </c>
      <c r="O73" s="139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RESUMO'!BU34</f>
        <v>100</v>
      </c>
      <c r="N74" s="140" t="n">
        <f aca="false">MAX(0,M74-M73)</f>
        <v>0</v>
      </c>
      <c r="O74" s="139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RESUMO'!BV34</f>
        <v>100</v>
      </c>
      <c r="N75" s="140" t="n">
        <f aca="false">MAX(0,M75-M74)</f>
        <v>0</v>
      </c>
      <c r="O75" s="139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RESUMO'!BW34</f>
        <v>100</v>
      </c>
      <c r="N76" s="140" t="n">
        <f aca="false">MAX(0,M76-M75)</f>
        <v>0</v>
      </c>
      <c r="O76" s="139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45072.8</v>
      </c>
      <c r="D78" s="61" t="n">
        <f aca="false">SUM(D5:D76)</f>
        <v>8922731.21956104</v>
      </c>
      <c r="E78" s="61" t="n">
        <f aca="false">SUM(E5:E76)</f>
        <v>6899.9699041981</v>
      </c>
      <c r="F78" s="145" t="n">
        <f aca="false">SUM(F5:F76)</f>
        <v>1</v>
      </c>
      <c r="H78" s="61" t="n">
        <f aca="false">SUM(H5:H76)</f>
        <v>8066947.7</v>
      </c>
      <c r="L78" s="61" t="n">
        <f aca="false">SUM(L5:L76)</f>
        <v>34.9680657093552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PAVIMENTAÇÃO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PL'!F41</f>
        <v>304271.57</v>
      </c>
      <c r="K5" s="56" t="n">
        <f aca="false">'VALOR POR PL'!G41</f>
        <v>260.494039</v>
      </c>
      <c r="L5" s="56" t="n">
        <f aca="false">'DADOS HISTORICOS'!$BZ$35</f>
        <v>0</v>
      </c>
      <c r="M5" s="139" t="n">
        <f aca="false">'CP RESUMO'!D35</f>
        <v>0</v>
      </c>
      <c r="N5" s="140" t="n">
        <v>0</v>
      </c>
      <c r="O5" s="139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PL'!H41</f>
        <v>260.494039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RESUMO'!E35</f>
        <v>0</v>
      </c>
      <c r="N6" s="140" t="n">
        <f aca="false">MAX(0,M6-M5)</f>
        <v>0</v>
      </c>
      <c r="O6" s="139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338262.968273035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RESUMO'!F35</f>
        <v>0</v>
      </c>
      <c r="N7" s="140" t="n">
        <f aca="false">MAX(0,M7-M6)</f>
        <v>0</v>
      </c>
      <c r="O7" s="139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RESUMO'!G35</f>
        <v>0</v>
      </c>
      <c r="N8" s="140" t="n">
        <f aca="false">MAX(0,M8-M7)</f>
        <v>0</v>
      </c>
      <c r="O8" s="139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338262.968273035</v>
      </c>
      <c r="K9" s="45" t="n">
        <f aca="false">E78</f>
        <v>260.253933683019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RESUMO'!H35</f>
        <v>0</v>
      </c>
      <c r="N9" s="140" t="n">
        <f aca="false">MAX(0,M9-M8)</f>
        <v>0</v>
      </c>
      <c r="O9" s="139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260.253933683019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RESUMO'!I35</f>
        <v>0</v>
      </c>
      <c r="N10" s="140" t="n">
        <f aca="false">MAX(0,M10-M9)</f>
        <v>0</v>
      </c>
      <c r="O10" s="139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304271.52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RESUMO'!J35</f>
        <v>0</v>
      </c>
      <c r="N11" s="140" t="n">
        <f aca="false">MAX(0,M11-M10)</f>
        <v>0</v>
      </c>
      <c r="O11" s="139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RESUMO'!K35</f>
        <v>0</v>
      </c>
      <c r="N12" s="140" t="n">
        <f aca="false">MAX(0,M12-M11)</f>
        <v>0</v>
      </c>
      <c r="O12" s="139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RESUMO'!L35</f>
        <v>0</v>
      </c>
      <c r="N13" s="140" t="n">
        <f aca="false">MAX(0,M13-M12)</f>
        <v>0</v>
      </c>
      <c r="O13" s="139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RESUMO'!M35</f>
        <v>0</v>
      </c>
      <c r="N14" s="140" t="n">
        <f aca="false">MAX(0,M14-M13)</f>
        <v>0</v>
      </c>
      <c r="O14" s="139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RESUMO'!N35</f>
        <v>0</v>
      </c>
      <c r="N15" s="140" t="n">
        <f aca="false">MAX(0,M15-M14)</f>
        <v>0</v>
      </c>
      <c r="O15" s="139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RESUMO'!O35</f>
        <v>0</v>
      </c>
      <c r="N16" s="140" t="n">
        <f aca="false">MAX(0,M16-M15)</f>
        <v>0</v>
      </c>
      <c r="O16" s="139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RESUMO'!P35</f>
        <v>0</v>
      </c>
      <c r="N17" s="140" t="n">
        <f aca="false">MAX(0,M17-M16)</f>
        <v>0</v>
      </c>
      <c r="O17" s="139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338262.968273035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RESUMO'!Q35</f>
        <v>0</v>
      </c>
      <c r="N18" s="140" t="n">
        <f aca="false">MAX(0,M18-M17)</f>
        <v>0</v>
      </c>
      <c r="O18" s="139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RESUMO'!R35</f>
        <v>0</v>
      </c>
      <c r="N19" s="140" t="n">
        <f aca="false">MAX(0,M19-M18)</f>
        <v>0</v>
      </c>
      <c r="O19" s="139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RESUMO'!S35</f>
        <v>0</v>
      </c>
      <c r="N20" s="140" t="n">
        <f aca="false">MAX(0,M20-M19)</f>
        <v>0</v>
      </c>
      <c r="O20" s="139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RESUMO'!T35</f>
        <v>0</v>
      </c>
      <c r="N21" s="140" t="n">
        <f aca="false">MAX(0,M21-M20)</f>
        <v>0</v>
      </c>
      <c r="O21" s="139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RESUMO'!U35</f>
        <v>0</v>
      </c>
      <c r="N22" s="140" t="n">
        <f aca="false">MAX(0,M22-M21)</f>
        <v>0</v>
      </c>
      <c r="O22" s="139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RESUMO'!V35</f>
        <v>0</v>
      </c>
      <c r="N23" s="140" t="n">
        <f aca="false">MAX(0,M23-M22)</f>
        <v>0</v>
      </c>
      <c r="O23" s="139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RESUMO'!W35</f>
        <v>0</v>
      </c>
      <c r="N24" s="140" t="n">
        <f aca="false">MAX(0,M24-M23)</f>
        <v>0</v>
      </c>
      <c r="O24" s="139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RESUMO'!X35</f>
        <v>0</v>
      </c>
      <c r="N25" s="140" t="n">
        <f aca="false">MAX(0,M25-M24)</f>
        <v>0</v>
      </c>
      <c r="O25" s="139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RESUMO'!Y35</f>
        <v>0</v>
      </c>
      <c r="N26" s="140" t="n">
        <f aca="false">MAX(0,M26-M25)</f>
        <v>0</v>
      </c>
      <c r="O26" s="139" t="n">
        <f aca="false">IF(B26&lt;='VALOR POR PL'!$P$5,'CP RESUMO'!Y77,"")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RESUMO'!Z35</f>
        <v>0</v>
      </c>
      <c r="N27" s="140" t="n">
        <f aca="false">MAX(0,M27-M26)</f>
        <v>0</v>
      </c>
      <c r="O27" s="139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RESUMO'!AA35</f>
        <v>0</v>
      </c>
      <c r="N28" s="140" t="n">
        <f aca="false">MAX(0,M28-M27)</f>
        <v>0</v>
      </c>
      <c r="O28" s="139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RESUMO'!AB35</f>
        <v>0</v>
      </c>
      <c r="N29" s="140" t="n">
        <f aca="false">MAX(0,M29-M28)</f>
        <v>0</v>
      </c>
      <c r="O29" s="139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RESUMO'!AC35</f>
        <v>0</v>
      </c>
      <c r="N30" s="140" t="n">
        <f aca="false">MAX(0,M30-M29)</f>
        <v>0</v>
      </c>
      <c r="O30" s="139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RESUMO'!AD35</f>
        <v>0</v>
      </c>
      <c r="N31" s="140" t="n">
        <f aca="false">MAX(0,M31-M30)</f>
        <v>0</v>
      </c>
      <c r="O31" s="139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RESUMO'!AE35</f>
        <v>0</v>
      </c>
      <c r="N32" s="140" t="n">
        <f aca="false">MAX(0,M32-M31)</f>
        <v>0</v>
      </c>
      <c r="O32" s="139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13056.9505753391</v>
      </c>
      <c r="E33" s="45" t="n">
        <f aca="false">L33+D33/$K$2</f>
        <v>10.0458018401645</v>
      </c>
      <c r="F33" s="117" t="n">
        <f aca="false">IF($K$9=0,0,E33/$K$9)</f>
        <v>0.0386</v>
      </c>
      <c r="G33" s="117" t="n">
        <f aca="false">G32+F33</f>
        <v>0.0386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RESUMO'!AF35</f>
        <v>3.86</v>
      </c>
      <c r="N33" s="140" t="n">
        <f aca="false">MAX(0,M33-M32)</f>
        <v>3.86</v>
      </c>
      <c r="O33" s="139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3.86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130637.158347046</v>
      </c>
      <c r="E34" s="45" t="n">
        <f aca="false">L34+D34/$K$2</f>
        <v>100.510069188382</v>
      </c>
      <c r="F34" s="117" t="n">
        <f aca="false">IF($K$9=0,0,E34/$K$9)</f>
        <v>0.3862</v>
      </c>
      <c r="G34" s="117" t="n">
        <f aca="false">G33+F34</f>
        <v>0.4248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RESUMO'!AG35</f>
        <v>42.48</v>
      </c>
      <c r="N34" s="140" t="n">
        <f aca="false">MAX(0,M34-M33)</f>
        <v>38.62</v>
      </c>
      <c r="O34" s="139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38.62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137165.633634716</v>
      </c>
      <c r="E35" s="45" t="n">
        <f aca="false">L35+D35/$K$2</f>
        <v>105.532970108464</v>
      </c>
      <c r="F35" s="117" t="n">
        <f aca="false">IF($K$9=0,0,E35/$K$9)</f>
        <v>0.4055</v>
      </c>
      <c r="G35" s="117" t="n">
        <f aca="false">G34+F35</f>
        <v>0.8303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RESUMO'!AH35</f>
        <v>83.03</v>
      </c>
      <c r="N35" s="140" t="n">
        <f aca="false">MAX(0,M35-M34)</f>
        <v>40.55</v>
      </c>
      <c r="O35" s="139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40.55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0.8303</v>
      </c>
      <c r="H36" s="138" t="n">
        <v>25355.96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RESUMO'!AI35</f>
        <v>83.03</v>
      </c>
      <c r="N36" s="140" t="n">
        <f aca="false">MAX(0,M36-M35)</f>
        <v>0</v>
      </c>
      <c r="O36" s="139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0.8303</v>
      </c>
      <c r="H37" s="138" t="n">
        <v>25355.96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RESUMO'!AJ35</f>
        <v>83.03</v>
      </c>
      <c r="N37" s="140" t="n">
        <f aca="false">MAX(0,M37-M36)</f>
        <v>0</v>
      </c>
      <c r="O37" s="139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9572.84200212688</v>
      </c>
      <c r="E38" s="45" t="n">
        <f aca="false">L38+D38/$K$2</f>
        <v>7.36518632322944</v>
      </c>
      <c r="F38" s="117" t="n">
        <f aca="false">IF($K$9=0,0,E38/$K$9)</f>
        <v>0.0283</v>
      </c>
      <c r="G38" s="117" t="n">
        <f aca="false">G37+F38</f>
        <v>0.8586</v>
      </c>
      <c r="H38" s="138" t="n">
        <v>25355.96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RESUMO'!AK35</f>
        <v>85.86</v>
      </c>
      <c r="N38" s="140" t="n">
        <f aca="false">MAX(0,M38-M37)</f>
        <v>2.83</v>
      </c>
      <c r="O38" s="139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2.83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17386.716569234</v>
      </c>
      <c r="E39" s="45" t="n">
        <f aca="false">L39+D39/$K$2</f>
        <v>13.3770521913072</v>
      </c>
      <c r="F39" s="117" t="n">
        <f aca="false">IF($K$9=0,0,E39/$K$9)</f>
        <v>0.0514</v>
      </c>
      <c r="G39" s="117" t="n">
        <f aca="false">G38+F39</f>
        <v>0.91</v>
      </c>
      <c r="H39" s="138" t="n">
        <v>25355.96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RESUMO'!AL35</f>
        <v>91</v>
      </c>
      <c r="N39" s="140" t="n">
        <f aca="false">MAX(0,M39-M38)</f>
        <v>5.14</v>
      </c>
      <c r="O39" s="139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5.14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17386.716569234</v>
      </c>
      <c r="E40" s="45" t="n">
        <f aca="false">L40+D40/$K$2</f>
        <v>13.3770521913072</v>
      </c>
      <c r="F40" s="117" t="n">
        <f aca="false">IF($K$9=0,0,E40/$K$9)</f>
        <v>0.0514</v>
      </c>
      <c r="G40" s="117" t="n">
        <f aca="false">G39+F40</f>
        <v>0.9614</v>
      </c>
      <c r="H40" s="138" t="n">
        <v>25355.96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RESUMO'!AM35</f>
        <v>96.14</v>
      </c>
      <c r="N40" s="140" t="n">
        <f aca="false">MAX(0,M40-M39)</f>
        <v>5.14</v>
      </c>
      <c r="O40" s="139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5.14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13056.9505753391</v>
      </c>
      <c r="E41" s="45" t="n">
        <f aca="false">L41+D41/$K$2</f>
        <v>10.0458018401645</v>
      </c>
      <c r="F41" s="117" t="n">
        <f aca="false">IF($K$9=0,0,E41/$K$9)</f>
        <v>0.0386</v>
      </c>
      <c r="G41" s="117" t="n">
        <f aca="false">G40+F41</f>
        <v>1</v>
      </c>
      <c r="H41" s="138" t="n">
        <v>25355.96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RESUMO'!AN35</f>
        <v>100</v>
      </c>
      <c r="N41" s="140" t="n">
        <f aca="false">MAX(0,M41-M40)</f>
        <v>3.86</v>
      </c>
      <c r="O41" s="139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3.86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RESUMO'!AO35</f>
        <v>100</v>
      </c>
      <c r="N42" s="140" t="n">
        <f aca="false">MAX(0,M42-M41)</f>
        <v>0</v>
      </c>
      <c r="O42" s="139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RESUMO'!AP35</f>
        <v>100</v>
      </c>
      <c r="N43" s="140" t="n">
        <f aca="false">MAX(0,M43-M42)</f>
        <v>0</v>
      </c>
      <c r="O43" s="139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RESUMO'!AQ35</f>
        <v>100</v>
      </c>
      <c r="N44" s="140" t="n">
        <f aca="false">MAX(0,M44-M43)</f>
        <v>0</v>
      </c>
      <c r="O44" s="139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RESUMO'!AR35</f>
        <v>100</v>
      </c>
      <c r="N45" s="140" t="n">
        <f aca="false">MAX(0,M45-M44)</f>
        <v>0</v>
      </c>
      <c r="O45" s="139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RESUMO'!AS35</f>
        <v>100</v>
      </c>
      <c r="N46" s="140" t="n">
        <f aca="false">MAX(0,M46-M45)</f>
        <v>0</v>
      </c>
      <c r="O46" s="139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 t="n">
        <v>25355.96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RESUMO'!AT35</f>
        <v>100</v>
      </c>
      <c r="N47" s="140" t="n">
        <f aca="false">MAX(0,M47-M46)</f>
        <v>0</v>
      </c>
      <c r="O47" s="139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 t="n">
        <v>25355.96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RESUMO'!AU35</f>
        <v>100</v>
      </c>
      <c r="N48" s="140" t="n">
        <f aca="false">MAX(0,M48-M47)</f>
        <v>0</v>
      </c>
      <c r="O48" s="139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 t="n">
        <v>25355.96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RESUMO'!AV35</f>
        <v>100</v>
      </c>
      <c r="N49" s="140" t="n">
        <f aca="false">MAX(0,M49-M48)</f>
        <v>0</v>
      </c>
      <c r="O49" s="139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 t="n">
        <v>25355.96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RESUMO'!AW35</f>
        <v>100</v>
      </c>
      <c r="N50" s="140" t="n">
        <f aca="false">MAX(0,M50-M49)</f>
        <v>0</v>
      </c>
      <c r="O50" s="139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 t="n">
        <v>25355.96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RESUMO'!AX35</f>
        <v>100</v>
      </c>
      <c r="N51" s="140" t="n">
        <f aca="false">MAX(0,M51-M50)</f>
        <v>0</v>
      </c>
      <c r="O51" s="139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 t="n">
        <v>25355.96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RESUMO'!AY35</f>
        <v>100</v>
      </c>
      <c r="N52" s="140" t="n">
        <f aca="false">MAX(0,M52-M51)</f>
        <v>0</v>
      </c>
      <c r="O52" s="139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RESUMO'!AZ35</f>
        <v>100</v>
      </c>
      <c r="N53" s="140" t="n">
        <f aca="false">MAX(0,M53-M52)</f>
        <v>0</v>
      </c>
      <c r="O53" s="139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RESUMO'!BA35</f>
        <v>100</v>
      </c>
      <c r="N54" s="140" t="n">
        <f aca="false">MAX(0,M54-M53)</f>
        <v>0</v>
      </c>
      <c r="O54" s="139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RESUMO'!BB35</f>
        <v>100</v>
      </c>
      <c r="N55" s="140" t="n">
        <f aca="false">MAX(0,M55-M54)</f>
        <v>0</v>
      </c>
      <c r="O55" s="139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RESUMO'!BC35</f>
        <v>100</v>
      </c>
      <c r="N56" s="140" t="n">
        <f aca="false">MAX(0,M56-M55)</f>
        <v>0</v>
      </c>
      <c r="O56" s="139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RESUMO'!BD35</f>
        <v>100</v>
      </c>
      <c r="N57" s="140" t="n">
        <f aca="false">MAX(0,M57-M56)</f>
        <v>0</v>
      </c>
      <c r="O57" s="139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RESUMO'!BE35</f>
        <v>100</v>
      </c>
      <c r="N58" s="140" t="n">
        <f aca="false">MAX(0,M58-M57)</f>
        <v>0</v>
      </c>
      <c r="O58" s="139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RESUMO'!BF35</f>
        <v>100</v>
      </c>
      <c r="N59" s="140" t="n">
        <f aca="false">MAX(0,M59-M58)</f>
        <v>0</v>
      </c>
      <c r="O59" s="139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RESUMO'!BG35</f>
        <v>100</v>
      </c>
      <c r="N60" s="140" t="n">
        <f aca="false">MAX(0,M60-M59)</f>
        <v>0</v>
      </c>
      <c r="O60" s="139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RESUMO'!BH35</f>
        <v>100</v>
      </c>
      <c r="N61" s="140" t="n">
        <f aca="false">MAX(0,M61-M60)</f>
        <v>0</v>
      </c>
      <c r="O61" s="139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RESUMO'!BI35</f>
        <v>100</v>
      </c>
      <c r="N62" s="140" t="n">
        <f aca="false">MAX(0,M62-M61)</f>
        <v>0</v>
      </c>
      <c r="O62" s="139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RESUMO'!BJ35</f>
        <v>100</v>
      </c>
      <c r="N63" s="140" t="n">
        <f aca="false">MAX(0,M63-M62)</f>
        <v>0</v>
      </c>
      <c r="O63" s="139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RESUMO'!BK35</f>
        <v>100</v>
      </c>
      <c r="N64" s="140" t="n">
        <f aca="false">MAX(0,M64-M63)</f>
        <v>0</v>
      </c>
      <c r="O64" s="139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RESUMO'!BL35</f>
        <v>100</v>
      </c>
      <c r="N65" s="140" t="n">
        <f aca="false">MAX(0,M65-M64)</f>
        <v>0</v>
      </c>
      <c r="O65" s="139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RESUMO'!BM35</f>
        <v>100</v>
      </c>
      <c r="N66" s="140" t="n">
        <f aca="false">MAX(0,M66-M65)</f>
        <v>0</v>
      </c>
      <c r="O66" s="139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RESUMO'!BN35</f>
        <v>100</v>
      </c>
      <c r="N67" s="140" t="n">
        <f aca="false">MAX(0,M67-M66)</f>
        <v>0</v>
      </c>
      <c r="O67" s="139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RESUMO'!BO35</f>
        <v>100</v>
      </c>
      <c r="N68" s="140" t="n">
        <f aca="false">MAX(0,M68-M67)</f>
        <v>0</v>
      </c>
      <c r="O68" s="139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RESUMO'!BP35</f>
        <v>100</v>
      </c>
      <c r="N69" s="140" t="n">
        <f aca="false">MAX(0,M69-M68)</f>
        <v>0</v>
      </c>
      <c r="O69" s="139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RESUMO'!BQ35</f>
        <v>100</v>
      </c>
      <c r="N70" s="140" t="n">
        <f aca="false">MAX(0,M70-M69)</f>
        <v>0</v>
      </c>
      <c r="O70" s="139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RESUMO'!BR35</f>
        <v>100</v>
      </c>
      <c r="N71" s="140" t="n">
        <f aca="false">MAX(0,M71-M70)</f>
        <v>0</v>
      </c>
      <c r="O71" s="139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RESUMO'!BS35</f>
        <v>100</v>
      </c>
      <c r="N72" s="140" t="n">
        <f aca="false">MAX(0,M72-M71)</f>
        <v>0</v>
      </c>
      <c r="O72" s="139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RESUMO'!BT35</f>
        <v>100</v>
      </c>
      <c r="N73" s="140" t="n">
        <f aca="false">MAX(0,M73-M72)</f>
        <v>0</v>
      </c>
      <c r="O73" s="139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RESUMO'!BU35</f>
        <v>100</v>
      </c>
      <c r="N74" s="140" t="n">
        <f aca="false">MAX(0,M74-M73)</f>
        <v>0</v>
      </c>
      <c r="O74" s="139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RESUMO'!BV35</f>
        <v>100</v>
      </c>
      <c r="N75" s="140" t="n">
        <f aca="false">MAX(0,M75-M74)</f>
        <v>0</v>
      </c>
      <c r="O75" s="139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RESUMO'!BW35</f>
        <v>100</v>
      </c>
      <c r="N76" s="140" t="n">
        <f aca="false">MAX(0,M76-M75)</f>
        <v>0</v>
      </c>
      <c r="O76" s="139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338262.968273035</v>
      </c>
      <c r="E78" s="61" t="n">
        <f aca="false">SUM(E5:E76)</f>
        <v>260.253933683019</v>
      </c>
      <c r="F78" s="145" t="n">
        <f aca="false">SUM(F5:F76)</f>
        <v>1</v>
      </c>
      <c r="H78" s="61" t="n">
        <f aca="false">SUM(H5:H76)</f>
        <v>304271.52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- FACHADA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PL'!F42</f>
        <v>6036456.85</v>
      </c>
      <c r="K5" s="56" t="n">
        <f aca="false">'VALOR POR PL'!G42</f>
        <v>5167.952534</v>
      </c>
      <c r="L5" s="56" t="n">
        <f aca="false">'DADOS HISTORICOS'!$BZ$36</f>
        <v>0</v>
      </c>
      <c r="M5" s="139" t="n">
        <f aca="false">'CP RESUMO'!D36</f>
        <v>0</v>
      </c>
      <c r="N5" s="140" t="n">
        <v>0</v>
      </c>
      <c r="O5" s="139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PL'!H42</f>
        <v>5167.952534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RESUMO'!E36</f>
        <v>0</v>
      </c>
      <c r="N6" s="140" t="n">
        <f aca="false">MAX(0,M6-M5)</f>
        <v>0</v>
      </c>
      <c r="O6" s="139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6710814.10240981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RESUMO'!F36</f>
        <v>0</v>
      </c>
      <c r="N7" s="140" t="n">
        <f aca="false">MAX(0,M7-M6)</f>
        <v>0</v>
      </c>
      <c r="O7" s="139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0.341167708668336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RESUMO'!G36</f>
        <v>0</v>
      </c>
      <c r="N8" s="140" t="n">
        <f aca="false">MAX(0,M8-M7)</f>
        <v>0</v>
      </c>
      <c r="O8" s="139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6710814.10240981</v>
      </c>
      <c r="K9" s="45" t="n">
        <f aca="false">E78</f>
        <v>5163.18938867084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RESUMO'!H36</f>
        <v>0</v>
      </c>
      <c r="N9" s="140" t="n">
        <f aca="false">MAX(0,M9-M8)</f>
        <v>0</v>
      </c>
      <c r="O9" s="139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5162.84822096217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RESUMO'!I36</f>
        <v>0.22</v>
      </c>
      <c r="N10" s="140" t="n">
        <f aca="false">MAX(0,M10-M9)</f>
        <v>0.22</v>
      </c>
      <c r="O10" s="139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6580609.33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RESUMO'!J36</f>
        <v>0.26</v>
      </c>
      <c r="N11" s="140" t="n">
        <f aca="false">MAX(0,M11-M10)</f>
        <v>0.04</v>
      </c>
      <c r="O11" s="139" t="n">
        <f aca="false">IF(B11&lt;='VALOR POR PL'!$P$5,'CP RESUMO'!J78,"")</f>
        <v>0.24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95.27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RESUMO'!K36</f>
        <v>0.35</v>
      </c>
      <c r="N12" s="140" t="n">
        <f aca="false">MAX(0,M12-M11)</f>
        <v>0.09</v>
      </c>
      <c r="O12" s="139" t="n">
        <f aca="false">IF(B12&lt;='VALOR POR PL'!$P$5,'CP RESUMO'!K78,"")</f>
        <v>0.35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RESUMO'!L36</f>
        <v>0.45</v>
      </c>
      <c r="N13" s="140" t="n">
        <f aca="false">MAX(0,M13-M12)</f>
        <v>0.1</v>
      </c>
      <c r="O13" s="139" t="n">
        <f aca="false">IF(B13&lt;='VALOR POR PL'!$P$5,'CP RESUMO'!L78,"")</f>
        <v>0.44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RESUMO'!$D$78:$BW$78,MATCH('VALOR POR PL'!$P$5,'CP RESUMO'!$D$4:$BW$4,0))/100,0)</f>
        <v>0.0302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RESUMO'!M36</f>
        <v>0.5</v>
      </c>
      <c r="N14" s="140" t="n">
        <f aca="false">MAX(0,M14-M13)</f>
        <v>0.05</v>
      </c>
      <c r="O14" s="139" t="n">
        <f aca="false">IF(B14&lt;='VALOR POR PL'!$P$5,'CP RESUMO'!M78,"")</f>
        <v>0.5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RESUMO'!N36</f>
        <v>0.5</v>
      </c>
      <c r="N15" s="140" t="n">
        <f aca="false">MAX(0,M15-M14)</f>
        <v>0</v>
      </c>
      <c r="O15" s="139" t="n">
        <f aca="false">IF(B15&lt;='VALOR POR PL'!$P$5,'CP RESUMO'!N78,"")</f>
        <v>0.5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RESUMO'!O36</f>
        <v>0.5</v>
      </c>
      <c r="N16" s="140" t="n">
        <f aca="false">MAX(0,M16-M15)</f>
        <v>0</v>
      </c>
      <c r="O16" s="139" t="n">
        <f aca="false">IF(B16&lt;='VALOR POR PL'!$P$5,'CP RESUMO'!O78,"")</f>
        <v>0.5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95.27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RESUMO'!P36</f>
        <v>0.5</v>
      </c>
      <c r="N17" s="140" t="n">
        <f aca="false">MAX(0,M17-M16)</f>
        <v>0</v>
      </c>
      <c r="O17" s="139" t="n">
        <f aca="false">IF(B17&lt;='VALOR POR PL'!$P$5,'CP RESUMO'!P78,"")</f>
        <v>0.5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6710370.67240981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RESUMO'!Q36</f>
        <v>0.5</v>
      </c>
      <c r="N18" s="140" t="n">
        <f aca="false">MAX(0,M18-M17)</f>
        <v>0</v>
      </c>
      <c r="O18" s="139" t="n">
        <f aca="false">IF(B18&lt;='VALOR POR PL'!$P$5,'CP RESUMO'!Q78,"")</f>
        <v>0.5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RESUMO'!R36</f>
        <v>0.5</v>
      </c>
      <c r="N19" s="140" t="n">
        <f aca="false">MAX(0,M19-M18)</f>
        <v>0</v>
      </c>
      <c r="O19" s="139" t="n">
        <f aca="false">IF(B19&lt;='VALOR POR PL'!$P$5,'CP RESUMO'!R78,"")</f>
        <v>0.5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RESUMO'!S36</f>
        <v>0.5</v>
      </c>
      <c r="N20" s="140" t="n">
        <f aca="false">MAX(0,M20-M19)</f>
        <v>0</v>
      </c>
      <c r="O20" s="139" t="n">
        <f aca="false">IF(B20&lt;='VALOR POR PL'!$P$5,'CP RESUMO'!S78,"")</f>
        <v>0.5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RESUMO'!T36</f>
        <v>0.63</v>
      </c>
      <c r="N21" s="140" t="n">
        <f aca="false">MAX(0,M21-M20)</f>
        <v>0.13</v>
      </c>
      <c r="O21" s="139" t="n">
        <f aca="false">IF(B21&lt;='VALOR POR PL'!$P$5,'CP RESUMO'!T78,"")</f>
        <v>0.78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RESUMO'!U36</f>
        <v>1.06</v>
      </c>
      <c r="N22" s="140" t="n">
        <f aca="false">MAX(0,M22-M21)</f>
        <v>0.43</v>
      </c>
      <c r="O22" s="139" t="n">
        <f aca="false">IF(B22&lt;='VALOR POR PL'!$P$5,'CP RESUMO'!U78,"")</f>
        <v>1.28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RESUMO'!V36</f>
        <v>1.49</v>
      </c>
      <c r="N23" s="140" t="n">
        <f aca="false">MAX(0,M23-M22)</f>
        <v>0.43</v>
      </c>
      <c r="O23" s="139" t="n">
        <f aca="false">IF(B23&lt;='VALOR POR PL'!$P$5,'CP RESUMO'!V78,"")</f>
        <v>2.07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RESUMO'!W36</f>
        <v>2.38</v>
      </c>
      <c r="N24" s="140" t="n">
        <f aca="false">MAX(0,M24-M23)</f>
        <v>0.89</v>
      </c>
      <c r="O24" s="139" t="n">
        <f aca="false">IF(B24&lt;='VALOR POR PL'!$P$5,'CP RESUMO'!W78,"")</f>
        <v>2.79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RESUMO'!X36</f>
        <v>3.41</v>
      </c>
      <c r="N25" s="140" t="n">
        <f aca="false">MAX(0,M25-M24)</f>
        <v>1.03</v>
      </c>
      <c r="O25" s="139" t="n">
        <f aca="false">IF(B25&lt;='VALOR POR PL'!$P$5,'CP RESUMO'!X78,"")</f>
        <v>3.02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 t="n">
        <v>85999.25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RESUMO'!Y36</f>
        <v>4.73</v>
      </c>
      <c r="N26" s="140" t="n">
        <f aca="false">MAX(0,M26-M25)</f>
        <v>1.32</v>
      </c>
      <c r="O26" s="139" t="n">
        <f aca="false">IF(B26&lt;='VALOR POR PL'!$P$5,'CP RESUMO'!Y78,"")</f>
        <v>3.02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HISTORICOS'!Z36)</f>
        <v>443.43</v>
      </c>
      <c r="D27" s="45" t="n">
        <f aca="false">IF(B27&lt;='VALOR POR PL'!$P$5,0,IF($K$17&gt;0,$K$18*P27/$K$17,0))</f>
        <v>125374.827300194</v>
      </c>
      <c r="E27" s="45" t="n">
        <f aca="false">L27+D27/$K$2</f>
        <v>96.8024864166841</v>
      </c>
      <c r="F27" s="117" t="n">
        <f aca="false">IF($K$9=0,0,E27/$K$9)</f>
        <v>0.0187485833134631</v>
      </c>
      <c r="G27" s="117" t="n">
        <f aca="false">G26+F27</f>
        <v>0.0187485833134631</v>
      </c>
      <c r="H27" s="138" t="n">
        <v>106665.74</v>
      </c>
      <c r="L27" s="45" t="n">
        <f aca="false">C27/IF(B27&lt;='VALOR POR PL'!$P$5,IFERROR(INDEX('"INCC-FGV"'!$B$2:$B$800,MATCH(B27,'"INCC-FGV"'!$A$2:$A$800,0)),$K$2),$K$2)</f>
        <v>0.341167708668336</v>
      </c>
      <c r="M27" s="139" t="n">
        <f aca="false">'CP RESUMO'!Z36</f>
        <v>6.51</v>
      </c>
      <c r="N27" s="140" t="n">
        <f aca="false">MAX(0,M27-M26)</f>
        <v>1.78</v>
      </c>
      <c r="O27" s="139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1.78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HISTORICOS'!AA36)</f>
        <v>0</v>
      </c>
      <c r="D28" s="45" t="n">
        <f aca="false">IF(B28&lt;='VALOR POR PL'!$P$5,0,IF($K$17&gt;0,$K$18*P28/$K$17,0))</f>
        <v>83818.0025209161</v>
      </c>
      <c r="E28" s="45" t="n">
        <f aca="false">L28+D28/$K$2</f>
        <v>64.4881849789544</v>
      </c>
      <c r="F28" s="117" t="n">
        <f aca="false">IF($K$9=0,0,E28/$K$9)</f>
        <v>0.0124899902220235</v>
      </c>
      <c r="G28" s="117" t="n">
        <f aca="false">G27+F28</f>
        <v>0.0312385735354867</v>
      </c>
      <c r="H28" s="138" t="n">
        <v>91332.54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RESUMO'!AA36</f>
        <v>7.7</v>
      </c>
      <c r="N28" s="140" t="n">
        <f aca="false">MAX(0,M28-M27)</f>
        <v>1.19</v>
      </c>
      <c r="O28" s="139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1.19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47896.0014405235</v>
      </c>
      <c r="E29" s="45" t="n">
        <f aca="false">L29+D29/$K$2</f>
        <v>36.8503914165454</v>
      </c>
      <c r="F29" s="117" t="n">
        <f aca="false">IF($K$9=0,0,E29/$K$9)</f>
        <v>0.00713713726972773</v>
      </c>
      <c r="G29" s="117" t="n">
        <f aca="false">G28+F29</f>
        <v>0.0383757108052144</v>
      </c>
      <c r="H29" s="138" t="n">
        <v>59332.82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RESUMO'!AB36</f>
        <v>8.38</v>
      </c>
      <c r="N29" s="140" t="n">
        <f aca="false">MAX(0,M29-M28)</f>
        <v>0.680000000000001</v>
      </c>
      <c r="O29" s="139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0.680000000000001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57052.5899512117</v>
      </c>
      <c r="E30" s="45" t="n">
        <f aca="false">L30+D30/$K$2</f>
        <v>43.8953191873554</v>
      </c>
      <c r="F30" s="117" t="n">
        <f aca="false">IF($K$9=0,0,E30/$K$9)</f>
        <v>0.00850158998305801</v>
      </c>
      <c r="G30" s="117" t="n">
        <f aca="false">G29+F30</f>
        <v>0.0468773007882724</v>
      </c>
      <c r="H30" s="138" t="n">
        <v>69999.39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RESUMO'!AC36</f>
        <v>9.19</v>
      </c>
      <c r="N30" s="140" t="n">
        <f aca="false">MAX(0,M30-M29)</f>
        <v>0.809999999999999</v>
      </c>
      <c r="O30" s="139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0.809999999999999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57052.5899512118</v>
      </c>
      <c r="E31" s="45" t="n">
        <f aca="false">L31+D31/$K$2</f>
        <v>43.8953191873555</v>
      </c>
      <c r="F31" s="117" t="n">
        <f aca="false">IF($K$9=0,0,E31/$K$9)</f>
        <v>0.00850158998305803</v>
      </c>
      <c r="G31" s="117" t="n">
        <f aca="false">G30+F31</f>
        <v>0.0553788907713304</v>
      </c>
      <c r="H31" s="138" t="n">
        <v>56666.17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RESUMO'!AD36</f>
        <v>10</v>
      </c>
      <c r="N31" s="140" t="n">
        <f aca="false">MAX(0,M31-M30)</f>
        <v>0.810000000000001</v>
      </c>
      <c r="O31" s="139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0.810000000000001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125374.827300194</v>
      </c>
      <c r="E32" s="45" t="n">
        <f aca="false">L32+D32/$K$2</f>
        <v>96.4613187080157</v>
      </c>
      <c r="F32" s="117" t="n">
        <f aca="false">IF($K$9=0,0,E32/$K$9)</f>
        <v>0.0186825063825226</v>
      </c>
      <c r="G32" s="117" t="n">
        <f aca="false">G31+F32</f>
        <v>0.074061397153853</v>
      </c>
      <c r="H32" s="138" t="n">
        <v>163331.91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RESUMO'!AE36</f>
        <v>11.78</v>
      </c>
      <c r="N32" s="140" t="n">
        <f aca="false">MAX(0,M32-M31)</f>
        <v>1.78</v>
      </c>
      <c r="O32" s="139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1.78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238775.654240257</v>
      </c>
      <c r="E33" s="45" t="n">
        <f aca="false">L33+D33/$K$2</f>
        <v>183.710039561895</v>
      </c>
      <c r="F33" s="117" t="n">
        <f aca="false">IF($K$9=0,0,E33/$K$9)</f>
        <v>0.0355807284476132</v>
      </c>
      <c r="G33" s="117" t="n">
        <f aca="false">G32+F33</f>
        <v>0.109642125601466</v>
      </c>
      <c r="H33" s="138" t="n">
        <v>219998.08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RESUMO'!AF36</f>
        <v>15.17</v>
      </c>
      <c r="N33" s="140" t="n">
        <f aca="false">MAX(0,M33-M32)</f>
        <v>3.39</v>
      </c>
      <c r="O33" s="139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3.39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199331.888348061</v>
      </c>
      <c r="E34" s="45" t="n">
        <f aca="false">L34+D34/$K$2</f>
        <v>153.362658395328</v>
      </c>
      <c r="F34" s="117" t="n">
        <f aca="false">IF($K$9=0,0,E34/$K$9)</f>
        <v>0.0297030859901904</v>
      </c>
      <c r="G34" s="117" t="n">
        <f aca="false">G33+F34</f>
        <v>0.139345211591657</v>
      </c>
      <c r="H34" s="138" t="n">
        <v>185998.38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RESUMO'!AG36</f>
        <v>18</v>
      </c>
      <c r="N34" s="140" t="n">
        <f aca="false">MAX(0,M34-M33)</f>
        <v>2.83</v>
      </c>
      <c r="O34" s="139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2.83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221166.830181241</v>
      </c>
      <c r="E35" s="45" t="n">
        <f aca="false">L35+D35/$K$2</f>
        <v>170.162101541107</v>
      </c>
      <c r="F35" s="117" t="n">
        <f aca="false">IF($K$9=0,0,E35/$K$9)</f>
        <v>0.032956780921978</v>
      </c>
      <c r="G35" s="117" t="n">
        <f aca="false">G34+F35</f>
        <v>0.172301992513635</v>
      </c>
      <c r="H35" s="138" t="n">
        <v>207998.19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RESUMO'!AH36</f>
        <v>21.14</v>
      </c>
      <c r="N35" s="140" t="n">
        <f aca="false">MAX(0,M35-M34)</f>
        <v>3.14</v>
      </c>
      <c r="O35" s="139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3.14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232436.477579011</v>
      </c>
      <c r="E36" s="45" t="n">
        <f aca="false">L36+D36/$K$2</f>
        <v>178.832781874411</v>
      </c>
      <c r="F36" s="117" t="n">
        <f aca="false">IF($K$9=0,0,E36/$K$9)</f>
        <v>0.0346361073383846</v>
      </c>
      <c r="G36" s="117" t="n">
        <f aca="false">G35+F36</f>
        <v>0.206938099852019</v>
      </c>
      <c r="H36" s="138" t="n">
        <v>189998.34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RESUMO'!AI36</f>
        <v>24.44</v>
      </c>
      <c r="N36" s="140" t="n">
        <f aca="false">MAX(0,M36-M35)</f>
        <v>3.3</v>
      </c>
      <c r="O36" s="139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3.3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278923.773094813</v>
      </c>
      <c r="E37" s="45" t="n">
        <f aca="false">L37+D37/$K$2</f>
        <v>214.599338249293</v>
      </c>
      <c r="F37" s="117" t="n">
        <f aca="false">IF($K$9=0,0,E37/$K$9)</f>
        <v>0.0415633288060614</v>
      </c>
      <c r="G37" s="117" t="n">
        <f aca="false">G36+F37</f>
        <v>0.248501428658081</v>
      </c>
      <c r="H37" s="138" t="n">
        <v>347330.31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RESUMO'!AJ36</f>
        <v>28.4</v>
      </c>
      <c r="N37" s="140" t="n">
        <f aca="false">MAX(0,M37-M36)</f>
        <v>3.96</v>
      </c>
      <c r="O37" s="139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3.96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548690.957678938</v>
      </c>
      <c r="E38" s="45" t="n">
        <f aca="false">L38+D38/$K$2</f>
        <v>422.153748727777</v>
      </c>
      <c r="F38" s="117" t="n">
        <f aca="false">IF($K$9=0,0,E38/$K$9)</f>
        <v>0.0817622048987926</v>
      </c>
      <c r="G38" s="117" t="n">
        <f aca="false">G37+F38</f>
        <v>0.330263633556873</v>
      </c>
      <c r="H38" s="138" t="n">
        <v>495995.68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RESUMO'!AK36</f>
        <v>36.19</v>
      </c>
      <c r="N38" s="140" t="n">
        <f aca="false">MAX(0,M38-M37)</f>
        <v>7.79</v>
      </c>
      <c r="O38" s="139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7.79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491638.367727727</v>
      </c>
      <c r="E39" s="45" t="n">
        <f aca="false">L39+D39/$K$2</f>
        <v>378.258429540422</v>
      </c>
      <c r="F39" s="117" t="n">
        <f aca="false">IF($K$9=0,0,E39/$K$9)</f>
        <v>0.0732606149157346</v>
      </c>
      <c r="G39" s="117" t="n">
        <f aca="false">G38+F39</f>
        <v>0.403524248472608</v>
      </c>
      <c r="H39" s="138" t="n">
        <v>488662.41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RESUMO'!AL36</f>
        <v>43.17</v>
      </c>
      <c r="N39" s="140" t="n">
        <f aca="false">MAX(0,M39-M38)</f>
        <v>6.98</v>
      </c>
      <c r="O39" s="139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6.98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231732.12461665</v>
      </c>
      <c r="E40" s="45" t="n">
        <f aca="false">L40+D40/$K$2</f>
        <v>178.29086435358</v>
      </c>
      <c r="F40" s="117" t="n">
        <f aca="false">IF($K$9=0,0,E40/$K$9)</f>
        <v>0.0345311494373591</v>
      </c>
      <c r="G40" s="117" t="n">
        <f aca="false">G39+F40</f>
        <v>0.438055397909967</v>
      </c>
      <c r="H40" s="138" t="n">
        <v>133332.17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RESUMO'!AM36</f>
        <v>46.46</v>
      </c>
      <c r="N40" s="140" t="n">
        <f aca="false">MAX(0,M40-M39)</f>
        <v>3.29</v>
      </c>
      <c r="O40" s="139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3.29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209897.18278347</v>
      </c>
      <c r="E41" s="45" t="n">
        <f aca="false">L41+D41/$K$2</f>
        <v>161.491421207802</v>
      </c>
      <c r="F41" s="117" t="n">
        <f aca="false">IF($K$9=0,0,E41/$K$9)</f>
        <v>0.0312774545055715</v>
      </c>
      <c r="G41" s="117" t="n">
        <f aca="false">G40+F41</f>
        <v>0.469332852415538</v>
      </c>
      <c r="H41" s="138" t="n">
        <v>309997.3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RESUMO'!AN36</f>
        <v>49.44</v>
      </c>
      <c r="N41" s="140" t="n">
        <f aca="false">MAX(0,M41-M40)</f>
        <v>2.98</v>
      </c>
      <c r="O41" s="139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2.98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447264.131099006</v>
      </c>
      <c r="E42" s="45" t="n">
        <f aca="false">L42+D42/$K$2</f>
        <v>344.117625728034</v>
      </c>
      <c r="F42" s="117" t="n">
        <f aca="false">IF($K$9=0,0,E42/$K$9)</f>
        <v>0.0666482671511339</v>
      </c>
      <c r="G42" s="117" t="n">
        <f aca="false">G41+F42</f>
        <v>0.535981119566672</v>
      </c>
      <c r="H42" s="138" t="n">
        <v>171331.84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RESUMO'!AO36</f>
        <v>55.79</v>
      </c>
      <c r="N42" s="140" t="n">
        <f aca="false">MAX(0,M42-M41)</f>
        <v>6.35</v>
      </c>
      <c r="O42" s="139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6.35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150731.533945177</v>
      </c>
      <c r="E43" s="45" t="n">
        <f aca="false">L43+D43/$K$2</f>
        <v>115.970349457952</v>
      </c>
      <c r="F43" s="117" t="n">
        <f aca="false">IF($K$9=0,0,E43/$K$9)</f>
        <v>0.0224609908194373</v>
      </c>
      <c r="G43" s="117" t="n">
        <f aca="false">G42+F43</f>
        <v>0.55844211038611</v>
      </c>
      <c r="H43" s="138" t="n">
        <v>282664.2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RESUMO'!AP36</f>
        <v>57.93</v>
      </c>
      <c r="N43" s="140" t="n">
        <f aca="false">MAX(0,M43-M42)</f>
        <v>2.14</v>
      </c>
      <c r="O43" s="139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2.14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478960.014405235</v>
      </c>
      <c r="E44" s="45" t="n">
        <f aca="false">L44+D44/$K$2</f>
        <v>368.503914165454</v>
      </c>
      <c r="F44" s="117" t="n">
        <f aca="false">IF($K$9=0,0,E44/$K$9)</f>
        <v>0.0713713726972773</v>
      </c>
      <c r="G44" s="117" t="n">
        <f aca="false">G43+F44</f>
        <v>0.629813483083387</v>
      </c>
      <c r="H44" s="138" t="n">
        <v>693327.29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RESUMO'!AQ36</f>
        <v>64.73</v>
      </c>
      <c r="N44" s="140" t="n">
        <f aca="false">MAX(0,M44-M43)</f>
        <v>6.8</v>
      </c>
      <c r="O44" s="139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6.8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732527.080855064</v>
      </c>
      <c r="E45" s="45" t="n">
        <f aca="false">L45+D45/$K$2</f>
        <v>563.594221664811</v>
      </c>
      <c r="F45" s="117" t="n">
        <f aca="false">IF($K$9=0,0,E45/$K$9)</f>
        <v>0.109156217066424</v>
      </c>
      <c r="G45" s="117" t="n">
        <f aca="false">G44+F45</f>
        <v>0.738969700149811</v>
      </c>
      <c r="H45" s="138" t="n">
        <v>525328.76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RESUMO'!AR36</f>
        <v>75.13</v>
      </c>
      <c r="N45" s="140" t="n">
        <f aca="false">MAX(0,M45-M44)</f>
        <v>10.4</v>
      </c>
      <c r="O45" s="139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10.4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440924.954437761</v>
      </c>
      <c r="E46" s="45" t="n">
        <f aca="false">L46+D46/$K$2</f>
        <v>339.24036804055</v>
      </c>
      <c r="F46" s="117" t="n">
        <f aca="false">IF($K$9=0,0,E46/$K$9)</f>
        <v>0.0657036460419053</v>
      </c>
      <c r="G46" s="117" t="n">
        <f aca="false">G45+F46</f>
        <v>0.804673346191716</v>
      </c>
      <c r="H46" s="138" t="n">
        <v>482662.46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RESUMO'!AS36</f>
        <v>81.39</v>
      </c>
      <c r="N46" s="140" t="n">
        <f aca="false">MAX(0,M46-M45)</f>
        <v>6.26000000000001</v>
      </c>
      <c r="O46" s="139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6.26000000000001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605039.19466779</v>
      </c>
      <c r="E47" s="45" t="n">
        <f aca="false">L47+D47/$K$2</f>
        <v>465.507150394301</v>
      </c>
      <c r="F47" s="117" t="n">
        <f aca="false">IF($K$9=0,0,E47/$K$9)</f>
        <v>0.0901588369808253</v>
      </c>
      <c r="G47" s="117" t="n">
        <f aca="false">G46+F47</f>
        <v>0.894832183172541</v>
      </c>
      <c r="H47" s="138" t="n">
        <v>511328.88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RESUMO'!AT36</f>
        <v>89.98</v>
      </c>
      <c r="N47" s="140" t="n">
        <f aca="false">MAX(0,M47-M46)</f>
        <v>8.59</v>
      </c>
      <c r="O47" s="139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8.59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HISTORICOS'!AU36)</f>
        <v>0</v>
      </c>
      <c r="D48" s="45" t="n">
        <f aca="false">IF(B48&lt;='VALOR POR PL'!$P$5,0,IF($K$17&gt;0,$K$18*P48/$K$17,0))</f>
        <v>267654.125697043</v>
      </c>
      <c r="E48" s="45" t="n">
        <f aca="false">L48+D48/$K$2</f>
        <v>205.928657915989</v>
      </c>
      <c r="F48" s="117" t="n">
        <f aca="false">IF($K$9=0,0,E48/$K$9)</f>
        <v>0.0398840023896549</v>
      </c>
      <c r="G48" s="117" t="n">
        <f aca="false">G47+F48</f>
        <v>0.934716185562196</v>
      </c>
      <c r="H48" s="138" t="n">
        <v>159331.95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RESUMO'!AU36</f>
        <v>93.78</v>
      </c>
      <c r="N48" s="140" t="n">
        <f aca="false">MAX(0,M48-M47)</f>
        <v>3.8</v>
      </c>
      <c r="O48" s="139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3.8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107766.003241178</v>
      </c>
      <c r="E49" s="45" t="n">
        <f aca="false">L49+D49/$K$2</f>
        <v>82.9133806872271</v>
      </c>
      <c r="F49" s="117" t="n">
        <f aca="false">IF($K$9=0,0,E49/$K$9)</f>
        <v>0.0160585588568874</v>
      </c>
      <c r="G49" s="117" t="n">
        <f aca="false">G48+F49</f>
        <v>0.950774744419084</v>
      </c>
      <c r="H49" s="138" t="n">
        <v>155998.64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RESUMO'!AV36</f>
        <v>95.31</v>
      </c>
      <c r="N49" s="140" t="n">
        <f aca="false">MAX(0,M49-M48)</f>
        <v>1.53</v>
      </c>
      <c r="O49" s="139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1.53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203558.006122225</v>
      </c>
      <c r="E50" s="45" t="n">
        <f aca="false">L50+D50/$K$2</f>
        <v>156.614163520318</v>
      </c>
      <c r="F50" s="117" t="n">
        <f aca="false">IF($K$9=0,0,E50/$K$9)</f>
        <v>0.0303328333963428</v>
      </c>
      <c r="G50" s="117" t="n">
        <f aca="false">G49+F50</f>
        <v>0.981107577815427</v>
      </c>
      <c r="H50" s="138" t="n">
        <v>232664.64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RESUMO'!AW36</f>
        <v>98.2</v>
      </c>
      <c r="N50" s="140" t="n">
        <f aca="false">MAX(0,M50-M49)</f>
        <v>2.89</v>
      </c>
      <c r="O50" s="139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2.89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35922.001080392</v>
      </c>
      <c r="E51" s="45" t="n">
        <f aca="false">L51+D51/$K$2</f>
        <v>27.6377935624085</v>
      </c>
      <c r="F51" s="117" t="n">
        <f aca="false">IF($K$9=0,0,E51/$K$9)</f>
        <v>0.0053528529522957</v>
      </c>
      <c r="G51" s="117" t="n">
        <f aca="false">G50+F51</f>
        <v>0.986460430767722</v>
      </c>
      <c r="H51" s="138" t="n">
        <v>215283.57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RESUMO'!AX36</f>
        <v>98.71</v>
      </c>
      <c r="N51" s="140" t="n">
        <f aca="false">MAX(0,M51-M50)</f>
        <v>0.509999999999991</v>
      </c>
      <c r="O51" s="139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0.509999999999991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88748.4732574409</v>
      </c>
      <c r="E52" s="45" t="n">
        <f aca="false">L52+D52/$K$2</f>
        <v>68.2816076247755</v>
      </c>
      <c r="F52" s="117" t="n">
        <f aca="false">IF($K$9=0,0,E52/$K$9)</f>
        <v>0.0132246955292014</v>
      </c>
      <c r="G52" s="117" t="n">
        <f aca="false">G51+F52</f>
        <v>0.999685126296924</v>
      </c>
      <c r="H52" s="138" t="n">
        <v>24047.67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RESUMO'!AY36</f>
        <v>99.97</v>
      </c>
      <c r="N52" s="140" t="n">
        <f aca="false">MAX(0,M52-M51)</f>
        <v>1.26000000000001</v>
      </c>
      <c r="O52" s="139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1.26000000000001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2113.058887082</v>
      </c>
      <c r="E53" s="45" t="n">
        <f aca="false">L53+D53/$K$2</f>
        <v>1.62575256249471</v>
      </c>
      <c r="F53" s="117" t="n">
        <f aca="false">IF($K$9=0,0,E53/$K$9)</f>
        <v>0.000314873703076235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RESUMO'!AZ36</f>
        <v>100</v>
      </c>
      <c r="N53" s="140" t="n">
        <f aca="false">MAX(0,M53-M52)</f>
        <v>0.0300000000000011</v>
      </c>
      <c r="O53" s="139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0.0300000000000011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RESUMO'!BA36</f>
        <v>100</v>
      </c>
      <c r="N54" s="140" t="n">
        <f aca="false">MAX(0,M54-M53)</f>
        <v>0</v>
      </c>
      <c r="O54" s="139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RESUMO'!BB36</f>
        <v>100</v>
      </c>
      <c r="N55" s="140" t="n">
        <f aca="false">MAX(0,M55-M54)</f>
        <v>0</v>
      </c>
      <c r="O55" s="139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RESUMO'!BC36</f>
        <v>100</v>
      </c>
      <c r="N56" s="140" t="n">
        <f aca="false">MAX(0,M56-M55)</f>
        <v>0</v>
      </c>
      <c r="O56" s="139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RESUMO'!BD36</f>
        <v>100</v>
      </c>
      <c r="N57" s="140" t="n">
        <f aca="false">MAX(0,M57-M56)</f>
        <v>0</v>
      </c>
      <c r="O57" s="139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RESUMO'!BE36</f>
        <v>100</v>
      </c>
      <c r="N58" s="140" t="n">
        <f aca="false">MAX(0,M58-M57)</f>
        <v>0</v>
      </c>
      <c r="O58" s="139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RESUMO'!BF36</f>
        <v>100</v>
      </c>
      <c r="N59" s="140" t="n">
        <f aca="false">MAX(0,M59-M58)</f>
        <v>0</v>
      </c>
      <c r="O59" s="139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RESUMO'!BG36</f>
        <v>100</v>
      </c>
      <c r="N60" s="140" t="n">
        <f aca="false">MAX(0,M60-M59)</f>
        <v>0</v>
      </c>
      <c r="O60" s="139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RESUMO'!BH36</f>
        <v>100</v>
      </c>
      <c r="N61" s="140" t="n">
        <f aca="false">MAX(0,M61-M60)</f>
        <v>0</v>
      </c>
      <c r="O61" s="139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RESUMO'!BI36</f>
        <v>100</v>
      </c>
      <c r="N62" s="140" t="n">
        <f aca="false">MAX(0,M62-M61)</f>
        <v>0</v>
      </c>
      <c r="O62" s="139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RESUMO'!BJ36</f>
        <v>100</v>
      </c>
      <c r="N63" s="140" t="n">
        <f aca="false">MAX(0,M63-M62)</f>
        <v>0</v>
      </c>
      <c r="O63" s="139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RESUMO'!BK36</f>
        <v>100</v>
      </c>
      <c r="N64" s="140" t="n">
        <f aca="false">MAX(0,M64-M63)</f>
        <v>0</v>
      </c>
      <c r="O64" s="139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RESUMO'!BL36</f>
        <v>100</v>
      </c>
      <c r="N65" s="140" t="n">
        <f aca="false">MAX(0,M65-M64)</f>
        <v>0</v>
      </c>
      <c r="O65" s="139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RESUMO'!BM36</f>
        <v>100</v>
      </c>
      <c r="N66" s="140" t="n">
        <f aca="false">MAX(0,M66-M65)</f>
        <v>0</v>
      </c>
      <c r="O66" s="139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RESUMO'!BN36</f>
        <v>100</v>
      </c>
      <c r="N67" s="140" t="n">
        <f aca="false">MAX(0,M67-M66)</f>
        <v>0</v>
      </c>
      <c r="O67" s="139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RESUMO'!BO36</f>
        <v>100</v>
      </c>
      <c r="N68" s="140" t="n">
        <f aca="false">MAX(0,M68-M67)</f>
        <v>0</v>
      </c>
      <c r="O68" s="139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RESUMO'!BP36</f>
        <v>100</v>
      </c>
      <c r="N69" s="140" t="n">
        <f aca="false">MAX(0,M69-M68)</f>
        <v>0</v>
      </c>
      <c r="O69" s="139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RESUMO'!BQ36</f>
        <v>100</v>
      </c>
      <c r="N70" s="140" t="n">
        <f aca="false">MAX(0,M70-M69)</f>
        <v>0</v>
      </c>
      <c r="O70" s="139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RESUMO'!BR36</f>
        <v>100</v>
      </c>
      <c r="N71" s="140" t="n">
        <f aca="false">MAX(0,M71-M70)</f>
        <v>0</v>
      </c>
      <c r="O71" s="139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RESUMO'!BS36</f>
        <v>100</v>
      </c>
      <c r="N72" s="140" t="n">
        <f aca="false">MAX(0,M72-M71)</f>
        <v>0</v>
      </c>
      <c r="O72" s="139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RESUMO'!BT36</f>
        <v>100</v>
      </c>
      <c r="N73" s="140" t="n">
        <f aca="false">MAX(0,M73-M72)</f>
        <v>0</v>
      </c>
      <c r="O73" s="139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RESUMO'!BU36</f>
        <v>100</v>
      </c>
      <c r="N74" s="140" t="n">
        <f aca="false">MAX(0,M74-M73)</f>
        <v>0</v>
      </c>
      <c r="O74" s="139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RESUMO'!BV36</f>
        <v>100</v>
      </c>
      <c r="N75" s="140" t="n">
        <f aca="false">MAX(0,M75-M74)</f>
        <v>0</v>
      </c>
      <c r="O75" s="139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RESUMO'!BW36</f>
        <v>100</v>
      </c>
      <c r="N76" s="140" t="n">
        <f aca="false">MAX(0,M76-M75)</f>
        <v>0</v>
      </c>
      <c r="O76" s="139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443.43</v>
      </c>
      <c r="D78" s="61" t="n">
        <f aca="false">SUM(D5:D76)</f>
        <v>6710370.67240981</v>
      </c>
      <c r="E78" s="61" t="n">
        <f aca="false">SUM(E5:E76)</f>
        <v>5163.18938867084</v>
      </c>
      <c r="F78" s="145" t="n">
        <f aca="false">SUM(F5:F76)</f>
        <v>1</v>
      </c>
      <c r="H78" s="61" t="n">
        <f aca="false">SUM(H5:H76)</f>
        <v>6666608.58</v>
      </c>
      <c r="L78" s="61" t="n">
        <f aca="false">SUM(L5:L76)</f>
        <v>0.341167708668336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PL'!F43</f>
        <v>1576702.41</v>
      </c>
      <c r="K5" s="56" t="n">
        <f aca="false">'VALOR POR PL'!G43</f>
        <v>1349.851976</v>
      </c>
      <c r="L5" s="56" t="n">
        <f aca="false">'DADOS HISTORICOS'!$BZ$37</f>
        <v>0</v>
      </c>
      <c r="M5" s="139" t="n">
        <f aca="false">'CP RESUMO'!D37</f>
        <v>0</v>
      </c>
      <c r="N5" s="140" t="n">
        <v>0</v>
      </c>
      <c r="O5" s="139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PL'!H43</f>
        <v>1349.851976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RESUMO'!E37</f>
        <v>0</v>
      </c>
      <c r="N6" s="140" t="n">
        <f aca="false">MAX(0,M6-M5)</f>
        <v>0</v>
      </c>
      <c r="O6" s="139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1752842.16822705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RESUMO'!F37</f>
        <v>0</v>
      </c>
      <c r="N7" s="140" t="n">
        <f aca="false">MAX(0,M7-M6)</f>
        <v>0</v>
      </c>
      <c r="O7" s="139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RESUMO'!G37</f>
        <v>0</v>
      </c>
      <c r="N8" s="140" t="n">
        <f aca="false">MAX(0,M8-M7)</f>
        <v>0</v>
      </c>
      <c r="O8" s="139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1752842.16822705</v>
      </c>
      <c r="K9" s="45" t="n">
        <f aca="false">E78</f>
        <v>1348.60777617946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RESUMO'!H37</f>
        <v>0</v>
      </c>
      <c r="N9" s="140" t="n">
        <f aca="false">MAX(0,M9-M8)</f>
        <v>0</v>
      </c>
      <c r="O9" s="139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1348.60777617946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RESUMO'!I37</f>
        <v>0</v>
      </c>
      <c r="N10" s="140" t="n">
        <f aca="false">MAX(0,M10-M9)</f>
        <v>0</v>
      </c>
      <c r="O10" s="139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1576702.42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RESUMO'!J37</f>
        <v>0</v>
      </c>
      <c r="N11" s="140" t="n">
        <f aca="false">MAX(0,M11-M10)</f>
        <v>0</v>
      </c>
      <c r="O11" s="139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RESUMO'!K37</f>
        <v>0</v>
      </c>
      <c r="N12" s="140" t="n">
        <f aca="false">MAX(0,M12-M11)</f>
        <v>0</v>
      </c>
      <c r="O12" s="139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RESUMO'!L37</f>
        <v>0</v>
      </c>
      <c r="N13" s="140" t="n">
        <f aca="false">MAX(0,M13-M12)</f>
        <v>0</v>
      </c>
      <c r="O13" s="139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RESUMO'!M37</f>
        <v>0</v>
      </c>
      <c r="N14" s="140" t="n">
        <f aca="false">MAX(0,M14-M13)</f>
        <v>0</v>
      </c>
      <c r="O14" s="139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RESUMO'!N37</f>
        <v>0</v>
      </c>
      <c r="N15" s="140" t="n">
        <f aca="false">MAX(0,M15-M14)</f>
        <v>0</v>
      </c>
      <c r="O15" s="139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RESUMO'!O37</f>
        <v>0</v>
      </c>
      <c r="N16" s="140" t="n">
        <f aca="false">MAX(0,M16-M15)</f>
        <v>0</v>
      </c>
      <c r="O16" s="139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RESUMO'!P37</f>
        <v>0</v>
      </c>
      <c r="N17" s="140" t="n">
        <f aca="false">MAX(0,M17-M16)</f>
        <v>0</v>
      </c>
      <c r="O17" s="139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1752842.16822705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RESUMO'!Q37</f>
        <v>0</v>
      </c>
      <c r="N18" s="140" t="n">
        <f aca="false">MAX(0,M18-M17)</f>
        <v>0</v>
      </c>
      <c r="O18" s="139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RESUMO'!R37</f>
        <v>0</v>
      </c>
      <c r="N19" s="140" t="n">
        <f aca="false">MAX(0,M19-M18)</f>
        <v>0</v>
      </c>
      <c r="O19" s="139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RESUMO'!S37</f>
        <v>0</v>
      </c>
      <c r="N20" s="140" t="n">
        <f aca="false">MAX(0,M20-M19)</f>
        <v>0</v>
      </c>
      <c r="O20" s="139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RESUMO'!T37</f>
        <v>0</v>
      </c>
      <c r="N21" s="140" t="n">
        <f aca="false">MAX(0,M21-M20)</f>
        <v>0</v>
      </c>
      <c r="O21" s="139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RESUMO'!U37</f>
        <v>0</v>
      </c>
      <c r="N22" s="140" t="n">
        <f aca="false">MAX(0,M22-M21)</f>
        <v>0</v>
      </c>
      <c r="O22" s="139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RESUMO'!V37</f>
        <v>0</v>
      </c>
      <c r="N23" s="140" t="n">
        <f aca="false">MAX(0,M23-M22)</f>
        <v>0</v>
      </c>
      <c r="O23" s="139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RESUMO'!W37</f>
        <v>0</v>
      </c>
      <c r="N24" s="140" t="n">
        <f aca="false">MAX(0,M24-M23)</f>
        <v>0</v>
      </c>
      <c r="O24" s="139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RESUMO'!X37</f>
        <v>0</v>
      </c>
      <c r="N25" s="140" t="n">
        <f aca="false">MAX(0,M25-M24)</f>
        <v>0</v>
      </c>
      <c r="O25" s="139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RESUMO'!Y37</f>
        <v>0</v>
      </c>
      <c r="N26" s="140" t="n">
        <f aca="false">MAX(0,M26-M25)</f>
        <v>0</v>
      </c>
      <c r="O26" s="139" t="n">
        <f aca="false">IF(B26&lt;='VALOR POR PL'!$P$5,'CP RESUMO'!Y79,"")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RESUMO'!Z37</f>
        <v>0</v>
      </c>
      <c r="N27" s="140" t="n">
        <f aca="false">MAX(0,M27-M26)</f>
        <v>0</v>
      </c>
      <c r="O27" s="139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RESUMO'!AA37</f>
        <v>0</v>
      </c>
      <c r="N28" s="140" t="n">
        <f aca="false">MAX(0,M28-M27)</f>
        <v>0</v>
      </c>
      <c r="O28" s="139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RESUMO'!AB37</f>
        <v>0</v>
      </c>
      <c r="N29" s="140" t="n">
        <f aca="false">MAX(0,M29-M28)</f>
        <v>0</v>
      </c>
      <c r="O29" s="139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RESUMO'!AC37</f>
        <v>0</v>
      </c>
      <c r="N30" s="140" t="n">
        <f aca="false">MAX(0,M30-M29)</f>
        <v>0</v>
      </c>
      <c r="O30" s="139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31901.7274617323</v>
      </c>
      <c r="E31" s="45" t="n">
        <f aca="false">L31+D31/$K$2</f>
        <v>24.5446615264662</v>
      </c>
      <c r="F31" s="117" t="n">
        <f aca="false">IF($K$9=0,0,E31/$K$9)</f>
        <v>0.0182</v>
      </c>
      <c r="G31" s="117" t="n">
        <f aca="false">G30+F31</f>
        <v>0.0182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RESUMO'!AD37</f>
        <v>1.82</v>
      </c>
      <c r="N31" s="140" t="n">
        <f aca="false">MAX(0,M31-M30)</f>
        <v>1.82</v>
      </c>
      <c r="O31" s="139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1.82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0.0182</v>
      </c>
      <c r="H32" s="138" t="n">
        <v>16501.31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RESUMO'!AE37</f>
        <v>1.82</v>
      </c>
      <c r="N32" s="140" t="n">
        <f aca="false">MAX(0,M32-M31)</f>
        <v>0</v>
      </c>
      <c r="O32" s="139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86239.8346767707</v>
      </c>
      <c r="E33" s="45" t="n">
        <f aca="false">L33+D33/$K$2</f>
        <v>66.3515025880296</v>
      </c>
      <c r="F33" s="117" t="n">
        <f aca="false">IF($K$9=0,0,E33/$K$9)</f>
        <v>0.0492</v>
      </c>
      <c r="G33" s="117" t="n">
        <f aca="false">G32+F33</f>
        <v>0.0674</v>
      </c>
      <c r="H33" s="138" t="n">
        <v>16501.31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RESUMO'!AF37</f>
        <v>6.74</v>
      </c>
      <c r="N33" s="140" t="n">
        <f aca="false">MAX(0,M33-M32)</f>
        <v>4.92</v>
      </c>
      <c r="O33" s="139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4.92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107799.793345963</v>
      </c>
      <c r="E34" s="45" t="n">
        <f aca="false">L34+D34/$K$2</f>
        <v>82.939378235037</v>
      </c>
      <c r="F34" s="117" t="n">
        <f aca="false">IF($K$9=0,0,E34/$K$9)</f>
        <v>0.0615</v>
      </c>
      <c r="G34" s="117" t="n">
        <f aca="false">G33+F34</f>
        <v>0.1289</v>
      </c>
      <c r="H34" s="138" t="n">
        <v>16501.31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RESUMO'!AG37</f>
        <v>12.89</v>
      </c>
      <c r="N34" s="140" t="n">
        <f aca="false">MAX(0,M34-M33)</f>
        <v>6.15</v>
      </c>
      <c r="O34" s="139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6.15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208588.218019019</v>
      </c>
      <c r="E35" s="45" t="n">
        <f aca="false">L35+D35/$K$2</f>
        <v>160.484325365356</v>
      </c>
      <c r="F35" s="117" t="n">
        <f aca="false">IF($K$9=0,0,E35/$K$9)</f>
        <v>0.119</v>
      </c>
      <c r="G35" s="117" t="n">
        <f aca="false">G34+F35</f>
        <v>0.2479</v>
      </c>
      <c r="H35" s="138" t="n">
        <v>16501.31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RESUMO'!AH37</f>
        <v>24.79</v>
      </c>
      <c r="N35" s="140" t="n">
        <f aca="false">MAX(0,M35-M34)</f>
        <v>11.9</v>
      </c>
      <c r="O35" s="139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11.9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290095.378841576</v>
      </c>
      <c r="E36" s="45" t="n">
        <f aca="false">L36+D36/$K$2</f>
        <v>223.194586957701</v>
      </c>
      <c r="F36" s="117" t="n">
        <f aca="false">IF($K$9=0,0,E36/$K$9)</f>
        <v>0.1655</v>
      </c>
      <c r="G36" s="117" t="n">
        <f aca="false">G35+F36</f>
        <v>0.4134</v>
      </c>
      <c r="H36" s="138" t="n">
        <v>131680.46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RESUMO'!AI37</f>
        <v>41.34</v>
      </c>
      <c r="N36" s="140" t="n">
        <f aca="false">MAX(0,M36-M35)</f>
        <v>16.55</v>
      </c>
      <c r="O36" s="139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16.55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90797.2243141611</v>
      </c>
      <c r="E37" s="45" t="n">
        <f aca="false">L37+D37/$K$2</f>
        <v>69.8578828060962</v>
      </c>
      <c r="F37" s="117" t="n">
        <f aca="false">IF($K$9=0,0,E37/$K$9)</f>
        <v>0.0518</v>
      </c>
      <c r="G37" s="117" t="n">
        <f aca="false">G36+F37</f>
        <v>0.4652</v>
      </c>
      <c r="H37" s="138" t="n">
        <v>114024.06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RESUMO'!AJ37</f>
        <v>46.52</v>
      </c>
      <c r="N37" s="140" t="n">
        <f aca="false">MAX(0,M37-M36)</f>
        <v>5.18</v>
      </c>
      <c r="O37" s="139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5.18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102365.98262446</v>
      </c>
      <c r="E38" s="45" t="n">
        <f aca="false">L38+D38/$K$2</f>
        <v>78.7586941288806</v>
      </c>
      <c r="F38" s="117" t="n">
        <f aca="false">IF($K$9=0,0,E38/$K$9)</f>
        <v>0.0584</v>
      </c>
      <c r="G38" s="117" t="n">
        <f aca="false">G37+F38</f>
        <v>0.5236</v>
      </c>
      <c r="H38" s="138" t="n">
        <v>126730.07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RESUMO'!AK37</f>
        <v>52.36</v>
      </c>
      <c r="N38" s="140" t="n">
        <f aca="false">MAX(0,M38-M37)</f>
        <v>5.84</v>
      </c>
      <c r="O38" s="139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5.84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107799.793345963</v>
      </c>
      <c r="E39" s="45" t="n">
        <f aca="false">L39+D39/$K$2</f>
        <v>82.939378235037</v>
      </c>
      <c r="F39" s="117" t="n">
        <f aca="false">IF($K$9=0,0,E39/$K$9)</f>
        <v>0.0615</v>
      </c>
      <c r="G39" s="117" t="n">
        <f aca="false">G38+F39</f>
        <v>0.5851</v>
      </c>
      <c r="H39" s="138" t="n">
        <v>111713.88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RESUMO'!AL37</f>
        <v>58.51</v>
      </c>
      <c r="N39" s="140" t="n">
        <f aca="false">MAX(0,M39-M38)</f>
        <v>6.15</v>
      </c>
      <c r="O39" s="139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6.15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107975.077562786</v>
      </c>
      <c r="E40" s="45" t="n">
        <f aca="false">L40+D40/$K$2</f>
        <v>83.074239012655</v>
      </c>
      <c r="F40" s="117" t="n">
        <f aca="false">IF($K$9=0,0,E40/$K$9)</f>
        <v>0.0616</v>
      </c>
      <c r="G40" s="117" t="n">
        <f aca="false">G39+F40</f>
        <v>0.6467</v>
      </c>
      <c r="H40" s="138" t="n">
        <v>71120.65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RESUMO'!AM37</f>
        <v>64.67</v>
      </c>
      <c r="N40" s="140" t="n">
        <f aca="false">MAX(0,M40-M39)</f>
        <v>6.16</v>
      </c>
      <c r="O40" s="139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6.16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98685.0140711827</v>
      </c>
      <c r="E41" s="45" t="n">
        <f aca="false">L41+D41/$K$2</f>
        <v>75.9266177989037</v>
      </c>
      <c r="F41" s="117" t="n">
        <f aca="false">IF($K$9=0,0,E41/$K$9)</f>
        <v>0.0563</v>
      </c>
      <c r="G41" s="117" t="n">
        <f aca="false">G40+F41</f>
        <v>0.703</v>
      </c>
      <c r="H41" s="138" t="n">
        <v>106433.46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RESUMO'!AN37</f>
        <v>70.3</v>
      </c>
      <c r="N41" s="140" t="n">
        <f aca="false">MAX(0,M41-M40)</f>
        <v>5.63</v>
      </c>
      <c r="O41" s="139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5.63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175810.069473173</v>
      </c>
      <c r="E42" s="45" t="n">
        <f aca="false">L42+D42/$K$2</f>
        <v>135.2653599508</v>
      </c>
      <c r="F42" s="117" t="n">
        <f aca="false">IF($K$9=0,0,E42/$K$9)</f>
        <v>0.1003</v>
      </c>
      <c r="G42" s="117" t="n">
        <f aca="false">G41+F42</f>
        <v>0.8033</v>
      </c>
      <c r="H42" s="138" t="n">
        <v>186134.79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RESUMO'!AO37</f>
        <v>80.33</v>
      </c>
      <c r="N42" s="140" t="n">
        <f aca="false">MAX(0,M42-M41)</f>
        <v>10.03</v>
      </c>
      <c r="O42" s="139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10.03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59070.7810692516</v>
      </c>
      <c r="E43" s="45" t="n">
        <f aca="false">L43+D43/$K$2</f>
        <v>45.448082057248</v>
      </c>
      <c r="F43" s="117" t="n">
        <f aca="false">IF($K$9=0,0,E43/$K$9)</f>
        <v>0.0337</v>
      </c>
      <c r="G43" s="117" t="n">
        <f aca="false">G42+F43</f>
        <v>0.837</v>
      </c>
      <c r="H43" s="138" t="n">
        <v>222602.69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RESUMO'!AP37</f>
        <v>83.7</v>
      </c>
      <c r="N43" s="140" t="n">
        <f aca="false">MAX(0,M43-M42)</f>
        <v>3.37</v>
      </c>
      <c r="O43" s="139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3.37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32953.4327626684</v>
      </c>
      <c r="E44" s="45" t="n">
        <f aca="false">L44+D44/$K$2</f>
        <v>25.3538261921738</v>
      </c>
      <c r="F44" s="117" t="n">
        <f aca="false">IF($K$9=0,0,E44/$K$9)</f>
        <v>0.0188</v>
      </c>
      <c r="G44" s="117" t="n">
        <f aca="false">G43+F44</f>
        <v>0.8558</v>
      </c>
      <c r="H44" s="138" t="n">
        <v>126730.07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RESUMO'!AQ37</f>
        <v>85.58</v>
      </c>
      <c r="N44" s="140" t="n">
        <f aca="false">MAX(0,M44-M43)</f>
        <v>1.88</v>
      </c>
      <c r="O44" s="139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1.88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5959.66337197202</v>
      </c>
      <c r="E45" s="45" t="n">
        <f aca="false">L45+D45/$K$2</f>
        <v>4.58526643901022</v>
      </c>
      <c r="F45" s="117" t="n">
        <f aca="false">IF($K$9=0,0,E45/$K$9)</f>
        <v>0.00340000000000003</v>
      </c>
      <c r="G45" s="117" t="n">
        <f aca="false">G44+F45</f>
        <v>0.8592</v>
      </c>
      <c r="H45" s="138" t="n">
        <v>110888.81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RESUMO'!AR37</f>
        <v>85.92</v>
      </c>
      <c r="N45" s="140" t="n">
        <f aca="false">MAX(0,M45-M44)</f>
        <v>0.340000000000003</v>
      </c>
      <c r="O45" s="139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0.340000000000003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40140.0856523993</v>
      </c>
      <c r="E46" s="45" t="n">
        <f aca="false">L46+D46/$K$2</f>
        <v>30.8831180745096</v>
      </c>
      <c r="F46" s="117" t="n">
        <f aca="false">IF($K$9=0,0,E46/$K$9)</f>
        <v>0.0228999999999999</v>
      </c>
      <c r="G46" s="117" t="n">
        <f aca="false">G45+F46</f>
        <v>0.8821</v>
      </c>
      <c r="H46" s="138" t="n">
        <v>69470.52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RESUMO'!AS37</f>
        <v>88.21</v>
      </c>
      <c r="N46" s="140" t="n">
        <f aca="false">MAX(0,M46-M45)</f>
        <v>2.28999999999999</v>
      </c>
      <c r="O46" s="139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2.28999999999999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106748.088045027</v>
      </c>
      <c r="E47" s="45" t="n">
        <f aca="false">L47+D47/$K$2</f>
        <v>82.1302135693293</v>
      </c>
      <c r="F47" s="117" t="n">
        <f aca="false">IF($K$9=0,0,E47/$K$9)</f>
        <v>0.0609</v>
      </c>
      <c r="G47" s="117" t="n">
        <f aca="false">G46+F47</f>
        <v>0.943</v>
      </c>
      <c r="H47" s="138" t="n">
        <v>45050.71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RESUMO'!AT37</f>
        <v>94.3</v>
      </c>
      <c r="N47" s="140" t="n">
        <f aca="false">MAX(0,M47-M46)</f>
        <v>6.09</v>
      </c>
      <c r="O47" s="139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6.09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20858.8218019018</v>
      </c>
      <c r="E48" s="45" t="n">
        <f aca="false">L48+D48/$K$2</f>
        <v>16.0484325365356</v>
      </c>
      <c r="F48" s="117" t="n">
        <f aca="false">IF($K$9=0,0,E48/$K$9)</f>
        <v>0.0119</v>
      </c>
      <c r="G48" s="117" t="n">
        <f aca="false">G47+F48</f>
        <v>0.9549</v>
      </c>
      <c r="H48" s="138" t="n">
        <v>30362.41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RESUMO'!AU37</f>
        <v>95.49</v>
      </c>
      <c r="N48" s="140" t="n">
        <f aca="false">MAX(0,M48-M47)</f>
        <v>1.19</v>
      </c>
      <c r="O48" s="139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1.19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44522.1910729671</v>
      </c>
      <c r="E49" s="45" t="n">
        <f aca="false">L49+D49/$K$2</f>
        <v>34.2546375149584</v>
      </c>
      <c r="F49" s="117" t="n">
        <f aca="false">IF($K$9=0,0,E49/$K$9)</f>
        <v>0.0254000000000001</v>
      </c>
      <c r="G49" s="117" t="n">
        <f aca="false">G48+F49</f>
        <v>0.9803</v>
      </c>
      <c r="H49" s="138" t="n">
        <v>22771.81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RESUMO'!AV37</f>
        <v>98.03</v>
      </c>
      <c r="N49" s="140" t="n">
        <f aca="false">MAX(0,M49-M48)</f>
        <v>2.54000000000001</v>
      </c>
      <c r="O49" s="139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2.54000000000001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0.9803</v>
      </c>
      <c r="H50" s="138" t="n">
        <v>14356.14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RESUMO'!AW37</f>
        <v>98.03</v>
      </c>
      <c r="N50" s="140" t="n">
        <f aca="false">MAX(0,M50-M49)</f>
        <v>0</v>
      </c>
      <c r="O50" s="139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34530.9907140728</v>
      </c>
      <c r="E51" s="45" t="n">
        <f aca="false">L51+D51/$K$2</f>
        <v>26.5675731907354</v>
      </c>
      <c r="F51" s="117" t="n">
        <f aca="false">IF($K$9=0,0,E51/$K$9)</f>
        <v>0.0197</v>
      </c>
      <c r="G51" s="117" t="n">
        <f aca="false">G50+F51</f>
        <v>1</v>
      </c>
      <c r="H51" s="138" t="n">
        <v>10395.83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RESUMO'!AX37</f>
        <v>100</v>
      </c>
      <c r="N51" s="140" t="n">
        <f aca="false">MAX(0,M51-M50)</f>
        <v>1.97</v>
      </c>
      <c r="O51" s="139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1.97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 t="n">
        <v>5115.41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RESUMO'!AY37</f>
        <v>100</v>
      </c>
      <c r="N52" s="140" t="n">
        <f aca="false">MAX(0,M52-M51)</f>
        <v>0</v>
      </c>
      <c r="O52" s="139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 t="n">
        <v>5115.41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RESUMO'!AZ37</f>
        <v>100</v>
      </c>
      <c r="N53" s="140" t="n">
        <f aca="false">MAX(0,M53-M52)</f>
        <v>0</v>
      </c>
      <c r="O53" s="139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RESUMO'!BA37</f>
        <v>100</v>
      </c>
      <c r="N54" s="140" t="n">
        <f aca="false">MAX(0,M54-M53)</f>
        <v>0</v>
      </c>
      <c r="O54" s="139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RESUMO'!BB37</f>
        <v>100</v>
      </c>
      <c r="N55" s="140" t="n">
        <f aca="false">MAX(0,M55-M54)</f>
        <v>0</v>
      </c>
      <c r="O55" s="139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RESUMO'!BC37</f>
        <v>100</v>
      </c>
      <c r="N56" s="140" t="n">
        <f aca="false">MAX(0,M56-M55)</f>
        <v>0</v>
      </c>
      <c r="O56" s="139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RESUMO'!BD37</f>
        <v>100</v>
      </c>
      <c r="N57" s="140" t="n">
        <f aca="false">MAX(0,M57-M56)</f>
        <v>0</v>
      </c>
      <c r="O57" s="139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RESUMO'!BE37</f>
        <v>100</v>
      </c>
      <c r="N58" s="140" t="n">
        <f aca="false">MAX(0,M58-M57)</f>
        <v>0</v>
      </c>
      <c r="O58" s="139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RESUMO'!BF37</f>
        <v>100</v>
      </c>
      <c r="N59" s="140" t="n">
        <f aca="false">MAX(0,M59-M58)</f>
        <v>0</v>
      </c>
      <c r="O59" s="139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RESUMO'!BG37</f>
        <v>100</v>
      </c>
      <c r="N60" s="140" t="n">
        <f aca="false">MAX(0,M60-M59)</f>
        <v>0</v>
      </c>
      <c r="O60" s="139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RESUMO'!BH37</f>
        <v>100</v>
      </c>
      <c r="N61" s="140" t="n">
        <f aca="false">MAX(0,M61-M60)</f>
        <v>0</v>
      </c>
      <c r="O61" s="139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RESUMO'!BI37</f>
        <v>100</v>
      </c>
      <c r="N62" s="140" t="n">
        <f aca="false">MAX(0,M62-M61)</f>
        <v>0</v>
      </c>
      <c r="O62" s="139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RESUMO'!BJ37</f>
        <v>100</v>
      </c>
      <c r="N63" s="140" t="n">
        <f aca="false">MAX(0,M63-M62)</f>
        <v>0</v>
      </c>
      <c r="O63" s="139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RESUMO'!BK37</f>
        <v>100</v>
      </c>
      <c r="N64" s="140" t="n">
        <f aca="false">MAX(0,M64-M63)</f>
        <v>0</v>
      </c>
      <c r="O64" s="139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RESUMO'!BL37</f>
        <v>100</v>
      </c>
      <c r="N65" s="140" t="n">
        <f aca="false">MAX(0,M65-M64)</f>
        <v>0</v>
      </c>
      <c r="O65" s="139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RESUMO'!BM37</f>
        <v>100</v>
      </c>
      <c r="N66" s="140" t="n">
        <f aca="false">MAX(0,M66-M65)</f>
        <v>0</v>
      </c>
      <c r="O66" s="139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RESUMO'!BN37</f>
        <v>100</v>
      </c>
      <c r="N67" s="140" t="n">
        <f aca="false">MAX(0,M67-M66)</f>
        <v>0</v>
      </c>
      <c r="O67" s="139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RESUMO'!BO37</f>
        <v>100</v>
      </c>
      <c r="N68" s="140" t="n">
        <f aca="false">MAX(0,M68-M67)</f>
        <v>0</v>
      </c>
      <c r="O68" s="139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RESUMO'!BP37</f>
        <v>100</v>
      </c>
      <c r="N69" s="140" t="n">
        <f aca="false">MAX(0,M69-M68)</f>
        <v>0</v>
      </c>
      <c r="O69" s="139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RESUMO'!BQ37</f>
        <v>100</v>
      </c>
      <c r="N70" s="140" t="n">
        <f aca="false">MAX(0,M70-M69)</f>
        <v>0</v>
      </c>
      <c r="O70" s="139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RESUMO'!BR37</f>
        <v>100</v>
      </c>
      <c r="N71" s="140" t="n">
        <f aca="false">MAX(0,M71-M70)</f>
        <v>0</v>
      </c>
      <c r="O71" s="139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RESUMO'!BS37</f>
        <v>100</v>
      </c>
      <c r="N72" s="140" t="n">
        <f aca="false">MAX(0,M72-M71)</f>
        <v>0</v>
      </c>
      <c r="O72" s="139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RESUMO'!BT37</f>
        <v>100</v>
      </c>
      <c r="N73" s="140" t="n">
        <f aca="false">MAX(0,M73-M72)</f>
        <v>0</v>
      </c>
      <c r="O73" s="139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RESUMO'!BU37</f>
        <v>100</v>
      </c>
      <c r="N74" s="140" t="n">
        <f aca="false">MAX(0,M74-M73)</f>
        <v>0</v>
      </c>
      <c r="O74" s="139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RESUMO'!BV37</f>
        <v>100</v>
      </c>
      <c r="N75" s="140" t="n">
        <f aca="false">MAX(0,M75-M74)</f>
        <v>0</v>
      </c>
      <c r="O75" s="139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RESUMO'!BW37</f>
        <v>100</v>
      </c>
      <c r="N76" s="140" t="n">
        <f aca="false">MAX(0,M76-M75)</f>
        <v>0</v>
      </c>
      <c r="O76" s="139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1752842.16822705</v>
      </c>
      <c r="E78" s="61" t="n">
        <f aca="false">SUM(E5:E76)</f>
        <v>1348.60777617946</v>
      </c>
      <c r="F78" s="145" t="n">
        <f aca="false">SUM(F5:F76)</f>
        <v>1</v>
      </c>
      <c r="H78" s="61" t="n">
        <f aca="false">SUM(H5:H76)</f>
        <v>1576702.42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  <c r="R4" s="54" t="s">
        <v>3921</v>
      </c>
      <c r="S4" s="54" t="s">
        <v>3922</v>
      </c>
      <c r="T4" s="54" t="s">
        <v>3923</v>
      </c>
      <c r="U4" s="54" t="s">
        <v>3924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PL'!F44</f>
        <v>1983891.69</v>
      </c>
      <c r="K5" s="56" t="n">
        <f aca="false">'VALOR POR PL'!G44</f>
        <v>1698.456282</v>
      </c>
      <c r="L5" s="56" t="n">
        <f aca="false">'DADOS HISTORICOS'!$BZ$38</f>
        <v>0</v>
      </c>
      <c r="M5" s="139" t="n">
        <f aca="false">'CP RESUMO'!D38</f>
        <v>0</v>
      </c>
      <c r="N5" s="140" t="n">
        <v>0</v>
      </c>
      <c r="O5" s="139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0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0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PL'!H44</f>
        <v>1698.456282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RESUMO'!E38</f>
        <v>0</v>
      </c>
      <c r="N6" s="140" t="n">
        <f aca="false">MAX(0,M6-M5)</f>
        <v>0</v>
      </c>
      <c r="O6" s="139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0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0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2205520.26313048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RESUMO'!F38</f>
        <v>0</v>
      </c>
      <c r="N7" s="140" t="n">
        <f aca="false">MAX(0,M7-M6)</f>
        <v>0</v>
      </c>
      <c r="O7" s="139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0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0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0.0577037596692267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RESUMO'!G38</f>
        <v>0</v>
      </c>
      <c r="N8" s="140" t="n">
        <f aca="false">MAX(0,M8-M7)</f>
        <v>0</v>
      </c>
      <c r="O8" s="139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0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0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2205520.26313048</v>
      </c>
      <c r="K9" s="45" t="n">
        <f aca="false">E78</f>
        <v>1696.89081612388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RESUMO'!H38</f>
        <v>0</v>
      </c>
      <c r="N9" s="140" t="n">
        <f aca="false">MAX(0,M9-M8)</f>
        <v>0</v>
      </c>
      <c r="O9" s="139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0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0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1696.83311236421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RESUMO'!I38</f>
        <v>0</v>
      </c>
      <c r="N10" s="140" t="n">
        <f aca="false">MAX(0,M10-M9)</f>
        <v>0</v>
      </c>
      <c r="O10" s="139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0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0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1983891.67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RESUMO'!J38</f>
        <v>0</v>
      </c>
      <c r="N11" s="140" t="n">
        <f aca="false">MAX(0,M11-M10)</f>
        <v>0</v>
      </c>
      <c r="O11" s="139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0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0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RESUMO'!K38</f>
        <v>0</v>
      </c>
      <c r="N12" s="140" t="n">
        <f aca="false">MAX(0,M12-M11)</f>
        <v>0</v>
      </c>
      <c r="O12" s="139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0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0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RESUMO'!L38</f>
        <v>0</v>
      </c>
      <c r="N13" s="140" t="n">
        <f aca="false">MAX(0,M13-M12)</f>
        <v>0</v>
      </c>
      <c r="O13" s="139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0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0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RESUMO'!M38</f>
        <v>0</v>
      </c>
      <c r="N14" s="140" t="n">
        <f aca="false">MAX(0,M14-M13)</f>
        <v>0</v>
      </c>
      <c r="O14" s="139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0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0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3925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RESUMO'!N38</f>
        <v>0</v>
      </c>
      <c r="N15" s="140" t="n">
        <f aca="false">MAX(0,M15-M14)</f>
        <v>0</v>
      </c>
      <c r="O15" s="139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0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0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RESUMO'!O38</f>
        <v>0</v>
      </c>
      <c r="N16" s="140" t="n">
        <f aca="false">MAX(0,M16-M15)</f>
        <v>0</v>
      </c>
      <c r="O16" s="139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0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0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RESUMO'!P38</f>
        <v>0</v>
      </c>
      <c r="N17" s="140" t="n">
        <f aca="false">MAX(0,M17-M16)</f>
        <v>0</v>
      </c>
      <c r="O17" s="139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0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0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2205445.26313048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RESUMO'!Q38</f>
        <v>0</v>
      </c>
      <c r="N18" s="140" t="n">
        <f aca="false">MAX(0,M18-M17)</f>
        <v>0</v>
      </c>
      <c r="O18" s="139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0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0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RESUMO'!R38</f>
        <v>0</v>
      </c>
      <c r="N19" s="140" t="n">
        <f aca="false">MAX(0,M19-M18)</f>
        <v>0</v>
      </c>
      <c r="O19" s="139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0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0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RESUMO'!S38</f>
        <v>0</v>
      </c>
      <c r="N20" s="140" t="n">
        <f aca="false">MAX(0,M20-M19)</f>
        <v>0</v>
      </c>
      <c r="O20" s="139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0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0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RESUMO'!T38</f>
        <v>0</v>
      </c>
      <c r="N21" s="140" t="n">
        <f aca="false">MAX(0,M21-M20)</f>
        <v>0</v>
      </c>
      <c r="O21" s="139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0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0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RESUMO'!U38</f>
        <v>0</v>
      </c>
      <c r="N22" s="140" t="n">
        <f aca="false">MAX(0,M22-M21)</f>
        <v>0</v>
      </c>
      <c r="O22" s="139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0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0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RESUMO'!V38</f>
        <v>0</v>
      </c>
      <c r="N23" s="140" t="n">
        <f aca="false">MAX(0,M23-M22)</f>
        <v>0</v>
      </c>
      <c r="O23" s="139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0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0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3926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RESUMO'!W38</f>
        <v>0</v>
      </c>
      <c r="N24" s="140" t="n">
        <f aca="false">MAX(0,M24-M23)</f>
        <v>0</v>
      </c>
      <c r="O24" s="139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0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0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I25" s="62" t="s">
        <v>3927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RESUMO'!X38</f>
        <v>0</v>
      </c>
      <c r="N25" s="140" t="n">
        <f aca="false">MAX(0,M25-M24)</f>
        <v>0</v>
      </c>
      <c r="O25" s="139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0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0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I26" s="42" t="s">
        <v>3928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RESUMO'!Y38</f>
        <v>0</v>
      </c>
      <c r="N26" s="140" t="n">
        <f aca="false">MAX(0,M26-M25)</f>
        <v>0</v>
      </c>
      <c r="O26" s="139" t="n">
        <f aca="false">IF(B26&lt;='VALOR POR PL'!$P$5,'CP RESUMO'!Y80,"")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0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0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5690.04877887664</v>
      </c>
      <c r="E27" s="45" t="n">
        <f aca="false">L27+D27/$K$2</f>
        <v>4.37782942989965</v>
      </c>
      <c r="F27" s="117" t="n">
        <f aca="false">IF($K$9=0,0,E27/$K$9)</f>
        <v>0.00257991226559863</v>
      </c>
      <c r="G27" s="117" t="n">
        <f aca="false">G26+F27</f>
        <v>0.00257991226559863</v>
      </c>
      <c r="H27" s="138"/>
      <c r="I27" s="42" t="s">
        <v>3929</v>
      </c>
      <c r="K27" s="146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RESUMO'!Z38</f>
        <v>0</v>
      </c>
      <c r="N27" s="140" t="n">
        <f aca="false">MAX(0,M27-M26)</f>
        <v>0</v>
      </c>
      <c r="O27" s="139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0" t="n">
        <f aca="false">(IF(AND(23+$K$33&gt;=1,23+$K$33&lt;=72),INDEX($N$5:$N$76,23+$K$33),0)+IF(AND(23+$K$34&gt;=1,23+$K$34&lt;=72),INDEX($N$5:$N$76,23+$K$34),0)+IF(AND(23+$K$35&gt;=1,23+$K$35&lt;=72),INDEX($N$5:$N$76,23+$K$35),0))/3</f>
        <v>0.43</v>
      </c>
      <c r="T27" s="140" t="n">
        <f aca="false">IF(B27&lt;='VALOR POR PL'!$P$5,0,S27+IF(B27=DATE(YEAR('VALOR POR PL'!$P$5),MONTH('VALOR POR PL'!$P$5)+1,1),SUMPRODUCT((B5:B76&lt;='VALOR POR PL'!$P$5)*S5:S76),0))</f>
        <v>0.43</v>
      </c>
      <c r="U27" s="45" t="n">
        <f aca="false">IF($K$32=0,0,$K$18*$K$27*T27/$K$32)</f>
        <v>5690.04877887664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HISTORICOS'!AA38)</f>
        <v>75</v>
      </c>
      <c r="D28" s="45" t="n">
        <f aca="false">IF(B28&lt;='VALOR POR PL'!$P$5,0,IF($K$16="MDO PREVISION + MATERIAL PREMISSA",R28+U28,IF($K$17&gt;0,$K$18*P28/$K$17,0)))</f>
        <v>5690.04877887664</v>
      </c>
      <c r="E28" s="45" t="n">
        <f aca="false">L28+D28/$K$2</f>
        <v>4.43553318956888</v>
      </c>
      <c r="F28" s="117" t="n">
        <f aca="false">IF($K$9=0,0,E28/$K$9)</f>
        <v>0.00261391784752584</v>
      </c>
      <c r="G28" s="117" t="n">
        <f aca="false">G27+F28</f>
        <v>0.00519383011312446</v>
      </c>
      <c r="H28" s="138"/>
      <c r="I28" s="42" t="s">
        <v>3930</v>
      </c>
      <c r="K28" s="147" t="n">
        <v>180</v>
      </c>
      <c r="L28" s="45" t="n">
        <f aca="false">C28/IF(B28&lt;='VALOR POR PL'!$P$5,IFERROR(INDEX('"INCC-FGV"'!$B$2:$B$800,MATCH(B28,'"INCC-FGV"'!$A$2:$A$800,0)),$K$2),$K$2)</f>
        <v>0.0577037596692267</v>
      </c>
      <c r="M28" s="139" t="n">
        <f aca="false">'CP RESUMO'!AA38</f>
        <v>0</v>
      </c>
      <c r="N28" s="140" t="n">
        <f aca="false">MAX(0,M28-M27)</f>
        <v>0</v>
      </c>
      <c r="O28" s="139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0" t="n">
        <f aca="false">(IF(AND(24+$K$33&gt;=1,24+$K$33&lt;=72),INDEX($N$5:$N$76,24+$K$33),0)+IF(AND(24+$K$34&gt;=1,24+$K$34&lt;=72),INDEX($N$5:$N$76,24+$K$34),0)+IF(AND(24+$K$35&gt;=1,24+$K$35&lt;=72),INDEX($N$5:$N$76,24+$K$35),0))/3</f>
        <v>0.43</v>
      </c>
      <c r="T28" s="140" t="n">
        <f aca="false">IF(B28&lt;='VALOR POR PL'!$P$5,0,S28+IF(B28=DATE(YEAR('VALOR POR PL'!$P$5),MONTH('VALOR POR PL'!$P$5)+1,1),SUMPRODUCT((B5:B76&lt;='VALOR POR PL'!$P$5)*S5:S76),0))</f>
        <v>0.43</v>
      </c>
      <c r="U28" s="45" t="n">
        <f aca="false">IF($K$32=0,0,$K$18*$K$27*T28/$K$32)</f>
        <v>5690.04877887664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5690.04877887664</v>
      </c>
      <c r="E29" s="45" t="n">
        <f aca="false">L29+D29/$K$2</f>
        <v>4.37782942989965</v>
      </c>
      <c r="F29" s="117" t="n">
        <f aca="false">IF($K$9=0,0,E29/$K$9)</f>
        <v>0.00257991226559863</v>
      </c>
      <c r="G29" s="117" t="n">
        <f aca="false">G28+F29</f>
        <v>0.00777374237872309</v>
      </c>
      <c r="H29" s="138"/>
      <c r="I29" s="42" t="s">
        <v>3931</v>
      </c>
      <c r="K29" s="147" t="n">
        <v>28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RESUMO'!AB38</f>
        <v>0</v>
      </c>
      <c r="N29" s="140" t="n">
        <f aca="false">MAX(0,M29-M28)</f>
        <v>0</v>
      </c>
      <c r="O29" s="139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0" t="n">
        <f aca="false">(IF(AND(25+$K$33&gt;=1,25+$K$33&lt;=72),INDEX($N$5:$N$76,25+$K$33),0)+IF(AND(25+$K$34&gt;=1,25+$K$34&lt;=72),INDEX($N$5:$N$76,25+$K$34),0)+IF(AND(25+$K$35&gt;=1,25+$K$35&lt;=72),INDEX($N$5:$N$76,25+$K$35),0))/3</f>
        <v>0.43</v>
      </c>
      <c r="T29" s="140" t="n">
        <f aca="false">IF(B29&lt;='VALOR POR PL'!$P$5,0,S29+IF(B29=DATE(YEAR('VALOR POR PL'!$P$5),MONTH('VALOR POR PL'!$P$5)+1,1),SUMPRODUCT((B5:B76&lt;='VALOR POR PL'!$P$5)*S5:S76),0))</f>
        <v>0.43</v>
      </c>
      <c r="U29" s="45" t="n">
        <f aca="false">IF($K$32=0,0,$K$18*$K$27*T29/$K$32)</f>
        <v>5690.04877887664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0.00777374237872309</v>
      </c>
      <c r="H30" s="138"/>
      <c r="I30" s="42" t="s">
        <v>3932</v>
      </c>
      <c r="K30" s="147" t="n">
        <v>56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RESUMO'!AC38</f>
        <v>0</v>
      </c>
      <c r="N30" s="140" t="n">
        <f aca="false">MAX(0,M30-M29)</f>
        <v>0</v>
      </c>
      <c r="O30" s="139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0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0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0.00777374237872309</v>
      </c>
      <c r="H31" s="138"/>
      <c r="I31" s="42" t="s">
        <v>3933</v>
      </c>
      <c r="K31" s="147" t="n">
        <v>84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RESUMO'!AD38</f>
        <v>0</v>
      </c>
      <c r="N31" s="140" t="n">
        <f aca="false">MAX(0,M31-M30)</f>
        <v>0</v>
      </c>
      <c r="O31" s="139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0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0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11380.0975577533</v>
      </c>
      <c r="E32" s="45" t="n">
        <f aca="false">L32+D32/$K$2</f>
        <v>8.75565885979931</v>
      </c>
      <c r="F32" s="117" t="n">
        <f aca="false">IF($K$9=0,0,E32/$K$9)</f>
        <v>0.00515982453119726</v>
      </c>
      <c r="G32" s="117" t="n">
        <f aca="false">G31+F32</f>
        <v>0.0129335669099203</v>
      </c>
      <c r="H32" s="138"/>
      <c r="I32" s="42" t="s">
        <v>3934</v>
      </c>
      <c r="K32" s="140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RESUMO'!AE38</f>
        <v>1.29</v>
      </c>
      <c r="N32" s="140" t="n">
        <f aca="false">MAX(0,M32-M31)</f>
        <v>1.29</v>
      </c>
      <c r="O32" s="139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1.29</v>
      </c>
      <c r="R32" s="45" t="n">
        <f aca="false">IF(OR(B32&lt;='VALOR POR PL'!$P$5,$K$12=0),0,$K$18*$K$26*N32/$K$12)</f>
        <v>11380.0975577533</v>
      </c>
      <c r="S32" s="140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0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0.0129335669099203</v>
      </c>
      <c r="H33" s="138"/>
      <c r="I33" s="42" t="s">
        <v>3935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RESUMO'!AF38</f>
        <v>1.29</v>
      </c>
      <c r="N33" s="140" t="n">
        <f aca="false">MAX(0,M33-M32)</f>
        <v>0</v>
      </c>
      <c r="O33" s="139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0" t="n">
        <f aca="false">(IF(AND(29+$K$33&gt;=1,29+$K$33&lt;=72),INDEX($N$5:$N$76,29+$K$33),0)+IF(AND(29+$K$34&gt;=1,29+$K$34&lt;=72),INDEX($N$5:$N$76,29+$K$34),0)+IF(AND(29+$K$35&gt;=1,29+$K$35&lt;=72),INDEX($N$5:$N$76,29+$K$35),0))/3</f>
        <v>0</v>
      </c>
      <c r="T33" s="140" t="n">
        <f aca="false">IF(B33&lt;='VALOR POR PL'!$P$5,0,S33+IF(B33=DATE(YEAR('VALOR POR PL'!$P$5),MONTH('VALOR POR PL'!$P$5)+1,1),SUMPRODUCT((B5:B76&lt;='VALOR POR PL'!$P$5)*S5:S76),0))</f>
        <v>0</v>
      </c>
      <c r="U33" s="45" t="n">
        <f aca="false">IF($K$32=0,0,$K$18*$K$27*T33/$K$32)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0.0129335669099203</v>
      </c>
      <c r="H34" s="138"/>
      <c r="I34" s="42" t="s">
        <v>3936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RESUMO'!AG38</f>
        <v>1.29</v>
      </c>
      <c r="N34" s="140" t="n">
        <f aca="false">MAX(0,M34-M33)</f>
        <v>0</v>
      </c>
      <c r="O34" s="139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0" t="n">
        <f aca="false">(IF(AND(30+$K$33&gt;=1,30+$K$33&lt;=72),INDEX($N$5:$N$76,30+$K$33),0)+IF(AND(30+$K$34&gt;=1,30+$K$34&lt;=72),INDEX($N$5:$N$76,30+$K$34),0)+IF(AND(30+$K$35&gt;=1,30+$K$35&lt;=72),INDEX($N$5:$N$76,30+$K$35),0))/3</f>
        <v>0</v>
      </c>
      <c r="T34" s="140" t="n">
        <f aca="false">IF(B34&lt;='VALOR POR PL'!$P$5,0,S34+IF(B34=DATE(YEAR('VALOR POR PL'!$P$5),MONTH('VALOR POR PL'!$P$5)+1,1),SUMPRODUCT((B5:B76&lt;='VALOR POR PL'!$P$5)*S5:S76),0))</f>
        <v>0</v>
      </c>
      <c r="U34" s="45" t="n">
        <f aca="false">IF($K$32=0,0,$K$18*$K$27*T34/$K$32)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0.0129335669099203</v>
      </c>
      <c r="H35" s="138"/>
      <c r="I35" s="42" t="s">
        <v>3937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RESUMO'!AH38</f>
        <v>1.29</v>
      </c>
      <c r="N35" s="140" t="n">
        <f aca="false">MAX(0,M35-M34)</f>
        <v>0</v>
      </c>
      <c r="O35" s="139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0" t="n">
        <f aca="false">(IF(AND(31+$K$33&gt;=1,31+$K$33&lt;=72),INDEX($N$5:$N$76,31+$K$33),0)+IF(AND(31+$K$34&gt;=1,31+$K$34&lt;=72),INDEX($N$5:$N$76,31+$K$34),0)+IF(AND(31+$K$35&gt;=1,31+$K$35&lt;=72),INDEX($N$5:$N$76,31+$K$35),0))/3</f>
        <v>0</v>
      </c>
      <c r="T35" s="140" t="n">
        <f aca="false">IF(B35&lt;='VALOR POR PL'!$P$5,0,S35+IF(B35=DATE(YEAR('VALOR POR PL'!$P$5),MONTH('VALOR POR PL'!$P$5)+1,1),SUMPRODUCT((B5:B76&lt;='VALOR POR PL'!$P$5)*S5:S76),0))</f>
        <v>0</v>
      </c>
      <c r="U35" s="45" t="n">
        <f aca="false">IF($K$32=0,0,$K$18*$K$27*T35/$K$32)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0.0129335669099203</v>
      </c>
      <c r="H36" s="138"/>
      <c r="I36" s="42" t="s">
        <v>3938</v>
      </c>
      <c r="K36" s="45" t="n">
        <f aca="false">SUM(R5:R76)</f>
        <v>882178.105252192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RESUMO'!AI38</f>
        <v>1.29</v>
      </c>
      <c r="N36" s="140" t="n">
        <f aca="false">MAX(0,M36-M35)</f>
        <v>0</v>
      </c>
      <c r="O36" s="139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0" t="n">
        <f aca="false">(IF(AND(32+$K$33&gt;=1,32+$K$33&lt;=72),INDEX($N$5:$N$76,32+$K$33),0)+IF(AND(32+$K$34&gt;=1,32+$K$34&lt;=72),INDEX($N$5:$N$76,32+$K$34),0)+IF(AND(32+$K$35&gt;=1,32+$K$35&lt;=72),INDEX($N$5:$N$76,32+$K$35),0))/3</f>
        <v>0</v>
      </c>
      <c r="T36" s="140" t="n">
        <f aca="false">IF(B36&lt;='VALOR POR PL'!$P$5,0,S36+IF(B36=DATE(YEAR('VALOR POR PL'!$P$5),MONTH('VALOR POR PL'!$P$5)+1,1),SUMPRODUCT((B5:B76&lt;='VALOR POR PL'!$P$5)*S5:S76),0))</f>
        <v>0</v>
      </c>
      <c r="U36" s="45" t="n">
        <f aca="false">IF($K$32=0,0,$K$18*$K$27*T36/$K$32)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8071.92966305755</v>
      </c>
      <c r="E37" s="45" t="n">
        <f aca="false">L37+D37/$K$2</f>
        <v>6.210409191253</v>
      </c>
      <c r="F37" s="117" t="n">
        <f aca="false">IF($K$9=0,0,E37/$K$9)</f>
        <v>0.00365987553957015</v>
      </c>
      <c r="G37" s="117" t="n">
        <f aca="false">G36+F37</f>
        <v>0.0165934424494905</v>
      </c>
      <c r="H37" s="138"/>
      <c r="I37" s="42" t="s">
        <v>3939</v>
      </c>
      <c r="K37" s="45" t="n">
        <f aca="false">SUM(U5:U76)</f>
        <v>1323267.15787829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RESUMO'!AJ38</f>
        <v>1.29</v>
      </c>
      <c r="N37" s="140" t="n">
        <f aca="false">MAX(0,M37-M36)</f>
        <v>0</v>
      </c>
      <c r="O37" s="139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0" t="n">
        <f aca="false">(IF(AND(33+$K$33&gt;=1,33+$K$33&lt;=72),INDEX($N$5:$N$76,33+$K$33),0)+IF(AND(33+$K$34&gt;=1,33+$K$34&lt;=72),INDEX($N$5:$N$76,33+$K$34),0)+IF(AND(33+$K$35&gt;=1,33+$K$35&lt;=72),INDEX($N$5:$N$76,33+$K$35),0))/3</f>
        <v>0.61</v>
      </c>
      <c r="T37" s="140" t="n">
        <f aca="false">IF(B37&lt;='VALOR POR PL'!$P$5,0,S37+IF(B37=DATE(YEAR('VALOR POR PL'!$P$5),MONTH('VALOR POR PL'!$P$5)+1,1),SUMPRODUCT((B5:B76&lt;='VALOR POR PL'!$P$5)*S5:S76),0))</f>
        <v>0.61</v>
      </c>
      <c r="U37" s="45" t="n">
        <f aca="false">IF($K$32=0,0,$K$18*$K$27*T37/$K$32)</f>
        <v>8071.92966305755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31405.540546978</v>
      </c>
      <c r="E38" s="45" t="n">
        <f aca="false">L38+D38/$K$2</f>
        <v>24.1629035200663</v>
      </c>
      <c r="F38" s="117" t="n">
        <f aca="false">IF($K$9=0,0,E38/$K$9)</f>
        <v>0.0142395157605134</v>
      </c>
      <c r="G38" s="117" t="n">
        <f aca="false">G37+F38</f>
        <v>0.0308329582100039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RESUMO'!AK38</f>
        <v>1.29</v>
      </c>
      <c r="N38" s="140" t="n">
        <f aca="false">MAX(0,M38-M37)</f>
        <v>0</v>
      </c>
      <c r="O38" s="139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  <c r="R38" s="45" t="n">
        <f aca="false">IF(OR(B38&lt;='VALOR POR PL'!$P$5,$K$12=0),0,$K$18*$K$26*N38/$K$12)</f>
        <v>0</v>
      </c>
      <c r="S38" s="140" t="n">
        <f aca="false">(IF(AND(34+$K$33&gt;=1,34+$K$33&lt;=72),INDEX($N$5:$N$76,34+$K$33),0)+IF(AND(34+$K$34&gt;=1,34+$K$34&lt;=72),INDEX($N$5:$N$76,34+$K$34),0)+IF(AND(34+$K$35&gt;=1,34+$K$35&lt;=72),INDEX($N$5:$N$76,34+$K$35),0))/3</f>
        <v>2.37333333333333</v>
      </c>
      <c r="T38" s="140" t="n">
        <f aca="false">IF(B38&lt;='VALOR POR PL'!$P$5,0,S38+IF(B38=DATE(YEAR('VALOR POR PL'!$P$5),MONTH('VALOR POR PL'!$P$5)+1,1),SUMPRODUCT((B5:B76&lt;='VALOR POR PL'!$P$5)*S5:S76),0))</f>
        <v>2.37333333333333</v>
      </c>
      <c r="U38" s="45" t="n">
        <f aca="false">IF($K$32=0,0,$K$18*$K$27*T38/$K$32)</f>
        <v>31405.540546978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72823.8025885684</v>
      </c>
      <c r="E39" s="45" t="n">
        <f aca="false">L39+D39/$K$2</f>
        <v>56.0294293702661</v>
      </c>
      <c r="F39" s="117" t="n">
        <f aca="false">IF($K$9=0,0,E39/$K$9)</f>
        <v>0.0330188771356848</v>
      </c>
      <c r="G39" s="117" t="n">
        <f aca="false">G38+F39</f>
        <v>0.0638518353456886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RESUMO'!AL38</f>
        <v>1.29</v>
      </c>
      <c r="N39" s="140" t="n">
        <f aca="false">MAX(0,M39-M38)</f>
        <v>0</v>
      </c>
      <c r="O39" s="139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  <c r="R39" s="45" t="n">
        <f aca="false">IF(OR(B39&lt;='VALOR POR PL'!$P$5,$K$12=0),0,$K$18*$K$26*N39/$K$12)</f>
        <v>0</v>
      </c>
      <c r="S39" s="140" t="n">
        <f aca="false">(IF(AND(35+$K$33&gt;=1,35+$K$33&lt;=72),INDEX($N$5:$N$76,35+$K$33),0)+IF(AND(35+$K$34&gt;=1,35+$K$34&lt;=72),INDEX($N$5:$N$76,35+$K$34),0)+IF(AND(35+$K$35&gt;=1,35+$K$35&lt;=72),INDEX($N$5:$N$76,35+$K$35),0))/3</f>
        <v>5.50333333333333</v>
      </c>
      <c r="T39" s="140" t="n">
        <f aca="false">IF(B39&lt;='VALOR POR PL'!$P$5,0,S39+IF(B39=DATE(YEAR('VALOR POR PL'!$P$5),MONTH('VALOR POR PL'!$P$5)+1,1),SUMPRODUCT((B5:B76&lt;='VALOR POR PL'!$P$5)*S5:S76),0))</f>
        <v>5.50333333333333</v>
      </c>
      <c r="U39" s="45" t="n">
        <f aca="false">IF($K$32=0,0,$K$18*$K$27*T39/$K$32)</f>
        <v>72823.8025885684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106214.243872364</v>
      </c>
      <c r="E40" s="45" t="n">
        <f aca="false">L40+D40/$K$2</f>
        <v>81.7194826914602</v>
      </c>
      <c r="F40" s="117" t="n">
        <f aca="false">IF($K$9=0,0,E40/$K$9)</f>
        <v>0.0481583622911744</v>
      </c>
      <c r="G40" s="117" t="n">
        <f aca="false">G39+F40</f>
        <v>0.112010197636863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RESUMO'!AM38</f>
        <v>1.29</v>
      </c>
      <c r="N40" s="140" t="n">
        <f aca="false">MAX(0,M40-M39)</f>
        <v>0</v>
      </c>
      <c r="O40" s="139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  <c r="R40" s="45" t="n">
        <f aca="false">IF(OR(B40&lt;='VALOR POR PL'!$P$5,$K$12=0),0,$K$18*$K$26*N40/$K$12)</f>
        <v>0</v>
      </c>
      <c r="S40" s="140" t="n">
        <f aca="false">(IF(AND(36+$K$33&gt;=1,36+$K$33&lt;=72),INDEX($N$5:$N$76,36+$K$33),0)+IF(AND(36+$K$34&gt;=1,36+$K$34&lt;=72),INDEX($N$5:$N$76,36+$K$34),0)+IF(AND(36+$K$35&gt;=1,36+$K$35&lt;=72),INDEX($N$5:$N$76,36+$K$35),0))/3</f>
        <v>8.02666666666667</v>
      </c>
      <c r="T40" s="140" t="n">
        <f aca="false">IF(B40&lt;='VALOR POR PL'!$P$5,0,S40+IF(B40=DATE(YEAR('VALOR POR PL'!$P$5),MONTH('VALOR POR PL'!$P$5)+1,1),SUMPRODUCT((B5:B76&lt;='VALOR POR PL'!$P$5)*S5:S76),0))</f>
        <v>8.02666666666667</v>
      </c>
      <c r="U40" s="45" t="n">
        <f aca="false">IF($K$32=0,0,$K$18*$K$27*T40/$K$32)</f>
        <v>106214.243872364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152263.940966528</v>
      </c>
      <c r="E41" s="45" t="n">
        <f aca="false">L41+D41/$K$2</f>
        <v>117.149358077625</v>
      </c>
      <c r="F41" s="117" t="n">
        <f aca="false">IF($K$9=0,0,E41/$K$9)</f>
        <v>0.0690376522546238</v>
      </c>
      <c r="G41" s="117" t="n">
        <f aca="false">G40+F41</f>
        <v>0.181047849891487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RESUMO'!AN38</f>
        <v>1.29</v>
      </c>
      <c r="N41" s="140" t="n">
        <f aca="false">MAX(0,M41-M40)</f>
        <v>0</v>
      </c>
      <c r="O41" s="139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  <c r="R41" s="45" t="n">
        <f aca="false">IF(OR(B41&lt;='VALOR POR PL'!$P$5,$K$12=0),0,$K$18*$K$26*N41/$K$12)</f>
        <v>0</v>
      </c>
      <c r="S41" s="140" t="n">
        <f aca="false">(IF(AND(37+$K$33&gt;=1,37+$K$33&lt;=72),INDEX($N$5:$N$76,37+$K$33),0)+IF(AND(37+$K$34&gt;=1,37+$K$34&lt;=72),INDEX($N$5:$N$76,37+$K$34),0)+IF(AND(37+$K$35&gt;=1,37+$K$35&lt;=72),INDEX($N$5:$N$76,37+$K$35),0))/3</f>
        <v>11.5066666666667</v>
      </c>
      <c r="T41" s="140" t="n">
        <f aca="false">IF(B41&lt;='VALOR POR PL'!$P$5,0,S41+IF(B41=DATE(YEAR('VALOR POR PL'!$P$5),MONTH('VALOR POR PL'!$P$5)+1,1),SUMPRODUCT((B5:B76&lt;='VALOR POR PL'!$P$5)*S5:S76),0))</f>
        <v>11.5066666666667</v>
      </c>
      <c r="U41" s="45" t="n">
        <f aca="false">IF($K$32=0,0,$K$18*$K$27*T41/$K$32)</f>
        <v>152263.940966528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176347.403239913</v>
      </c>
      <c r="E42" s="45" t="n">
        <f aca="false">L42+D42/$K$2</f>
        <v>135.678775664642</v>
      </c>
      <c r="F42" s="117" t="n">
        <f aca="false">IF($K$9=0,0,E42/$K$9)</f>
        <v>0.0799572809136691</v>
      </c>
      <c r="G42" s="117" t="n">
        <f aca="false">G41+F42</f>
        <v>0.261005130805156</v>
      </c>
      <c r="H42" s="138" t="n">
        <v>270000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RESUMO'!AO38</f>
        <v>3.12</v>
      </c>
      <c r="N42" s="140" t="n">
        <f aca="false">MAX(0,M42-M41)</f>
        <v>1.83</v>
      </c>
      <c r="O42" s="139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1.83</v>
      </c>
      <c r="R42" s="45" t="n">
        <f aca="false">IF(OR(B42&lt;='VALOR POR PL'!$P$5,$K$12=0),0,$K$18*$K$26*N42/$K$12)</f>
        <v>16143.8593261151</v>
      </c>
      <c r="S42" s="140" t="n">
        <f aca="false">(IF(AND(38+$K$33&gt;=1,38+$K$33&lt;=72),INDEX($N$5:$N$76,38+$K$33),0)+IF(AND(38+$K$34&gt;=1,38+$K$34&lt;=72),INDEX($N$5:$N$76,38+$K$34),0)+IF(AND(38+$K$35&gt;=1,38+$K$35&lt;=72),INDEX($N$5:$N$76,38+$K$35),0))/3</f>
        <v>12.1066666666667</v>
      </c>
      <c r="T42" s="140" t="n">
        <f aca="false">IF(B42&lt;='VALOR POR PL'!$P$5,0,S42+IF(B42=DATE(YEAR('VALOR POR PL'!$P$5),MONTH('VALOR POR PL'!$P$5)+1,1),SUMPRODUCT((B5:B76&lt;='VALOR POR PL'!$P$5)*S5:S76),0))</f>
        <v>12.1066666666667</v>
      </c>
      <c r="U42" s="45" t="n">
        <f aca="false">IF($K$32=0,0,$K$18*$K$27*T42/$K$32)</f>
        <v>160203.543913798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216707.051555201</v>
      </c>
      <c r="E43" s="45" t="n">
        <f aca="false">L43+D43/$K$2</f>
        <v>166.730821620907</v>
      </c>
      <c r="F43" s="117" t="n">
        <f aca="false">IF($K$9=0,0,E43/$K$9)</f>
        <v>0.0982566586115198</v>
      </c>
      <c r="G43" s="117" t="n">
        <f aca="false">G42+F43</f>
        <v>0.359261789416676</v>
      </c>
      <c r="H43" s="138" t="n">
        <v>230000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RESUMO'!AP38</f>
        <v>8.41</v>
      </c>
      <c r="N43" s="140" t="n">
        <f aca="false">MAX(0,M43-M42)</f>
        <v>5.29</v>
      </c>
      <c r="O43" s="139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5.29</v>
      </c>
      <c r="R43" s="45" t="n">
        <f aca="false">IF(OR(B43&lt;='VALOR POR PL'!$P$5,$K$12=0),0,$K$18*$K$26*N43/$K$12)</f>
        <v>46667.2217678409</v>
      </c>
      <c r="S43" s="140" t="n">
        <f aca="false">(IF(AND(39+$K$33&gt;=1,39+$K$33&lt;=72),INDEX($N$5:$N$76,39+$K$33),0)+IF(AND(39+$K$34&gt;=1,39+$K$34&lt;=72),INDEX($N$5:$N$76,39+$K$34),0)+IF(AND(39+$K$35&gt;=1,39+$K$35&lt;=72),INDEX($N$5:$N$76,39+$K$35),0))/3</f>
        <v>12.85</v>
      </c>
      <c r="T43" s="140" t="n">
        <f aca="false">IF(B43&lt;='VALOR POR PL'!$P$5,0,S43+IF(B43=DATE(YEAR('VALOR POR PL'!$P$5),MONTH('VALOR POR PL'!$P$5)+1,1),SUMPRODUCT((B5:B76&lt;='VALOR POR PL'!$P$5)*S5:S76),0))</f>
        <v>12.85</v>
      </c>
      <c r="U43" s="45" t="n">
        <f aca="false">IF($K$32=0,0,$K$18*$K$27*T43/$K$32)</f>
        <v>170039.82978736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233556.653365518</v>
      </c>
      <c r="E44" s="45" t="n">
        <f aca="false">L44+D44/$K$2</f>
        <v>179.69462659937</v>
      </c>
      <c r="F44" s="117" t="n">
        <f aca="false">IF($K$9=0,0,E44/$K$9)</f>
        <v>0.105896398808874</v>
      </c>
      <c r="G44" s="117" t="n">
        <f aca="false">G43+F44</f>
        <v>0.46515818822555</v>
      </c>
      <c r="H44" s="138" t="n">
        <v>233553.68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RESUMO'!AQ38</f>
        <v>17.8</v>
      </c>
      <c r="N44" s="140" t="n">
        <f aca="false">MAX(0,M44-M43)</f>
        <v>9.39</v>
      </c>
      <c r="O44" s="139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9.39</v>
      </c>
      <c r="R44" s="45" t="n">
        <f aca="false">IF(OR(B44&lt;='VALOR POR PL'!$P$5,$K$12=0),0,$K$18*$K$26*N44/$K$12)</f>
        <v>82836.5240831808</v>
      </c>
      <c r="S44" s="140" t="n">
        <f aca="false">(IF(AND(40+$K$33&gt;=1,40+$K$33&lt;=72),INDEX($N$5:$N$76,40+$K$33),0)+IF(AND(40+$K$34&gt;=1,40+$K$34&lt;=72),INDEX($N$5:$N$76,40+$K$34),0)+IF(AND(40+$K$35&gt;=1,40+$K$35&lt;=72),INDEX($N$5:$N$76,40+$K$35),0))/3</f>
        <v>11.39</v>
      </c>
      <c r="T44" s="140" t="n">
        <f aca="false">IF(B44&lt;='VALOR POR PL'!$P$5,0,S44+IF(B44=DATE(YEAR('VALOR POR PL'!$P$5),MONTH('VALOR POR PL'!$P$5)+1,1),SUMPRODUCT((B5:B76&lt;='VALOR POR PL'!$P$5)*S5:S76),0))</f>
        <v>11.39</v>
      </c>
      <c r="U44" s="45" t="n">
        <f aca="false">IF($K$32=0,0,$K$18*$K$27*T44/$K$32)</f>
        <v>150720.129282337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234174.178039194</v>
      </c>
      <c r="E45" s="45" t="n">
        <f aca="false">L45+D45/$K$2</f>
        <v>180.169739870832</v>
      </c>
      <c r="F45" s="117" t="n">
        <f aca="false">IF($K$9=0,0,E45/$K$9)</f>
        <v>0.106176389287311</v>
      </c>
      <c r="G45" s="117" t="n">
        <f aca="false">G44+F45</f>
        <v>0.571334577512861</v>
      </c>
      <c r="H45" s="138" t="n">
        <v>194755.4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RESUMO'!AR38</f>
        <v>27.2</v>
      </c>
      <c r="N45" s="140" t="n">
        <f aca="false">MAX(0,M45-M44)</f>
        <v>9.4</v>
      </c>
      <c r="O45" s="139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9.4</v>
      </c>
      <c r="R45" s="45" t="n">
        <f aca="false">IF(OR(B45&lt;='VALOR POR PL'!$P$5,$K$12=0),0,$K$18*$K$26*N45/$K$12)</f>
        <v>82924.741893706</v>
      </c>
      <c r="S45" s="140" t="n">
        <f aca="false">(IF(AND(41+$K$33&gt;=1,41+$K$33&lt;=72),INDEX($N$5:$N$76,41+$K$33),0)+IF(AND(41+$K$34&gt;=1,41+$K$34&lt;=72),INDEX($N$5:$N$76,41+$K$34),0)+IF(AND(41+$K$35&gt;=1,41+$K$35&lt;=72),INDEX($N$5:$N$76,41+$K$35),0))/3</f>
        <v>11.43</v>
      </c>
      <c r="T45" s="140" t="n">
        <f aca="false">IF(B45&lt;='VALOR POR PL'!$P$5,0,S45+IF(B45=DATE(YEAR('VALOR POR PL'!$P$5),MONTH('VALOR POR PL'!$P$5)+1,1),SUMPRODUCT((B5:B76&lt;='VALOR POR PL'!$P$5)*S5:S76),0))</f>
        <v>11.43</v>
      </c>
      <c r="U45" s="45" t="n">
        <f aca="false">IF($K$32=0,0,$K$18*$K$27*T45/$K$32)</f>
        <v>151249.436145488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276959.816143926</v>
      </c>
      <c r="E46" s="45" t="n">
        <f aca="false">L46+D46/$K$2</f>
        <v>213.088302250697</v>
      </c>
      <c r="F46" s="117" t="n">
        <f aca="false">IF($K$9=0,0,E46/$K$9)</f>
        <v>0.125575729579022</v>
      </c>
      <c r="G46" s="117" t="n">
        <f aca="false">G45+F46</f>
        <v>0.696910307091882</v>
      </c>
      <c r="H46" s="138" t="n">
        <v>221954.72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RESUMO'!AS38</f>
        <v>42.93</v>
      </c>
      <c r="N46" s="140" t="n">
        <f aca="false">MAX(0,M46-M45)</f>
        <v>15.73</v>
      </c>
      <c r="O46" s="139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15.73</v>
      </c>
      <c r="R46" s="45" t="n">
        <f aca="false">IF(OR(B46&lt;='VALOR POR PL'!$P$5,$K$12=0),0,$K$18*$K$26*N46/$K$12)</f>
        <v>138766.61595617</v>
      </c>
      <c r="S46" s="140" t="n">
        <f aca="false">(IF(AND(42+$K$33&gt;=1,42+$K$33&lt;=72),INDEX($N$5:$N$76,42+$K$33),0)+IF(AND(42+$K$34&gt;=1,42+$K$34&lt;=72),INDEX($N$5:$N$76,42+$K$34),0)+IF(AND(42+$K$35&gt;=1,42+$K$35&lt;=72),INDEX($N$5:$N$76,42+$K$35),0))/3</f>
        <v>10.4433333333333</v>
      </c>
      <c r="T46" s="140" t="n">
        <f aca="false">IF(B46&lt;='VALOR POR PL'!$P$5,0,S46+IF(B46=DATE(YEAR('VALOR POR PL'!$P$5),MONTH('VALOR POR PL'!$P$5)+1,1),SUMPRODUCT((B5:B76&lt;='VALOR POR PL'!$P$5)*S5:S76),0))</f>
        <v>10.4433333333333</v>
      </c>
      <c r="U46" s="45" t="n">
        <f aca="false">IF($K$32=0,0,$K$18*$K$27*T46/$K$32)</f>
        <v>138193.200187756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199725.123029096</v>
      </c>
      <c r="E47" s="45" t="n">
        <f aca="false">L47+D47/$K$2</f>
        <v>153.665206655703</v>
      </c>
      <c r="F47" s="117" t="n">
        <f aca="false">IF($K$9=0,0,E47/$K$9)</f>
        <v>0.0905569204545007</v>
      </c>
      <c r="G47" s="117" t="n">
        <f aca="false">G46+F47</f>
        <v>0.787467227546383</v>
      </c>
      <c r="H47" s="138" t="n">
        <v>348400.39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RESUMO'!AT38</f>
        <v>54.12</v>
      </c>
      <c r="N47" s="140" t="n">
        <f aca="false">MAX(0,M47-M46)</f>
        <v>11.19</v>
      </c>
      <c r="O47" s="139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11.19</v>
      </c>
      <c r="R47" s="45" t="n">
        <f aca="false">IF(OR(B47&lt;='VALOR POR PL'!$P$5,$K$12=0),0,$K$18*$K$26*N47/$K$12)</f>
        <v>98715.7299777202</v>
      </c>
      <c r="S47" s="140" t="n">
        <f aca="false">(IF(AND(43+$K$33&gt;=1,43+$K$33&lt;=72),INDEX($N$5:$N$76,43+$K$33),0)+IF(AND(43+$K$34&gt;=1,43+$K$34&lt;=72),INDEX($N$5:$N$76,43+$K$34),0)+IF(AND(43+$K$35&gt;=1,43+$K$35&lt;=72),INDEX($N$5:$N$76,43+$K$35),0))/3</f>
        <v>7.63333333333334</v>
      </c>
      <c r="T47" s="140" t="n">
        <f aca="false">IF(B47&lt;='VALOR POR PL'!$P$5,0,S47+IF(B47=DATE(YEAR('VALOR POR PL'!$P$5),MONTH('VALOR POR PL'!$P$5)+1,1),SUMPRODUCT((B5:B76&lt;='VALOR POR PL'!$P$5)*S5:S76),0))</f>
        <v>7.63333333333334</v>
      </c>
      <c r="U47" s="45" t="n">
        <f aca="false">IF($K$32=0,0,$K$18*$K$27*T47/$K$32)</f>
        <v>101009.393051376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153719.534840194</v>
      </c>
      <c r="E48" s="45" t="n">
        <f aca="false">L48+D48/$K$2</f>
        <v>118.269267931785</v>
      </c>
      <c r="F48" s="117" t="n">
        <f aca="false">IF($K$9=0,0,E48/$K$9)</f>
        <v>0.0696976298109397</v>
      </c>
      <c r="G48" s="117" t="n">
        <f aca="false">G47+F48</f>
        <v>0.857164857357323</v>
      </c>
      <c r="H48" s="138" t="n">
        <v>210742.79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RESUMO'!AU38</f>
        <v>65.75</v>
      </c>
      <c r="N48" s="140" t="n">
        <f aca="false">MAX(0,M48-M47)</f>
        <v>11.63</v>
      </c>
      <c r="O48" s="139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11.63</v>
      </c>
      <c r="R48" s="45" t="n">
        <f aca="false">IF(OR(B48&lt;='VALOR POR PL'!$P$5,$K$12=0),0,$K$18*$K$26*N48/$K$12)</f>
        <v>102597.31364083</v>
      </c>
      <c r="S48" s="140" t="n">
        <f aca="false">(IF(AND(44+$K$33&gt;=1,44+$K$33&lt;=72),INDEX($N$5:$N$76,44+$K$33),0)+IF(AND(44+$K$34&gt;=1,44+$K$34&lt;=72),INDEX($N$5:$N$76,44+$K$34),0)+IF(AND(44+$K$35&gt;=1,44+$K$35&lt;=72),INDEX($N$5:$N$76,44+$K$35),0))/3</f>
        <v>3.86333333333333</v>
      </c>
      <c r="T48" s="140" t="n">
        <f aca="false">IF(B48&lt;='VALOR POR PL'!$P$5,0,S48+IF(B48=DATE(YEAR('VALOR POR PL'!$P$5),MONTH('VALOR POR PL'!$P$5)+1,1),SUMPRODUCT((B5:B76&lt;='VALOR POR PL'!$P$5)*S5:S76),0))</f>
        <v>3.86333333333333</v>
      </c>
      <c r="U48" s="45" t="n">
        <f aca="false">IF($K$32=0,0,$K$18*$K$27*T48/$K$32)</f>
        <v>51122.2211993645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113007.015282806</v>
      </c>
      <c r="E49" s="45" t="n">
        <f aca="false">L49+D49/$K$2</f>
        <v>86.9457286775419</v>
      </c>
      <c r="F49" s="117" t="n">
        <f aca="false">IF($K$9=0,0,E49/$K$9)</f>
        <v>0.051238257553982</v>
      </c>
      <c r="G49" s="117" t="n">
        <f aca="false">G48+F49</f>
        <v>0.908403114911305</v>
      </c>
      <c r="H49" s="138" t="n">
        <v>168594.23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RESUMO'!AV38</f>
        <v>77.1</v>
      </c>
      <c r="N49" s="140" t="n">
        <f aca="false">MAX(0,M49-M48)</f>
        <v>11.35</v>
      </c>
      <c r="O49" s="139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11.35</v>
      </c>
      <c r="R49" s="45" t="n">
        <f aca="false">IF(OR(B49&lt;='VALOR POR PL'!$P$5,$K$12=0),0,$K$18*$K$26*N49/$K$12)</f>
        <v>100127.214946124</v>
      </c>
      <c r="S49" s="140" t="n">
        <f aca="false">(IF(AND(45+$K$33&gt;=1,45+$K$33&lt;=72),INDEX($N$5:$N$76,45+$K$33),0)+IF(AND(45+$K$34&gt;=1,45+$K$34&lt;=72),INDEX($N$5:$N$76,45+$K$34),0)+IF(AND(45+$K$35&gt;=1,45+$K$35&lt;=72),INDEX($N$5:$N$76,45+$K$35),0))/3</f>
        <v>0.973333333333334</v>
      </c>
      <c r="T49" s="140" t="n">
        <f aca="false">IF(B49&lt;='VALOR POR PL'!$P$5,0,S49+IF(B49=DATE(YEAR('VALOR POR PL'!$P$5),MONTH('VALOR POR PL'!$P$5)+1,1),SUMPRODUCT((B5:B76&lt;='VALOR POR PL'!$P$5)*S5:S76),0))</f>
        <v>0.973333333333334</v>
      </c>
      <c r="U49" s="45" t="n">
        <f aca="false">IF($K$32=0,0,$K$18*$K$27*T49/$K$32)</f>
        <v>12879.800336682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99774.3437040229</v>
      </c>
      <c r="E50" s="45" t="n">
        <f aca="false">L50+D50/$K$2</f>
        <v>76.7647300033567</v>
      </c>
      <c r="F50" s="117" t="n">
        <f aca="false">IF($K$9=0,0,E50/$K$9)</f>
        <v>0.0452384615874736</v>
      </c>
      <c r="G50" s="117" t="n">
        <f aca="false">G49+F50</f>
        <v>0.953641576498778</v>
      </c>
      <c r="H50" s="138" t="n">
        <v>46508.75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RESUMO'!AW38</f>
        <v>88.41</v>
      </c>
      <c r="N50" s="140" t="n">
        <f aca="false">MAX(0,M50-M49)</f>
        <v>11.31</v>
      </c>
      <c r="O50" s="139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11.31</v>
      </c>
      <c r="R50" s="45" t="n">
        <f aca="false">IF(OR(B50&lt;='VALOR POR PL'!$P$5,$K$12=0),0,$K$18*$K$26*N50/$K$12)</f>
        <v>99774.3437040229</v>
      </c>
      <c r="S50" s="140" t="n">
        <f aca="false">(IF(AND(46+$K$33&gt;=1,46+$K$33&lt;=72),INDEX($N$5:$N$76,46+$K$33),0)+IF(AND(46+$K$34&gt;=1,46+$K$34&lt;=72),INDEX($N$5:$N$76,46+$K$34),0)+IF(AND(46+$K$35&gt;=1,46+$K$35&lt;=72),INDEX($N$5:$N$76,46+$K$35),0))/3</f>
        <v>0</v>
      </c>
      <c r="T50" s="140" t="n">
        <f aca="false">IF(B50&lt;='VALOR POR PL'!$P$5,0,S50+IF(B50=DATE(YEAR('VALOR POR PL'!$P$5),MONTH('VALOR POR PL'!$P$5)+1,1),SUMPRODUCT((B5:B76&lt;='VALOR POR PL'!$P$5)*S5:S76),0))</f>
        <v>0</v>
      </c>
      <c r="U50" s="45" t="n">
        <f aca="false">IF($K$32=0,0,$K$18*$K$27*T50/$K$32)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76484.841725365</v>
      </c>
      <c r="E51" s="45" t="n">
        <f aca="false">L51+D51/$K$2</f>
        <v>58.8461723367907</v>
      </c>
      <c r="F51" s="117" t="n">
        <f aca="false">IF($K$9=0,0,E51/$K$9)</f>
        <v>0.0346788206864188</v>
      </c>
      <c r="G51" s="117" t="n">
        <f aca="false">G50+F51</f>
        <v>0.988320397185197</v>
      </c>
      <c r="H51" s="138" t="n">
        <v>26784.06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RESUMO'!AX38</f>
        <v>97.08</v>
      </c>
      <c r="N51" s="140" t="n">
        <f aca="false">MAX(0,M51-M50)</f>
        <v>8.67</v>
      </c>
      <c r="O51" s="139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8.67</v>
      </c>
      <c r="R51" s="45" t="n">
        <f aca="false">IF(OR(B51&lt;='VALOR POR PL'!$P$5,$K$12=0),0,$K$18*$K$26*N51/$K$12)</f>
        <v>76484.841725365</v>
      </c>
      <c r="S51" s="140" t="n">
        <f aca="false">(IF(AND(47+$K$33&gt;=1,47+$K$33&lt;=72),INDEX($N$5:$N$76,47+$K$33),0)+IF(AND(47+$K$34&gt;=1,47+$K$34&lt;=72),INDEX($N$5:$N$76,47+$K$34),0)+IF(AND(47+$K$35&gt;=1,47+$K$35&lt;=72),INDEX($N$5:$N$76,47+$K$35),0))/3</f>
        <v>0</v>
      </c>
      <c r="T51" s="140" t="n">
        <f aca="false">IF(B51&lt;='VALOR POR PL'!$P$5,0,S51+IF(B51=DATE(YEAR('VALOR POR PL'!$P$5),MONTH('VALOR POR PL'!$P$5)+1,1),SUMPRODUCT((B5:B76&lt;='VALOR POR PL'!$P$5)*S5:S76),0))</f>
        <v>0</v>
      </c>
      <c r="U51" s="45" t="n">
        <f aca="false">IF($K$32=0,0,$K$18*$K$27*T51/$K$32)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25759.600673364</v>
      </c>
      <c r="E52" s="45" t="n">
        <f aca="false">L52+D52/$K$2</f>
        <v>19.819010752414</v>
      </c>
      <c r="F52" s="117" t="n">
        <f aca="false">IF($K$9=0,0,E52/$K$9)</f>
        <v>0.0116796028148031</v>
      </c>
      <c r="G52" s="117" t="n">
        <f aca="false">G51+F52</f>
        <v>1</v>
      </c>
      <c r="H52" s="138" t="n">
        <v>32597.65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RESUMO'!AY38</f>
        <v>100</v>
      </c>
      <c r="N52" s="140" t="n">
        <f aca="false">MAX(0,M52-M51)</f>
        <v>2.92</v>
      </c>
      <c r="O52" s="139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2.92</v>
      </c>
      <c r="R52" s="45" t="n">
        <f aca="false">IF(OR(B52&lt;='VALOR POR PL'!$P$5,$K$12=0),0,$K$18*$K$26*N52/$K$12)</f>
        <v>25759.600673364</v>
      </c>
      <c r="S52" s="140" t="n">
        <f aca="false">(IF(AND(48+$K$33&gt;=1,48+$K$33&lt;=72),INDEX($N$5:$N$76,48+$K$33),0)+IF(AND(48+$K$34&gt;=1,48+$K$34&lt;=72),INDEX($N$5:$N$76,48+$K$34),0)+IF(AND(48+$K$35&gt;=1,48+$K$35&lt;=72),INDEX($N$5:$N$76,48+$K$35),0))/3</f>
        <v>0</v>
      </c>
      <c r="T52" s="140" t="n">
        <f aca="false">IF(B52&lt;='VALOR POR PL'!$P$5,0,S52+IF(B52=DATE(YEAR('VALOR POR PL'!$P$5),MONTH('VALOR POR PL'!$P$5)+1,1),SUMPRODUCT((B5:B76&lt;='VALOR POR PL'!$P$5)*S5:S76),0))</f>
        <v>0</v>
      </c>
      <c r="U52" s="45" t="n">
        <f aca="false">IF($K$32=0,0,$K$18*$K$27*T52/$K$32)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RESUMO'!AZ38</f>
        <v>100</v>
      </c>
      <c r="N53" s="140" t="n">
        <f aca="false">MAX(0,M53-M52)</f>
        <v>0</v>
      </c>
      <c r="O53" s="139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  <c r="R53" s="45" t="n">
        <f aca="false">IF(OR(B53&lt;='VALOR POR PL'!$P$5,$K$12=0),0,$K$18*$K$26*N53/$K$12)</f>
        <v>0</v>
      </c>
      <c r="S53" s="140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0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RESUMO'!BA38</f>
        <v>100</v>
      </c>
      <c r="N54" s="140" t="n">
        <f aca="false">MAX(0,M54-M53)</f>
        <v>0</v>
      </c>
      <c r="O54" s="139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  <c r="R54" s="45" t="n">
        <f aca="false">IF(OR(B54&lt;='VALOR POR PL'!$P$5,$K$12=0),0,$K$18*$K$26*N54/$K$12)</f>
        <v>0</v>
      </c>
      <c r="S54" s="140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0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RESUMO'!BB38</f>
        <v>100</v>
      </c>
      <c r="N55" s="140" t="n">
        <f aca="false">MAX(0,M55-M54)</f>
        <v>0</v>
      </c>
      <c r="O55" s="139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  <c r="R55" s="45" t="n">
        <f aca="false">IF(OR(B55&lt;='VALOR POR PL'!$P$5,$K$12=0),0,$K$18*$K$26*N55/$K$12)</f>
        <v>0</v>
      </c>
      <c r="S55" s="140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0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RESUMO'!BC38</f>
        <v>100</v>
      </c>
      <c r="N56" s="140" t="n">
        <f aca="false">MAX(0,M56-M55)</f>
        <v>0</v>
      </c>
      <c r="O56" s="139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0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0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RESUMO'!BD38</f>
        <v>100</v>
      </c>
      <c r="N57" s="140" t="n">
        <f aca="false">MAX(0,M57-M56)</f>
        <v>0</v>
      </c>
      <c r="O57" s="139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0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0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RESUMO'!BE38</f>
        <v>100</v>
      </c>
      <c r="N58" s="140" t="n">
        <f aca="false">MAX(0,M58-M57)</f>
        <v>0</v>
      </c>
      <c r="O58" s="139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0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0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RESUMO'!BF38</f>
        <v>100</v>
      </c>
      <c r="N59" s="140" t="n">
        <f aca="false">MAX(0,M59-M58)</f>
        <v>0</v>
      </c>
      <c r="O59" s="139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0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0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RESUMO'!BG38</f>
        <v>100</v>
      </c>
      <c r="N60" s="140" t="n">
        <f aca="false">MAX(0,M60-M59)</f>
        <v>0</v>
      </c>
      <c r="O60" s="139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0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0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RESUMO'!BH38</f>
        <v>100</v>
      </c>
      <c r="N61" s="140" t="n">
        <f aca="false">MAX(0,M61-M60)</f>
        <v>0</v>
      </c>
      <c r="O61" s="139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0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0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RESUMO'!BI38</f>
        <v>100</v>
      </c>
      <c r="N62" s="140" t="n">
        <f aca="false">MAX(0,M62-M61)</f>
        <v>0</v>
      </c>
      <c r="O62" s="139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0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0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RESUMO'!BJ38</f>
        <v>100</v>
      </c>
      <c r="N63" s="140" t="n">
        <f aca="false">MAX(0,M63-M62)</f>
        <v>0</v>
      </c>
      <c r="O63" s="139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0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0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RESUMO'!BK38</f>
        <v>100</v>
      </c>
      <c r="N64" s="140" t="n">
        <f aca="false">MAX(0,M64-M63)</f>
        <v>0</v>
      </c>
      <c r="O64" s="139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0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0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RESUMO'!BL38</f>
        <v>100</v>
      </c>
      <c r="N65" s="140" t="n">
        <f aca="false">MAX(0,M65-M64)</f>
        <v>0</v>
      </c>
      <c r="O65" s="139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0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0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RESUMO'!BM38</f>
        <v>100</v>
      </c>
      <c r="N66" s="140" t="n">
        <f aca="false">MAX(0,M66-M65)</f>
        <v>0</v>
      </c>
      <c r="O66" s="139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0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0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RESUMO'!BN38</f>
        <v>100</v>
      </c>
      <c r="N67" s="140" t="n">
        <f aca="false">MAX(0,M67-M66)</f>
        <v>0</v>
      </c>
      <c r="O67" s="139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0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0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RESUMO'!BO38</f>
        <v>100</v>
      </c>
      <c r="N68" s="140" t="n">
        <f aca="false">MAX(0,M68-M67)</f>
        <v>0</v>
      </c>
      <c r="O68" s="139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0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0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RESUMO'!BP38</f>
        <v>100</v>
      </c>
      <c r="N69" s="140" t="n">
        <f aca="false">MAX(0,M69-M68)</f>
        <v>0</v>
      </c>
      <c r="O69" s="139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0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0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RESUMO'!BQ38</f>
        <v>100</v>
      </c>
      <c r="N70" s="140" t="n">
        <f aca="false">MAX(0,M70-M69)</f>
        <v>0</v>
      </c>
      <c r="O70" s="139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0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0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RESUMO'!BR38</f>
        <v>100</v>
      </c>
      <c r="N71" s="140" t="n">
        <f aca="false">MAX(0,M71-M70)</f>
        <v>0</v>
      </c>
      <c r="O71" s="139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0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0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RESUMO'!BS38</f>
        <v>100</v>
      </c>
      <c r="N72" s="140" t="n">
        <f aca="false">MAX(0,M72-M71)</f>
        <v>0</v>
      </c>
      <c r="O72" s="139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0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0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RESUMO'!BT38</f>
        <v>100</v>
      </c>
      <c r="N73" s="140" t="n">
        <f aca="false">MAX(0,M73-M72)</f>
        <v>0</v>
      </c>
      <c r="O73" s="139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0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0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RESUMO'!BU38</f>
        <v>100</v>
      </c>
      <c r="N74" s="140" t="n">
        <f aca="false">MAX(0,M74-M73)</f>
        <v>0</v>
      </c>
      <c r="O74" s="139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0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0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RESUMO'!BV38</f>
        <v>100</v>
      </c>
      <c r="N75" s="140" t="n">
        <f aca="false">MAX(0,M75-M74)</f>
        <v>0</v>
      </c>
      <c r="O75" s="139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0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0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RESUMO'!BW38</f>
        <v>100</v>
      </c>
      <c r="N76" s="140" t="n">
        <f aca="false">MAX(0,M76-M75)</f>
        <v>0</v>
      </c>
      <c r="O76" s="139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0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0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75</v>
      </c>
      <c r="D78" s="61" t="n">
        <f aca="false">SUM(D5:D76)</f>
        <v>2205445.26313048</v>
      </c>
      <c r="E78" s="61" t="n">
        <f aca="false">SUM(E5:E76)</f>
        <v>1696.89081612388</v>
      </c>
      <c r="F78" s="145" t="n">
        <f aca="false">SUM(F5:F76)</f>
        <v>1</v>
      </c>
      <c r="H78" s="61" t="n">
        <f aca="false">SUM(H5:H76)</f>
        <v>1983891.67</v>
      </c>
      <c r="L78" s="61" t="n">
        <f aca="false">SUM(L5:L76)</f>
        <v>0.0577037596692267</v>
      </c>
      <c r="R78" s="61" t="n">
        <f aca="false">SUM(R5:R76)</f>
        <v>882178.105252192</v>
      </c>
      <c r="U78" s="61" t="n">
        <f aca="false">SUM(U5:U76)</f>
        <v>1323267.15787829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PL'!F45</f>
        <v>3615775.99</v>
      </c>
      <c r="K5" s="56" t="n">
        <f aca="false">'VALOR POR PL'!G45</f>
        <v>3095.550779</v>
      </c>
      <c r="L5" s="56" t="n">
        <f aca="false">'DADOS HISTORICOS'!$BZ$39</f>
        <v>0</v>
      </c>
      <c r="M5" s="139" t="n">
        <f aca="false">'CP RESUMO'!D39</f>
        <v>0</v>
      </c>
      <c r="N5" s="140" t="n">
        <v>0</v>
      </c>
      <c r="O5" s="139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PL'!H45</f>
        <v>3095.550779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RESUMO'!E39</f>
        <v>0</v>
      </c>
      <c r="N6" s="140" t="n">
        <f aca="false">MAX(0,M6-M5)</f>
        <v>0</v>
      </c>
      <c r="O6" s="139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4018727.40533309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RESUMO'!F39</f>
        <v>0</v>
      </c>
      <c r="N7" s="140" t="n">
        <f aca="false">MAX(0,M7-M6)</f>
        <v>0</v>
      </c>
      <c r="O7" s="139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98.3591774276341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RESUMO'!G39</f>
        <v>0</v>
      </c>
      <c r="N8" s="140" t="n">
        <f aca="false">MAX(0,M8-M7)</f>
        <v>0</v>
      </c>
      <c r="O8" s="139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4018727.40533309</v>
      </c>
      <c r="K9" s="45" t="n">
        <f aca="false">E78</f>
        <v>3092.78817590048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RESUMO'!H39</f>
        <v>0</v>
      </c>
      <c r="N9" s="140" t="n">
        <f aca="false">MAX(0,M9-M8)</f>
        <v>0</v>
      </c>
      <c r="O9" s="139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2994.42899847285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RESUMO'!I39</f>
        <v>0</v>
      </c>
      <c r="N10" s="140" t="n">
        <f aca="false">MAX(0,M10-M9)</f>
        <v>0</v>
      </c>
      <c r="O10" s="139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3478271.44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RESUMO'!J39</f>
        <v>0</v>
      </c>
      <c r="N11" s="140" t="n">
        <f aca="false">MAX(0,M11-M10)</f>
        <v>0</v>
      </c>
      <c r="O11" s="139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83.61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RESUMO'!K39</f>
        <v>0</v>
      </c>
      <c r="N12" s="140" t="n">
        <f aca="false">MAX(0,M12-M11)</f>
        <v>0</v>
      </c>
      <c r="O12" s="139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RESUMO'!L39</f>
        <v>0</v>
      </c>
      <c r="N13" s="140" t="n">
        <f aca="false">MAX(0,M13-M12)</f>
        <v>0</v>
      </c>
      <c r="O13" s="139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RESUMO'!$D$81:$BW$81,MATCH('VALOR POR PL'!$P$5,'CP RESUMO'!$D$4:$BW$4,0))/100,0)</f>
        <v>0.1098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RESUMO'!M39</f>
        <v>0</v>
      </c>
      <c r="N14" s="140" t="n">
        <f aca="false">MAX(0,M14-M13)</f>
        <v>0</v>
      </c>
      <c r="O14" s="139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RESUMO'!N39</f>
        <v>0</v>
      </c>
      <c r="N15" s="140" t="n">
        <f aca="false">MAX(0,M15-M14)</f>
        <v>0</v>
      </c>
      <c r="O15" s="139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RESUMO'!O39</f>
        <v>0</v>
      </c>
      <c r="N16" s="140" t="n">
        <f aca="false">MAX(0,M16-M15)</f>
        <v>0</v>
      </c>
      <c r="O16" s="139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83.61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RESUMO'!P39</f>
        <v>0</v>
      </c>
      <c r="N17" s="140" t="n">
        <f aca="false">MAX(0,M17-M16)</f>
        <v>0</v>
      </c>
      <c r="O17" s="139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3891985.13533309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RESUMO'!Q39</f>
        <v>0</v>
      </c>
      <c r="N18" s="140" t="n">
        <f aca="false">MAX(0,M18-M17)</f>
        <v>0</v>
      </c>
      <c r="O18" s="139" t="n">
        <f aca="false">IF(B18&lt;='VALOR POR PL'!$P$5,'CP RESUMO'!Q81,"")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RESUMO'!R39</f>
        <v>0</v>
      </c>
      <c r="N19" s="140" t="n">
        <f aca="false">MAX(0,M19-M18)</f>
        <v>0</v>
      </c>
      <c r="O19" s="139" t="n">
        <f aca="false">IF(B19&lt;='VALOR POR PL'!$P$5,'CP RESUMO'!R81,"")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HISTORICOS'!S39)</f>
        <v>2371.88</v>
      </c>
      <c r="D20" s="45" t="n">
        <f aca="false">IF(B20&lt;='VALOR POR PL'!$P$5,0,IF($K$17&gt;0,$K$18*P20/$K$17,0))</f>
        <v>0</v>
      </c>
      <c r="E20" s="45" t="n">
        <f aca="false">L20+D20/$K$2</f>
        <v>1.90179292340085</v>
      </c>
      <c r="F20" s="117" t="n">
        <f aca="false">IF($K$9=0,0,E20/$K$9)</f>
        <v>0.000614912116587855</v>
      </c>
      <c r="G20" s="117" t="n">
        <f aca="false">G19+F20</f>
        <v>0.000614912116587855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1.90179292340085</v>
      </c>
      <c r="M20" s="139" t="n">
        <f aca="false">'CP RESUMO'!S39</f>
        <v>0</v>
      </c>
      <c r="N20" s="140" t="n">
        <f aca="false">MAX(0,M20-M19)</f>
        <v>0</v>
      </c>
      <c r="O20" s="139" t="n">
        <f aca="false">IF(B20&lt;='VALOR POR PL'!$P$5,'CP RESUMO'!S81,"")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HISTORICOS'!T39)</f>
        <v>6712.62</v>
      </c>
      <c r="D21" s="45" t="n">
        <f aca="false">IF(B21&lt;='VALOR POR PL'!$P$5,0,IF($K$17&gt;0,$K$18*P21/$K$17,0))</f>
        <v>0</v>
      </c>
      <c r="E21" s="45" t="n">
        <f aca="false">L21+D21/$K$2</f>
        <v>5.32894799516057</v>
      </c>
      <c r="F21" s="117" t="n">
        <f aca="false">IF($K$9=0,0,E21/$K$9)</f>
        <v>0.00172302391631105</v>
      </c>
      <c r="G21" s="117" t="n">
        <f aca="false">G20+F21</f>
        <v>0.00233793603289891</v>
      </c>
      <c r="H21" s="138"/>
      <c r="K21" s="143"/>
      <c r="L21" s="45" t="n">
        <f aca="false">C21/IF(B21&lt;='VALOR POR PL'!$P$5,IFERROR(INDEX('"INCC-FGV"'!$B$2:$B$800,MATCH(B21,'"INCC-FGV"'!$A$2:$A$800,0)),$K$2),$K$2)</f>
        <v>5.32894799516057</v>
      </c>
      <c r="M21" s="139" t="n">
        <f aca="false">'CP RESUMO'!T39</f>
        <v>0.7</v>
      </c>
      <c r="N21" s="140" t="n">
        <f aca="false">MAX(0,M21-M20)</f>
        <v>0.7</v>
      </c>
      <c r="O21" s="139" t="n">
        <f aca="false">IF(B21&lt;='VALOR POR PL'!$P$5,'CP RESUMO'!T81,"")</f>
        <v>1.77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HISTORICOS'!U39)</f>
        <v>12812.41</v>
      </c>
      <c r="D22" s="45" t="n">
        <f aca="false">IF(B22&lt;='VALOR POR PL'!$P$5,0,IF($K$17&gt;0,$K$18*P22/$K$17,0))</f>
        <v>0</v>
      </c>
      <c r="E22" s="45" t="n">
        <f aca="false">L22+D22/$K$2</f>
        <v>10.0829939521286</v>
      </c>
      <c r="F22" s="117" t="n">
        <f aca="false">IF($K$9=0,0,E22/$K$9)</f>
        <v>0.00326016312099772</v>
      </c>
      <c r="G22" s="117" t="n">
        <f aca="false">G21+F22</f>
        <v>0.00559809915389663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10.0829939521286</v>
      </c>
      <c r="M22" s="139" t="n">
        <f aca="false">'CP RESUMO'!U39</f>
        <v>2.79</v>
      </c>
      <c r="N22" s="140" t="n">
        <f aca="false">MAX(0,M22-M21)</f>
        <v>2.09</v>
      </c>
      <c r="O22" s="139" t="n">
        <f aca="false">IF(B22&lt;='VALOR POR PL'!$P$5,'CP RESUMO'!U81,"")</f>
        <v>4.5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HISTORICOS'!V39)</f>
        <v>13032.01</v>
      </c>
      <c r="D23" s="45" t="n">
        <f aca="false">IF(B23&lt;='VALOR POR PL'!$P$5,0,IF($K$17&gt;0,$K$18*P23/$K$17,0))</f>
        <v>0</v>
      </c>
      <c r="E23" s="45" t="n">
        <f aca="false">L23+D23/$K$2</f>
        <v>10.1761617814829</v>
      </c>
      <c r="F23" s="117" t="n">
        <f aca="false">IF($K$9=0,0,E23/$K$9)</f>
        <v>0.00329028734032845</v>
      </c>
      <c r="G23" s="117" t="n">
        <f aca="false">G22+F23</f>
        <v>0.00888838649422508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10.1761617814829</v>
      </c>
      <c r="M23" s="139" t="n">
        <f aca="false">'CP RESUMO'!V39</f>
        <v>5.06</v>
      </c>
      <c r="N23" s="140" t="n">
        <f aca="false">MAX(0,M23-M22)</f>
        <v>2.27</v>
      </c>
      <c r="O23" s="139" t="n">
        <f aca="false">IF(B23&lt;='VALOR POR PL'!$P$5,'CP RESUMO'!V81,"")</f>
        <v>5.91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HISTORICOS'!W39)</f>
        <v>27991.11</v>
      </c>
      <c r="D24" s="45" t="n">
        <f aca="false">IF(B24&lt;='VALOR POR PL'!$P$5,0,IF($K$17&gt;0,$K$18*P24/$K$17,0))</f>
        <v>0</v>
      </c>
      <c r="E24" s="45" t="n">
        <f aca="false">L24+D24/$K$2</f>
        <v>21.7249584960312</v>
      </c>
      <c r="F24" s="117" t="n">
        <f aca="false">IF($K$9=0,0,E24/$K$9)</f>
        <v>0.00702439263875739</v>
      </c>
      <c r="G24" s="117" t="n">
        <f aca="false">G23+F24</f>
        <v>0.0159127791329825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21.7249584960312</v>
      </c>
      <c r="M24" s="139" t="n">
        <f aca="false">'CP RESUMO'!W39</f>
        <v>7.5</v>
      </c>
      <c r="N24" s="140" t="n">
        <f aca="false">MAX(0,M24-M23)</f>
        <v>2.44</v>
      </c>
      <c r="O24" s="139" t="n">
        <f aca="false">IF(B24&lt;='VALOR POR PL'!$P$5,'CP RESUMO'!W81,"")</f>
        <v>9.53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HISTORICOS'!X39)</f>
        <v>23955.73</v>
      </c>
      <c r="D25" s="45" t="n">
        <f aca="false">IF(B25&lt;='VALOR POR PL'!$P$5,0,IF($K$17&gt;0,$K$18*P25/$K$17,0))</f>
        <v>0</v>
      </c>
      <c r="E25" s="45" t="n">
        <f aca="false">L25+D25/$K$2</f>
        <v>18.4716887875524</v>
      </c>
      <c r="F25" s="117" t="n">
        <f aca="false">IF($K$9=0,0,E25/$K$9)</f>
        <v>0.00597250368825348</v>
      </c>
      <c r="G25" s="117" t="n">
        <f aca="false">G24+F25</f>
        <v>0.0218852828212359</v>
      </c>
      <c r="H25" s="138"/>
      <c r="L25" s="45" t="n">
        <f aca="false">C25/IF(B25&lt;='VALOR POR PL'!$P$5,IFERROR(INDEX('"INCC-FGV"'!$B$2:$B$800,MATCH(B25,'"INCC-FGV"'!$A$2:$A$800,0)),$K$2),$K$2)</f>
        <v>18.4716887875524</v>
      </c>
      <c r="M25" s="139" t="n">
        <f aca="false">'CP RESUMO'!X39</f>
        <v>12.31</v>
      </c>
      <c r="N25" s="140" t="n">
        <f aca="false">MAX(0,M25-M24)</f>
        <v>4.81</v>
      </c>
      <c r="O25" s="139" t="n">
        <f aca="false">IF(B25&lt;='VALOR POR PL'!$P$5,'CP RESUMO'!X81,"")</f>
        <v>10.98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HISTORICOS'!Y39)</f>
        <v>1621.89</v>
      </c>
      <c r="D26" s="45" t="n">
        <f aca="false">IF(B26&lt;='VALOR POR PL'!$P$5,0,IF($K$17&gt;0,$K$18*P26/$K$17,0))</f>
        <v>0</v>
      </c>
      <c r="E26" s="45" t="n">
        <f aca="false">L26+D26/$K$2</f>
        <v>1.24785534359896</v>
      </c>
      <c r="F26" s="117" t="n">
        <f aca="false">IF($K$9=0,0,E26/$K$9)</f>
        <v>0.00040347261843616</v>
      </c>
      <c r="G26" s="117" t="n">
        <f aca="false">G25+F26</f>
        <v>0.0222887554396721</v>
      </c>
      <c r="H26" s="138" t="n">
        <v>21347.66</v>
      </c>
      <c r="L26" s="45" t="n">
        <f aca="false">C26/IF(B26&lt;='VALOR POR PL'!$P$5,IFERROR(INDEX('"INCC-FGV"'!$B$2:$B$800,MATCH(B26,'"INCC-FGV"'!$A$2:$A$800,0)),$K$2),$K$2)</f>
        <v>1.24785534359896</v>
      </c>
      <c r="M26" s="139" t="n">
        <f aca="false">'CP RESUMO'!Y39</f>
        <v>16.39</v>
      </c>
      <c r="N26" s="140" t="n">
        <f aca="false">MAX(0,M26-M25)</f>
        <v>4.08</v>
      </c>
      <c r="O26" s="139" t="n">
        <f aca="false">IF(B26&lt;='VALOR POR PL'!$P$5,'CP RESUMO'!Y81,"")</f>
        <v>10.98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HISTORICOS'!Z39)</f>
        <v>28284.95</v>
      </c>
      <c r="D27" s="45" t="n">
        <f aca="false">IF(B27&lt;='VALOR POR PL'!$P$5,0,IF($K$17&gt;0,$K$18*P27/$K$17,0))</f>
        <v>197368.938808902</v>
      </c>
      <c r="E27" s="45" t="n">
        <f aca="false">L27+D27/$K$2</f>
        <v>173.614370243404</v>
      </c>
      <c r="F27" s="117" t="n">
        <f aca="false">IF($K$9=0,0,E27/$K$9)</f>
        <v>0.0561352282695064</v>
      </c>
      <c r="G27" s="117" t="n">
        <f aca="false">G26+F27</f>
        <v>0.0784239837091785</v>
      </c>
      <c r="H27" s="138" t="n">
        <v>21347.66</v>
      </c>
      <c r="L27" s="45" t="n">
        <f aca="false">C27/IF(B27&lt;='VALOR POR PL'!$P$5,IFERROR(INDEX('"INCC-FGV"'!$B$2:$B$800,MATCH(B27,'"INCC-FGV"'!$A$2:$A$800,0)),$K$2),$K$2)</f>
        <v>21.7619727607479</v>
      </c>
      <c r="M27" s="139" t="n">
        <f aca="false">'CP RESUMO'!Z39</f>
        <v>20.63</v>
      </c>
      <c r="N27" s="140" t="n">
        <f aca="false">MAX(0,M27-M26)</f>
        <v>4.24</v>
      </c>
      <c r="O27" s="139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4.24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HISTORICOS'!AA39)</f>
        <v>810.49</v>
      </c>
      <c r="D28" s="45" t="n">
        <f aca="false">IF(B28&lt;='VALOR POR PL'!$P$5,0,IF($K$17&gt;0,$K$18*P28/$K$17,0))</f>
        <v>115907.702272209</v>
      </c>
      <c r="E28" s="45" t="n">
        <f aca="false">L28+D28/$K$2</f>
        <v>89.8010468786953</v>
      </c>
      <c r="F28" s="117" t="n">
        <f aca="false">IF($K$9=0,0,E28/$K$9)</f>
        <v>0.029035627974279</v>
      </c>
      <c r="G28" s="117" t="n">
        <f aca="false">G27+F28</f>
        <v>0.107459611683458</v>
      </c>
      <c r="H28" s="138" t="n">
        <v>21347.66</v>
      </c>
      <c r="L28" s="45" t="n">
        <f aca="false">C28/IF(B28&lt;='VALOR POR PL'!$P$5,IFERROR(INDEX('"INCC-FGV"'!$B$2:$B$800,MATCH(B28,'"INCC-FGV"'!$A$2:$A$800,0)),$K$2),$K$2)</f>
        <v>0.623577602324154</v>
      </c>
      <c r="M28" s="139" t="n">
        <f aca="false">'CP RESUMO'!AA39</f>
        <v>23.12</v>
      </c>
      <c r="N28" s="140" t="n">
        <f aca="false">MAX(0,M28-M27)</f>
        <v>2.49</v>
      </c>
      <c r="O28" s="139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2.49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HISTORICOS'!AB39)</f>
        <v>766.34</v>
      </c>
      <c r="D29" s="45" t="n">
        <f aca="false">IF(B29&lt;='VALOR POR PL'!$P$5,0,IF($K$17&gt;0,$K$18*P29/$K$17,0))</f>
        <v>66565.4675699835</v>
      </c>
      <c r="E29" s="45" t="n">
        <f aca="false">L29+D29/$K$2</f>
        <v>51.8039792281726</v>
      </c>
      <c r="F29" s="117" t="n">
        <f aca="false">IF($K$9=0,0,E29/$K$9)</f>
        <v>0.0167499279879036</v>
      </c>
      <c r="G29" s="117" t="n">
        <f aca="false">G28+F29</f>
        <v>0.124209539671361</v>
      </c>
      <c r="H29" s="138" t="n">
        <v>21347.66</v>
      </c>
      <c r="L29" s="45" t="n">
        <f aca="false">C29/IF(B29&lt;='VALOR POR PL'!$P$5,IFERROR(INDEX('"INCC-FGV"'!$B$2:$B$800,MATCH(B29,'"INCC-FGV"'!$A$2:$A$800,0)),$K$2),$K$2)</f>
        <v>0.589609322465536</v>
      </c>
      <c r="M29" s="139" t="n">
        <f aca="false">'CP RESUMO'!AB39</f>
        <v>24.55</v>
      </c>
      <c r="N29" s="140" t="n">
        <f aca="false">MAX(0,M29-M28)</f>
        <v>1.43</v>
      </c>
      <c r="O29" s="139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1.43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0.124209539671361</v>
      </c>
      <c r="H30" s="138" t="n">
        <v>42022.39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RESUMO'!AC39</f>
        <v>24.55</v>
      </c>
      <c r="N30" s="140" t="n">
        <f aca="false">MAX(0,M30-M29)</f>
        <v>0</v>
      </c>
      <c r="O30" s="139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3258.44946146774</v>
      </c>
      <c r="E31" s="45" t="n">
        <f aca="false">L31+D31/$K$2</f>
        <v>2.50699712825141</v>
      </c>
      <c r="F31" s="117" t="n">
        <f aca="false">IF($K$9=0,0,E31/$K$9)</f>
        <v>0.000810594513968446</v>
      </c>
      <c r="G31" s="117" t="n">
        <f aca="false">G30+F31</f>
        <v>0.12502013418533</v>
      </c>
      <c r="H31" s="138" t="n">
        <v>42022.39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RESUMO'!AD39</f>
        <v>24.62</v>
      </c>
      <c r="N31" s="140" t="n">
        <f aca="false">MAX(0,M31-M30)</f>
        <v>0.0700000000000003</v>
      </c>
      <c r="O31" s="139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0.0700000000000003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19085.2039885967</v>
      </c>
      <c r="E32" s="45" t="n">
        <f aca="false">L32+D32/$K$2</f>
        <v>14.6838403226153</v>
      </c>
      <c r="F32" s="117" t="n">
        <f aca="false">IF($K$9=0,0,E32/$K$9)</f>
        <v>0.00474776786752945</v>
      </c>
      <c r="G32" s="117" t="n">
        <f aca="false">G31+F32</f>
        <v>0.129767902052859</v>
      </c>
      <c r="H32" s="138" t="n">
        <v>42022.39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RESUMO'!AE39</f>
        <v>25.03</v>
      </c>
      <c r="N32" s="140" t="n">
        <f aca="false">MAX(0,M32-M31)</f>
        <v>0.41</v>
      </c>
      <c r="O32" s="139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0.41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0.129767902052859</v>
      </c>
      <c r="H33" s="138" t="n">
        <v>48206.2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RESUMO'!AF39</f>
        <v>25.03</v>
      </c>
      <c r="N33" s="140" t="n">
        <f aca="false">MAX(0,M33-M32)</f>
        <v>0</v>
      </c>
      <c r="O33" s="139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47480.2635813868</v>
      </c>
      <c r="E34" s="45" t="n">
        <f aca="false">L34+D34/$K$2</f>
        <v>36.5305295830918</v>
      </c>
      <c r="F34" s="117" t="n">
        <f aca="false">IF($K$9=0,0,E34/$K$9)</f>
        <v>0.011811520060683</v>
      </c>
      <c r="G34" s="117" t="n">
        <f aca="false">G33+F34</f>
        <v>0.141579422113542</v>
      </c>
      <c r="H34" s="138" t="n">
        <v>110230.39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RESUMO'!AG39</f>
        <v>26.05</v>
      </c>
      <c r="N34" s="140" t="n">
        <f aca="false">MAX(0,M34-M33)</f>
        <v>1.02</v>
      </c>
      <c r="O34" s="139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1.02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91702.077701306</v>
      </c>
      <c r="E35" s="45" t="n">
        <f aca="false">L35+D35/$K$2</f>
        <v>70.5540620379321</v>
      </c>
      <c r="F35" s="117" t="n">
        <f aca="false">IF($K$9=0,0,E35/$K$9)</f>
        <v>0.0228124456073976</v>
      </c>
      <c r="G35" s="117" t="n">
        <f aca="false">G34+F35</f>
        <v>0.16439186772094</v>
      </c>
      <c r="H35" s="138" t="n">
        <v>110230.39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RESUMO'!AH39</f>
        <v>28.02</v>
      </c>
      <c r="N35" s="140" t="n">
        <f aca="false">MAX(0,M35-M34)</f>
        <v>1.97</v>
      </c>
      <c r="O35" s="139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1.97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140113.326843112</v>
      </c>
      <c r="E36" s="45" t="n">
        <f aca="false">L36+D36/$K$2</f>
        <v>107.80087651481</v>
      </c>
      <c r="F36" s="117" t="n">
        <f aca="false">IF($K$9=0,0,E36/$K$9)</f>
        <v>0.0348555641006431</v>
      </c>
      <c r="G36" s="117" t="n">
        <f aca="false">G35+F36</f>
        <v>0.199247431821583</v>
      </c>
      <c r="H36" s="138" t="n">
        <v>110230.39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RESUMO'!AI39</f>
        <v>31.03</v>
      </c>
      <c r="N36" s="140" t="n">
        <f aca="false">MAX(0,M36-M35)</f>
        <v>3.01</v>
      </c>
      <c r="O36" s="139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3.01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199230.909929741</v>
      </c>
      <c r="E37" s="45" t="n">
        <f aca="false">L37+D37/$K$2</f>
        <v>153.284967270228</v>
      </c>
      <c r="F37" s="117" t="n">
        <f aca="false">IF($K$9=0,0,E37/$K$9)</f>
        <v>0.0495620645683562</v>
      </c>
      <c r="G37" s="117" t="n">
        <f aca="false">G36+F37</f>
        <v>0.248809496389939</v>
      </c>
      <c r="H37" s="138" t="n">
        <v>110230.39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RESUMO'!AJ39</f>
        <v>35.31</v>
      </c>
      <c r="N37" s="140" t="n">
        <f aca="false">MAX(0,M37-M36)</f>
        <v>4.28</v>
      </c>
      <c r="O37" s="139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4.28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266261.870279934</v>
      </c>
      <c r="E38" s="45" t="n">
        <f aca="false">L38+D38/$K$2</f>
        <v>204.857479622828</v>
      </c>
      <c r="F38" s="117" t="n">
        <f aca="false">IF($K$9=0,0,E38/$K$9)</f>
        <v>0.0662371517128499</v>
      </c>
      <c r="G38" s="117" t="n">
        <f aca="false">G37+F38</f>
        <v>0.315046648102789</v>
      </c>
      <c r="H38" s="138" t="n">
        <v>99556.56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RESUMO'!AK39</f>
        <v>41.03</v>
      </c>
      <c r="N38" s="140" t="n">
        <f aca="false">MAX(0,M38-M37)</f>
        <v>5.72</v>
      </c>
      <c r="O38" s="139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5.72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74013.3520533382</v>
      </c>
      <c r="E39" s="45" t="n">
        <f aca="false">L39+D39/$K$2</f>
        <v>56.9446490559959</v>
      </c>
      <c r="F39" s="117" t="n">
        <f aca="false">IF($K$9=0,0,E39/$K$9)</f>
        <v>0.0184120753887117</v>
      </c>
      <c r="G39" s="117" t="n">
        <f aca="false">G38+F39</f>
        <v>0.3334587234915</v>
      </c>
      <c r="H39" s="138" t="n">
        <v>99556.56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RESUMO'!AL39</f>
        <v>42.62</v>
      </c>
      <c r="N39" s="140" t="n">
        <f aca="false">MAX(0,M39-M38)</f>
        <v>1.59</v>
      </c>
      <c r="O39" s="139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1.59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HISTORICOS'!AM39)</f>
        <v>0</v>
      </c>
      <c r="D40" s="45" t="n">
        <f aca="false">IF(B40&lt;='VALOR POR PL'!$P$5,0,IF($K$17&gt;0,$K$18*P40/$K$17,0))</f>
        <v>48876.7419220161</v>
      </c>
      <c r="E40" s="45" t="n">
        <f aca="false">L40+D40/$K$2</f>
        <v>37.6049569237711</v>
      </c>
      <c r="F40" s="117" t="n">
        <f aca="false">IF($K$9=0,0,E40/$K$9)</f>
        <v>0.0121589177095267</v>
      </c>
      <c r="G40" s="117" t="n">
        <f aca="false">G39+F40</f>
        <v>0.345617641201027</v>
      </c>
      <c r="H40" s="138" t="n">
        <v>99556.56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RESUMO'!AM39</f>
        <v>43.67</v>
      </c>
      <c r="N40" s="140" t="n">
        <f aca="false">MAX(0,M40-M39)</f>
        <v>1.05</v>
      </c>
      <c r="O40" s="139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1.05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HISTORICOS'!AN39)</f>
        <v>0</v>
      </c>
      <c r="D41" s="45" t="n">
        <f aca="false">IF(B41&lt;='VALOR POR PL'!$P$5,0,IF($K$17&gt;0,$K$18*P41/$K$17,0))</f>
        <v>34446.4657355157</v>
      </c>
      <c r="E41" s="45" t="n">
        <f aca="false">L41+D41/$K$2</f>
        <v>26.502541070086</v>
      </c>
      <c r="F41" s="117" t="n">
        <f aca="false">IF($K$9=0,0,E41/$K$9)</f>
        <v>0.00856914200480919</v>
      </c>
      <c r="G41" s="117" t="n">
        <f aca="false">G40+F41</f>
        <v>0.354186783205836</v>
      </c>
      <c r="H41" s="138" t="n">
        <v>94219.65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RESUMO'!AN39</f>
        <v>44.41</v>
      </c>
      <c r="N41" s="140" t="n">
        <f aca="false">MAX(0,M41-M40)</f>
        <v>0.739999999999995</v>
      </c>
      <c r="O41" s="139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0.739999999999995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171301.343117161</v>
      </c>
      <c r="E42" s="45" t="n">
        <f aca="false">L42+D42/$K$2</f>
        <v>131.796420456645</v>
      </c>
      <c r="F42" s="117" t="n">
        <f aca="false">IF($K$9=0,0,E42/$K$9)</f>
        <v>0.0426141115914839</v>
      </c>
      <c r="G42" s="117" t="n">
        <f aca="false">G41+F42</f>
        <v>0.39680089479732</v>
      </c>
      <c r="H42" s="138" t="n">
        <v>88882.73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RESUMO'!AO39</f>
        <v>48.09</v>
      </c>
      <c r="N42" s="140" t="n">
        <f aca="false">MAX(0,M42-M41)</f>
        <v>3.68000000000001</v>
      </c>
      <c r="O42" s="139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3.68000000000001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241125.260148612</v>
      </c>
      <c r="E43" s="45" t="n">
        <f aca="false">L43+D43/$K$2</f>
        <v>185.517787490603</v>
      </c>
      <c r="F43" s="117" t="n">
        <f aca="false">IF($K$9=0,0,E43/$K$9)</f>
        <v>0.0599839940336648</v>
      </c>
      <c r="G43" s="117" t="n">
        <f aca="false">G42+F43</f>
        <v>0.456784888830985</v>
      </c>
      <c r="H43" s="138" t="n">
        <v>82698.93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RESUMO'!AP39</f>
        <v>53.27</v>
      </c>
      <c r="N43" s="140" t="n">
        <f aca="false">MAX(0,M43-M42)</f>
        <v>5.18</v>
      </c>
      <c r="O43" s="139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5.18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350981.556278095</v>
      </c>
      <c r="E44" s="45" t="n">
        <f aca="false">L44+D44/$K$2</f>
        <v>270.039404957365</v>
      </c>
      <c r="F44" s="117" t="n">
        <f aca="false">IF($K$9=0,0,E44/$K$9)</f>
        <v>0.0873126090760294</v>
      </c>
      <c r="G44" s="117" t="n">
        <f aca="false">G43+F44</f>
        <v>0.544097497907014</v>
      </c>
      <c r="H44" s="138" t="n">
        <v>82698.93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RESUMO'!AQ39</f>
        <v>60.81</v>
      </c>
      <c r="N44" s="140" t="n">
        <f aca="false">MAX(0,M44-M43)</f>
        <v>7.54</v>
      </c>
      <c r="O44" s="139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7.54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293260.451532095</v>
      </c>
      <c r="E45" s="45" t="n">
        <f aca="false">L45+D45/$K$2</f>
        <v>225.629741542626</v>
      </c>
      <c r="F45" s="117" t="n">
        <f aca="false">IF($K$9=0,0,E45/$K$9)</f>
        <v>0.0729535062571598</v>
      </c>
      <c r="G45" s="117" t="n">
        <f aca="false">G44+F45</f>
        <v>0.617051004164174</v>
      </c>
      <c r="H45" s="138" t="n">
        <v>112144.29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RESUMO'!AR39</f>
        <v>67.11</v>
      </c>
      <c r="N45" s="140" t="n">
        <f aca="false">MAX(0,M45-M44)</f>
        <v>6.3</v>
      </c>
      <c r="O45" s="139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6.3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257883.00023616</v>
      </c>
      <c r="E46" s="45" t="n">
        <f aca="false">L46+D46/$K$2</f>
        <v>198.410915578754</v>
      </c>
      <c r="F46" s="117" t="n">
        <f aca="false">IF($K$9=0,0,E46/$K$9)</f>
        <v>0.0641527658197883</v>
      </c>
      <c r="G46" s="117" t="n">
        <f aca="false">G45+F46</f>
        <v>0.681203769983962</v>
      </c>
      <c r="H46" s="138" t="n">
        <v>112144.29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RESUMO'!AS39</f>
        <v>72.65</v>
      </c>
      <c r="N46" s="140" t="n">
        <f aca="false">MAX(0,M46-M45)</f>
        <v>5.54000000000001</v>
      </c>
      <c r="O46" s="139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5.54000000000001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HISTORICOS'!AT39)</f>
        <v>8382.84</v>
      </c>
      <c r="D47" s="45" t="n">
        <f aca="false">IF(B47&lt;='VALOR POR PL'!$P$5,0,IF($K$17&gt;0,$K$18*P47/$K$17,0))</f>
        <v>290932.987631047</v>
      </c>
      <c r="E47" s="45" t="n">
        <f aca="false">L47+D47/$K$2</f>
        <v>230.288647770901</v>
      </c>
      <c r="F47" s="117" t="n">
        <f aca="false">IF($K$9=0,0,E47/$K$9)</f>
        <v>0.0744598836626927</v>
      </c>
      <c r="G47" s="117" t="n">
        <f aca="false">G46+F47</f>
        <v>0.755663653646655</v>
      </c>
      <c r="H47" s="138" t="n">
        <v>112144.29</v>
      </c>
      <c r="L47" s="45" t="n">
        <f aca="false">C47/IF(B47&lt;='VALOR POR PL'!$P$5,IFERROR(INDEX('"INCC-FGV"'!$B$2:$B$800,MATCH(B47,'"INCC-FGV"'!$A$2:$A$800,0)),$K$2),$K$2)</f>
        <v>6.44961846274107</v>
      </c>
      <c r="M47" s="139" t="n">
        <f aca="false">'CP RESUMO'!AT39</f>
        <v>78.9</v>
      </c>
      <c r="N47" s="140" t="n">
        <f aca="false">MAX(0,M47-M46)</f>
        <v>6.25</v>
      </c>
      <c r="O47" s="139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6.25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270916.798082031</v>
      </c>
      <c r="E48" s="45" t="n">
        <f aca="false">L48+D48/$K$2</f>
        <v>208.438904091759</v>
      </c>
      <c r="F48" s="117" t="n">
        <f aca="false">IF($K$9=0,0,E48/$K$9)</f>
        <v>0.0673951438756619</v>
      </c>
      <c r="G48" s="117" t="n">
        <f aca="false">G47+F48</f>
        <v>0.823058797522317</v>
      </c>
      <c r="H48" s="138" t="n">
        <v>112144.29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RESUMO'!AU39</f>
        <v>84.72</v>
      </c>
      <c r="N48" s="140" t="n">
        <f aca="false">MAX(0,M48-M47)</f>
        <v>5.81999999999999</v>
      </c>
      <c r="O48" s="139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5.81999999999999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265796.377499725</v>
      </c>
      <c r="E49" s="45" t="n">
        <f aca="false">L49+D49/$K$2</f>
        <v>204.499337175936</v>
      </c>
      <c r="F49" s="117" t="n">
        <f aca="false">IF($K$9=0,0,E49/$K$9)</f>
        <v>0.0661213524965688</v>
      </c>
      <c r="G49" s="117" t="n">
        <f aca="false">G48+F49</f>
        <v>0.889180150018886</v>
      </c>
      <c r="H49" s="138" t="n">
        <v>112144.29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RESUMO'!AV39</f>
        <v>90.43</v>
      </c>
      <c r="N49" s="140" t="n">
        <f aca="false">MAX(0,M49-M48)</f>
        <v>5.71000000000001</v>
      </c>
      <c r="O49" s="139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5.71000000000001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186662.604864079</v>
      </c>
      <c r="E50" s="45" t="n">
        <f aca="false">L50+D50/$K$2</f>
        <v>143.615121204115</v>
      </c>
      <c r="F50" s="117" t="n">
        <f aca="false">IF($K$9=0,0,E50/$K$9)</f>
        <v>0.0464354857287635</v>
      </c>
      <c r="G50" s="117" t="n">
        <f aca="false">G49+F50</f>
        <v>0.935615635747649</v>
      </c>
      <c r="H50" s="138" t="n">
        <v>215328.19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RESUMO'!AW39</f>
        <v>94.44</v>
      </c>
      <c r="N50" s="140" t="n">
        <f aca="false">MAX(0,M50-M49)</f>
        <v>4.00999999999999</v>
      </c>
      <c r="O50" s="139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4.00999999999999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147095.718546257</v>
      </c>
      <c r="E51" s="45" t="n">
        <f aca="false">L51+D51/$K$2</f>
        <v>113.173013218206</v>
      </c>
      <c r="F51" s="117" t="n">
        <f aca="false">IF($K$9=0,0,E51/$K$9)</f>
        <v>0.0365925523448611</v>
      </c>
      <c r="G51" s="117" t="n">
        <f aca="false">G50+F51</f>
        <v>0.97220818809251</v>
      </c>
      <c r="H51" s="138" t="n">
        <v>243105.63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RESUMO'!AX39</f>
        <v>97.6</v>
      </c>
      <c r="N51" s="140" t="n">
        <f aca="false">MAX(0,M51-M50)</f>
        <v>3.16</v>
      </c>
      <c r="O51" s="139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3.16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99149.9621846613</v>
      </c>
      <c r="E52" s="45" t="n">
        <f aca="false">L52+D52/$K$2</f>
        <v>76.2843411882214</v>
      </c>
      <c r="F52" s="117" t="n">
        <f aca="false">IF($K$9=0,0,E52/$K$9)</f>
        <v>0.024665233067897</v>
      </c>
      <c r="G52" s="117" t="n">
        <f aca="false">G51+F52</f>
        <v>0.996873421160407</v>
      </c>
      <c r="H52" s="138" t="n">
        <v>243105.63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RESUMO'!AY39</f>
        <v>99.73</v>
      </c>
      <c r="N52" s="140" t="n">
        <f aca="false">MAX(0,M52-M51)</f>
        <v>2.13000000000001</v>
      </c>
      <c r="O52" s="139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2.13000000000001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12568.305065661</v>
      </c>
      <c r="E53" s="45" t="n">
        <f aca="false">L53+D53/$K$2</f>
        <v>9.66984606611239</v>
      </c>
      <c r="F53" s="117" t="n">
        <f aca="false">IF($K$9=0,0,E53/$K$9)</f>
        <v>0.00312657883959252</v>
      </c>
      <c r="G53" s="117" t="n">
        <f aca="false">G52+F53</f>
        <v>1</v>
      </c>
      <c r="H53" s="138" t="n">
        <v>243105.63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RESUMO'!AZ39</f>
        <v>100</v>
      </c>
      <c r="N53" s="140" t="n">
        <f aca="false">MAX(0,M53-M52)</f>
        <v>0.269999999999996</v>
      </c>
      <c r="O53" s="139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0.269999999999996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75698.83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RESUMO'!BA39</f>
        <v>100</v>
      </c>
      <c r="N54" s="140" t="n">
        <f aca="false">MAX(0,M54-M53)</f>
        <v>0</v>
      </c>
      <c r="O54" s="139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10337.37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RESUMO'!BB39</f>
        <v>100</v>
      </c>
      <c r="N55" s="140" t="n">
        <f aca="false">MAX(0,M55-M54)</f>
        <v>0</v>
      </c>
      <c r="O55" s="139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10337.37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RESUMO'!BC39</f>
        <v>100</v>
      </c>
      <c r="N56" s="140" t="n">
        <f aca="false">MAX(0,M56-M55)</f>
        <v>0</v>
      </c>
      <c r="O56" s="139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RESUMO'!BD39</f>
        <v>100</v>
      </c>
      <c r="N57" s="140" t="n">
        <f aca="false">MAX(0,M57-M56)</f>
        <v>0</v>
      </c>
      <c r="O57" s="139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RESUMO'!BE39</f>
        <v>100</v>
      </c>
      <c r="N58" s="140" t="n">
        <f aca="false">MAX(0,M58-M57)</f>
        <v>0</v>
      </c>
      <c r="O58" s="139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RESUMO'!BF39</f>
        <v>100</v>
      </c>
      <c r="N59" s="140" t="n">
        <f aca="false">MAX(0,M59-M58)</f>
        <v>0</v>
      </c>
      <c r="O59" s="139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RESUMO'!BG39</f>
        <v>100</v>
      </c>
      <c r="N60" s="140" t="n">
        <f aca="false">MAX(0,M60-M59)</f>
        <v>0</v>
      </c>
      <c r="O60" s="139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 t="n">
        <v>550123.51</v>
      </c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RESUMO'!BH39</f>
        <v>100</v>
      </c>
      <c r="N61" s="140" t="n">
        <f aca="false">MAX(0,M61-M60)</f>
        <v>0</v>
      </c>
      <c r="O61" s="139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RESUMO'!BI39</f>
        <v>100</v>
      </c>
      <c r="N62" s="140" t="n">
        <f aca="false">MAX(0,M62-M61)</f>
        <v>0</v>
      </c>
      <c r="O62" s="139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RESUMO'!BJ39</f>
        <v>100</v>
      </c>
      <c r="N63" s="140" t="n">
        <f aca="false">MAX(0,M63-M62)</f>
        <v>0</v>
      </c>
      <c r="O63" s="139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RESUMO'!BK39</f>
        <v>100</v>
      </c>
      <c r="N64" s="140" t="n">
        <f aca="false">MAX(0,M64-M63)</f>
        <v>0</v>
      </c>
      <c r="O64" s="139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RESUMO'!BL39</f>
        <v>100</v>
      </c>
      <c r="N65" s="140" t="n">
        <f aca="false">MAX(0,M65-M64)</f>
        <v>0</v>
      </c>
      <c r="O65" s="139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RESUMO'!BM39</f>
        <v>100</v>
      </c>
      <c r="N66" s="140" t="n">
        <f aca="false">MAX(0,M66-M65)</f>
        <v>0</v>
      </c>
      <c r="O66" s="139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RESUMO'!BN39</f>
        <v>100</v>
      </c>
      <c r="N67" s="140" t="n">
        <f aca="false">MAX(0,M67-M66)</f>
        <v>0</v>
      </c>
      <c r="O67" s="139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RESUMO'!BO39</f>
        <v>100</v>
      </c>
      <c r="N68" s="140" t="n">
        <f aca="false">MAX(0,M68-M67)</f>
        <v>0</v>
      </c>
      <c r="O68" s="139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RESUMO'!BP39</f>
        <v>100</v>
      </c>
      <c r="N69" s="140" t="n">
        <f aca="false">MAX(0,M69-M68)</f>
        <v>0</v>
      </c>
      <c r="O69" s="139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RESUMO'!BQ39</f>
        <v>100</v>
      </c>
      <c r="N70" s="140" t="n">
        <f aca="false">MAX(0,M70-M69)</f>
        <v>0</v>
      </c>
      <c r="O70" s="139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RESUMO'!BR39</f>
        <v>100</v>
      </c>
      <c r="N71" s="140" t="n">
        <f aca="false">MAX(0,M71-M70)</f>
        <v>0</v>
      </c>
      <c r="O71" s="139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RESUMO'!BS39</f>
        <v>100</v>
      </c>
      <c r="N72" s="140" t="n">
        <f aca="false">MAX(0,M72-M71)</f>
        <v>0</v>
      </c>
      <c r="O72" s="139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RESUMO'!BT39</f>
        <v>100</v>
      </c>
      <c r="N73" s="140" t="n">
        <f aca="false">MAX(0,M73-M72)</f>
        <v>0</v>
      </c>
      <c r="O73" s="139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RESUMO'!BU39</f>
        <v>100</v>
      </c>
      <c r="N74" s="140" t="n">
        <f aca="false">MAX(0,M74-M73)</f>
        <v>0</v>
      </c>
      <c r="O74" s="139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RESUMO'!BV39</f>
        <v>100</v>
      </c>
      <c r="N75" s="140" t="n">
        <f aca="false">MAX(0,M75-M74)</f>
        <v>0</v>
      </c>
      <c r="O75" s="139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RESUMO'!BW39</f>
        <v>100</v>
      </c>
      <c r="N76" s="140" t="n">
        <f aca="false">MAX(0,M76-M75)</f>
        <v>0</v>
      </c>
      <c r="O76" s="139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126742.27</v>
      </c>
      <c r="D78" s="61" t="n">
        <f aca="false">SUM(D5:D76)</f>
        <v>3891985.13533309</v>
      </c>
      <c r="E78" s="61" t="n">
        <f aca="false">SUM(E5:E76)</f>
        <v>3092.78817590048</v>
      </c>
      <c r="F78" s="145" t="n">
        <f aca="false">SUM(F5:F76)</f>
        <v>1</v>
      </c>
      <c r="H78" s="61" t="n">
        <f aca="false">SUM(H5:H76)</f>
        <v>3499619.1</v>
      </c>
      <c r="L78" s="61" t="n">
        <f aca="false">SUM(L5:L76)</f>
        <v>98.3591774276341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-4.54747350886464E-013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PAISAGISMO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HISTORICOS'!D40)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PL'!F46</f>
        <v>865987.93</v>
      </c>
      <c r="K5" s="56" t="n">
        <f aca="false">'VALOR POR PL'!G46</f>
        <v>741.392613</v>
      </c>
      <c r="L5" s="56" t="n">
        <f aca="false">'DADOS HISTORICOS'!$BZ$40</f>
        <v>0</v>
      </c>
      <c r="M5" s="139" t="n">
        <f aca="false">'CP RESUMO'!D40</f>
        <v>0</v>
      </c>
      <c r="N5" s="140" t="n">
        <v>0</v>
      </c>
      <c r="O5" s="139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PL'!H46</f>
        <v>741.392613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RESUMO'!E40</f>
        <v>0</v>
      </c>
      <c r="N6" s="140" t="n">
        <f aca="false">MAX(0,M6-M5)</f>
        <v>0</v>
      </c>
      <c r="O6" s="139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962730.920414963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RESUMO'!F40</f>
        <v>0</v>
      </c>
      <c r="N7" s="140" t="n">
        <f aca="false">MAX(0,M7-M6)</f>
        <v>0</v>
      </c>
      <c r="O7" s="139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RESUMO'!G40</f>
        <v>0</v>
      </c>
      <c r="N8" s="140" t="n">
        <f aca="false">MAX(0,M8-M7)</f>
        <v>0</v>
      </c>
      <c r="O8" s="139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962730.920414963</v>
      </c>
      <c r="K9" s="45" t="n">
        <f aca="false">E78</f>
        <v>740.709248770112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RESUMO'!H40</f>
        <v>0</v>
      </c>
      <c r="N9" s="140" t="n">
        <f aca="false">MAX(0,M9-M8)</f>
        <v>0</v>
      </c>
      <c r="O9" s="139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740.709248770112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RESUMO'!I40</f>
        <v>0</v>
      </c>
      <c r="N10" s="140" t="n">
        <f aca="false">MAX(0,M10-M9)</f>
        <v>0</v>
      </c>
      <c r="O10" s="139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865987.95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RESUMO'!J40</f>
        <v>0</v>
      </c>
      <c r="N11" s="140" t="n">
        <f aca="false">MAX(0,M11-M10)</f>
        <v>0</v>
      </c>
      <c r="O11" s="139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RESUMO'!K40</f>
        <v>0</v>
      </c>
      <c r="N12" s="140" t="n">
        <f aca="false">MAX(0,M12-M11)</f>
        <v>0</v>
      </c>
      <c r="O12" s="139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RESUMO'!L40</f>
        <v>0</v>
      </c>
      <c r="N13" s="140" t="n">
        <f aca="false">MAX(0,M13-M12)</f>
        <v>0</v>
      </c>
      <c r="O13" s="139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RESUMO'!$D$82:$BW$82,MATCH('VALOR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RESUMO'!M40</f>
        <v>0</v>
      </c>
      <c r="N14" s="140" t="n">
        <f aca="false">MAX(0,M14-M13)</f>
        <v>0</v>
      </c>
      <c r="O14" s="139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RESUMO'!N40</f>
        <v>0</v>
      </c>
      <c r="N15" s="140" t="n">
        <f aca="false">MAX(0,M15-M14)</f>
        <v>0</v>
      </c>
      <c r="O15" s="139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RESUMO'!O40</f>
        <v>0</v>
      </c>
      <c r="N16" s="140" t="n">
        <f aca="false">MAX(0,M16-M15)</f>
        <v>0</v>
      </c>
      <c r="O16" s="139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RESUMO'!P40</f>
        <v>0</v>
      </c>
      <c r="N17" s="140" t="n">
        <f aca="false">MAX(0,M17-M16)</f>
        <v>0</v>
      </c>
      <c r="O17" s="139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962730.920414963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RESUMO'!Q40</f>
        <v>0</v>
      </c>
      <c r="N18" s="140" t="n">
        <f aca="false">MAX(0,M18-M17)</f>
        <v>0</v>
      </c>
      <c r="O18" s="139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RESUMO'!R40</f>
        <v>0</v>
      </c>
      <c r="N19" s="140" t="n">
        <f aca="false">MAX(0,M19-M18)</f>
        <v>0</v>
      </c>
      <c r="O19" s="139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RESUMO'!S40</f>
        <v>0</v>
      </c>
      <c r="N20" s="140" t="n">
        <f aca="false">MAX(0,M20-M19)</f>
        <v>0</v>
      </c>
      <c r="O20" s="139" t="n">
        <f aca="false">IF(B20&lt;='VALOR POR PL'!$P$5,'CP RESUMO'!S82,"")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RESUMO'!T40</f>
        <v>0</v>
      </c>
      <c r="N21" s="140" t="n">
        <f aca="false">MAX(0,M21-M20)</f>
        <v>0</v>
      </c>
      <c r="O21" s="139" t="n">
        <f aca="false">IF(B21&lt;='VALOR POR PL'!$P$5,'CP RESUMO'!T82,"")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RESUMO'!U40</f>
        <v>0</v>
      </c>
      <c r="N22" s="140" t="n">
        <f aca="false">MAX(0,M22-M21)</f>
        <v>0</v>
      </c>
      <c r="O22" s="139" t="n">
        <f aca="false">IF(B22&lt;='VALOR POR PL'!$P$5,'CP RESUMO'!U82,"")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RESUMO'!V40</f>
        <v>0</v>
      </c>
      <c r="N23" s="140" t="n">
        <f aca="false">MAX(0,M23-M22)</f>
        <v>0</v>
      </c>
      <c r="O23" s="139" t="n">
        <f aca="false">IF(B23&lt;='VALOR POR PL'!$P$5,'CP RESUMO'!V82,"")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RESUMO'!W40</f>
        <v>0</v>
      </c>
      <c r="N24" s="140" t="n">
        <f aca="false">MAX(0,M24-M23)</f>
        <v>0</v>
      </c>
      <c r="O24" s="139" t="n">
        <f aca="false">IF(B24&lt;='VALOR POR PL'!$P$5,'CP RESUMO'!W82,"")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RESUMO'!X40</f>
        <v>0</v>
      </c>
      <c r="N25" s="140" t="n">
        <f aca="false">MAX(0,M25-M24)</f>
        <v>0</v>
      </c>
      <c r="O25" s="139" t="n">
        <f aca="false">IF(B25&lt;='VALOR POR PL'!$P$5,'CP RESUMO'!X82,"")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RESUMO'!Y40</f>
        <v>0</v>
      </c>
      <c r="N26" s="140" t="n">
        <f aca="false">MAX(0,M26-M25)</f>
        <v>0</v>
      </c>
      <c r="O26" s="139" t="n">
        <f aca="false">IF(B26&lt;='VALOR POR PL'!$P$5,'CP RESUMO'!Y82,"")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RESUMO'!Z40</f>
        <v>0</v>
      </c>
      <c r="N27" s="140" t="n">
        <f aca="false">MAX(0,M27-M26)</f>
        <v>0</v>
      </c>
      <c r="O27" s="139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RESUMO'!AA40</f>
        <v>0</v>
      </c>
      <c r="N28" s="140" t="n">
        <f aca="false">MAX(0,M28-M27)</f>
        <v>0</v>
      </c>
      <c r="O28" s="139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RESUMO'!AB40</f>
        <v>0</v>
      </c>
      <c r="N29" s="140" t="n">
        <f aca="false">MAX(0,M29-M28)</f>
        <v>0</v>
      </c>
      <c r="O29" s="139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RESUMO'!AC40</f>
        <v>0</v>
      </c>
      <c r="N30" s="140" t="n">
        <f aca="false">MAX(0,M30-M29)</f>
        <v>0</v>
      </c>
      <c r="O30" s="139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RESUMO'!AD40</f>
        <v>0</v>
      </c>
      <c r="N31" s="140" t="n">
        <f aca="false">MAX(0,M31-M30)</f>
        <v>0</v>
      </c>
      <c r="O31" s="139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RESUMO'!AE40</f>
        <v>0</v>
      </c>
      <c r="N32" s="140" t="n">
        <f aca="false">MAX(0,M32-M31)</f>
        <v>0</v>
      </c>
      <c r="O32" s="139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RESUMO'!AF40</f>
        <v>0</v>
      </c>
      <c r="N33" s="140" t="n">
        <f aca="false">MAX(0,M33-M32)</f>
        <v>0</v>
      </c>
      <c r="O33" s="139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RESUMO'!AG40</f>
        <v>0</v>
      </c>
      <c r="N34" s="140" t="n">
        <f aca="false">MAX(0,M34-M33)</f>
        <v>0</v>
      </c>
      <c r="O34" s="139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RESUMO'!AH40</f>
        <v>0</v>
      </c>
      <c r="N35" s="140" t="n">
        <f aca="false">MAX(0,M35-M34)</f>
        <v>0</v>
      </c>
      <c r="O35" s="139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RESUMO'!AI40</f>
        <v>0</v>
      </c>
      <c r="N36" s="140" t="n">
        <f aca="false">MAX(0,M36-M35)</f>
        <v>0</v>
      </c>
      <c r="O36" s="139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RESUMO'!AJ40</f>
        <v>0</v>
      </c>
      <c r="N37" s="140" t="n">
        <f aca="false">MAX(0,M37-M36)</f>
        <v>0</v>
      </c>
      <c r="O37" s="139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RESUMO'!AK40</f>
        <v>0</v>
      </c>
      <c r="N38" s="140" t="n">
        <f aca="false">MAX(0,M38-M37)</f>
        <v>0</v>
      </c>
      <c r="O38" s="139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RESUMO'!AL40</f>
        <v>0</v>
      </c>
      <c r="N39" s="140" t="n">
        <f aca="false">MAX(0,M39-M38)</f>
        <v>0</v>
      </c>
      <c r="O39" s="139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RESUMO'!AM40</f>
        <v>0</v>
      </c>
      <c r="N40" s="140" t="n">
        <f aca="false">MAX(0,M40-M39)</f>
        <v>0</v>
      </c>
      <c r="O40" s="139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HISTORICOS'!AN40)</f>
        <v>0</v>
      </c>
      <c r="D41" s="45" t="n">
        <f aca="false">IF(B41&lt;='VALOR POR PL'!$P$5,0,IF($K$17&gt;0,$K$18*P41/$K$17,0))</f>
        <v>72493.6383072467</v>
      </c>
      <c r="E41" s="45" t="n">
        <f aca="false">L41+D41/$K$2</f>
        <v>55.7754064323894</v>
      </c>
      <c r="F41" s="117" t="n">
        <f aca="false">IF($K$9=0,0,E41/$K$9)</f>
        <v>0.0753</v>
      </c>
      <c r="G41" s="117" t="n">
        <f aca="false">G40+F41</f>
        <v>0.0753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RESUMO'!AN40</f>
        <v>7.53</v>
      </c>
      <c r="N41" s="140" t="n">
        <f aca="false">MAX(0,M41-M40)</f>
        <v>7.53</v>
      </c>
      <c r="O41" s="139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7.53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238179.629710662</v>
      </c>
      <c r="E42" s="45" t="n">
        <f aca="false">L42+D42/$K$2</f>
        <v>183.251468145726</v>
      </c>
      <c r="F42" s="117" t="n">
        <f aca="false">IF($K$9=0,0,E42/$K$9)</f>
        <v>0.2474</v>
      </c>
      <c r="G42" s="117" t="n">
        <f aca="false">G41+F42</f>
        <v>0.3227</v>
      </c>
      <c r="H42" s="138" t="n">
        <v>45332.66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RESUMO'!AO40</f>
        <v>32.27</v>
      </c>
      <c r="N42" s="140" t="n">
        <f aca="false">MAX(0,M42-M41)</f>
        <v>24.74</v>
      </c>
      <c r="O42" s="139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24.74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168959.276532826</v>
      </c>
      <c r="E43" s="45" t="n">
        <f aca="false">L43+D43/$K$2</f>
        <v>129.994473159155</v>
      </c>
      <c r="F43" s="117" t="n">
        <f aca="false">IF($K$9=0,0,E43/$K$9)</f>
        <v>0.1755</v>
      </c>
      <c r="G43" s="117" t="n">
        <f aca="false">G42+F43</f>
        <v>0.4982</v>
      </c>
      <c r="H43" s="138" t="n">
        <v>45332.66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RESUMO'!AP40</f>
        <v>49.82</v>
      </c>
      <c r="N43" s="140" t="n">
        <f aca="false">MAX(0,M43-M42)</f>
        <v>17.55</v>
      </c>
      <c r="O43" s="139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17.55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202269.766379184</v>
      </c>
      <c r="E44" s="45" t="n">
        <f aca="false">L44+D44/$K$2</f>
        <v>155.623013166601</v>
      </c>
      <c r="F44" s="117" t="n">
        <f aca="false">IF($K$9=0,0,E44/$K$9)</f>
        <v>0.2101</v>
      </c>
      <c r="G44" s="117" t="n">
        <f aca="false">G43+F44</f>
        <v>0.7083</v>
      </c>
      <c r="H44" s="138" t="n">
        <v>45332.66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RESUMO'!AQ40</f>
        <v>70.83</v>
      </c>
      <c r="N44" s="140" t="n">
        <f aca="false">MAX(0,M44-M43)</f>
        <v>21.01</v>
      </c>
      <c r="O44" s="139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21.01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158369.236408261</v>
      </c>
      <c r="E45" s="45" t="n">
        <f aca="false">L45+D45/$K$2</f>
        <v>121.846671422683</v>
      </c>
      <c r="F45" s="117" t="n">
        <f aca="false">IF($K$9=0,0,E45/$K$9)</f>
        <v>0.1645</v>
      </c>
      <c r="G45" s="117" t="n">
        <f aca="false">G44+F45</f>
        <v>0.8728</v>
      </c>
      <c r="H45" s="138" t="n">
        <v>45332.66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RESUMO'!AR40</f>
        <v>87.28</v>
      </c>
      <c r="N45" s="140" t="n">
        <f aca="false">MAX(0,M45-M44)</f>
        <v>16.45</v>
      </c>
      <c r="O45" s="139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16.45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0.8728</v>
      </c>
      <c r="H46" s="138" t="n">
        <v>45332.66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RESUMO'!AS40</f>
        <v>87.28</v>
      </c>
      <c r="N46" s="140" t="n">
        <f aca="false">MAX(0,M46-M45)</f>
        <v>0</v>
      </c>
      <c r="O46" s="139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0.8728</v>
      </c>
      <c r="H47" s="138" t="n">
        <v>98998.66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RESUMO'!AT40</f>
        <v>87.28</v>
      </c>
      <c r="N47" s="140" t="n">
        <f aca="false">MAX(0,M47-M46)</f>
        <v>0</v>
      </c>
      <c r="O47" s="139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0.8728</v>
      </c>
      <c r="H48" s="138" t="n">
        <v>53666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RESUMO'!AU40</f>
        <v>87.28</v>
      </c>
      <c r="N48" s="140" t="n">
        <f aca="false">MAX(0,M48-M47)</f>
        <v>0</v>
      </c>
      <c r="O48" s="139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13285.6867017264</v>
      </c>
      <c r="E49" s="45" t="n">
        <f aca="false">L49+D49/$K$2</f>
        <v>10.2217876330275</v>
      </c>
      <c r="F49" s="117" t="n">
        <f aca="false">IF($K$9=0,0,E49/$K$9)</f>
        <v>0.0138</v>
      </c>
      <c r="G49" s="117" t="n">
        <f aca="false">G48+F49</f>
        <v>0.8866</v>
      </c>
      <c r="H49" s="138" t="n">
        <v>53666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RESUMO'!AV40</f>
        <v>88.66</v>
      </c>
      <c r="N49" s="140" t="n">
        <f aca="false">MAX(0,M49-M48)</f>
        <v>1.38</v>
      </c>
      <c r="O49" s="139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1.38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53335.292990989</v>
      </c>
      <c r="E50" s="45" t="n">
        <f aca="false">L50+D50/$K$2</f>
        <v>41.0352923818643</v>
      </c>
      <c r="F50" s="117" t="n">
        <f aca="false">IF($K$9=0,0,E50/$K$9)</f>
        <v>0.0554000000000001</v>
      </c>
      <c r="G50" s="117" t="n">
        <f aca="false">G49+F50</f>
        <v>0.942</v>
      </c>
      <c r="H50" s="138" t="n">
        <v>53666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RESUMO'!AW40</f>
        <v>94.2</v>
      </c>
      <c r="N50" s="140" t="n">
        <f aca="false">MAX(0,M50-M49)</f>
        <v>5.54000000000001</v>
      </c>
      <c r="O50" s="139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5.54000000000001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55838.3933840678</v>
      </c>
      <c r="E51" s="45" t="n">
        <f aca="false">L51+D51/$K$2</f>
        <v>42.9611364286665</v>
      </c>
      <c r="F51" s="117" t="n">
        <f aca="false">IF($K$9=0,0,E51/$K$9)</f>
        <v>0.058</v>
      </c>
      <c r="G51" s="117" t="n">
        <f aca="false">G50+F51</f>
        <v>1</v>
      </c>
      <c r="H51" s="138" t="n">
        <v>53666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RESUMO'!AX40</f>
        <v>100</v>
      </c>
      <c r="N51" s="140" t="n">
        <f aca="false">MAX(0,M51-M50)</f>
        <v>5.8</v>
      </c>
      <c r="O51" s="139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5.8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 t="n">
        <v>53666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RESUMO'!AY40</f>
        <v>100</v>
      </c>
      <c r="N52" s="140" t="n">
        <f aca="false">MAX(0,M52-M51)</f>
        <v>0</v>
      </c>
      <c r="O52" s="139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 t="n">
        <v>90665.33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RESUMO'!AZ40</f>
        <v>100</v>
      </c>
      <c r="N53" s="140" t="n">
        <f aca="false">MAX(0,M53-M52)</f>
        <v>0</v>
      </c>
      <c r="O53" s="139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90665.33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RESUMO'!BA40</f>
        <v>100</v>
      </c>
      <c r="N54" s="140" t="n">
        <f aca="false">MAX(0,M54-M53)</f>
        <v>0</v>
      </c>
      <c r="O54" s="139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90665.33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RESUMO'!BB40</f>
        <v>100</v>
      </c>
      <c r="N55" s="140" t="n">
        <f aca="false">MAX(0,M55-M54)</f>
        <v>0</v>
      </c>
      <c r="O55" s="139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RESUMO'!BC40</f>
        <v>100</v>
      </c>
      <c r="N56" s="140" t="n">
        <f aca="false">MAX(0,M56-M55)</f>
        <v>0</v>
      </c>
      <c r="O56" s="139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RESUMO'!BD40</f>
        <v>100</v>
      </c>
      <c r="N57" s="140" t="n">
        <f aca="false">MAX(0,M57-M56)</f>
        <v>0</v>
      </c>
      <c r="O57" s="139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RESUMO'!BE40</f>
        <v>100</v>
      </c>
      <c r="N58" s="140" t="n">
        <f aca="false">MAX(0,M58-M57)</f>
        <v>0</v>
      </c>
      <c r="O58" s="139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RESUMO'!BF40</f>
        <v>100</v>
      </c>
      <c r="N59" s="140" t="n">
        <f aca="false">MAX(0,M59-M58)</f>
        <v>0</v>
      </c>
      <c r="O59" s="139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RESUMO'!BG40</f>
        <v>100</v>
      </c>
      <c r="N60" s="140" t="n">
        <f aca="false">MAX(0,M60-M59)</f>
        <v>0</v>
      </c>
      <c r="O60" s="139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RESUMO'!BH40</f>
        <v>100</v>
      </c>
      <c r="N61" s="140" t="n">
        <f aca="false">MAX(0,M61-M60)</f>
        <v>0</v>
      </c>
      <c r="O61" s="139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RESUMO'!BI40</f>
        <v>100</v>
      </c>
      <c r="N62" s="140" t="n">
        <f aca="false">MAX(0,M62-M61)</f>
        <v>0</v>
      </c>
      <c r="O62" s="139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RESUMO'!BJ40</f>
        <v>100</v>
      </c>
      <c r="N63" s="140" t="n">
        <f aca="false">MAX(0,M63-M62)</f>
        <v>0</v>
      </c>
      <c r="O63" s="139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RESUMO'!BK40</f>
        <v>100</v>
      </c>
      <c r="N64" s="140" t="n">
        <f aca="false">MAX(0,M64-M63)</f>
        <v>0</v>
      </c>
      <c r="O64" s="139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RESUMO'!BL40</f>
        <v>100</v>
      </c>
      <c r="N65" s="140" t="n">
        <f aca="false">MAX(0,M65-M64)</f>
        <v>0</v>
      </c>
      <c r="O65" s="139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RESUMO'!BM40</f>
        <v>100</v>
      </c>
      <c r="N66" s="140" t="n">
        <f aca="false">MAX(0,M66-M65)</f>
        <v>0</v>
      </c>
      <c r="O66" s="139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RESUMO'!BN40</f>
        <v>100</v>
      </c>
      <c r="N67" s="140" t="n">
        <f aca="false">MAX(0,M67-M66)</f>
        <v>0</v>
      </c>
      <c r="O67" s="139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RESUMO'!BO40</f>
        <v>100</v>
      </c>
      <c r="N68" s="140" t="n">
        <f aca="false">MAX(0,M68-M67)</f>
        <v>0</v>
      </c>
      <c r="O68" s="139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RESUMO'!BP40</f>
        <v>100</v>
      </c>
      <c r="N69" s="140" t="n">
        <f aca="false">MAX(0,M69-M68)</f>
        <v>0</v>
      </c>
      <c r="O69" s="139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RESUMO'!BQ40</f>
        <v>100</v>
      </c>
      <c r="N70" s="140" t="n">
        <f aca="false">MAX(0,M70-M69)</f>
        <v>0</v>
      </c>
      <c r="O70" s="139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RESUMO'!BR40</f>
        <v>100</v>
      </c>
      <c r="N71" s="140" t="n">
        <f aca="false">MAX(0,M71-M70)</f>
        <v>0</v>
      </c>
      <c r="O71" s="139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RESUMO'!BS40</f>
        <v>100</v>
      </c>
      <c r="N72" s="140" t="n">
        <f aca="false">MAX(0,M72-M71)</f>
        <v>0</v>
      </c>
      <c r="O72" s="139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RESUMO'!BT40</f>
        <v>100</v>
      </c>
      <c r="N73" s="140" t="n">
        <f aca="false">MAX(0,M73-M72)</f>
        <v>0</v>
      </c>
      <c r="O73" s="139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RESUMO'!BU40</f>
        <v>100</v>
      </c>
      <c r="N74" s="140" t="n">
        <f aca="false">MAX(0,M74-M73)</f>
        <v>0</v>
      </c>
      <c r="O74" s="139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RESUMO'!BV40</f>
        <v>100</v>
      </c>
      <c r="N75" s="140" t="n">
        <f aca="false">MAX(0,M75-M74)</f>
        <v>0</v>
      </c>
      <c r="O75" s="139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RESUMO'!BW40</f>
        <v>100</v>
      </c>
      <c r="N76" s="140" t="n">
        <f aca="false">MAX(0,M76-M75)</f>
        <v>0</v>
      </c>
      <c r="O76" s="139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962730.920414963</v>
      </c>
      <c r="E78" s="61" t="n">
        <f aca="false">SUM(E5:E76)</f>
        <v>740.709248770112</v>
      </c>
      <c r="F78" s="145" t="n">
        <f aca="false">SUM(F5:F76)</f>
        <v>1</v>
      </c>
      <c r="H78" s="61" t="n">
        <f aca="false">SUM(H5:H76)</f>
        <v>865987.95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3880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3881</v>
      </c>
      <c r="D4" s="54" t="s">
        <v>3882</v>
      </c>
      <c r="E4" s="54" t="s">
        <v>3883</v>
      </c>
      <c r="F4" s="54" t="s">
        <v>3884</v>
      </c>
      <c r="G4" s="54" t="s">
        <v>3885</v>
      </c>
      <c r="H4" s="137" t="s">
        <v>3886</v>
      </c>
      <c r="I4" s="54" t="s">
        <v>3887</v>
      </c>
      <c r="J4" s="54" t="s">
        <v>3888</v>
      </c>
      <c r="K4" s="54" t="s">
        <v>3883</v>
      </c>
      <c r="L4" s="54" t="s">
        <v>3889</v>
      </c>
      <c r="M4" s="54" t="s">
        <v>3890</v>
      </c>
      <c r="N4" s="54" t="s">
        <v>3891</v>
      </c>
      <c r="O4" s="54" t="s">
        <v>3892</v>
      </c>
      <c r="P4" s="54" t="s">
        <v>3893</v>
      </c>
    </row>
    <row r="5" customFormat="false" ht="15" hidden="false" customHeight="false" outlineLevel="0" collapsed="false">
      <c r="A5" s="124" t="s">
        <v>3845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3894</v>
      </c>
      <c r="J5" s="56" t="n">
        <f aca="false">'VALOR POR PL'!F47</f>
        <v>856387.9</v>
      </c>
      <c r="K5" s="56" t="n">
        <f aca="false">'VALOR POR PL'!G47</f>
        <v>733.173799</v>
      </c>
      <c r="L5" s="56" t="n">
        <f aca="false">'DADOS HISTORICOS'!$BZ$41</f>
        <v>0</v>
      </c>
      <c r="M5" s="139" t="n">
        <f aca="false">'CP RESUMO'!D41</f>
        <v>0</v>
      </c>
      <c r="N5" s="140" t="n">
        <v>0</v>
      </c>
      <c r="O5" s="139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3895</v>
      </c>
      <c r="K6" s="52" t="n">
        <f aca="false">'VALOR POR PL'!H47</f>
        <v>733.173799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RESUMO'!E41</f>
        <v>0</v>
      </c>
      <c r="N6" s="140" t="n">
        <f aca="false">MAX(0,M6-M5)</f>
        <v>0</v>
      </c>
      <c r="O6" s="139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3896</v>
      </c>
      <c r="J7" s="45" t="n">
        <f aca="false">C78+D78</f>
        <v>952058.42890615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RESUMO'!F41</f>
        <v>0</v>
      </c>
      <c r="N7" s="140" t="n">
        <f aca="false">MAX(0,M7-M6)</f>
        <v>0</v>
      </c>
      <c r="O7" s="139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3897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RESUMO'!G41</f>
        <v>0</v>
      </c>
      <c r="N8" s="140" t="n">
        <f aca="false">MAX(0,M8-M7)</f>
        <v>0</v>
      </c>
      <c r="O8" s="139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3898</v>
      </c>
      <c r="J9" s="45" t="n">
        <f aca="false">C78+D78</f>
        <v>952058.42890615</v>
      </c>
      <c r="K9" s="45" t="n">
        <f aca="false">E78</f>
        <v>732.49801030216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RESUMO'!H41</f>
        <v>0</v>
      </c>
      <c r="N9" s="140" t="n">
        <f aca="false">MAX(0,M9-M8)</f>
        <v>0</v>
      </c>
      <c r="O9" s="139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3899</v>
      </c>
      <c r="K10" s="52" t="n">
        <f aca="false">IF(K6-K8&gt;0,(K6-K8)*'VALOR POR PL'!$G$65,K6-K8)</f>
        <v>732.49801030216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RESUMO'!I41</f>
        <v>0</v>
      </c>
      <c r="N10" s="140" t="n">
        <f aca="false">MAX(0,M10-M9)</f>
        <v>0</v>
      </c>
      <c r="O10" s="139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3900</v>
      </c>
      <c r="K11" s="56" t="n">
        <f aca="false">SUMPRODUCT((B5:B76&gt;'VALOR POR PL'!$P$5)*H5:H76)</f>
        <v>856387.94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RESUMO'!J41</f>
        <v>0</v>
      </c>
      <c r="N11" s="140" t="n">
        <f aca="false">MAX(0,M11-M10)</f>
        <v>0</v>
      </c>
      <c r="O11" s="139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3901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RESUMO'!K41</f>
        <v>0</v>
      </c>
      <c r="N12" s="140" t="n">
        <f aca="false">MAX(0,M12-M11)</f>
        <v>0</v>
      </c>
      <c r="O12" s="139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3902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RESUMO'!L41</f>
        <v>0</v>
      </c>
      <c r="N13" s="140" t="n">
        <f aca="false">MAX(0,M13-M12)</f>
        <v>0</v>
      </c>
      <c r="O13" s="139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3903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RESUMO'!M41</f>
        <v>0</v>
      </c>
      <c r="N14" s="140" t="n">
        <f aca="false">MAX(0,M14-M13)</f>
        <v>0</v>
      </c>
      <c r="O14" s="139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3904</v>
      </c>
      <c r="K15" s="67" t="s">
        <v>3905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RESUMO'!N41</f>
        <v>0</v>
      </c>
      <c r="N15" s="140" t="n">
        <f aca="false">MAX(0,M15-M14)</f>
        <v>0</v>
      </c>
      <c r="O15" s="139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3906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RESUMO'!O41</f>
        <v>0</v>
      </c>
      <c r="N16" s="140" t="n">
        <f aca="false">MAX(0,M16-M15)</f>
        <v>0</v>
      </c>
      <c r="O16" s="139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3907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RESUMO'!P41</f>
        <v>0</v>
      </c>
      <c r="N17" s="140" t="n">
        <f aca="false">MAX(0,M17-M16)</f>
        <v>0</v>
      </c>
      <c r="O17" s="139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3908</v>
      </c>
      <c r="K18" s="45" t="n">
        <f aca="false">MAX(0,K10)*$K$2</f>
        <v>952058.42890615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RESUMO'!Q41</f>
        <v>0</v>
      </c>
      <c r="N18" s="140" t="n">
        <f aca="false">MAX(0,M18-M17)</f>
        <v>0</v>
      </c>
      <c r="O18" s="139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3909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RESUMO'!R41</f>
        <v>0</v>
      </c>
      <c r="N19" s="140" t="n">
        <f aca="false">MAX(0,M19-M18)</f>
        <v>0</v>
      </c>
      <c r="O19" s="139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3910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RESUMO'!S41</f>
        <v>0</v>
      </c>
      <c r="N20" s="140" t="n">
        <f aca="false">MAX(0,M20-M19)</f>
        <v>0</v>
      </c>
      <c r="O20" s="139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RESUMO'!T41</f>
        <v>0</v>
      </c>
      <c r="N21" s="140" t="n">
        <f aca="false">MAX(0,M21-M20)</f>
        <v>0</v>
      </c>
      <c r="O21" s="139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3911</v>
      </c>
      <c r="K22" s="53" t="s">
        <v>2613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RESUMO'!U41</f>
        <v>0</v>
      </c>
      <c r="N22" s="140" t="n">
        <f aca="false">MAX(0,M22-M21)</f>
        <v>0</v>
      </c>
      <c r="O22" s="139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3912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RESUMO'!V41</f>
        <v>0</v>
      </c>
      <c r="N23" s="140" t="n">
        <f aca="false">MAX(0,M23-M22)</f>
        <v>0</v>
      </c>
      <c r="O23" s="139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RESUMO'!W41</f>
        <v>0</v>
      </c>
      <c r="N24" s="140" t="n">
        <f aca="false">MAX(0,M24-M23)</f>
        <v>0</v>
      </c>
      <c r="O24" s="139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RESUMO'!X41</f>
        <v>0</v>
      </c>
      <c r="N25" s="140" t="n">
        <f aca="false">MAX(0,M25-M24)</f>
        <v>0</v>
      </c>
      <c r="O25" s="139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RESUMO'!Y41</f>
        <v>0</v>
      </c>
      <c r="N26" s="140" t="n">
        <f aca="false">MAX(0,M26-M25)</f>
        <v>0</v>
      </c>
      <c r="O26" s="139" t="n">
        <f aca="false">IF(B26&lt;='VALOR POR PL'!$P$5,'CP RESUMO'!Y83,"")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RESUMO'!Z41</f>
        <v>0</v>
      </c>
      <c r="N27" s="140" t="n">
        <f aca="false">MAX(0,M27-M26)</f>
        <v>0</v>
      </c>
      <c r="O27" s="139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RESUMO'!AA41</f>
        <v>0</v>
      </c>
      <c r="N28" s="140" t="n">
        <f aca="false">MAX(0,M28-M27)</f>
        <v>0</v>
      </c>
      <c r="O28" s="139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RESUMO'!AB41</f>
        <v>0</v>
      </c>
      <c r="N29" s="140" t="n">
        <f aca="false">MAX(0,M29-M28)</f>
        <v>0</v>
      </c>
      <c r="O29" s="139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RESUMO'!AC41</f>
        <v>0</v>
      </c>
      <c r="N30" s="140" t="n">
        <f aca="false">MAX(0,M30-M29)</f>
        <v>0</v>
      </c>
      <c r="O30" s="139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RESUMO'!AD41</f>
        <v>0</v>
      </c>
      <c r="N31" s="140" t="n">
        <f aca="false">MAX(0,M31-M30)</f>
        <v>0</v>
      </c>
      <c r="O31" s="139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3141.79281539029</v>
      </c>
      <c r="E32" s="45" t="n">
        <f aca="false">L32+D32/$K$2</f>
        <v>2.41724343399713</v>
      </c>
      <c r="F32" s="117" t="n">
        <f aca="false">IF($K$9=0,0,E32/$K$9)</f>
        <v>0.0033</v>
      </c>
      <c r="G32" s="117" t="n">
        <f aca="false">G31+F32</f>
        <v>0.0033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RESUMO'!AE41</f>
        <v>0.33</v>
      </c>
      <c r="N32" s="140" t="n">
        <f aca="false">MAX(0,M32-M31)</f>
        <v>0.33</v>
      </c>
      <c r="O32" s="139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0.33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1428.08764335922</v>
      </c>
      <c r="E33" s="45" t="n">
        <f aca="false">L33+D33/$K$2</f>
        <v>1.09874701545324</v>
      </c>
      <c r="F33" s="117" t="n">
        <f aca="false">IF($K$9=0,0,E33/$K$9)</f>
        <v>0.0015</v>
      </c>
      <c r="G33" s="117" t="n">
        <f aca="false">G32+F33</f>
        <v>0.0048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RESUMO'!AF41</f>
        <v>0.48</v>
      </c>
      <c r="N33" s="140" t="n">
        <f aca="false">MAX(0,M33-M32)</f>
        <v>0.15</v>
      </c>
      <c r="O33" s="139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0.15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0.0048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RESUMO'!AG41</f>
        <v>0.48</v>
      </c>
      <c r="N34" s="140" t="n">
        <f aca="false">MAX(0,M34-M33)</f>
        <v>0</v>
      </c>
      <c r="O34" s="139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1999.32270070291</v>
      </c>
      <c r="E35" s="45" t="n">
        <f aca="false">L35+D35/$K$2</f>
        <v>1.53824582163454</v>
      </c>
      <c r="F35" s="117" t="n">
        <f aca="false">IF($K$9=0,0,E35/$K$9)</f>
        <v>0.0021</v>
      </c>
      <c r="G35" s="117" t="n">
        <f aca="false">G34+F35</f>
        <v>0.0069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RESUMO'!AH41</f>
        <v>0.69</v>
      </c>
      <c r="N35" s="140" t="n">
        <f aca="false">MAX(0,M35-M34)</f>
        <v>0.21</v>
      </c>
      <c r="O35" s="139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0.21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19898.0211641385</v>
      </c>
      <c r="E36" s="45" t="n">
        <f aca="false">L36+D36/$K$2</f>
        <v>15.3092084153151</v>
      </c>
      <c r="F36" s="117" t="n">
        <f aca="false">IF($K$9=0,0,E36/$K$9)</f>
        <v>0.0209</v>
      </c>
      <c r="G36" s="117" t="n">
        <f aca="false">G35+F36</f>
        <v>0.0278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RESUMO'!AI41</f>
        <v>2.78</v>
      </c>
      <c r="N36" s="140" t="n">
        <f aca="false">MAX(0,M36-M35)</f>
        <v>2.09</v>
      </c>
      <c r="O36" s="139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2.09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38653.5722135897</v>
      </c>
      <c r="E37" s="45" t="n">
        <f aca="false">L37+D37/$K$2</f>
        <v>29.7394192182677</v>
      </c>
      <c r="F37" s="117" t="n">
        <f aca="false">IF($K$9=0,0,E37/$K$9)</f>
        <v>0.0406</v>
      </c>
      <c r="G37" s="117" t="n">
        <f aca="false">G36+F37</f>
        <v>0.0684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RESUMO'!AJ41</f>
        <v>6.84</v>
      </c>
      <c r="N37" s="140" t="n">
        <f aca="false">MAX(0,M37-M36)</f>
        <v>4.06</v>
      </c>
      <c r="O37" s="139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4.06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19802.8153212479</v>
      </c>
      <c r="E38" s="45" t="n">
        <f aca="false">L38+D38/$K$2</f>
        <v>15.2359586142849</v>
      </c>
      <c r="F38" s="117" t="n">
        <f aca="false">IF($K$9=0,0,E38/$K$9)</f>
        <v>0.0208</v>
      </c>
      <c r="G38" s="117" t="n">
        <f aca="false">G37+F38</f>
        <v>0.0892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RESUMO'!AK41</f>
        <v>8.92</v>
      </c>
      <c r="N38" s="140" t="n">
        <f aca="false">MAX(0,M38-M37)</f>
        <v>2.08</v>
      </c>
      <c r="O38" s="139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2.08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28466.5470242939</v>
      </c>
      <c r="E39" s="45" t="n">
        <f aca="false">L39+D39/$K$2</f>
        <v>21.9016905080346</v>
      </c>
      <c r="F39" s="117" t="n">
        <f aca="false">IF($K$9=0,0,E39/$K$9)</f>
        <v>0.0299</v>
      </c>
      <c r="G39" s="117" t="n">
        <f aca="false">G38+F39</f>
        <v>0.1191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RESUMO'!AL41</f>
        <v>11.91</v>
      </c>
      <c r="N39" s="140" t="n">
        <f aca="false">MAX(0,M39-M38)</f>
        <v>2.99</v>
      </c>
      <c r="O39" s="139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2.99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2475.35191515599</v>
      </c>
      <c r="E40" s="45" t="n">
        <f aca="false">L40+D40/$K$2</f>
        <v>1.90449482678561</v>
      </c>
      <c r="F40" s="117" t="n">
        <f aca="false">IF($K$9=0,0,E40/$K$9)</f>
        <v>0.0026</v>
      </c>
      <c r="G40" s="117" t="n">
        <f aca="false">G39+F40</f>
        <v>0.1217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RESUMO'!AM41</f>
        <v>12.17</v>
      </c>
      <c r="N40" s="140" t="n">
        <f aca="false">MAX(0,M40-M39)</f>
        <v>0.26</v>
      </c>
      <c r="O40" s="139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0.26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571.235057343695</v>
      </c>
      <c r="E41" s="45" t="n">
        <f aca="false">L41+D41/$K$2</f>
        <v>0.4394988061813</v>
      </c>
      <c r="F41" s="117" t="n">
        <f aca="false">IF($K$9=0,0,E41/$K$9)</f>
        <v>0.000600000000000005</v>
      </c>
      <c r="G41" s="117" t="n">
        <f aca="false">G40+F41</f>
        <v>0.1223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RESUMO'!AN41</f>
        <v>12.23</v>
      </c>
      <c r="N41" s="140" t="n">
        <f aca="false">MAX(0,M41-M40)</f>
        <v>0.0600000000000005</v>
      </c>
      <c r="O41" s="139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0.0600000000000005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1142.47011468737</v>
      </c>
      <c r="E42" s="45" t="n">
        <f aca="false">L42+D42/$K$2</f>
        <v>0.878997612362586</v>
      </c>
      <c r="F42" s="117" t="n">
        <f aca="false">IF($K$9=0,0,E42/$K$9)</f>
        <v>0.00119999999999999</v>
      </c>
      <c r="G42" s="117" t="n">
        <f aca="false">G41+F42</f>
        <v>0.1235</v>
      </c>
      <c r="H42" s="138" t="n">
        <v>58000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RESUMO'!AO41</f>
        <v>12.35</v>
      </c>
      <c r="N42" s="140" t="n">
        <f aca="false">MAX(0,M42-M41)</f>
        <v>0.119999999999999</v>
      </c>
      <c r="O42" s="139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0.119999999999999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26372.0184807003</v>
      </c>
      <c r="E43" s="45" t="n">
        <f aca="false">L43+D43/$K$2</f>
        <v>20.2901948853698</v>
      </c>
      <c r="F43" s="117" t="n">
        <f aca="false">IF($K$9=0,0,E43/$K$9)</f>
        <v>0.0277</v>
      </c>
      <c r="G43" s="117" t="n">
        <f aca="false">G42+F43</f>
        <v>0.1512</v>
      </c>
      <c r="H43" s="138" t="n">
        <v>89075.68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RESUMO'!AP41</f>
        <v>15.12</v>
      </c>
      <c r="N43" s="140" t="n">
        <f aca="false">MAX(0,M43-M42)</f>
        <v>2.77</v>
      </c>
      <c r="O43" s="139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2.77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71213.97048218</v>
      </c>
      <c r="E44" s="45" t="n">
        <f aca="false">L44+D44/$K$2</f>
        <v>54.7908511706016</v>
      </c>
      <c r="F44" s="117" t="n">
        <f aca="false">IF($K$9=0,0,E44/$K$9)</f>
        <v>0.0748</v>
      </c>
      <c r="G44" s="117" t="n">
        <f aca="false">G43+F44</f>
        <v>0.226</v>
      </c>
      <c r="H44" s="138" t="n">
        <v>74583.21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RESUMO'!AQ41</f>
        <v>22.6</v>
      </c>
      <c r="N44" s="140" t="n">
        <f aca="false">MAX(0,M44-M43)</f>
        <v>7.48</v>
      </c>
      <c r="O44" s="139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7.48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84161.9651153036</v>
      </c>
      <c r="E45" s="45" t="n">
        <f aca="false">L45+D45/$K$2</f>
        <v>64.7528241107109</v>
      </c>
      <c r="F45" s="117" t="n">
        <f aca="false">IF($K$9=0,0,E45/$K$9)</f>
        <v>0.0884</v>
      </c>
      <c r="G45" s="117" t="n">
        <f aca="false">G44+F45</f>
        <v>0.3144</v>
      </c>
      <c r="H45" s="138" t="n">
        <v>116293.25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RESUMO'!AR41</f>
        <v>31.44</v>
      </c>
      <c r="N45" s="140" t="n">
        <f aca="false">MAX(0,M45-M44)</f>
        <v>8.84</v>
      </c>
      <c r="O45" s="139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8.84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160517.051113577</v>
      </c>
      <c r="E46" s="45" t="n">
        <f aca="false">L46+D46/$K$2</f>
        <v>123.499164536944</v>
      </c>
      <c r="F46" s="117" t="n">
        <f aca="false">IF($K$9=0,0,E46/$K$9)</f>
        <v>0.1686</v>
      </c>
      <c r="G46" s="117" t="n">
        <f aca="false">G45+F46</f>
        <v>0.483</v>
      </c>
      <c r="H46" s="138" t="n">
        <v>101624.04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RESUMO'!AS41</f>
        <v>48.3</v>
      </c>
      <c r="N46" s="140" t="n">
        <f aca="false">MAX(0,M46-M45)</f>
        <v>16.86</v>
      </c>
      <c r="O46" s="139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16.86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109201.101795535</v>
      </c>
      <c r="E47" s="45" t="n">
        <f aca="false">L47+D47/$K$2</f>
        <v>84.0175217816578</v>
      </c>
      <c r="F47" s="117" t="n">
        <f aca="false">IF($K$9=0,0,E47/$K$9)</f>
        <v>0.1147</v>
      </c>
      <c r="G47" s="117" t="n">
        <f aca="false">G46+F47</f>
        <v>0.5977</v>
      </c>
      <c r="H47" s="138" t="n">
        <v>96233.54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RESUMO'!AT41</f>
        <v>59.77</v>
      </c>
      <c r="N47" s="140" t="n">
        <f aca="false">MAX(0,M47-M46)</f>
        <v>11.47</v>
      </c>
      <c r="O47" s="139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11.47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79211.2612849917</v>
      </c>
      <c r="E48" s="45" t="n">
        <f aca="false">L48+D48/$K$2</f>
        <v>60.9438344571397</v>
      </c>
      <c r="F48" s="117" t="n">
        <f aca="false">IF($K$9=0,0,E48/$K$9)</f>
        <v>0.0832</v>
      </c>
      <c r="G48" s="117" t="n">
        <f aca="false">G47+F48</f>
        <v>0.6809</v>
      </c>
      <c r="H48" s="138" t="n">
        <v>80857.39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RESUMO'!AU41</f>
        <v>68.09</v>
      </c>
      <c r="N48" s="140" t="n">
        <f aca="false">MAX(0,M48-M47)</f>
        <v>8.32</v>
      </c>
      <c r="O48" s="139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8.32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111486.04202491</v>
      </c>
      <c r="E49" s="45" t="n">
        <f aca="false">L49+D49/$K$2</f>
        <v>85.7755170063829</v>
      </c>
      <c r="F49" s="117" t="n">
        <f aca="false">IF($K$9=0,0,E49/$K$9)</f>
        <v>0.1171</v>
      </c>
      <c r="G49" s="117" t="n">
        <f aca="false">G48+F49</f>
        <v>0.798</v>
      </c>
      <c r="H49" s="138" t="n">
        <v>96145.18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RESUMO'!AV41</f>
        <v>79.8</v>
      </c>
      <c r="N49" s="140" t="n">
        <f aca="false">MAX(0,M49-M48)</f>
        <v>11.71</v>
      </c>
      <c r="O49" s="139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11.71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72261.2347539768</v>
      </c>
      <c r="E50" s="45" t="n">
        <f aca="false">L50+D50/$K$2</f>
        <v>55.596598981934</v>
      </c>
      <c r="F50" s="117" t="n">
        <f aca="false">IF($K$9=0,0,E50/$K$9)</f>
        <v>0.0759</v>
      </c>
      <c r="G50" s="117" t="n">
        <f aca="false">G49+F50</f>
        <v>0.8739</v>
      </c>
      <c r="H50" s="138" t="n">
        <v>43035.57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RESUMO'!AW41</f>
        <v>87.39</v>
      </c>
      <c r="N50" s="140" t="n">
        <f aca="false">MAX(0,M50-M49)</f>
        <v>7.59</v>
      </c>
      <c r="O50" s="139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7.59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63978.3264224933</v>
      </c>
      <c r="E51" s="45" t="n">
        <f aca="false">L51+D51/$K$2</f>
        <v>49.2238662923051</v>
      </c>
      <c r="F51" s="117" t="n">
        <f aca="false">IF($K$9=0,0,E51/$K$9)</f>
        <v>0.0672</v>
      </c>
      <c r="G51" s="117" t="n">
        <f aca="false">G50+F51</f>
        <v>0.9411</v>
      </c>
      <c r="H51" s="138" t="n">
        <v>16756.68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RESUMO'!AX41</f>
        <v>94.11</v>
      </c>
      <c r="N51" s="140" t="n">
        <f aca="false">MAX(0,M51-M50)</f>
        <v>6.72</v>
      </c>
      <c r="O51" s="139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6.72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47126.8922308544</v>
      </c>
      <c r="E52" s="45" t="n">
        <f aca="false">L52+D52/$K$2</f>
        <v>36.2586515099569</v>
      </c>
      <c r="F52" s="117" t="n">
        <f aca="false">IF($K$9=0,0,E52/$K$9)</f>
        <v>0.0495</v>
      </c>
      <c r="G52" s="117" t="n">
        <f aca="false">G51+F52</f>
        <v>0.9906</v>
      </c>
      <c r="H52" s="138" t="n">
        <v>16756.68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RESUMO'!AY41</f>
        <v>99.06</v>
      </c>
      <c r="N52" s="140" t="n">
        <f aca="false">MAX(0,M52-M51)</f>
        <v>4.95</v>
      </c>
      <c r="O52" s="139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4.95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8949.34923171779</v>
      </c>
      <c r="E53" s="45" t="n">
        <f aca="false">L53+D53/$K$2</f>
        <v>6.88548129684029</v>
      </c>
      <c r="F53" s="117" t="n">
        <f aca="false">IF($K$9=0,0,E53/$K$9)</f>
        <v>0.00939999999999998</v>
      </c>
      <c r="G53" s="117" t="n">
        <f aca="false">G52+F53</f>
        <v>1</v>
      </c>
      <c r="H53" s="138" t="n">
        <v>16756.68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RESUMO'!AZ41</f>
        <v>100</v>
      </c>
      <c r="N53" s="140" t="n">
        <f aca="false">MAX(0,M53-M52)</f>
        <v>0.939999999999998</v>
      </c>
      <c r="O53" s="139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0.939999999999998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16756.68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RESUMO'!BA41</f>
        <v>100</v>
      </c>
      <c r="N54" s="140" t="n">
        <f aca="false">MAX(0,M54-M53)</f>
        <v>0</v>
      </c>
      <c r="O54" s="139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16756.68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RESUMO'!BB41</f>
        <v>100</v>
      </c>
      <c r="N55" s="140" t="n">
        <f aca="false">MAX(0,M55-M54)</f>
        <v>0</v>
      </c>
      <c r="O55" s="139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16756.68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RESUMO'!BC41</f>
        <v>100</v>
      </c>
      <c r="N56" s="140" t="n">
        <f aca="false">MAX(0,M56-M55)</f>
        <v>0</v>
      </c>
      <c r="O56" s="139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RESUMO'!BD41</f>
        <v>100</v>
      </c>
      <c r="N57" s="140" t="n">
        <f aca="false">MAX(0,M57-M56)</f>
        <v>0</v>
      </c>
      <c r="O57" s="139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RESUMO'!BE41</f>
        <v>100</v>
      </c>
      <c r="N58" s="140" t="n">
        <f aca="false">MAX(0,M58-M57)</f>
        <v>0</v>
      </c>
      <c r="O58" s="139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RESUMO'!BF41</f>
        <v>100</v>
      </c>
      <c r="N59" s="140" t="n">
        <f aca="false">MAX(0,M59-M58)</f>
        <v>0</v>
      </c>
      <c r="O59" s="139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RESUMO'!BG41</f>
        <v>100</v>
      </c>
      <c r="N60" s="140" t="n">
        <f aca="false">MAX(0,M60-M59)</f>
        <v>0</v>
      </c>
      <c r="O60" s="139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RESUMO'!BH41</f>
        <v>100</v>
      </c>
      <c r="N61" s="140" t="n">
        <f aca="false">MAX(0,M61-M60)</f>
        <v>0</v>
      </c>
      <c r="O61" s="139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RESUMO'!BI41</f>
        <v>100</v>
      </c>
      <c r="N62" s="140" t="n">
        <f aca="false">MAX(0,M62-M61)</f>
        <v>0</v>
      </c>
      <c r="O62" s="139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RESUMO'!BJ41</f>
        <v>100</v>
      </c>
      <c r="N63" s="140" t="n">
        <f aca="false">MAX(0,M63-M62)</f>
        <v>0</v>
      </c>
      <c r="O63" s="139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RESUMO'!BK41</f>
        <v>100</v>
      </c>
      <c r="N64" s="140" t="n">
        <f aca="false">MAX(0,M64-M63)</f>
        <v>0</v>
      </c>
      <c r="O64" s="139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RESUMO'!BL41</f>
        <v>100</v>
      </c>
      <c r="N65" s="140" t="n">
        <f aca="false">MAX(0,M65-M64)</f>
        <v>0</v>
      </c>
      <c r="O65" s="139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RESUMO'!BM41</f>
        <v>100</v>
      </c>
      <c r="N66" s="140" t="n">
        <f aca="false">MAX(0,M66-M65)</f>
        <v>0</v>
      </c>
      <c r="O66" s="139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RESUMO'!BN41</f>
        <v>100</v>
      </c>
      <c r="N67" s="140" t="n">
        <f aca="false">MAX(0,M67-M66)</f>
        <v>0</v>
      </c>
      <c r="O67" s="139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RESUMO'!BO41</f>
        <v>100</v>
      </c>
      <c r="N68" s="140" t="n">
        <f aca="false">MAX(0,M68-M67)</f>
        <v>0</v>
      </c>
      <c r="O68" s="139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RESUMO'!BP41</f>
        <v>100</v>
      </c>
      <c r="N69" s="140" t="n">
        <f aca="false">MAX(0,M69-M68)</f>
        <v>0</v>
      </c>
      <c r="O69" s="139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RESUMO'!BQ41</f>
        <v>100</v>
      </c>
      <c r="N70" s="140" t="n">
        <f aca="false">MAX(0,M70-M69)</f>
        <v>0</v>
      </c>
      <c r="O70" s="139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RESUMO'!BR41</f>
        <v>100</v>
      </c>
      <c r="N71" s="140" t="n">
        <f aca="false">MAX(0,M71-M70)</f>
        <v>0</v>
      </c>
      <c r="O71" s="139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RESUMO'!BS41</f>
        <v>100</v>
      </c>
      <c r="N72" s="140" t="n">
        <f aca="false">MAX(0,M72-M71)</f>
        <v>0</v>
      </c>
      <c r="O72" s="139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RESUMO'!BT41</f>
        <v>100</v>
      </c>
      <c r="N73" s="140" t="n">
        <f aca="false">MAX(0,M73-M72)</f>
        <v>0</v>
      </c>
      <c r="O73" s="139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RESUMO'!BU41</f>
        <v>100</v>
      </c>
      <c r="N74" s="140" t="n">
        <f aca="false">MAX(0,M74-M73)</f>
        <v>0</v>
      </c>
      <c r="O74" s="139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RESUMO'!BV41</f>
        <v>100</v>
      </c>
      <c r="N75" s="140" t="n">
        <f aca="false">MAX(0,M75-M74)</f>
        <v>0</v>
      </c>
      <c r="O75" s="139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RESUMO'!BW41</f>
        <v>100</v>
      </c>
      <c r="N76" s="140" t="n">
        <f aca="false">MAX(0,M76-M75)</f>
        <v>0</v>
      </c>
      <c r="O76" s="139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952058.42890615</v>
      </c>
      <c r="E78" s="61" t="n">
        <f aca="false">SUM(E5:E76)</f>
        <v>732.49801030216</v>
      </c>
      <c r="F78" s="145" t="n">
        <f aca="false">SUM(F5:F76)</f>
        <v>1</v>
      </c>
      <c r="H78" s="61" t="n">
        <f aca="false">SUM(H5:H76)</f>
        <v>856387.94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3914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2026-10-07T20:41:25Z</dcterms:created>
  <dc:creator>openpyxl</dc:creator>
  <dc:description/>
  <dc:language>en-US</dc:language>
  <cp:lastModifiedBy/>
  <dcterms:modified xsi:type="dcterms:W3CDTF">2026-10-07T20:41:45Z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